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c Lynn\Desktop\4\"/>
    </mc:Choice>
  </mc:AlternateContent>
  <xr:revisionPtr revIDLastSave="0" documentId="13_ncr:1_{24645442-17C7-403F-BF00-D726CBD1653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4" sheetId="4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089" i="4" l="1"/>
  <c r="B28090" i="4"/>
  <c r="B28091" i="4"/>
  <c r="B28092" i="4"/>
  <c r="B28093" i="4"/>
  <c r="B28094" i="4"/>
  <c r="B28095" i="4"/>
  <c r="B28096" i="4"/>
  <c r="B28097" i="4"/>
  <c r="B28098" i="4"/>
  <c r="B28099" i="4"/>
  <c r="B28100" i="4"/>
  <c r="B28101" i="4"/>
  <c r="B28102" i="4"/>
  <c r="B28103" i="4"/>
  <c r="B28104" i="4"/>
  <c r="B28105" i="4"/>
  <c r="B28106" i="4"/>
  <c r="B28107" i="4"/>
  <c r="B28108" i="4"/>
  <c r="B28109" i="4"/>
  <c r="B28110" i="4"/>
  <c r="B28111" i="4"/>
  <c r="B28112" i="4"/>
  <c r="B28113" i="4"/>
  <c r="B28114" i="4"/>
  <c r="B8829" i="4"/>
  <c r="B28115" i="4"/>
  <c r="B28116" i="4"/>
  <c r="B28117" i="4"/>
  <c r="B8830" i="4"/>
  <c r="B17555" i="4"/>
  <c r="B17556" i="4"/>
  <c r="B17557" i="4"/>
  <c r="B17558" i="4"/>
  <c r="B17559" i="4"/>
  <c r="B17560" i="4"/>
  <c r="B17561" i="4"/>
  <c r="B17562" i="4"/>
  <c r="B17563" i="4"/>
  <c r="B17564" i="4"/>
  <c r="B17565" i="4"/>
  <c r="B28118" i="4"/>
  <c r="B17566" i="4"/>
  <c r="B17567" i="4"/>
  <c r="B28119" i="4"/>
  <c r="B17568" i="4"/>
  <c r="B17569" i="4"/>
  <c r="B17570" i="4"/>
  <c r="B17571" i="4"/>
  <c r="B17607" i="4"/>
  <c r="B17608" i="4"/>
  <c r="B17609" i="4"/>
  <c r="B17572" i="4"/>
  <c r="B17573" i="4"/>
  <c r="B17610" i="4"/>
  <c r="B28120" i="4"/>
  <c r="B17611" i="4"/>
  <c r="B17612" i="4"/>
  <c r="B17613" i="4"/>
  <c r="B17614" i="4"/>
  <c r="B18126" i="4"/>
  <c r="B17615" i="4"/>
  <c r="B17616" i="4"/>
  <c r="B17617" i="4"/>
  <c r="B17618" i="4"/>
  <c r="B17619" i="4"/>
  <c r="B17620" i="4"/>
  <c r="B17621" i="4"/>
  <c r="B17622" i="4"/>
  <c r="B17623" i="4"/>
  <c r="B17624" i="4"/>
  <c r="B17625" i="4"/>
  <c r="B17626" i="4"/>
  <c r="B17627" i="4"/>
  <c r="B17574" i="4"/>
  <c r="B17575" i="4"/>
  <c r="B17576" i="4"/>
  <c r="B17628" i="4"/>
  <c r="B17629" i="4"/>
  <c r="B17630" i="4"/>
  <c r="B12279" i="4"/>
  <c r="B17631" i="4"/>
  <c r="B8831" i="4"/>
  <c r="B17577" i="4"/>
  <c r="B8832" i="4"/>
  <c r="B28121" i="4"/>
  <c r="B17632" i="4"/>
  <c r="B8833" i="4"/>
  <c r="B17578" i="4"/>
  <c r="B8834" i="4"/>
  <c r="B8835" i="4"/>
  <c r="B8836" i="4"/>
  <c r="B28122" i="4"/>
  <c r="B17579" i="4"/>
  <c r="B17633" i="4"/>
  <c r="B28123" i="4"/>
  <c r="B17634" i="4"/>
  <c r="B17580" i="4"/>
  <c r="B26649" i="4"/>
  <c r="B26650" i="4"/>
  <c r="B26651" i="4"/>
  <c r="B26652" i="4"/>
  <c r="B26653" i="4"/>
  <c r="B26654" i="4"/>
  <c r="B26655" i="4"/>
  <c r="B26656" i="4"/>
  <c r="B26657" i="4"/>
  <c r="B26658" i="4"/>
  <c r="B26659" i="4"/>
  <c r="B26660" i="4"/>
  <c r="B26661" i="4"/>
  <c r="B26662" i="4"/>
  <c r="B26663" i="4"/>
  <c r="B26664" i="4"/>
  <c r="B26665" i="4"/>
  <c r="B26666" i="4"/>
  <c r="B26667" i="4"/>
  <c r="B26668" i="4"/>
  <c r="B26669" i="4"/>
  <c r="B26670" i="4"/>
  <c r="B26671" i="4"/>
  <c r="B26672" i="4"/>
  <c r="B26673" i="4"/>
  <c r="B26674" i="4"/>
  <c r="B26675" i="4"/>
  <c r="B26676" i="4"/>
  <c r="B26677" i="4"/>
  <c r="B26678" i="4"/>
  <c r="B26679" i="4"/>
  <c r="B26680" i="4"/>
  <c r="B26681" i="4"/>
  <c r="B26682" i="4"/>
  <c r="B26683" i="4"/>
  <c r="B26684" i="4"/>
  <c r="B26685" i="4"/>
  <c r="B26686" i="4"/>
  <c r="B26687" i="4"/>
  <c r="B26688" i="4"/>
  <c r="B26689" i="4"/>
  <c r="B26690" i="4"/>
  <c r="B26691" i="4"/>
  <c r="B26692" i="4"/>
  <c r="B26693" i="4"/>
  <c r="B26694" i="4"/>
  <c r="B26695" i="4"/>
  <c r="B26696" i="4"/>
  <c r="B26697" i="4"/>
  <c r="B26698" i="4"/>
  <c r="B26699" i="4"/>
  <c r="B26700" i="4"/>
  <c r="B26701" i="4"/>
  <c r="B26702" i="4"/>
  <c r="B26703" i="4"/>
  <c r="B26704" i="4"/>
  <c r="B26705" i="4"/>
  <c r="B1617" i="4"/>
  <c r="B17084" i="4"/>
  <c r="B7256" i="4"/>
  <c r="B15340" i="4"/>
  <c r="B26706" i="4"/>
  <c r="B8268" i="4"/>
  <c r="B17085" i="4"/>
  <c r="B1618" i="4"/>
  <c r="B26707" i="4"/>
  <c r="B8269" i="4"/>
  <c r="B8270" i="4"/>
  <c r="B8385" i="4"/>
  <c r="B1619" i="4"/>
  <c r="B26708" i="4"/>
  <c r="B26709" i="4"/>
  <c r="B26710" i="4"/>
  <c r="B26711" i="4"/>
  <c r="B26712" i="4"/>
  <c r="B7257" i="4"/>
  <c r="B26713" i="4"/>
  <c r="B26714" i="4"/>
  <c r="B26715" i="4"/>
  <c r="B26716" i="4"/>
  <c r="B12862" i="4"/>
  <c r="B26717" i="4"/>
  <c r="B26718" i="4"/>
  <c r="B26719" i="4"/>
  <c r="B26720" i="4"/>
  <c r="B26721" i="4"/>
  <c r="B26722" i="4"/>
  <c r="B26723" i="4"/>
  <c r="B26724" i="4"/>
  <c r="B26725" i="4"/>
  <c r="B26726" i="4"/>
  <c r="B26727" i="4"/>
  <c r="B26728" i="4"/>
  <c r="B26729" i="4"/>
  <c r="B15341" i="4"/>
  <c r="B7258" i="4"/>
  <c r="B17086" i="4"/>
  <c r="B1620" i="4"/>
  <c r="B17419" i="4"/>
  <c r="B26730" i="4"/>
  <c r="B26731" i="4"/>
  <c r="B487" i="4"/>
  <c r="B26732" i="4"/>
  <c r="B26733" i="4"/>
  <c r="B26734" i="4"/>
  <c r="B7259" i="4"/>
  <c r="B26735" i="4"/>
  <c r="B8271" i="4"/>
  <c r="B15585" i="4"/>
  <c r="B20182" i="4"/>
  <c r="B20183" i="4"/>
  <c r="B20184" i="4"/>
  <c r="B7260" i="4"/>
  <c r="B7261" i="4"/>
  <c r="B488" i="4"/>
  <c r="B17420" i="4"/>
  <c r="B17421" i="4"/>
  <c r="B26736" i="4"/>
  <c r="B8447" i="4"/>
  <c r="B26737" i="4"/>
  <c r="B7262" i="4"/>
  <c r="B1621" i="4"/>
  <c r="B17087" i="4"/>
  <c r="B26738" i="4"/>
  <c r="B1622" i="4"/>
  <c r="B7263" i="4"/>
  <c r="B26739" i="4"/>
  <c r="B17088" i="4"/>
  <c r="B26740" i="4"/>
  <c r="B17089" i="4"/>
  <c r="B26741" i="4"/>
  <c r="B17090" i="4"/>
  <c r="B26742" i="4"/>
  <c r="B26743" i="4"/>
  <c r="B26744" i="4"/>
  <c r="B17091" i="4"/>
  <c r="B17092" i="4"/>
  <c r="B17093" i="4"/>
  <c r="B26745" i="4"/>
  <c r="B26746" i="4"/>
  <c r="B26747" i="4"/>
  <c r="B26748" i="4"/>
  <c r="B26749" i="4"/>
  <c r="B26750" i="4"/>
  <c r="B26751" i="4"/>
  <c r="B26752" i="4"/>
  <c r="B26753" i="4"/>
  <c r="B26754" i="4"/>
  <c r="B26755" i="4"/>
  <c r="B17094" i="4"/>
  <c r="B17095" i="4"/>
  <c r="B17096" i="4"/>
  <c r="B17097" i="4"/>
  <c r="B26756" i="4"/>
  <c r="B17098" i="4"/>
  <c r="B17099" i="4"/>
  <c r="B17100" i="4"/>
  <c r="B26757" i="4"/>
  <c r="B17101" i="4"/>
  <c r="B17102" i="4"/>
  <c r="B17103" i="4"/>
  <c r="B17104" i="4"/>
  <c r="B17105" i="4"/>
  <c r="B17106" i="4"/>
  <c r="B17107" i="4"/>
  <c r="B26758" i="4"/>
  <c r="B17108" i="4"/>
  <c r="B26759" i="4"/>
  <c r="B7264" i="4"/>
  <c r="B17422" i="4"/>
  <c r="B8272" i="4"/>
  <c r="B8273" i="4"/>
  <c r="B8274" i="4"/>
  <c r="B20707" i="4"/>
  <c r="B26760" i="4"/>
  <c r="B26761" i="4"/>
  <c r="B20185" i="4"/>
  <c r="B8275" i="4"/>
  <c r="B26762" i="4"/>
  <c r="B7265" i="4"/>
  <c r="B1623" i="4"/>
  <c r="B1624" i="4"/>
  <c r="B26763" i="4"/>
  <c r="B17109" i="4"/>
  <c r="B17110" i="4"/>
  <c r="B26764" i="4"/>
  <c r="B20186" i="4"/>
  <c r="B20187" i="4"/>
  <c r="B20188" i="4"/>
  <c r="B20189" i="4"/>
  <c r="B20190" i="4"/>
  <c r="B20191" i="4"/>
  <c r="B26765" i="4"/>
  <c r="B26766" i="4"/>
  <c r="B26767" i="4"/>
  <c r="B13641" i="4"/>
  <c r="B13642" i="4"/>
  <c r="B180" i="4"/>
  <c r="B181" i="4"/>
  <c r="B8386" i="4"/>
  <c r="B8387" i="4"/>
  <c r="B1625" i="4"/>
  <c r="B10799" i="4"/>
  <c r="B10800" i="4"/>
  <c r="B26768" i="4"/>
  <c r="B17423" i="4"/>
  <c r="B8276" i="4"/>
  <c r="B5359" i="4"/>
  <c r="B26769" i="4"/>
  <c r="B17111" i="4"/>
  <c r="B26770" i="4"/>
  <c r="B26771" i="4"/>
  <c r="B26772" i="4"/>
  <c r="B1626" i="4"/>
  <c r="B26773" i="4"/>
  <c r="B7266" i="4"/>
  <c r="B26774" i="4"/>
  <c r="B7267" i="4"/>
  <c r="B17855" i="4"/>
  <c r="B17424" i="4"/>
  <c r="B17425" i="4"/>
  <c r="B17426" i="4"/>
  <c r="B17112" i="4"/>
  <c r="B1627" i="4"/>
  <c r="B26775" i="4"/>
  <c r="B13643" i="4"/>
  <c r="B1628" i="4"/>
  <c r="B17427" i="4"/>
  <c r="B182" i="4"/>
  <c r="B26776" i="4"/>
  <c r="B1629" i="4"/>
  <c r="B26777" i="4"/>
  <c r="B26778" i="4"/>
  <c r="B26779" i="4"/>
  <c r="B26780" i="4"/>
  <c r="B26781" i="4"/>
  <c r="B26782" i="4"/>
  <c r="B17113" i="4"/>
  <c r="B17114" i="4"/>
  <c r="B26783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5573" i="4"/>
  <c r="B26784" i="4"/>
  <c r="B17126" i="4"/>
  <c r="B17127" i="4"/>
  <c r="B2472" i="4"/>
  <c r="B2473" i="4"/>
  <c r="B26785" i="4"/>
  <c r="B26786" i="4"/>
  <c r="B1630" i="4"/>
  <c r="B26787" i="4"/>
  <c r="B10962" i="4"/>
  <c r="B8277" i="4"/>
  <c r="B17128" i="4"/>
  <c r="B17129" i="4"/>
  <c r="B26788" i="4"/>
  <c r="B17130" i="4"/>
  <c r="B17131" i="4"/>
  <c r="B17132" i="4"/>
  <c r="B17133" i="4"/>
  <c r="B26789" i="4"/>
  <c r="B7268" i="4"/>
  <c r="B26790" i="4"/>
  <c r="B26791" i="4"/>
  <c r="B26792" i="4"/>
  <c r="B26793" i="4"/>
  <c r="B26794" i="4"/>
  <c r="B8278" i="4"/>
  <c r="B8279" i="4"/>
  <c r="B26795" i="4"/>
  <c r="B489" i="4"/>
  <c r="B26796" i="4"/>
  <c r="B26797" i="4"/>
  <c r="B26798" i="4"/>
  <c r="B26799" i="4"/>
  <c r="B26800" i="4"/>
  <c r="B26801" i="4"/>
  <c r="B26802" i="4"/>
  <c r="B26803" i="4"/>
  <c r="B26804" i="4"/>
  <c r="B26805" i="4"/>
  <c r="B26806" i="4"/>
  <c r="B1631" i="4"/>
  <c r="B1632" i="4"/>
  <c r="B18033" i="4"/>
  <c r="B20192" i="4"/>
  <c r="B26807" i="4"/>
  <c r="B18101" i="4"/>
  <c r="B26808" i="4"/>
  <c r="B1914" i="4"/>
  <c r="B1633" i="4"/>
  <c r="B1634" i="4"/>
  <c r="B26809" i="4"/>
  <c r="B26810" i="4"/>
  <c r="B1635" i="4"/>
  <c r="B1636" i="4"/>
  <c r="B1637" i="4"/>
  <c r="B20647" i="4"/>
  <c r="B20648" i="4"/>
  <c r="B5360" i="4"/>
  <c r="B26811" i="4"/>
  <c r="B26812" i="4"/>
  <c r="B17134" i="4"/>
  <c r="B26813" i="4"/>
  <c r="B17135" i="4"/>
  <c r="B15342" i="4"/>
  <c r="B26814" i="4"/>
  <c r="B17856" i="4"/>
  <c r="B20193" i="4"/>
  <c r="B20194" i="4"/>
  <c r="B8280" i="4"/>
  <c r="B1886" i="4"/>
  <c r="B26815" i="4"/>
  <c r="B20195" i="4"/>
  <c r="B20196" i="4"/>
  <c r="B20197" i="4"/>
  <c r="B20198" i="4"/>
  <c r="B20199" i="4"/>
  <c r="B26816" i="4"/>
  <c r="B17136" i="4"/>
  <c r="B17137" i="4"/>
  <c r="B7269" i="4"/>
  <c r="B17138" i="4"/>
  <c r="B12941" i="4"/>
  <c r="B15343" i="4"/>
  <c r="B15344" i="4"/>
  <c r="B26817" i="4"/>
  <c r="B1638" i="4"/>
  <c r="B26818" i="4"/>
  <c r="B10963" i="4"/>
  <c r="B7270" i="4"/>
  <c r="B26819" i="4"/>
  <c r="B7271" i="4"/>
  <c r="B8333" i="4"/>
  <c r="B1639" i="4"/>
  <c r="B5361" i="4"/>
  <c r="B15345" i="4"/>
  <c r="B7272" i="4"/>
  <c r="B26820" i="4"/>
  <c r="B7273" i="4"/>
  <c r="B1640" i="4"/>
  <c r="B26821" i="4"/>
  <c r="B26822" i="4"/>
  <c r="B15346" i="4"/>
  <c r="B17139" i="4"/>
  <c r="B26823" i="4"/>
  <c r="B26824" i="4"/>
  <c r="B7274" i="4"/>
  <c r="B7275" i="4"/>
  <c r="B7276" i="4"/>
  <c r="B17140" i="4"/>
  <c r="B26825" i="4"/>
  <c r="B8281" i="4"/>
  <c r="B8282" i="4"/>
  <c r="B183" i="4"/>
  <c r="B10964" i="4"/>
  <c r="B17428" i="4"/>
  <c r="B17429" i="4"/>
  <c r="B26826" i="4"/>
  <c r="B26827" i="4"/>
  <c r="B12942" i="4"/>
  <c r="B26828" i="4"/>
  <c r="B26829" i="4"/>
  <c r="B1641" i="4"/>
  <c r="B17430" i="4"/>
  <c r="B7277" i="4"/>
  <c r="B7278" i="4"/>
  <c r="B7279" i="4"/>
  <c r="B7280" i="4"/>
  <c r="B26830" i="4"/>
  <c r="B26831" i="4"/>
  <c r="B20200" i="4"/>
  <c r="B17431" i="4"/>
  <c r="B1642" i="4"/>
  <c r="B26832" i="4"/>
  <c r="B17432" i="4"/>
  <c r="B7281" i="4"/>
  <c r="B7282" i="4"/>
  <c r="B184" i="4"/>
  <c r="B17141" i="4"/>
  <c r="B17142" i="4"/>
  <c r="B17143" i="4"/>
  <c r="B17144" i="4"/>
  <c r="B26833" i="4"/>
  <c r="B26834" i="4"/>
  <c r="B26835" i="4"/>
  <c r="B26836" i="4"/>
  <c r="B26837" i="4"/>
  <c r="B26838" i="4"/>
  <c r="B20201" i="4"/>
  <c r="B7283" i="4"/>
  <c r="B7284" i="4"/>
  <c r="B26839" i="4"/>
  <c r="B20708" i="4"/>
  <c r="B20709" i="4"/>
  <c r="B8448" i="4"/>
  <c r="B17857" i="4"/>
  <c r="B7285" i="4"/>
  <c r="B7286" i="4"/>
  <c r="B7287" i="4"/>
  <c r="B26840" i="4"/>
  <c r="B15347" i="4"/>
  <c r="B26841" i="4"/>
  <c r="B26842" i="4"/>
  <c r="B26843" i="4"/>
  <c r="B8821" i="4"/>
  <c r="B8822" i="4"/>
  <c r="B8823" i="4"/>
  <c r="B10801" i="4"/>
  <c r="B18034" i="4"/>
  <c r="B10802" i="4"/>
  <c r="B1887" i="4"/>
  <c r="B8824" i="4"/>
  <c r="B26844" i="4"/>
  <c r="B7288" i="4"/>
  <c r="B185" i="4"/>
  <c r="B13116" i="4"/>
  <c r="B186" i="4"/>
  <c r="B26845" i="4"/>
  <c r="B26846" i="4"/>
  <c r="B26847" i="4"/>
  <c r="B1643" i="4"/>
  <c r="B26848" i="4"/>
  <c r="B1644" i="4"/>
  <c r="B1645" i="4"/>
  <c r="B1646" i="4"/>
  <c r="B26849" i="4"/>
  <c r="B1647" i="4"/>
  <c r="B26850" i="4"/>
  <c r="B1648" i="4"/>
  <c r="B26851" i="4"/>
  <c r="B20202" i="4"/>
  <c r="B20203" i="4"/>
  <c r="B20204" i="4"/>
  <c r="B20205" i="4"/>
  <c r="B26852" i="4"/>
  <c r="B1649" i="4"/>
  <c r="B1650" i="4"/>
  <c r="B1651" i="4"/>
  <c r="B1652" i="4"/>
  <c r="B20206" i="4"/>
  <c r="B20207" i="4"/>
  <c r="B20208" i="4"/>
  <c r="B20209" i="4"/>
  <c r="B20210" i="4"/>
  <c r="B20211" i="4"/>
  <c r="B20212" i="4"/>
  <c r="B20213" i="4"/>
  <c r="B17433" i="4"/>
  <c r="B26853" i="4"/>
  <c r="B7289" i="4"/>
  <c r="B7290" i="4"/>
  <c r="B17145" i="4"/>
  <c r="B17146" i="4"/>
  <c r="B187" i="4"/>
  <c r="B7291" i="4"/>
  <c r="B7292" i="4"/>
  <c r="B26854" i="4"/>
  <c r="B1653" i="4"/>
  <c r="B26855" i="4"/>
  <c r="B8334" i="4"/>
  <c r="B7293" i="4"/>
  <c r="B1654" i="4"/>
  <c r="B1655" i="4"/>
  <c r="B188" i="4"/>
  <c r="B26856" i="4"/>
  <c r="B7294" i="4"/>
  <c r="B5104" i="4"/>
  <c r="B26857" i="4"/>
  <c r="B17147" i="4"/>
  <c r="B26858" i="4"/>
  <c r="B17148" i="4"/>
  <c r="B17149" i="4"/>
  <c r="B17150" i="4"/>
  <c r="B17151" i="4"/>
  <c r="B17152" i="4"/>
  <c r="B26859" i="4"/>
  <c r="B26860" i="4"/>
  <c r="B26861" i="4"/>
  <c r="B17153" i="4"/>
  <c r="B26862" i="4"/>
  <c r="B26863" i="4"/>
  <c r="B26864" i="4"/>
  <c r="B26865" i="4"/>
  <c r="B26866" i="4"/>
  <c r="B26867" i="4"/>
  <c r="B26868" i="4"/>
  <c r="B6187" i="4"/>
  <c r="B26869" i="4"/>
  <c r="B26870" i="4"/>
  <c r="B26871" i="4"/>
  <c r="B26872" i="4"/>
  <c r="B26873" i="4"/>
  <c r="B26874" i="4"/>
  <c r="B26875" i="4"/>
  <c r="B26876" i="4"/>
  <c r="B26877" i="4"/>
  <c r="B17434" i="4"/>
  <c r="B26878" i="4"/>
  <c r="B7295" i="4"/>
  <c r="B1656" i="4"/>
  <c r="B1657" i="4"/>
  <c r="B8335" i="4"/>
  <c r="B5105" i="4"/>
  <c r="B13644" i="4"/>
  <c r="B26879" i="4"/>
  <c r="B26880" i="4"/>
  <c r="B26881" i="4"/>
  <c r="B17154" i="4"/>
  <c r="B7296" i="4"/>
  <c r="B20214" i="4"/>
  <c r="B26882" i="4"/>
  <c r="B26883" i="4"/>
  <c r="B7297" i="4"/>
  <c r="B7298" i="4"/>
  <c r="B26884" i="4"/>
  <c r="B26885" i="4"/>
  <c r="B26886" i="4"/>
  <c r="B1658" i="4"/>
  <c r="B15348" i="4"/>
  <c r="B15349" i="4"/>
  <c r="B7299" i="4"/>
  <c r="B26887" i="4"/>
  <c r="B17858" i="4"/>
  <c r="B7300" i="4"/>
  <c r="B26888" i="4"/>
  <c r="B26889" i="4"/>
  <c r="B7301" i="4"/>
  <c r="B26890" i="4"/>
  <c r="B26891" i="4"/>
  <c r="B26892" i="4"/>
  <c r="B6476" i="4"/>
  <c r="B26893" i="4"/>
  <c r="B26894" i="4"/>
  <c r="B26895" i="4"/>
  <c r="B26896" i="4"/>
  <c r="B26897" i="4"/>
  <c r="B26898" i="4"/>
  <c r="B26899" i="4"/>
  <c r="B26900" i="4"/>
  <c r="B26901" i="4"/>
  <c r="B26902" i="4"/>
  <c r="B26903" i="4"/>
  <c r="B7302" i="4"/>
  <c r="B1659" i="4"/>
  <c r="B13645" i="4"/>
  <c r="B1915" i="4"/>
  <c r="B1660" i="4"/>
  <c r="B26904" i="4"/>
  <c r="B10965" i="4"/>
  <c r="B26905" i="4"/>
  <c r="B26906" i="4"/>
  <c r="B26907" i="4"/>
  <c r="B26908" i="4"/>
  <c r="B26909" i="4"/>
  <c r="B12943" i="4"/>
  <c r="B12944" i="4"/>
  <c r="B7303" i="4"/>
  <c r="B12863" i="4"/>
  <c r="B7304" i="4"/>
  <c r="B7305" i="4"/>
  <c r="B17155" i="4"/>
  <c r="B17156" i="4"/>
  <c r="B17157" i="4"/>
  <c r="B17158" i="4"/>
  <c r="B7306" i="4"/>
  <c r="B26910" i="4"/>
  <c r="B17859" i="4"/>
  <c r="B26911" i="4"/>
  <c r="B20215" i="4"/>
  <c r="B20216" i="4"/>
  <c r="B26912" i="4"/>
  <c r="B7307" i="4"/>
  <c r="B26913" i="4"/>
  <c r="B7308" i="4"/>
  <c r="B7309" i="4"/>
  <c r="B26914" i="4"/>
  <c r="B7310" i="4"/>
  <c r="B7311" i="4"/>
  <c r="B7312" i="4"/>
  <c r="B7313" i="4"/>
  <c r="B7314" i="4"/>
  <c r="B26915" i="4"/>
  <c r="B26916" i="4"/>
  <c r="B7315" i="4"/>
  <c r="B26917" i="4"/>
  <c r="B5106" i="4"/>
  <c r="B10803" i="4"/>
  <c r="B26918" i="4"/>
  <c r="B10804" i="4"/>
  <c r="B26919" i="4"/>
  <c r="B26920" i="4"/>
  <c r="B12945" i="4"/>
  <c r="B26921" i="4"/>
  <c r="B26922" i="4"/>
  <c r="B5107" i="4"/>
  <c r="B1661" i="4"/>
  <c r="B7316" i="4"/>
  <c r="B7317" i="4"/>
  <c r="B26923" i="4"/>
  <c r="B26924" i="4"/>
  <c r="B7318" i="4"/>
  <c r="B1662" i="4"/>
  <c r="B26925" i="4"/>
  <c r="B26926" i="4"/>
  <c r="B26927" i="4"/>
  <c r="B26928" i="4"/>
  <c r="B26929" i="4"/>
  <c r="B26930" i="4"/>
  <c r="B26931" i="4"/>
  <c r="B7319" i="4"/>
  <c r="B15350" i="4"/>
  <c r="B7320" i="4"/>
  <c r="B26932" i="4"/>
  <c r="B26933" i="4"/>
  <c r="B26934" i="4"/>
  <c r="B26935" i="4"/>
  <c r="B26936" i="4"/>
  <c r="B26937" i="4"/>
  <c r="B7321" i="4"/>
  <c r="B7322" i="4"/>
  <c r="B7323" i="4"/>
  <c r="B26938" i="4"/>
  <c r="B26939" i="4"/>
  <c r="B26940" i="4"/>
  <c r="B7324" i="4"/>
  <c r="B1663" i="4"/>
  <c r="B7325" i="4"/>
  <c r="B26941" i="4"/>
  <c r="B26942" i="4"/>
  <c r="B26943" i="4"/>
  <c r="B26944" i="4"/>
  <c r="B26945" i="4"/>
  <c r="B26946" i="4"/>
  <c r="B26947" i="4"/>
  <c r="B26948" i="4"/>
  <c r="B26949" i="4"/>
  <c r="B26950" i="4"/>
  <c r="B26951" i="4"/>
  <c r="B26952" i="4"/>
  <c r="B26953" i="4"/>
  <c r="B26954" i="4"/>
  <c r="B26955" i="4"/>
  <c r="B17860" i="4"/>
  <c r="B7326" i="4"/>
  <c r="B1664" i="4"/>
  <c r="B26956" i="4"/>
  <c r="B7327" i="4"/>
  <c r="B13646" i="4"/>
  <c r="B7328" i="4"/>
  <c r="B7329" i="4"/>
  <c r="B7330" i="4"/>
  <c r="B1665" i="4"/>
  <c r="B20649" i="4"/>
  <c r="B8449" i="4"/>
  <c r="B8388" i="4"/>
  <c r="B7331" i="4"/>
  <c r="B10805" i="4"/>
  <c r="B5362" i="4"/>
  <c r="B10806" i="4"/>
  <c r="B5108" i="4"/>
  <c r="B26957" i="4"/>
  <c r="B26958" i="4"/>
  <c r="B7332" i="4"/>
  <c r="B7333" i="4"/>
  <c r="B7334" i="4"/>
  <c r="B26959" i="4"/>
  <c r="B17238" i="4"/>
  <c r="B10807" i="4"/>
  <c r="B8825" i="4"/>
  <c r="B8826" i="4"/>
  <c r="B8827" i="4"/>
  <c r="B10808" i="4"/>
  <c r="B10809" i="4"/>
  <c r="B18035" i="4"/>
  <c r="B6636" i="4"/>
  <c r="B26960" i="4"/>
  <c r="B5109" i="4"/>
  <c r="B5110" i="4"/>
  <c r="B7335" i="4"/>
  <c r="B7336" i="4"/>
  <c r="B11010" i="4"/>
  <c r="B11011" i="4"/>
  <c r="B11012" i="4"/>
  <c r="B11013" i="4"/>
  <c r="B26961" i="4"/>
  <c r="B26962" i="4"/>
  <c r="B17861" i="4"/>
  <c r="B17159" i="4"/>
  <c r="B17160" i="4"/>
  <c r="B26963" i="4"/>
  <c r="B26964" i="4"/>
  <c r="B7337" i="4"/>
  <c r="B26965" i="4"/>
  <c r="B7338" i="4"/>
  <c r="B7339" i="4"/>
  <c r="B1916" i="4"/>
  <c r="B26966" i="4"/>
  <c r="B17161" i="4"/>
  <c r="B17162" i="4"/>
  <c r="B17163" i="4"/>
  <c r="B17164" i="4"/>
  <c r="B17165" i="4"/>
  <c r="B17166" i="4"/>
  <c r="B26967" i="4"/>
  <c r="B7340" i="4"/>
  <c r="B26968" i="4"/>
  <c r="B26969" i="4"/>
  <c r="B7341" i="4"/>
  <c r="B7342" i="4"/>
  <c r="B26970" i="4"/>
  <c r="B26971" i="4"/>
  <c r="B26972" i="4"/>
  <c r="B26973" i="4"/>
  <c r="B26974" i="4"/>
  <c r="B18102" i="4"/>
  <c r="B18103" i="4"/>
  <c r="B20217" i="4"/>
  <c r="B20218" i="4"/>
  <c r="B20219" i="4"/>
  <c r="B15351" i="4"/>
  <c r="B15352" i="4"/>
  <c r="B12946" i="4"/>
  <c r="B26975" i="4"/>
  <c r="B17167" i="4"/>
  <c r="B26976" i="4"/>
  <c r="B1666" i="4"/>
  <c r="B17862" i="4"/>
  <c r="B7343" i="4"/>
  <c r="B17168" i="4"/>
  <c r="B26977" i="4"/>
  <c r="B12947" i="4"/>
  <c r="B11014" i="4"/>
  <c r="B17169" i="4"/>
  <c r="B7344" i="4"/>
  <c r="B8405" i="4"/>
  <c r="B12225" i="4"/>
  <c r="B1667" i="4"/>
  <c r="B1668" i="4"/>
  <c r="B7345" i="4"/>
  <c r="B26978" i="4"/>
  <c r="B7346" i="4"/>
  <c r="B16494" i="4"/>
  <c r="B26979" i="4"/>
  <c r="B26980" i="4"/>
  <c r="B26981" i="4"/>
  <c r="B26982" i="4"/>
  <c r="B26983" i="4"/>
  <c r="B7347" i="4"/>
  <c r="B26984" i="4"/>
  <c r="B26985" i="4"/>
  <c r="B26986" i="4"/>
  <c r="B26987" i="4"/>
  <c r="B7348" i="4"/>
  <c r="B17435" i="4"/>
  <c r="B17436" i="4"/>
  <c r="B7349" i="4"/>
  <c r="B26988" i="4"/>
  <c r="B26989" i="4"/>
  <c r="B26990" i="4"/>
  <c r="B26991" i="4"/>
  <c r="B26992" i="4"/>
  <c r="B26993" i="4"/>
  <c r="B10966" i="4"/>
  <c r="B13226" i="4"/>
  <c r="B8336" i="4"/>
  <c r="B26994" i="4"/>
  <c r="B26995" i="4"/>
  <c r="B26996" i="4"/>
  <c r="B26997" i="4"/>
  <c r="B26998" i="4"/>
  <c r="B7350" i="4"/>
  <c r="B17170" i="4"/>
  <c r="B17171" i="4"/>
  <c r="B490" i="4"/>
  <c r="B26999" i="4"/>
  <c r="B10810" i="4"/>
  <c r="B5111" i="4"/>
  <c r="B17172" i="4"/>
  <c r="B17173" i="4"/>
  <c r="B27000" i="4"/>
  <c r="B189" i="4"/>
  <c r="B27001" i="4"/>
  <c r="B17437" i="4"/>
  <c r="B27002" i="4"/>
  <c r="B27003" i="4"/>
  <c r="B7351" i="4"/>
  <c r="B7352" i="4"/>
  <c r="B7353" i="4"/>
  <c r="B7354" i="4"/>
  <c r="B11015" i="4"/>
  <c r="B27004" i="4"/>
  <c r="B27005" i="4"/>
  <c r="B7355" i="4"/>
  <c r="B7356" i="4"/>
  <c r="B7357" i="4"/>
  <c r="B7358" i="4"/>
  <c r="B27006" i="4"/>
  <c r="B7359" i="4"/>
  <c r="B27007" i="4"/>
  <c r="B27008" i="4"/>
  <c r="B27009" i="4"/>
  <c r="B27010" i="4"/>
  <c r="B27011" i="4"/>
  <c r="B27012" i="4"/>
  <c r="B27013" i="4"/>
  <c r="B27014" i="4"/>
  <c r="B27015" i="4"/>
  <c r="B27016" i="4"/>
  <c r="B27017" i="4"/>
  <c r="B27018" i="4"/>
  <c r="B27019" i="4"/>
  <c r="B27020" i="4"/>
  <c r="B16495" i="4"/>
  <c r="B27021" i="4"/>
  <c r="B27022" i="4"/>
  <c r="B27023" i="4"/>
  <c r="B27024" i="4"/>
  <c r="B27025" i="4"/>
  <c r="B27026" i="4"/>
  <c r="B27027" i="4"/>
  <c r="B27028" i="4"/>
  <c r="B27029" i="4"/>
  <c r="B27030" i="4"/>
  <c r="B27031" i="4"/>
  <c r="B27032" i="4"/>
  <c r="B27033" i="4"/>
  <c r="B27034" i="4"/>
  <c r="B27035" i="4"/>
  <c r="B27036" i="4"/>
  <c r="B27037" i="4"/>
  <c r="B27038" i="4"/>
  <c r="B27039" i="4"/>
  <c r="B27040" i="4"/>
  <c r="B27041" i="4"/>
  <c r="B27042" i="4"/>
  <c r="B27043" i="4"/>
  <c r="B27044" i="4"/>
  <c r="B27045" i="4"/>
  <c r="B27046" i="4"/>
  <c r="B27047" i="4"/>
  <c r="B27048" i="4"/>
  <c r="B27049" i="4"/>
  <c r="B27050" i="4"/>
  <c r="B27051" i="4"/>
  <c r="B27052" i="4"/>
  <c r="B27053" i="4"/>
  <c r="B27054" i="4"/>
  <c r="B27055" i="4"/>
  <c r="B27056" i="4"/>
  <c r="B27057" i="4"/>
  <c r="B27058" i="4"/>
  <c r="B27059" i="4"/>
  <c r="B27060" i="4"/>
  <c r="B27061" i="4"/>
  <c r="B27062" i="4"/>
  <c r="B27063" i="4"/>
  <c r="B27064" i="4"/>
  <c r="B27065" i="4"/>
  <c r="B27066" i="4"/>
  <c r="B27067" i="4"/>
  <c r="B27068" i="4"/>
  <c r="B27069" i="4"/>
  <c r="B27070" i="4"/>
  <c r="B27071" i="4"/>
  <c r="B27072" i="4"/>
  <c r="B27073" i="4"/>
  <c r="B27074" i="4"/>
  <c r="B27075" i="4"/>
  <c r="B27076" i="4"/>
  <c r="B27077" i="4"/>
  <c r="B27078" i="4"/>
  <c r="B27079" i="4"/>
  <c r="B27080" i="4"/>
  <c r="B27081" i="4"/>
  <c r="B27082" i="4"/>
  <c r="B27083" i="4"/>
  <c r="B27084" i="4"/>
  <c r="B27085" i="4"/>
  <c r="B27086" i="4"/>
  <c r="B27087" i="4"/>
  <c r="B27088" i="4"/>
  <c r="B27089" i="4"/>
  <c r="B27090" i="4"/>
  <c r="B27091" i="4"/>
  <c r="B27092" i="4"/>
  <c r="B27093" i="4"/>
  <c r="B27094" i="4"/>
  <c r="B27095" i="4"/>
  <c r="B27096" i="4"/>
  <c r="B27097" i="4"/>
  <c r="B27098" i="4"/>
  <c r="B27099" i="4"/>
  <c r="B27100" i="4"/>
  <c r="B27101" i="4"/>
  <c r="B27102" i="4"/>
  <c r="B27103" i="4"/>
  <c r="B27104" i="4"/>
  <c r="B27105" i="4"/>
  <c r="B27106" i="4"/>
  <c r="B27107" i="4"/>
  <c r="B27108" i="4"/>
  <c r="B27109" i="4"/>
  <c r="B27110" i="4"/>
  <c r="B27111" i="4"/>
  <c r="B27112" i="4"/>
  <c r="B27113" i="4"/>
  <c r="B12735" i="4"/>
  <c r="B8450" i="4"/>
  <c r="B27114" i="4"/>
  <c r="B27115" i="4"/>
  <c r="B27116" i="4"/>
  <c r="B27117" i="4"/>
  <c r="B27118" i="4"/>
  <c r="B27119" i="4"/>
  <c r="B27120" i="4"/>
  <c r="B27121" i="4"/>
  <c r="B27122" i="4"/>
  <c r="B27123" i="4"/>
  <c r="B27124" i="4"/>
  <c r="B27125" i="4"/>
  <c r="B27126" i="4"/>
  <c r="B27127" i="4"/>
  <c r="B27128" i="4"/>
  <c r="B27129" i="4"/>
  <c r="B27130" i="4"/>
  <c r="B27131" i="4"/>
  <c r="B27132" i="4"/>
  <c r="B27133" i="4"/>
  <c r="B27134" i="4"/>
  <c r="B7360" i="4"/>
  <c r="B27135" i="4"/>
  <c r="B27136" i="4"/>
  <c r="B27137" i="4"/>
  <c r="B27138" i="4"/>
  <c r="B27139" i="4"/>
  <c r="B27140" i="4"/>
  <c r="B27141" i="4"/>
  <c r="B27142" i="4"/>
  <c r="B27143" i="4"/>
  <c r="B27144" i="4"/>
  <c r="B27145" i="4"/>
  <c r="B27146" i="4"/>
  <c r="B27147" i="4"/>
  <c r="B27148" i="4"/>
  <c r="B27149" i="4"/>
  <c r="B27150" i="4"/>
  <c r="B27151" i="4"/>
  <c r="B27152" i="4"/>
  <c r="B27153" i="4"/>
  <c r="B27154" i="4"/>
  <c r="B27155" i="4"/>
  <c r="B27156" i="4"/>
  <c r="B27157" i="4"/>
  <c r="B27158" i="4"/>
  <c r="B27159" i="4"/>
  <c r="B27160" i="4"/>
  <c r="B27161" i="4"/>
  <c r="B27162" i="4"/>
  <c r="B27163" i="4"/>
  <c r="B27164" i="4"/>
  <c r="B27165" i="4"/>
  <c r="B27166" i="4"/>
  <c r="B27167" i="4"/>
  <c r="B27168" i="4"/>
  <c r="B27169" i="4"/>
  <c r="B27170" i="4"/>
  <c r="B12226" i="4"/>
  <c r="B11016" i="4"/>
  <c r="B11017" i="4"/>
  <c r="B11018" i="4"/>
  <c r="B7361" i="4"/>
  <c r="B12227" i="4"/>
  <c r="B8283" i="4"/>
  <c r="B8284" i="4"/>
  <c r="B12228" i="4"/>
  <c r="B4692" i="4"/>
  <c r="B4693" i="4"/>
  <c r="B19636" i="4"/>
  <c r="B13306" i="4"/>
  <c r="B19637" i="4"/>
  <c r="B15153" i="4"/>
  <c r="B9922" i="4"/>
  <c r="B15154" i="4"/>
  <c r="B20623" i="4"/>
  <c r="B5878" i="4"/>
  <c r="B25138" i="4"/>
  <c r="B6600" i="4"/>
  <c r="B25139" i="4"/>
  <c r="B1239" i="4"/>
  <c r="B25140" i="4"/>
  <c r="B25141" i="4"/>
  <c r="B16467" i="4"/>
  <c r="B9923" i="4"/>
  <c r="B17829" i="4"/>
  <c r="B17830" i="4"/>
  <c r="B17831" i="4"/>
  <c r="B17832" i="4"/>
  <c r="B12672" i="4"/>
  <c r="B25142" i="4"/>
  <c r="B1240" i="4"/>
  <c r="B12844" i="4"/>
  <c r="B6906" i="4"/>
  <c r="B12101" i="4"/>
  <c r="B17336" i="4"/>
  <c r="B15556" i="4"/>
  <c r="B5562" i="4"/>
  <c r="B25143" i="4"/>
  <c r="B25144" i="4"/>
  <c r="B4694" i="4"/>
  <c r="B4695" i="4"/>
  <c r="B17337" i="4"/>
  <c r="B19638" i="4"/>
  <c r="B17218" i="4"/>
  <c r="B25145" i="4"/>
  <c r="B17980" i="4"/>
  <c r="B10608" i="4"/>
  <c r="B8018" i="4"/>
  <c r="B12673" i="4"/>
  <c r="B12674" i="4"/>
  <c r="B4696" i="4"/>
  <c r="B6601" i="4"/>
  <c r="B9147" i="4"/>
  <c r="B4697" i="4"/>
  <c r="B1241" i="4"/>
  <c r="B25146" i="4"/>
  <c r="B2607" i="4"/>
  <c r="B2608" i="4"/>
  <c r="B5243" i="4"/>
  <c r="B4698" i="4"/>
  <c r="B25147" i="4"/>
  <c r="B4699" i="4"/>
  <c r="B4700" i="4"/>
  <c r="B13627" i="4"/>
  <c r="B25148" i="4"/>
  <c r="B25149" i="4"/>
  <c r="B17981" i="4"/>
  <c r="B4701" i="4"/>
  <c r="B4702" i="4"/>
  <c r="B25150" i="4"/>
  <c r="B25151" i="4"/>
  <c r="B25152" i="4"/>
  <c r="B13096" i="4"/>
  <c r="B19639" i="4"/>
  <c r="B19640" i="4"/>
  <c r="B25153" i="4"/>
  <c r="B4703" i="4"/>
  <c r="B19641" i="4"/>
  <c r="B19642" i="4"/>
  <c r="B6152" i="4"/>
  <c r="B8729" i="4"/>
  <c r="B25154" i="4"/>
  <c r="B1242" i="4"/>
  <c r="B1243" i="4"/>
  <c r="B1244" i="4"/>
  <c r="B8019" i="4"/>
  <c r="B25155" i="4"/>
  <c r="B8020" i="4"/>
  <c r="B4704" i="4"/>
  <c r="B25156" i="4"/>
  <c r="B19643" i="4"/>
  <c r="B4705" i="4"/>
  <c r="B10609" i="4"/>
  <c r="B12675" i="4"/>
  <c r="B12845" i="4"/>
  <c r="B8730" i="4"/>
  <c r="B25157" i="4"/>
  <c r="B8731" i="4"/>
  <c r="B8732" i="4"/>
  <c r="B10610" i="4"/>
  <c r="B13537" i="4"/>
  <c r="B25158" i="4"/>
  <c r="B25159" i="4"/>
  <c r="B10611" i="4"/>
  <c r="B1245" i="4"/>
  <c r="B25160" i="4"/>
  <c r="B1246" i="4"/>
  <c r="B1247" i="4"/>
  <c r="B1248" i="4"/>
  <c r="B12846" i="4"/>
  <c r="B4706" i="4"/>
  <c r="B25161" i="4"/>
  <c r="B2609" i="4"/>
  <c r="B2610" i="4"/>
  <c r="B10612" i="4"/>
  <c r="B8021" i="4"/>
  <c r="B8022" i="4"/>
  <c r="B6907" i="4"/>
  <c r="B13538" i="4"/>
  <c r="B5563" i="4"/>
  <c r="B12676" i="4"/>
  <c r="B8733" i="4"/>
  <c r="B10613" i="4"/>
  <c r="B12677" i="4"/>
  <c r="B9148" i="4"/>
  <c r="B10614" i="4"/>
  <c r="B16468" i="4"/>
  <c r="B8023" i="4"/>
  <c r="B25162" i="4"/>
  <c r="B12678" i="4"/>
  <c r="B12679" i="4"/>
  <c r="B25163" i="4"/>
  <c r="B17338" i="4"/>
  <c r="B4707" i="4"/>
  <c r="B25164" i="4"/>
  <c r="B25165" i="4"/>
  <c r="B25166" i="4"/>
  <c r="B25167" i="4"/>
  <c r="B25168" i="4"/>
  <c r="B25169" i="4"/>
  <c r="B5564" i="4"/>
  <c r="B25170" i="4"/>
  <c r="B5565" i="4"/>
  <c r="B8024" i="4"/>
  <c r="B25171" i="4"/>
  <c r="B25172" i="4"/>
  <c r="B25173" i="4"/>
  <c r="B25174" i="4"/>
  <c r="B25175" i="4"/>
  <c r="B12102" i="4"/>
  <c r="B8025" i="4"/>
  <c r="B8026" i="4"/>
  <c r="B25176" i="4"/>
  <c r="B25177" i="4"/>
  <c r="B6908" i="4"/>
  <c r="B25178" i="4"/>
  <c r="B25179" i="4"/>
  <c r="B25180" i="4"/>
  <c r="B25181" i="4"/>
  <c r="B25182" i="4"/>
  <c r="B25183" i="4"/>
  <c r="B25184" i="4"/>
  <c r="B25185" i="4"/>
  <c r="B25186" i="4"/>
  <c r="B25187" i="4"/>
  <c r="B25188" i="4"/>
  <c r="B25189" i="4"/>
  <c r="B25190" i="4"/>
  <c r="B25191" i="4"/>
  <c r="B25192" i="4"/>
  <c r="B25193" i="4"/>
  <c r="B25194" i="4"/>
  <c r="B25195" i="4"/>
  <c r="B25196" i="4"/>
  <c r="B25197" i="4"/>
  <c r="B25198" i="4"/>
  <c r="B25199" i="4"/>
  <c r="B25200" i="4"/>
  <c r="B25201" i="4"/>
  <c r="B25202" i="4"/>
  <c r="B25203" i="4"/>
  <c r="B25204" i="4"/>
  <c r="B10940" i="4"/>
  <c r="B4708" i="4"/>
  <c r="B8734" i="4"/>
  <c r="B4709" i="4"/>
  <c r="B5879" i="4"/>
  <c r="B5880" i="4"/>
  <c r="B4710" i="4"/>
  <c r="B4711" i="4"/>
  <c r="B12680" i="4"/>
  <c r="B1824" i="4"/>
  <c r="B4712" i="4"/>
  <c r="B5350" i="4"/>
  <c r="B10941" i="4"/>
  <c r="B10942" i="4"/>
  <c r="B25205" i="4"/>
  <c r="B25206" i="4"/>
  <c r="B12103" i="4"/>
  <c r="B1825" i="4"/>
  <c r="B15155" i="4"/>
  <c r="B20624" i="4"/>
  <c r="B16469" i="4"/>
  <c r="B25207" i="4"/>
  <c r="B15156" i="4"/>
  <c r="B17982" i="4"/>
  <c r="B25208" i="4"/>
  <c r="B4713" i="4"/>
  <c r="B436" i="4"/>
  <c r="B10615" i="4"/>
  <c r="B15157" i="4"/>
  <c r="B1826" i="4"/>
  <c r="B25209" i="4"/>
  <c r="B25210" i="4"/>
  <c r="B12104" i="4"/>
  <c r="B17339" i="4"/>
  <c r="B17340" i="4"/>
  <c r="B17341" i="4"/>
  <c r="B17342" i="4"/>
  <c r="B17343" i="4"/>
  <c r="B17344" i="4"/>
  <c r="B1249" i="4"/>
  <c r="B1250" i="4"/>
  <c r="B12681" i="4"/>
  <c r="B10943" i="4"/>
  <c r="B10944" i="4"/>
  <c r="B10616" i="4"/>
  <c r="B6909" i="4"/>
  <c r="B6405" i="4"/>
  <c r="B4714" i="4"/>
  <c r="B13628" i="4"/>
  <c r="B25211" i="4"/>
  <c r="B1827" i="4"/>
  <c r="B19644" i="4"/>
  <c r="B4715" i="4"/>
  <c r="B4716" i="4"/>
  <c r="B4717" i="4"/>
  <c r="B4718" i="4"/>
  <c r="B1251" i="4"/>
  <c r="B1252" i="4"/>
  <c r="B1253" i="4"/>
  <c r="B5566" i="4"/>
  <c r="B13307" i="4"/>
  <c r="B4719" i="4"/>
  <c r="B6153" i="4"/>
  <c r="B6154" i="4"/>
  <c r="B4720" i="4"/>
  <c r="B25212" i="4"/>
  <c r="B4721" i="4"/>
  <c r="B17833" i="4"/>
  <c r="B19645" i="4"/>
  <c r="B6406" i="4"/>
  <c r="B8027" i="4"/>
  <c r="B8028" i="4"/>
  <c r="B8029" i="4"/>
  <c r="B12682" i="4"/>
  <c r="B10617" i="4"/>
  <c r="B8735" i="4"/>
  <c r="B25213" i="4"/>
  <c r="B17983" i="4"/>
  <c r="B25214" i="4"/>
  <c r="B25215" i="4"/>
  <c r="B1254" i="4"/>
  <c r="B25216" i="4"/>
  <c r="B10618" i="4"/>
  <c r="B8736" i="4"/>
  <c r="B4722" i="4"/>
  <c r="B1255" i="4"/>
  <c r="B25217" i="4"/>
  <c r="B437" i="4"/>
  <c r="B438" i="4"/>
  <c r="B439" i="4"/>
  <c r="B10619" i="4"/>
  <c r="B6407" i="4"/>
  <c r="B25218" i="4"/>
  <c r="B6910" i="4"/>
  <c r="B4723" i="4"/>
  <c r="B4724" i="4"/>
  <c r="B4725" i="4"/>
  <c r="B10620" i="4"/>
  <c r="B4726" i="4"/>
  <c r="B25219" i="4"/>
  <c r="B19646" i="4"/>
  <c r="B19647" i="4"/>
  <c r="B1256" i="4"/>
  <c r="B4727" i="4"/>
  <c r="B4728" i="4"/>
  <c r="B10621" i="4"/>
  <c r="B25220" i="4"/>
  <c r="B25221" i="4"/>
  <c r="B1969" i="4"/>
  <c r="B25222" i="4"/>
  <c r="B1257" i="4"/>
  <c r="B1258" i="4"/>
  <c r="B1259" i="4"/>
  <c r="B1260" i="4"/>
  <c r="B25223" i="4"/>
  <c r="B25224" i="4"/>
  <c r="B17659" i="4"/>
  <c r="B4729" i="4"/>
  <c r="B8737" i="4"/>
  <c r="B8030" i="4"/>
  <c r="B9149" i="4"/>
  <c r="B25225" i="4"/>
  <c r="B10622" i="4"/>
  <c r="B15158" i="4"/>
  <c r="B8031" i="4"/>
  <c r="B25226" i="4"/>
  <c r="B12105" i="4"/>
  <c r="B12106" i="4"/>
  <c r="B15159" i="4"/>
  <c r="B18057" i="4"/>
  <c r="B18058" i="4"/>
  <c r="B1828" i="4"/>
  <c r="B6911" i="4"/>
  <c r="B4730" i="4"/>
  <c r="B25227" i="4"/>
  <c r="B17984" i="4"/>
  <c r="B6912" i="4"/>
  <c r="B13097" i="4"/>
  <c r="B4731" i="4"/>
  <c r="B8032" i="4"/>
  <c r="B12683" i="4"/>
  <c r="B25228" i="4"/>
  <c r="B6155" i="4"/>
  <c r="B6156" i="4"/>
  <c r="B25229" i="4"/>
  <c r="B6157" i="4"/>
  <c r="B6158" i="4"/>
  <c r="B12107" i="4"/>
  <c r="B4732" i="4"/>
  <c r="B25230" i="4"/>
  <c r="B15160" i="4"/>
  <c r="B4733" i="4"/>
  <c r="B25231" i="4"/>
  <c r="B5743" i="4"/>
  <c r="B19648" i="4"/>
  <c r="B19649" i="4"/>
  <c r="B1261" i="4"/>
  <c r="B25232" i="4"/>
  <c r="B16814" i="4"/>
  <c r="B25233" i="4"/>
  <c r="B16815" i="4"/>
  <c r="B25234" i="4"/>
  <c r="B16816" i="4"/>
  <c r="B16817" i="4"/>
  <c r="B16818" i="4"/>
  <c r="B16819" i="4"/>
  <c r="B16820" i="4"/>
  <c r="B16821" i="4"/>
  <c r="B16822" i="4"/>
  <c r="B16823" i="4"/>
  <c r="B16824" i="4"/>
  <c r="B5881" i="4"/>
  <c r="B25235" i="4"/>
  <c r="B1262" i="4"/>
  <c r="B5567" i="4"/>
  <c r="B8033" i="4"/>
  <c r="B8034" i="4"/>
  <c r="B2611" i="4"/>
  <c r="B2612" i="4"/>
  <c r="B25236" i="4"/>
  <c r="B25237" i="4"/>
  <c r="B8035" i="4"/>
  <c r="B25238" i="4"/>
  <c r="B5351" i="4"/>
  <c r="B10945" i="4"/>
  <c r="B8738" i="4"/>
  <c r="B25239" i="4"/>
  <c r="B25240" i="4"/>
  <c r="B25241" i="4"/>
  <c r="B10623" i="4"/>
  <c r="B4734" i="4"/>
  <c r="B10624" i="4"/>
  <c r="B4735" i="4"/>
  <c r="B25242" i="4"/>
  <c r="B16470" i="4"/>
  <c r="B1263" i="4"/>
  <c r="B1264" i="4"/>
  <c r="B1265" i="4"/>
  <c r="B8036" i="4"/>
  <c r="B17219" i="4"/>
  <c r="B2613" i="4"/>
  <c r="B2614" i="4"/>
  <c r="B25243" i="4"/>
  <c r="B13308" i="4"/>
  <c r="B25244" i="4"/>
  <c r="B4736" i="4"/>
  <c r="B1266" i="4"/>
  <c r="B1267" i="4"/>
  <c r="B20625" i="4"/>
  <c r="B25245" i="4"/>
  <c r="B25246" i="4"/>
  <c r="B25247" i="4"/>
  <c r="B12108" i="4"/>
  <c r="B6159" i="4"/>
  <c r="B9150" i="4"/>
  <c r="B9151" i="4"/>
  <c r="B8739" i="4"/>
  <c r="B15161" i="4"/>
  <c r="B25248" i="4"/>
  <c r="B25249" i="4"/>
  <c r="B8430" i="4"/>
  <c r="B8740" i="4"/>
  <c r="B17220" i="4"/>
  <c r="B25250" i="4"/>
  <c r="B6913" i="4"/>
  <c r="B4737" i="4"/>
  <c r="B25251" i="4"/>
  <c r="B1829" i="4"/>
  <c r="B8037" i="4"/>
  <c r="B6160" i="4"/>
  <c r="B6161" i="4"/>
  <c r="B6162" i="4"/>
  <c r="B10625" i="4"/>
  <c r="B4738" i="4"/>
  <c r="B4739" i="4"/>
  <c r="B1268" i="4"/>
  <c r="B12109" i="4"/>
  <c r="B25252" i="4"/>
  <c r="B25253" i="4"/>
  <c r="B25254" i="4"/>
  <c r="B25255" i="4"/>
  <c r="B4740" i="4"/>
  <c r="B8741" i="4"/>
  <c r="B25256" i="4"/>
  <c r="B10626" i="4"/>
  <c r="B25257" i="4"/>
  <c r="B4741" i="4"/>
  <c r="B25258" i="4"/>
  <c r="B15557" i="4"/>
  <c r="B6914" i="4"/>
  <c r="B6915" i="4"/>
  <c r="B6916" i="4"/>
  <c r="B1830" i="4"/>
  <c r="B4742" i="4"/>
  <c r="B4743" i="4"/>
  <c r="B4744" i="4"/>
  <c r="B4745" i="4"/>
  <c r="B4746" i="4"/>
  <c r="B15162" i="4"/>
  <c r="B10627" i="4"/>
  <c r="B10628" i="4"/>
  <c r="B12684" i="4"/>
  <c r="B25259" i="4"/>
  <c r="B25260" i="4"/>
  <c r="B16471" i="4"/>
  <c r="B10946" i="4"/>
  <c r="B10947" i="4"/>
  <c r="B10948" i="4"/>
  <c r="B2615" i="4"/>
  <c r="B2616" i="4"/>
  <c r="B25261" i="4"/>
  <c r="B17834" i="4"/>
  <c r="B12110" i="4"/>
  <c r="B12111" i="4"/>
  <c r="B10629" i="4"/>
  <c r="B4747" i="4"/>
  <c r="B12112" i="4"/>
  <c r="B25262" i="4"/>
  <c r="B4748" i="4"/>
  <c r="B8038" i="4"/>
  <c r="B8039" i="4"/>
  <c r="B8040" i="4"/>
  <c r="B25263" i="4"/>
  <c r="B15163" i="4"/>
  <c r="B1269" i="4"/>
  <c r="B25264" i="4"/>
  <c r="B25265" i="4"/>
  <c r="B12113" i="4"/>
  <c r="B25266" i="4"/>
  <c r="B1270" i="4"/>
  <c r="B17660" i="4"/>
  <c r="B8742" i="4"/>
  <c r="B1271" i="4"/>
  <c r="B8743" i="4"/>
  <c r="B25267" i="4"/>
  <c r="B16825" i="4"/>
  <c r="B15619" i="4"/>
  <c r="B6917" i="4"/>
  <c r="B25268" i="4"/>
  <c r="B25269" i="4"/>
  <c r="B25270" i="4"/>
  <c r="B19650" i="4"/>
  <c r="B19651" i="4"/>
  <c r="B19652" i="4"/>
  <c r="B25271" i="4"/>
  <c r="B19653" i="4"/>
  <c r="B19654" i="4"/>
  <c r="B25272" i="4"/>
  <c r="B25273" i="4"/>
  <c r="B19655" i="4"/>
  <c r="B25274" i="4"/>
  <c r="B19656" i="4"/>
  <c r="B25275" i="4"/>
  <c r="B25276" i="4"/>
  <c r="B19657" i="4"/>
  <c r="B25277" i="4"/>
  <c r="B25278" i="4"/>
  <c r="B1904" i="4"/>
  <c r="B4749" i="4"/>
  <c r="B4750" i="4"/>
  <c r="B4751" i="4"/>
  <c r="B25279" i="4"/>
  <c r="B17985" i="4"/>
  <c r="B4752" i="4"/>
  <c r="B4753" i="4"/>
  <c r="B8744" i="4"/>
  <c r="B4754" i="4"/>
  <c r="B4755" i="4"/>
  <c r="B17345" i="4"/>
  <c r="B25280" i="4"/>
  <c r="B25281" i="4"/>
  <c r="B19658" i="4"/>
  <c r="B25282" i="4"/>
  <c r="B4756" i="4"/>
  <c r="B4757" i="4"/>
  <c r="B6163" i="4"/>
  <c r="B4758" i="4"/>
  <c r="B4759" i="4"/>
  <c r="B25283" i="4"/>
  <c r="B25284" i="4"/>
  <c r="B25285" i="4"/>
  <c r="B4760" i="4"/>
  <c r="B4761" i="4"/>
  <c r="B19659" i="4"/>
  <c r="B25286" i="4"/>
  <c r="B19660" i="4"/>
  <c r="B19661" i="4"/>
  <c r="B25287" i="4"/>
  <c r="B25288" i="4"/>
  <c r="B16826" i="4"/>
  <c r="B25289" i="4"/>
  <c r="B16827" i="4"/>
  <c r="B4762" i="4"/>
  <c r="B15164" i="4"/>
  <c r="B10630" i="4"/>
  <c r="B15165" i="4"/>
  <c r="B13539" i="4"/>
  <c r="B9152" i="4"/>
  <c r="B25290" i="4"/>
  <c r="B13629" i="4"/>
  <c r="B4763" i="4"/>
  <c r="B13309" i="4"/>
  <c r="B8041" i="4"/>
  <c r="B8042" i="4"/>
  <c r="B19662" i="4"/>
  <c r="B19663" i="4"/>
  <c r="B19664" i="4"/>
  <c r="B19665" i="4"/>
  <c r="B25291" i="4"/>
  <c r="B19666" i="4"/>
  <c r="B25292" i="4"/>
  <c r="B19667" i="4"/>
  <c r="B25293" i="4"/>
  <c r="B19668" i="4"/>
  <c r="B25294" i="4"/>
  <c r="B19669" i="4"/>
  <c r="B19670" i="4"/>
  <c r="B19671" i="4"/>
  <c r="B19672" i="4"/>
  <c r="B19673" i="4"/>
  <c r="B19674" i="4"/>
  <c r="B19675" i="4"/>
  <c r="B19676" i="4"/>
  <c r="B25295" i="4"/>
  <c r="B25296" i="4"/>
  <c r="B25297" i="4"/>
  <c r="B19677" i="4"/>
  <c r="B19678" i="4"/>
  <c r="B19679" i="4"/>
  <c r="B19680" i="4"/>
  <c r="B25298" i="4"/>
  <c r="B19681" i="4"/>
  <c r="B19682" i="4"/>
  <c r="B19683" i="4"/>
  <c r="B4764" i="4"/>
  <c r="B25299" i="4"/>
  <c r="B10631" i="4"/>
  <c r="B4765" i="4"/>
  <c r="B10632" i="4"/>
  <c r="B1272" i="4"/>
  <c r="B1273" i="4"/>
  <c r="B25300" i="4"/>
  <c r="B25301" i="4"/>
  <c r="B25302" i="4"/>
  <c r="B8043" i="4"/>
  <c r="B8044" i="4"/>
  <c r="B8045" i="4"/>
  <c r="B2617" i="4"/>
  <c r="B2618" i="4"/>
  <c r="B25303" i="4"/>
  <c r="B1274" i="4"/>
  <c r="B19684" i="4"/>
  <c r="B19685" i="4"/>
  <c r="B19686" i="4"/>
  <c r="B19687" i="4"/>
  <c r="B19688" i="4"/>
  <c r="B19689" i="4"/>
  <c r="B19690" i="4"/>
  <c r="B19691" i="4"/>
  <c r="B19692" i="4"/>
  <c r="B19693" i="4"/>
  <c r="B19694" i="4"/>
  <c r="B25304" i="4"/>
  <c r="B4766" i="4"/>
  <c r="B6164" i="4"/>
  <c r="B6918" i="4"/>
  <c r="B4767" i="4"/>
  <c r="B6602" i="4"/>
  <c r="B10633" i="4"/>
  <c r="B12266" i="4"/>
  <c r="B19695" i="4"/>
  <c r="B9153" i="4"/>
  <c r="B9154" i="4"/>
  <c r="B9155" i="4"/>
  <c r="B10634" i="4"/>
  <c r="B17835" i="4"/>
  <c r="B25305" i="4"/>
  <c r="B5568" i="4"/>
  <c r="B5569" i="4"/>
  <c r="B25306" i="4"/>
  <c r="B25307" i="4"/>
  <c r="B10949" i="4"/>
  <c r="B2619" i="4"/>
  <c r="B2620" i="4"/>
  <c r="B25308" i="4"/>
  <c r="B2621" i="4"/>
  <c r="B2622" i="4"/>
  <c r="B20626" i="4"/>
  <c r="B4768" i="4"/>
  <c r="B12274" i="4"/>
  <c r="B12275" i="4"/>
  <c r="B12114" i="4"/>
  <c r="B13540" i="4"/>
  <c r="B17346" i="4"/>
  <c r="B25309" i="4"/>
  <c r="B8046" i="4"/>
  <c r="B6919" i="4"/>
  <c r="B25310" i="4"/>
  <c r="B25311" i="4"/>
  <c r="B25312" i="4"/>
  <c r="B4769" i="4"/>
  <c r="B4770" i="4"/>
  <c r="B4771" i="4"/>
  <c r="B1275" i="4"/>
  <c r="B4772" i="4"/>
  <c r="B4773" i="4"/>
  <c r="B2476" i="4"/>
  <c r="B6165" i="4"/>
  <c r="B25313" i="4"/>
  <c r="B6920" i="4"/>
  <c r="B25314" i="4"/>
  <c r="B6921" i="4"/>
  <c r="B2441" i="4"/>
  <c r="B12685" i="4"/>
  <c r="B1970" i="4"/>
  <c r="B1831" i="4"/>
  <c r="B12115" i="4"/>
  <c r="B12116" i="4"/>
  <c r="B8047" i="4"/>
  <c r="B6408" i="4"/>
  <c r="B1276" i="4"/>
  <c r="B17600" i="4"/>
  <c r="B25315" i="4"/>
  <c r="B25316" i="4"/>
  <c r="B16472" i="4"/>
  <c r="B4774" i="4"/>
  <c r="B15166" i="4"/>
  <c r="B17986" i="4"/>
  <c r="B15167" i="4"/>
  <c r="B4775" i="4"/>
  <c r="B8048" i="4"/>
  <c r="B25317" i="4"/>
  <c r="B6922" i="4"/>
  <c r="B8745" i="4"/>
  <c r="B8296" i="4"/>
  <c r="B8746" i="4"/>
  <c r="B25318" i="4"/>
  <c r="B25319" i="4"/>
  <c r="B12686" i="4"/>
  <c r="B25320" i="4"/>
  <c r="B15168" i="4"/>
  <c r="B5352" i="4"/>
  <c r="B5353" i="4"/>
  <c r="B13541" i="4"/>
  <c r="B12687" i="4"/>
  <c r="B12688" i="4"/>
  <c r="B13542" i="4"/>
  <c r="B149" i="4"/>
  <c r="B16473" i="4"/>
  <c r="B8747" i="4"/>
  <c r="B8049" i="4"/>
  <c r="B16474" i="4"/>
  <c r="B5570" i="4"/>
  <c r="B10635" i="4"/>
  <c r="B10950" i="4"/>
  <c r="B1832" i="4"/>
  <c r="B8050" i="4"/>
  <c r="B13310" i="4"/>
  <c r="B13311" i="4"/>
  <c r="B25321" i="4"/>
  <c r="B8051" i="4"/>
  <c r="B13215" i="4"/>
  <c r="B13216" i="4"/>
  <c r="B13543" i="4"/>
  <c r="B4776" i="4"/>
  <c r="B6923" i="4"/>
  <c r="B13544" i="4"/>
  <c r="B13545" i="4"/>
  <c r="B25322" i="4"/>
  <c r="B25323" i="4"/>
  <c r="B8052" i="4"/>
  <c r="B8053" i="4"/>
  <c r="B10636" i="4"/>
  <c r="B25324" i="4"/>
  <c r="B12689" i="4"/>
  <c r="B6924" i="4"/>
  <c r="B6925" i="4"/>
  <c r="B25325" i="4"/>
  <c r="B4777" i="4"/>
  <c r="B10637" i="4"/>
  <c r="B19696" i="4"/>
  <c r="B4778" i="4"/>
  <c r="B4779" i="4"/>
  <c r="B8748" i="4"/>
  <c r="B5571" i="4"/>
  <c r="B25326" i="4"/>
  <c r="B10951" i="4"/>
  <c r="B19697" i="4"/>
  <c r="B19698" i="4"/>
  <c r="B19699" i="4"/>
  <c r="B19700" i="4"/>
  <c r="B19701" i="4"/>
  <c r="B19702" i="4"/>
  <c r="B4780" i="4"/>
  <c r="B4781" i="4"/>
  <c r="B25327" i="4"/>
  <c r="B8054" i="4"/>
  <c r="B20627" i="4"/>
  <c r="B20628" i="4"/>
  <c r="B20629" i="4"/>
  <c r="B440" i="4"/>
  <c r="B441" i="4"/>
  <c r="B13546" i="4"/>
  <c r="B6603" i="4"/>
  <c r="B25328" i="4"/>
  <c r="B20702" i="4"/>
  <c r="B10638" i="4"/>
  <c r="B15169" i="4"/>
  <c r="B25329" i="4"/>
  <c r="B10639" i="4"/>
  <c r="B12117" i="4"/>
  <c r="B15558" i="4"/>
  <c r="B4782" i="4"/>
  <c r="B169" i="4"/>
  <c r="B1905" i="4"/>
  <c r="B25330" i="4"/>
  <c r="B16475" i="4"/>
  <c r="B16476" i="4"/>
  <c r="B16477" i="4"/>
  <c r="B16478" i="4"/>
  <c r="B442" i="4"/>
  <c r="B25331" i="4"/>
  <c r="B25332" i="4"/>
  <c r="B25333" i="4"/>
  <c r="B25334" i="4"/>
  <c r="B25335" i="4"/>
  <c r="B4783" i="4"/>
  <c r="B17836" i="4"/>
  <c r="B10640" i="4"/>
  <c r="B6926" i="4"/>
  <c r="B6927" i="4"/>
  <c r="B6928" i="4"/>
  <c r="B4784" i="4"/>
  <c r="B10641" i="4"/>
  <c r="B10642" i="4"/>
  <c r="B4785" i="4"/>
  <c r="B25336" i="4"/>
  <c r="B10643" i="4"/>
  <c r="B10644" i="4"/>
  <c r="B25337" i="4"/>
  <c r="B10645" i="4"/>
  <c r="B25338" i="4"/>
  <c r="B19703" i="4"/>
  <c r="B19704" i="4"/>
  <c r="B19705" i="4"/>
  <c r="B19706" i="4"/>
  <c r="B25339" i="4"/>
  <c r="B19707" i="4"/>
  <c r="B19708" i="4"/>
  <c r="B19709" i="4"/>
  <c r="B19710" i="4"/>
  <c r="B25340" i="4"/>
  <c r="B19711" i="4"/>
  <c r="B19712" i="4"/>
  <c r="B19713" i="4"/>
  <c r="B19714" i="4"/>
  <c r="B19715" i="4"/>
  <c r="B4786" i="4"/>
  <c r="B12267" i="4"/>
  <c r="B25341" i="4"/>
  <c r="B10646" i="4"/>
  <c r="B4787" i="4"/>
  <c r="B6604" i="4"/>
  <c r="B12268" i="4"/>
  <c r="B1833" i="4"/>
  <c r="B13098" i="4"/>
  <c r="B4788" i="4"/>
  <c r="B4789" i="4"/>
  <c r="B19716" i="4"/>
  <c r="B4790" i="4"/>
  <c r="B17837" i="4"/>
  <c r="B5776" i="4"/>
  <c r="B5777" i="4"/>
  <c r="B5778" i="4"/>
  <c r="B5779" i="4"/>
  <c r="B4791" i="4"/>
  <c r="B8749" i="4"/>
  <c r="B25342" i="4"/>
  <c r="B4792" i="4"/>
  <c r="B25343" i="4"/>
  <c r="B10647" i="4"/>
  <c r="B10648" i="4"/>
  <c r="B13547" i="4"/>
  <c r="B12118" i="4"/>
  <c r="B4793" i="4"/>
  <c r="B6605" i="4"/>
  <c r="B13548" i="4"/>
  <c r="B10649" i="4"/>
  <c r="B15170" i="4"/>
  <c r="B1277" i="4"/>
  <c r="B5572" i="4"/>
  <c r="B5573" i="4"/>
  <c r="B25344" i="4"/>
  <c r="B25345" i="4"/>
  <c r="B25346" i="4"/>
  <c r="B19717" i="4"/>
  <c r="B6409" i="4"/>
  <c r="B12119" i="4"/>
  <c r="B10650" i="4"/>
  <c r="B1278" i="4"/>
  <c r="B6929" i="4"/>
  <c r="B6930" i="4"/>
  <c r="B25347" i="4"/>
  <c r="B25348" i="4"/>
  <c r="B17838" i="4"/>
  <c r="B19718" i="4"/>
  <c r="B6166" i="4"/>
  <c r="B25349" i="4"/>
  <c r="B25350" i="4"/>
  <c r="B10651" i="4"/>
  <c r="B1684" i="4"/>
  <c r="B12120" i="4"/>
  <c r="B25351" i="4"/>
  <c r="B8750" i="4"/>
  <c r="B25352" i="4"/>
  <c r="B25353" i="4"/>
  <c r="B6931" i="4"/>
  <c r="B15171" i="4"/>
  <c r="B2623" i="4"/>
  <c r="B5882" i="4"/>
  <c r="B19719" i="4"/>
  <c r="B19720" i="4"/>
  <c r="B19721" i="4"/>
  <c r="B15172" i="4"/>
  <c r="B1834" i="4"/>
  <c r="B10652" i="4"/>
  <c r="B17347" i="4"/>
  <c r="B4794" i="4"/>
  <c r="B15173" i="4"/>
  <c r="B4795" i="4"/>
  <c r="B10653" i="4"/>
  <c r="B1279" i="4"/>
  <c r="B25354" i="4"/>
  <c r="B8751" i="4"/>
  <c r="B20630" i="4"/>
  <c r="B15174" i="4"/>
  <c r="B6167" i="4"/>
  <c r="B15175" i="4"/>
  <c r="B25355" i="4"/>
  <c r="B10654" i="4"/>
  <c r="B25356" i="4"/>
  <c r="B25357" i="4"/>
  <c r="B1280" i="4"/>
  <c r="B15176" i="4"/>
  <c r="B6932" i="4"/>
  <c r="B6933" i="4"/>
  <c r="B9156" i="4"/>
  <c r="B9157" i="4"/>
  <c r="B1835" i="4"/>
  <c r="B6934" i="4"/>
  <c r="B25358" i="4"/>
  <c r="B13099" i="4"/>
  <c r="B10655" i="4"/>
  <c r="B4796" i="4"/>
  <c r="B13549" i="4"/>
  <c r="B5744" i="4"/>
  <c r="B6168" i="4"/>
  <c r="B25359" i="4"/>
  <c r="B4797" i="4"/>
  <c r="B1281" i="4"/>
  <c r="B17221" i="4"/>
  <c r="B25360" i="4"/>
  <c r="B25361" i="4"/>
  <c r="B4798" i="4"/>
  <c r="B1282" i="4"/>
  <c r="B6935" i="4"/>
  <c r="B10656" i="4"/>
  <c r="B8752" i="4"/>
  <c r="B19722" i="4"/>
  <c r="B1283" i="4"/>
  <c r="B25362" i="4"/>
  <c r="B1836" i="4"/>
  <c r="B1837" i="4"/>
  <c r="B1284" i="4"/>
  <c r="B1285" i="4"/>
  <c r="B25363" i="4"/>
  <c r="B10657" i="4"/>
  <c r="B13100" i="4"/>
  <c r="B10658" i="4"/>
  <c r="B4799" i="4"/>
  <c r="B4800" i="4"/>
  <c r="B10659" i="4"/>
  <c r="B10660" i="4"/>
  <c r="B8753" i="4"/>
  <c r="B25364" i="4"/>
  <c r="B1286" i="4"/>
  <c r="B1287" i="4"/>
  <c r="B8055" i="4"/>
  <c r="B10661" i="4"/>
  <c r="B10662" i="4"/>
  <c r="B12907" i="4"/>
  <c r="B2442" i="4"/>
  <c r="B13217" i="4"/>
  <c r="B12690" i="4"/>
  <c r="B12691" i="4"/>
  <c r="B10663" i="4"/>
  <c r="B2624" i="4"/>
  <c r="B6606" i="4"/>
  <c r="B4801" i="4"/>
  <c r="B4802" i="4"/>
  <c r="B25365" i="4"/>
  <c r="B25366" i="4"/>
  <c r="B25367" i="4"/>
  <c r="B17987" i="4"/>
  <c r="B1971" i="4"/>
  <c r="B4803" i="4"/>
  <c r="B4804" i="4"/>
  <c r="B15177" i="4"/>
  <c r="B10664" i="4"/>
  <c r="B1838" i="4"/>
  <c r="B10665" i="4"/>
  <c r="B6936" i="4"/>
  <c r="B25368" i="4"/>
  <c r="B6937" i="4"/>
  <c r="B4805" i="4"/>
  <c r="B16828" i="4"/>
  <c r="B16829" i="4"/>
  <c r="B16830" i="4"/>
  <c r="B25369" i="4"/>
  <c r="B16831" i="4"/>
  <c r="B16832" i="4"/>
  <c r="B16833" i="4"/>
  <c r="B16834" i="4"/>
  <c r="B16835" i="4"/>
  <c r="B16836" i="4"/>
  <c r="B25370" i="4"/>
  <c r="B16837" i="4"/>
  <c r="B16838" i="4"/>
  <c r="B25371" i="4"/>
  <c r="B16839" i="4"/>
  <c r="B16840" i="4"/>
  <c r="B16841" i="4"/>
  <c r="B16842" i="4"/>
  <c r="B25372" i="4"/>
  <c r="B16843" i="4"/>
  <c r="B25373" i="4"/>
  <c r="B16844" i="4"/>
  <c r="B16845" i="4"/>
  <c r="B25374" i="4"/>
  <c r="B10666" i="4"/>
  <c r="B25375" i="4"/>
  <c r="B19723" i="4"/>
  <c r="B25376" i="4"/>
  <c r="B16846" i="4"/>
  <c r="B16847" i="4"/>
  <c r="B16848" i="4"/>
  <c r="B16849" i="4"/>
  <c r="B16850" i="4"/>
  <c r="B16851" i="4"/>
  <c r="B25377" i="4"/>
  <c r="B4186" i="4"/>
  <c r="B10295" i="4"/>
  <c r="B11957" i="4"/>
  <c r="B11958" i="4"/>
  <c r="B6293" i="4"/>
  <c r="B4187" i="4"/>
  <c r="B4188" i="4"/>
  <c r="B7767" i="4"/>
  <c r="B7768" i="4"/>
  <c r="B7769" i="4"/>
  <c r="B7770" i="4"/>
  <c r="B19391" i="4"/>
  <c r="B24011" i="4"/>
  <c r="B24012" i="4"/>
  <c r="B24013" i="4"/>
  <c r="B953" i="4"/>
  <c r="B10296" i="4"/>
  <c r="B7771" i="4"/>
  <c r="B24014" i="4"/>
  <c r="B10297" i="4"/>
  <c r="B10298" i="4"/>
  <c r="B10299" i="4"/>
  <c r="B2368" i="4"/>
  <c r="B2369" i="4"/>
  <c r="B24015" i="4"/>
  <c r="B13182" i="4"/>
  <c r="B13183" i="4"/>
  <c r="B24016" i="4"/>
  <c r="B10300" i="4"/>
  <c r="B10301" i="4"/>
  <c r="B4189" i="4"/>
  <c r="B4190" i="4"/>
  <c r="B4191" i="4"/>
  <c r="B4192" i="4"/>
  <c r="B24017" i="4"/>
  <c r="B8589" i="4"/>
  <c r="B10302" i="4"/>
  <c r="B19392" i="4"/>
  <c r="B19393" i="4"/>
  <c r="B19394" i="4"/>
  <c r="B13092" i="4"/>
  <c r="B13093" i="4"/>
  <c r="B24018" i="4"/>
  <c r="B5494" i="4"/>
  <c r="B5495" i="4"/>
  <c r="B12505" i="4"/>
  <c r="B12506" i="4"/>
  <c r="B14952" i="4"/>
  <c r="B24019" i="4"/>
  <c r="B2536" i="4"/>
  <c r="B2537" i="4"/>
  <c r="B10874" i="4"/>
  <c r="B10875" i="4"/>
  <c r="B24020" i="4"/>
  <c r="B24021" i="4"/>
  <c r="B14953" i="4"/>
  <c r="B14954" i="4"/>
  <c r="B14955" i="4"/>
  <c r="B11959" i="4"/>
  <c r="B2495" i="4"/>
  <c r="B16336" i="4"/>
  <c r="B16337" i="4"/>
  <c r="B19395" i="4"/>
  <c r="B2370" i="4"/>
  <c r="B372" i="4"/>
  <c r="B9904" i="4"/>
  <c r="B19396" i="4"/>
  <c r="B19397" i="4"/>
  <c r="B18047" i="4"/>
  <c r="B18048" i="4"/>
  <c r="B4193" i="4"/>
  <c r="B24022" i="4"/>
  <c r="B4194" i="4"/>
  <c r="B4195" i="4"/>
  <c r="B24023" i="4"/>
  <c r="B14956" i="4"/>
  <c r="B8590" i="4"/>
  <c r="B10303" i="4"/>
  <c r="B10876" i="4"/>
  <c r="B4196" i="4"/>
  <c r="B24024" i="4"/>
  <c r="B4197" i="4"/>
  <c r="B10304" i="4"/>
  <c r="B2371" i="4"/>
  <c r="B6046" i="4"/>
  <c r="B7772" i="4"/>
  <c r="B7773" i="4"/>
  <c r="B13184" i="4"/>
  <c r="B8591" i="4"/>
  <c r="B24025" i="4"/>
  <c r="B24026" i="4"/>
  <c r="B24027" i="4"/>
  <c r="B24028" i="4"/>
  <c r="B10305" i="4"/>
  <c r="B9031" i="4"/>
  <c r="B9032" i="4"/>
  <c r="B9033" i="4"/>
  <c r="B9034" i="4"/>
  <c r="B9035" i="4"/>
  <c r="B9036" i="4"/>
  <c r="B9037" i="4"/>
  <c r="B10306" i="4"/>
  <c r="B24029" i="4"/>
  <c r="B24030" i="4"/>
  <c r="B14957" i="4"/>
  <c r="B11960" i="4"/>
  <c r="B11961" i="4"/>
  <c r="B11962" i="4"/>
  <c r="B11963" i="4"/>
  <c r="B24031" i="4"/>
  <c r="B24032" i="4"/>
  <c r="B10307" i="4"/>
  <c r="B373" i="4"/>
  <c r="B374" i="4"/>
  <c r="B24033" i="4"/>
  <c r="B5327" i="4"/>
  <c r="B24034" i="4"/>
  <c r="B5496" i="4"/>
  <c r="B5497" i="4"/>
  <c r="B5498" i="4"/>
  <c r="B24035" i="4"/>
  <c r="B7774" i="4"/>
  <c r="B10308" i="4"/>
  <c r="B12507" i="4"/>
  <c r="B12508" i="4"/>
  <c r="B12509" i="4"/>
  <c r="B12510" i="4"/>
  <c r="B12511" i="4"/>
  <c r="B12512" i="4"/>
  <c r="B12513" i="4"/>
  <c r="B24036" i="4"/>
  <c r="B24037" i="4"/>
  <c r="B1895" i="4"/>
  <c r="B24038" i="4"/>
  <c r="B14958" i="4"/>
  <c r="B14959" i="4"/>
  <c r="B14960" i="4"/>
  <c r="B14961" i="4"/>
  <c r="B2538" i="4"/>
  <c r="B11964" i="4"/>
  <c r="B24039" i="4"/>
  <c r="B8592" i="4"/>
  <c r="B10309" i="4"/>
  <c r="B10310" i="4"/>
  <c r="B10311" i="4"/>
  <c r="B6047" i="4"/>
  <c r="B6048" i="4"/>
  <c r="B954" i="4"/>
  <c r="B7775" i="4"/>
  <c r="B7776" i="4"/>
  <c r="B24040" i="4"/>
  <c r="B19398" i="4"/>
  <c r="B24041" i="4"/>
  <c r="B19399" i="4"/>
  <c r="B19400" i="4"/>
  <c r="B19401" i="4"/>
  <c r="B13185" i="4"/>
  <c r="B19402" i="4"/>
  <c r="B10312" i="4"/>
  <c r="B5499" i="4"/>
  <c r="B7777" i="4"/>
  <c r="B4198" i="4"/>
  <c r="B11965" i="4"/>
  <c r="B8593" i="4"/>
  <c r="B4199" i="4"/>
  <c r="B6554" i="4"/>
  <c r="B6555" i="4"/>
  <c r="B10313" i="4"/>
  <c r="B4200" i="4"/>
  <c r="B24042" i="4"/>
  <c r="B12514" i="4"/>
  <c r="B12515" i="4"/>
  <c r="B4201" i="4"/>
  <c r="B4202" i="4"/>
  <c r="B4203" i="4"/>
  <c r="B4204" i="4"/>
  <c r="B4205" i="4"/>
  <c r="B24043" i="4"/>
  <c r="B11966" i="4"/>
  <c r="B11967" i="4"/>
  <c r="B11968" i="4"/>
  <c r="B11969" i="4"/>
  <c r="B10314" i="4"/>
  <c r="B10315" i="4"/>
  <c r="B4206" i="4"/>
  <c r="B4207" i="4"/>
  <c r="B14962" i="4"/>
  <c r="B11970" i="4"/>
  <c r="B11971" i="4"/>
  <c r="B7778" i="4"/>
  <c r="B7779" i="4"/>
  <c r="B955" i="4"/>
  <c r="B11972" i="4"/>
  <c r="B6294" i="4"/>
  <c r="B4208" i="4"/>
  <c r="B4209" i="4"/>
  <c r="B13465" i="4"/>
  <c r="B24044" i="4"/>
  <c r="B24045" i="4"/>
  <c r="B24046" i="4"/>
  <c r="B24047" i="4"/>
  <c r="B956" i="4"/>
  <c r="B957" i="4"/>
  <c r="B958" i="4"/>
  <c r="B959" i="4"/>
  <c r="B20700" i="4"/>
  <c r="B24048" i="4"/>
  <c r="B24049" i="4"/>
  <c r="B24050" i="4"/>
  <c r="B7780" i="4"/>
  <c r="B7781" i="4"/>
  <c r="B24051" i="4"/>
  <c r="B24052" i="4"/>
  <c r="B24053" i="4"/>
  <c r="B24054" i="4"/>
  <c r="B24055" i="4"/>
  <c r="B24056" i="4"/>
  <c r="B24057" i="4"/>
  <c r="B10316" i="4"/>
  <c r="B6049" i="4"/>
  <c r="B2372" i="4"/>
  <c r="B24058" i="4"/>
  <c r="B2373" i="4"/>
  <c r="B2374" i="4"/>
  <c r="B24059" i="4"/>
  <c r="B960" i="4"/>
  <c r="B961" i="4"/>
  <c r="B962" i="4"/>
  <c r="B963" i="4"/>
  <c r="B964" i="4"/>
  <c r="B965" i="4"/>
  <c r="B24060" i="4"/>
  <c r="B2375" i="4"/>
  <c r="B17775" i="4"/>
  <c r="B17776" i="4"/>
  <c r="B17777" i="4"/>
  <c r="B6050" i="4"/>
  <c r="B6051" i="4"/>
  <c r="B19403" i="4"/>
  <c r="B5236" i="4"/>
  <c r="B19404" i="4"/>
  <c r="B10317" i="4"/>
  <c r="B4210" i="4"/>
  <c r="B24061" i="4"/>
  <c r="B12889" i="4"/>
  <c r="B12890" i="4"/>
  <c r="B10318" i="4"/>
  <c r="B24062" i="4"/>
  <c r="B14963" i="4"/>
  <c r="B12516" i="4"/>
  <c r="B10319" i="4"/>
  <c r="B6052" i="4"/>
  <c r="B14964" i="4"/>
  <c r="B10320" i="4"/>
  <c r="B10321" i="4"/>
  <c r="B4211" i="4"/>
  <c r="B14965" i="4"/>
  <c r="B6053" i="4"/>
  <c r="B2539" i="4"/>
  <c r="B10322" i="4"/>
  <c r="B24063" i="4"/>
  <c r="B10323" i="4"/>
  <c r="B15583" i="4"/>
  <c r="B1766" i="4"/>
  <c r="B4212" i="4"/>
  <c r="B1767" i="4"/>
  <c r="B24064" i="4"/>
  <c r="B14966" i="4"/>
  <c r="B24065" i="4"/>
  <c r="B24066" i="4"/>
  <c r="B24067" i="4"/>
  <c r="B24068" i="4"/>
  <c r="B16338" i="4"/>
  <c r="B24069" i="4"/>
  <c r="B24070" i="4"/>
  <c r="B7782" i="4"/>
  <c r="B12517" i="4"/>
  <c r="B24071" i="4"/>
  <c r="B7783" i="4"/>
  <c r="B7784" i="4"/>
  <c r="B24072" i="4"/>
  <c r="B24073" i="4"/>
  <c r="B11973" i="4"/>
  <c r="B11974" i="4"/>
  <c r="B4213" i="4"/>
  <c r="B4214" i="4"/>
  <c r="B24074" i="4"/>
  <c r="B9038" i="4"/>
  <c r="B9039" i="4"/>
  <c r="B24075" i="4"/>
  <c r="B24076" i="4"/>
  <c r="B4215" i="4"/>
  <c r="B1768" i="4"/>
  <c r="B4216" i="4"/>
  <c r="B24077" i="4"/>
  <c r="B4217" i="4"/>
  <c r="B6295" i="4"/>
  <c r="B24078" i="4"/>
  <c r="B4218" i="4"/>
  <c r="B12891" i="4"/>
  <c r="B12892" i="4"/>
  <c r="B12518" i="4"/>
  <c r="B12519" i="4"/>
  <c r="B11975" i="4"/>
  <c r="B17778" i="4"/>
  <c r="B13608" i="4"/>
  <c r="B24079" i="4"/>
  <c r="B7785" i="4"/>
  <c r="B13609" i="4"/>
  <c r="B13610" i="4"/>
  <c r="B13611" i="4"/>
  <c r="B8465" i="4"/>
  <c r="B19405" i="4"/>
  <c r="B24080" i="4"/>
  <c r="B24081" i="4"/>
  <c r="B24082" i="4"/>
  <c r="B24083" i="4"/>
  <c r="B24084" i="4"/>
  <c r="B24085" i="4"/>
  <c r="B17779" i="4"/>
  <c r="B24086" i="4"/>
  <c r="B13094" i="4"/>
  <c r="B24087" i="4"/>
  <c r="B24088" i="4"/>
  <c r="B24089" i="4"/>
  <c r="B24090" i="4"/>
  <c r="B8594" i="4"/>
  <c r="B4219" i="4"/>
  <c r="B966" i="4"/>
  <c r="B24091" i="4"/>
  <c r="B6054" i="4"/>
  <c r="B6055" i="4"/>
  <c r="B6056" i="4"/>
  <c r="B6057" i="4"/>
  <c r="B6058" i="4"/>
  <c r="B6059" i="4"/>
  <c r="B6060" i="4"/>
  <c r="B4220" i="4"/>
  <c r="B11976" i="4"/>
  <c r="B375" i="4"/>
  <c r="B376" i="4"/>
  <c r="B377" i="4"/>
  <c r="B378" i="4"/>
  <c r="B379" i="4"/>
  <c r="B16339" i="4"/>
  <c r="B16340" i="4"/>
  <c r="B16341" i="4"/>
  <c r="B16342" i="4"/>
  <c r="B24092" i="4"/>
  <c r="B24093" i="4"/>
  <c r="B24094" i="4"/>
  <c r="B11054" i="4"/>
  <c r="B10324" i="4"/>
  <c r="B10325" i="4"/>
  <c r="B14967" i="4"/>
  <c r="B5764" i="4"/>
  <c r="B24095" i="4"/>
  <c r="B4221" i="4"/>
  <c r="B24096" i="4"/>
  <c r="B14968" i="4"/>
  <c r="B1963" i="4"/>
  <c r="B4222" i="4"/>
  <c r="B6296" i="4"/>
  <c r="B6556" i="4"/>
  <c r="B967" i="4"/>
  <c r="B24097" i="4"/>
  <c r="B4223" i="4"/>
  <c r="B380" i="4"/>
  <c r="B8595" i="4"/>
  <c r="B12520" i="4"/>
  <c r="B12521" i="4"/>
  <c r="B12522" i="4"/>
  <c r="B24098" i="4"/>
  <c r="B24099" i="4"/>
  <c r="B24100" i="4"/>
  <c r="B14969" i="4"/>
  <c r="B20578" i="4"/>
  <c r="B20579" i="4"/>
  <c r="B10326" i="4"/>
  <c r="B17924" i="4"/>
  <c r="B24101" i="4"/>
  <c r="B5717" i="4"/>
  <c r="B24102" i="4"/>
  <c r="B6832" i="4"/>
  <c r="B19406" i="4"/>
  <c r="B19407" i="4"/>
  <c r="B6061" i="4"/>
  <c r="B5500" i="4"/>
  <c r="B4224" i="4"/>
  <c r="B11977" i="4"/>
  <c r="B11978" i="4"/>
  <c r="B24103" i="4"/>
  <c r="B9905" i="4"/>
  <c r="B143" i="4"/>
  <c r="B144" i="4"/>
  <c r="B9906" i="4"/>
  <c r="B9907" i="4"/>
  <c r="B9908" i="4"/>
  <c r="B9909" i="4"/>
  <c r="B9910" i="4"/>
  <c r="B145" i="4"/>
  <c r="B146" i="4"/>
  <c r="B19408" i="4"/>
  <c r="B10327" i="4"/>
  <c r="B4225" i="4"/>
  <c r="B4226" i="4"/>
  <c r="B24104" i="4"/>
  <c r="B4227" i="4"/>
  <c r="B4228" i="4"/>
  <c r="B4229" i="4"/>
  <c r="B1769" i="4"/>
  <c r="B1770" i="4"/>
  <c r="B11979" i="4"/>
  <c r="B11980" i="4"/>
  <c r="B11981" i="4"/>
  <c r="B24105" i="4"/>
  <c r="B14970" i="4"/>
  <c r="B19409" i="4"/>
  <c r="B19410" i="4"/>
  <c r="B6557" i="4"/>
  <c r="B24106" i="4"/>
  <c r="B6062" i="4"/>
  <c r="B6063" i="4"/>
  <c r="B2540" i="4"/>
  <c r="B24107" i="4"/>
  <c r="B24108" i="4"/>
  <c r="B10328" i="4"/>
  <c r="B14971" i="4"/>
  <c r="B24109" i="4"/>
  <c r="B968" i="4"/>
  <c r="B381" i="4"/>
  <c r="B16343" i="4"/>
  <c r="B24110" i="4"/>
  <c r="B2496" i="4"/>
  <c r="B2497" i="4"/>
  <c r="B7786" i="4"/>
  <c r="B24111" i="4"/>
  <c r="B7787" i="4"/>
  <c r="B7788" i="4"/>
  <c r="B12523" i="4"/>
  <c r="B12524" i="4"/>
  <c r="B12525" i="4"/>
  <c r="B1896" i="4"/>
  <c r="B14972" i="4"/>
  <c r="B2541" i="4"/>
  <c r="B2542" i="4"/>
  <c r="B10329" i="4"/>
  <c r="B10330" i="4"/>
  <c r="B24112" i="4"/>
  <c r="B969" i="4"/>
  <c r="B970" i="4"/>
  <c r="B24113" i="4"/>
  <c r="B971" i="4"/>
  <c r="B12526" i="4"/>
  <c r="B382" i="4"/>
  <c r="B19411" i="4"/>
  <c r="B24114" i="4"/>
  <c r="B24115" i="4"/>
  <c r="B24116" i="4"/>
  <c r="B24117" i="4"/>
  <c r="B10877" i="4"/>
  <c r="B10878" i="4"/>
  <c r="B8596" i="4"/>
  <c r="B24118" i="4"/>
  <c r="B7789" i="4"/>
  <c r="B7790" i="4"/>
  <c r="B7791" i="4"/>
  <c r="B4230" i="4"/>
  <c r="B4231" i="4"/>
  <c r="B4232" i="4"/>
  <c r="B20580" i="4"/>
  <c r="B19412" i="4"/>
  <c r="B19413" i="4"/>
  <c r="B19414" i="4"/>
  <c r="B8597" i="4"/>
  <c r="B24119" i="4"/>
  <c r="B15543" i="4"/>
  <c r="B15544" i="4"/>
  <c r="B4233" i="4"/>
  <c r="B7792" i="4"/>
  <c r="B10331" i="4"/>
  <c r="B24120" i="4"/>
  <c r="B24121" i="4"/>
  <c r="B24122" i="4"/>
  <c r="B19415" i="4"/>
  <c r="B24123" i="4"/>
  <c r="B24124" i="4"/>
  <c r="B10332" i="4"/>
  <c r="B10333" i="4"/>
  <c r="B11982" i="4"/>
  <c r="B11983" i="4"/>
  <c r="B11984" i="4"/>
  <c r="B24125" i="4"/>
  <c r="B7793" i="4"/>
  <c r="B7794" i="4"/>
  <c r="B24126" i="4"/>
  <c r="B24127" i="4"/>
  <c r="B24128" i="4"/>
  <c r="B972" i="4"/>
  <c r="B10334" i="4"/>
  <c r="B8397" i="4"/>
  <c r="B10335" i="4"/>
  <c r="B10336" i="4"/>
  <c r="B4234" i="4"/>
  <c r="B4235" i="4"/>
  <c r="B4236" i="4"/>
  <c r="B4237" i="4"/>
  <c r="B12263" i="4"/>
  <c r="B24129" i="4"/>
  <c r="B24130" i="4"/>
  <c r="B973" i="4"/>
  <c r="B16344" i="4"/>
  <c r="B24131" i="4"/>
  <c r="B5615" i="4"/>
  <c r="B5501" i="4"/>
  <c r="B5502" i="4"/>
  <c r="B24132" i="4"/>
  <c r="B24133" i="4"/>
  <c r="B24134" i="4"/>
  <c r="B12527" i="4"/>
  <c r="B14973" i="4"/>
  <c r="B14974" i="4"/>
  <c r="B14975" i="4"/>
  <c r="B14976" i="4"/>
  <c r="B14977" i="4"/>
  <c r="B14978" i="4"/>
  <c r="B14979" i="4"/>
  <c r="B24135" i="4"/>
  <c r="B10337" i="4"/>
  <c r="B10338" i="4"/>
  <c r="B24136" i="4"/>
  <c r="B974" i="4"/>
  <c r="B975" i="4"/>
  <c r="B6064" i="4"/>
  <c r="B6065" i="4"/>
  <c r="B17780" i="4"/>
  <c r="B6066" i="4"/>
  <c r="B4238" i="4"/>
  <c r="B24137" i="4"/>
  <c r="B12528" i="4"/>
  <c r="B24138" i="4"/>
  <c r="B4239" i="4"/>
  <c r="B4240" i="4"/>
  <c r="B1771" i="4"/>
  <c r="B14980" i="4"/>
  <c r="B5503" i="4"/>
  <c r="B1772" i="4"/>
  <c r="B14981" i="4"/>
  <c r="B14982" i="4"/>
  <c r="B24139" i="4"/>
  <c r="B24140" i="4"/>
  <c r="B17925" i="4"/>
  <c r="B976" i="4"/>
  <c r="B6297" i="4"/>
  <c r="B6067" i="4"/>
  <c r="B7795" i="4"/>
  <c r="B7796" i="4"/>
  <c r="B17781" i="4"/>
  <c r="B24141" i="4"/>
  <c r="B977" i="4"/>
  <c r="B24142" i="4"/>
  <c r="B978" i="4"/>
  <c r="B24143" i="4"/>
  <c r="B4241" i="4"/>
  <c r="B5504" i="4"/>
  <c r="B24144" i="4"/>
  <c r="B24145" i="4"/>
  <c r="B12529" i="4"/>
  <c r="B24146" i="4"/>
  <c r="B2376" i="4"/>
  <c r="B24147" i="4"/>
  <c r="B4242" i="4"/>
  <c r="B6298" i="4"/>
  <c r="B979" i="4"/>
  <c r="B14983" i="4"/>
  <c r="B24148" i="4"/>
  <c r="B8375" i="4"/>
  <c r="B8376" i="4"/>
  <c r="B13612" i="4"/>
  <c r="B24149" i="4"/>
  <c r="B19416" i="4"/>
  <c r="B24150" i="4"/>
  <c r="B19417" i="4"/>
  <c r="B8598" i="4"/>
  <c r="B13277" i="4"/>
  <c r="B24151" i="4"/>
  <c r="B5858" i="4"/>
  <c r="B12530" i="4"/>
  <c r="B19418" i="4"/>
  <c r="B19419" i="4"/>
  <c r="B19420" i="4"/>
  <c r="B24152" i="4"/>
  <c r="B19421" i="4"/>
  <c r="B19422" i="4"/>
  <c r="B24153" i="4"/>
  <c r="B19423" i="4"/>
  <c r="B19424" i="4"/>
  <c r="B4243" i="4"/>
  <c r="B4244" i="4"/>
  <c r="B4245" i="4"/>
  <c r="B4246" i="4"/>
  <c r="B4247" i="4"/>
  <c r="B4248" i="4"/>
  <c r="B4249" i="4"/>
  <c r="B4250" i="4"/>
  <c r="B24154" i="4"/>
  <c r="B4251" i="4"/>
  <c r="B8599" i="4"/>
  <c r="B8377" i="4"/>
  <c r="B19425" i="4"/>
  <c r="B10339" i="4"/>
  <c r="B13466" i="4"/>
  <c r="B16345" i="4"/>
  <c r="B24155" i="4"/>
  <c r="B24156" i="4"/>
  <c r="B7797" i="4"/>
  <c r="B8600" i="4"/>
  <c r="B9040" i="4"/>
  <c r="B9041" i="4"/>
  <c r="B24157" i="4"/>
  <c r="B9042" i="4"/>
  <c r="B10340" i="4"/>
  <c r="B13467" i="4"/>
  <c r="B24158" i="4"/>
  <c r="B980" i="4"/>
  <c r="B8601" i="4"/>
  <c r="B11985" i="4"/>
  <c r="B11986" i="4"/>
  <c r="B4252" i="4"/>
  <c r="B4253" i="4"/>
  <c r="B24159" i="4"/>
  <c r="B11987" i="4"/>
  <c r="B8378" i="4"/>
  <c r="B6068" i="4"/>
  <c r="B19426" i="4"/>
  <c r="B19427" i="4"/>
  <c r="B19428" i="4"/>
  <c r="B19429" i="4"/>
  <c r="B24160" i="4"/>
  <c r="B19430" i="4"/>
  <c r="B19431" i="4"/>
  <c r="B5237" i="4"/>
  <c r="B981" i="4"/>
  <c r="B11988" i="4"/>
  <c r="B11989" i="4"/>
  <c r="B9043" i="4"/>
  <c r="B24161" i="4"/>
  <c r="B9044" i="4"/>
  <c r="B10341" i="4"/>
  <c r="B14984" i="4"/>
  <c r="B24162" i="4"/>
  <c r="B13186" i="4"/>
  <c r="B13187" i="4"/>
  <c r="B982" i="4"/>
  <c r="B24163" i="4"/>
  <c r="B24164" i="4"/>
  <c r="B24165" i="4"/>
  <c r="B24166" i="4"/>
  <c r="B14985" i="4"/>
  <c r="B14986" i="4"/>
  <c r="B14987" i="4"/>
  <c r="B24167" i="4"/>
  <c r="B2543" i="4"/>
  <c r="B6558" i="4"/>
  <c r="B13468" i="4"/>
  <c r="B11990" i="4"/>
  <c r="B17926" i="4"/>
  <c r="B14988" i="4"/>
  <c r="B14989" i="4"/>
  <c r="B983" i="4"/>
  <c r="B984" i="4"/>
  <c r="B985" i="4"/>
  <c r="B986" i="4"/>
  <c r="B6069" i="4"/>
  <c r="B5718" i="4"/>
  <c r="B24168" i="4"/>
  <c r="B7798" i="4"/>
  <c r="B24169" i="4"/>
  <c r="B24170" i="4"/>
  <c r="B24171" i="4"/>
  <c r="B20828" i="4"/>
  <c r="B20829" i="4"/>
  <c r="B5238" i="4"/>
  <c r="B19432" i="4"/>
  <c r="B19433" i="4"/>
  <c r="B19434" i="4"/>
  <c r="B8602" i="4"/>
  <c r="B4254" i="4"/>
  <c r="B12531" i="4"/>
  <c r="B12532" i="4"/>
  <c r="B13469" i="4"/>
  <c r="B13470" i="4"/>
  <c r="B4255" i="4"/>
  <c r="B24172" i="4"/>
  <c r="B14990" i="4"/>
  <c r="B14991" i="4"/>
  <c r="B14992" i="4"/>
  <c r="B14993" i="4"/>
  <c r="B24173" i="4"/>
  <c r="B24174" i="4"/>
  <c r="B24175" i="4"/>
  <c r="B24176" i="4"/>
  <c r="B4256" i="4"/>
  <c r="B14994" i="4"/>
  <c r="B14995" i="4"/>
  <c r="B14996" i="4"/>
  <c r="B14997" i="4"/>
  <c r="B14998" i="4"/>
  <c r="B6070" i="4"/>
  <c r="B6071" i="4"/>
  <c r="B24177" i="4"/>
  <c r="B4257" i="4"/>
  <c r="B20581" i="4"/>
  <c r="B24178" i="4"/>
  <c r="B24179" i="4"/>
  <c r="B24180" i="4"/>
  <c r="B24181" i="4"/>
  <c r="B4258" i="4"/>
  <c r="B24182" i="4"/>
  <c r="B4259" i="4"/>
  <c r="B1773" i="4"/>
  <c r="B10342" i="4"/>
  <c r="B24183" i="4"/>
  <c r="B24184" i="4"/>
  <c r="B24185" i="4"/>
  <c r="B7799" i="4"/>
  <c r="B24186" i="4"/>
  <c r="B24187" i="4"/>
  <c r="B24188" i="4"/>
  <c r="B10879" i="4"/>
  <c r="B15545" i="4"/>
  <c r="B12533" i="4"/>
  <c r="B24189" i="4"/>
  <c r="B12534" i="4"/>
  <c r="B12535" i="4"/>
  <c r="B12536" i="4"/>
  <c r="B14999" i="4"/>
  <c r="B2544" i="4"/>
  <c r="B2545" i="4"/>
  <c r="B24190" i="4"/>
  <c r="B13278" i="4"/>
  <c r="B13279" i="4"/>
  <c r="B11991" i="4"/>
  <c r="B11992" i="4"/>
  <c r="B11993" i="4"/>
  <c r="B4260" i="4"/>
  <c r="B10343" i="4"/>
  <c r="B12537" i="4"/>
  <c r="B12538" i="4"/>
  <c r="B15000" i="4"/>
  <c r="B17782" i="4"/>
  <c r="B6072" i="4"/>
  <c r="B6073" i="4"/>
  <c r="B24191" i="4"/>
  <c r="B24192" i="4"/>
  <c r="B12539" i="4"/>
  <c r="B2377" i="4"/>
  <c r="B13188" i="4"/>
  <c r="B13189" i="4"/>
  <c r="B13190" i="4"/>
  <c r="B13191" i="4"/>
  <c r="B19435" i="4"/>
  <c r="B24193" i="4"/>
  <c r="B10880" i="4"/>
  <c r="B4261" i="4"/>
  <c r="B16346" i="4"/>
  <c r="B16347" i="4"/>
  <c r="B16348" i="4"/>
  <c r="B16349" i="4"/>
  <c r="B16350" i="4"/>
  <c r="B16351" i="4"/>
  <c r="B24194" i="4"/>
  <c r="B2378" i="4"/>
  <c r="B2379" i="4"/>
  <c r="B20582" i="4"/>
  <c r="B20583" i="4"/>
  <c r="B11994" i="4"/>
  <c r="B5328" i="4"/>
  <c r="B5329" i="4"/>
  <c r="B11995" i="4"/>
  <c r="B11996" i="4"/>
  <c r="B9045" i="4"/>
  <c r="B9046" i="4"/>
  <c r="B9047" i="4"/>
  <c r="B9048" i="4"/>
  <c r="B9049" i="4"/>
  <c r="B24195" i="4"/>
  <c r="B10344" i="4"/>
  <c r="B15001" i="4"/>
  <c r="B24196" i="4"/>
  <c r="B24197" i="4"/>
  <c r="B5330" i="4"/>
  <c r="B5331" i="4"/>
  <c r="B5332" i="4"/>
  <c r="B4262" i="4"/>
  <c r="B2546" i="4"/>
  <c r="B15546" i="4"/>
  <c r="B13471" i="4"/>
  <c r="B10345" i="4"/>
  <c r="B6074" i="4"/>
  <c r="B24198" i="4"/>
  <c r="B6299" i="4"/>
  <c r="B24199" i="4"/>
  <c r="B987" i="4"/>
  <c r="B988" i="4"/>
  <c r="B16352" i="4"/>
  <c r="B13280" i="4"/>
  <c r="B13281" i="4"/>
  <c r="B13472" i="4"/>
  <c r="B5505" i="4"/>
  <c r="B24200" i="4"/>
  <c r="B24201" i="4"/>
  <c r="B15002" i="4"/>
  <c r="B24202" i="4"/>
  <c r="B24203" i="4"/>
  <c r="B24204" i="4"/>
  <c r="B15003" i="4"/>
  <c r="B15004" i="4"/>
  <c r="B383" i="4"/>
  <c r="B8603" i="4"/>
  <c r="B6300" i="4"/>
  <c r="B989" i="4"/>
  <c r="B990" i="4"/>
  <c r="B17783" i="4"/>
  <c r="B384" i="4"/>
  <c r="B19436" i="4"/>
  <c r="B10881" i="4"/>
  <c r="B10882" i="4"/>
  <c r="B10883" i="4"/>
  <c r="B10884" i="4"/>
  <c r="B24205" i="4"/>
  <c r="B24206" i="4"/>
  <c r="B4263" i="4"/>
  <c r="B4264" i="4"/>
  <c r="B1774" i="4"/>
  <c r="B4265" i="4"/>
  <c r="B4266" i="4"/>
  <c r="B11997" i="4"/>
  <c r="B11998" i="4"/>
  <c r="B10346" i="4"/>
  <c r="B10347" i="4"/>
  <c r="B2380" i="4"/>
  <c r="B8604" i="4"/>
  <c r="B5506" i="4"/>
  <c r="B8605" i="4"/>
  <c r="B8606" i="4"/>
  <c r="B8607" i="4"/>
  <c r="B15005" i="4"/>
  <c r="B15006" i="4"/>
  <c r="B15007" i="4"/>
  <c r="B15008" i="4"/>
  <c r="B15009" i="4"/>
  <c r="B15010" i="4"/>
  <c r="B15011" i="4"/>
  <c r="B15012" i="4"/>
  <c r="B15013" i="4"/>
  <c r="B15014" i="4"/>
  <c r="B15015" i="4"/>
  <c r="B15016" i="4"/>
  <c r="B8379" i="4"/>
  <c r="B6075" i="4"/>
  <c r="B13095" i="4"/>
  <c r="B24207" i="4"/>
  <c r="B385" i="4"/>
  <c r="B5" i="4"/>
  <c r="B24208" i="4"/>
  <c r="B6" i="4"/>
  <c r="B13473" i="4"/>
  <c r="B24209" i="4"/>
  <c r="B24210" i="4"/>
  <c r="B10348" i="4"/>
  <c r="B24211" i="4"/>
  <c r="B24212" i="4"/>
  <c r="B24213" i="4"/>
  <c r="B13192" i="4"/>
  <c r="B991" i="4"/>
  <c r="B24214" i="4"/>
  <c r="B992" i="4"/>
  <c r="B993" i="4"/>
  <c r="B994" i="4"/>
  <c r="B24215" i="4"/>
  <c r="B24216" i="4"/>
  <c r="B12540" i="4"/>
  <c r="B24217" i="4"/>
  <c r="B2547" i="4"/>
  <c r="B24218" i="4"/>
  <c r="B24219" i="4"/>
  <c r="B24220" i="4"/>
  <c r="B24221" i="4"/>
  <c r="B10349" i="4"/>
  <c r="B11032" i="4"/>
  <c r="B995" i="4"/>
  <c r="B996" i="4"/>
  <c r="B997" i="4"/>
  <c r="B24222" i="4"/>
  <c r="B998" i="4"/>
  <c r="B7800" i="4"/>
  <c r="B7801" i="4"/>
  <c r="B7802" i="4"/>
  <c r="B6833" i="4"/>
  <c r="B17784" i="4"/>
  <c r="B19437" i="4"/>
  <c r="B24223" i="4"/>
  <c r="B19438" i="4"/>
  <c r="B19439" i="4"/>
  <c r="B19440" i="4"/>
  <c r="B24224" i="4"/>
  <c r="B24225" i="4"/>
  <c r="B2548" i="4"/>
  <c r="B10350" i="4"/>
  <c r="B10351" i="4"/>
  <c r="B10352" i="4"/>
  <c r="B10353" i="4"/>
  <c r="B8608" i="4"/>
  <c r="B13474" i="4"/>
  <c r="B2381" i="4"/>
  <c r="B24226" i="4"/>
  <c r="B6834" i="4"/>
  <c r="B24227" i="4"/>
  <c r="B6835" i="4"/>
  <c r="B5333" i="4"/>
  <c r="B5334" i="4"/>
  <c r="B11055" i="4"/>
  <c r="B11056" i="4"/>
  <c r="B11057" i="4"/>
  <c r="B11058" i="4"/>
  <c r="B13475" i="4"/>
  <c r="B10354" i="4"/>
  <c r="B4267" i="4"/>
  <c r="B4268" i="4"/>
  <c r="B4269" i="4"/>
  <c r="B4270" i="4"/>
  <c r="B4271" i="4"/>
  <c r="B4272" i="4"/>
  <c r="B4273" i="4"/>
  <c r="B4274" i="4"/>
  <c r="B6301" i="4"/>
  <c r="B1775" i="4"/>
  <c r="B10355" i="4"/>
  <c r="B8609" i="4"/>
  <c r="B20830" i="4"/>
  <c r="B11999" i="4"/>
  <c r="B12000" i="4"/>
  <c r="B10356" i="4"/>
  <c r="B10357" i="4"/>
  <c r="B386" i="4"/>
  <c r="B999" i="4"/>
  <c r="B16353" i="4"/>
  <c r="B16354" i="4"/>
  <c r="B10358" i="4"/>
  <c r="B5507" i="4"/>
  <c r="B7803" i="4"/>
  <c r="B7804" i="4"/>
  <c r="B10885" i="4"/>
  <c r="B10359" i="4"/>
  <c r="B10360" i="4"/>
  <c r="B15017" i="4"/>
  <c r="B12541" i="4"/>
  <c r="B24228" i="4"/>
  <c r="B24229" i="4"/>
  <c r="B12542" i="4"/>
  <c r="B12543" i="4"/>
  <c r="B24230" i="4"/>
  <c r="B24231" i="4"/>
  <c r="B12001" i="4"/>
  <c r="B2382" i="4"/>
  <c r="B7805" i="4"/>
  <c r="B7806" i="4"/>
  <c r="B387" i="4"/>
  <c r="B24232" i="4"/>
  <c r="B1000" i="4"/>
  <c r="B1001" i="4"/>
  <c r="B1002" i="4"/>
  <c r="B6836" i="4"/>
  <c r="B6837" i="4"/>
  <c r="B24233" i="4"/>
  <c r="B24234" i="4"/>
  <c r="B5335" i="4"/>
  <c r="B5336" i="4"/>
  <c r="B19441" i="4"/>
  <c r="B19442" i="4"/>
  <c r="B19443" i="4"/>
  <c r="B24235" i="4"/>
  <c r="B10361" i="4"/>
  <c r="B24236" i="4"/>
  <c r="B1003" i="4"/>
  <c r="B22901" i="4"/>
  <c r="B3637" i="4"/>
  <c r="B6255" i="4"/>
  <c r="B6256" i="4"/>
  <c r="B22902" i="4"/>
  <c r="B8530" i="4"/>
  <c r="B17892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17893" i="4"/>
  <c r="B3653" i="4"/>
  <c r="B3654" i="4"/>
  <c r="B3655" i="4"/>
  <c r="B3656" i="4"/>
  <c r="B3657" i="4"/>
  <c r="B3658" i="4"/>
  <c r="B11715" i="4"/>
  <c r="B11716" i="4"/>
  <c r="B22903" i="4"/>
  <c r="B11717" i="4"/>
  <c r="B10130" i="4"/>
  <c r="B10131" i="4"/>
  <c r="B14621" i="4"/>
  <c r="B2194" i="4"/>
  <c r="B5852" i="4"/>
  <c r="B22904" i="4"/>
  <c r="B22905" i="4"/>
  <c r="B695" i="4"/>
  <c r="B696" i="4"/>
  <c r="B697" i="4"/>
  <c r="B698" i="4"/>
  <c r="B699" i="4"/>
  <c r="B22906" i="4"/>
  <c r="B700" i="4"/>
  <c r="B701" i="4"/>
  <c r="B702" i="4"/>
  <c r="B16073" i="4"/>
  <c r="B18991" i="4"/>
  <c r="B22907" i="4"/>
  <c r="B18992" i="4"/>
  <c r="B18993" i="4"/>
  <c r="B22908" i="4"/>
  <c r="B22909" i="4"/>
  <c r="B16074" i="4"/>
  <c r="B18994" i="4"/>
  <c r="B22910" i="4"/>
  <c r="B22911" i="4"/>
  <c r="B22912" i="4"/>
  <c r="B16075" i="4"/>
  <c r="B22913" i="4"/>
  <c r="B287" i="4"/>
  <c r="B22914" i="4"/>
  <c r="B10132" i="4"/>
  <c r="B3659" i="4"/>
  <c r="B3660" i="4"/>
  <c r="B7596" i="4"/>
  <c r="B22915" i="4"/>
  <c r="B22916" i="4"/>
  <c r="B22917" i="4"/>
  <c r="B22918" i="4"/>
  <c r="B22919" i="4"/>
  <c r="B22920" i="4"/>
  <c r="B12392" i="4"/>
  <c r="B22921" i="4"/>
  <c r="B14622" i="4"/>
  <c r="B22922" i="4"/>
  <c r="B14623" i="4"/>
  <c r="B2195" i="4"/>
  <c r="B14624" i="4"/>
  <c r="B22923" i="4"/>
  <c r="B14625" i="4"/>
  <c r="B2196" i="4"/>
  <c r="B2197" i="4"/>
  <c r="B22924" i="4"/>
  <c r="B14626" i="4"/>
  <c r="B14627" i="4"/>
  <c r="B22925" i="4"/>
  <c r="B14628" i="4"/>
  <c r="B14629" i="4"/>
  <c r="B703" i="4"/>
  <c r="B22926" i="4"/>
  <c r="B22927" i="4"/>
  <c r="B11718" i="4"/>
  <c r="B11719" i="4"/>
  <c r="B11720" i="4"/>
  <c r="B5404" i="4"/>
  <c r="B11721" i="4"/>
  <c r="B11722" i="4"/>
  <c r="B11723" i="4"/>
  <c r="B2198" i="4"/>
  <c r="B2199" i="4"/>
  <c r="B2200" i="4"/>
  <c r="B704" i="4"/>
  <c r="B22928" i="4"/>
  <c r="B22929" i="4"/>
  <c r="B705" i="4"/>
  <c r="B706" i="4"/>
  <c r="B22930" i="4"/>
  <c r="B707" i="4"/>
  <c r="B708" i="4"/>
  <c r="B22931" i="4"/>
  <c r="B22932" i="4"/>
  <c r="B709" i="4"/>
  <c r="B14630" i="4"/>
  <c r="B14631" i="4"/>
  <c r="B14632" i="4"/>
  <c r="B7597" i="4"/>
  <c r="B7598" i="4"/>
  <c r="B8371" i="4"/>
  <c r="B14633" i="4"/>
  <c r="B710" i="4"/>
  <c r="B711" i="4"/>
  <c r="B22933" i="4"/>
  <c r="B13257" i="4"/>
  <c r="B22934" i="4"/>
  <c r="B13160" i="4"/>
  <c r="B8460" i="4"/>
  <c r="B16076" i="4"/>
  <c r="B22935" i="4"/>
  <c r="B16077" i="4"/>
  <c r="B16078" i="4"/>
  <c r="B16079" i="4"/>
  <c r="B18995" i="4"/>
  <c r="B18996" i="4"/>
  <c r="B22936" i="4"/>
  <c r="B22937" i="4"/>
  <c r="B22938" i="4"/>
  <c r="B9407" i="4"/>
  <c r="B22939" i="4"/>
  <c r="B5938" i="4"/>
  <c r="B5939" i="4"/>
  <c r="B5940" i="4"/>
  <c r="B18997" i="4"/>
  <c r="B18998" i="4"/>
  <c r="B18999" i="4"/>
  <c r="B19000" i="4"/>
  <c r="B19001" i="4"/>
  <c r="B19002" i="4"/>
  <c r="B19003" i="4"/>
  <c r="B19004" i="4"/>
  <c r="B19005" i="4"/>
  <c r="B19006" i="4"/>
  <c r="B19007" i="4"/>
  <c r="B19008" i="4"/>
  <c r="B19009" i="4"/>
  <c r="B19010" i="4"/>
  <c r="B19011" i="4"/>
  <c r="B5176" i="4"/>
  <c r="B5177" i="4"/>
  <c r="B22940" i="4"/>
  <c r="B22941" i="4"/>
  <c r="B22942" i="4"/>
  <c r="B19012" i="4"/>
  <c r="B19013" i="4"/>
  <c r="B19014" i="4"/>
  <c r="B19015" i="4"/>
  <c r="B19016" i="4"/>
  <c r="B19017" i="4"/>
  <c r="B22943" i="4"/>
  <c r="B16080" i="4"/>
  <c r="B5405" i="4"/>
  <c r="B15517" i="4"/>
  <c r="B22944" i="4"/>
  <c r="B3661" i="4"/>
  <c r="B11724" i="4"/>
  <c r="B10133" i="4"/>
  <c r="B2201" i="4"/>
  <c r="B2202" i="4"/>
  <c r="B14634" i="4"/>
  <c r="B22945" i="4"/>
  <c r="B14635" i="4"/>
  <c r="B14636" i="4"/>
  <c r="B22946" i="4"/>
  <c r="B7599" i="4"/>
  <c r="B22947" i="4"/>
  <c r="B15518" i="4"/>
  <c r="B16081" i="4"/>
  <c r="B19018" i="4"/>
  <c r="B16082" i="4"/>
  <c r="B9742" i="4"/>
  <c r="B9743" i="4"/>
  <c r="B91" i="4"/>
  <c r="B92" i="4"/>
  <c r="B93" i="4"/>
  <c r="B94" i="4"/>
  <c r="B9744" i="4"/>
  <c r="B9745" i="4"/>
  <c r="B9746" i="4"/>
  <c r="B9747" i="4"/>
  <c r="B9748" i="4"/>
  <c r="B95" i="4"/>
  <c r="B96" i="4"/>
  <c r="B5598" i="4"/>
  <c r="B22948" i="4"/>
  <c r="B9749" i="4"/>
  <c r="B9750" i="4"/>
  <c r="B9751" i="4"/>
  <c r="B9752" i="4"/>
  <c r="B97" i="4"/>
  <c r="B10134" i="4"/>
  <c r="B22949" i="4"/>
  <c r="B14637" i="4"/>
  <c r="B14638" i="4"/>
  <c r="B7600" i="4"/>
  <c r="B1940" i="4"/>
  <c r="B1941" i="4"/>
  <c r="B22950" i="4"/>
  <c r="B19019" i="4"/>
  <c r="B19020" i="4"/>
  <c r="B19021" i="4"/>
  <c r="B19022" i="4"/>
  <c r="B22951" i="4"/>
  <c r="B10135" i="4"/>
  <c r="B288" i="4"/>
  <c r="B19023" i="4"/>
  <c r="B9753" i="4"/>
  <c r="B9754" i="4"/>
  <c r="B9755" i="4"/>
  <c r="B3662" i="4"/>
  <c r="B10136" i="4"/>
  <c r="B13422" i="4"/>
  <c r="B13423" i="4"/>
  <c r="B6257" i="4"/>
  <c r="B3663" i="4"/>
  <c r="B3664" i="4"/>
  <c r="B14639" i="4"/>
  <c r="B14640" i="4"/>
  <c r="B712" i="4"/>
  <c r="B713" i="4"/>
  <c r="B16083" i="4"/>
  <c r="B16084" i="4"/>
  <c r="B16085" i="4"/>
  <c r="B16086" i="4"/>
  <c r="B16087" i="4"/>
  <c r="B3665" i="4"/>
  <c r="B3666" i="4"/>
  <c r="B22952" i="4"/>
  <c r="B22953" i="4"/>
  <c r="B714" i="4"/>
  <c r="B22954" i="4"/>
  <c r="B22955" i="4"/>
  <c r="B3667" i="4"/>
  <c r="B11725" i="4"/>
  <c r="B11726" i="4"/>
  <c r="B11727" i="4"/>
  <c r="B22956" i="4"/>
  <c r="B1942" i="4"/>
  <c r="B1943" i="4"/>
  <c r="B22957" i="4"/>
  <c r="B22958" i="4"/>
  <c r="B22959" i="4"/>
  <c r="B22960" i="4"/>
  <c r="B22961" i="4"/>
  <c r="B715" i="4"/>
  <c r="B289" i="4"/>
  <c r="B22962" i="4"/>
  <c r="B5291" i="4"/>
  <c r="B5599" i="4"/>
  <c r="B5600" i="4"/>
  <c r="B7601" i="4"/>
  <c r="B7602" i="4"/>
  <c r="B11728" i="4"/>
  <c r="B22963" i="4"/>
  <c r="B10843" i="4"/>
  <c r="B14641" i="4"/>
  <c r="B14642" i="4"/>
  <c r="B14643" i="4"/>
  <c r="B14644" i="4"/>
  <c r="B12393" i="4"/>
  <c r="B22964" i="4"/>
  <c r="B22965" i="4"/>
  <c r="B22966" i="4"/>
  <c r="B22967" i="4"/>
  <c r="B22968" i="4"/>
  <c r="B14645" i="4"/>
  <c r="B22969" i="4"/>
  <c r="B20534" i="4"/>
  <c r="B20805" i="4"/>
  <c r="B20806" i="4"/>
  <c r="B9756" i="4"/>
  <c r="B9757" i="4"/>
  <c r="B9758" i="4"/>
  <c r="B3668" i="4"/>
  <c r="B22970" i="4"/>
  <c r="B22971" i="4"/>
  <c r="B11729" i="4"/>
  <c r="B22972" i="4"/>
  <c r="B3669" i="4"/>
  <c r="B22973" i="4"/>
  <c r="B20535" i="4"/>
  <c r="B2203" i="4"/>
  <c r="B22974" i="4"/>
  <c r="B2204" i="4"/>
  <c r="B22975" i="4"/>
  <c r="B11730" i="4"/>
  <c r="B11731" i="4"/>
  <c r="B11732" i="4"/>
  <c r="B14646" i="4"/>
  <c r="B22976" i="4"/>
  <c r="B716" i="4"/>
  <c r="B22977" i="4"/>
  <c r="B717" i="4"/>
  <c r="B7603" i="4"/>
  <c r="B7604" i="4"/>
  <c r="B22978" i="4"/>
  <c r="B22979" i="4"/>
  <c r="B22980" i="4"/>
  <c r="B718" i="4"/>
  <c r="B22981" i="4"/>
  <c r="B15519" i="4"/>
  <c r="B19024" i="4"/>
  <c r="B19025" i="4"/>
  <c r="B19026" i="4"/>
  <c r="B22982" i="4"/>
  <c r="B22983" i="4"/>
  <c r="B22984" i="4"/>
  <c r="B22985" i="4"/>
  <c r="B9408" i="4"/>
  <c r="B22986" i="4"/>
  <c r="B17" i="4"/>
  <c r="B9409" i="4"/>
  <c r="B22987" i="4"/>
  <c r="B22988" i="4"/>
  <c r="B98" i="4"/>
  <c r="B19027" i="4"/>
  <c r="B22989" i="4"/>
  <c r="B22990" i="4"/>
  <c r="B19028" i="4"/>
  <c r="B19029" i="4"/>
  <c r="B22991" i="4"/>
  <c r="B19030" i="4"/>
  <c r="B16088" i="4"/>
  <c r="B16089" i="4"/>
  <c r="B22992" i="4"/>
  <c r="B22993" i="4"/>
  <c r="B22994" i="4"/>
  <c r="B5292" i="4"/>
  <c r="B22995" i="4"/>
  <c r="B10844" i="4"/>
  <c r="B10845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22996" i="4"/>
  <c r="B3682" i="4"/>
  <c r="B3683" i="4"/>
  <c r="B3684" i="4"/>
  <c r="B3685" i="4"/>
  <c r="B3686" i="4"/>
  <c r="B3687" i="4"/>
  <c r="B3688" i="4"/>
  <c r="B22997" i="4"/>
  <c r="B3689" i="4"/>
  <c r="B3690" i="4"/>
  <c r="B3691" i="4"/>
  <c r="B8531" i="4"/>
  <c r="B3692" i="4"/>
  <c r="B3693" i="4"/>
  <c r="B3694" i="4"/>
  <c r="B13424" i="4"/>
  <c r="B10137" i="4"/>
  <c r="B3695" i="4"/>
  <c r="B3696" i="4"/>
  <c r="B3697" i="4"/>
  <c r="B22998" i="4"/>
  <c r="B1731" i="4"/>
  <c r="B11733" i="4"/>
  <c r="B3698" i="4"/>
  <c r="B3699" i="4"/>
  <c r="B3700" i="4"/>
  <c r="B5178" i="4"/>
  <c r="B11734" i="4"/>
  <c r="B6533" i="4"/>
  <c r="B10138" i="4"/>
  <c r="B14647" i="4"/>
  <c r="B17733" i="4"/>
  <c r="B14648" i="4"/>
  <c r="B1944" i="4"/>
  <c r="B10139" i="4"/>
  <c r="B3701" i="4"/>
  <c r="B3702" i="4"/>
  <c r="B10140" i="4"/>
  <c r="B10141" i="4"/>
  <c r="B1732" i="4"/>
  <c r="B22999" i="4"/>
  <c r="B10142" i="4"/>
  <c r="B17288" i="4"/>
  <c r="B17289" i="4"/>
  <c r="B17290" i="4"/>
  <c r="B17291" i="4"/>
  <c r="B17292" i="4"/>
  <c r="B17293" i="4"/>
  <c r="B17294" i="4"/>
  <c r="B17295" i="4"/>
  <c r="B14649" i="4"/>
  <c r="B14650" i="4"/>
  <c r="B290" i="4"/>
  <c r="B23000" i="4"/>
  <c r="B10143" i="4"/>
  <c r="B23001" i="4"/>
  <c r="B11735" i="4"/>
  <c r="B2205" i="4"/>
  <c r="B17734" i="4"/>
  <c r="B15600" i="4"/>
  <c r="B15601" i="4"/>
  <c r="B19031" i="4"/>
  <c r="B19032" i="4"/>
  <c r="B23002" i="4"/>
  <c r="B19033" i="4"/>
  <c r="B23003" i="4"/>
  <c r="B23004" i="4"/>
  <c r="B23005" i="4"/>
  <c r="B3703" i="4"/>
  <c r="B3704" i="4"/>
  <c r="B3705" i="4"/>
  <c r="B23006" i="4"/>
  <c r="B11736" i="4"/>
  <c r="B11737" i="4"/>
  <c r="B14651" i="4"/>
  <c r="B14652" i="4"/>
  <c r="B2206" i="4"/>
  <c r="B14653" i="4"/>
  <c r="B23007" i="4"/>
  <c r="B17593" i="4"/>
  <c r="B23008" i="4"/>
  <c r="B16090" i="4"/>
  <c r="B5406" i="4"/>
  <c r="B23009" i="4"/>
  <c r="B23010" i="4"/>
  <c r="B5407" i="4"/>
  <c r="B5941" i="4"/>
  <c r="B5942" i="4"/>
  <c r="B13161" i="4"/>
  <c r="B13162" i="4"/>
  <c r="B23011" i="4"/>
  <c r="B23012" i="4"/>
  <c r="B5853" i="4"/>
  <c r="B23013" i="4"/>
  <c r="B12394" i="4"/>
  <c r="B12395" i="4"/>
  <c r="B12396" i="4"/>
  <c r="B12397" i="4"/>
  <c r="B12398" i="4"/>
  <c r="B12399" i="4"/>
  <c r="B14654" i="4"/>
  <c r="B2207" i="4"/>
  <c r="B2208" i="4"/>
  <c r="B2209" i="4"/>
  <c r="B7605" i="4"/>
  <c r="B23014" i="4"/>
  <c r="B23015" i="4"/>
  <c r="B10144" i="4"/>
  <c r="B23016" i="4"/>
  <c r="B23017" i="4"/>
  <c r="B11738" i="4"/>
  <c r="B11739" i="4"/>
  <c r="B11740" i="4"/>
  <c r="B11741" i="4"/>
  <c r="B11742" i="4"/>
  <c r="B11743" i="4"/>
  <c r="B11744" i="4"/>
  <c r="B11745" i="4"/>
  <c r="B11746" i="4"/>
  <c r="B11747" i="4"/>
  <c r="B8993" i="4"/>
  <c r="B8994" i="4"/>
  <c r="B8995" i="4"/>
  <c r="B8996" i="4"/>
  <c r="B8997" i="4"/>
  <c r="B23018" i="4"/>
  <c r="B3706" i="4"/>
  <c r="B23019" i="4"/>
  <c r="B3707" i="4"/>
  <c r="B11748" i="4"/>
  <c r="B11749" i="4"/>
  <c r="B2210" i="4"/>
  <c r="B2211" i="4"/>
  <c r="B2212" i="4"/>
  <c r="B23020" i="4"/>
  <c r="B5943" i="4"/>
  <c r="B5944" i="4"/>
  <c r="B19034" i="4"/>
  <c r="B19035" i="4"/>
  <c r="B23021" i="4"/>
  <c r="B719" i="4"/>
  <c r="B720" i="4"/>
  <c r="B14655" i="4"/>
  <c r="B14656" i="4"/>
  <c r="B14657" i="4"/>
  <c r="B14658" i="4"/>
  <c r="B721" i="4"/>
  <c r="B23022" i="4"/>
  <c r="B14659" i="4"/>
  <c r="B722" i="4"/>
  <c r="B723" i="4"/>
  <c r="B14660" i="4"/>
  <c r="B5945" i="4"/>
  <c r="B7606" i="4"/>
  <c r="B7607" i="4"/>
  <c r="B23023" i="4"/>
  <c r="B23024" i="4"/>
  <c r="B2213" i="4"/>
  <c r="B9410" i="4"/>
  <c r="B9411" i="4"/>
  <c r="B15520" i="4"/>
  <c r="B15521" i="4"/>
  <c r="B13599" i="4"/>
  <c r="B13600" i="4"/>
  <c r="B23025" i="4"/>
  <c r="B19036" i="4"/>
  <c r="B23026" i="4"/>
  <c r="B19037" i="4"/>
  <c r="B99" i="4"/>
  <c r="B9759" i="4"/>
  <c r="B9760" i="4"/>
  <c r="B9761" i="4"/>
  <c r="B9762" i="4"/>
  <c r="B23027" i="4"/>
  <c r="B23028" i="4"/>
  <c r="B19038" i="4"/>
  <c r="B15522" i="4"/>
  <c r="B19039" i="4"/>
  <c r="B19040" i="4"/>
  <c r="B19041" i="4"/>
  <c r="B19042" i="4"/>
  <c r="B19043" i="4"/>
  <c r="B19044" i="4"/>
  <c r="B19045" i="4"/>
  <c r="B19046" i="4"/>
  <c r="B19047" i="4"/>
  <c r="B19048" i="4"/>
  <c r="B19049" i="4"/>
  <c r="B19050" i="4"/>
  <c r="B19051" i="4"/>
  <c r="B19052" i="4"/>
  <c r="B23029" i="4"/>
  <c r="B5179" i="4"/>
  <c r="B5180" i="4"/>
  <c r="B5181" i="4"/>
  <c r="B5182" i="4"/>
  <c r="B5183" i="4"/>
  <c r="B5184" i="4"/>
  <c r="B10145" i="4"/>
  <c r="B10146" i="4"/>
  <c r="B2214" i="4"/>
  <c r="B2215" i="4"/>
  <c r="B23030" i="4"/>
  <c r="B5750" i="4"/>
  <c r="B5751" i="4"/>
  <c r="B5293" i="4"/>
  <c r="B11750" i="4"/>
  <c r="B23031" i="4"/>
  <c r="B11751" i="4"/>
  <c r="B11752" i="4"/>
  <c r="B2216" i="4"/>
  <c r="B7608" i="4"/>
  <c r="B7609" i="4"/>
  <c r="B7610" i="4"/>
  <c r="B7611" i="4"/>
  <c r="B7612" i="4"/>
  <c r="B23032" i="4"/>
  <c r="B23033" i="4"/>
  <c r="B13048" i="4"/>
  <c r="B16091" i="4"/>
  <c r="B3708" i="4"/>
  <c r="B20675" i="4"/>
  <c r="B20676" i="4"/>
  <c r="B8393" i="4"/>
  <c r="B8394" i="4"/>
  <c r="B3709" i="4"/>
  <c r="B23034" i="4"/>
  <c r="B2217" i="4"/>
  <c r="B23035" i="4"/>
  <c r="B11753" i="4"/>
  <c r="B11754" i="4"/>
  <c r="B3710" i="4"/>
  <c r="B3711" i="4"/>
  <c r="B3712" i="4"/>
  <c r="B3713" i="4"/>
  <c r="B3714" i="4"/>
  <c r="B3715" i="4"/>
  <c r="B3716" i="4"/>
  <c r="B3717" i="4"/>
  <c r="B3718" i="4"/>
  <c r="B10147" i="4"/>
  <c r="B3719" i="4"/>
  <c r="B3720" i="4"/>
  <c r="B3721" i="4"/>
  <c r="B3722" i="4"/>
  <c r="B12257" i="4"/>
  <c r="B3723" i="4"/>
  <c r="B3724" i="4"/>
  <c r="B23036" i="4"/>
  <c r="B291" i="4"/>
  <c r="B292" i="4"/>
  <c r="B23037" i="4"/>
  <c r="B14661" i="4"/>
  <c r="B14662" i="4"/>
  <c r="B724" i="4"/>
  <c r="B725" i="4"/>
  <c r="B726" i="4"/>
  <c r="B14663" i="4"/>
  <c r="B9953" i="4"/>
  <c r="B23038" i="4"/>
  <c r="B17657" i="4"/>
  <c r="B19053" i="4"/>
  <c r="B293" i="4"/>
  <c r="B294" i="4"/>
  <c r="B295" i="4"/>
  <c r="B9370" i="4"/>
  <c r="B9371" i="4"/>
  <c r="B8532" i="4"/>
  <c r="B23039" i="4"/>
  <c r="B727" i="4"/>
  <c r="B296" i="4"/>
  <c r="B297" i="4"/>
  <c r="B298" i="4"/>
  <c r="B299" i="4"/>
  <c r="B728" i="4"/>
  <c r="B23040" i="4"/>
  <c r="B729" i="4"/>
  <c r="B23041" i="4"/>
  <c r="B5294" i="4"/>
  <c r="B23042" i="4"/>
  <c r="B5408" i="4"/>
  <c r="B5409" i="4"/>
  <c r="B5410" i="4"/>
  <c r="B23043" i="4"/>
  <c r="B23044" i="4"/>
  <c r="B23045" i="4"/>
  <c r="B11755" i="4"/>
  <c r="B23046" i="4"/>
  <c r="B11756" i="4"/>
  <c r="B23047" i="4"/>
  <c r="B23048" i="4"/>
  <c r="B23049" i="4"/>
  <c r="B14664" i="4"/>
  <c r="B14665" i="4"/>
  <c r="B14666" i="4"/>
  <c r="B14667" i="4"/>
  <c r="B14668" i="4"/>
  <c r="B730" i="4"/>
  <c r="B731" i="4"/>
  <c r="B17894" i="4"/>
  <c r="B11757" i="4"/>
  <c r="B11758" i="4"/>
  <c r="B2218" i="4"/>
  <c r="B2219" i="4"/>
  <c r="B2220" i="4"/>
  <c r="B14669" i="4"/>
  <c r="B23050" i="4"/>
  <c r="B7613" i="4"/>
  <c r="B23051" i="4"/>
  <c r="B732" i="4"/>
  <c r="B733" i="4"/>
  <c r="B5689" i="4"/>
  <c r="B12400" i="4"/>
  <c r="B23052" i="4"/>
  <c r="B2221" i="4"/>
  <c r="B19054" i="4"/>
  <c r="B19055" i="4"/>
  <c r="B19056" i="4"/>
  <c r="B9763" i="4"/>
  <c r="B9764" i="4"/>
  <c r="B9765" i="4"/>
  <c r="B9766" i="4"/>
  <c r="B9767" i="4"/>
  <c r="B9768" i="4"/>
  <c r="B17669" i="4"/>
  <c r="B19057" i="4"/>
  <c r="B19058" i="4"/>
  <c r="B23053" i="4"/>
  <c r="B10148" i="4"/>
  <c r="B5295" i="4"/>
  <c r="B11759" i="4"/>
  <c r="B3725" i="4"/>
  <c r="B10149" i="4"/>
  <c r="B14670" i="4"/>
  <c r="B23054" i="4"/>
  <c r="B5690" i="4"/>
  <c r="B5691" i="4"/>
  <c r="B5692" i="4"/>
  <c r="B5693" i="4"/>
  <c r="B5296" i="4"/>
  <c r="B23055" i="4"/>
  <c r="B19059" i="4"/>
  <c r="B19060" i="4"/>
  <c r="B10150" i="4"/>
  <c r="B10151" i="4"/>
  <c r="B734" i="4"/>
  <c r="B735" i="4"/>
  <c r="B19061" i="4"/>
  <c r="B5411" i="4"/>
  <c r="B20536" i="4"/>
  <c r="B3726" i="4"/>
  <c r="B3727" i="4"/>
  <c r="B14671" i="4"/>
  <c r="B14672" i="4"/>
  <c r="B14673" i="4"/>
  <c r="B23056" i="4"/>
  <c r="B17676" i="4"/>
  <c r="B19062" i="4"/>
  <c r="B19063" i="4"/>
  <c r="B19064" i="4"/>
  <c r="B23057" i="4"/>
  <c r="B16092" i="4"/>
  <c r="B19065" i="4"/>
  <c r="B736" i="4"/>
  <c r="B23058" i="4"/>
  <c r="B2222" i="4"/>
  <c r="B2223" i="4"/>
  <c r="B2224" i="4"/>
  <c r="B737" i="4"/>
  <c r="B16093" i="4"/>
  <c r="B3728" i="4"/>
  <c r="B13425" i="4"/>
  <c r="B8533" i="4"/>
  <c r="B11760" i="4"/>
  <c r="B14674" i="4"/>
  <c r="B7614" i="4"/>
  <c r="B23059" i="4"/>
  <c r="B23060" i="4"/>
  <c r="B10152" i="4"/>
  <c r="B10153" i="4"/>
  <c r="B3729" i="4"/>
  <c r="B3730" i="4"/>
  <c r="B3731" i="4"/>
  <c r="B23061" i="4"/>
  <c r="B738" i="4"/>
  <c r="B739" i="4"/>
  <c r="B300" i="4"/>
  <c r="B23062" i="4"/>
  <c r="B740" i="4"/>
  <c r="B741" i="4"/>
  <c r="B23063" i="4"/>
  <c r="B16094" i="4"/>
  <c r="B16095" i="4"/>
  <c r="B16096" i="4"/>
  <c r="B16097" i="4"/>
  <c r="B23064" i="4"/>
  <c r="B19066" i="4"/>
  <c r="B23065" i="4"/>
  <c r="B23066" i="4"/>
  <c r="B20677" i="4"/>
  <c r="B20537" i="4"/>
  <c r="B5412" i="4"/>
  <c r="B7615" i="4"/>
  <c r="B23067" i="4"/>
  <c r="B23068" i="4"/>
  <c r="B15523" i="4"/>
  <c r="B23069" i="4"/>
  <c r="B10846" i="4"/>
  <c r="B10847" i="4"/>
  <c r="B14675" i="4"/>
  <c r="B5854" i="4"/>
  <c r="B10848" i="4"/>
  <c r="B17699" i="4"/>
  <c r="B23070" i="4"/>
  <c r="B9769" i="4"/>
  <c r="B23071" i="4"/>
  <c r="B23072" i="4"/>
  <c r="B23073" i="4"/>
  <c r="B23074" i="4"/>
  <c r="B23075" i="4"/>
  <c r="B23076" i="4"/>
  <c r="B12401" i="4"/>
  <c r="B23077" i="4"/>
  <c r="B12402" i="4"/>
  <c r="B23078" i="4"/>
  <c r="B20538" i="4"/>
  <c r="B23079" i="4"/>
  <c r="B14676" i="4"/>
  <c r="B14677" i="4"/>
  <c r="B23080" i="4"/>
  <c r="B23081" i="4"/>
  <c r="B8534" i="4"/>
  <c r="B11761" i="4"/>
  <c r="B23082" i="4"/>
  <c r="B11762" i="4"/>
  <c r="B11763" i="4"/>
  <c r="B11764" i="4"/>
  <c r="B11765" i="4"/>
  <c r="B23083" i="4"/>
  <c r="B3732" i="4"/>
  <c r="B23084" i="4"/>
  <c r="B13426" i="4"/>
  <c r="B3733" i="4"/>
  <c r="B3734" i="4"/>
  <c r="B17895" i="4"/>
  <c r="B23085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6258" i="4"/>
  <c r="B23086" i="4"/>
  <c r="B12258" i="4"/>
  <c r="B11766" i="4"/>
  <c r="B11767" i="4"/>
  <c r="B23087" i="4"/>
  <c r="B11768" i="4"/>
  <c r="B11769" i="4"/>
  <c r="B10154" i="4"/>
  <c r="B23088" i="4"/>
  <c r="B2225" i="4"/>
  <c r="B2226" i="4"/>
  <c r="B14678" i="4"/>
  <c r="B5855" i="4"/>
  <c r="B16098" i="4"/>
  <c r="B14679" i="4"/>
  <c r="B23089" i="4"/>
  <c r="B14680" i="4"/>
  <c r="B23090" i="4"/>
  <c r="B23091" i="4"/>
  <c r="B23092" i="4"/>
  <c r="B7616" i="4"/>
  <c r="B7617" i="4"/>
  <c r="B23093" i="4"/>
  <c r="B1945" i="4"/>
  <c r="B1946" i="4"/>
  <c r="B1947" i="4"/>
  <c r="B1948" i="4"/>
  <c r="B16099" i="4"/>
  <c r="B23094" i="4"/>
  <c r="B16100" i="4"/>
  <c r="B16101" i="4"/>
  <c r="B16102" i="4"/>
  <c r="B19067" i="4"/>
  <c r="B19068" i="4"/>
  <c r="B19069" i="4"/>
  <c r="B19070" i="4"/>
  <c r="B100" i="4"/>
  <c r="B101" i="4"/>
  <c r="B9770" i="4"/>
  <c r="B9771" i="4"/>
  <c r="B9772" i="4"/>
  <c r="B9773" i="4"/>
  <c r="B9774" i="4"/>
  <c r="B9775" i="4"/>
  <c r="B9776" i="4"/>
  <c r="B9777" i="4"/>
  <c r="B102" i="4"/>
  <c r="B103" i="4"/>
  <c r="B9778" i="4"/>
  <c r="B9779" i="4"/>
  <c r="B9780" i="4"/>
  <c r="B9781" i="4"/>
  <c r="B9782" i="4"/>
  <c r="B9954" i="4"/>
  <c r="B9412" i="4"/>
  <c r="B9413" i="4"/>
  <c r="B9414" i="4"/>
  <c r="B5946" i="4"/>
  <c r="B23095" i="4"/>
  <c r="B16103" i="4"/>
  <c r="B19071" i="4"/>
  <c r="B19072" i="4"/>
  <c r="B19073" i="4"/>
  <c r="B19074" i="4"/>
  <c r="B19075" i="4"/>
  <c r="B19076" i="4"/>
  <c r="B19077" i="4"/>
  <c r="B19078" i="4"/>
  <c r="B2507" i="4"/>
  <c r="B8535" i="4"/>
  <c r="B8536" i="4"/>
  <c r="B742" i="4"/>
  <c r="B23096" i="4"/>
  <c r="B3759" i="4"/>
  <c r="B3760" i="4"/>
  <c r="B3761" i="4"/>
  <c r="B13427" i="4"/>
  <c r="B8537" i="4"/>
  <c r="B8538" i="4"/>
  <c r="B2227" i="4"/>
  <c r="B9783" i="4"/>
  <c r="B8539" i="4"/>
  <c r="B10155" i="4"/>
  <c r="B23097" i="4"/>
  <c r="B23098" i="4"/>
  <c r="B14681" i="4"/>
  <c r="B7618" i="4"/>
  <c r="B7619" i="4"/>
  <c r="B8540" i="4"/>
  <c r="B8541" i="4"/>
  <c r="B11770" i="4"/>
  <c r="B2228" i="4"/>
  <c r="B2229" i="4"/>
  <c r="B7620" i="4"/>
  <c r="B7621" i="4"/>
  <c r="B23099" i="4"/>
  <c r="B23100" i="4"/>
  <c r="B16104" i="4"/>
  <c r="B16105" i="4"/>
  <c r="B16106" i="4"/>
  <c r="B23101" i="4"/>
  <c r="B20539" i="4"/>
  <c r="B23102" i="4"/>
  <c r="B2230" i="4"/>
  <c r="B2231" i="4"/>
  <c r="B6259" i="4"/>
  <c r="B23103" i="4"/>
  <c r="B11771" i="4"/>
  <c r="B23104" i="4"/>
  <c r="B23105" i="4"/>
  <c r="B23106" i="4"/>
  <c r="B16107" i="4"/>
  <c r="B19079" i="4"/>
  <c r="B15524" i="4"/>
  <c r="B19080" i="4"/>
  <c r="B12403" i="4"/>
  <c r="B14682" i="4"/>
  <c r="B23107" i="4"/>
  <c r="B7622" i="4"/>
  <c r="B1733" i="4"/>
  <c r="B5947" i="4"/>
  <c r="B14683" i="4"/>
  <c r="B17735" i="4"/>
  <c r="B7623" i="4"/>
  <c r="B19081" i="4"/>
  <c r="B19082" i="4"/>
  <c r="B743" i="4"/>
  <c r="B744" i="4"/>
  <c r="B23108" i="4"/>
  <c r="B23109" i="4"/>
  <c r="B16108" i="4"/>
  <c r="B23110" i="4"/>
  <c r="B16109" i="4"/>
  <c r="B5297" i="4"/>
  <c r="B23111" i="4"/>
  <c r="B5413" i="4"/>
  <c r="B7624" i="4"/>
  <c r="B23112" i="4"/>
  <c r="B7625" i="4"/>
  <c r="B23113" i="4"/>
  <c r="B23114" i="4"/>
  <c r="B23115" i="4"/>
  <c r="B14684" i="4"/>
  <c r="B14685" i="4"/>
  <c r="B13258" i="4"/>
  <c r="B7626" i="4"/>
  <c r="B10156" i="4"/>
  <c r="B10157" i="4"/>
  <c r="B23116" i="4"/>
  <c r="B11417" i="4"/>
  <c r="B11418" i="4"/>
  <c r="B14232" i="4"/>
  <c r="B11419" i="4"/>
  <c r="B5131" i="4"/>
  <c r="B15369" i="4"/>
  <c r="B21939" i="4"/>
  <c r="B3155" i="4"/>
  <c r="B21940" i="4"/>
  <c r="B3156" i="4"/>
  <c r="B3157" i="4"/>
  <c r="B3158" i="4"/>
  <c r="B3159" i="4"/>
  <c r="B21941" i="4"/>
  <c r="B3160" i="4"/>
  <c r="B3161" i="4"/>
  <c r="B21942" i="4"/>
  <c r="B3162" i="4"/>
  <c r="B3163" i="4"/>
  <c r="B3164" i="4"/>
  <c r="B3165" i="4"/>
  <c r="B18039" i="4"/>
  <c r="B10047" i="4"/>
  <c r="B3166" i="4"/>
  <c r="B3167" i="4"/>
  <c r="B3168" i="4"/>
  <c r="B3169" i="4"/>
  <c r="B3170" i="4"/>
  <c r="B3171" i="4"/>
  <c r="B3172" i="4"/>
  <c r="B6223" i="4"/>
  <c r="B5823" i="4"/>
  <c r="B21943" i="4"/>
  <c r="B20777" i="4"/>
  <c r="B14233" i="4"/>
  <c r="B14234" i="4"/>
  <c r="B14235" i="4"/>
  <c r="B14236" i="4"/>
  <c r="B11420" i="4"/>
  <c r="B21944" i="4"/>
  <c r="B11421" i="4"/>
  <c r="B21945" i="4"/>
  <c r="B11422" i="4"/>
  <c r="B11423" i="4"/>
  <c r="B11424" i="4"/>
  <c r="B21946" i="4"/>
  <c r="B13374" i="4"/>
  <c r="B13375" i="4"/>
  <c r="B21947" i="4"/>
  <c r="B13376" i="4"/>
  <c r="B13377" i="4"/>
  <c r="B21948" i="4"/>
  <c r="B11425" i="4"/>
  <c r="B11426" i="4"/>
  <c r="B10048" i="4"/>
  <c r="B21949" i="4"/>
  <c r="B10049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10050" i="4"/>
  <c r="B6224" i="4"/>
  <c r="B6225" i="4"/>
  <c r="B1709" i="4"/>
  <c r="B1710" i="4"/>
  <c r="B3187" i="4"/>
  <c r="B3188" i="4"/>
  <c r="B13378" i="4"/>
  <c r="B3189" i="4"/>
  <c r="B3190" i="4"/>
  <c r="B3191" i="4"/>
  <c r="B3192" i="4"/>
  <c r="B3193" i="4"/>
  <c r="B13379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10051" i="4"/>
  <c r="B10052" i="4"/>
  <c r="B3207" i="4"/>
  <c r="B3208" i="4"/>
  <c r="B3209" i="4"/>
  <c r="B13380" i="4"/>
  <c r="B13381" i="4"/>
  <c r="B13382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21950" i="4"/>
  <c r="B3225" i="4"/>
  <c r="B3226" i="4"/>
  <c r="B3227" i="4"/>
  <c r="B3228" i="4"/>
  <c r="B3229" i="4"/>
  <c r="B10993" i="4"/>
  <c r="B8505" i="4"/>
  <c r="B8506" i="4"/>
  <c r="B17882" i="4"/>
  <c r="B6511" i="4"/>
  <c r="B8507" i="4"/>
  <c r="B3230" i="4"/>
  <c r="B3231" i="4"/>
  <c r="B3232" i="4"/>
  <c r="B8508" i="4"/>
  <c r="B8509" i="4"/>
  <c r="B17883" i="4"/>
  <c r="B11427" i="4"/>
  <c r="B3233" i="4"/>
  <c r="B3234" i="4"/>
  <c r="B3235" i="4"/>
  <c r="B21951" i="4"/>
  <c r="B3236" i="4"/>
  <c r="B3237" i="4"/>
  <c r="B3238" i="4"/>
  <c r="B3239" i="4"/>
  <c r="B3240" i="4"/>
  <c r="B3241" i="4"/>
  <c r="B3242" i="4"/>
  <c r="B3243" i="4"/>
  <c r="B3244" i="4"/>
  <c r="B21952" i="4"/>
  <c r="B3245" i="4"/>
  <c r="B3246" i="4"/>
  <c r="B3247" i="4"/>
  <c r="B3248" i="4"/>
  <c r="B8510" i="4"/>
  <c r="B6512" i="4"/>
  <c r="B10053" i="4"/>
  <c r="B12237" i="4"/>
  <c r="B12238" i="4"/>
  <c r="B239" i="4"/>
  <c r="B11428" i="4"/>
  <c r="B11429" i="4"/>
  <c r="B11430" i="4"/>
  <c r="B11431" i="4"/>
  <c r="B11432" i="4"/>
  <c r="B11433" i="4"/>
  <c r="B11434" i="4"/>
  <c r="B21953" i="4"/>
  <c r="B14237" i="4"/>
  <c r="B14238" i="4"/>
  <c r="B14239" i="4"/>
  <c r="B14240" i="4"/>
  <c r="B14241" i="4"/>
  <c r="B11435" i="4"/>
  <c r="B11436" i="4"/>
  <c r="B20778" i="4"/>
  <c r="B20779" i="4"/>
  <c r="B20780" i="4"/>
  <c r="B20781" i="4"/>
  <c r="B20782" i="4"/>
  <c r="B20783" i="4"/>
  <c r="B18593" i="4"/>
  <c r="B18594" i="4"/>
  <c r="B14242" i="4"/>
  <c r="B14243" i="4"/>
  <c r="B5824" i="4"/>
  <c r="B5825" i="4"/>
  <c r="B9644" i="4"/>
  <c r="B9645" i="4"/>
  <c r="B9646" i="4"/>
  <c r="B9647" i="4"/>
  <c r="B14244" i="4"/>
  <c r="B21954" i="4"/>
  <c r="B11437" i="4"/>
  <c r="B11438" i="4"/>
  <c r="B11439" i="4"/>
  <c r="B11440" i="4"/>
  <c r="B11441" i="4"/>
  <c r="B11442" i="4"/>
  <c r="B11443" i="4"/>
  <c r="B11444" i="4"/>
  <c r="B11445" i="4"/>
  <c r="B11446" i="4"/>
  <c r="B11447" i="4"/>
  <c r="B21955" i="4"/>
  <c r="B11448" i="4"/>
  <c r="B21956" i="4"/>
  <c r="B21957" i="4"/>
  <c r="B12874" i="4"/>
  <c r="B11449" i="4"/>
  <c r="B11450" i="4"/>
  <c r="B11451" i="4"/>
  <c r="B7509" i="4"/>
  <c r="B555" i="4"/>
  <c r="B13590" i="4"/>
  <c r="B13591" i="4"/>
  <c r="B13592" i="4"/>
  <c r="B21958" i="4"/>
  <c r="B11452" i="4"/>
  <c r="B11453" i="4"/>
  <c r="B11454" i="4"/>
  <c r="B11455" i="4"/>
  <c r="B11456" i="4"/>
  <c r="B11457" i="4"/>
  <c r="B21959" i="4"/>
  <c r="B21960" i="4"/>
  <c r="B13593" i="4"/>
  <c r="B13594" i="4"/>
  <c r="B21961" i="4"/>
  <c r="B2074" i="4"/>
  <c r="B17716" i="4"/>
  <c r="B21962" i="4"/>
  <c r="B7510" i="4"/>
  <c r="B7511" i="4"/>
  <c r="B7512" i="4"/>
  <c r="B2075" i="4"/>
  <c r="B21963" i="4"/>
  <c r="B18595" i="4"/>
  <c r="B18596" i="4"/>
  <c r="B9648" i="4"/>
  <c r="B63" i="4"/>
  <c r="B5132" i="4"/>
  <c r="B21964" i="4"/>
  <c r="B13244" i="4"/>
  <c r="B3249" i="4"/>
  <c r="B14245" i="4"/>
  <c r="B14246" i="4"/>
  <c r="B5679" i="4"/>
  <c r="B5680" i="4"/>
  <c r="B3250" i="4"/>
  <c r="B3251" i="4"/>
  <c r="B21965" i="4"/>
  <c r="B21966" i="4"/>
  <c r="B21967" i="4"/>
  <c r="B21968" i="4"/>
  <c r="B21969" i="4"/>
  <c r="B21970" i="4"/>
  <c r="B15855" i="4"/>
  <c r="B15856" i="4"/>
  <c r="B18597" i="4"/>
  <c r="B21971" i="4"/>
  <c r="B11458" i="4"/>
  <c r="B21972" i="4"/>
  <c r="B14247" i="4"/>
  <c r="B21973" i="4"/>
  <c r="B15443" i="4"/>
  <c r="B15444" i="4"/>
  <c r="B21974" i="4"/>
  <c r="B3252" i="4"/>
  <c r="B10054" i="4"/>
  <c r="B10055" i="4"/>
  <c r="B8511" i="4"/>
  <c r="B21975" i="4"/>
  <c r="B3253" i="4"/>
  <c r="B20666" i="4"/>
  <c r="B17269" i="4"/>
  <c r="B17270" i="4"/>
  <c r="B18598" i="4"/>
  <c r="B18599" i="4"/>
  <c r="B18600" i="4"/>
  <c r="B18601" i="4"/>
  <c r="B18602" i="4"/>
  <c r="B14248" i="4"/>
  <c r="B8471" i="4"/>
  <c r="B15857" i="4"/>
  <c r="B18603" i="4"/>
  <c r="B21976" i="4"/>
  <c r="B21977" i="4"/>
  <c r="B11459" i="4"/>
  <c r="B21978" i="4"/>
  <c r="B556" i="4"/>
  <c r="B18604" i="4"/>
  <c r="B18605" i="4"/>
  <c r="B240" i="4"/>
  <c r="B241" i="4"/>
  <c r="B21979" i="4"/>
  <c r="B21980" i="4"/>
  <c r="B21981" i="4"/>
  <c r="B5579" i="4"/>
  <c r="B242" i="4"/>
  <c r="B243" i="4"/>
  <c r="B21982" i="4"/>
  <c r="B21983" i="4"/>
  <c r="B21984" i="4"/>
  <c r="B21985" i="4"/>
  <c r="B21986" i="4"/>
  <c r="B21987" i="4"/>
  <c r="B12324" i="4"/>
  <c r="B21988" i="4"/>
  <c r="B21989" i="4"/>
  <c r="B21990" i="4"/>
  <c r="B21991" i="4"/>
  <c r="B14249" i="4"/>
  <c r="B14250" i="4"/>
  <c r="B2076" i="4"/>
  <c r="B2077" i="4"/>
  <c r="B2078" i="4"/>
  <c r="B14251" i="4"/>
  <c r="B2079" i="4"/>
  <c r="B2080" i="4"/>
  <c r="B14252" i="4"/>
  <c r="B7513" i="4"/>
  <c r="B7514" i="4"/>
  <c r="B7515" i="4"/>
  <c r="B21992" i="4"/>
  <c r="B9649" i="4"/>
  <c r="B21993" i="4"/>
  <c r="B11460" i="4"/>
  <c r="B21994" i="4"/>
  <c r="B11461" i="4"/>
  <c r="B21995" i="4"/>
  <c r="B11462" i="4"/>
  <c r="B11463" i="4"/>
  <c r="B11464" i="4"/>
  <c r="B11465" i="4"/>
  <c r="B11466" i="4"/>
  <c r="B11467" i="4"/>
  <c r="B11468" i="4"/>
  <c r="B11469" i="4"/>
  <c r="B21996" i="4"/>
  <c r="B11470" i="4"/>
  <c r="B11471" i="4"/>
  <c r="B11472" i="4"/>
  <c r="B3254" i="4"/>
  <c r="B3255" i="4"/>
  <c r="B21997" i="4"/>
  <c r="B3256" i="4"/>
  <c r="B3257" i="4"/>
  <c r="B21998" i="4"/>
  <c r="B3258" i="4"/>
  <c r="B3259" i="4"/>
  <c r="B3260" i="4"/>
  <c r="B3261" i="4"/>
  <c r="B3262" i="4"/>
  <c r="B3263" i="4"/>
  <c r="B3264" i="4"/>
  <c r="B3265" i="4"/>
  <c r="B3266" i="4"/>
  <c r="B11473" i="4"/>
  <c r="B11474" i="4"/>
  <c r="B11475" i="4"/>
  <c r="B11476" i="4"/>
  <c r="B11477" i="4"/>
  <c r="B21999" i="4"/>
  <c r="B11478" i="4"/>
  <c r="B14253" i="4"/>
  <c r="B9650" i="4"/>
  <c r="B14254" i="4"/>
  <c r="B14255" i="4"/>
  <c r="B14256" i="4"/>
  <c r="B557" i="4"/>
  <c r="B14257" i="4"/>
  <c r="B14258" i="4"/>
  <c r="B22000" i="4"/>
  <c r="B14259" i="4"/>
  <c r="B14260" i="4"/>
  <c r="B14261" i="4"/>
  <c r="B14262" i="4"/>
  <c r="B14263" i="4"/>
  <c r="B22001" i="4"/>
  <c r="B5916" i="4"/>
  <c r="B1930" i="4"/>
  <c r="B15490" i="4"/>
  <c r="B15491" i="4"/>
  <c r="B9386" i="4"/>
  <c r="B15858" i="4"/>
  <c r="B15859" i="4"/>
  <c r="B15860" i="4"/>
  <c r="B15861" i="4"/>
  <c r="B15862" i="4"/>
  <c r="B18606" i="4"/>
  <c r="B22002" i="4"/>
  <c r="B18607" i="4"/>
  <c r="B18608" i="4"/>
  <c r="B18609" i="4"/>
  <c r="B22003" i="4"/>
  <c r="B18610" i="4"/>
  <c r="B18611" i="4"/>
  <c r="B18612" i="4"/>
  <c r="B18613" i="4"/>
  <c r="B18614" i="4"/>
  <c r="B22004" i="4"/>
  <c r="B18615" i="4"/>
  <c r="B64" i="4"/>
  <c r="B22005" i="4"/>
  <c r="B9651" i="4"/>
  <c r="B22006" i="4"/>
  <c r="B20523" i="4"/>
  <c r="B22007" i="4"/>
  <c r="B18616" i="4"/>
  <c r="B18617" i="4"/>
  <c r="B18618" i="4"/>
  <c r="B18619" i="4"/>
  <c r="B22008" i="4"/>
  <c r="B13034" i="4"/>
  <c r="B18620" i="4"/>
  <c r="B18621" i="4"/>
  <c r="B18622" i="4"/>
  <c r="B15863" i="4"/>
  <c r="B18623" i="4"/>
  <c r="B22009" i="4"/>
  <c r="B22010" i="4"/>
  <c r="B12325" i="4"/>
  <c r="B11479" i="4"/>
  <c r="B11480" i="4"/>
  <c r="B11481" i="4"/>
  <c r="B11482" i="4"/>
  <c r="B11483" i="4"/>
  <c r="B11484" i="4"/>
  <c r="B3267" i="4"/>
  <c r="B3268" i="4"/>
  <c r="B11485" i="4"/>
  <c r="B11486" i="4"/>
  <c r="B11487" i="4"/>
  <c r="B11488" i="4"/>
  <c r="B11489" i="4"/>
  <c r="B2081" i="4"/>
  <c r="B2082" i="4"/>
  <c r="B11490" i="4"/>
  <c r="B11491" i="4"/>
  <c r="B558" i="4"/>
  <c r="B559" i="4"/>
  <c r="B15593" i="4"/>
  <c r="B14264" i="4"/>
  <c r="B18624" i="4"/>
  <c r="B18625" i="4"/>
  <c r="B18626" i="4"/>
  <c r="B22011" i="4"/>
  <c r="B22012" i="4"/>
  <c r="B22013" i="4"/>
  <c r="B18627" i="4"/>
  <c r="B18628" i="4"/>
  <c r="B18629" i="4"/>
  <c r="B22014" i="4"/>
  <c r="B18630" i="4"/>
  <c r="B18631" i="4"/>
  <c r="B18632" i="4"/>
  <c r="B18633" i="4"/>
  <c r="B18634" i="4"/>
  <c r="B22015" i="4"/>
  <c r="B560" i="4"/>
  <c r="B17589" i="4"/>
  <c r="B15864" i="4"/>
  <c r="B15865" i="4"/>
  <c r="B15866" i="4"/>
  <c r="B15867" i="4"/>
  <c r="B22016" i="4"/>
  <c r="B22017" i="4"/>
  <c r="B15868" i="4"/>
  <c r="B244" i="4"/>
  <c r="B22018" i="4"/>
  <c r="B5383" i="4"/>
  <c r="B8452" i="4"/>
  <c r="B8453" i="4"/>
  <c r="B7516" i="4"/>
  <c r="B22019" i="4"/>
  <c r="B22020" i="4"/>
  <c r="B22021" i="4"/>
  <c r="B22022" i="4"/>
  <c r="B10827" i="4"/>
  <c r="B22023" i="4"/>
  <c r="B22024" i="4"/>
  <c r="B22025" i="4"/>
  <c r="B15869" i="4"/>
  <c r="B15870" i="4"/>
  <c r="B22026" i="4"/>
  <c r="B15871" i="4"/>
  <c r="B22027" i="4"/>
  <c r="B22028" i="4"/>
  <c r="B22029" i="4"/>
  <c r="B15872" i="4"/>
  <c r="B15873" i="4"/>
  <c r="B22030" i="4"/>
  <c r="B22031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22032" i="4"/>
  <c r="B10828" i="4"/>
  <c r="B10829" i="4"/>
  <c r="B22033" i="4"/>
  <c r="B22034" i="4"/>
  <c r="B22035" i="4"/>
  <c r="B22036" i="4"/>
  <c r="B5842" i="4"/>
  <c r="B22037" i="4"/>
  <c r="B22038" i="4"/>
  <c r="B12326" i="4"/>
  <c r="B12327" i="4"/>
  <c r="B22039" i="4"/>
  <c r="B22040" i="4"/>
  <c r="B22041" i="4"/>
  <c r="B14265" i="4"/>
  <c r="B14266" i="4"/>
  <c r="B22042" i="4"/>
  <c r="B22043" i="4"/>
  <c r="B14267" i="4"/>
  <c r="B14268" i="4"/>
  <c r="B14269" i="4"/>
  <c r="B22044" i="4"/>
  <c r="B22045" i="4"/>
  <c r="B14270" i="4"/>
  <c r="B22046" i="4"/>
  <c r="B22047" i="4"/>
  <c r="B14271" i="4"/>
  <c r="B14272" i="4"/>
  <c r="B14273" i="4"/>
  <c r="B14274" i="4"/>
  <c r="B14275" i="4"/>
  <c r="B14276" i="4"/>
  <c r="B14277" i="4"/>
  <c r="B14278" i="4"/>
  <c r="B14279" i="4"/>
  <c r="B14280" i="4"/>
  <c r="B14281" i="4"/>
  <c r="B22048" i="4"/>
  <c r="B14282" i="4"/>
  <c r="B22049" i="4"/>
  <c r="B13383" i="4"/>
  <c r="B9652" i="4"/>
  <c r="B18635" i="4"/>
  <c r="B22050" i="4"/>
  <c r="B3269" i="4"/>
  <c r="B22051" i="4"/>
  <c r="B11492" i="4"/>
  <c r="B11493" i="4"/>
  <c r="B5917" i="4"/>
  <c r="B22052" i="4"/>
  <c r="B22053" i="4"/>
  <c r="B22054" i="4"/>
  <c r="B20784" i="4"/>
  <c r="B22055" i="4"/>
  <c r="B22056" i="4"/>
  <c r="B18636" i="4"/>
  <c r="B14283" i="4"/>
  <c r="B14284" i="4"/>
  <c r="B14285" i="4"/>
  <c r="B14286" i="4"/>
  <c r="B22057" i="4"/>
  <c r="B22058" i="4"/>
  <c r="B14287" i="4"/>
  <c r="B14288" i="4"/>
  <c r="B22059" i="4"/>
  <c r="B14289" i="4"/>
  <c r="B22060" i="4"/>
  <c r="B22061" i="4"/>
  <c r="B14290" i="4"/>
  <c r="B14291" i="4"/>
  <c r="B14292" i="4"/>
  <c r="B22062" i="4"/>
  <c r="B14293" i="4"/>
  <c r="B14294" i="4"/>
  <c r="B14295" i="4"/>
  <c r="B14296" i="4"/>
  <c r="B14297" i="4"/>
  <c r="B14298" i="4"/>
  <c r="B14299" i="4"/>
  <c r="B22063" i="4"/>
  <c r="B561" i="4"/>
  <c r="B8362" i="4"/>
  <c r="B15874" i="4"/>
  <c r="B15875" i="4"/>
  <c r="B15876" i="4"/>
  <c r="B15877" i="4"/>
  <c r="B15878" i="4"/>
  <c r="B14300" i="4"/>
  <c r="B22064" i="4"/>
  <c r="B14301" i="4"/>
  <c r="B22065" i="4"/>
  <c r="B14302" i="4"/>
  <c r="B14303" i="4"/>
  <c r="B14304" i="4"/>
  <c r="B5843" i="4"/>
  <c r="B5844" i="4"/>
  <c r="B14305" i="4"/>
  <c r="B14306" i="4"/>
  <c r="B14307" i="4"/>
  <c r="B14308" i="4"/>
  <c r="B14309" i="4"/>
  <c r="B14310" i="4"/>
  <c r="B14311" i="4"/>
  <c r="B14312" i="4"/>
  <c r="B14313" i="4"/>
  <c r="B14314" i="4"/>
  <c r="B14315" i="4"/>
  <c r="B14316" i="4"/>
  <c r="B14317" i="4"/>
  <c r="B14318" i="4"/>
  <c r="B14319" i="4"/>
  <c r="B14320" i="4"/>
  <c r="B14321" i="4"/>
  <c r="B14322" i="4"/>
  <c r="B14323" i="4"/>
  <c r="B14324" i="4"/>
  <c r="B14325" i="4"/>
  <c r="B14326" i="4"/>
  <c r="B14327" i="4"/>
  <c r="B14328" i="4"/>
  <c r="B14329" i="4"/>
  <c r="B14330" i="4"/>
  <c r="B14331" i="4"/>
  <c r="B5845" i="4"/>
  <c r="B5846" i="4"/>
  <c r="B22066" i="4"/>
  <c r="B5847" i="4"/>
  <c r="B5848" i="4"/>
  <c r="B5849" i="4"/>
  <c r="B14332" i="4"/>
  <c r="B18119" i="4"/>
  <c r="B22067" i="4"/>
  <c r="B18120" i="4"/>
  <c r="B22068" i="4"/>
  <c r="B18121" i="4"/>
  <c r="B2083" i="4"/>
  <c r="B22069" i="4"/>
  <c r="B2084" i="4"/>
  <c r="B12239" i="4"/>
  <c r="B12240" i="4"/>
  <c r="B12241" i="4"/>
  <c r="B8512" i="4"/>
  <c r="B22070" i="4"/>
  <c r="B8513" i="4"/>
  <c r="B22071" i="4"/>
  <c r="B15879" i="4"/>
  <c r="B15880" i="4"/>
  <c r="B15492" i="4"/>
  <c r="B15493" i="4"/>
  <c r="B15494" i="4"/>
  <c r="B22072" i="4"/>
  <c r="B15495" i="4"/>
  <c r="B15496" i="4"/>
  <c r="B15497" i="4"/>
  <c r="B15498" i="4"/>
  <c r="B15499" i="4"/>
  <c r="B15500" i="4"/>
  <c r="B15501" i="4"/>
  <c r="B15502" i="4"/>
  <c r="B22073" i="4"/>
  <c r="B15881" i="4"/>
  <c r="B15882" i="4"/>
  <c r="B22074" i="4"/>
  <c r="B22075" i="4"/>
  <c r="B22076" i="4"/>
  <c r="B22077" i="4"/>
  <c r="B22078" i="4"/>
  <c r="B15883" i="4"/>
  <c r="B15884" i="4"/>
  <c r="B22079" i="4"/>
  <c r="B15885" i="4"/>
  <c r="B15886" i="4"/>
  <c r="B22080" i="4"/>
  <c r="B15887" i="4"/>
  <c r="B15888" i="4"/>
  <c r="B15889" i="4"/>
  <c r="B15890" i="4"/>
  <c r="B22081" i="4"/>
  <c r="B15891" i="4"/>
  <c r="B22082" i="4"/>
  <c r="B22083" i="4"/>
  <c r="B18637" i="4"/>
  <c r="B18638" i="4"/>
  <c r="B18639" i="4"/>
  <c r="B18640" i="4"/>
  <c r="B18641" i="4"/>
  <c r="B22084" i="4"/>
  <c r="B22085" i="4"/>
  <c r="B18642" i="4"/>
  <c r="B18643" i="4"/>
  <c r="B18644" i="4"/>
  <c r="B22086" i="4"/>
  <c r="B22087" i="4"/>
  <c r="B18645" i="4"/>
  <c r="B18646" i="4"/>
  <c r="B18647" i="4"/>
  <c r="B18648" i="4"/>
  <c r="B22088" i="4"/>
  <c r="B22089" i="4"/>
  <c r="B13" i="4"/>
  <c r="B9949" i="4"/>
  <c r="B9950" i="4"/>
  <c r="B9387" i="4"/>
  <c r="B9388" i="4"/>
  <c r="B9389" i="4"/>
  <c r="B65" i="4"/>
  <c r="B9653" i="4"/>
  <c r="B9654" i="4"/>
  <c r="B22090" i="4"/>
  <c r="B9655" i="4"/>
  <c r="B66" i="4"/>
  <c r="B9656" i="4"/>
  <c r="B9657" i="4"/>
  <c r="B9658" i="4"/>
  <c r="B9659" i="4"/>
  <c r="B9660" i="4"/>
  <c r="B9661" i="4"/>
  <c r="B9662" i="4"/>
  <c r="B9663" i="4"/>
  <c r="B9664" i="4"/>
  <c r="B9665" i="4"/>
  <c r="B9666" i="4"/>
  <c r="B22091" i="4"/>
  <c r="B9667" i="4"/>
  <c r="B9668" i="4"/>
  <c r="B22092" i="4"/>
  <c r="B9669" i="4"/>
  <c r="B22093" i="4"/>
  <c r="B2501" i="4"/>
  <c r="B22094" i="4"/>
  <c r="B13245" i="4"/>
  <c r="B18649" i="4"/>
  <c r="B18650" i="4"/>
  <c r="B18651" i="4"/>
  <c r="B13035" i="4"/>
  <c r="B22095" i="4"/>
  <c r="B18652" i="4"/>
  <c r="B18653" i="4"/>
  <c r="B18654" i="4"/>
  <c r="B18655" i="4"/>
  <c r="B18656" i="4"/>
  <c r="B13036" i="4"/>
  <c r="B13037" i="4"/>
  <c r="B22096" i="4"/>
  <c r="B15370" i="4"/>
  <c r="B22097" i="4"/>
  <c r="B22098" i="4"/>
  <c r="B22099" i="4"/>
  <c r="B22100" i="4"/>
  <c r="B22101" i="4"/>
  <c r="B22102" i="4"/>
  <c r="B14333" i="4"/>
  <c r="B2085" i="4"/>
  <c r="B3270" i="4"/>
  <c r="B2086" i="4"/>
  <c r="B22103" i="4"/>
  <c r="B12875" i="4"/>
  <c r="B22104" i="4"/>
  <c r="B5133" i="4"/>
  <c r="B8363" i="4"/>
  <c r="B18657" i="4"/>
  <c r="B18658" i="4"/>
  <c r="B18659" i="4"/>
  <c r="B15892" i="4"/>
  <c r="B15893" i="4"/>
  <c r="B13384" i="4"/>
  <c r="B13385" i="4"/>
  <c r="B13386" i="4"/>
  <c r="B3271" i="4"/>
  <c r="B13387" i="4"/>
  <c r="B13388" i="4"/>
  <c r="B8514" i="4"/>
  <c r="B3272" i="4"/>
  <c r="B22105" i="4"/>
  <c r="B22106" i="4"/>
  <c r="B22107" i="4"/>
  <c r="B22108" i="4"/>
  <c r="B15445" i="4"/>
  <c r="B15446" i="4"/>
  <c r="B10056" i="4"/>
  <c r="B13389" i="4"/>
  <c r="B11494" i="4"/>
  <c r="B11495" i="4"/>
  <c r="B17271" i="4"/>
  <c r="B17272" i="4"/>
  <c r="B17273" i="4"/>
  <c r="B17274" i="4"/>
  <c r="B14334" i="4"/>
  <c r="B14335" i="4"/>
  <c r="B14336" i="4"/>
  <c r="B2087" i="4"/>
  <c r="B2088" i="4"/>
  <c r="B8472" i="4"/>
  <c r="B8454" i="4"/>
  <c r="B22109" i="4"/>
  <c r="B18660" i="4"/>
  <c r="B18661" i="4"/>
  <c r="B22110" i="4"/>
  <c r="B22111" i="4"/>
  <c r="B18662" i="4"/>
  <c r="B18663" i="4"/>
  <c r="B18664" i="4"/>
  <c r="B18665" i="4"/>
  <c r="B18666" i="4"/>
  <c r="B18667" i="4"/>
  <c r="B22112" i="4"/>
  <c r="B18668" i="4"/>
  <c r="B22113" i="4"/>
  <c r="B22114" i="4"/>
  <c r="B18669" i="4"/>
  <c r="B10057" i="4"/>
  <c r="B22115" i="4"/>
  <c r="B22116" i="4"/>
  <c r="B22117" i="4"/>
  <c r="B22118" i="4"/>
  <c r="B22119" i="4"/>
  <c r="B6226" i="4"/>
  <c r="B22120" i="4"/>
  <c r="B11496" i="4"/>
  <c r="B11497" i="4"/>
  <c r="B11498" i="4"/>
  <c r="B11499" i="4"/>
  <c r="B11500" i="4"/>
  <c r="B11501" i="4"/>
  <c r="B18670" i="4"/>
  <c r="B18671" i="4"/>
  <c r="B18672" i="4"/>
  <c r="B17717" i="4"/>
  <c r="B17718" i="4"/>
  <c r="B17719" i="4"/>
  <c r="B17720" i="4"/>
  <c r="B22121" i="4"/>
  <c r="B14337" i="4"/>
  <c r="B14338" i="4"/>
  <c r="B14339" i="4"/>
  <c r="B22122" i="4"/>
  <c r="B14340" i="4"/>
  <c r="B22123" i="4"/>
  <c r="B2089" i="4"/>
  <c r="B22124" i="4"/>
  <c r="B2090" i="4"/>
  <c r="B67" i="4"/>
  <c r="B68" i="4"/>
  <c r="B9670" i="4"/>
  <c r="B9671" i="4"/>
  <c r="B9672" i="4"/>
  <c r="B9673" i="4"/>
  <c r="B3273" i="4"/>
  <c r="B13390" i="4"/>
  <c r="B3274" i="4"/>
  <c r="B3275" i="4"/>
  <c r="B3276" i="4"/>
  <c r="B3277" i="4"/>
  <c r="B6513" i="4"/>
  <c r="B22125" i="4"/>
  <c r="B3278" i="4"/>
  <c r="B3279" i="4"/>
  <c r="B3280" i="4"/>
  <c r="B22126" i="4"/>
  <c r="B14341" i="4"/>
  <c r="B7517" i="4"/>
  <c r="B7518" i="4"/>
  <c r="B22127" i="4"/>
  <c r="B3281" i="4"/>
  <c r="B3282" i="4"/>
  <c r="B3283" i="4"/>
  <c r="B11502" i="4"/>
  <c r="B11503" i="4"/>
  <c r="B11504" i="4"/>
  <c r="B6227" i="4"/>
  <c r="B5134" i="4"/>
  <c r="B10058" i="4"/>
  <c r="B6228" i="4"/>
  <c r="B6229" i="4"/>
  <c r="B3284" i="4"/>
  <c r="B3285" i="4"/>
  <c r="B3286" i="4"/>
  <c r="B3287" i="4"/>
  <c r="B3288" i="4"/>
  <c r="B6514" i="4"/>
  <c r="B6515" i="4"/>
  <c r="B13391" i="4"/>
  <c r="B13392" i="4"/>
  <c r="B22128" i="4"/>
  <c r="B13393" i="4"/>
  <c r="B3289" i="4"/>
  <c r="B3290" i="4"/>
  <c r="B13394" i="4"/>
  <c r="B13395" i="4"/>
  <c r="B10059" i="4"/>
  <c r="B10060" i="4"/>
  <c r="B22129" i="4"/>
  <c r="B10061" i="4"/>
  <c r="B3291" i="4"/>
  <c r="B22130" i="4"/>
  <c r="B3292" i="4"/>
  <c r="B3293" i="4"/>
  <c r="B3294" i="4"/>
  <c r="B3295" i="4"/>
  <c r="B3296" i="4"/>
  <c r="B3297" i="4"/>
  <c r="B3298" i="4"/>
  <c r="B3299" i="4"/>
  <c r="B3300" i="4"/>
  <c r="B10062" i="4"/>
  <c r="B3301" i="4"/>
  <c r="B3302" i="4"/>
  <c r="B3303" i="4"/>
  <c r="B3304" i="4"/>
  <c r="B3305" i="4"/>
  <c r="B3306" i="4"/>
  <c r="B3307" i="4"/>
  <c r="B10063" i="4"/>
  <c r="B5135" i="4"/>
  <c r="B5136" i="4"/>
  <c r="B11505" i="4"/>
  <c r="B11506" i="4"/>
  <c r="B11507" i="4"/>
  <c r="B22131" i="4"/>
  <c r="B11508" i="4"/>
  <c r="B11509" i="4"/>
  <c r="B11510" i="4"/>
  <c r="B11511" i="4"/>
  <c r="B22132" i="4"/>
  <c r="B22133" i="4"/>
  <c r="B14342" i="4"/>
  <c r="B18673" i="4"/>
  <c r="B18674" i="4"/>
  <c r="B18675" i="4"/>
  <c r="B18676" i="4"/>
  <c r="B18677" i="4"/>
  <c r="B15894" i="4"/>
  <c r="B15895" i="4"/>
  <c r="B22134" i="4"/>
  <c r="B14343" i="4"/>
  <c r="B14344" i="4"/>
  <c r="B14345" i="4"/>
  <c r="B22135" i="4"/>
  <c r="B15503" i="4"/>
  <c r="B22136" i="4"/>
  <c r="B11512" i="4"/>
  <c r="B3308" i="4"/>
  <c r="B3309" i="4"/>
  <c r="B8515" i="4"/>
  <c r="B22137" i="4"/>
  <c r="B22138" i="4"/>
  <c r="B22139" i="4"/>
  <c r="B22140" i="4"/>
  <c r="B22141" i="4"/>
  <c r="B15447" i="4"/>
  <c r="B15448" i="4"/>
  <c r="B15449" i="4"/>
  <c r="B15450" i="4"/>
  <c r="B22142" i="4"/>
  <c r="B22143" i="4"/>
  <c r="B22144" i="4"/>
  <c r="B22145" i="4"/>
  <c r="B3310" i="4"/>
  <c r="B3311" i="4"/>
  <c r="B3312" i="4"/>
  <c r="B22146" i="4"/>
  <c r="B3313" i="4"/>
  <c r="B22147" i="4"/>
  <c r="B12242" i="4"/>
  <c r="B12243" i="4"/>
  <c r="B12244" i="4"/>
  <c r="B18678" i="4"/>
  <c r="B22148" i="4"/>
  <c r="B9674" i="4"/>
  <c r="B22149" i="4"/>
  <c r="B562" i="4"/>
  <c r="B21177" i="4"/>
  <c r="B21178" i="4"/>
  <c r="B13857" i="4"/>
  <c r="B13858" i="4"/>
  <c r="B13859" i="4"/>
  <c r="B15404" i="4"/>
  <c r="B15405" i="4"/>
  <c r="B15406" i="4"/>
  <c r="B15407" i="4"/>
  <c r="B15408" i="4"/>
  <c r="B21179" i="4"/>
  <c r="B21180" i="4"/>
  <c r="B21181" i="4"/>
  <c r="B13583" i="4"/>
  <c r="B21182" i="4"/>
  <c r="B21183" i="4"/>
  <c r="B2836" i="4"/>
  <c r="B2837" i="4"/>
  <c r="B9997" i="4"/>
  <c r="B8486" i="4"/>
  <c r="B6203" i="4"/>
  <c r="B21184" i="4"/>
  <c r="B17880" i="4"/>
  <c r="B5906" i="4"/>
  <c r="B11172" i="4"/>
  <c r="B21185" i="4"/>
  <c r="B1999" i="4"/>
  <c r="B21186" i="4"/>
  <c r="B2000" i="4"/>
  <c r="B9508" i="4"/>
  <c r="B13860" i="4"/>
  <c r="B13861" i="4"/>
  <c r="B13862" i="4"/>
  <c r="B13863" i="4"/>
  <c r="B13864" i="4"/>
  <c r="B21187" i="4"/>
  <c r="B13865" i="4"/>
  <c r="B13866" i="4"/>
  <c r="B13867" i="4"/>
  <c r="B21188" i="4"/>
  <c r="B13868" i="4"/>
  <c r="B13869" i="4"/>
  <c r="B13870" i="4"/>
  <c r="B13871" i="4"/>
  <c r="B13872" i="4"/>
  <c r="B13873" i="4"/>
  <c r="B13874" i="4"/>
  <c r="B13875" i="4"/>
  <c r="B13876" i="4"/>
  <c r="B13877" i="4"/>
  <c r="B13878" i="4"/>
  <c r="B13879" i="4"/>
  <c r="B13880" i="4"/>
  <c r="B13881" i="4"/>
  <c r="B13882" i="4"/>
  <c r="B13883" i="4"/>
  <c r="B21189" i="4"/>
  <c r="B13884" i="4"/>
  <c r="B13885" i="4"/>
  <c r="B13886" i="4"/>
  <c r="B13887" i="4"/>
  <c r="B13888" i="4"/>
  <c r="B13889" i="4"/>
  <c r="B13890" i="4"/>
  <c r="B13891" i="4"/>
  <c r="B21190" i="4"/>
  <c r="B21191" i="4"/>
  <c r="B21192" i="4"/>
  <c r="B13892" i="4"/>
  <c r="B5803" i="4"/>
  <c r="B8345" i="4"/>
  <c r="B21193" i="4"/>
  <c r="B13893" i="4"/>
  <c r="B13894" i="4"/>
  <c r="B13895" i="4"/>
  <c r="B13896" i="4"/>
  <c r="B13897" i="4"/>
  <c r="B13898" i="4"/>
  <c r="B21194" i="4"/>
  <c r="B13899" i="4"/>
  <c r="B21195" i="4"/>
  <c r="B21196" i="4"/>
  <c r="B21197" i="4"/>
  <c r="B13900" i="4"/>
  <c r="B13901" i="4"/>
  <c r="B5804" i="4"/>
  <c r="B5805" i="4"/>
  <c r="B13902" i="4"/>
  <c r="B21198" i="4"/>
  <c r="B13903" i="4"/>
  <c r="B13904" i="4"/>
  <c r="B21199" i="4"/>
  <c r="B13905" i="4"/>
  <c r="B13906" i="4"/>
  <c r="B13907" i="4"/>
  <c r="B13908" i="4"/>
  <c r="B13909" i="4"/>
  <c r="B21200" i="4"/>
  <c r="B13910" i="4"/>
  <c r="B13911" i="4"/>
  <c r="B13912" i="4"/>
  <c r="B13913" i="4"/>
  <c r="B13914" i="4"/>
  <c r="B13915" i="4"/>
  <c r="B21201" i="4"/>
  <c r="B13916" i="4"/>
  <c r="B13917" i="4"/>
  <c r="B13918" i="4"/>
  <c r="B13919" i="4"/>
  <c r="B13920" i="4"/>
  <c r="B21202" i="4"/>
  <c r="B13921" i="4"/>
  <c r="B13922" i="4"/>
  <c r="B13923" i="4"/>
  <c r="B13924" i="4"/>
  <c r="B13925" i="4"/>
  <c r="B13926" i="4"/>
  <c r="B13927" i="4"/>
  <c r="B13928" i="4"/>
  <c r="B13929" i="4"/>
  <c r="B13930" i="4"/>
  <c r="B13931" i="4"/>
  <c r="B13932" i="4"/>
  <c r="B5806" i="4"/>
  <c r="B5807" i="4"/>
  <c r="B5808" i="4"/>
  <c r="B5809" i="4"/>
  <c r="B5810" i="4"/>
  <c r="B18112" i="4"/>
  <c r="B18113" i="4"/>
  <c r="B17587" i="4"/>
  <c r="B2001" i="4"/>
  <c r="B2002" i="4"/>
  <c r="B1921" i="4"/>
  <c r="B2003" i="4"/>
  <c r="B2004" i="4"/>
  <c r="B18253" i="4"/>
  <c r="B12981" i="4"/>
  <c r="B12982" i="4"/>
  <c r="B12983" i="4"/>
  <c r="B8487" i="4"/>
  <c r="B15697" i="4"/>
  <c r="B21203" i="4"/>
  <c r="B15470" i="4"/>
  <c r="B15471" i="4"/>
  <c r="B15472" i="4"/>
  <c r="B15473" i="4"/>
  <c r="B21204" i="4"/>
  <c r="B15698" i="4"/>
  <c r="B21205" i="4"/>
  <c r="B12984" i="4"/>
  <c r="B21206" i="4"/>
  <c r="B12985" i="4"/>
  <c r="B21207" i="4"/>
  <c r="B15699" i="4"/>
  <c r="B21208" i="4"/>
  <c r="B15700" i="4"/>
  <c r="B21209" i="4"/>
  <c r="B21210" i="4"/>
  <c r="B15701" i="4"/>
  <c r="B21211" i="4"/>
  <c r="B21212" i="4"/>
  <c r="B15702" i="4"/>
  <c r="B21213" i="4"/>
  <c r="B21214" i="4"/>
  <c r="B18254" i="4"/>
  <c r="B18255" i="4"/>
  <c r="B18256" i="4"/>
  <c r="B18257" i="4"/>
  <c r="B21215" i="4"/>
  <c r="B21216" i="4"/>
  <c r="B18258" i="4"/>
  <c r="B18259" i="4"/>
  <c r="B18260" i="4"/>
  <c r="B18261" i="4"/>
  <c r="B18262" i="4"/>
  <c r="B18263" i="4"/>
  <c r="B18264" i="4"/>
  <c r="B18265" i="4"/>
  <c r="B18266" i="4"/>
  <c r="B18267" i="4"/>
  <c r="B21217" i="4"/>
  <c r="B18268" i="4"/>
  <c r="B18269" i="4"/>
  <c r="B18270" i="4"/>
  <c r="B18271" i="4"/>
  <c r="B8346" i="4"/>
  <c r="B8347" i="4"/>
  <c r="B8348" i="4"/>
  <c r="B21218" i="4"/>
  <c r="B21219" i="4"/>
  <c r="B18272" i="4"/>
  <c r="B21220" i="4"/>
  <c r="B10975" i="4"/>
  <c r="B21221" i="4"/>
  <c r="B9946" i="4"/>
  <c r="B9947" i="4"/>
  <c r="B9379" i="4"/>
  <c r="B9380" i="4"/>
  <c r="B21222" i="4"/>
  <c r="B9509" i="4"/>
  <c r="B9510" i="4"/>
  <c r="B9511" i="4"/>
  <c r="B9512" i="4"/>
  <c r="B33" i="4"/>
  <c r="B34" i="4"/>
  <c r="B35" i="4"/>
  <c r="B9513" i="4"/>
  <c r="B9514" i="4"/>
  <c r="B9515" i="4"/>
  <c r="B9516" i="4"/>
  <c r="B36" i="4"/>
  <c r="B9517" i="4"/>
  <c r="B9518" i="4"/>
  <c r="B9519" i="4"/>
  <c r="B9520" i="4"/>
  <c r="B9521" i="4"/>
  <c r="B21223" i="4"/>
  <c r="B11173" i="4"/>
  <c r="B21224" i="4"/>
  <c r="B10976" i="4"/>
  <c r="B10977" i="4"/>
  <c r="B21225" i="4"/>
  <c r="B10978" i="4"/>
  <c r="B21226" i="4"/>
  <c r="B10979" i="4"/>
  <c r="B18273" i="4"/>
  <c r="B21227" i="4"/>
  <c r="B18274" i="4"/>
  <c r="B18275" i="4"/>
  <c r="B21228" i="4"/>
  <c r="B18276" i="4"/>
  <c r="B18277" i="4"/>
  <c r="B18278" i="4"/>
  <c r="B18279" i="4"/>
  <c r="B21229" i="4"/>
  <c r="B18280" i="4"/>
  <c r="B18281" i="4"/>
  <c r="B2470" i="4"/>
  <c r="B2838" i="4"/>
  <c r="B6487" i="4"/>
  <c r="B2839" i="4"/>
  <c r="B15588" i="4"/>
  <c r="B11174" i="4"/>
  <c r="B21230" i="4"/>
  <c r="B11175" i="4"/>
  <c r="B11176" i="4"/>
  <c r="B11177" i="4"/>
  <c r="B11178" i="4"/>
  <c r="B21231" i="4"/>
  <c r="B11179" i="4"/>
  <c r="B11180" i="4"/>
  <c r="B21232" i="4"/>
  <c r="B11181" i="4"/>
  <c r="B11182" i="4"/>
  <c r="B11183" i="4"/>
  <c r="B11184" i="4"/>
  <c r="B11185" i="4"/>
  <c r="B9998" i="4"/>
  <c r="B21233" i="4"/>
  <c r="B1696" i="4"/>
  <c r="B6488" i="4"/>
  <c r="B2840" i="4"/>
  <c r="B21234" i="4"/>
  <c r="B9999" i="4"/>
  <c r="B1697" i="4"/>
  <c r="B2841" i="4"/>
  <c r="B2842" i="4"/>
  <c r="B2843" i="4"/>
  <c r="B2844" i="4"/>
  <c r="B2845" i="4"/>
  <c r="B2846" i="4"/>
  <c r="B2847" i="4"/>
  <c r="B10000" i="4"/>
  <c r="B21235" i="4"/>
  <c r="B10001" i="4"/>
  <c r="B2848" i="4"/>
  <c r="B2849" i="4"/>
  <c r="B2850" i="4"/>
  <c r="B2851" i="4"/>
  <c r="B2852" i="4"/>
  <c r="B2853" i="4"/>
  <c r="B2854" i="4"/>
  <c r="B17194" i="4"/>
  <c r="B1698" i="4"/>
  <c r="B2855" i="4"/>
  <c r="B2856" i="4"/>
  <c r="B10002" i="4"/>
  <c r="B21236" i="4"/>
  <c r="B10003" i="4"/>
  <c r="B10004" i="4"/>
  <c r="B11186" i="4"/>
  <c r="B11187" i="4"/>
  <c r="B11188" i="4"/>
  <c r="B11189" i="4"/>
  <c r="B15377" i="4"/>
  <c r="B13933" i="4"/>
  <c r="B210" i="4"/>
  <c r="B211" i="4"/>
  <c r="B212" i="4"/>
  <c r="B213" i="4"/>
  <c r="B15703" i="4"/>
  <c r="B13934" i="4"/>
  <c r="B21237" i="4"/>
  <c r="B2005" i="4"/>
  <c r="B2006" i="4"/>
  <c r="B37" i="4"/>
  <c r="B9522" i="4"/>
  <c r="B9523" i="4"/>
  <c r="B9524" i="4"/>
  <c r="B9525" i="4"/>
  <c r="B9526" i="4"/>
  <c r="B11190" i="4"/>
  <c r="B21238" i="4"/>
  <c r="B11191" i="4"/>
  <c r="B11192" i="4"/>
  <c r="B21239" i="4"/>
  <c r="B11193" i="4"/>
  <c r="B11194" i="4"/>
  <c r="B11195" i="4"/>
  <c r="B13935" i="4"/>
  <c r="B2007" i="4"/>
  <c r="B2008" i="4"/>
  <c r="B9527" i="4"/>
  <c r="B9528" i="4"/>
  <c r="B9529" i="4"/>
  <c r="B9530" i="4"/>
  <c r="B21240" i="4"/>
  <c r="B11196" i="4"/>
  <c r="B11197" i="4"/>
  <c r="B11198" i="4"/>
  <c r="B11199" i="4"/>
  <c r="B2857" i="4"/>
  <c r="B2858" i="4"/>
  <c r="B2859" i="4"/>
  <c r="B2860" i="4"/>
  <c r="B2861" i="4"/>
  <c r="B2862" i="4"/>
  <c r="B2863" i="4"/>
  <c r="B21241" i="4"/>
  <c r="B2864" i="4"/>
  <c r="B2865" i="4"/>
  <c r="B2866" i="4"/>
  <c r="B2867" i="4"/>
  <c r="B11200" i="4"/>
  <c r="B11201" i="4"/>
  <c r="B17262" i="4"/>
  <c r="B17263" i="4"/>
  <c r="B17264" i="4"/>
  <c r="B17265" i="4"/>
  <c r="B17712" i="4"/>
  <c r="B17713" i="4"/>
  <c r="B38" i="4"/>
  <c r="B39" i="4"/>
  <c r="B40" i="4"/>
  <c r="B9531" i="4"/>
  <c r="B9532" i="4"/>
  <c r="B9533" i="4"/>
  <c r="B9534" i="4"/>
  <c r="B9535" i="4"/>
  <c r="B15704" i="4"/>
  <c r="B15705" i="4"/>
  <c r="B21242" i="4"/>
  <c r="B21243" i="4"/>
  <c r="B21244" i="4"/>
  <c r="B21245" i="4"/>
  <c r="B21246" i="4"/>
  <c r="B21247" i="4"/>
  <c r="B13936" i="4"/>
  <c r="B15409" i="4"/>
  <c r="B15410" i="4"/>
  <c r="B15411" i="4"/>
  <c r="B15412" i="4"/>
  <c r="B2868" i="4"/>
  <c r="B21248" i="4"/>
  <c r="B2869" i="4"/>
  <c r="B15706" i="4"/>
  <c r="B15707" i="4"/>
  <c r="B15708" i="4"/>
  <c r="B15709" i="4"/>
  <c r="B13937" i="4"/>
  <c r="B21249" i="4"/>
  <c r="B18282" i="4"/>
  <c r="B21250" i="4"/>
  <c r="B8349" i="4"/>
  <c r="B41" i="4"/>
  <c r="B9536" i="4"/>
  <c r="B9537" i="4"/>
  <c r="B9538" i="4"/>
  <c r="B9539" i="4"/>
  <c r="B9540" i="4"/>
  <c r="B18283" i="4"/>
  <c r="B18284" i="4"/>
  <c r="B21251" i="4"/>
  <c r="B18285" i="4"/>
  <c r="B18286" i="4"/>
  <c r="B18287" i="4"/>
  <c r="B18288" i="4"/>
  <c r="B18289" i="4"/>
  <c r="B21252" i="4"/>
  <c r="B18290" i="4"/>
  <c r="B18291" i="4"/>
  <c r="B18292" i="4"/>
  <c r="B12986" i="4"/>
  <c r="B15710" i="4"/>
  <c r="B15711" i="4"/>
  <c r="B15712" i="4"/>
  <c r="B5275" i="4"/>
  <c r="B21253" i="4"/>
  <c r="B21254" i="4"/>
  <c r="B21255" i="4"/>
  <c r="B21256" i="4"/>
  <c r="B20760" i="4"/>
  <c r="B13938" i="4"/>
  <c r="B13939" i="4"/>
  <c r="B13940" i="4"/>
  <c r="B13941" i="4"/>
  <c r="B21257" i="4"/>
  <c r="B21258" i="4"/>
  <c r="B9541" i="4"/>
  <c r="B5366" i="4"/>
  <c r="B21259" i="4"/>
  <c r="B5367" i="4"/>
  <c r="B11202" i="4"/>
  <c r="B6204" i="4"/>
  <c r="B21260" i="4"/>
  <c r="B21261" i="4"/>
  <c r="B2009" i="4"/>
  <c r="B2010" i="4"/>
  <c r="B2011" i="4"/>
  <c r="B15382" i="4"/>
  <c r="B18293" i="4"/>
  <c r="B21262" i="4"/>
  <c r="B18294" i="4"/>
  <c r="B21263" i="4"/>
  <c r="B8350" i="4"/>
  <c r="B21264" i="4"/>
  <c r="B2012" i="4"/>
  <c r="B12987" i="4"/>
  <c r="B21265" i="4"/>
  <c r="B18295" i="4"/>
  <c r="B21266" i="4"/>
  <c r="B18296" i="4"/>
  <c r="B21267" i="4"/>
  <c r="B18297" i="4"/>
  <c r="B18298" i="4"/>
  <c r="B18299" i="4"/>
  <c r="B18300" i="4"/>
  <c r="B18301" i="4"/>
  <c r="B18302" i="4"/>
  <c r="B18303" i="4"/>
  <c r="B42" i="4"/>
  <c r="B43" i="4"/>
  <c r="B9542" i="4"/>
  <c r="B9543" i="4"/>
  <c r="B9544" i="4"/>
  <c r="B9545" i="4"/>
  <c r="B9546" i="4"/>
  <c r="B9547" i="4"/>
  <c r="B44" i="4"/>
  <c r="B45" i="4"/>
  <c r="B21268" i="4"/>
  <c r="B9548" i="4"/>
  <c r="B9549" i="4"/>
  <c r="B9550" i="4"/>
  <c r="B9551" i="4"/>
  <c r="B9552" i="4"/>
  <c r="B9553" i="4"/>
  <c r="B9554" i="4"/>
  <c r="B9555" i="4"/>
  <c r="B9556" i="4"/>
  <c r="B2499" i="4"/>
  <c r="B2500" i="4"/>
  <c r="B12988" i="4"/>
  <c r="B21269" i="4"/>
  <c r="B21270" i="4"/>
  <c r="B21271" i="4"/>
  <c r="B21272" i="4"/>
  <c r="B21273" i="4"/>
  <c r="B21274" i="4"/>
  <c r="B6205" i="4"/>
  <c r="B2870" i="4"/>
  <c r="B10005" i="4"/>
  <c r="B21275" i="4"/>
  <c r="B13942" i="4"/>
  <c r="B21276" i="4"/>
  <c r="B21277" i="4"/>
  <c r="B21278" i="4"/>
  <c r="B21279" i="4"/>
  <c r="B21280" i="4"/>
  <c r="B13943" i="4"/>
  <c r="B13944" i="4"/>
  <c r="B13945" i="4"/>
  <c r="B13946" i="4"/>
  <c r="B7485" i="4"/>
  <c r="B9557" i="4"/>
  <c r="B21281" i="4"/>
  <c r="B21282" i="4"/>
  <c r="B21283" i="4"/>
  <c r="B2871" i="4"/>
  <c r="B21284" i="4"/>
  <c r="B21285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2013" i="4"/>
  <c r="B15474" i="4"/>
  <c r="B5907" i="4"/>
  <c r="B5908" i="4"/>
  <c r="B18304" i="4"/>
  <c r="B18305" i="4"/>
  <c r="B18306" i="4"/>
  <c r="B18307" i="4"/>
  <c r="B18308" i="4"/>
  <c r="B18309" i="4"/>
  <c r="B18310" i="4"/>
  <c r="B18311" i="4"/>
  <c r="B18312" i="4"/>
  <c r="B2872" i="4"/>
  <c r="B21286" i="4"/>
  <c r="B20517" i="4"/>
  <c r="B2873" i="4"/>
  <c r="B2874" i="4"/>
  <c r="B2875" i="4"/>
  <c r="B2876" i="4"/>
  <c r="B7486" i="4"/>
  <c r="B21287" i="4"/>
  <c r="B21288" i="4"/>
  <c r="B10821" i="4"/>
  <c r="B214" i="4"/>
  <c r="B13947" i="4"/>
  <c r="B13948" i="4"/>
  <c r="B215" i="4"/>
  <c r="B10822" i="4"/>
  <c r="B216" i="4"/>
  <c r="B10823" i="4"/>
  <c r="B21289" i="4"/>
  <c r="B21290" i="4"/>
  <c r="B21291" i="4"/>
  <c r="B21292" i="4"/>
  <c r="B21293" i="4"/>
  <c r="B11203" i="4"/>
  <c r="B11204" i="4"/>
  <c r="B11205" i="4"/>
  <c r="B11206" i="4"/>
  <c r="B11207" i="4"/>
  <c r="B21294" i="4"/>
  <c r="B12301" i="4"/>
  <c r="B21295" i="4"/>
  <c r="B12302" i="4"/>
  <c r="B12303" i="4"/>
  <c r="B13949" i="4"/>
  <c r="B13950" i="4"/>
  <c r="B21296" i="4"/>
  <c r="B21297" i="4"/>
  <c r="B21298" i="4"/>
  <c r="B13951" i="4"/>
  <c r="B13952" i="4"/>
  <c r="B13953" i="4"/>
  <c r="B2014" i="4"/>
  <c r="B13954" i="4"/>
  <c r="B13955" i="4"/>
  <c r="B13956" i="4"/>
  <c r="B21299" i="4"/>
  <c r="B21300" i="4"/>
  <c r="B13957" i="4"/>
  <c r="B21301" i="4"/>
  <c r="B7487" i="4"/>
  <c r="B21302" i="4"/>
  <c r="B13584" i="4"/>
  <c r="B11208" i="4"/>
  <c r="B11209" i="4"/>
  <c r="B11210" i="4"/>
  <c r="B21303" i="4"/>
  <c r="B21304" i="4"/>
  <c r="B11211" i="4"/>
  <c r="B21305" i="4"/>
  <c r="B11212" i="4"/>
  <c r="B11213" i="4"/>
  <c r="B11214" i="4"/>
  <c r="B2877" i="4"/>
  <c r="B2878" i="4"/>
  <c r="B2879" i="4"/>
  <c r="B8488" i="4"/>
  <c r="B10006" i="4"/>
  <c r="B10007" i="4"/>
  <c r="B21306" i="4"/>
  <c r="B11215" i="4"/>
  <c r="B11216" i="4"/>
  <c r="B21307" i="4"/>
  <c r="B5909" i="4"/>
  <c r="B21308" i="4"/>
  <c r="B11217" i="4"/>
  <c r="B21309" i="4"/>
  <c r="B11218" i="4"/>
  <c r="B11219" i="4"/>
  <c r="B10008" i="4"/>
  <c r="B21310" i="4"/>
  <c r="B15413" i="4"/>
  <c r="B15414" i="4"/>
  <c r="B11220" i="4"/>
  <c r="B11221" i="4"/>
  <c r="B11222" i="4"/>
  <c r="B21311" i="4"/>
  <c r="B17672" i="4"/>
  <c r="B2" i="4"/>
  <c r="B13958" i="4"/>
  <c r="B13959" i="4"/>
  <c r="B533" i="4"/>
  <c r="B21312" i="4"/>
  <c r="B534" i="4"/>
  <c r="B13960" i="4"/>
  <c r="B13961" i="4"/>
  <c r="B13962" i="4"/>
  <c r="B5811" i="4"/>
  <c r="B13963" i="4"/>
  <c r="B13964" i="4"/>
  <c r="B13965" i="4"/>
  <c r="B13966" i="4"/>
  <c r="B13967" i="4"/>
  <c r="B13968" i="4"/>
  <c r="B13969" i="4"/>
  <c r="B13970" i="4"/>
  <c r="B13971" i="4"/>
  <c r="B13972" i="4"/>
  <c r="B13973" i="4"/>
  <c r="B13974" i="4"/>
  <c r="B13975" i="4"/>
  <c r="B13976" i="4"/>
  <c r="B7488" i="4"/>
  <c r="B21313" i="4"/>
  <c r="B7489" i="4"/>
  <c r="B1922" i="4"/>
  <c r="B1923" i="4"/>
  <c r="B12234" i="4"/>
  <c r="B21314" i="4"/>
  <c r="B9558" i="4"/>
  <c r="B15475" i="4"/>
  <c r="B21315" i="4"/>
  <c r="B15713" i="4"/>
  <c r="B15714" i="4"/>
  <c r="B15715" i="4"/>
  <c r="B21316" i="4"/>
  <c r="B21317" i="4"/>
  <c r="B18313" i="4"/>
  <c r="B18314" i="4"/>
  <c r="B18315" i="4"/>
  <c r="B18316" i="4"/>
  <c r="B18317" i="4"/>
  <c r="B18318" i="4"/>
  <c r="B18319" i="4"/>
  <c r="B18320" i="4"/>
  <c r="B18321" i="4"/>
  <c r="B18322" i="4"/>
  <c r="B21318" i="4"/>
  <c r="B18323" i="4"/>
  <c r="B21319" i="4"/>
  <c r="B21320" i="4"/>
  <c r="B21321" i="4"/>
  <c r="B18324" i="4"/>
  <c r="B18325" i="4"/>
  <c r="B10980" i="4"/>
  <c r="B20518" i="4"/>
  <c r="B21322" i="4"/>
  <c r="B21323" i="4"/>
  <c r="B15716" i="4"/>
  <c r="B21324" i="4"/>
  <c r="B9559" i="4"/>
  <c r="B21325" i="4"/>
  <c r="B21326" i="4"/>
  <c r="B11223" i="4"/>
  <c r="B11224" i="4"/>
  <c r="B21327" i="4"/>
  <c r="B13237" i="4"/>
  <c r="B13238" i="4"/>
  <c r="B13239" i="4"/>
  <c r="B12989" i="4"/>
  <c r="B21328" i="4"/>
  <c r="B18326" i="4"/>
  <c r="B18327" i="4"/>
  <c r="B18328" i="4"/>
  <c r="B18329" i="4"/>
  <c r="B18330" i="4"/>
  <c r="B18331" i="4"/>
  <c r="B18332" i="4"/>
  <c r="B18333" i="4"/>
  <c r="B18334" i="4"/>
  <c r="B18335" i="4"/>
  <c r="B21329" i="4"/>
  <c r="B18336" i="4"/>
  <c r="B18337" i="4"/>
  <c r="B21330" i="4"/>
  <c r="B18338" i="4"/>
  <c r="B18339" i="4"/>
  <c r="B18340" i="4"/>
  <c r="B18341" i="4"/>
  <c r="B18342" i="4"/>
  <c r="B18343" i="4"/>
  <c r="B18344" i="4"/>
  <c r="B18345" i="4"/>
  <c r="B18346" i="4"/>
  <c r="B18347" i="4"/>
  <c r="B18348" i="4"/>
  <c r="B18349" i="4"/>
  <c r="B18350" i="4"/>
  <c r="B18351" i="4"/>
  <c r="B18352" i="4"/>
  <c r="B18353" i="4"/>
  <c r="B5119" i="4"/>
  <c r="B21331" i="4"/>
  <c r="B2880" i="4"/>
  <c r="B21332" i="4"/>
  <c r="B21333" i="4"/>
  <c r="B6489" i="4"/>
  <c r="B6490" i="4"/>
  <c r="B21334" i="4"/>
  <c r="B21335" i="4"/>
  <c r="B21336" i="4"/>
  <c r="B21337" i="4"/>
  <c r="B1890" i="4"/>
  <c r="B1891" i="4"/>
  <c r="B11225" i="4"/>
  <c r="B21338" i="4"/>
  <c r="B21339" i="4"/>
  <c r="B2881" i="4"/>
  <c r="B2882" i="4"/>
  <c r="B8489" i="4"/>
  <c r="B8490" i="4"/>
  <c r="B11226" i="4"/>
  <c r="B11227" i="4"/>
  <c r="B11228" i="4"/>
  <c r="B21340" i="4"/>
  <c r="B11229" i="4"/>
  <c r="B11230" i="4"/>
  <c r="B13977" i="4"/>
  <c r="B13978" i="4"/>
  <c r="B2015" i="4"/>
  <c r="B11231" i="4"/>
  <c r="B11232" i="4"/>
  <c r="B11233" i="4"/>
  <c r="B6206" i="4"/>
  <c r="B13343" i="4"/>
  <c r="B13344" i="4"/>
  <c r="B13345" i="4"/>
  <c r="B6491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1341" i="4"/>
  <c r="B21342" i="4"/>
  <c r="B21343" i="4"/>
  <c r="B15415" i="4"/>
  <c r="B15416" i="4"/>
  <c r="B15417" i="4"/>
  <c r="B15418" i="4"/>
  <c r="B2905" i="4"/>
  <c r="B21344" i="4"/>
  <c r="B21345" i="4"/>
  <c r="B21346" i="4"/>
  <c r="B2906" i="4"/>
  <c r="B2907" i="4"/>
  <c r="B2908" i="4"/>
  <c r="B2909" i="4"/>
  <c r="B2910" i="4"/>
  <c r="B10009" i="4"/>
  <c r="B21347" i="4"/>
  <c r="B21348" i="4"/>
  <c r="B13979" i="4"/>
  <c r="B13980" i="4"/>
  <c r="B21349" i="4"/>
  <c r="B15717" i="4"/>
  <c r="B21350" i="4"/>
  <c r="B21351" i="4"/>
  <c r="B15718" i="4"/>
  <c r="B15719" i="4"/>
  <c r="B15720" i="4"/>
  <c r="B15721" i="4"/>
  <c r="B15722" i="4"/>
  <c r="B21352" i="4"/>
  <c r="B15723" i="4"/>
  <c r="B15724" i="4"/>
  <c r="B15725" i="4"/>
  <c r="B15726" i="4"/>
  <c r="B21353" i="4"/>
  <c r="B21354" i="4"/>
  <c r="B9377" i="4"/>
  <c r="B9378" i="4"/>
  <c r="B18354" i="4"/>
  <c r="B21355" i="4"/>
  <c r="B21356" i="4"/>
  <c r="B21357" i="4"/>
  <c r="B21358" i="4"/>
  <c r="B13981" i="4"/>
  <c r="B13982" i="4"/>
  <c r="B11234" i="4"/>
  <c r="B6207" i="4"/>
  <c r="B11235" i="4"/>
  <c r="B11236" i="4"/>
  <c r="B11237" i="4"/>
  <c r="B10010" i="4"/>
  <c r="B13983" i="4"/>
  <c r="B13984" i="4"/>
  <c r="B21359" i="4"/>
  <c r="B5659" i="4"/>
  <c r="B5660" i="4"/>
  <c r="B18355" i="4"/>
  <c r="B18356" i="4"/>
  <c r="B18357" i="4"/>
  <c r="B18358" i="4"/>
  <c r="B18359" i="4"/>
  <c r="B15727" i="4"/>
  <c r="B21360" i="4"/>
  <c r="B21361" i="4"/>
  <c r="B15728" i="4"/>
  <c r="B15729" i="4"/>
  <c r="B15730" i="4"/>
  <c r="B15731" i="4"/>
  <c r="B15732" i="4"/>
  <c r="B15733" i="4"/>
  <c r="B21362" i="4"/>
  <c r="B21363" i="4"/>
  <c r="B21364" i="4"/>
  <c r="B21365" i="4"/>
  <c r="B21366" i="4"/>
  <c r="B21367" i="4"/>
  <c r="B21368" i="4"/>
  <c r="B21369" i="4"/>
  <c r="B21370" i="4"/>
  <c r="B21371" i="4"/>
  <c r="B13985" i="4"/>
  <c r="B11238" i="4"/>
  <c r="B11239" i="4"/>
  <c r="B21372" i="4"/>
  <c r="B21373" i="4"/>
  <c r="B21374" i="4"/>
  <c r="B21375" i="4"/>
  <c r="B21376" i="4"/>
  <c r="B2016" i="4"/>
  <c r="B20761" i="4"/>
  <c r="B20762" i="4"/>
  <c r="B21377" i="4"/>
  <c r="B13986" i="4"/>
  <c r="B13987" i="4"/>
  <c r="B2017" i="4"/>
  <c r="B21378" i="4"/>
  <c r="B15734" i="4"/>
  <c r="B15735" i="4"/>
  <c r="B15736" i="4"/>
  <c r="B21379" i="4"/>
  <c r="B21380" i="4"/>
  <c r="B18360" i="4"/>
  <c r="B18361" i="4"/>
  <c r="B18362" i="4"/>
  <c r="B18363" i="4"/>
  <c r="B18364" i="4"/>
  <c r="B18365" i="4"/>
  <c r="B18366" i="4"/>
  <c r="B18367" i="4"/>
  <c r="B21381" i="4"/>
  <c r="B18368" i="4"/>
  <c r="B18369" i="4"/>
  <c r="B18370" i="4"/>
  <c r="B18371" i="4"/>
  <c r="B21382" i="4"/>
  <c r="B18372" i="4"/>
  <c r="B21383" i="4"/>
  <c r="B2911" i="4"/>
  <c r="B2912" i="4"/>
  <c r="B21384" i="4"/>
  <c r="B12235" i="4"/>
  <c r="B21385" i="4"/>
  <c r="B2913" i="4"/>
  <c r="B2914" i="4"/>
  <c r="B15589" i="4"/>
  <c r="B2915" i="4"/>
  <c r="B2916" i="4"/>
  <c r="B2917" i="4"/>
  <c r="B2918" i="4"/>
  <c r="B2919" i="4"/>
  <c r="B13346" i="4"/>
  <c r="B13347" i="4"/>
  <c r="B13348" i="4"/>
  <c r="B21386" i="4"/>
  <c r="B21387" i="4"/>
  <c r="B11240" i="4"/>
  <c r="B11241" i="4"/>
  <c r="B21388" i="4"/>
  <c r="B21389" i="4"/>
  <c r="B11242" i="4"/>
  <c r="B11243" i="4"/>
  <c r="B11244" i="4"/>
  <c r="B11245" i="4"/>
  <c r="B11246" i="4"/>
  <c r="B21390" i="4"/>
  <c r="B11247" i="4"/>
  <c r="B11248" i="4"/>
  <c r="B11249" i="4"/>
  <c r="B11250" i="4"/>
  <c r="B11251" i="4"/>
  <c r="B11252" i="4"/>
  <c r="B21391" i="4"/>
  <c r="B11253" i="4"/>
  <c r="B11254" i="4"/>
  <c r="B21392" i="4"/>
  <c r="B11255" i="4"/>
  <c r="B11256" i="4"/>
  <c r="B11257" i="4"/>
  <c r="B11258" i="4"/>
  <c r="B11259" i="4"/>
  <c r="B11260" i="4"/>
  <c r="B2920" i="4"/>
  <c r="B2921" i="4"/>
  <c r="B2922" i="4"/>
  <c r="B10011" i="4"/>
  <c r="B6208" i="4"/>
  <c r="B2923" i="4"/>
  <c r="B2924" i="4"/>
  <c r="B10012" i="4"/>
  <c r="B10013" i="4"/>
  <c r="B10014" i="4"/>
  <c r="B10015" i="4"/>
  <c r="B10016" i="4"/>
  <c r="B10017" i="4"/>
  <c r="B8491" i="4"/>
  <c r="B13349" i="4"/>
  <c r="B13350" i="4"/>
  <c r="B13351" i="4"/>
  <c r="B13352" i="4"/>
  <c r="B8492" i="4"/>
  <c r="B21393" i="4"/>
  <c r="B13353" i="4"/>
  <c r="B2925" i="4"/>
  <c r="B21394" i="4"/>
  <c r="B2926" i="4"/>
  <c r="B21395" i="4"/>
  <c r="B2927" i="4"/>
  <c r="B2928" i="4"/>
  <c r="B2929" i="4"/>
  <c r="B2930" i="4"/>
  <c r="B13354" i="4"/>
  <c r="B2931" i="4"/>
  <c r="B1699" i="4"/>
  <c r="B10018" i="4"/>
  <c r="B2932" i="4"/>
  <c r="B21396" i="4"/>
  <c r="B6209" i="4"/>
  <c r="B6210" i="4"/>
  <c r="B2933" i="4"/>
  <c r="B2934" i="4"/>
  <c r="B2935" i="4"/>
  <c r="B11261" i="4"/>
  <c r="B2936" i="4"/>
  <c r="B2937" i="4"/>
  <c r="B2938" i="4"/>
  <c r="B2939" i="4"/>
  <c r="B2940" i="4"/>
  <c r="B2941" i="4"/>
  <c r="B2942" i="4"/>
  <c r="B13648" i="4"/>
  <c r="B13649" i="4"/>
  <c r="B13650" i="4"/>
  <c r="B13651" i="4"/>
  <c r="B20840" i="4"/>
  <c r="B20841" i="4"/>
  <c r="B20514" i="4"/>
  <c r="B10968" i="4"/>
  <c r="B20842" i="4"/>
  <c r="B10969" i="4"/>
  <c r="B13314" i="4"/>
  <c r="B13315" i="4"/>
  <c r="B13316" i="4"/>
  <c r="B13317" i="4"/>
  <c r="B20843" i="4"/>
  <c r="B20844" i="4"/>
  <c r="B20845" i="4"/>
  <c r="B2663" i="4"/>
  <c r="B2664" i="4"/>
  <c r="B9956" i="4"/>
  <c r="B9957" i="4"/>
  <c r="B9958" i="4"/>
  <c r="B9959" i="4"/>
  <c r="B2665" i="4"/>
  <c r="B18127" i="4"/>
  <c r="B18128" i="4"/>
  <c r="B20846" i="4"/>
  <c r="B20847" i="4"/>
  <c r="B9424" i="4"/>
  <c r="B13652" i="4"/>
  <c r="B13653" i="4"/>
  <c r="B13654" i="4"/>
  <c r="B13655" i="4"/>
  <c r="B13656" i="4"/>
  <c r="B13657" i="4"/>
  <c r="B20848" i="4"/>
  <c r="B13658" i="4"/>
  <c r="B13659" i="4"/>
  <c r="B13660" i="4"/>
  <c r="B13661" i="4"/>
  <c r="B13662" i="4"/>
  <c r="B13663" i="4"/>
  <c r="B13664" i="4"/>
  <c r="B13665" i="4"/>
  <c r="B13666" i="4"/>
  <c r="B13667" i="4"/>
  <c r="B20849" i="4"/>
  <c r="B20850" i="4"/>
  <c r="B13668" i="4"/>
  <c r="B13669" i="4"/>
  <c r="B13670" i="4"/>
  <c r="B13671" i="4"/>
  <c r="B13672" i="4"/>
  <c r="B13673" i="4"/>
  <c r="B20851" i="4"/>
  <c r="B20852" i="4"/>
  <c r="B13674" i="4"/>
  <c r="B13675" i="4"/>
  <c r="B5781" i="4"/>
  <c r="B15628" i="4"/>
  <c r="B15629" i="4"/>
  <c r="B15630" i="4"/>
  <c r="B15631" i="4"/>
  <c r="B20853" i="4"/>
  <c r="B13676" i="4"/>
  <c r="B13677" i="4"/>
  <c r="B13678" i="4"/>
  <c r="B13679" i="4"/>
  <c r="B13680" i="4"/>
  <c r="B13681" i="4"/>
  <c r="B192" i="4"/>
  <c r="B193" i="4"/>
  <c r="B194" i="4"/>
  <c r="B195" i="4"/>
  <c r="B196" i="4"/>
  <c r="B13682" i="4"/>
  <c r="B20854" i="4"/>
  <c r="B13683" i="4"/>
  <c r="B13684" i="4"/>
  <c r="B13685" i="4"/>
  <c r="B13686" i="4"/>
  <c r="B13687" i="4"/>
  <c r="B13688" i="4"/>
  <c r="B13689" i="4"/>
  <c r="B13690" i="4"/>
  <c r="B13691" i="4"/>
  <c r="B20855" i="4"/>
  <c r="B20856" i="4"/>
  <c r="B13692" i="4"/>
  <c r="B13693" i="4"/>
  <c r="B13694" i="4"/>
  <c r="B13695" i="4"/>
  <c r="B13696" i="4"/>
  <c r="B13697" i="4"/>
  <c r="B13698" i="4"/>
  <c r="B13699" i="4"/>
  <c r="B13700" i="4"/>
  <c r="B13701" i="4"/>
  <c r="B13702" i="4"/>
  <c r="B13703" i="4"/>
  <c r="B13704" i="4"/>
  <c r="B13705" i="4"/>
  <c r="B13706" i="4"/>
  <c r="B13707" i="4"/>
  <c r="B13708" i="4"/>
  <c r="B13709" i="4"/>
  <c r="B13710" i="4"/>
  <c r="B5782" i="4"/>
  <c r="B5783" i="4"/>
  <c r="B5784" i="4"/>
  <c r="B5785" i="4"/>
  <c r="B5786" i="4"/>
  <c r="B20857" i="4"/>
  <c r="B5787" i="4"/>
  <c r="B5788" i="4"/>
  <c r="B5789" i="4"/>
  <c r="B5790" i="4"/>
  <c r="B13711" i="4"/>
  <c r="B13712" i="4"/>
  <c r="B13713" i="4"/>
  <c r="B18104" i="4"/>
  <c r="B18105" i="4"/>
  <c r="B18106" i="4"/>
  <c r="B18107" i="4"/>
  <c r="B18108" i="4"/>
  <c r="B18109" i="4"/>
  <c r="B18110" i="4"/>
  <c r="B18111" i="4"/>
  <c r="B15632" i="4"/>
  <c r="B20858" i="4"/>
  <c r="B15633" i="4"/>
  <c r="B20859" i="4"/>
  <c r="B15634" i="4"/>
  <c r="B20860" i="4"/>
  <c r="B15635" i="4"/>
  <c r="B15636" i="4"/>
  <c r="B15637" i="4"/>
  <c r="B15638" i="4"/>
  <c r="B15639" i="4"/>
  <c r="B15640" i="4"/>
  <c r="B15641" i="4"/>
  <c r="B20861" i="4"/>
  <c r="B15642" i="4"/>
  <c r="B15643" i="4"/>
  <c r="B20862" i="4"/>
  <c r="B20863" i="4"/>
  <c r="B12951" i="4"/>
  <c r="B12952" i="4"/>
  <c r="B12953" i="4"/>
  <c r="B12954" i="4"/>
  <c r="B20864" i="4"/>
  <c r="B20865" i="4"/>
  <c r="B15644" i="4"/>
  <c r="B20866" i="4"/>
  <c r="B20867" i="4"/>
  <c r="B15645" i="4"/>
  <c r="B20868" i="4"/>
  <c r="B18129" i="4"/>
  <c r="B18130" i="4"/>
  <c r="B18131" i="4"/>
  <c r="B20869" i="4"/>
  <c r="B18132" i="4"/>
  <c r="B20870" i="4"/>
  <c r="B20871" i="4"/>
  <c r="B18133" i="4"/>
  <c r="B18134" i="4"/>
  <c r="B20872" i="4"/>
  <c r="B18135" i="4"/>
  <c r="B18136" i="4"/>
  <c r="B18137" i="4"/>
  <c r="B18138" i="4"/>
  <c r="B18139" i="4"/>
  <c r="B18140" i="4"/>
  <c r="B18141" i="4"/>
  <c r="B18142" i="4"/>
  <c r="B20873" i="4"/>
  <c r="B20874" i="4"/>
  <c r="B20875" i="4"/>
  <c r="B20876" i="4"/>
  <c r="B18143" i="4"/>
  <c r="B9425" i="4"/>
  <c r="B19" i="4"/>
  <c r="B9426" i="4"/>
  <c r="B9427" i="4"/>
  <c r="B20877" i="4"/>
  <c r="B9428" i="4"/>
  <c r="B9429" i="4"/>
  <c r="B9430" i="4"/>
  <c r="B9431" i="4"/>
  <c r="B9432" i="4"/>
  <c r="B9433" i="4"/>
  <c r="B9434" i="4"/>
  <c r="B20878" i="4"/>
  <c r="B20" i="4"/>
  <c r="B20879" i="4"/>
  <c r="B21" i="4"/>
  <c r="B20880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11074" i="4"/>
  <c r="B11075" i="4"/>
  <c r="B13227" i="4"/>
  <c r="B13228" i="4"/>
  <c r="B20881" i="4"/>
  <c r="B20882" i="4"/>
  <c r="B10970" i="4"/>
  <c r="B10971" i="4"/>
  <c r="B12955" i="4"/>
  <c r="B12956" i="4"/>
  <c r="B20883" i="4"/>
  <c r="B12957" i="4"/>
  <c r="B12958" i="4"/>
  <c r="B12959" i="4"/>
  <c r="B20884" i="4"/>
  <c r="B12960" i="4"/>
  <c r="B12961" i="4"/>
  <c r="B20885" i="4"/>
  <c r="B18144" i="4"/>
  <c r="B18145" i="4"/>
  <c r="B18146" i="4"/>
  <c r="B18147" i="4"/>
  <c r="B18148" i="4"/>
  <c r="B18149" i="4"/>
  <c r="B12962" i="4"/>
  <c r="B12963" i="4"/>
  <c r="B20886" i="4"/>
  <c r="B12964" i="4"/>
  <c r="B18150" i="4"/>
  <c r="B18151" i="4"/>
  <c r="B18152" i="4"/>
  <c r="B197" i="4"/>
  <c r="B20887" i="4"/>
  <c r="B15363" i="4"/>
  <c r="B20888" i="4"/>
  <c r="B20889" i="4"/>
  <c r="B11076" i="4"/>
  <c r="B20890" i="4"/>
  <c r="B2666" i="4"/>
  <c r="B2667" i="4"/>
  <c r="B13714" i="4"/>
  <c r="B15646" i="4"/>
  <c r="B20891" i="4"/>
  <c r="B18153" i="4"/>
  <c r="B18154" i="4"/>
  <c r="B12965" i="4"/>
  <c r="B9960" i="4"/>
  <c r="B9961" i="4"/>
  <c r="B9962" i="4"/>
  <c r="B9963" i="4"/>
  <c r="B9964" i="4"/>
  <c r="B9965" i="4"/>
  <c r="B9966" i="4"/>
  <c r="B9967" i="4"/>
  <c r="B9968" i="4"/>
  <c r="B9969" i="4"/>
  <c r="B9970" i="4"/>
  <c r="B9971" i="4"/>
  <c r="B9972" i="4"/>
  <c r="B8479" i="4"/>
  <c r="B2668" i="4"/>
  <c r="B20892" i="4"/>
  <c r="B20893" i="4"/>
  <c r="B15587" i="4"/>
  <c r="B2669" i="4"/>
  <c r="B20894" i="4"/>
  <c r="B20895" i="4"/>
  <c r="B5791" i="4"/>
  <c r="B5792" i="4"/>
  <c r="B20896" i="4"/>
  <c r="B11077" i="4"/>
  <c r="B11078" i="4"/>
  <c r="B20897" i="4"/>
  <c r="B20898" i="4"/>
  <c r="B11079" i="4"/>
  <c r="B11080" i="4"/>
  <c r="B20899" i="4"/>
  <c r="B11081" i="4"/>
  <c r="B20900" i="4"/>
  <c r="B11082" i="4"/>
  <c r="B11083" i="4"/>
  <c r="B11084" i="4"/>
  <c r="B20901" i="4"/>
  <c r="B11085" i="4"/>
  <c r="B11086" i="4"/>
  <c r="B11087" i="4"/>
  <c r="B11088" i="4"/>
  <c r="B15364" i="4"/>
  <c r="B13318" i="4"/>
  <c r="B13319" i="4"/>
  <c r="B13320" i="4"/>
  <c r="B15384" i="4"/>
  <c r="B15385" i="4"/>
  <c r="B15386" i="4"/>
  <c r="B15387" i="4"/>
  <c r="B15388" i="4"/>
  <c r="B15389" i="4"/>
  <c r="B15390" i="4"/>
  <c r="B15391" i="4"/>
  <c r="B20902" i="4"/>
  <c r="B15392" i="4"/>
  <c r="B20903" i="4"/>
  <c r="B11089" i="4"/>
  <c r="B11090" i="4"/>
  <c r="B11091" i="4"/>
  <c r="B11092" i="4"/>
  <c r="B11093" i="4"/>
  <c r="B11094" i="4"/>
  <c r="B11095" i="4"/>
  <c r="B20904" i="4"/>
  <c r="B6479" i="4"/>
  <c r="B2670" i="4"/>
  <c r="B20905" i="4"/>
  <c r="B2671" i="4"/>
  <c r="B9973" i="4"/>
  <c r="B9974" i="4"/>
  <c r="B9975" i="4"/>
  <c r="B20906" i="4"/>
  <c r="B2672" i="4"/>
  <c r="B2673" i="4"/>
  <c r="B2674" i="4"/>
  <c r="B2675" i="4"/>
  <c r="B2676" i="4"/>
  <c r="B2677" i="4"/>
  <c r="B2678" i="4"/>
  <c r="B2679" i="4"/>
  <c r="B11035" i="4"/>
  <c r="B11036" i="4"/>
  <c r="B11037" i="4"/>
  <c r="B11038" i="4"/>
  <c r="B11039" i="4"/>
  <c r="B1688" i="4"/>
  <c r="B6192" i="4"/>
  <c r="B6193" i="4"/>
  <c r="B6194" i="4"/>
  <c r="B2680" i="4"/>
  <c r="B2681" i="4"/>
  <c r="B20907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0908" i="4"/>
  <c r="B2695" i="4"/>
  <c r="B2696" i="4"/>
  <c r="B2697" i="4"/>
  <c r="B2698" i="4"/>
  <c r="B2699" i="4"/>
  <c r="B2700" i="4"/>
  <c r="B2701" i="4"/>
  <c r="B6480" i="4"/>
  <c r="B13321" i="4"/>
  <c r="B8480" i="4"/>
  <c r="B1689" i="4"/>
  <c r="B11096" i="4"/>
  <c r="B20909" i="4"/>
  <c r="B11097" i="4"/>
  <c r="B20910" i="4"/>
  <c r="B11098" i="4"/>
  <c r="B11099" i="4"/>
  <c r="B11100" i="4"/>
  <c r="B20911" i="4"/>
  <c r="B11101" i="4"/>
  <c r="B11102" i="4"/>
  <c r="B11103" i="4"/>
  <c r="B11104" i="4"/>
  <c r="B11105" i="4"/>
  <c r="B11106" i="4"/>
  <c r="B11107" i="4"/>
  <c r="B11108" i="4"/>
  <c r="B11109" i="4"/>
  <c r="B11110" i="4"/>
  <c r="B11111" i="4"/>
  <c r="B11112" i="4"/>
  <c r="B20912" i="4"/>
  <c r="B12966" i="4"/>
  <c r="B11113" i="4"/>
  <c r="B11114" i="4"/>
  <c r="B11115" i="4"/>
  <c r="B11116" i="4"/>
  <c r="B11117" i="4"/>
  <c r="B13715" i="4"/>
  <c r="B13716" i="4"/>
  <c r="B13717" i="4"/>
  <c r="B20913" i="4"/>
  <c r="B198" i="4"/>
  <c r="B199" i="4"/>
  <c r="B200" i="4"/>
  <c r="B13718" i="4"/>
  <c r="B8466" i="4"/>
  <c r="B17682" i="4"/>
  <c r="B11118" i="4"/>
  <c r="B11119" i="4"/>
  <c r="B11120" i="4"/>
  <c r="B11121" i="4"/>
  <c r="B11122" i="4"/>
  <c r="B11123" i="4"/>
  <c r="B20914" i="4"/>
  <c r="B20915" i="4"/>
  <c r="B11124" i="4"/>
  <c r="B11125" i="4"/>
  <c r="B11126" i="4"/>
  <c r="B11127" i="4"/>
  <c r="B11128" i="4"/>
  <c r="B20916" i="4"/>
  <c r="B20917" i="4"/>
  <c r="B20918" i="4"/>
  <c r="B11129" i="4"/>
  <c r="B11130" i="4"/>
  <c r="B11131" i="4"/>
  <c r="B11132" i="4"/>
  <c r="B13229" i="4"/>
  <c r="B12967" i="4"/>
  <c r="B15365" i="4"/>
  <c r="B20919" i="4"/>
  <c r="B11133" i="4"/>
  <c r="B11134" i="4"/>
  <c r="B20920" i="4"/>
  <c r="B13322" i="4"/>
  <c r="B13323" i="4"/>
  <c r="B20921" i="4"/>
  <c r="B11135" i="4"/>
  <c r="B20922" i="4"/>
  <c r="B17874" i="4"/>
  <c r="B17875" i="4"/>
  <c r="B15376" i="4"/>
  <c r="B20923" i="4"/>
  <c r="B15647" i="4"/>
  <c r="B15648" i="4"/>
  <c r="B15649" i="4"/>
  <c r="B13719" i="4"/>
  <c r="B15650" i="4"/>
  <c r="B15651" i="4"/>
  <c r="B15652" i="4"/>
  <c r="B15653" i="4"/>
  <c r="B15654" i="4"/>
  <c r="B15655" i="4"/>
  <c r="B20924" i="4"/>
  <c r="B20925" i="4"/>
  <c r="B20926" i="4"/>
  <c r="B20927" i="4"/>
  <c r="B20928" i="4"/>
  <c r="B9448" i="4"/>
  <c r="B20929" i="4"/>
  <c r="B2702" i="4"/>
  <c r="B2703" i="4"/>
  <c r="B2704" i="4"/>
  <c r="B2479" i="4"/>
  <c r="B20930" i="4"/>
  <c r="B2705" i="4"/>
  <c r="B2706" i="4"/>
  <c r="B10817" i="4"/>
  <c r="B201" i="4"/>
  <c r="B202" i="4"/>
  <c r="B13720" i="4"/>
  <c r="B203" i="4"/>
  <c r="B20931" i="4"/>
  <c r="B20932" i="4"/>
  <c r="B204" i="4"/>
  <c r="B20933" i="4"/>
  <c r="B20934" i="4"/>
  <c r="B20715" i="4"/>
  <c r="B20716" i="4"/>
  <c r="B20717" i="4"/>
  <c r="B20718" i="4"/>
  <c r="B20719" i="4"/>
  <c r="B20720" i="4"/>
  <c r="B20721" i="4"/>
  <c r="B20935" i="4"/>
  <c r="B20722" i="4"/>
  <c r="B20936" i="4"/>
  <c r="B20723" i="4"/>
  <c r="B20724" i="4"/>
  <c r="B20937" i="4"/>
  <c r="B20938" i="4"/>
  <c r="B20939" i="4"/>
  <c r="B20940" i="4"/>
  <c r="B20941" i="4"/>
  <c r="B18155" i="4"/>
  <c r="B12284" i="4"/>
  <c r="B12285" i="4"/>
  <c r="B20942" i="4"/>
  <c r="B12286" i="4"/>
  <c r="B12287" i="4"/>
  <c r="B12288" i="4"/>
  <c r="B10972" i="4"/>
  <c r="B10973" i="4"/>
  <c r="B13721" i="4"/>
  <c r="B1972" i="4"/>
  <c r="B1973" i="4"/>
  <c r="B13722" i="4"/>
  <c r="B20943" i="4"/>
  <c r="B20944" i="4"/>
  <c r="B13723" i="4"/>
  <c r="B13724" i="4"/>
  <c r="B20945" i="4"/>
  <c r="B20946" i="4"/>
  <c r="B20947" i="4"/>
  <c r="B13725" i="4"/>
  <c r="B13726" i="4"/>
  <c r="B13727" i="4"/>
  <c r="B13728" i="4"/>
  <c r="B13729" i="4"/>
  <c r="B1974" i="4"/>
  <c r="B1975" i="4"/>
  <c r="B13730" i="4"/>
  <c r="B13731" i="4"/>
  <c r="B13732" i="4"/>
  <c r="B13733" i="4"/>
  <c r="B13734" i="4"/>
  <c r="B13735" i="4"/>
  <c r="B1976" i="4"/>
  <c r="B1977" i="4"/>
  <c r="B13736" i="4"/>
  <c r="B13737" i="4"/>
  <c r="B13738" i="4"/>
  <c r="B13739" i="4"/>
  <c r="B7473" i="4"/>
  <c r="B20948" i="4"/>
  <c r="B8481" i="4"/>
  <c r="B8482" i="4"/>
  <c r="B11136" i="4"/>
  <c r="B11137" i="4"/>
  <c r="B11138" i="4"/>
  <c r="B11139" i="4"/>
  <c r="B1978" i="4"/>
  <c r="B17671" i="4"/>
  <c r="B13740" i="4"/>
  <c r="B13741" i="4"/>
  <c r="B13742" i="4"/>
  <c r="B13743" i="4"/>
  <c r="B13744" i="4"/>
  <c r="B13745" i="4"/>
  <c r="B13746" i="4"/>
  <c r="B13747" i="4"/>
  <c r="B13748" i="4"/>
  <c r="B13749" i="4"/>
  <c r="B20949" i="4"/>
  <c r="B528" i="4"/>
  <c r="B20950" i="4"/>
  <c r="B8340" i="4"/>
  <c r="B13750" i="4"/>
  <c r="B13751" i="4"/>
  <c r="B20951" i="4"/>
  <c r="B20952" i="4"/>
  <c r="B13752" i="4"/>
  <c r="B13753" i="4"/>
  <c r="B20953" i="4"/>
  <c r="B13754" i="4"/>
  <c r="B20954" i="4"/>
  <c r="B13755" i="4"/>
  <c r="B13756" i="4"/>
  <c r="B13757" i="4"/>
  <c r="B13758" i="4"/>
  <c r="B13759" i="4"/>
  <c r="B13760" i="4"/>
  <c r="B13761" i="4"/>
  <c r="B13762" i="4"/>
  <c r="B13763" i="4"/>
  <c r="B13764" i="4"/>
  <c r="B20955" i="4"/>
  <c r="B13765" i="4"/>
  <c r="B20956" i="4"/>
  <c r="B13766" i="4"/>
  <c r="B13767" i="4"/>
  <c r="B20957" i="4"/>
  <c r="B13768" i="4"/>
  <c r="B13769" i="4"/>
  <c r="B13770" i="4"/>
  <c r="B13771" i="4"/>
  <c r="B13772" i="4"/>
  <c r="B13773" i="4"/>
  <c r="B13774" i="4"/>
  <c r="B13775" i="4"/>
  <c r="B13776" i="4"/>
  <c r="B13777" i="4"/>
  <c r="B13778" i="4"/>
  <c r="B13779" i="4"/>
  <c r="B13780" i="4"/>
  <c r="B13781" i="4"/>
  <c r="B13782" i="4"/>
  <c r="B13783" i="4"/>
  <c r="B13784" i="4"/>
  <c r="B5793" i="4"/>
  <c r="B7474" i="4"/>
  <c r="B1979" i="4"/>
  <c r="B1980" i="4"/>
  <c r="B1981" i="4"/>
  <c r="B20958" i="4"/>
  <c r="B1918" i="4"/>
  <c r="B15656" i="4"/>
  <c r="B15458" i="4"/>
  <c r="B15459" i="4"/>
  <c r="B15460" i="4"/>
  <c r="B15461" i="4"/>
  <c r="B205" i="4"/>
  <c r="B20959" i="4"/>
  <c r="B20960" i="4"/>
  <c r="B20961" i="4"/>
  <c r="B15657" i="4"/>
  <c r="B20962" i="4"/>
  <c r="B12968" i="4"/>
  <c r="B12969" i="4"/>
  <c r="B12970" i="4"/>
  <c r="B12971" i="4"/>
  <c r="B12972" i="4"/>
  <c r="B12973" i="4"/>
  <c r="B12974" i="4"/>
  <c r="B12975" i="4"/>
  <c r="B15658" i="4"/>
  <c r="B15659" i="4"/>
  <c r="B15660" i="4"/>
  <c r="B20963" i="4"/>
  <c r="B18156" i="4"/>
  <c r="B18157" i="4"/>
  <c r="B20964" i="4"/>
  <c r="B20965" i="4"/>
  <c r="B20966" i="4"/>
  <c r="B20967" i="4"/>
  <c r="B20968" i="4"/>
  <c r="B20969" i="4"/>
  <c r="B18158" i="4"/>
  <c r="B20970" i="4"/>
  <c r="B20971" i="4"/>
  <c r="B20972" i="4"/>
  <c r="B20973" i="4"/>
  <c r="B18159" i="4"/>
  <c r="B9449" i="4"/>
  <c r="B9450" i="4"/>
  <c r="B9451" i="4"/>
  <c r="B9452" i="4"/>
  <c r="B9453" i="4"/>
  <c r="B22" i="4"/>
  <c r="B9454" i="4"/>
  <c r="B9455" i="4"/>
  <c r="B20974" i="4"/>
  <c r="B9456" i="4"/>
  <c r="B20975" i="4"/>
  <c r="B20976" i="4"/>
  <c r="B13230" i="4"/>
  <c r="B20977" i="4"/>
  <c r="B20978" i="4"/>
  <c r="B10974" i="4"/>
  <c r="B20979" i="4"/>
  <c r="B20980" i="4"/>
  <c r="B18160" i="4"/>
  <c r="B18161" i="4"/>
  <c r="B15462" i="4"/>
  <c r="B15463" i="4"/>
  <c r="B15464" i="4"/>
  <c r="B20981" i="4"/>
  <c r="B20982" i="4"/>
  <c r="B20983" i="4"/>
  <c r="B20984" i="4"/>
  <c r="B20985" i="4"/>
  <c r="B20986" i="4"/>
  <c r="B18162" i="4"/>
  <c r="B20987" i="4"/>
  <c r="B18163" i="4"/>
  <c r="B20988" i="4"/>
  <c r="B18164" i="4"/>
  <c r="B15661" i="4"/>
  <c r="B12976" i="4"/>
  <c r="B12977" i="4"/>
  <c r="B18165" i="4"/>
  <c r="B20989" i="4"/>
  <c r="B5117" i="4"/>
  <c r="B5118" i="4"/>
  <c r="B15662" i="4"/>
  <c r="B15663" i="4"/>
  <c r="B20990" i="4"/>
  <c r="B2707" i="4"/>
  <c r="B20991" i="4"/>
  <c r="B20992" i="4"/>
  <c r="B20993" i="4"/>
  <c r="B23" i="4"/>
  <c r="B20994" i="4"/>
  <c r="B9457" i="4"/>
  <c r="B9976" i="4"/>
  <c r="B13324" i="4"/>
  <c r="B9977" i="4"/>
  <c r="B6481" i="4"/>
  <c r="B20995" i="4"/>
  <c r="B15465" i="4"/>
  <c r="B18166" i="4"/>
  <c r="B1982" i="4"/>
  <c r="B1983" i="4"/>
  <c r="B15664" i="4"/>
  <c r="B15665" i="4"/>
  <c r="B15666" i="4"/>
  <c r="B20996" i="4"/>
  <c r="B15667" i="4"/>
  <c r="B20997" i="4"/>
  <c r="B15668" i="4"/>
  <c r="B20998" i="4"/>
  <c r="B2480" i="4"/>
  <c r="B13785" i="4"/>
  <c r="B13786" i="4"/>
  <c r="B13787" i="4"/>
  <c r="B13788" i="4"/>
  <c r="B7475" i="4"/>
  <c r="B7476" i="4"/>
  <c r="B529" i="4"/>
  <c r="B20999" i="4"/>
  <c r="B9458" i="4"/>
  <c r="B9459" i="4"/>
  <c r="B9460" i="4"/>
  <c r="B24" i="4"/>
  <c r="B11140" i="4"/>
  <c r="B21000" i="4"/>
  <c r="B13325" i="4"/>
  <c r="B11141" i="4"/>
  <c r="B11142" i="4"/>
  <c r="B5635" i="4"/>
  <c r="B5636" i="4"/>
  <c r="B5637" i="4"/>
  <c r="B5638" i="4"/>
  <c r="B5639" i="4"/>
  <c r="B5640" i="4"/>
  <c r="B5641" i="4"/>
  <c r="B5642" i="4"/>
  <c r="B5643" i="4"/>
  <c r="B5644" i="4"/>
  <c r="B5645" i="4"/>
  <c r="B21001" i="4"/>
  <c r="B8341" i="4"/>
  <c r="B21002" i="4"/>
  <c r="B21003" i="4"/>
  <c r="B13789" i="4"/>
  <c r="B13790" i="4"/>
  <c r="B13791" i="4"/>
  <c r="B13792" i="4"/>
  <c r="B13793" i="4"/>
  <c r="B7477" i="4"/>
  <c r="B1984" i="4"/>
  <c r="B1985" i="4"/>
  <c r="B15669" i="4"/>
  <c r="B15670" i="4"/>
  <c r="B15671" i="4"/>
  <c r="B15672" i="4"/>
  <c r="B15673" i="4"/>
  <c r="B15674" i="4"/>
  <c r="B15675" i="4"/>
  <c r="B18167" i="4"/>
  <c r="B18168" i="4"/>
  <c r="B18169" i="4"/>
  <c r="B18170" i="4"/>
  <c r="B18171" i="4"/>
  <c r="B18172" i="4"/>
  <c r="B18173" i="4"/>
  <c r="B18174" i="4"/>
  <c r="B18175" i="4"/>
  <c r="B21004" i="4"/>
  <c r="B18176" i="4"/>
  <c r="B18177" i="4"/>
  <c r="B18178" i="4"/>
  <c r="B18179" i="4"/>
  <c r="B9461" i="4"/>
  <c r="B9462" i="4"/>
  <c r="B9463" i="4"/>
  <c r="B25" i="4"/>
  <c r="B26" i="4"/>
  <c r="B9464" i="4"/>
  <c r="B9465" i="4"/>
  <c r="B9466" i="4"/>
  <c r="B9467" i="4"/>
  <c r="B9468" i="4"/>
  <c r="B9469" i="4"/>
  <c r="B9470" i="4"/>
  <c r="B9471" i="4"/>
  <c r="B9472" i="4"/>
  <c r="B27" i="4"/>
  <c r="B9473" i="4"/>
  <c r="B9474" i="4"/>
  <c r="B9475" i="4"/>
  <c r="B9476" i="4"/>
  <c r="B9477" i="4"/>
  <c r="B9478" i="4"/>
  <c r="B9479" i="4"/>
  <c r="B5904" i="4"/>
  <c r="B5905" i="4"/>
  <c r="B21005" i="4"/>
  <c r="B21006" i="4"/>
  <c r="B18180" i="4"/>
  <c r="B18181" i="4"/>
  <c r="B18182" i="4"/>
  <c r="B18183" i="4"/>
  <c r="B18184" i="4"/>
  <c r="B18185" i="4"/>
  <c r="B18186" i="4"/>
  <c r="B18187" i="4"/>
  <c r="B18188" i="4"/>
  <c r="B530" i="4"/>
  <c r="B531" i="4"/>
  <c r="B15676" i="4"/>
  <c r="B206" i="4"/>
  <c r="B21007" i="4"/>
  <c r="B21008" i="4"/>
  <c r="B21009" i="4"/>
  <c r="B21010" i="4"/>
  <c r="B21011" i="4"/>
  <c r="B21012" i="4"/>
  <c r="B21013" i="4"/>
  <c r="B13794" i="4"/>
  <c r="B21014" i="4"/>
  <c r="B21015" i="4"/>
  <c r="B1986" i="4"/>
  <c r="B1987" i="4"/>
  <c r="B7478" i="4"/>
  <c r="B21016" i="4"/>
  <c r="B9480" i="4"/>
  <c r="B9481" i="4"/>
  <c r="B9482" i="4"/>
  <c r="B9483" i="4"/>
  <c r="B1988" i="4"/>
  <c r="B21017" i="4"/>
  <c r="B21018" i="4"/>
  <c r="B21019" i="4"/>
  <c r="B21020" i="4"/>
  <c r="B21021" i="4"/>
  <c r="B18189" i="4"/>
  <c r="B21022" i="4"/>
  <c r="B21023" i="4"/>
  <c r="B28" i="4"/>
  <c r="B9484" i="4"/>
  <c r="B9485" i="4"/>
  <c r="B9486" i="4"/>
  <c r="B9487" i="4"/>
  <c r="B9488" i="4"/>
  <c r="B9489" i="4"/>
  <c r="B9490" i="4"/>
  <c r="B9491" i="4"/>
  <c r="B21024" i="4"/>
  <c r="B21025" i="4"/>
  <c r="B21026" i="4"/>
  <c r="B21027" i="4"/>
  <c r="B18190" i="4"/>
  <c r="B21028" i="4"/>
  <c r="B7479" i="4"/>
  <c r="B15366" i="4"/>
  <c r="B7480" i="4"/>
  <c r="B21029" i="4"/>
  <c r="B21030" i="4"/>
  <c r="B21031" i="4"/>
  <c r="B21032" i="4"/>
  <c r="B20725" i="4"/>
  <c r="B20726" i="4"/>
  <c r="B20727" i="4"/>
  <c r="B20728" i="4"/>
  <c r="B20729" i="4"/>
  <c r="B20730" i="4"/>
  <c r="B20731" i="4"/>
  <c r="B20732" i="4"/>
  <c r="B20733" i="4"/>
  <c r="B20734" i="4"/>
  <c r="B20735" i="4"/>
  <c r="B20736" i="4"/>
  <c r="B20737" i="4"/>
  <c r="B20738" i="4"/>
  <c r="B21033" i="4"/>
  <c r="B21034" i="4"/>
  <c r="B21035" i="4"/>
  <c r="B15393" i="4"/>
  <c r="B15394" i="4"/>
  <c r="B15395" i="4"/>
  <c r="B15396" i="4"/>
  <c r="B15397" i="4"/>
  <c r="B15398" i="4"/>
  <c r="B15399" i="4"/>
  <c r="B13326" i="4"/>
  <c r="B11143" i="4"/>
  <c r="B2708" i="4"/>
  <c r="B9978" i="4"/>
  <c r="B9979" i="4"/>
  <c r="B9980" i="4"/>
  <c r="B6195" i="4"/>
  <c r="B2709" i="4"/>
  <c r="B2710" i="4"/>
  <c r="B2711" i="4"/>
  <c r="B21036" i="4"/>
  <c r="B21037" i="4"/>
  <c r="B2712" i="4"/>
  <c r="B21038" i="4"/>
  <c r="B21039" i="4"/>
  <c r="B18191" i="4"/>
  <c r="B18192" i="4"/>
  <c r="B18193" i="4"/>
  <c r="B13795" i="4"/>
  <c r="B207" i="4"/>
  <c r="B13796" i="4"/>
  <c r="B13797" i="4"/>
  <c r="B208" i="4"/>
  <c r="B15677" i="4"/>
  <c r="B15466" i="4"/>
  <c r="B21040" i="4"/>
  <c r="B21041" i="4"/>
  <c r="B21042" i="4"/>
  <c r="B21043" i="4"/>
  <c r="B21044" i="4"/>
  <c r="B15678" i="4"/>
  <c r="B15679" i="4"/>
  <c r="B21045" i="4"/>
  <c r="B21046" i="4"/>
  <c r="B15680" i="4"/>
  <c r="B21047" i="4"/>
  <c r="B21048" i="4"/>
  <c r="B21049" i="4"/>
  <c r="B21050" i="4"/>
  <c r="B18194" i="4"/>
  <c r="B21051" i="4"/>
  <c r="B18195" i="4"/>
  <c r="B18196" i="4"/>
  <c r="B18197" i="4"/>
  <c r="B18198" i="4"/>
  <c r="B21052" i="4"/>
  <c r="B18199" i="4"/>
  <c r="B18200" i="4"/>
  <c r="B18201" i="4"/>
  <c r="B18202" i="4"/>
  <c r="B8342" i="4"/>
  <c r="B21053" i="4"/>
  <c r="B5365" i="4"/>
  <c r="B21054" i="4"/>
  <c r="B21055" i="4"/>
  <c r="B21056" i="4"/>
  <c r="B21057" i="4"/>
  <c r="B21058" i="4"/>
  <c r="B11144" i="4"/>
  <c r="B11145" i="4"/>
  <c r="B11146" i="4"/>
  <c r="B11147" i="4"/>
  <c r="B21059" i="4"/>
  <c r="B2713" i="4"/>
  <c r="B2714" i="4"/>
  <c r="B21060" i="4"/>
  <c r="B2715" i="4"/>
  <c r="B13798" i="4"/>
  <c r="B13799" i="4"/>
  <c r="B7481" i="4"/>
  <c r="B1919" i="4"/>
  <c r="B21061" i="4"/>
  <c r="B1920" i="4"/>
  <c r="B2716" i="4"/>
  <c r="B21062" i="4"/>
  <c r="B21063" i="4"/>
  <c r="B21064" i="4"/>
  <c r="B21065" i="4"/>
  <c r="B2717" i="4"/>
  <c r="B2718" i="4"/>
  <c r="B21066" i="4"/>
  <c r="B11148" i="4"/>
  <c r="B2481" i="4"/>
  <c r="B2482" i="4"/>
  <c r="B1690" i="4"/>
  <c r="B9981" i="4"/>
  <c r="B21067" i="4"/>
  <c r="B9982" i="4"/>
  <c r="B2719" i="4"/>
  <c r="B21068" i="4"/>
  <c r="B6196" i="4"/>
  <c r="B17876" i="4"/>
  <c r="B17877" i="4"/>
  <c r="B18036" i="4"/>
  <c r="B1691" i="4"/>
  <c r="B1692" i="4"/>
  <c r="B1693" i="4"/>
  <c r="B9983" i="4"/>
  <c r="A28248" i="4"/>
  <c r="A12837" i="4"/>
  <c r="A28247" i="4"/>
  <c r="A28246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7472" i="4"/>
  <c r="A7471" i="4"/>
  <c r="A12799" i="4"/>
  <c r="A12798" i="4"/>
  <c r="A12797" i="4"/>
  <c r="A12796" i="4"/>
  <c r="A12795" i="4"/>
  <c r="A12794" i="4"/>
  <c r="A12793" i="4"/>
  <c r="A12792" i="4"/>
  <c r="A12791" i="4"/>
  <c r="A28245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872" i="4"/>
  <c r="A12871" i="4"/>
  <c r="A12775" i="4"/>
  <c r="A12774" i="4"/>
  <c r="A12773" i="4"/>
  <c r="A12772" i="4"/>
  <c r="A12771" i="4"/>
  <c r="A28244" i="4"/>
  <c r="A17873" i="4"/>
  <c r="A17872" i="4"/>
  <c r="A12770" i="4"/>
  <c r="A12769" i="4"/>
  <c r="A12768" i="4"/>
  <c r="A12767" i="4"/>
  <c r="A17871" i="4"/>
  <c r="A17870" i="4"/>
  <c r="A28243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20713" i="4"/>
  <c r="A20712" i="4"/>
  <c r="A15457" i="4"/>
  <c r="A15456" i="4"/>
  <c r="A12870" i="4"/>
  <c r="A12748" i="4"/>
  <c r="A12747" i="4"/>
  <c r="A12746" i="4"/>
  <c r="A17869" i="4"/>
  <c r="A17868" i="4"/>
  <c r="A17867" i="4"/>
  <c r="A17866" i="4"/>
  <c r="A17865" i="4"/>
  <c r="A12745" i="4"/>
  <c r="A12744" i="4"/>
  <c r="A12743" i="4"/>
  <c r="A12742" i="4"/>
  <c r="A12741" i="4"/>
  <c r="A12740" i="4"/>
  <c r="A12869" i="4"/>
  <c r="A12868" i="4"/>
  <c r="A20711" i="4"/>
  <c r="A20710" i="4"/>
  <c r="A15455" i="4"/>
  <c r="A15454" i="4"/>
  <c r="A12867" i="4"/>
  <c r="A11006" i="4"/>
  <c r="A28242" i="4"/>
  <c r="A28241" i="4"/>
  <c r="A7470" i="4"/>
  <c r="A28240" i="4"/>
  <c r="A28239" i="4"/>
  <c r="A12739" i="4"/>
  <c r="A28238" i="4"/>
  <c r="A28237" i="4"/>
  <c r="A28236" i="4"/>
  <c r="A28235" i="4"/>
  <c r="A28234" i="4"/>
  <c r="A28233" i="4"/>
  <c r="A12738" i="4"/>
  <c r="A12737" i="4"/>
  <c r="A12736" i="4"/>
  <c r="A28232" i="4"/>
  <c r="A15627" i="4"/>
  <c r="A28231" i="4"/>
  <c r="A15626" i="4"/>
  <c r="A28230" i="4"/>
  <c r="A17261" i="4"/>
  <c r="A15625" i="4"/>
  <c r="A28229" i="4"/>
  <c r="A15624" i="4"/>
  <c r="A15623" i="4"/>
  <c r="A28228" i="4"/>
  <c r="A28227" i="4"/>
  <c r="A20667" i="4"/>
  <c r="A17260" i="4"/>
  <c r="A1917" i="4"/>
  <c r="A28226" i="4"/>
  <c r="A28225" i="4"/>
  <c r="A28224" i="4"/>
  <c r="A28223" i="4"/>
  <c r="A28222" i="4"/>
  <c r="A28221" i="4"/>
  <c r="A28220" i="4"/>
  <c r="A8293" i="4"/>
  <c r="A17259" i="4"/>
  <c r="A17258" i="4"/>
  <c r="A28219" i="4"/>
  <c r="A17257" i="4"/>
  <c r="A8292" i="4"/>
  <c r="A28218" i="4"/>
  <c r="A17256" i="4"/>
  <c r="A28217" i="4"/>
  <c r="A17255" i="4"/>
  <c r="A28216" i="4"/>
  <c r="A20669" i="4"/>
  <c r="A8311" i="4"/>
  <c r="A17254" i="4"/>
  <c r="A17253" i="4"/>
  <c r="A12950" i="4"/>
  <c r="A28215" i="4"/>
  <c r="A28214" i="4"/>
  <c r="A28213" i="4"/>
  <c r="A28212" i="4"/>
  <c r="A17252" i="4"/>
  <c r="A28211" i="4"/>
  <c r="A8291" i="4"/>
  <c r="A8290" i="4"/>
  <c r="A17251" i="4"/>
  <c r="A28210" i="4"/>
  <c r="A17250" i="4"/>
  <c r="A28209" i="4"/>
  <c r="A20665" i="4"/>
  <c r="A20664" i="4"/>
  <c r="A28208" i="4"/>
  <c r="A28207" i="4"/>
  <c r="A28206" i="4"/>
  <c r="A28205" i="4"/>
  <c r="A28204" i="4"/>
  <c r="A28203" i="4"/>
  <c r="A28202" i="4"/>
  <c r="A28201" i="4"/>
  <c r="A28200" i="4"/>
  <c r="A17249" i="4"/>
  <c r="A28199" i="4"/>
  <c r="A20663" i="4"/>
  <c r="A20662" i="4"/>
  <c r="A20661" i="4"/>
  <c r="A17248" i="4"/>
  <c r="A28198" i="4"/>
  <c r="A17247" i="4"/>
  <c r="A28197" i="4"/>
  <c r="A2467" i="4"/>
  <c r="A28196" i="4"/>
  <c r="A28195" i="4"/>
  <c r="A20660" i="4"/>
  <c r="A17681" i="4"/>
  <c r="A28194" i="4"/>
  <c r="A28193" i="4"/>
  <c r="A17246" i="4"/>
  <c r="A17245" i="4"/>
  <c r="A28192" i="4"/>
  <c r="A5749" i="4"/>
  <c r="A28191" i="4"/>
  <c r="A28190" i="4"/>
  <c r="A28189" i="4"/>
  <c r="A28188" i="4"/>
  <c r="A28187" i="4"/>
  <c r="A20659" i="4"/>
  <c r="A20658" i="4"/>
  <c r="A11005" i="4"/>
  <c r="A28186" i="4"/>
  <c r="A28185" i="4"/>
  <c r="A28184" i="4"/>
  <c r="A11004" i="4"/>
  <c r="A11003" i="4"/>
  <c r="A28183" i="4"/>
  <c r="A5748" i="4"/>
  <c r="A28182" i="4"/>
  <c r="A20657" i="4"/>
  <c r="A20656" i="4"/>
  <c r="A28181" i="4"/>
  <c r="A28180" i="4"/>
  <c r="A28179" i="4"/>
  <c r="A28178" i="4"/>
  <c r="A28177" i="4"/>
  <c r="A17244" i="4"/>
  <c r="A28176" i="4"/>
  <c r="A2466" i="4"/>
  <c r="A12949" i="4"/>
  <c r="A2465" i="4"/>
  <c r="A2464" i="4"/>
  <c r="A20668" i="4"/>
  <c r="A28175" i="4"/>
  <c r="A2463" i="4"/>
  <c r="A17243" i="4"/>
  <c r="A17242" i="4"/>
  <c r="A17241" i="4"/>
  <c r="A17240" i="4"/>
  <c r="A17239" i="4"/>
  <c r="A17698" i="4"/>
  <c r="A28174" i="4"/>
  <c r="A28173" i="4"/>
  <c r="A15383" i="4"/>
  <c r="A8289" i="4"/>
  <c r="A28172" i="4"/>
  <c r="A28171" i="4"/>
  <c r="A28170" i="4"/>
  <c r="A28169" i="4"/>
  <c r="A28168" i="4"/>
  <c r="A28167" i="4"/>
  <c r="A28166" i="4"/>
  <c r="A28165" i="4"/>
  <c r="A28164" i="4"/>
  <c r="A28163" i="4"/>
  <c r="A28162" i="4"/>
  <c r="A8991" i="4"/>
  <c r="A8990" i="4"/>
  <c r="A8989" i="4"/>
  <c r="A8988" i="4"/>
  <c r="A8987" i="4"/>
  <c r="A28161" i="4"/>
  <c r="A28160" i="4"/>
  <c r="A8986" i="4"/>
  <c r="A28159" i="4"/>
  <c r="A28158" i="4"/>
  <c r="A28157" i="4"/>
  <c r="A8985" i="4"/>
  <c r="A8984" i="4"/>
  <c r="A8983" i="4"/>
  <c r="A8982" i="4"/>
  <c r="A8981" i="4"/>
  <c r="A8980" i="4"/>
  <c r="A8979" i="4"/>
  <c r="A8978" i="4"/>
  <c r="A28156" i="4"/>
  <c r="A8977" i="4"/>
  <c r="A8976" i="4"/>
  <c r="A8975" i="4"/>
  <c r="A8974" i="4"/>
  <c r="A28155" i="4"/>
  <c r="A8973" i="4"/>
  <c r="A28154" i="4"/>
  <c r="A8972" i="4"/>
  <c r="A28153" i="4"/>
  <c r="A8971" i="4"/>
  <c r="A8970" i="4"/>
  <c r="A8969" i="4"/>
  <c r="A8968" i="4"/>
  <c r="A28152" i="4"/>
  <c r="A28151" i="4"/>
  <c r="A8967" i="4"/>
  <c r="A8966" i="4"/>
  <c r="A8965" i="4"/>
  <c r="A8964" i="4"/>
  <c r="A8963" i="4"/>
  <c r="A8962" i="4"/>
  <c r="A8961" i="4"/>
  <c r="A28150" i="4"/>
  <c r="A8960" i="4"/>
  <c r="A8959" i="4"/>
  <c r="A8958" i="4"/>
  <c r="A8957" i="4"/>
  <c r="A8956" i="4"/>
  <c r="A8955" i="4"/>
  <c r="A8954" i="4"/>
  <c r="A28149" i="4"/>
  <c r="A8953" i="4"/>
  <c r="A8952" i="4"/>
  <c r="A8951" i="4"/>
  <c r="A8950" i="4"/>
  <c r="A8949" i="4"/>
  <c r="A8948" i="4"/>
  <c r="A8947" i="4"/>
  <c r="A28148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28147" i="4"/>
  <c r="A28146" i="4"/>
  <c r="A8934" i="4"/>
  <c r="A8933" i="4"/>
  <c r="A8932" i="4"/>
  <c r="A28145" i="4"/>
  <c r="A8931" i="4"/>
  <c r="A28144" i="4"/>
  <c r="A28143" i="4"/>
  <c r="A8930" i="4"/>
  <c r="A28142" i="4"/>
  <c r="A28141" i="4"/>
  <c r="A8929" i="4"/>
  <c r="A8928" i="4"/>
  <c r="A8927" i="4"/>
  <c r="A8926" i="4"/>
  <c r="A28140" i="4"/>
  <c r="A28139" i="4"/>
  <c r="A28138" i="4"/>
  <c r="A28137" i="4"/>
  <c r="A2813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28135" i="4"/>
  <c r="A8913" i="4"/>
  <c r="A8912" i="4"/>
  <c r="A28134" i="4"/>
  <c r="A28133" i="4"/>
  <c r="A8911" i="4"/>
  <c r="A8910" i="4"/>
  <c r="A8909" i="4"/>
  <c r="A8908" i="4"/>
  <c r="A8907" i="4"/>
  <c r="A28132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28131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28130" i="4"/>
  <c r="A8877" i="4"/>
  <c r="A8876" i="4"/>
  <c r="A8875" i="4"/>
  <c r="A8874" i="4"/>
  <c r="A8873" i="4"/>
  <c r="A28129" i="4"/>
  <c r="A8872" i="4"/>
  <c r="A8871" i="4"/>
  <c r="A17586" i="4"/>
  <c r="A8870" i="4"/>
  <c r="A8869" i="4"/>
  <c r="A28128" i="4"/>
  <c r="A8868" i="4"/>
  <c r="A17656" i="4"/>
  <c r="A8867" i="4"/>
  <c r="A17655" i="4"/>
  <c r="A8866" i="4"/>
  <c r="A8865" i="4"/>
  <c r="A8864" i="4"/>
  <c r="A8863" i="4"/>
  <c r="A17654" i="4"/>
  <c r="A17653" i="4"/>
  <c r="A17585" i="4"/>
  <c r="A28127" i="4"/>
  <c r="A17652" i="4"/>
  <c r="A8862" i="4"/>
  <c r="A28126" i="4"/>
  <c r="A8861" i="4"/>
  <c r="A8860" i="4"/>
  <c r="A17584" i="4"/>
  <c r="A8859" i="4"/>
  <c r="A8858" i="4"/>
  <c r="A17651" i="4"/>
  <c r="A8857" i="4"/>
  <c r="A8856" i="4"/>
  <c r="A8855" i="4"/>
  <c r="A8854" i="4"/>
  <c r="A8853" i="4"/>
  <c r="A8852" i="4"/>
  <c r="A17583" i="4"/>
  <c r="A17650" i="4"/>
  <c r="A17649" i="4"/>
  <c r="A8851" i="4"/>
  <c r="A17648" i="4"/>
  <c r="A17647" i="4"/>
  <c r="A8850" i="4"/>
  <c r="A8849" i="4"/>
  <c r="A17646" i="4"/>
  <c r="A17645" i="4"/>
  <c r="A12283" i="4"/>
  <c r="A12282" i="4"/>
  <c r="A8848" i="4"/>
  <c r="A17582" i="4"/>
  <c r="A8847" i="4"/>
  <c r="A8846" i="4"/>
  <c r="A28125" i="4"/>
  <c r="A12281" i="4"/>
  <c r="A8845" i="4"/>
  <c r="A8844" i="4"/>
  <c r="A8843" i="4"/>
  <c r="A17644" i="4"/>
  <c r="A17581" i="4"/>
  <c r="A17643" i="4"/>
  <c r="A17642" i="4"/>
  <c r="A17641" i="4"/>
  <c r="A28124" i="4"/>
  <c r="A17640" i="4"/>
  <c r="A8842" i="4"/>
  <c r="A8841" i="4"/>
  <c r="A8840" i="4"/>
  <c r="A17639" i="4"/>
  <c r="A8839" i="4"/>
  <c r="A17638" i="4"/>
  <c r="A17637" i="4"/>
  <c r="A8838" i="4"/>
  <c r="A8837" i="4"/>
  <c r="A17636" i="4"/>
  <c r="A12280" i="4"/>
  <c r="A17635" i="4"/>
  <c r="A17580" i="4"/>
  <c r="A17634" i="4"/>
  <c r="A28123" i="4"/>
  <c r="A17633" i="4"/>
  <c r="A17579" i="4"/>
  <c r="A28122" i="4"/>
  <c r="A8836" i="4"/>
  <c r="A8835" i="4"/>
  <c r="A8834" i="4"/>
  <c r="A17578" i="4"/>
  <c r="A8833" i="4"/>
  <c r="A17632" i="4"/>
  <c r="A28121" i="4"/>
  <c r="A8832" i="4"/>
  <c r="A17577" i="4"/>
  <c r="A8831" i="4"/>
  <c r="A17631" i="4"/>
  <c r="A12279" i="4"/>
  <c r="A17630" i="4"/>
  <c r="A17629" i="4"/>
  <c r="A17628" i="4"/>
  <c r="A17576" i="4"/>
  <c r="A17575" i="4"/>
  <c r="A17574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8126" i="4"/>
  <c r="A17614" i="4"/>
  <c r="A17613" i="4"/>
  <c r="A17612" i="4"/>
  <c r="A17611" i="4"/>
  <c r="A28120" i="4"/>
  <c r="A17610" i="4"/>
  <c r="A17573" i="4"/>
  <c r="A17572" i="4"/>
  <c r="A17609" i="4"/>
  <c r="A17608" i="4"/>
  <c r="A17607" i="4"/>
  <c r="A17571" i="4"/>
  <c r="A17570" i="4"/>
  <c r="A17569" i="4"/>
  <c r="A17568" i="4"/>
  <c r="A28119" i="4"/>
  <c r="A17567" i="4"/>
  <c r="A17566" i="4"/>
  <c r="A28118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8830" i="4"/>
  <c r="A28117" i="4"/>
  <c r="A28116" i="4"/>
  <c r="A28115" i="4"/>
  <c r="A8829" i="4"/>
  <c r="A28114" i="4"/>
  <c r="A28113" i="4"/>
  <c r="A28112" i="4"/>
  <c r="A28111" i="4"/>
  <c r="A28110" i="4"/>
  <c r="A28109" i="4"/>
  <c r="A28108" i="4"/>
  <c r="A28107" i="4"/>
  <c r="A28106" i="4"/>
  <c r="A28105" i="4"/>
  <c r="A28104" i="4"/>
  <c r="A28103" i="4"/>
  <c r="A28102" i="4"/>
  <c r="A28101" i="4"/>
  <c r="A28100" i="4"/>
  <c r="A28099" i="4"/>
  <c r="A28098" i="4"/>
  <c r="A28097" i="4"/>
  <c r="A28096" i="4"/>
  <c r="A28095" i="4"/>
  <c r="A28094" i="4"/>
  <c r="A28093" i="4"/>
  <c r="A28092" i="4"/>
  <c r="A28091" i="4"/>
  <c r="A28090" i="4"/>
  <c r="A28089" i="4"/>
  <c r="A17606" i="4"/>
  <c r="A17605" i="4"/>
  <c r="A17604" i="4"/>
  <c r="A6191" i="4"/>
  <c r="A6190" i="4"/>
  <c r="A6189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16696" i="4"/>
  <c r="A16695" i="4"/>
  <c r="A6785" i="4"/>
  <c r="A6784" i="4"/>
  <c r="A6783" i="4"/>
  <c r="A6782" i="4"/>
  <c r="A6781" i="4"/>
  <c r="A6780" i="4"/>
  <c r="A16694" i="4"/>
  <c r="A28088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16693" i="4"/>
  <c r="A6753" i="4"/>
  <c r="A6752" i="4"/>
  <c r="A16692" i="4"/>
  <c r="A6751" i="4"/>
  <c r="A16691" i="4"/>
  <c r="A16690" i="4"/>
  <c r="A6750" i="4"/>
  <c r="A6749" i="4"/>
  <c r="A6748" i="4"/>
  <c r="A16689" i="4"/>
  <c r="A16688" i="4"/>
  <c r="A6747" i="4"/>
  <c r="A6746" i="4"/>
  <c r="A16687" i="4"/>
  <c r="A16686" i="4"/>
  <c r="A6745" i="4"/>
  <c r="A28087" i="4"/>
  <c r="A16685" i="4"/>
  <c r="A16684" i="4"/>
  <c r="A16683" i="4"/>
  <c r="A6744" i="4"/>
  <c r="A6743" i="4"/>
  <c r="A6742" i="4"/>
  <c r="A6741" i="4"/>
  <c r="A16682" i="4"/>
  <c r="A522" i="4"/>
  <c r="A521" i="4"/>
  <c r="A16681" i="4"/>
  <c r="A16680" i="4"/>
  <c r="A16679" i="4"/>
  <c r="A16678" i="4"/>
  <c r="A16677" i="4"/>
  <c r="A16676" i="4"/>
  <c r="A6740" i="4"/>
  <c r="A6739" i="4"/>
  <c r="A6738" i="4"/>
  <c r="A6737" i="4"/>
  <c r="A6736" i="4"/>
  <c r="A6735" i="4"/>
  <c r="A6734" i="4"/>
  <c r="A6733" i="4"/>
  <c r="A6732" i="4"/>
  <c r="A6731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6730" i="4"/>
  <c r="A6729" i="4"/>
  <c r="A16661" i="4"/>
  <c r="A16660" i="4"/>
  <c r="A16659" i="4"/>
  <c r="A16658" i="4"/>
  <c r="A16657" i="4"/>
  <c r="A16656" i="4"/>
  <c r="A16655" i="4"/>
  <c r="A16654" i="4"/>
  <c r="A6728" i="4"/>
  <c r="A6727" i="4"/>
  <c r="A6726" i="4"/>
  <c r="A16653" i="4"/>
  <c r="A6725" i="4"/>
  <c r="A6724" i="4"/>
  <c r="A6723" i="4"/>
  <c r="A6722" i="4"/>
  <c r="A16652" i="4"/>
  <c r="A6721" i="4"/>
  <c r="A6720" i="4"/>
  <c r="A6719" i="4"/>
  <c r="A6718" i="4"/>
  <c r="A6717" i="4"/>
  <c r="A6716" i="4"/>
  <c r="A16651" i="4"/>
  <c r="A16650" i="4"/>
  <c r="A6715" i="4"/>
  <c r="A6714" i="4"/>
  <c r="A6713" i="4"/>
  <c r="A6712" i="4"/>
  <c r="A6711" i="4"/>
  <c r="A6710" i="4"/>
  <c r="A6709" i="4"/>
  <c r="A6708" i="4"/>
  <c r="A6707" i="4"/>
  <c r="A6706" i="4"/>
  <c r="A6705" i="4"/>
  <c r="A16649" i="4"/>
  <c r="A16648" i="4"/>
  <c r="A20839" i="4"/>
  <c r="A16647" i="4"/>
  <c r="A6704" i="4"/>
  <c r="A6703" i="4"/>
  <c r="A6702" i="4"/>
  <c r="A16646" i="4"/>
  <c r="A16645" i="4"/>
  <c r="A16644" i="4"/>
  <c r="A16643" i="4"/>
  <c r="A16642" i="4"/>
  <c r="A28086" i="4"/>
  <c r="A16641" i="4"/>
  <c r="A28085" i="4"/>
  <c r="A6701" i="4"/>
  <c r="A6700" i="4"/>
  <c r="A16640" i="4"/>
  <c r="A16639" i="4"/>
  <c r="A16638" i="4"/>
  <c r="A16637" i="4"/>
  <c r="A16636" i="4"/>
  <c r="A6699" i="4"/>
  <c r="A6698" i="4"/>
  <c r="A6697" i="4"/>
  <c r="A6696" i="4"/>
  <c r="A6695" i="4"/>
  <c r="A6694" i="4"/>
  <c r="A6693" i="4"/>
  <c r="A6692" i="4"/>
  <c r="A6691" i="4"/>
  <c r="A16635" i="4"/>
  <c r="A16634" i="4"/>
  <c r="A16633" i="4"/>
  <c r="A16632" i="4"/>
  <c r="A16631" i="4"/>
  <c r="A16630" i="4"/>
  <c r="A6690" i="4"/>
  <c r="A16629" i="4"/>
  <c r="A6689" i="4"/>
  <c r="A6688" i="4"/>
  <c r="A6687" i="4"/>
  <c r="A6686" i="4"/>
  <c r="A6685" i="4"/>
  <c r="A16628" i="4"/>
  <c r="A28084" i="4"/>
  <c r="A16627" i="4"/>
  <c r="A16626" i="4"/>
  <c r="A16625" i="4"/>
  <c r="A16624" i="4"/>
  <c r="A16623" i="4"/>
  <c r="A16622" i="4"/>
  <c r="A16621" i="4"/>
  <c r="A6684" i="4"/>
  <c r="A6683" i="4"/>
  <c r="A6682" i="4"/>
  <c r="A668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6680" i="4"/>
  <c r="A16609" i="4"/>
  <c r="A16608" i="4"/>
  <c r="A6679" i="4"/>
  <c r="A6678" i="4"/>
  <c r="A6677" i="4"/>
  <c r="A6676" i="4"/>
  <c r="A6675" i="4"/>
  <c r="A6674" i="4"/>
  <c r="A6673" i="4"/>
  <c r="A6672" i="4"/>
  <c r="A16607" i="4"/>
  <c r="A6671" i="4"/>
  <c r="A16606" i="4"/>
  <c r="A28083" i="4"/>
  <c r="A28082" i="4"/>
  <c r="A16605" i="4"/>
  <c r="A28081" i="4"/>
  <c r="A28080" i="4"/>
  <c r="A28079" i="4"/>
  <c r="A6670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20838" i="4"/>
  <c r="A6669" i="4"/>
  <c r="A16589" i="4"/>
  <c r="A16588" i="4"/>
  <c r="A16587" i="4"/>
  <c r="A16586" i="4"/>
  <c r="A28078" i="4"/>
  <c r="A28077" i="4"/>
  <c r="A28076" i="4"/>
  <c r="A16585" i="4"/>
  <c r="A6668" i="4"/>
  <c r="A6667" i="4"/>
  <c r="A6666" i="4"/>
  <c r="A16584" i="4"/>
  <c r="A16583" i="4"/>
  <c r="A16582" i="4"/>
  <c r="A16581" i="4"/>
  <c r="A16580" i="4"/>
  <c r="A16579" i="4"/>
  <c r="A16578" i="4"/>
  <c r="A16577" i="4"/>
  <c r="A28075" i="4"/>
  <c r="A28074" i="4"/>
  <c r="A28073" i="4"/>
  <c r="A16576" i="4"/>
  <c r="A16575" i="4"/>
  <c r="A16574" i="4"/>
  <c r="A16573" i="4"/>
  <c r="A16572" i="4"/>
  <c r="A16571" i="4"/>
  <c r="A16570" i="4"/>
  <c r="A16569" i="4"/>
  <c r="A16568" i="4"/>
  <c r="A16567" i="4"/>
  <c r="A6665" i="4"/>
  <c r="A6664" i="4"/>
  <c r="A6663" i="4"/>
  <c r="A6662" i="4"/>
  <c r="A6661" i="4"/>
  <c r="A6660" i="4"/>
  <c r="A16566" i="4"/>
  <c r="A16565" i="4"/>
  <c r="A16564" i="4"/>
  <c r="A16563" i="4"/>
  <c r="A28072" i="4"/>
  <c r="A16562" i="4"/>
  <c r="A16561" i="4"/>
  <c r="A6659" i="4"/>
  <c r="A16560" i="4"/>
  <c r="A16559" i="4"/>
  <c r="A6658" i="4"/>
  <c r="A16558" i="4"/>
  <c r="A28071" i="4"/>
  <c r="A16557" i="4"/>
  <c r="A6657" i="4"/>
  <c r="A16556" i="4"/>
  <c r="A6656" i="4"/>
  <c r="A16555" i="4"/>
  <c r="A6655" i="4"/>
  <c r="A20837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28070" i="4"/>
  <c r="A28069" i="4"/>
  <c r="A28068" i="4"/>
  <c r="A28067" i="4"/>
  <c r="A28066" i="4"/>
  <c r="A28065" i="4"/>
  <c r="A28064" i="4"/>
  <c r="A16554" i="4"/>
  <c r="A28063" i="4"/>
  <c r="A28062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28061" i="4"/>
  <c r="A28060" i="4"/>
  <c r="A28059" i="4"/>
  <c r="A28058" i="4"/>
  <c r="A17516" i="4"/>
  <c r="A28057" i="4"/>
  <c r="A17515" i="4"/>
  <c r="A17514" i="4"/>
  <c r="A17513" i="4"/>
  <c r="A17512" i="4"/>
  <c r="A17511" i="4"/>
  <c r="A17510" i="4"/>
  <c r="A28056" i="4"/>
  <c r="A28055" i="4"/>
  <c r="A28054" i="4"/>
  <c r="A28053" i="4"/>
  <c r="A28052" i="4"/>
  <c r="A28051" i="4"/>
  <c r="A2805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28049" i="4"/>
  <c r="A17487" i="4"/>
  <c r="A17486" i="4"/>
  <c r="A28048" i="4"/>
  <c r="A28047" i="4"/>
  <c r="A28046" i="4"/>
  <c r="A28045" i="4"/>
  <c r="A17485" i="4"/>
  <c r="A17484" i="4"/>
  <c r="A17483" i="4"/>
  <c r="A17482" i="4"/>
  <c r="A17481" i="4"/>
  <c r="A17480" i="4"/>
  <c r="A17479" i="4"/>
  <c r="A17478" i="4"/>
  <c r="A28044" i="4"/>
  <c r="A28043" i="4"/>
  <c r="A28042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28041" i="4"/>
  <c r="A28040" i="4"/>
  <c r="A17457" i="4"/>
  <c r="A28039" i="4"/>
  <c r="A28038" i="4"/>
  <c r="A17456" i="4"/>
  <c r="A28037" i="4"/>
  <c r="A17455" i="4"/>
  <c r="A17454" i="4"/>
  <c r="A17453" i="4"/>
  <c r="A17452" i="4"/>
  <c r="A28036" i="4"/>
  <c r="A17451" i="4"/>
  <c r="A28035" i="4"/>
  <c r="A28034" i="4"/>
  <c r="A17450" i="4"/>
  <c r="A17449" i="4"/>
  <c r="A17448" i="4"/>
  <c r="A17447" i="4"/>
  <c r="A17446" i="4"/>
  <c r="A17445" i="4"/>
  <c r="A17444" i="4"/>
  <c r="A28033" i="4"/>
  <c r="A28032" i="4"/>
  <c r="A28031" i="4"/>
  <c r="A28030" i="4"/>
  <c r="A28029" i="4"/>
  <c r="A28028" i="4"/>
  <c r="A17443" i="4"/>
  <c r="A28027" i="4"/>
  <c r="A17442" i="4"/>
  <c r="A17441" i="4"/>
  <c r="A17440" i="4"/>
  <c r="A17439" i="4"/>
  <c r="A28026" i="4"/>
  <c r="A28025" i="4"/>
  <c r="A28024" i="4"/>
  <c r="A17438" i="4"/>
  <c r="A28023" i="4"/>
  <c r="A28022" i="4"/>
  <c r="A28021" i="4"/>
  <c r="A28020" i="4"/>
  <c r="A28019" i="4"/>
  <c r="A20513" i="4"/>
  <c r="A20512" i="4"/>
  <c r="A13225" i="4"/>
  <c r="A28018" i="4"/>
  <c r="A20511" i="4"/>
  <c r="A20510" i="4"/>
  <c r="A28017" i="4"/>
  <c r="A20509" i="4"/>
  <c r="A520" i="4"/>
  <c r="A20508" i="4"/>
  <c r="A519" i="4"/>
  <c r="A13224" i="4"/>
  <c r="A2478" i="4"/>
  <c r="A28016" i="4"/>
  <c r="A28015" i="4"/>
  <c r="A20507" i="4"/>
  <c r="A20506" i="4"/>
  <c r="A20505" i="4"/>
  <c r="A16553" i="4"/>
  <c r="A20504" i="4"/>
  <c r="A13153" i="4"/>
  <c r="A16552" i="4"/>
  <c r="A16551" i="4"/>
  <c r="A28014" i="4"/>
  <c r="A17664" i="4"/>
  <c r="A13152" i="4"/>
  <c r="A13151" i="4"/>
  <c r="A28013" i="4"/>
  <c r="A28012" i="4"/>
  <c r="A28011" i="4"/>
  <c r="A20503" i="4"/>
  <c r="A13150" i="4"/>
  <c r="A518" i="4"/>
  <c r="A517" i="4"/>
  <c r="A20502" i="4"/>
  <c r="A20501" i="4"/>
  <c r="A20500" i="4"/>
  <c r="A13223" i="4"/>
  <c r="A16550" i="4"/>
  <c r="A20499" i="4"/>
  <c r="A20498" i="4"/>
  <c r="A17663" i="4"/>
  <c r="A13149" i="4"/>
  <c r="A20497" i="4"/>
  <c r="A20496" i="4"/>
  <c r="A20495" i="4"/>
  <c r="A20494" i="4"/>
  <c r="A20655" i="4"/>
  <c r="A20654" i="4"/>
  <c r="A20493" i="4"/>
  <c r="A516" i="4"/>
  <c r="A15579" i="4"/>
  <c r="A20492" i="4"/>
  <c r="A20491" i="4"/>
  <c r="A28010" i="4"/>
  <c r="A515" i="4"/>
  <c r="A20490" i="4"/>
  <c r="A28009" i="4"/>
  <c r="A20489" i="4"/>
  <c r="A16549" i="4"/>
  <c r="A28008" i="4"/>
  <c r="A28007" i="4"/>
  <c r="A20653" i="4"/>
  <c r="A13222" i="4"/>
  <c r="A28006" i="4"/>
  <c r="A28005" i="4"/>
  <c r="A28004" i="4"/>
  <c r="A20488" i="4"/>
  <c r="A20487" i="4"/>
  <c r="A28003" i="4"/>
  <c r="A28002" i="4"/>
  <c r="A20486" i="4"/>
  <c r="A20485" i="4"/>
  <c r="A20484" i="4"/>
  <c r="A20483" i="4"/>
  <c r="A16548" i="4"/>
  <c r="A16547" i="4"/>
  <c r="A28001" i="4"/>
  <c r="A28000" i="4"/>
  <c r="A27999" i="4"/>
  <c r="A16546" i="4"/>
  <c r="A514" i="4"/>
  <c r="A27998" i="4"/>
  <c r="A20482" i="4"/>
  <c r="A13148" i="4"/>
  <c r="A5273" i="4"/>
  <c r="A27997" i="4"/>
  <c r="A27996" i="4"/>
  <c r="A27995" i="4"/>
  <c r="A20481" i="4"/>
  <c r="A20480" i="4"/>
  <c r="A20479" i="4"/>
  <c r="A20478" i="4"/>
  <c r="A20477" i="4"/>
  <c r="A20476" i="4"/>
  <c r="A20475" i="4"/>
  <c r="A27994" i="4"/>
  <c r="A20474" i="4"/>
  <c r="A20473" i="4"/>
  <c r="A20472" i="4"/>
  <c r="A513" i="4"/>
  <c r="A512" i="4"/>
  <c r="A20471" i="4"/>
  <c r="A20470" i="4"/>
  <c r="A20469" i="4"/>
  <c r="A20468" i="4"/>
  <c r="A27993" i="4"/>
  <c r="A20467" i="4"/>
  <c r="A20466" i="4"/>
  <c r="A16545" i="4"/>
  <c r="A27992" i="4"/>
  <c r="A27991" i="4"/>
  <c r="A16544" i="4"/>
  <c r="A16543" i="4"/>
  <c r="A20465" i="4"/>
  <c r="A511" i="4"/>
  <c r="A16542" i="4"/>
  <c r="A510" i="4"/>
  <c r="A5272" i="4"/>
  <c r="A509" i="4"/>
  <c r="A20464" i="4"/>
  <c r="A20463" i="4"/>
  <c r="A20462" i="4"/>
  <c r="A27990" i="4"/>
  <c r="A13221" i="4"/>
  <c r="A13220" i="4"/>
  <c r="A20461" i="4"/>
  <c r="A20460" i="4"/>
  <c r="A20459" i="4"/>
  <c r="A20458" i="4"/>
  <c r="A20457" i="4"/>
  <c r="A508" i="4"/>
  <c r="A27989" i="4"/>
  <c r="A9942" i="4"/>
  <c r="A9941" i="4"/>
  <c r="A27988" i="4"/>
  <c r="A27987" i="4"/>
  <c r="A16541" i="4"/>
  <c r="A16540" i="4"/>
  <c r="A507" i="4"/>
  <c r="A27986" i="4"/>
  <c r="A27985" i="4"/>
  <c r="A27984" i="4"/>
  <c r="A13219" i="4"/>
  <c r="A27983" i="4"/>
  <c r="A5271" i="4"/>
  <c r="A20456" i="4"/>
  <c r="A20455" i="4"/>
  <c r="A20454" i="4"/>
  <c r="A20453" i="4"/>
  <c r="A20652" i="4"/>
  <c r="A5270" i="4"/>
  <c r="A506" i="4"/>
  <c r="A20452" i="4"/>
  <c r="A13147" i="4"/>
  <c r="A505" i="4"/>
  <c r="A27982" i="4"/>
  <c r="A16539" i="4"/>
  <c r="A20451" i="4"/>
  <c r="A504" i="4"/>
  <c r="A503" i="4"/>
  <c r="A27981" i="4"/>
  <c r="A20450" i="4"/>
  <c r="A20449" i="4"/>
  <c r="A20448" i="4"/>
  <c r="A5269" i="4"/>
  <c r="A13146" i="4"/>
  <c r="A13145" i="4"/>
  <c r="A20447" i="4"/>
  <c r="A13144" i="4"/>
  <c r="A13143" i="4"/>
  <c r="A16538" i="4"/>
  <c r="A20446" i="4"/>
  <c r="A20445" i="4"/>
  <c r="A27980" i="4"/>
  <c r="A27979" i="4"/>
  <c r="A27978" i="4"/>
  <c r="A5268" i="4"/>
  <c r="A27977" i="4"/>
  <c r="A12233" i="4"/>
  <c r="A13142" i="4"/>
  <c r="A13141" i="4"/>
  <c r="A27976" i="4"/>
  <c r="A20444" i="4"/>
  <c r="A20443" i="4"/>
  <c r="A16537" i="4"/>
  <c r="A20442" i="4"/>
  <c r="A20441" i="4"/>
  <c r="A6478" i="4"/>
  <c r="A13140" i="4"/>
  <c r="A2477" i="4"/>
  <c r="A20440" i="4"/>
  <c r="A27975" i="4"/>
  <c r="A20439" i="4"/>
  <c r="A27974" i="4"/>
  <c r="A20438" i="4"/>
  <c r="A13139" i="4"/>
  <c r="A16536" i="4"/>
  <c r="A20437" i="4"/>
  <c r="A20436" i="4"/>
  <c r="A20435" i="4"/>
  <c r="A20434" i="4"/>
  <c r="A5267" i="4"/>
  <c r="A20433" i="4"/>
  <c r="A12232" i="4"/>
  <c r="A20432" i="4"/>
  <c r="A502" i="4"/>
  <c r="A27973" i="4"/>
  <c r="A20431" i="4"/>
  <c r="A20430" i="4"/>
  <c r="A20429" i="4"/>
  <c r="A501" i="4"/>
  <c r="A13138" i="4"/>
  <c r="A13137" i="4"/>
  <c r="A20428" i="4"/>
  <c r="A16535" i="4"/>
  <c r="A20427" i="4"/>
  <c r="A20426" i="4"/>
  <c r="A15578" i="4"/>
  <c r="A27972" i="4"/>
  <c r="A9940" i="4"/>
  <c r="A158" i="4"/>
  <c r="A157" i="4"/>
  <c r="A156" i="4"/>
  <c r="A9939" i="4"/>
  <c r="A9938" i="4"/>
  <c r="A9937" i="4"/>
  <c r="A20425" i="4"/>
  <c r="A20424" i="4"/>
  <c r="A20423" i="4"/>
  <c r="A27971" i="4"/>
  <c r="A27970" i="4"/>
  <c r="A500" i="4"/>
  <c r="A499" i="4"/>
  <c r="A13136" i="4"/>
  <c r="A13135" i="4"/>
  <c r="A13134" i="4"/>
  <c r="A16534" i="4"/>
  <c r="A20422" i="4"/>
  <c r="A20421" i="4"/>
  <c r="A20420" i="4"/>
  <c r="A20419" i="4"/>
  <c r="A20418" i="4"/>
  <c r="A20417" i="4"/>
  <c r="A12231" i="4"/>
  <c r="A20416" i="4"/>
  <c r="A20415" i="4"/>
  <c r="A27969" i="4"/>
  <c r="A27968" i="4"/>
  <c r="A16533" i="4"/>
  <c r="A5266" i="4"/>
  <c r="A9936" i="4"/>
  <c r="A1681" i="4"/>
  <c r="A13133" i="4"/>
  <c r="A20414" i="4"/>
  <c r="A20413" i="4"/>
  <c r="A20651" i="4"/>
  <c r="A27967" i="4"/>
  <c r="A9935" i="4"/>
  <c r="A9934" i="4"/>
  <c r="A16532" i="4"/>
  <c r="A16531" i="4"/>
  <c r="A16530" i="4"/>
  <c r="A27966" i="4"/>
  <c r="A17864" i="4"/>
  <c r="A20412" i="4"/>
  <c r="A20411" i="4"/>
  <c r="A9376" i="4"/>
  <c r="A27965" i="4"/>
  <c r="A16529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16528" i="4"/>
  <c r="A27964" i="4"/>
  <c r="A5265" i="4"/>
  <c r="A16527" i="4"/>
  <c r="A5264" i="4"/>
  <c r="A20399" i="4"/>
  <c r="A16526" i="4"/>
  <c r="A16525" i="4"/>
  <c r="A9933" i="4"/>
  <c r="A27963" i="4"/>
  <c r="A20398" i="4"/>
  <c r="A16524" i="4"/>
  <c r="A16523" i="4"/>
  <c r="A27962" i="4"/>
  <c r="A16522" i="4"/>
  <c r="A16521" i="4"/>
  <c r="A20397" i="4"/>
  <c r="A498" i="4"/>
  <c r="A20396" i="4"/>
  <c r="A5263" i="4"/>
  <c r="A5262" i="4"/>
  <c r="A16520" i="4"/>
  <c r="A16519" i="4"/>
  <c r="A16518" i="4"/>
  <c r="A16517" i="4"/>
  <c r="A9932" i="4"/>
  <c r="A9931" i="4"/>
  <c r="A497" i="4"/>
  <c r="A496" i="4"/>
  <c r="A495" i="4"/>
  <c r="A20395" i="4"/>
  <c r="A27961" i="4"/>
  <c r="A20394" i="4"/>
  <c r="A16516" i="4"/>
  <c r="A27960" i="4"/>
  <c r="A20393" i="4"/>
  <c r="A20392" i="4"/>
  <c r="A20391" i="4"/>
  <c r="A20390" i="4"/>
  <c r="A5261" i="4"/>
  <c r="A494" i="4"/>
  <c r="A27959" i="4"/>
  <c r="A5260" i="4"/>
  <c r="A5259" i="4"/>
  <c r="A20389" i="4"/>
  <c r="A20388" i="4"/>
  <c r="A20387" i="4"/>
  <c r="A20386" i="4"/>
  <c r="A20385" i="4"/>
  <c r="A20384" i="4"/>
  <c r="A20383" i="4"/>
  <c r="A15577" i="4"/>
  <c r="A20382" i="4"/>
  <c r="A27958" i="4"/>
  <c r="A20381" i="4"/>
  <c r="A16515" i="4"/>
  <c r="A20380" i="4"/>
  <c r="A20379" i="4"/>
  <c r="A9930" i="4"/>
  <c r="A9929" i="4"/>
  <c r="A9928" i="4"/>
  <c r="A155" i="4"/>
  <c r="A154" i="4"/>
  <c r="A153" i="4"/>
  <c r="A9927" i="4"/>
  <c r="A493" i="4"/>
  <c r="A492" i="4"/>
  <c r="A20378" i="4"/>
  <c r="A20377" i="4"/>
  <c r="A20376" i="4"/>
  <c r="A20375" i="4"/>
  <c r="A20374" i="4"/>
  <c r="A27957" i="4"/>
  <c r="A13132" i="4"/>
  <c r="A20373" i="4"/>
  <c r="A16514" i="4"/>
  <c r="A27956" i="4"/>
  <c r="A16513" i="4"/>
  <c r="A16512" i="4"/>
  <c r="A27955" i="4"/>
  <c r="A16511" i="4"/>
  <c r="A16510" i="4"/>
  <c r="A16509" i="4"/>
  <c r="A16508" i="4"/>
  <c r="A20372" i="4"/>
  <c r="A20371" i="4"/>
  <c r="A15576" i="4"/>
  <c r="A20370" i="4"/>
  <c r="A16507" i="4"/>
  <c r="A20369" i="4"/>
  <c r="A20368" i="4"/>
  <c r="A20367" i="4"/>
  <c r="A20366" i="4"/>
  <c r="A20365" i="4"/>
  <c r="A20364" i="4"/>
  <c r="A20363" i="4"/>
  <c r="A20362" i="4"/>
  <c r="A20361" i="4"/>
  <c r="A5258" i="4"/>
  <c r="A20360" i="4"/>
  <c r="A20359" i="4"/>
  <c r="A20358" i="4"/>
  <c r="A20357" i="4"/>
  <c r="A20356" i="4"/>
  <c r="A27954" i="4"/>
  <c r="A20355" i="4"/>
  <c r="A20354" i="4"/>
  <c r="A27953" i="4"/>
  <c r="A5257" i="4"/>
  <c r="A27952" i="4"/>
  <c r="A5256" i="4"/>
  <c r="A16506" i="4"/>
  <c r="A27951" i="4"/>
  <c r="A27950" i="4"/>
  <c r="A20353" i="4"/>
  <c r="A20352" i="4"/>
  <c r="A20351" i="4"/>
  <c r="A20350" i="4"/>
  <c r="A20349" i="4"/>
  <c r="A27949" i="4"/>
  <c r="A5255" i="4"/>
  <c r="A5254" i="4"/>
  <c r="A5253" i="4"/>
  <c r="A27948" i="4"/>
  <c r="A20348" i="4"/>
  <c r="A27947" i="4"/>
  <c r="A16505" i="4"/>
  <c r="A20347" i="4"/>
  <c r="A16504" i="4"/>
  <c r="A20346" i="4"/>
  <c r="A20345" i="4"/>
  <c r="A27946" i="4"/>
  <c r="A27945" i="4"/>
  <c r="A20344" i="4"/>
  <c r="A20343" i="4"/>
  <c r="A27944" i="4"/>
  <c r="A20342" i="4"/>
  <c r="A20341" i="4"/>
  <c r="A20340" i="4"/>
  <c r="A5252" i="4"/>
  <c r="A27943" i="4"/>
  <c r="A20339" i="4"/>
  <c r="A20338" i="4"/>
  <c r="A16503" i="4"/>
  <c r="A16502" i="4"/>
  <c r="A16501" i="4"/>
  <c r="A27942" i="4"/>
  <c r="A5251" i="4"/>
  <c r="A5250" i="4"/>
  <c r="A27941" i="4"/>
  <c r="A20337" i="4"/>
  <c r="A20336" i="4"/>
  <c r="A20335" i="4"/>
  <c r="A20334" i="4"/>
  <c r="A27940" i="4"/>
  <c r="A5249" i="4"/>
  <c r="A20333" i="4"/>
  <c r="A20332" i="4"/>
  <c r="A16500" i="4"/>
  <c r="A20331" i="4"/>
  <c r="A16499" i="4"/>
  <c r="A5248" i="4"/>
  <c r="A20330" i="4"/>
  <c r="A20329" i="4"/>
  <c r="A20328" i="4"/>
  <c r="A20327" i="4"/>
  <c r="A20326" i="4"/>
  <c r="A27939" i="4"/>
  <c r="A16498" i="4"/>
  <c r="A20325" i="4"/>
  <c r="A27938" i="4"/>
  <c r="A27937" i="4"/>
  <c r="A5247" i="4"/>
  <c r="A152" i="4"/>
  <c r="A151" i="4"/>
  <c r="A9926" i="4"/>
  <c r="A27936" i="4"/>
  <c r="A27935" i="4"/>
  <c r="A5246" i="4"/>
  <c r="A27934" i="4"/>
  <c r="A20324" i="4"/>
  <c r="A20323" i="4"/>
  <c r="A20322" i="4"/>
  <c r="A27933" i="4"/>
  <c r="A27932" i="4"/>
  <c r="A13131" i="4"/>
  <c r="A20321" i="4"/>
  <c r="A20320" i="4"/>
  <c r="A20319" i="4"/>
  <c r="A27931" i="4"/>
  <c r="A27930" i="4"/>
  <c r="A13130" i="4"/>
  <c r="A27929" i="4"/>
  <c r="A20318" i="4"/>
  <c r="A27928" i="4"/>
  <c r="A20317" i="4"/>
  <c r="A20316" i="4"/>
  <c r="A20315" i="4"/>
  <c r="A20314" i="4"/>
  <c r="A20313" i="4"/>
  <c r="A20312" i="4"/>
  <c r="A20311" i="4"/>
  <c r="A27927" i="4"/>
  <c r="A20310" i="4"/>
  <c r="A27926" i="4"/>
  <c r="A27925" i="4"/>
  <c r="A27924" i="4"/>
  <c r="A27923" i="4"/>
  <c r="A20309" i="4"/>
  <c r="A27922" i="4"/>
  <c r="A27921" i="4"/>
  <c r="A27920" i="4"/>
  <c r="A13129" i="4"/>
  <c r="A13128" i="4"/>
  <c r="A27919" i="4"/>
  <c r="A20308" i="4"/>
  <c r="A27918" i="4"/>
  <c r="A27917" i="4"/>
  <c r="A27916" i="4"/>
  <c r="A20307" i="4"/>
  <c r="A20306" i="4"/>
  <c r="A27915" i="4"/>
  <c r="A5245" i="4"/>
  <c r="A27914" i="4"/>
  <c r="A9925" i="4"/>
  <c r="A20305" i="4"/>
  <c r="A20304" i="4"/>
  <c r="A20303" i="4"/>
  <c r="A27913" i="4"/>
  <c r="A27912" i="4"/>
  <c r="A27911" i="4"/>
  <c r="A20302" i="4"/>
  <c r="A20301" i="4"/>
  <c r="A20300" i="4"/>
  <c r="A20299" i="4"/>
  <c r="A13127" i="4"/>
  <c r="A27910" i="4"/>
  <c r="A20298" i="4"/>
  <c r="A20297" i="4"/>
  <c r="A20296" i="4"/>
  <c r="A27909" i="4"/>
  <c r="A20295" i="4"/>
  <c r="A20294" i="4"/>
  <c r="A20293" i="4"/>
  <c r="A20292" i="4"/>
  <c r="A20291" i="4"/>
  <c r="A27908" i="4"/>
  <c r="A20290" i="4"/>
  <c r="A20289" i="4"/>
  <c r="A20288" i="4"/>
  <c r="A27907" i="4"/>
  <c r="A27906" i="4"/>
  <c r="A27905" i="4"/>
  <c r="A20287" i="4"/>
  <c r="A20286" i="4"/>
  <c r="A27904" i="4"/>
  <c r="A20285" i="4"/>
  <c r="A27903" i="4"/>
  <c r="A27902" i="4"/>
  <c r="A20284" i="4"/>
  <c r="A20283" i="4"/>
  <c r="A27901" i="4"/>
  <c r="A27900" i="4"/>
  <c r="A20282" i="4"/>
  <c r="A20836" i="4"/>
  <c r="A27899" i="4"/>
  <c r="A13126" i="4"/>
  <c r="A20281" i="4"/>
  <c r="A27898" i="4"/>
  <c r="A20280" i="4"/>
  <c r="A27897" i="4"/>
  <c r="A27896" i="4"/>
  <c r="A27895" i="4"/>
  <c r="A27894" i="4"/>
  <c r="A27893" i="4"/>
  <c r="A20279" i="4"/>
  <c r="A27892" i="4"/>
  <c r="A20278" i="4"/>
  <c r="A20277" i="4"/>
  <c r="A27891" i="4"/>
  <c r="A27890" i="4"/>
  <c r="A20276" i="4"/>
  <c r="A27889" i="4"/>
  <c r="A20275" i="4"/>
  <c r="A20274" i="4"/>
  <c r="A20273" i="4"/>
  <c r="A20272" i="4"/>
  <c r="A20271" i="4"/>
  <c r="A20270" i="4"/>
  <c r="A27888" i="4"/>
  <c r="A20269" i="4"/>
  <c r="A20268" i="4"/>
  <c r="A27887" i="4"/>
  <c r="A27886" i="4"/>
  <c r="A27885" i="4"/>
  <c r="A20267" i="4"/>
  <c r="A27884" i="4"/>
  <c r="A27883" i="4"/>
  <c r="A13125" i="4"/>
  <c r="A16497" i="4"/>
  <c r="A20266" i="4"/>
  <c r="A27882" i="4"/>
  <c r="A13124" i="4"/>
  <c r="A13123" i="4"/>
  <c r="A20265" i="4"/>
  <c r="A20264" i="4"/>
  <c r="A20263" i="4"/>
  <c r="A20262" i="4"/>
  <c r="A20261" i="4"/>
  <c r="A13122" i="4"/>
  <c r="A20260" i="4"/>
  <c r="A27881" i="4"/>
  <c r="A20259" i="4"/>
  <c r="A20258" i="4"/>
  <c r="A20257" i="4"/>
  <c r="A27880" i="4"/>
  <c r="A20256" i="4"/>
  <c r="A27879" i="4"/>
  <c r="A20255" i="4"/>
  <c r="A27878" i="4"/>
  <c r="A20254" i="4"/>
  <c r="A20253" i="4"/>
  <c r="A20252" i="4"/>
  <c r="A27877" i="4"/>
  <c r="A20251" i="4"/>
  <c r="A13121" i="4"/>
  <c r="A13120" i="4"/>
  <c r="A27876" i="4"/>
  <c r="A20250" i="4"/>
  <c r="A27875" i="4"/>
  <c r="A20249" i="4"/>
  <c r="A20248" i="4"/>
  <c r="A27874" i="4"/>
  <c r="A27873" i="4"/>
  <c r="A20247" i="4"/>
  <c r="A20246" i="4"/>
  <c r="A20245" i="4"/>
  <c r="A20244" i="4"/>
  <c r="A20243" i="4"/>
  <c r="A20242" i="4"/>
  <c r="A20241" i="4"/>
  <c r="A20240" i="4"/>
  <c r="A27872" i="4"/>
  <c r="A27871" i="4"/>
  <c r="A20239" i="4"/>
  <c r="A20238" i="4"/>
  <c r="A27870" i="4"/>
  <c r="A20237" i="4"/>
  <c r="A20236" i="4"/>
  <c r="A20235" i="4"/>
  <c r="A20234" i="4"/>
  <c r="A20233" i="4"/>
  <c r="A27869" i="4"/>
  <c r="A20232" i="4"/>
  <c r="A27868" i="4"/>
  <c r="A27867" i="4"/>
  <c r="A150" i="4"/>
  <c r="A20231" i="4"/>
  <c r="A5116" i="4"/>
  <c r="A27866" i="4"/>
  <c r="A27865" i="4"/>
  <c r="A27864" i="4"/>
  <c r="A27863" i="4"/>
  <c r="A27862" i="4"/>
  <c r="A27861" i="4"/>
  <c r="A27860" i="4"/>
  <c r="A27859" i="4"/>
  <c r="A27858" i="4"/>
  <c r="A27857" i="4"/>
  <c r="A27856" i="4"/>
  <c r="A27855" i="4"/>
  <c r="A5244" i="4"/>
  <c r="A20230" i="4"/>
  <c r="A20229" i="4"/>
  <c r="A27854" i="4"/>
  <c r="A27853" i="4"/>
  <c r="A27852" i="4"/>
  <c r="A20228" i="4"/>
  <c r="A27851" i="4"/>
  <c r="A15575" i="4"/>
  <c r="A15574" i="4"/>
  <c r="A27850" i="4"/>
  <c r="A27849" i="4"/>
  <c r="A27848" i="4"/>
  <c r="A27847" i="4"/>
  <c r="A27846" i="4"/>
  <c r="A27845" i="4"/>
  <c r="A27844" i="4"/>
  <c r="A27843" i="4"/>
  <c r="A27842" i="4"/>
  <c r="A27841" i="4"/>
  <c r="A27840" i="4"/>
  <c r="A27839" i="4"/>
  <c r="A27838" i="4"/>
  <c r="A27837" i="4"/>
  <c r="A27836" i="4"/>
  <c r="A27835" i="4"/>
  <c r="A27834" i="4"/>
  <c r="A27833" i="4"/>
  <c r="A27832" i="4"/>
  <c r="A27831" i="4"/>
  <c r="A27830" i="4"/>
  <c r="A27829" i="4"/>
  <c r="A27828" i="4"/>
  <c r="A27827" i="4"/>
  <c r="A27826" i="4"/>
  <c r="A27825" i="4"/>
  <c r="A27824" i="4"/>
  <c r="A27823" i="4"/>
  <c r="A27822" i="4"/>
  <c r="A27821" i="4"/>
  <c r="A27820" i="4"/>
  <c r="A27819" i="4"/>
  <c r="A27818" i="4"/>
  <c r="A27817" i="4"/>
  <c r="A27816" i="4"/>
  <c r="A27815" i="4"/>
  <c r="A27814" i="4"/>
  <c r="A27813" i="4"/>
  <c r="A27812" i="4"/>
  <c r="A27811" i="4"/>
  <c r="A27810" i="4"/>
  <c r="A27809" i="4"/>
  <c r="A7469" i="4"/>
  <c r="A27808" i="4"/>
  <c r="A27807" i="4"/>
  <c r="A27806" i="4"/>
  <c r="A27805" i="4"/>
  <c r="A27804" i="4"/>
  <c r="A27803" i="4"/>
  <c r="A27802" i="4"/>
  <c r="A27801" i="4"/>
  <c r="A27800" i="4"/>
  <c r="A27799" i="4"/>
  <c r="A27798" i="4"/>
  <c r="A27797" i="4"/>
  <c r="A27796" i="4"/>
  <c r="A27795" i="4"/>
  <c r="A27794" i="4"/>
  <c r="A27793" i="4"/>
  <c r="A27792" i="4"/>
  <c r="A27791" i="4"/>
  <c r="A27790" i="4"/>
  <c r="A27789" i="4"/>
  <c r="A27788" i="4"/>
  <c r="A27787" i="4"/>
  <c r="A27786" i="4"/>
  <c r="A27785" i="4"/>
  <c r="A27784" i="4"/>
  <c r="A27783" i="4"/>
  <c r="A27782" i="4"/>
  <c r="A7468" i="4"/>
  <c r="A7467" i="4"/>
  <c r="A7466" i="4"/>
  <c r="A7465" i="4"/>
  <c r="A27781" i="4"/>
  <c r="A27780" i="4"/>
  <c r="A27779" i="4"/>
  <c r="A27778" i="4"/>
  <c r="A27777" i="4"/>
  <c r="A27776" i="4"/>
  <c r="A7464" i="4"/>
  <c r="A27775" i="4"/>
  <c r="A27774" i="4"/>
  <c r="A27773" i="4"/>
  <c r="A7463" i="4"/>
  <c r="A27772" i="4"/>
  <c r="A27771" i="4"/>
  <c r="A27770" i="4"/>
  <c r="A27769" i="4"/>
  <c r="A27768" i="4"/>
  <c r="A27767" i="4"/>
  <c r="A27766" i="4"/>
  <c r="A27765" i="4"/>
  <c r="A27764" i="4"/>
  <c r="A27763" i="4"/>
  <c r="A27762" i="4"/>
  <c r="A27761" i="4"/>
  <c r="A27760" i="4"/>
  <c r="A27759" i="4"/>
  <c r="A7462" i="4"/>
  <c r="A27758" i="4"/>
  <c r="A7461" i="4"/>
  <c r="A7460" i="4"/>
  <c r="A27757" i="4"/>
  <c r="A27756" i="4"/>
  <c r="A27755" i="4"/>
  <c r="A7459" i="4"/>
  <c r="A7458" i="4"/>
  <c r="A27754" i="4"/>
  <c r="A27753" i="4"/>
  <c r="A7457" i="4"/>
  <c r="A27752" i="4"/>
  <c r="A27751" i="4"/>
  <c r="A27750" i="4"/>
  <c r="A7456" i="4"/>
  <c r="A8339" i="4"/>
  <c r="A27749" i="4"/>
  <c r="A7455" i="4"/>
  <c r="A10816" i="4"/>
  <c r="A7454" i="4"/>
  <c r="A27748" i="4"/>
  <c r="A27747" i="4"/>
  <c r="A27746" i="4"/>
  <c r="A27745" i="4"/>
  <c r="A27744" i="4"/>
  <c r="A27743" i="4"/>
  <c r="A27742" i="4"/>
  <c r="A27741" i="4"/>
  <c r="A27740" i="4"/>
  <c r="A27739" i="4"/>
  <c r="A27738" i="4"/>
  <c r="A27737" i="4"/>
  <c r="A27736" i="4"/>
  <c r="A7453" i="4"/>
  <c r="A27735" i="4"/>
  <c r="A27734" i="4"/>
  <c r="A27733" i="4"/>
  <c r="A27732" i="4"/>
  <c r="A27731" i="4"/>
  <c r="A27730" i="4"/>
  <c r="A27729" i="4"/>
  <c r="A27728" i="4"/>
  <c r="A27727" i="4"/>
  <c r="A27726" i="4"/>
  <c r="A27725" i="4"/>
  <c r="A27724" i="4"/>
  <c r="A27723" i="4"/>
  <c r="A27722" i="4"/>
  <c r="A27721" i="4"/>
  <c r="A27720" i="4"/>
  <c r="A27719" i="4"/>
  <c r="A27718" i="4"/>
  <c r="A27717" i="4"/>
  <c r="A8338" i="4"/>
  <c r="A27716" i="4"/>
  <c r="A27715" i="4"/>
  <c r="A27714" i="4"/>
  <c r="A27713" i="4"/>
  <c r="A27712" i="4"/>
  <c r="A8409" i="4"/>
  <c r="A7452" i="4"/>
  <c r="A27711" i="4"/>
  <c r="A27710" i="4"/>
  <c r="A27709" i="4"/>
  <c r="A27708" i="4"/>
  <c r="A27707" i="4"/>
  <c r="A27706" i="4"/>
  <c r="A27705" i="4"/>
  <c r="A27704" i="4"/>
  <c r="A27703" i="4"/>
  <c r="A27702" i="4"/>
  <c r="A27701" i="4"/>
  <c r="A27700" i="4"/>
  <c r="A27699" i="4"/>
  <c r="A27698" i="4"/>
  <c r="A27697" i="4"/>
  <c r="A27696" i="4"/>
  <c r="A27695" i="4"/>
  <c r="A27694" i="4"/>
  <c r="A27693" i="4"/>
  <c r="A27692" i="4"/>
  <c r="A27691" i="4"/>
  <c r="A27690" i="4"/>
  <c r="A27689" i="4"/>
  <c r="A27688" i="4"/>
  <c r="A27687" i="4"/>
  <c r="A27686" i="4"/>
  <c r="A27685" i="4"/>
  <c r="A27684" i="4"/>
  <c r="A27683" i="4"/>
  <c r="A27682" i="4"/>
  <c r="A27681" i="4"/>
  <c r="A27680" i="4"/>
  <c r="A27679" i="4"/>
  <c r="A27678" i="4"/>
  <c r="A27677" i="4"/>
  <c r="A27676" i="4"/>
  <c r="A27675" i="4"/>
  <c r="A27674" i="4"/>
  <c r="A27673" i="4"/>
  <c r="A27672" i="4"/>
  <c r="A27671" i="4"/>
  <c r="A7451" i="4"/>
  <c r="A7450" i="4"/>
  <c r="A7449" i="4"/>
  <c r="A27670" i="4"/>
  <c r="A27669" i="4"/>
  <c r="A27668" i="4"/>
  <c r="A27667" i="4"/>
  <c r="A27666" i="4"/>
  <c r="A10815" i="4"/>
  <c r="A27665" i="4"/>
  <c r="A27664" i="4"/>
  <c r="A27663" i="4"/>
  <c r="A27662" i="4"/>
  <c r="A27661" i="4"/>
  <c r="A27660" i="4"/>
  <c r="A27659" i="4"/>
  <c r="A27658" i="4"/>
  <c r="A27657" i="4"/>
  <c r="A7448" i="4"/>
  <c r="A7447" i="4"/>
  <c r="A27656" i="4"/>
  <c r="A27655" i="4"/>
  <c r="A27654" i="4"/>
  <c r="A27653" i="4"/>
  <c r="A27652" i="4"/>
  <c r="A27651" i="4"/>
  <c r="A27650" i="4"/>
  <c r="A27649" i="4"/>
  <c r="A27648" i="4"/>
  <c r="A27647" i="4"/>
  <c r="A27646" i="4"/>
  <c r="A27645" i="4"/>
  <c r="A27644" i="4"/>
  <c r="A27643" i="4"/>
  <c r="A27642" i="4"/>
  <c r="A27641" i="4"/>
  <c r="A27640" i="4"/>
  <c r="A27639" i="4"/>
  <c r="A27638" i="4"/>
  <c r="A27637" i="4"/>
  <c r="A27636" i="4"/>
  <c r="A27635" i="4"/>
  <c r="A27634" i="4"/>
  <c r="A27633" i="4"/>
  <c r="A27632" i="4"/>
  <c r="A27631" i="4"/>
  <c r="A27630" i="4"/>
  <c r="A27629" i="4"/>
  <c r="A27628" i="4"/>
  <c r="A27627" i="4"/>
  <c r="A7446" i="4"/>
  <c r="A27626" i="4"/>
  <c r="A27625" i="4"/>
  <c r="A27624" i="4"/>
  <c r="A27623" i="4"/>
  <c r="A27622" i="4"/>
  <c r="A20227" i="4"/>
  <c r="A27621" i="4"/>
  <c r="A7445" i="4"/>
  <c r="A27620" i="4"/>
  <c r="A7444" i="4"/>
  <c r="A7443" i="4"/>
  <c r="A27619" i="4"/>
  <c r="A27618" i="4"/>
  <c r="A27617" i="4"/>
  <c r="A27616" i="4"/>
  <c r="A27615" i="4"/>
  <c r="A11030" i="4"/>
  <c r="A7442" i="4"/>
  <c r="A27614" i="4"/>
  <c r="A27613" i="4"/>
  <c r="A27612" i="4"/>
  <c r="A7441" i="4"/>
  <c r="A27611" i="4"/>
  <c r="A27610" i="4"/>
  <c r="A11029" i="4"/>
  <c r="A27609" i="4"/>
  <c r="A11028" i="4"/>
  <c r="A20226" i="4"/>
  <c r="A27608" i="4"/>
  <c r="A27607" i="4"/>
  <c r="A20225" i="4"/>
  <c r="A1889" i="4"/>
  <c r="A27606" i="4"/>
  <c r="A27605" i="4"/>
  <c r="A27604" i="4"/>
  <c r="A27603" i="4"/>
  <c r="A27602" i="4"/>
  <c r="A27601" i="4"/>
  <c r="A27600" i="4"/>
  <c r="A27599" i="4"/>
  <c r="A27598" i="4"/>
  <c r="A27597" i="4"/>
  <c r="A27596" i="4"/>
  <c r="A27595" i="4"/>
  <c r="A27594" i="4"/>
  <c r="A27593" i="4"/>
  <c r="A27592" i="4"/>
  <c r="A27591" i="4"/>
  <c r="A27590" i="4"/>
  <c r="A27589" i="4"/>
  <c r="A27588" i="4"/>
  <c r="A27587" i="4"/>
  <c r="A27586" i="4"/>
  <c r="A27585" i="4"/>
  <c r="A27584" i="4"/>
  <c r="A27583" i="4"/>
  <c r="A27582" i="4"/>
  <c r="A27581" i="4"/>
  <c r="A27580" i="4"/>
  <c r="A27579" i="4"/>
  <c r="A27578" i="4"/>
  <c r="A27577" i="4"/>
  <c r="A27576" i="4"/>
  <c r="A27575" i="4"/>
  <c r="A27574" i="4"/>
  <c r="A27573" i="4"/>
  <c r="A27572" i="4"/>
  <c r="A27571" i="4"/>
  <c r="A27570" i="4"/>
  <c r="A27569" i="4"/>
  <c r="A27568" i="4"/>
  <c r="A27567" i="4"/>
  <c r="A27566" i="4"/>
  <c r="A27565" i="4"/>
  <c r="A27564" i="4"/>
  <c r="A27563" i="4"/>
  <c r="A27562" i="4"/>
  <c r="A27561" i="4"/>
  <c r="A27560" i="4"/>
  <c r="A27559" i="4"/>
  <c r="A27558" i="4"/>
  <c r="A27557" i="4"/>
  <c r="A27556" i="4"/>
  <c r="A27555" i="4"/>
  <c r="A27554" i="4"/>
  <c r="A27553" i="4"/>
  <c r="A27552" i="4"/>
  <c r="A27551" i="4"/>
  <c r="A27550" i="4"/>
  <c r="A27549" i="4"/>
  <c r="A27548" i="4"/>
  <c r="A27547" i="4"/>
  <c r="A27546" i="4"/>
  <c r="A27545" i="4"/>
  <c r="A27544" i="4"/>
  <c r="A27543" i="4"/>
  <c r="A27542" i="4"/>
  <c r="A27541" i="4"/>
  <c r="A27540" i="4"/>
  <c r="A27539" i="4"/>
  <c r="A27538" i="4"/>
  <c r="A27537" i="4"/>
  <c r="A27536" i="4"/>
  <c r="A27535" i="4"/>
  <c r="A27534" i="4"/>
  <c r="A491" i="4"/>
  <c r="A27533" i="4"/>
  <c r="A27532" i="4"/>
  <c r="A27531" i="4"/>
  <c r="A7440" i="4"/>
  <c r="A7439" i="4"/>
  <c r="A20224" i="4"/>
  <c r="A27530" i="4"/>
  <c r="A27529" i="4"/>
  <c r="A27528" i="4"/>
  <c r="A27527" i="4"/>
  <c r="A27526" i="4"/>
  <c r="A27525" i="4"/>
  <c r="A11027" i="4"/>
  <c r="A27524" i="4"/>
  <c r="A27523" i="4"/>
  <c r="A27522" i="4"/>
  <c r="A27521" i="4"/>
  <c r="A7438" i="4"/>
  <c r="A7437" i="4"/>
  <c r="A7436" i="4"/>
  <c r="A27520" i="4"/>
  <c r="A27519" i="4"/>
  <c r="A10967" i="4"/>
  <c r="A27518" i="4"/>
  <c r="A27517" i="4"/>
  <c r="A27516" i="4"/>
  <c r="A27515" i="4"/>
  <c r="A27514" i="4"/>
  <c r="A27513" i="4"/>
  <c r="A27512" i="4"/>
  <c r="A27511" i="4"/>
  <c r="A27510" i="4"/>
  <c r="A27509" i="4"/>
  <c r="A27508" i="4"/>
  <c r="A27507" i="4"/>
  <c r="A27506" i="4"/>
  <c r="A27505" i="4"/>
  <c r="A27504" i="4"/>
  <c r="A27503" i="4"/>
  <c r="A7435" i="4"/>
  <c r="A11026" i="4"/>
  <c r="A27502" i="4"/>
  <c r="A27501" i="4"/>
  <c r="A27500" i="4"/>
  <c r="A17863" i="4"/>
  <c r="A7434" i="4"/>
  <c r="A17192" i="4"/>
  <c r="A20223" i="4"/>
  <c r="A27499" i="4"/>
  <c r="A27498" i="4"/>
  <c r="A7433" i="4"/>
  <c r="A20835" i="4"/>
  <c r="A13119" i="4"/>
  <c r="A27497" i="4"/>
  <c r="A27496" i="4"/>
  <c r="A27495" i="4"/>
  <c r="A8288" i="4"/>
  <c r="A17191" i="4"/>
  <c r="A17190" i="4"/>
  <c r="A27494" i="4"/>
  <c r="A27493" i="4"/>
  <c r="A27492" i="4"/>
  <c r="A27491" i="4"/>
  <c r="A27490" i="4"/>
  <c r="A27489" i="4"/>
  <c r="A7432" i="4"/>
  <c r="A1680" i="4"/>
  <c r="A27488" i="4"/>
  <c r="A7431" i="4"/>
  <c r="A11025" i="4"/>
  <c r="A11024" i="4"/>
  <c r="A11023" i="4"/>
  <c r="A9368" i="4"/>
  <c r="A9367" i="4"/>
  <c r="A27487" i="4"/>
  <c r="A27486" i="4"/>
  <c r="A15362" i="4"/>
  <c r="A20222" i="4"/>
  <c r="A7430" i="4"/>
  <c r="A5115" i="4"/>
  <c r="A12866" i="4"/>
  <c r="A27485" i="4"/>
  <c r="A7429" i="4"/>
  <c r="A7428" i="4"/>
  <c r="A27484" i="4"/>
  <c r="A1679" i="4"/>
  <c r="A27483" i="4"/>
  <c r="A27482" i="4"/>
  <c r="A27481" i="4"/>
  <c r="A27480" i="4"/>
  <c r="A27479" i="4"/>
  <c r="A27478" i="4"/>
  <c r="A27477" i="4"/>
  <c r="A7427" i="4"/>
  <c r="A8828" i="4"/>
  <c r="A27476" i="4"/>
  <c r="A27475" i="4"/>
  <c r="A27474" i="4"/>
  <c r="A27473" i="4"/>
  <c r="A27472" i="4"/>
  <c r="A27471" i="4"/>
  <c r="A27470" i="4"/>
  <c r="A27469" i="4"/>
  <c r="A27468" i="4"/>
  <c r="A27467" i="4"/>
  <c r="A7426" i="4"/>
  <c r="A27466" i="4"/>
  <c r="A7425" i="4"/>
  <c r="A27465" i="4"/>
  <c r="A7424" i="4"/>
  <c r="A15361" i="4"/>
  <c r="A15360" i="4"/>
  <c r="A12230" i="4"/>
  <c r="A1888" i="4"/>
  <c r="A5364" i="4"/>
  <c r="A27464" i="4"/>
  <c r="A15359" i="4"/>
  <c r="A5363" i="4"/>
  <c r="A27463" i="4"/>
  <c r="A15358" i="4"/>
  <c r="A15357" i="4"/>
  <c r="A15356" i="4"/>
  <c r="A27462" i="4"/>
  <c r="A7423" i="4"/>
  <c r="A7422" i="4"/>
  <c r="A7421" i="4"/>
  <c r="A17704" i="4"/>
  <c r="A27461" i="4"/>
  <c r="A7420" i="4"/>
  <c r="A15355" i="4"/>
  <c r="A15354" i="4"/>
  <c r="A27460" i="4"/>
  <c r="A27459" i="4"/>
  <c r="A27458" i="4"/>
  <c r="A27457" i="4"/>
  <c r="A27456" i="4"/>
  <c r="A27455" i="4"/>
  <c r="A27454" i="4"/>
  <c r="A27453" i="4"/>
  <c r="A8287" i="4"/>
  <c r="A8286" i="4"/>
  <c r="A7419" i="4"/>
  <c r="A27452" i="4"/>
  <c r="A27451" i="4"/>
  <c r="A27450" i="4"/>
  <c r="A27449" i="4"/>
  <c r="A27448" i="4"/>
  <c r="A27447" i="4"/>
  <c r="A27446" i="4"/>
  <c r="A27445" i="4"/>
  <c r="A27444" i="4"/>
  <c r="A27443" i="4"/>
  <c r="A27442" i="4"/>
  <c r="A27441" i="4"/>
  <c r="A27440" i="4"/>
  <c r="A27439" i="4"/>
  <c r="A27438" i="4"/>
  <c r="A27437" i="4"/>
  <c r="A27436" i="4"/>
  <c r="A27435" i="4"/>
  <c r="A27434" i="4"/>
  <c r="A27433" i="4"/>
  <c r="A27432" i="4"/>
  <c r="A27431" i="4"/>
  <c r="A27430" i="4"/>
  <c r="A27429" i="4"/>
  <c r="A27428" i="4"/>
  <c r="A27427" i="4"/>
  <c r="A27426" i="4"/>
  <c r="A27425" i="4"/>
  <c r="A27424" i="4"/>
  <c r="A27423" i="4"/>
  <c r="A27422" i="4"/>
  <c r="A27421" i="4"/>
  <c r="A27420" i="4"/>
  <c r="A27419" i="4"/>
  <c r="A27418" i="4"/>
  <c r="A27417" i="4"/>
  <c r="A27416" i="4"/>
  <c r="A27415" i="4"/>
  <c r="A27414" i="4"/>
  <c r="A27413" i="4"/>
  <c r="A27412" i="4"/>
  <c r="A27411" i="4"/>
  <c r="A27410" i="4"/>
  <c r="A27409" i="4"/>
  <c r="A27408" i="4"/>
  <c r="A27407" i="4"/>
  <c r="A27406" i="4"/>
  <c r="A27405" i="4"/>
  <c r="A27404" i="4"/>
  <c r="A27403" i="4"/>
  <c r="A27402" i="4"/>
  <c r="A27401" i="4"/>
  <c r="A27400" i="4"/>
  <c r="A27399" i="4"/>
  <c r="A27398" i="4"/>
  <c r="A27397" i="4"/>
  <c r="A27396" i="4"/>
  <c r="A27395" i="4"/>
  <c r="A27394" i="4"/>
  <c r="A7418" i="4"/>
  <c r="A20221" i="4"/>
  <c r="A10814" i="4"/>
  <c r="A20220" i="4"/>
  <c r="A1678" i="4"/>
  <c r="A27393" i="4"/>
  <c r="A7417" i="4"/>
  <c r="A27392" i="4"/>
  <c r="A7416" i="4"/>
  <c r="A7415" i="4"/>
  <c r="A8337" i="4"/>
  <c r="A7414" i="4"/>
  <c r="A7413" i="4"/>
  <c r="A7412" i="4"/>
  <c r="A27391" i="4"/>
  <c r="A27390" i="4"/>
  <c r="A27389" i="4"/>
  <c r="A27388" i="4"/>
  <c r="A1677" i="4"/>
  <c r="A27387" i="4"/>
  <c r="A27386" i="4"/>
  <c r="A27385" i="4"/>
  <c r="A27384" i="4"/>
  <c r="A12229" i="4"/>
  <c r="A27383" i="4"/>
  <c r="A6188" i="4"/>
  <c r="A7411" i="4"/>
  <c r="A27382" i="4"/>
  <c r="A7410" i="4"/>
  <c r="A27381" i="4"/>
  <c r="A27380" i="4"/>
  <c r="A7409" i="4"/>
  <c r="A27379" i="4"/>
  <c r="A27378" i="4"/>
  <c r="A27377" i="4"/>
  <c r="A27376" i="4"/>
  <c r="A27375" i="4"/>
  <c r="A27374" i="4"/>
  <c r="A27373" i="4"/>
  <c r="A27372" i="4"/>
  <c r="A27371" i="4"/>
  <c r="A27370" i="4"/>
  <c r="A27369" i="4"/>
  <c r="A27368" i="4"/>
  <c r="A27367" i="4"/>
  <c r="A27366" i="4"/>
  <c r="A27365" i="4"/>
  <c r="A27364" i="4"/>
  <c r="A27363" i="4"/>
  <c r="A27362" i="4"/>
  <c r="A27361" i="4"/>
  <c r="A27360" i="4"/>
  <c r="A27359" i="4"/>
  <c r="A27358" i="4"/>
  <c r="A27357" i="4"/>
  <c r="A27356" i="4"/>
  <c r="A27355" i="4"/>
  <c r="A27354" i="4"/>
  <c r="A27353" i="4"/>
  <c r="A7408" i="4"/>
  <c r="A7407" i="4"/>
  <c r="A7406" i="4"/>
  <c r="A27352" i="4"/>
  <c r="A27351" i="4"/>
  <c r="A27350" i="4"/>
  <c r="A27349" i="4"/>
  <c r="A27348" i="4"/>
  <c r="A1676" i="4"/>
  <c r="A1675" i="4"/>
  <c r="A27347" i="4"/>
  <c r="A5114" i="4"/>
  <c r="A7405" i="4"/>
  <c r="A27346" i="4"/>
  <c r="A27345" i="4"/>
  <c r="A7404" i="4"/>
  <c r="A7403" i="4"/>
  <c r="A10813" i="4"/>
  <c r="A12865" i="4"/>
  <c r="A27344" i="4"/>
  <c r="A7402" i="4"/>
  <c r="A27343" i="4"/>
  <c r="A27342" i="4"/>
  <c r="A27341" i="4"/>
  <c r="A27340" i="4"/>
  <c r="A7401" i="4"/>
  <c r="A7400" i="4"/>
  <c r="A27339" i="4"/>
  <c r="A27338" i="4"/>
  <c r="A27337" i="4"/>
  <c r="A27336" i="4"/>
  <c r="A7399" i="4"/>
  <c r="A27335" i="4"/>
  <c r="A27334" i="4"/>
  <c r="A7398" i="4"/>
  <c r="A7397" i="4"/>
  <c r="A27333" i="4"/>
  <c r="A7396" i="4"/>
  <c r="A27332" i="4"/>
  <c r="A27331" i="4"/>
  <c r="A7395" i="4"/>
  <c r="A7394" i="4"/>
  <c r="A27330" i="4"/>
  <c r="A27329" i="4"/>
  <c r="A20650" i="4"/>
  <c r="A7393" i="4"/>
  <c r="A5113" i="4"/>
  <c r="A5112" i="4"/>
  <c r="A27328" i="4"/>
  <c r="A27327" i="4"/>
  <c r="A27326" i="4"/>
  <c r="A1674" i="4"/>
  <c r="A27325" i="4"/>
  <c r="A7392" i="4"/>
  <c r="A7391" i="4"/>
  <c r="A27324" i="4"/>
  <c r="A1673" i="4"/>
  <c r="A1672" i="4"/>
  <c r="A27323" i="4"/>
  <c r="A27322" i="4"/>
  <c r="A27321" i="4"/>
  <c r="A27320" i="4"/>
  <c r="A27319" i="4"/>
  <c r="A27318" i="4"/>
  <c r="A27317" i="4"/>
  <c r="A27316" i="4"/>
  <c r="A27315" i="4"/>
  <c r="A27314" i="4"/>
  <c r="A27313" i="4"/>
  <c r="A27312" i="4"/>
  <c r="A27311" i="4"/>
  <c r="A27310" i="4"/>
  <c r="A27309" i="4"/>
  <c r="A27308" i="4"/>
  <c r="A27307" i="4"/>
  <c r="A27306" i="4"/>
  <c r="A27305" i="4"/>
  <c r="A27304" i="4"/>
  <c r="A27303" i="4"/>
  <c r="A27302" i="4"/>
  <c r="A27301" i="4"/>
  <c r="A27300" i="4"/>
  <c r="A27299" i="4"/>
  <c r="A27298" i="4"/>
  <c r="A27297" i="4"/>
  <c r="A27296" i="4"/>
  <c r="A27295" i="4"/>
  <c r="A27294" i="4"/>
  <c r="A27293" i="4"/>
  <c r="A27292" i="4"/>
  <c r="A27291" i="4"/>
  <c r="A27290" i="4"/>
  <c r="A27289" i="4"/>
  <c r="A27288" i="4"/>
  <c r="A27287" i="4"/>
  <c r="A27286" i="4"/>
  <c r="A27285" i="4"/>
  <c r="A27284" i="4"/>
  <c r="A27283" i="4"/>
  <c r="A27282" i="4"/>
  <c r="A27281" i="4"/>
  <c r="A27280" i="4"/>
  <c r="A27279" i="4"/>
  <c r="A27278" i="4"/>
  <c r="A27277" i="4"/>
  <c r="A27276" i="4"/>
  <c r="A27275" i="4"/>
  <c r="A27274" i="4"/>
  <c r="A27273" i="4"/>
  <c r="A27272" i="4"/>
  <c r="A27271" i="4"/>
  <c r="A27270" i="4"/>
  <c r="A27269" i="4"/>
  <c r="A27268" i="4"/>
  <c r="A27267" i="4"/>
  <c r="A27266" i="4"/>
  <c r="A27265" i="4"/>
  <c r="A27264" i="4"/>
  <c r="A27263" i="4"/>
  <c r="A27262" i="4"/>
  <c r="A27261" i="4"/>
  <c r="A27260" i="4"/>
  <c r="A27259" i="4"/>
  <c r="A27258" i="4"/>
  <c r="A27257" i="4"/>
  <c r="A27256" i="4"/>
  <c r="A27255" i="4"/>
  <c r="A27254" i="4"/>
  <c r="A27253" i="4"/>
  <c r="A27252" i="4"/>
  <c r="A27251" i="4"/>
  <c r="A27250" i="4"/>
  <c r="A27249" i="4"/>
  <c r="A27248" i="4"/>
  <c r="A27247" i="4"/>
  <c r="A27246" i="4"/>
  <c r="A27245" i="4"/>
  <c r="A27244" i="4"/>
  <c r="A27243" i="4"/>
  <c r="A27242" i="4"/>
  <c r="A27241" i="4"/>
  <c r="A27240" i="4"/>
  <c r="A27239" i="4"/>
  <c r="A27238" i="4"/>
  <c r="A27237" i="4"/>
  <c r="A27236" i="4"/>
  <c r="A27235" i="4"/>
  <c r="A27234" i="4"/>
  <c r="A27233" i="4"/>
  <c r="A27232" i="4"/>
  <c r="A27231" i="4"/>
  <c r="A27230" i="4"/>
  <c r="A27229" i="4"/>
  <c r="A7390" i="4"/>
  <c r="A7389" i="4"/>
  <c r="A27228" i="4"/>
  <c r="A7388" i="4"/>
  <c r="A17189" i="4"/>
  <c r="A17188" i="4"/>
  <c r="A27227" i="4"/>
  <c r="A27226" i="4"/>
  <c r="A27225" i="4"/>
  <c r="A27224" i="4"/>
  <c r="A27223" i="4"/>
  <c r="A27222" i="4"/>
  <c r="A27221" i="4"/>
  <c r="A27220" i="4"/>
  <c r="A7387" i="4"/>
  <c r="A7386" i="4"/>
  <c r="A17187" i="4"/>
  <c r="A8285" i="4"/>
  <c r="A13118" i="4"/>
  <c r="A27219" i="4"/>
  <c r="A27218" i="4"/>
  <c r="A1671" i="4"/>
  <c r="A27217" i="4"/>
  <c r="A17186" i="4"/>
  <c r="A17185" i="4"/>
  <c r="A27216" i="4"/>
  <c r="A17184" i="4"/>
  <c r="A7385" i="4"/>
  <c r="A6477" i="4"/>
  <c r="A10812" i="4"/>
  <c r="A10811" i="4"/>
  <c r="A11022" i="4"/>
  <c r="A27215" i="4"/>
  <c r="A12864" i="4"/>
  <c r="A27214" i="4"/>
  <c r="A9366" i="4"/>
  <c r="A7384" i="4"/>
  <c r="A27213" i="4"/>
  <c r="A7383" i="4"/>
  <c r="A27212" i="4"/>
  <c r="A27211" i="4"/>
  <c r="A27210" i="4"/>
  <c r="A27209" i="4"/>
  <c r="A7382" i="4"/>
  <c r="A7381" i="4"/>
  <c r="A27208" i="4"/>
  <c r="A27207" i="4"/>
  <c r="A27206" i="4"/>
  <c r="A9365" i="4"/>
  <c r="A9364" i="4"/>
  <c r="A27205" i="4"/>
  <c r="A7380" i="4"/>
  <c r="A27204" i="4"/>
  <c r="A7379" i="4"/>
  <c r="A7378" i="4"/>
  <c r="A27203" i="4"/>
  <c r="A27202" i="4"/>
  <c r="A11021" i="4"/>
  <c r="A27201" i="4"/>
  <c r="A27200" i="4"/>
  <c r="A13117" i="4"/>
  <c r="A7377" i="4"/>
  <c r="A7376" i="4"/>
  <c r="A7375" i="4"/>
  <c r="A27199" i="4"/>
  <c r="A8408" i="4"/>
  <c r="A13647" i="4"/>
  <c r="A27198" i="4"/>
  <c r="A27197" i="4"/>
  <c r="A27196" i="4"/>
  <c r="A27195" i="4"/>
  <c r="A27194" i="4"/>
  <c r="A27193" i="4"/>
  <c r="A27192" i="4"/>
  <c r="A7374" i="4"/>
  <c r="A27191" i="4"/>
  <c r="A27190" i="4"/>
  <c r="A27189" i="4"/>
  <c r="A7373" i="4"/>
  <c r="A7372" i="4"/>
  <c r="A7371" i="4"/>
  <c r="A17183" i="4"/>
  <c r="A17182" i="4"/>
  <c r="A7370" i="4"/>
  <c r="A27188" i="4"/>
  <c r="A8407" i="4"/>
  <c r="A15353" i="4"/>
  <c r="A16496" i="4"/>
  <c r="A27187" i="4"/>
  <c r="A27186" i="4"/>
  <c r="A27185" i="4"/>
  <c r="A27184" i="4"/>
  <c r="A27183" i="4"/>
  <c r="A8406" i="4"/>
  <c r="A191" i="4"/>
  <c r="A190" i="4"/>
  <c r="A27182" i="4"/>
  <c r="A1670" i="4"/>
  <c r="A7369" i="4"/>
  <c r="A7368" i="4"/>
  <c r="A27181" i="4"/>
  <c r="A11020" i="4"/>
  <c r="A27180" i="4"/>
  <c r="A27179" i="4"/>
  <c r="A27178" i="4"/>
  <c r="A27177" i="4"/>
  <c r="A27176" i="4"/>
  <c r="A11019" i="4"/>
  <c r="A27175" i="4"/>
  <c r="A27174" i="4"/>
  <c r="A27173" i="4"/>
  <c r="A27172" i="4"/>
  <c r="A1669" i="4"/>
  <c r="A27171" i="4"/>
  <c r="A7367" i="4"/>
  <c r="A7366" i="4"/>
  <c r="A17181" i="4"/>
  <c r="A17180" i="4"/>
  <c r="A7365" i="4"/>
  <c r="A7364" i="4"/>
  <c r="A7363" i="4"/>
  <c r="A7362" i="4"/>
  <c r="A17179" i="4"/>
  <c r="A17178" i="4"/>
  <c r="A17177" i="4"/>
  <c r="A17176" i="4"/>
  <c r="A17175" i="4"/>
  <c r="A17174" i="4"/>
  <c r="A12228" i="4"/>
  <c r="A8284" i="4"/>
  <c r="A8283" i="4"/>
  <c r="A12227" i="4"/>
  <c r="A7361" i="4"/>
  <c r="A11018" i="4"/>
  <c r="A11017" i="4"/>
  <c r="A11016" i="4"/>
  <c r="A12226" i="4"/>
  <c r="A27170" i="4"/>
  <c r="A27169" i="4"/>
  <c r="A27168" i="4"/>
  <c r="A27167" i="4"/>
  <c r="A27166" i="4"/>
  <c r="A27165" i="4"/>
  <c r="A27164" i="4"/>
  <c r="A27163" i="4"/>
  <c r="A27162" i="4"/>
  <c r="A27161" i="4"/>
  <c r="A27160" i="4"/>
  <c r="A27159" i="4"/>
  <c r="A27158" i="4"/>
  <c r="A27157" i="4"/>
  <c r="A27156" i="4"/>
  <c r="A27155" i="4"/>
  <c r="A27154" i="4"/>
  <c r="A27153" i="4"/>
  <c r="A27152" i="4"/>
  <c r="A27151" i="4"/>
  <c r="A27150" i="4"/>
  <c r="A27149" i="4"/>
  <c r="A27148" i="4"/>
  <c r="A27147" i="4"/>
  <c r="A27146" i="4"/>
  <c r="A27145" i="4"/>
  <c r="A27144" i="4"/>
  <c r="A27143" i="4"/>
  <c r="A27142" i="4"/>
  <c r="A27141" i="4"/>
  <c r="A27140" i="4"/>
  <c r="A27139" i="4"/>
  <c r="A27138" i="4"/>
  <c r="A27137" i="4"/>
  <c r="A27136" i="4"/>
  <c r="A27135" i="4"/>
  <c r="A7360" i="4"/>
  <c r="A27134" i="4"/>
  <c r="A27133" i="4"/>
  <c r="A27132" i="4"/>
  <c r="A27131" i="4"/>
  <c r="A27130" i="4"/>
  <c r="A27129" i="4"/>
  <c r="A27128" i="4"/>
  <c r="A27127" i="4"/>
  <c r="A27126" i="4"/>
  <c r="A27125" i="4"/>
  <c r="A27124" i="4"/>
  <c r="A27123" i="4"/>
  <c r="A27122" i="4"/>
  <c r="A27121" i="4"/>
  <c r="A27120" i="4"/>
  <c r="A27119" i="4"/>
  <c r="A27118" i="4"/>
  <c r="A27117" i="4"/>
  <c r="A27116" i="4"/>
  <c r="A27115" i="4"/>
  <c r="A27114" i="4"/>
  <c r="A8450" i="4"/>
  <c r="A12735" i="4"/>
  <c r="A27113" i="4"/>
  <c r="A27112" i="4"/>
  <c r="A27111" i="4"/>
  <c r="A27110" i="4"/>
  <c r="A27109" i="4"/>
  <c r="A27108" i="4"/>
  <c r="A27107" i="4"/>
  <c r="A27106" i="4"/>
  <c r="A27105" i="4"/>
  <c r="A27104" i="4"/>
  <c r="A27103" i="4"/>
  <c r="A27102" i="4"/>
  <c r="A27101" i="4"/>
  <c r="A27100" i="4"/>
  <c r="A27099" i="4"/>
  <c r="A27098" i="4"/>
  <c r="A27097" i="4"/>
  <c r="A27096" i="4"/>
  <c r="A27095" i="4"/>
  <c r="A27094" i="4"/>
  <c r="A27093" i="4"/>
  <c r="A27092" i="4"/>
  <c r="A27091" i="4"/>
  <c r="A27090" i="4"/>
  <c r="A27089" i="4"/>
  <c r="A27088" i="4"/>
  <c r="A27087" i="4"/>
  <c r="A27086" i="4"/>
  <c r="A27085" i="4"/>
  <c r="A27084" i="4"/>
  <c r="A27083" i="4"/>
  <c r="A27082" i="4"/>
  <c r="A27081" i="4"/>
  <c r="A27080" i="4"/>
  <c r="A27079" i="4"/>
  <c r="A27078" i="4"/>
  <c r="A27077" i="4"/>
  <c r="A27076" i="4"/>
  <c r="A27075" i="4"/>
  <c r="A27074" i="4"/>
  <c r="A27073" i="4"/>
  <c r="A27072" i="4"/>
  <c r="A27071" i="4"/>
  <c r="A27070" i="4"/>
  <c r="A27069" i="4"/>
  <c r="A27068" i="4"/>
  <c r="A27067" i="4"/>
  <c r="A27066" i="4"/>
  <c r="A27065" i="4"/>
  <c r="A27064" i="4"/>
  <c r="A27063" i="4"/>
  <c r="A27062" i="4"/>
  <c r="A27061" i="4"/>
  <c r="A27060" i="4"/>
  <c r="A27059" i="4"/>
  <c r="A27058" i="4"/>
  <c r="A27057" i="4"/>
  <c r="A27056" i="4"/>
  <c r="A27055" i="4"/>
  <c r="A27054" i="4"/>
  <c r="A27053" i="4"/>
  <c r="A27052" i="4"/>
  <c r="A27051" i="4"/>
  <c r="A27050" i="4"/>
  <c r="A27049" i="4"/>
  <c r="A27048" i="4"/>
  <c r="A27047" i="4"/>
  <c r="A27046" i="4"/>
  <c r="A27045" i="4"/>
  <c r="A27044" i="4"/>
  <c r="A27043" i="4"/>
  <c r="A27042" i="4"/>
  <c r="A27041" i="4"/>
  <c r="A27040" i="4"/>
  <c r="A27039" i="4"/>
  <c r="A27038" i="4"/>
  <c r="A27037" i="4"/>
  <c r="A27036" i="4"/>
  <c r="A27035" i="4"/>
  <c r="A27034" i="4"/>
  <c r="A27033" i="4"/>
  <c r="A27032" i="4"/>
  <c r="A27031" i="4"/>
  <c r="A27030" i="4"/>
  <c r="A27029" i="4"/>
  <c r="A27028" i="4"/>
  <c r="A27027" i="4"/>
  <c r="A27026" i="4"/>
  <c r="A27025" i="4"/>
  <c r="A27024" i="4"/>
  <c r="A27023" i="4"/>
  <c r="A27022" i="4"/>
  <c r="A27021" i="4"/>
  <c r="A16495" i="4"/>
  <c r="A27020" i="4"/>
  <c r="A27019" i="4"/>
  <c r="A27018" i="4"/>
  <c r="A27017" i="4"/>
  <c r="A27016" i="4"/>
  <c r="A27015" i="4"/>
  <c r="A27014" i="4"/>
  <c r="A27013" i="4"/>
  <c r="A27012" i="4"/>
  <c r="A27011" i="4"/>
  <c r="A27010" i="4"/>
  <c r="A27009" i="4"/>
  <c r="A27008" i="4"/>
  <c r="A27007" i="4"/>
  <c r="A7359" i="4"/>
  <c r="A27006" i="4"/>
  <c r="A7358" i="4"/>
  <c r="A7357" i="4"/>
  <c r="A7356" i="4"/>
  <c r="A7355" i="4"/>
  <c r="A27005" i="4"/>
  <c r="A27004" i="4"/>
  <c r="A11015" i="4"/>
  <c r="A7354" i="4"/>
  <c r="A7353" i="4"/>
  <c r="A7352" i="4"/>
  <c r="A7351" i="4"/>
  <c r="A27003" i="4"/>
  <c r="A27002" i="4"/>
  <c r="A17437" i="4"/>
  <c r="A27001" i="4"/>
  <c r="A189" i="4"/>
  <c r="A27000" i="4"/>
  <c r="A17173" i="4"/>
  <c r="A17172" i="4"/>
  <c r="A5111" i="4"/>
  <c r="A10810" i="4"/>
  <c r="A26999" i="4"/>
  <c r="A490" i="4"/>
  <c r="A17171" i="4"/>
  <c r="A17170" i="4"/>
  <c r="A7350" i="4"/>
  <c r="A26998" i="4"/>
  <c r="A26997" i="4"/>
  <c r="A26996" i="4"/>
  <c r="A26995" i="4"/>
  <c r="A26994" i="4"/>
  <c r="A8336" i="4"/>
  <c r="A13226" i="4"/>
  <c r="A10966" i="4"/>
  <c r="A26993" i="4"/>
  <c r="A26992" i="4"/>
  <c r="A26991" i="4"/>
  <c r="A26990" i="4"/>
  <c r="A26989" i="4"/>
  <c r="A26988" i="4"/>
  <c r="A7349" i="4"/>
  <c r="A17436" i="4"/>
  <c r="A17435" i="4"/>
  <c r="A7348" i="4"/>
  <c r="A26987" i="4"/>
  <c r="A26986" i="4"/>
  <c r="A26985" i="4"/>
  <c r="A26984" i="4"/>
  <c r="A7347" i="4"/>
  <c r="A26983" i="4"/>
  <c r="A26982" i="4"/>
  <c r="A26981" i="4"/>
  <c r="A26980" i="4"/>
  <c r="A26979" i="4"/>
  <c r="A16494" i="4"/>
  <c r="A7346" i="4"/>
  <c r="A26978" i="4"/>
  <c r="A7345" i="4"/>
  <c r="A1668" i="4"/>
  <c r="A1667" i="4"/>
  <c r="A12225" i="4"/>
  <c r="A8405" i="4"/>
  <c r="A7344" i="4"/>
  <c r="A17169" i="4"/>
  <c r="A11014" i="4"/>
  <c r="A12947" i="4"/>
  <c r="A26977" i="4"/>
  <c r="A17168" i="4"/>
  <c r="A7343" i="4"/>
  <c r="A17862" i="4"/>
  <c r="A1666" i="4"/>
  <c r="A26976" i="4"/>
  <c r="A17167" i="4"/>
  <c r="A26975" i="4"/>
  <c r="A12946" i="4"/>
  <c r="A15352" i="4"/>
  <c r="A15351" i="4"/>
  <c r="A20219" i="4"/>
  <c r="A20218" i="4"/>
  <c r="A20217" i="4"/>
  <c r="A18103" i="4"/>
  <c r="A18102" i="4"/>
  <c r="A26974" i="4"/>
  <c r="A26973" i="4"/>
  <c r="A26972" i="4"/>
  <c r="A26971" i="4"/>
  <c r="A26970" i="4"/>
  <c r="A7342" i="4"/>
  <c r="A7341" i="4"/>
  <c r="A26969" i="4"/>
  <c r="A26968" i="4"/>
  <c r="A7340" i="4"/>
  <c r="A26967" i="4"/>
  <c r="A17166" i="4"/>
  <c r="A17165" i="4"/>
  <c r="A17164" i="4"/>
  <c r="A17163" i="4"/>
  <c r="A17162" i="4"/>
  <c r="A17161" i="4"/>
  <c r="A26966" i="4"/>
  <c r="A1916" i="4"/>
  <c r="A7339" i="4"/>
  <c r="A7338" i="4"/>
  <c r="A26965" i="4"/>
  <c r="A7337" i="4"/>
  <c r="A26964" i="4"/>
  <c r="A26963" i="4"/>
  <c r="A17160" i="4"/>
  <c r="A17159" i="4"/>
  <c r="A17861" i="4"/>
  <c r="A26962" i="4"/>
  <c r="A26961" i="4"/>
  <c r="A11013" i="4"/>
  <c r="A11012" i="4"/>
  <c r="A11011" i="4"/>
  <c r="A11010" i="4"/>
  <c r="A7336" i="4"/>
  <c r="A7335" i="4"/>
  <c r="A5110" i="4"/>
  <c r="A5109" i="4"/>
  <c r="A26960" i="4"/>
  <c r="A6636" i="4"/>
  <c r="A18035" i="4"/>
  <c r="A10809" i="4"/>
  <c r="A10808" i="4"/>
  <c r="A8827" i="4"/>
  <c r="A8826" i="4"/>
  <c r="A8825" i="4"/>
  <c r="A10807" i="4"/>
  <c r="A17238" i="4"/>
  <c r="A26959" i="4"/>
  <c r="A7334" i="4"/>
  <c r="A7333" i="4"/>
  <c r="A7332" i="4"/>
  <c r="A26958" i="4"/>
  <c r="A26957" i="4"/>
  <c r="A5108" i="4"/>
  <c r="A10806" i="4"/>
  <c r="A5362" i="4"/>
  <c r="A10805" i="4"/>
  <c r="A7331" i="4"/>
  <c r="A8388" i="4"/>
  <c r="A8449" i="4"/>
  <c r="A20649" i="4"/>
  <c r="A1665" i="4"/>
  <c r="A7330" i="4"/>
  <c r="A7329" i="4"/>
  <c r="A7328" i="4"/>
  <c r="A13646" i="4"/>
  <c r="A7327" i="4"/>
  <c r="A26956" i="4"/>
  <c r="A1664" i="4"/>
  <c r="A7326" i="4"/>
  <c r="A17860" i="4"/>
  <c r="A26955" i="4"/>
  <c r="A26954" i="4"/>
  <c r="A26953" i="4"/>
  <c r="A26952" i="4"/>
  <c r="A26951" i="4"/>
  <c r="A26950" i="4"/>
  <c r="A26949" i="4"/>
  <c r="A26948" i="4"/>
  <c r="A26947" i="4"/>
  <c r="A26946" i="4"/>
  <c r="A26945" i="4"/>
  <c r="A26944" i="4"/>
  <c r="A26943" i="4"/>
  <c r="A26942" i="4"/>
  <c r="A26941" i="4"/>
  <c r="A7325" i="4"/>
  <c r="A1663" i="4"/>
  <c r="A7324" i="4"/>
  <c r="A26940" i="4"/>
  <c r="A26939" i="4"/>
  <c r="A26938" i="4"/>
  <c r="A7323" i="4"/>
  <c r="A7322" i="4"/>
  <c r="A7321" i="4"/>
  <c r="A26937" i="4"/>
  <c r="A26936" i="4"/>
  <c r="A26935" i="4"/>
  <c r="A26934" i="4"/>
  <c r="A26933" i="4"/>
  <c r="A26932" i="4"/>
  <c r="A7320" i="4"/>
  <c r="A15350" i="4"/>
  <c r="A7319" i="4"/>
  <c r="A26931" i="4"/>
  <c r="A26930" i="4"/>
  <c r="A26929" i="4"/>
  <c r="A26928" i="4"/>
  <c r="A26927" i="4"/>
  <c r="A26926" i="4"/>
  <c r="A26925" i="4"/>
  <c r="A1662" i="4"/>
  <c r="A7318" i="4"/>
  <c r="A26924" i="4"/>
  <c r="A26923" i="4"/>
  <c r="A7317" i="4"/>
  <c r="A7316" i="4"/>
  <c r="A1661" i="4"/>
  <c r="A5107" i="4"/>
  <c r="A26922" i="4"/>
  <c r="A26921" i="4"/>
  <c r="A12945" i="4"/>
  <c r="A26920" i="4"/>
  <c r="A26919" i="4"/>
  <c r="A10804" i="4"/>
  <c r="A26918" i="4"/>
  <c r="A10803" i="4"/>
  <c r="A5106" i="4"/>
  <c r="A26917" i="4"/>
  <c r="A7315" i="4"/>
  <c r="A26916" i="4"/>
  <c r="A26915" i="4"/>
  <c r="A7314" i="4"/>
  <c r="A7313" i="4"/>
  <c r="A7312" i="4"/>
  <c r="A7311" i="4"/>
  <c r="A7310" i="4"/>
  <c r="A26914" i="4"/>
  <c r="A7309" i="4"/>
  <c r="A7308" i="4"/>
  <c r="A26913" i="4"/>
  <c r="A7307" i="4"/>
  <c r="A26912" i="4"/>
  <c r="A20216" i="4"/>
  <c r="A20215" i="4"/>
  <c r="A26911" i="4"/>
  <c r="A17859" i="4"/>
  <c r="A26910" i="4"/>
  <c r="A7306" i="4"/>
  <c r="A17158" i="4"/>
  <c r="A17157" i="4"/>
  <c r="A17156" i="4"/>
  <c r="A17155" i="4"/>
  <c r="A7305" i="4"/>
  <c r="A7304" i="4"/>
  <c r="A12863" i="4"/>
  <c r="A7303" i="4"/>
  <c r="A12944" i="4"/>
  <c r="A12943" i="4"/>
  <c r="A26909" i="4"/>
  <c r="A26908" i="4"/>
  <c r="A26907" i="4"/>
  <c r="A26906" i="4"/>
  <c r="A26905" i="4"/>
  <c r="A10965" i="4"/>
  <c r="A26904" i="4"/>
  <c r="A1660" i="4"/>
  <c r="A1915" i="4"/>
  <c r="A13645" i="4"/>
  <c r="A1659" i="4"/>
  <c r="A7302" i="4"/>
  <c r="A26903" i="4"/>
  <c r="A26902" i="4"/>
  <c r="A26901" i="4"/>
  <c r="A26900" i="4"/>
  <c r="A26899" i="4"/>
  <c r="A26898" i="4"/>
  <c r="A26897" i="4"/>
  <c r="A26896" i="4"/>
  <c r="A26895" i="4"/>
  <c r="A26894" i="4"/>
  <c r="A26893" i="4"/>
  <c r="A6476" i="4"/>
  <c r="A26892" i="4"/>
  <c r="A26891" i="4"/>
  <c r="A26890" i="4"/>
  <c r="A7301" i="4"/>
  <c r="A26889" i="4"/>
  <c r="A26888" i="4"/>
  <c r="A7300" i="4"/>
  <c r="A17858" i="4"/>
  <c r="A26887" i="4"/>
  <c r="A7299" i="4"/>
  <c r="A15349" i="4"/>
  <c r="A15348" i="4"/>
  <c r="A1658" i="4"/>
  <c r="A26886" i="4"/>
  <c r="A26885" i="4"/>
  <c r="A26884" i="4"/>
  <c r="A7298" i="4"/>
  <c r="A7297" i="4"/>
  <c r="A26883" i="4"/>
  <c r="A26882" i="4"/>
  <c r="A20214" i="4"/>
  <c r="A7296" i="4"/>
  <c r="A17154" i="4"/>
  <c r="A26881" i="4"/>
  <c r="A26880" i="4"/>
  <c r="A26879" i="4"/>
  <c r="A13644" i="4"/>
  <c r="A5105" i="4"/>
  <c r="A8335" i="4"/>
  <c r="A1657" i="4"/>
  <c r="A1656" i="4"/>
  <c r="A7295" i="4"/>
  <c r="A26878" i="4"/>
  <c r="A17434" i="4"/>
  <c r="A26877" i="4"/>
  <c r="A26876" i="4"/>
  <c r="A26875" i="4"/>
  <c r="A26874" i="4"/>
  <c r="A26873" i="4"/>
  <c r="A26872" i="4"/>
  <c r="A26871" i="4"/>
  <c r="A26870" i="4"/>
  <c r="A26869" i="4"/>
  <c r="A6187" i="4"/>
  <c r="A26868" i="4"/>
  <c r="A26867" i="4"/>
  <c r="A26866" i="4"/>
  <c r="A26865" i="4"/>
  <c r="A26864" i="4"/>
  <c r="A26863" i="4"/>
  <c r="A26862" i="4"/>
  <c r="A17153" i="4"/>
  <c r="A26861" i="4"/>
  <c r="A26860" i="4"/>
  <c r="A26859" i="4"/>
  <c r="A17152" i="4"/>
  <c r="A17151" i="4"/>
  <c r="A17150" i="4"/>
  <c r="A17149" i="4"/>
  <c r="A17148" i="4"/>
  <c r="A26858" i="4"/>
  <c r="A17147" i="4"/>
  <c r="A26857" i="4"/>
  <c r="A5104" i="4"/>
  <c r="A7294" i="4"/>
  <c r="A26856" i="4"/>
  <c r="A188" i="4"/>
  <c r="A1655" i="4"/>
  <c r="A1654" i="4"/>
  <c r="A7293" i="4"/>
  <c r="A8334" i="4"/>
  <c r="A26855" i="4"/>
  <c r="A1653" i="4"/>
  <c r="A26854" i="4"/>
  <c r="A7292" i="4"/>
  <c r="A7291" i="4"/>
  <c r="A187" i="4"/>
  <c r="A17146" i="4"/>
  <c r="A17145" i="4"/>
  <c r="A7290" i="4"/>
  <c r="A7289" i="4"/>
  <c r="A26853" i="4"/>
  <c r="A17433" i="4"/>
  <c r="A20213" i="4"/>
  <c r="A20212" i="4"/>
  <c r="A20211" i="4"/>
  <c r="A20210" i="4"/>
  <c r="A20209" i="4"/>
  <c r="A20208" i="4"/>
  <c r="A20207" i="4"/>
  <c r="A20206" i="4"/>
  <c r="A1652" i="4"/>
  <c r="A1651" i="4"/>
  <c r="A1650" i="4"/>
  <c r="A1649" i="4"/>
  <c r="A26852" i="4"/>
  <c r="A20205" i="4"/>
  <c r="A20204" i="4"/>
  <c r="A20203" i="4"/>
  <c r="A20202" i="4"/>
  <c r="A26851" i="4"/>
  <c r="A1648" i="4"/>
  <c r="A26850" i="4"/>
  <c r="A1647" i="4"/>
  <c r="A26849" i="4"/>
  <c r="A1646" i="4"/>
  <c r="A1645" i="4"/>
  <c r="A1644" i="4"/>
  <c r="A26848" i="4"/>
  <c r="A1643" i="4"/>
  <c r="A26847" i="4"/>
  <c r="A26846" i="4"/>
  <c r="A26845" i="4"/>
  <c r="A186" i="4"/>
  <c r="A13116" i="4"/>
  <c r="A185" i="4"/>
  <c r="A7288" i="4"/>
  <c r="A26844" i="4"/>
  <c r="A8824" i="4"/>
  <c r="A1887" i="4"/>
  <c r="A10802" i="4"/>
  <c r="A18034" i="4"/>
  <c r="A10801" i="4"/>
  <c r="A8823" i="4"/>
  <c r="A8822" i="4"/>
  <c r="A8821" i="4"/>
  <c r="A26843" i="4"/>
  <c r="A26842" i="4"/>
  <c r="A26841" i="4"/>
  <c r="A15347" i="4"/>
  <c r="A26840" i="4"/>
  <c r="A7287" i="4"/>
  <c r="A7286" i="4"/>
  <c r="A7285" i="4"/>
  <c r="A17857" i="4"/>
  <c r="A8448" i="4"/>
  <c r="A20709" i="4"/>
  <c r="A20708" i="4"/>
  <c r="A26839" i="4"/>
  <c r="A7284" i="4"/>
  <c r="A7283" i="4"/>
  <c r="A20201" i="4"/>
  <c r="A26838" i="4"/>
  <c r="A26837" i="4"/>
  <c r="A26836" i="4"/>
  <c r="A26835" i="4"/>
  <c r="A26834" i="4"/>
  <c r="A26833" i="4"/>
  <c r="A17144" i="4"/>
  <c r="A17143" i="4"/>
  <c r="A17142" i="4"/>
  <c r="A17141" i="4"/>
  <c r="A184" i="4"/>
  <c r="A7282" i="4"/>
  <c r="A7281" i="4"/>
  <c r="A17432" i="4"/>
  <c r="A26832" i="4"/>
  <c r="A1642" i="4"/>
  <c r="A17431" i="4"/>
  <c r="A20200" i="4"/>
  <c r="A26831" i="4"/>
  <c r="A26830" i="4"/>
  <c r="A7280" i="4"/>
  <c r="A7279" i="4"/>
  <c r="A7278" i="4"/>
  <c r="A7277" i="4"/>
  <c r="A17430" i="4"/>
  <c r="A1641" i="4"/>
  <c r="A26829" i="4"/>
  <c r="A26828" i="4"/>
  <c r="A12942" i="4"/>
  <c r="A26827" i="4"/>
  <c r="A26826" i="4"/>
  <c r="A17429" i="4"/>
  <c r="A17428" i="4"/>
  <c r="A10964" i="4"/>
  <c r="A183" i="4"/>
  <c r="A8282" i="4"/>
  <c r="A8281" i="4"/>
  <c r="A26825" i="4"/>
  <c r="A17140" i="4"/>
  <c r="A7276" i="4"/>
  <c r="A7275" i="4"/>
  <c r="A7274" i="4"/>
  <c r="A26824" i="4"/>
  <c r="A26823" i="4"/>
  <c r="A17139" i="4"/>
  <c r="A15346" i="4"/>
  <c r="A26822" i="4"/>
  <c r="A26821" i="4"/>
  <c r="A1640" i="4"/>
  <c r="A7273" i="4"/>
  <c r="A26820" i="4"/>
  <c r="A7272" i="4"/>
  <c r="A15345" i="4"/>
  <c r="A5361" i="4"/>
  <c r="A1639" i="4"/>
  <c r="A8333" i="4"/>
  <c r="A7271" i="4"/>
  <c r="A26819" i="4"/>
  <c r="A7270" i="4"/>
  <c r="A10963" i="4"/>
  <c r="A26818" i="4"/>
  <c r="A1638" i="4"/>
  <c r="A26817" i="4"/>
  <c r="A15344" i="4"/>
  <c r="A15343" i="4"/>
  <c r="A12941" i="4"/>
  <c r="A17138" i="4"/>
  <c r="A7269" i="4"/>
  <c r="A17137" i="4"/>
  <c r="A17136" i="4"/>
  <c r="A26816" i="4"/>
  <c r="A20199" i="4"/>
  <c r="A20198" i="4"/>
  <c r="A20197" i="4"/>
  <c r="A20196" i="4"/>
  <c r="A20195" i="4"/>
  <c r="A26815" i="4"/>
  <c r="A1886" i="4"/>
  <c r="A8280" i="4"/>
  <c r="A20194" i="4"/>
  <c r="A20193" i="4"/>
  <c r="A17856" i="4"/>
  <c r="A26814" i="4"/>
  <c r="A15342" i="4"/>
  <c r="A17135" i="4"/>
  <c r="A26813" i="4"/>
  <c r="A17134" i="4"/>
  <c r="A26812" i="4"/>
  <c r="A26811" i="4"/>
  <c r="A5360" i="4"/>
  <c r="A20648" i="4"/>
  <c r="A20647" i="4"/>
  <c r="A1637" i="4"/>
  <c r="A1636" i="4"/>
  <c r="A1635" i="4"/>
  <c r="A26810" i="4"/>
  <c r="A26809" i="4"/>
  <c r="A1634" i="4"/>
  <c r="A1633" i="4"/>
  <c r="A1914" i="4"/>
  <c r="A26808" i="4"/>
  <c r="A18101" i="4"/>
  <c r="A26807" i="4"/>
  <c r="A20192" i="4"/>
  <c r="A18033" i="4"/>
  <c r="A1632" i="4"/>
  <c r="A1631" i="4"/>
  <c r="A26806" i="4"/>
  <c r="A26805" i="4"/>
  <c r="A26804" i="4"/>
  <c r="A26803" i="4"/>
  <c r="A26802" i="4"/>
  <c r="A26801" i="4"/>
  <c r="A26800" i="4"/>
  <c r="A26799" i="4"/>
  <c r="A26798" i="4"/>
  <c r="A26797" i="4"/>
  <c r="A26796" i="4"/>
  <c r="A489" i="4"/>
  <c r="A26795" i="4"/>
  <c r="A8279" i="4"/>
  <c r="A8278" i="4"/>
  <c r="A26794" i="4"/>
  <c r="A26793" i="4"/>
  <c r="A26792" i="4"/>
  <c r="A26791" i="4"/>
  <c r="A26790" i="4"/>
  <c r="A7268" i="4"/>
  <c r="A26789" i="4"/>
  <c r="A17133" i="4"/>
  <c r="A17132" i="4"/>
  <c r="A17131" i="4"/>
  <c r="A17130" i="4"/>
  <c r="A26788" i="4"/>
  <c r="A17129" i="4"/>
  <c r="A17128" i="4"/>
  <c r="A8277" i="4"/>
  <c r="A10962" i="4"/>
  <c r="A26787" i="4"/>
  <c r="A1630" i="4"/>
  <c r="A26786" i="4"/>
  <c r="A26785" i="4"/>
  <c r="A2473" i="4"/>
  <c r="A2472" i="4"/>
  <c r="A17127" i="4"/>
  <c r="A17126" i="4"/>
  <c r="A26784" i="4"/>
  <c r="A15573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26783" i="4"/>
  <c r="A17114" i="4"/>
  <c r="A17113" i="4"/>
  <c r="A26782" i="4"/>
  <c r="A26781" i="4"/>
  <c r="A26780" i="4"/>
  <c r="A26779" i="4"/>
  <c r="A26778" i="4"/>
  <c r="A26777" i="4"/>
  <c r="A1629" i="4"/>
  <c r="A26776" i="4"/>
  <c r="A182" i="4"/>
  <c r="A17427" i="4"/>
  <c r="A1628" i="4"/>
  <c r="A13643" i="4"/>
  <c r="A26775" i="4"/>
  <c r="A1627" i="4"/>
  <c r="A17112" i="4"/>
  <c r="A17426" i="4"/>
  <c r="A17425" i="4"/>
  <c r="A17424" i="4"/>
  <c r="A17855" i="4"/>
  <c r="A7267" i="4"/>
  <c r="A26774" i="4"/>
  <c r="A7266" i="4"/>
  <c r="A26773" i="4"/>
  <c r="A1626" i="4"/>
  <c r="A26772" i="4"/>
  <c r="A26771" i="4"/>
  <c r="A26770" i="4"/>
  <c r="A17111" i="4"/>
  <c r="A26769" i="4"/>
  <c r="A5359" i="4"/>
  <c r="A8276" i="4"/>
  <c r="A17423" i="4"/>
  <c r="A26768" i="4"/>
  <c r="A10800" i="4"/>
  <c r="A10799" i="4"/>
  <c r="A1625" i="4"/>
  <c r="A8387" i="4"/>
  <c r="A8386" i="4"/>
  <c r="A181" i="4"/>
  <c r="A180" i="4"/>
  <c r="A13642" i="4"/>
  <c r="A13641" i="4"/>
  <c r="A26767" i="4"/>
  <c r="A26766" i="4"/>
  <c r="A26765" i="4"/>
  <c r="A20191" i="4"/>
  <c r="A20190" i="4"/>
  <c r="A20189" i="4"/>
  <c r="A20188" i="4"/>
  <c r="A20187" i="4"/>
  <c r="A20186" i="4"/>
  <c r="A26764" i="4"/>
  <c r="A17110" i="4"/>
  <c r="A17109" i="4"/>
  <c r="A26763" i="4"/>
  <c r="A1624" i="4"/>
  <c r="A1623" i="4"/>
  <c r="A7265" i="4"/>
  <c r="A26762" i="4"/>
  <c r="A8275" i="4"/>
  <c r="A20185" i="4"/>
  <c r="A26761" i="4"/>
  <c r="A26760" i="4"/>
  <c r="A20707" i="4"/>
  <c r="A8274" i="4"/>
  <c r="A8273" i="4"/>
  <c r="A8272" i="4"/>
  <c r="A17422" i="4"/>
  <c r="A7264" i="4"/>
  <c r="A26759" i="4"/>
  <c r="A17108" i="4"/>
  <c r="A26758" i="4"/>
  <c r="A17107" i="4"/>
  <c r="A17106" i="4"/>
  <c r="A17105" i="4"/>
  <c r="A17104" i="4"/>
  <c r="A17103" i="4"/>
  <c r="A17102" i="4"/>
  <c r="A17101" i="4"/>
  <c r="A26757" i="4"/>
  <c r="A17100" i="4"/>
  <c r="A17099" i="4"/>
  <c r="A17098" i="4"/>
  <c r="A26756" i="4"/>
  <c r="A17097" i="4"/>
  <c r="A17096" i="4"/>
  <c r="A17095" i="4"/>
  <c r="A17094" i="4"/>
  <c r="A26755" i="4"/>
  <c r="A26754" i="4"/>
  <c r="A26753" i="4"/>
  <c r="A26752" i="4"/>
  <c r="A26751" i="4"/>
  <c r="A26750" i="4"/>
  <c r="A26749" i="4"/>
  <c r="A26748" i="4"/>
  <c r="A26747" i="4"/>
  <c r="A26746" i="4"/>
  <c r="A26745" i="4"/>
  <c r="A17093" i="4"/>
  <c r="A17092" i="4"/>
  <c r="A17091" i="4"/>
  <c r="A26744" i="4"/>
  <c r="A26743" i="4"/>
  <c r="A26742" i="4"/>
  <c r="A17090" i="4"/>
  <c r="A26741" i="4"/>
  <c r="A17089" i="4"/>
  <c r="A26740" i="4"/>
  <c r="A17088" i="4"/>
  <c r="A26739" i="4"/>
  <c r="A7263" i="4"/>
  <c r="A1622" i="4"/>
  <c r="A26738" i="4"/>
  <c r="A17087" i="4"/>
  <c r="A1621" i="4"/>
  <c r="A7262" i="4"/>
  <c r="A26737" i="4"/>
  <c r="A8447" i="4"/>
  <c r="A26736" i="4"/>
  <c r="A17421" i="4"/>
  <c r="A17420" i="4"/>
  <c r="A488" i="4"/>
  <c r="A7261" i="4"/>
  <c r="A7260" i="4"/>
  <c r="A20184" i="4"/>
  <c r="A20183" i="4"/>
  <c r="A20182" i="4"/>
  <c r="A15585" i="4"/>
  <c r="A8271" i="4"/>
  <c r="A26735" i="4"/>
  <c r="A7259" i="4"/>
  <c r="A26734" i="4"/>
  <c r="A26733" i="4"/>
  <c r="A26732" i="4"/>
  <c r="A487" i="4"/>
  <c r="A26731" i="4"/>
  <c r="A26730" i="4"/>
  <c r="A17419" i="4"/>
  <c r="A1620" i="4"/>
  <c r="A17086" i="4"/>
  <c r="A7258" i="4"/>
  <c r="A15341" i="4"/>
  <c r="A26729" i="4"/>
  <c r="A26728" i="4"/>
  <c r="A26727" i="4"/>
  <c r="A26726" i="4"/>
  <c r="A26725" i="4"/>
  <c r="A26724" i="4"/>
  <c r="A26723" i="4"/>
  <c r="A26722" i="4"/>
  <c r="A26721" i="4"/>
  <c r="A26720" i="4"/>
  <c r="A26719" i="4"/>
  <c r="A26718" i="4"/>
  <c r="A26717" i="4"/>
  <c r="A12862" i="4"/>
  <c r="A26716" i="4"/>
  <c r="A26715" i="4"/>
  <c r="A26714" i="4"/>
  <c r="A26713" i="4"/>
  <c r="A7257" i="4"/>
  <c r="A26712" i="4"/>
  <c r="A26711" i="4"/>
  <c r="A26710" i="4"/>
  <c r="A26709" i="4"/>
  <c r="A26708" i="4"/>
  <c r="A1619" i="4"/>
  <c r="A8385" i="4"/>
  <c r="A8270" i="4"/>
  <c r="A8269" i="4"/>
  <c r="A26707" i="4"/>
  <c r="A1618" i="4"/>
  <c r="A17085" i="4"/>
  <c r="A8268" i="4"/>
  <c r="A26706" i="4"/>
  <c r="A15340" i="4"/>
  <c r="A7256" i="4"/>
  <c r="A17084" i="4"/>
  <c r="A1617" i="4"/>
  <c r="A26705" i="4"/>
  <c r="A26704" i="4"/>
  <c r="A26703" i="4"/>
  <c r="A26702" i="4"/>
  <c r="A26701" i="4"/>
  <c r="A26700" i="4"/>
  <c r="A26699" i="4"/>
  <c r="A26698" i="4"/>
  <c r="A26697" i="4"/>
  <c r="A26696" i="4"/>
  <c r="A26695" i="4"/>
  <c r="A26694" i="4"/>
  <c r="A26693" i="4"/>
  <c r="A26692" i="4"/>
  <c r="A26691" i="4"/>
  <c r="A26690" i="4"/>
  <c r="A26689" i="4"/>
  <c r="A26688" i="4"/>
  <c r="A26687" i="4"/>
  <c r="A26686" i="4"/>
  <c r="A26685" i="4"/>
  <c r="A26684" i="4"/>
  <c r="A26683" i="4"/>
  <c r="A26682" i="4"/>
  <c r="A26681" i="4"/>
  <c r="A26680" i="4"/>
  <c r="A26679" i="4"/>
  <c r="A26678" i="4"/>
  <c r="A26677" i="4"/>
  <c r="A26676" i="4"/>
  <c r="A26675" i="4"/>
  <c r="A26674" i="4"/>
  <c r="A26673" i="4"/>
  <c r="A26672" i="4"/>
  <c r="A26671" i="4"/>
  <c r="A26670" i="4"/>
  <c r="A26669" i="4"/>
  <c r="A26668" i="4"/>
  <c r="A26667" i="4"/>
  <c r="A26666" i="4"/>
  <c r="A26665" i="4"/>
  <c r="A26664" i="4"/>
  <c r="A26663" i="4"/>
  <c r="A26662" i="4"/>
  <c r="A26661" i="4"/>
  <c r="A26660" i="4"/>
  <c r="A26659" i="4"/>
  <c r="A26658" i="4"/>
  <c r="A26657" i="4"/>
  <c r="A26656" i="4"/>
  <c r="A26655" i="4"/>
  <c r="A26654" i="4"/>
  <c r="A26653" i="4"/>
  <c r="A26652" i="4"/>
  <c r="A26651" i="4"/>
  <c r="A26650" i="4"/>
  <c r="A26649" i="4"/>
  <c r="A26648" i="4"/>
  <c r="A26647" i="4"/>
  <c r="A26646" i="4"/>
  <c r="A26645" i="4"/>
  <c r="A26644" i="4"/>
  <c r="A26643" i="4"/>
  <c r="A26642" i="4"/>
  <c r="A26641" i="4"/>
  <c r="A26640" i="4"/>
  <c r="A26639" i="4"/>
  <c r="A26638" i="4"/>
  <c r="A26637" i="4"/>
  <c r="A26636" i="4"/>
  <c r="A26635" i="4"/>
  <c r="A26634" i="4"/>
  <c r="A26633" i="4"/>
  <c r="A26632" i="4"/>
  <c r="A26631" i="4"/>
  <c r="A26630" i="4"/>
  <c r="A26629" i="4"/>
  <c r="A26628" i="4"/>
  <c r="A26627" i="4"/>
  <c r="A26626" i="4"/>
  <c r="A26625" i="4"/>
  <c r="A26624" i="4"/>
  <c r="A26623" i="4"/>
  <c r="A26622" i="4"/>
  <c r="A26621" i="4"/>
  <c r="A26620" i="4"/>
  <c r="A26619" i="4"/>
  <c r="A26618" i="4"/>
  <c r="A26617" i="4"/>
  <c r="A26616" i="4"/>
  <c r="A26615" i="4"/>
  <c r="A26614" i="4"/>
  <c r="A26613" i="4"/>
  <c r="A26612" i="4"/>
  <c r="A26611" i="4"/>
  <c r="A26610" i="4"/>
  <c r="A26609" i="4"/>
  <c r="A26608" i="4"/>
  <c r="A26607" i="4"/>
  <c r="A26606" i="4"/>
  <c r="A26605" i="4"/>
  <c r="A26604" i="4"/>
  <c r="A26603" i="4"/>
  <c r="A26602" i="4"/>
  <c r="A26601" i="4"/>
  <c r="A26600" i="4"/>
  <c r="A26599" i="4"/>
  <c r="A26598" i="4"/>
  <c r="A26597" i="4"/>
  <c r="A26596" i="4"/>
  <c r="A26595" i="4"/>
  <c r="A26594" i="4"/>
  <c r="A26593" i="4"/>
  <c r="A26592" i="4"/>
  <c r="A26591" i="4"/>
  <c r="A26590" i="4"/>
  <c r="A26589" i="4"/>
  <c r="A26588" i="4"/>
  <c r="A26587" i="4"/>
  <c r="A26586" i="4"/>
  <c r="A26585" i="4"/>
  <c r="A26584" i="4"/>
  <c r="A26583" i="4"/>
  <c r="A26582" i="4"/>
  <c r="A26581" i="4"/>
  <c r="A26580" i="4"/>
  <c r="A26579" i="4"/>
  <c r="A26578" i="4"/>
  <c r="A26577" i="4"/>
  <c r="A26576" i="4"/>
  <c r="A26575" i="4"/>
  <c r="A26574" i="4"/>
  <c r="A26573" i="4"/>
  <c r="A26572" i="4"/>
  <c r="A26571" i="4"/>
  <c r="A26570" i="4"/>
  <c r="A26569" i="4"/>
  <c r="A26568" i="4"/>
  <c r="A26567" i="4"/>
  <c r="A26566" i="4"/>
  <c r="A26565" i="4"/>
  <c r="A26564" i="4"/>
  <c r="A26563" i="4"/>
  <c r="A26562" i="4"/>
  <c r="A26561" i="4"/>
  <c r="A26560" i="4"/>
  <c r="A26559" i="4"/>
  <c r="A26558" i="4"/>
  <c r="A26557" i="4"/>
  <c r="A26556" i="4"/>
  <c r="A26555" i="4"/>
  <c r="A26554" i="4"/>
  <c r="A26553" i="4"/>
  <c r="A26552" i="4"/>
  <c r="A26551" i="4"/>
  <c r="A26550" i="4"/>
  <c r="A26549" i="4"/>
  <c r="A26548" i="4"/>
  <c r="A26547" i="4"/>
  <c r="A26546" i="4"/>
  <c r="A26545" i="4"/>
  <c r="A26544" i="4"/>
  <c r="A26543" i="4"/>
  <c r="A26542" i="4"/>
  <c r="A26541" i="4"/>
  <c r="A26540" i="4"/>
  <c r="A26539" i="4"/>
  <c r="A26538" i="4"/>
  <c r="A26537" i="4"/>
  <c r="A26536" i="4"/>
  <c r="A26535" i="4"/>
  <c r="A26534" i="4"/>
  <c r="A26533" i="4"/>
  <c r="A26532" i="4"/>
  <c r="A26531" i="4"/>
  <c r="A26530" i="4"/>
  <c r="A26529" i="4"/>
  <c r="A26528" i="4"/>
  <c r="A26527" i="4"/>
  <c r="A26526" i="4"/>
  <c r="A26525" i="4"/>
  <c r="A26524" i="4"/>
  <c r="A26523" i="4"/>
  <c r="A26522" i="4"/>
  <c r="A26521" i="4"/>
  <c r="A26520" i="4"/>
  <c r="A26519" i="4"/>
  <c r="A26518" i="4"/>
  <c r="A26517" i="4"/>
  <c r="A26516" i="4"/>
  <c r="A26515" i="4"/>
  <c r="A26514" i="4"/>
  <c r="A26513" i="4"/>
  <c r="A26512" i="4"/>
  <c r="A26511" i="4"/>
  <c r="A26510" i="4"/>
  <c r="A26509" i="4"/>
  <c r="A26508" i="4"/>
  <c r="A26507" i="4"/>
  <c r="A26506" i="4"/>
  <c r="A26505" i="4"/>
  <c r="A26504" i="4"/>
  <c r="A26503" i="4"/>
  <c r="A26502" i="4"/>
  <c r="A26501" i="4"/>
  <c r="A26500" i="4"/>
  <c r="A26499" i="4"/>
  <c r="A26498" i="4"/>
  <c r="A26497" i="4"/>
  <c r="A26496" i="4"/>
  <c r="A26495" i="4"/>
  <c r="A26494" i="4"/>
  <c r="A26493" i="4"/>
  <c r="A26492" i="4"/>
  <c r="A26491" i="4"/>
  <c r="A26490" i="4"/>
  <c r="A26489" i="4"/>
  <c r="A26488" i="4"/>
  <c r="A26487" i="4"/>
  <c r="A26486" i="4"/>
  <c r="A26485" i="4"/>
  <c r="A26484" i="4"/>
  <c r="A26483" i="4"/>
  <c r="A26482" i="4"/>
  <c r="A26481" i="4"/>
  <c r="A26480" i="4"/>
  <c r="A26479" i="4"/>
  <c r="A26478" i="4"/>
  <c r="A26477" i="4"/>
  <c r="A26476" i="4"/>
  <c r="A26475" i="4"/>
  <c r="A26474" i="4"/>
  <c r="A26473" i="4"/>
  <c r="A26472" i="4"/>
  <c r="A26471" i="4"/>
  <c r="A26470" i="4"/>
  <c r="A17083" i="4"/>
  <c r="A12734" i="4"/>
  <c r="A26469" i="4"/>
  <c r="A26468" i="4"/>
  <c r="A26467" i="4"/>
  <c r="A26466" i="4"/>
  <c r="A26465" i="4"/>
  <c r="A26464" i="4"/>
  <c r="A26463" i="4"/>
  <c r="A26462" i="4"/>
  <c r="A26461" i="4"/>
  <c r="A26460" i="4"/>
  <c r="A26459" i="4"/>
  <c r="A26458" i="4"/>
  <c r="A26457" i="4"/>
  <c r="A26456" i="4"/>
  <c r="A26455" i="4"/>
  <c r="A26454" i="4"/>
  <c r="A26453" i="4"/>
  <c r="A26452" i="4"/>
  <c r="A26451" i="4"/>
  <c r="A26450" i="4"/>
  <c r="A26449" i="4"/>
  <c r="A26448" i="4"/>
  <c r="A26447" i="4"/>
  <c r="A26446" i="4"/>
  <c r="A26445" i="4"/>
  <c r="A26444" i="4"/>
  <c r="A26443" i="4"/>
  <c r="A26442" i="4"/>
  <c r="A26441" i="4"/>
  <c r="A26440" i="4"/>
  <c r="A26439" i="4"/>
  <c r="A26438" i="4"/>
  <c r="A26437" i="4"/>
  <c r="A26436" i="4"/>
  <c r="A26435" i="4"/>
  <c r="A26434" i="4"/>
  <c r="A26433" i="4"/>
  <c r="A26432" i="4"/>
  <c r="A26431" i="4"/>
  <c r="A26430" i="4"/>
  <c r="A26429" i="4"/>
  <c r="A26428" i="4"/>
  <c r="A26427" i="4"/>
  <c r="A26426" i="4"/>
  <c r="A26425" i="4"/>
  <c r="A26424" i="4"/>
  <c r="A26423" i="4"/>
  <c r="A26422" i="4"/>
  <c r="A26421" i="4"/>
  <c r="A26420" i="4"/>
  <c r="A26419" i="4"/>
  <c r="A26418" i="4"/>
  <c r="A26417" i="4"/>
  <c r="A26416" i="4"/>
  <c r="A26415" i="4"/>
  <c r="A26414" i="4"/>
  <c r="A26413" i="4"/>
  <c r="A26412" i="4"/>
  <c r="A26411" i="4"/>
  <c r="A26410" i="4"/>
  <c r="A26409" i="4"/>
  <c r="A26408" i="4"/>
  <c r="A26407" i="4"/>
  <c r="A26406" i="4"/>
  <c r="A26405" i="4"/>
  <c r="A26404" i="4"/>
  <c r="A26403" i="4"/>
  <c r="A26402" i="4"/>
  <c r="A26401" i="4"/>
  <c r="A26400" i="4"/>
  <c r="A26399" i="4"/>
  <c r="A26398" i="4"/>
  <c r="A26397" i="4"/>
  <c r="A26396" i="4"/>
  <c r="A26395" i="4"/>
  <c r="A26394" i="4"/>
  <c r="A26393" i="4"/>
  <c r="A26392" i="4"/>
  <c r="A26391" i="4"/>
  <c r="A26390" i="4"/>
  <c r="A26389" i="4"/>
  <c r="A26388" i="4"/>
  <c r="A26387" i="4"/>
  <c r="A26386" i="4"/>
  <c r="A26385" i="4"/>
  <c r="A26384" i="4"/>
  <c r="A26383" i="4"/>
  <c r="A26382" i="4"/>
  <c r="A26381" i="4"/>
  <c r="A26380" i="4"/>
  <c r="A26379" i="4"/>
  <c r="A26378" i="4"/>
  <c r="A26377" i="4"/>
  <c r="A26376" i="4"/>
  <c r="A26375" i="4"/>
  <c r="A26374" i="4"/>
  <c r="A26373" i="4"/>
  <c r="A26372" i="4"/>
  <c r="A26371" i="4"/>
  <c r="A17082" i="4"/>
  <c r="A17081" i="4"/>
  <c r="A17080" i="4"/>
  <c r="A17079" i="4"/>
  <c r="A17078" i="4"/>
  <c r="A26370" i="4"/>
  <c r="A26369" i="4"/>
  <c r="A7255" i="4"/>
  <c r="A7254" i="4"/>
  <c r="A17077" i="4"/>
  <c r="A17418" i="4"/>
  <c r="A1616" i="4"/>
  <c r="A17603" i="4"/>
  <c r="A7253" i="4"/>
  <c r="A1615" i="4"/>
  <c r="A17076" i="4"/>
  <c r="A26368" i="4"/>
  <c r="A7252" i="4"/>
  <c r="A10798" i="4"/>
  <c r="A20181" i="4"/>
  <c r="A20180" i="4"/>
  <c r="A20179" i="4"/>
  <c r="A17417" i="4"/>
  <c r="A20178" i="4"/>
  <c r="A26367" i="4"/>
  <c r="A20177" i="4"/>
  <c r="A20176" i="4"/>
  <c r="A20175" i="4"/>
  <c r="A17075" i="4"/>
  <c r="A17074" i="4"/>
  <c r="A17073" i="4"/>
  <c r="A17072" i="4"/>
  <c r="A17071" i="4"/>
  <c r="A17070" i="4"/>
  <c r="A17069" i="4"/>
  <c r="A17068" i="4"/>
  <c r="A7251" i="4"/>
  <c r="A7250" i="4"/>
  <c r="A7249" i="4"/>
  <c r="A26366" i="4"/>
  <c r="A26365" i="4"/>
  <c r="A7248" i="4"/>
  <c r="A26364" i="4"/>
  <c r="A17067" i="4"/>
  <c r="A17066" i="4"/>
  <c r="A26363" i="4"/>
  <c r="A1614" i="4"/>
  <c r="A26362" i="4"/>
  <c r="A20174" i="4"/>
  <c r="A17065" i="4"/>
  <c r="A26361" i="4"/>
  <c r="A26360" i="4"/>
  <c r="A26359" i="4"/>
  <c r="A26358" i="4"/>
  <c r="A26357" i="4"/>
  <c r="A26356" i="4"/>
  <c r="A26355" i="4"/>
  <c r="A26354" i="4"/>
  <c r="A26353" i="4"/>
  <c r="A26352" i="4"/>
  <c r="A26351" i="4"/>
  <c r="A26350" i="4"/>
  <c r="A26349" i="4"/>
  <c r="A26348" i="4"/>
  <c r="A26347" i="4"/>
  <c r="A26346" i="4"/>
  <c r="A26345" i="4"/>
  <c r="A26344" i="4"/>
  <c r="A26343" i="4"/>
  <c r="A20173" i="4"/>
  <c r="A20172" i="4"/>
  <c r="A20171" i="4"/>
  <c r="A1613" i="4"/>
  <c r="A7247" i="4"/>
  <c r="A8332" i="4"/>
  <c r="A20170" i="4"/>
  <c r="A15339" i="4"/>
  <c r="A15338" i="4"/>
  <c r="A7246" i="4"/>
  <c r="A1913" i="4"/>
  <c r="A9363" i="4"/>
  <c r="A26342" i="4"/>
  <c r="A1612" i="4"/>
  <c r="A26341" i="4"/>
  <c r="A1611" i="4"/>
  <c r="A17064" i="4"/>
  <c r="A26340" i="4"/>
  <c r="A26339" i="4"/>
  <c r="A7245" i="4"/>
  <c r="A1610" i="4"/>
  <c r="A17416" i="4"/>
  <c r="A8267" i="4"/>
  <c r="A17415" i="4"/>
  <c r="A8446" i="4"/>
  <c r="A26338" i="4"/>
  <c r="A17063" i="4"/>
  <c r="A26337" i="4"/>
  <c r="A1912" i="4"/>
  <c r="A1911" i="4"/>
  <c r="A1910" i="4"/>
  <c r="A1909" i="4"/>
  <c r="A13313" i="4"/>
  <c r="A17414" i="4"/>
  <c r="A1609" i="4"/>
  <c r="A6186" i="4"/>
  <c r="A7244" i="4"/>
  <c r="A7243" i="4"/>
  <c r="A7242" i="4"/>
  <c r="A26336" i="4"/>
  <c r="A20169" i="4"/>
  <c r="A20168" i="4"/>
  <c r="A26335" i="4"/>
  <c r="A20167" i="4"/>
  <c r="A20166" i="4"/>
  <c r="A20165" i="4"/>
  <c r="A1608" i="4"/>
  <c r="A18032" i="4"/>
  <c r="A1908" i="4"/>
  <c r="A26334" i="4"/>
  <c r="A17413" i="4"/>
  <c r="A12861" i="4"/>
  <c r="A26333" i="4"/>
  <c r="A26332" i="4"/>
  <c r="A26331" i="4"/>
  <c r="A26330" i="4"/>
  <c r="A20646" i="4"/>
  <c r="A20645" i="4"/>
  <c r="A26329" i="4"/>
  <c r="A26328" i="4"/>
  <c r="A26327" i="4"/>
  <c r="A17062" i="4"/>
  <c r="A17061" i="4"/>
  <c r="A26326" i="4"/>
  <c r="A15337" i="4"/>
  <c r="A179" i="4"/>
  <c r="A26325" i="4"/>
  <c r="A26324" i="4"/>
  <c r="A17060" i="4"/>
  <c r="A17059" i="4"/>
  <c r="A17058" i="4"/>
  <c r="A17057" i="4"/>
  <c r="A26323" i="4"/>
  <c r="A17056" i="4"/>
  <c r="A17055" i="4"/>
  <c r="A26322" i="4"/>
  <c r="A20164" i="4"/>
  <c r="A26321" i="4"/>
  <c r="A20163" i="4"/>
  <c r="A20162" i="4"/>
  <c r="A20161" i="4"/>
  <c r="A8266" i="4"/>
  <c r="A486" i="4"/>
  <c r="A485" i="4"/>
  <c r="A8445" i="4"/>
  <c r="A8444" i="4"/>
  <c r="A17412" i="4"/>
  <c r="A17411" i="4"/>
  <c r="A15336" i="4"/>
  <c r="A26320" i="4"/>
  <c r="A484" i="4"/>
  <c r="A20160" i="4"/>
  <c r="A26319" i="4"/>
  <c r="A26318" i="4"/>
  <c r="A17054" i="4"/>
  <c r="A17053" i="4"/>
  <c r="A26317" i="4"/>
  <c r="A7241" i="4"/>
  <c r="A10797" i="4"/>
  <c r="A1607" i="4"/>
  <c r="A1606" i="4"/>
  <c r="A7240" i="4"/>
  <c r="A26316" i="4"/>
  <c r="A10796" i="4"/>
  <c r="A5103" i="4"/>
  <c r="A12940" i="4"/>
  <c r="A26315" i="4"/>
  <c r="A26314" i="4"/>
  <c r="A10795" i="4"/>
  <c r="A17052" i="4"/>
  <c r="A17051" i="4"/>
  <c r="A7239" i="4"/>
  <c r="A17050" i="4"/>
  <c r="A26313" i="4"/>
  <c r="A17049" i="4"/>
  <c r="A26312" i="4"/>
  <c r="A1605" i="4"/>
  <c r="A6475" i="4"/>
  <c r="A1604" i="4"/>
  <c r="A1603" i="4"/>
  <c r="A26311" i="4"/>
  <c r="A26310" i="4"/>
  <c r="A26309" i="4"/>
  <c r="A26308" i="4"/>
  <c r="A10794" i="4"/>
  <c r="A7238" i="4"/>
  <c r="A26307" i="4"/>
  <c r="A17048" i="4"/>
  <c r="A1602" i="4"/>
  <c r="A8265" i="4"/>
  <c r="A7237" i="4"/>
  <c r="A7236" i="4"/>
  <c r="A7235" i="4"/>
  <c r="A1601" i="4"/>
  <c r="A26306" i="4"/>
  <c r="A7234" i="4"/>
  <c r="A26305" i="4"/>
  <c r="A18031" i="4"/>
  <c r="A12733" i="4"/>
  <c r="A15335" i="4"/>
  <c r="A7233" i="4"/>
  <c r="A7232" i="4"/>
  <c r="A10793" i="4"/>
  <c r="A1600" i="4"/>
  <c r="A8264" i="4"/>
  <c r="A7231" i="4"/>
  <c r="A26304" i="4"/>
  <c r="A26303" i="4"/>
  <c r="A26302" i="4"/>
  <c r="A178" i="4"/>
  <c r="A177" i="4"/>
  <c r="A20159" i="4"/>
  <c r="A7230" i="4"/>
  <c r="A7229" i="4"/>
  <c r="A17047" i="4"/>
  <c r="A17046" i="4"/>
  <c r="A17045" i="4"/>
  <c r="A26301" i="4"/>
  <c r="A20158" i="4"/>
  <c r="A20157" i="4"/>
  <c r="A1599" i="4"/>
  <c r="A20644" i="4"/>
  <c r="A20643" i="4"/>
  <c r="A1598" i="4"/>
  <c r="A8263" i="4"/>
  <c r="A7228" i="4"/>
  <c r="A7227" i="4"/>
  <c r="A26300" i="4"/>
  <c r="A26299" i="4"/>
  <c r="A7226" i="4"/>
  <c r="A17410" i="4"/>
  <c r="A17409" i="4"/>
  <c r="A17408" i="4"/>
  <c r="A26298" i="4"/>
  <c r="A26297" i="4"/>
  <c r="A26296" i="4"/>
  <c r="A1597" i="4"/>
  <c r="A1596" i="4"/>
  <c r="A12732" i="4"/>
  <c r="A1595" i="4"/>
  <c r="A10792" i="4"/>
  <c r="A17044" i="4"/>
  <c r="A26295" i="4"/>
  <c r="A26294" i="4"/>
  <c r="A17043" i="4"/>
  <c r="A26293" i="4"/>
  <c r="A1594" i="4"/>
  <c r="A8262" i="4"/>
  <c r="A17407" i="4"/>
  <c r="A26292" i="4"/>
  <c r="A8261" i="4"/>
  <c r="A8260" i="4"/>
  <c r="A8259" i="4"/>
  <c r="A5102" i="4"/>
  <c r="A7225" i="4"/>
  <c r="A7224" i="4"/>
  <c r="A7223" i="4"/>
  <c r="A26291" i="4"/>
  <c r="A5101" i="4"/>
  <c r="A5100" i="4"/>
  <c r="A17042" i="4"/>
  <c r="A26290" i="4"/>
  <c r="A17237" i="4"/>
  <c r="A20156" i="4"/>
  <c r="A10791" i="4"/>
  <c r="A1593" i="4"/>
  <c r="A12939" i="4"/>
  <c r="A7222" i="4"/>
  <c r="A26289" i="4"/>
  <c r="A8820" i="4"/>
  <c r="A7221" i="4"/>
  <c r="A26288" i="4"/>
  <c r="A1592" i="4"/>
  <c r="A7220" i="4"/>
  <c r="A7219" i="4"/>
  <c r="A7218" i="4"/>
  <c r="A7217" i="4"/>
  <c r="A7216" i="4"/>
  <c r="A7215" i="4"/>
  <c r="A17041" i="4"/>
  <c r="A8258" i="4"/>
  <c r="A26287" i="4"/>
  <c r="A18100" i="4"/>
  <c r="A26286" i="4"/>
  <c r="A1591" i="4"/>
  <c r="A16493" i="4"/>
  <c r="A26285" i="4"/>
  <c r="A26284" i="4"/>
  <c r="A5099" i="4"/>
  <c r="A18099" i="4"/>
  <c r="A18098" i="4"/>
  <c r="A18097" i="4"/>
  <c r="A18096" i="4"/>
  <c r="A483" i="4"/>
  <c r="A26283" i="4"/>
  <c r="A26282" i="4"/>
  <c r="A26281" i="4"/>
  <c r="A26280" i="4"/>
  <c r="A26279" i="4"/>
  <c r="A26278" i="4"/>
  <c r="A26277" i="4"/>
  <c r="A10790" i="4"/>
  <c r="A26276" i="4"/>
  <c r="A7214" i="4"/>
  <c r="A26275" i="4"/>
  <c r="A7213" i="4"/>
  <c r="A7212" i="4"/>
  <c r="A7211" i="4"/>
  <c r="A20155" i="4"/>
  <c r="A26274" i="4"/>
  <c r="A20154" i="4"/>
  <c r="A20153" i="4"/>
  <c r="A20152" i="4"/>
  <c r="A20151" i="4"/>
  <c r="A20150" i="4"/>
  <c r="A20149" i="4"/>
  <c r="A26273" i="4"/>
  <c r="A5098" i="4"/>
  <c r="A26272" i="4"/>
  <c r="A5097" i="4"/>
  <c r="A12731" i="4"/>
  <c r="A10961" i="4"/>
  <c r="A26271" i="4"/>
  <c r="A20148" i="4"/>
  <c r="A1590" i="4"/>
  <c r="A6474" i="4"/>
  <c r="A1589" i="4"/>
  <c r="A15334" i="4"/>
  <c r="A20147" i="4"/>
  <c r="A17040" i="4"/>
  <c r="A7210" i="4"/>
  <c r="A17039" i="4"/>
  <c r="A26270" i="4"/>
  <c r="A26269" i="4"/>
  <c r="A26268" i="4"/>
  <c r="A26267" i="4"/>
  <c r="A26266" i="4"/>
  <c r="A26265" i="4"/>
  <c r="A17038" i="4"/>
  <c r="A26264" i="4"/>
  <c r="A17037" i="4"/>
  <c r="A17036" i="4"/>
  <c r="A17035" i="4"/>
  <c r="A26263" i="4"/>
  <c r="A17034" i="4"/>
  <c r="A17033" i="4"/>
  <c r="A26262" i="4"/>
  <c r="A17032" i="4"/>
  <c r="A17031" i="4"/>
  <c r="A26261" i="4"/>
  <c r="A26260" i="4"/>
  <c r="A1588" i="4"/>
  <c r="A1587" i="4"/>
  <c r="A1586" i="4"/>
  <c r="A7209" i="4"/>
  <c r="A26259" i="4"/>
  <c r="A18030" i="4"/>
  <c r="A7208" i="4"/>
  <c r="A1585" i="4"/>
  <c r="A1584" i="4"/>
  <c r="A8257" i="4"/>
  <c r="A12730" i="4"/>
  <c r="A8256" i="4"/>
  <c r="A26258" i="4"/>
  <c r="A26257" i="4"/>
  <c r="A12860" i="4"/>
  <c r="A12859" i="4"/>
  <c r="A1583" i="4"/>
  <c r="A7207" i="4"/>
  <c r="A26256" i="4"/>
  <c r="A1582" i="4"/>
  <c r="A26255" i="4"/>
  <c r="A8404" i="4"/>
  <c r="A26254" i="4"/>
  <c r="A7206" i="4"/>
  <c r="A7205" i="4"/>
  <c r="A6473" i="4"/>
  <c r="A7204" i="4"/>
  <c r="A7203" i="4"/>
  <c r="A7202" i="4"/>
  <c r="A7201" i="4"/>
  <c r="A8255" i="4"/>
  <c r="A1687" i="4"/>
  <c r="A26253" i="4"/>
  <c r="A26252" i="4"/>
  <c r="A17030" i="4"/>
  <c r="A17029" i="4"/>
  <c r="A17028" i="4"/>
  <c r="A17027" i="4"/>
  <c r="A26251" i="4"/>
  <c r="A20146" i="4"/>
  <c r="A20145" i="4"/>
  <c r="A20144" i="4"/>
  <c r="A20143" i="4"/>
  <c r="A20142" i="4"/>
  <c r="A15333" i="4"/>
  <c r="A26250" i="4"/>
  <c r="A20141" i="4"/>
  <c r="A26249" i="4"/>
  <c r="A20140" i="4"/>
  <c r="A20139" i="4"/>
  <c r="A20138" i="4"/>
  <c r="A26248" i="4"/>
  <c r="A20137" i="4"/>
  <c r="A20136" i="4"/>
  <c r="A20135" i="4"/>
  <c r="A26247" i="4"/>
  <c r="A20134" i="4"/>
  <c r="A20133" i="4"/>
  <c r="A20132" i="4"/>
  <c r="A20131" i="4"/>
  <c r="A20130" i="4"/>
  <c r="A1581" i="4"/>
  <c r="A1580" i="4"/>
  <c r="A12938" i="4"/>
  <c r="A26246" i="4"/>
  <c r="A26245" i="4"/>
  <c r="A12937" i="4"/>
  <c r="A20129" i="4"/>
  <c r="A20128" i="4"/>
  <c r="A17026" i="4"/>
  <c r="A17025" i="4"/>
  <c r="A17024" i="4"/>
  <c r="A17023" i="4"/>
  <c r="A17022" i="4"/>
  <c r="A8254" i="4"/>
  <c r="A1579" i="4"/>
  <c r="A17021" i="4"/>
  <c r="A17020" i="4"/>
  <c r="A17019" i="4"/>
  <c r="A1578" i="4"/>
  <c r="A20127" i="4"/>
  <c r="A17406" i="4"/>
  <c r="A5096" i="4"/>
  <c r="A5095" i="4"/>
  <c r="A26244" i="4"/>
  <c r="A17405" i="4"/>
  <c r="A17404" i="4"/>
  <c r="A5094" i="4"/>
  <c r="A17403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26243" i="4"/>
  <c r="A20126" i="4"/>
  <c r="A7200" i="4"/>
  <c r="A7199" i="4"/>
  <c r="A12729" i="4"/>
  <c r="A20125" i="4"/>
  <c r="A20124" i="4"/>
  <c r="A20123" i="4"/>
  <c r="A20122" i="4"/>
  <c r="A20121" i="4"/>
  <c r="A20120" i="4"/>
  <c r="A20119" i="4"/>
  <c r="A20118" i="4"/>
  <c r="A20117" i="4"/>
  <c r="A20116" i="4"/>
  <c r="A8253" i="4"/>
  <c r="A176" i="4"/>
  <c r="A175" i="4"/>
  <c r="A1907" i="4"/>
  <c r="A8252" i="4"/>
  <c r="A1577" i="4"/>
  <c r="A7198" i="4"/>
  <c r="A7197" i="4"/>
  <c r="A7196" i="4"/>
  <c r="A8819" i="4"/>
  <c r="A26242" i="4"/>
  <c r="A8251" i="4"/>
  <c r="A1576" i="4"/>
  <c r="A26241" i="4"/>
  <c r="A20115" i="4"/>
  <c r="A20114" i="4"/>
  <c r="A20113" i="4"/>
  <c r="A20112" i="4"/>
  <c r="A26240" i="4"/>
  <c r="A20111" i="4"/>
  <c r="A20110" i="4"/>
  <c r="A20109" i="4"/>
  <c r="A8250" i="4"/>
  <c r="A26239" i="4"/>
  <c r="A17007" i="4"/>
  <c r="A26238" i="4"/>
  <c r="A17006" i="4"/>
  <c r="A17005" i="4"/>
  <c r="A17004" i="4"/>
  <c r="A17003" i="4"/>
  <c r="A17002" i="4"/>
  <c r="A17001" i="4"/>
  <c r="A8249" i="4"/>
  <c r="A26237" i="4"/>
  <c r="A8248" i="4"/>
  <c r="A7195" i="4"/>
  <c r="A7194" i="4"/>
  <c r="A15572" i="4"/>
  <c r="A12728" i="4"/>
  <c r="A1575" i="4"/>
  <c r="A1574" i="4"/>
  <c r="A8247" i="4"/>
  <c r="A26236" i="4"/>
  <c r="A12727" i="4"/>
  <c r="A26235" i="4"/>
  <c r="A17000" i="4"/>
  <c r="A16999" i="4"/>
  <c r="A26234" i="4"/>
  <c r="A16998" i="4"/>
  <c r="A16997" i="4"/>
  <c r="A16996" i="4"/>
  <c r="A16995" i="4"/>
  <c r="A16994" i="4"/>
  <c r="A16993" i="4"/>
  <c r="A16992" i="4"/>
  <c r="A20108" i="4"/>
  <c r="A26233" i="4"/>
  <c r="A7193" i="4"/>
  <c r="A7192" i="4"/>
  <c r="A8246" i="4"/>
  <c r="A20107" i="4"/>
  <c r="A1573" i="4"/>
  <c r="A26232" i="4"/>
  <c r="A26231" i="4"/>
  <c r="A7191" i="4"/>
  <c r="A26230" i="4"/>
  <c r="A26229" i="4"/>
  <c r="A26228" i="4"/>
  <c r="A12936" i="4"/>
  <c r="A12935" i="4"/>
  <c r="A12934" i="4"/>
  <c r="A16991" i="4"/>
  <c r="A16990" i="4"/>
  <c r="A16989" i="4"/>
  <c r="A16988" i="4"/>
  <c r="A26227" i="4"/>
  <c r="A16987" i="4"/>
  <c r="A26226" i="4"/>
  <c r="A26225" i="4"/>
  <c r="A26224" i="4"/>
  <c r="A15332" i="4"/>
  <c r="A18029" i="4"/>
  <c r="A15331" i="4"/>
  <c r="A7190" i="4"/>
  <c r="A26223" i="4"/>
  <c r="A7189" i="4"/>
  <c r="A26222" i="4"/>
  <c r="A8818" i="4"/>
  <c r="A26221" i="4"/>
  <c r="A26220" i="4"/>
  <c r="A26219" i="4"/>
  <c r="A5093" i="4"/>
  <c r="A26218" i="4"/>
  <c r="A482" i="4"/>
  <c r="A7188" i="4"/>
  <c r="A8245" i="4"/>
  <c r="A8244" i="4"/>
  <c r="A13640" i="4"/>
  <c r="A13639" i="4"/>
  <c r="A26217" i="4"/>
  <c r="A16986" i="4"/>
  <c r="A16985" i="4"/>
  <c r="A26216" i="4"/>
  <c r="A17854" i="4"/>
  <c r="A26215" i="4"/>
  <c r="A20106" i="4"/>
  <c r="A20105" i="4"/>
  <c r="A26214" i="4"/>
  <c r="A26213" i="4"/>
  <c r="A20104" i="4"/>
  <c r="A20103" i="4"/>
  <c r="A10960" i="4"/>
  <c r="A5092" i="4"/>
  <c r="A5091" i="4"/>
  <c r="A5090" i="4"/>
  <c r="A8243" i="4"/>
  <c r="A1572" i="4"/>
  <c r="A26212" i="4"/>
  <c r="A26211" i="4"/>
  <c r="A26210" i="4"/>
  <c r="A7187" i="4"/>
  <c r="A5089" i="4"/>
  <c r="A12858" i="4"/>
  <c r="A1571" i="4"/>
  <c r="A1570" i="4"/>
  <c r="A1569" i="4"/>
  <c r="A7186" i="4"/>
  <c r="A16984" i="4"/>
  <c r="A16983" i="4"/>
  <c r="A16982" i="4"/>
  <c r="A16981" i="4"/>
  <c r="A26209" i="4"/>
  <c r="A16980" i="4"/>
  <c r="A5088" i="4"/>
  <c r="A26208" i="4"/>
  <c r="A7185" i="4"/>
  <c r="A20102" i="4"/>
  <c r="A20101" i="4"/>
  <c r="A481" i="4"/>
  <c r="A12224" i="4"/>
  <c r="A20706" i="4"/>
  <c r="A7184" i="4"/>
  <c r="A7183" i="4"/>
  <c r="A12223" i="4"/>
  <c r="A12222" i="4"/>
  <c r="A9362" i="4"/>
  <c r="A17402" i="4"/>
  <c r="A26207" i="4"/>
  <c r="A10789" i="4"/>
  <c r="A26206" i="4"/>
  <c r="A26205" i="4"/>
  <c r="A17401" i="4"/>
  <c r="A5087" i="4"/>
  <c r="A7182" i="4"/>
  <c r="A5086" i="4"/>
  <c r="A15330" i="4"/>
  <c r="A480" i="4"/>
  <c r="A26204" i="4"/>
  <c r="A5085" i="4"/>
  <c r="A26203" i="4"/>
  <c r="A20100" i="4"/>
  <c r="A20099" i="4"/>
  <c r="A20098" i="4"/>
  <c r="A20097" i="4"/>
  <c r="A20096" i="4"/>
  <c r="A20095" i="4"/>
  <c r="A5084" i="4"/>
  <c r="A26202" i="4"/>
  <c r="A7181" i="4"/>
  <c r="A10788" i="4"/>
  <c r="A26201" i="4"/>
  <c r="A26200" i="4"/>
  <c r="A26199" i="4"/>
  <c r="A7180" i="4"/>
  <c r="A17400" i="4"/>
  <c r="A17399" i="4"/>
  <c r="A17398" i="4"/>
  <c r="A26198" i="4"/>
  <c r="A15329" i="4"/>
  <c r="A15328" i="4"/>
  <c r="A15327" i="4"/>
  <c r="A1568" i="4"/>
  <c r="A8242" i="4"/>
  <c r="A1885" i="4"/>
  <c r="A8241" i="4"/>
  <c r="A8240" i="4"/>
  <c r="A8239" i="4"/>
  <c r="A8238" i="4"/>
  <c r="A5083" i="4"/>
  <c r="A15326" i="4"/>
  <c r="A5082" i="4"/>
  <c r="A26197" i="4"/>
  <c r="A7179" i="4"/>
  <c r="A9361" i="4"/>
  <c r="A26196" i="4"/>
  <c r="A12726" i="4"/>
  <c r="A12221" i="4"/>
  <c r="A7178" i="4"/>
  <c r="A18028" i="4"/>
  <c r="A15325" i="4"/>
  <c r="A5081" i="4"/>
  <c r="A7177" i="4"/>
  <c r="A7176" i="4"/>
  <c r="A26195" i="4"/>
  <c r="A8237" i="4"/>
  <c r="A1567" i="4"/>
  <c r="A15324" i="4"/>
  <c r="A1566" i="4"/>
  <c r="A7175" i="4"/>
  <c r="A8236" i="4"/>
  <c r="A5080" i="4"/>
  <c r="A5079" i="4"/>
  <c r="A8235" i="4"/>
  <c r="A6185" i="4"/>
  <c r="A26194" i="4"/>
  <c r="A26193" i="4"/>
  <c r="A12725" i="4"/>
  <c r="A1565" i="4"/>
  <c r="A8234" i="4"/>
  <c r="A5078" i="4"/>
  <c r="A7174" i="4"/>
  <c r="A7173" i="4"/>
  <c r="A7172" i="4"/>
  <c r="A20094" i="4"/>
  <c r="A7171" i="4"/>
  <c r="A7170" i="4"/>
  <c r="A7169" i="4"/>
  <c r="A7168" i="4"/>
  <c r="A26192" i="4"/>
  <c r="A8233" i="4"/>
  <c r="A26191" i="4"/>
  <c r="A26190" i="4"/>
  <c r="A5077" i="4"/>
  <c r="A1564" i="4"/>
  <c r="A26189" i="4"/>
  <c r="A17397" i="4"/>
  <c r="A26188" i="4"/>
  <c r="A1563" i="4"/>
  <c r="A7167" i="4"/>
  <c r="A26187" i="4"/>
  <c r="A5358" i="4"/>
  <c r="A5357" i="4"/>
  <c r="A5076" i="4"/>
  <c r="A26186" i="4"/>
  <c r="A1562" i="4"/>
  <c r="A7166" i="4"/>
  <c r="A7165" i="4"/>
  <c r="A1561" i="4"/>
  <c r="A479" i="4"/>
  <c r="A26185" i="4"/>
  <c r="A12857" i="4"/>
  <c r="A12856" i="4"/>
  <c r="A26184" i="4"/>
  <c r="A26183" i="4"/>
  <c r="A20093" i="4"/>
  <c r="A1560" i="4"/>
  <c r="A17396" i="4"/>
  <c r="A7164" i="4"/>
  <c r="A7163" i="4"/>
  <c r="A20092" i="4"/>
  <c r="A26182" i="4"/>
  <c r="A8232" i="4"/>
  <c r="A478" i="4"/>
  <c r="A20642" i="4"/>
  <c r="A26181" i="4"/>
  <c r="A5075" i="4"/>
  <c r="A20091" i="4"/>
  <c r="A1559" i="4"/>
  <c r="A1558" i="4"/>
  <c r="A1557" i="4"/>
  <c r="A13638" i="4"/>
  <c r="A13637" i="4"/>
  <c r="A13636" i="4"/>
  <c r="A13635" i="4"/>
  <c r="A20090" i="4"/>
  <c r="A20089" i="4"/>
  <c r="A26180" i="4"/>
  <c r="A8231" i="4"/>
  <c r="A26179" i="4"/>
  <c r="A17395" i="4"/>
  <c r="A26178" i="4"/>
  <c r="A7162" i="4"/>
  <c r="A18027" i="4"/>
  <c r="A17394" i="4"/>
  <c r="A1556" i="4"/>
  <c r="A7161" i="4"/>
  <c r="A7160" i="4"/>
  <c r="A7159" i="4"/>
  <c r="A7158" i="4"/>
  <c r="A7157" i="4"/>
  <c r="A7156" i="4"/>
  <c r="A7155" i="4"/>
  <c r="A8230" i="4"/>
  <c r="A8229" i="4"/>
  <c r="A8228" i="4"/>
  <c r="A16492" i="4"/>
  <c r="A16491" i="4"/>
  <c r="A26177" i="4"/>
  <c r="A7154" i="4"/>
  <c r="A7153" i="4"/>
  <c r="A26176" i="4"/>
  <c r="A26175" i="4"/>
  <c r="A5074" i="4"/>
  <c r="A5073" i="4"/>
  <c r="A26174" i="4"/>
  <c r="A7152" i="4"/>
  <c r="A26173" i="4"/>
  <c r="A16979" i="4"/>
  <c r="A16978" i="4"/>
  <c r="A26172" i="4"/>
  <c r="A1555" i="4"/>
  <c r="A18095" i="4"/>
  <c r="A1554" i="4"/>
  <c r="A20088" i="4"/>
  <c r="A12220" i="4"/>
  <c r="A26171" i="4"/>
  <c r="A26170" i="4"/>
  <c r="A12855" i="4"/>
  <c r="A12854" i="4"/>
  <c r="A26169" i="4"/>
  <c r="A7151" i="4"/>
  <c r="A7150" i="4"/>
  <c r="A26168" i="4"/>
  <c r="A5072" i="4"/>
  <c r="A9360" i="4"/>
  <c r="A8310" i="4"/>
  <c r="A1884" i="4"/>
  <c r="A26167" i="4"/>
  <c r="A26166" i="4"/>
  <c r="A26165" i="4"/>
  <c r="A12933" i="4"/>
  <c r="A5071" i="4"/>
  <c r="A26164" i="4"/>
  <c r="A26163" i="4"/>
  <c r="A12932" i="4"/>
  <c r="A1553" i="4"/>
  <c r="A15323" i="4"/>
  <c r="A26162" i="4"/>
  <c r="A1552" i="4"/>
  <c r="A1883" i="4"/>
  <c r="A16977" i="4"/>
  <c r="A10959" i="4"/>
  <c r="A26161" i="4"/>
  <c r="A26160" i="4"/>
  <c r="A7149" i="4"/>
  <c r="A8227" i="4"/>
  <c r="A8226" i="4"/>
  <c r="A26159" i="4"/>
  <c r="A12948" i="4"/>
  <c r="A26158" i="4"/>
  <c r="A26157" i="4"/>
  <c r="A12219" i="4"/>
  <c r="A13634" i="4"/>
  <c r="A18094" i="4"/>
  <c r="A26156" i="4"/>
  <c r="A26155" i="4"/>
  <c r="A26154" i="4"/>
  <c r="A26153" i="4"/>
  <c r="A12724" i="4"/>
  <c r="A7148" i="4"/>
  <c r="A26152" i="4"/>
  <c r="A8225" i="4"/>
  <c r="A7147" i="4"/>
  <c r="A26151" i="4"/>
  <c r="A26150" i="4"/>
  <c r="A26149" i="4"/>
  <c r="A26148" i="4"/>
  <c r="A26147" i="4"/>
  <c r="A10787" i="4"/>
  <c r="A7146" i="4"/>
  <c r="A7145" i="4"/>
  <c r="A26146" i="4"/>
  <c r="A7144" i="4"/>
  <c r="A20087" i="4"/>
  <c r="A5070" i="4"/>
  <c r="A12931" i="4"/>
  <c r="A20086" i="4"/>
  <c r="A20085" i="4"/>
  <c r="A20084" i="4"/>
  <c r="A20083" i="4"/>
  <c r="A1551" i="4"/>
  <c r="A7143" i="4"/>
  <c r="A7142" i="4"/>
  <c r="A7141" i="4"/>
  <c r="A1550" i="4"/>
  <c r="A20705" i="4"/>
  <c r="A5069" i="4"/>
  <c r="A26145" i="4"/>
  <c r="A26144" i="4"/>
  <c r="A1549" i="4"/>
  <c r="A1548" i="4"/>
  <c r="A1547" i="4"/>
  <c r="A18093" i="4"/>
  <c r="A8224" i="4"/>
  <c r="A8223" i="4"/>
  <c r="A8222" i="4"/>
  <c r="A1546" i="4"/>
  <c r="A20082" i="4"/>
  <c r="A20081" i="4"/>
  <c r="A20080" i="4"/>
  <c r="A26143" i="4"/>
  <c r="A8221" i="4"/>
  <c r="A20079" i="4"/>
  <c r="A20078" i="4"/>
  <c r="A20077" i="4"/>
  <c r="A20076" i="4"/>
  <c r="A20075" i="4"/>
  <c r="A20074" i="4"/>
  <c r="A20073" i="4"/>
  <c r="A26142" i="4"/>
  <c r="A20072" i="4"/>
  <c r="A20071" i="4"/>
  <c r="A20070" i="4"/>
  <c r="A20069" i="4"/>
  <c r="A20068" i="4"/>
  <c r="A20067" i="4"/>
  <c r="A20066" i="4"/>
  <c r="A20065" i="4"/>
  <c r="A26141" i="4"/>
  <c r="A20064" i="4"/>
  <c r="A18026" i="4"/>
  <c r="A8817" i="4"/>
  <c r="A26140" i="4"/>
  <c r="A8220" i="4"/>
  <c r="A7140" i="4"/>
  <c r="A26139" i="4"/>
  <c r="A13582" i="4"/>
  <c r="A12723" i="4"/>
  <c r="A8219" i="4"/>
  <c r="A8218" i="4"/>
  <c r="A26138" i="4"/>
  <c r="A26137" i="4"/>
  <c r="A26136" i="4"/>
  <c r="A26135" i="4"/>
  <c r="A26134" i="4"/>
  <c r="A26133" i="4"/>
  <c r="A26132" i="4"/>
  <c r="A12930" i="4"/>
  <c r="A1545" i="4"/>
  <c r="A8443" i="4"/>
  <c r="A8442" i="4"/>
  <c r="A12853" i="4"/>
  <c r="A26131" i="4"/>
  <c r="A26130" i="4"/>
  <c r="A10786" i="4"/>
  <c r="A26129" i="4"/>
  <c r="A26128" i="4"/>
  <c r="A1544" i="4"/>
  <c r="A1543" i="4"/>
  <c r="A26127" i="4"/>
  <c r="A477" i="4"/>
  <c r="A1542" i="4"/>
  <c r="A26126" i="4"/>
  <c r="A1882" i="4"/>
  <c r="A7139" i="4"/>
  <c r="A7138" i="4"/>
  <c r="A20063" i="4"/>
  <c r="A1541" i="4"/>
  <c r="A5068" i="4"/>
  <c r="A26125" i="4"/>
  <c r="A7137" i="4"/>
  <c r="A26124" i="4"/>
  <c r="A6472" i="4"/>
  <c r="A26123" i="4"/>
  <c r="A8217" i="4"/>
  <c r="A1540" i="4"/>
  <c r="A26122" i="4"/>
  <c r="A20062" i="4"/>
  <c r="A20061" i="4"/>
  <c r="A20060" i="4"/>
  <c r="A20059" i="4"/>
  <c r="A20058" i="4"/>
  <c r="A20057" i="4"/>
  <c r="A26121" i="4"/>
  <c r="A20056" i="4"/>
  <c r="A20055" i="4"/>
  <c r="A20054" i="4"/>
  <c r="A20053" i="4"/>
  <c r="A26120" i="4"/>
  <c r="A20052" i="4"/>
  <c r="A20051" i="4"/>
  <c r="A20050" i="4"/>
  <c r="A20049" i="4"/>
  <c r="A20048" i="4"/>
  <c r="A7136" i="4"/>
  <c r="A26119" i="4"/>
  <c r="A15322" i="4"/>
  <c r="A7135" i="4"/>
  <c r="A26118" i="4"/>
  <c r="A12929" i="4"/>
  <c r="A476" i="4"/>
  <c r="A26117" i="4"/>
  <c r="A8216" i="4"/>
  <c r="A7134" i="4"/>
  <c r="A9359" i="4"/>
  <c r="A26116" i="4"/>
  <c r="A26115" i="4"/>
  <c r="A12218" i="4"/>
  <c r="A12217" i="4"/>
  <c r="A20047" i="4"/>
  <c r="A20046" i="4"/>
  <c r="A8215" i="4"/>
  <c r="A26114" i="4"/>
  <c r="A26113" i="4"/>
  <c r="A12722" i="4"/>
  <c r="A7133" i="4"/>
  <c r="A26112" i="4"/>
  <c r="A15321" i="4"/>
  <c r="A17393" i="4"/>
  <c r="A7132" i="4"/>
  <c r="A7131" i="4"/>
  <c r="A17392" i="4"/>
  <c r="A17391" i="4"/>
  <c r="A7130" i="4"/>
  <c r="A26111" i="4"/>
  <c r="A6471" i="4"/>
  <c r="A26110" i="4"/>
  <c r="A12928" i="4"/>
  <c r="A9358" i="4"/>
  <c r="A1539" i="4"/>
  <c r="A26109" i="4"/>
  <c r="A7129" i="4"/>
  <c r="A20045" i="4"/>
  <c r="A20044" i="4"/>
  <c r="A20043" i="4"/>
  <c r="A26108" i="4"/>
  <c r="A26107" i="4"/>
  <c r="A20042" i="4"/>
  <c r="A20041" i="4"/>
  <c r="A20040" i="4"/>
  <c r="A26106" i="4"/>
  <c r="A20039" i="4"/>
  <c r="A20038" i="4"/>
  <c r="A26105" i="4"/>
  <c r="A20037" i="4"/>
  <c r="A20036" i="4"/>
  <c r="A26104" i="4"/>
  <c r="A26103" i="4"/>
  <c r="A7128" i="4"/>
  <c r="A7127" i="4"/>
  <c r="A7126" i="4"/>
  <c r="A6470" i="4"/>
  <c r="A16976" i="4"/>
  <c r="A5067" i="4"/>
  <c r="A7125" i="4"/>
  <c r="A1538" i="4"/>
  <c r="A26102" i="4"/>
  <c r="A26101" i="4"/>
  <c r="A26100" i="4"/>
  <c r="A8214" i="4"/>
  <c r="A26099" i="4"/>
  <c r="A7124" i="4"/>
  <c r="A1537" i="4"/>
  <c r="A5066" i="4"/>
  <c r="A5065" i="4"/>
  <c r="A1536" i="4"/>
  <c r="A26098" i="4"/>
  <c r="A5064" i="4"/>
  <c r="A7123" i="4"/>
  <c r="A26097" i="4"/>
  <c r="A20641" i="4"/>
  <c r="A20640" i="4"/>
  <c r="A8213" i="4"/>
  <c r="A1535" i="4"/>
  <c r="A1534" i="4"/>
  <c r="A12721" i="4"/>
  <c r="A26096" i="4"/>
  <c r="A7122" i="4"/>
  <c r="A20035" i="4"/>
  <c r="A20034" i="4"/>
  <c r="A20033" i="4"/>
  <c r="A17390" i="4"/>
  <c r="A7121" i="4"/>
  <c r="A18025" i="4"/>
  <c r="A18024" i="4"/>
  <c r="A5063" i="4"/>
  <c r="A8212" i="4"/>
  <c r="A8211" i="4"/>
  <c r="A8210" i="4"/>
  <c r="A8209" i="4"/>
  <c r="A6469" i="4"/>
  <c r="A26095" i="4"/>
  <c r="A16975" i="4"/>
  <c r="A16974" i="4"/>
  <c r="A16973" i="4"/>
  <c r="A1533" i="4"/>
  <c r="A9357" i="4"/>
  <c r="A9356" i="4"/>
  <c r="A7120" i="4"/>
  <c r="A7119" i="4"/>
  <c r="A9355" i="4"/>
  <c r="A26094" i="4"/>
  <c r="A9354" i="4"/>
  <c r="A26093" i="4"/>
  <c r="A8208" i="4"/>
  <c r="A7118" i="4"/>
  <c r="A7117" i="4"/>
  <c r="A1532" i="4"/>
  <c r="A26092" i="4"/>
  <c r="A7116" i="4"/>
  <c r="A7115" i="4"/>
  <c r="A8207" i="4"/>
  <c r="A26091" i="4"/>
  <c r="A26090" i="4"/>
  <c r="A26089" i="4"/>
  <c r="A7114" i="4"/>
  <c r="A6468" i="4"/>
  <c r="A20032" i="4"/>
  <c r="A20031" i="4"/>
  <c r="A26088" i="4"/>
  <c r="A7113" i="4"/>
  <c r="A7112" i="4"/>
  <c r="A6635" i="4"/>
  <c r="A17389" i="4"/>
  <c r="A20030" i="4"/>
  <c r="A20029" i="4"/>
  <c r="A20028" i="4"/>
  <c r="A20027" i="4"/>
  <c r="A20026" i="4"/>
  <c r="A20025" i="4"/>
  <c r="A18023" i="4"/>
  <c r="A17388" i="4"/>
  <c r="A5062" i="4"/>
  <c r="A26087" i="4"/>
  <c r="A26086" i="4"/>
  <c r="A17387" i="4"/>
  <c r="A17386" i="4"/>
  <c r="A17385" i="4"/>
  <c r="A8206" i="4"/>
  <c r="A5061" i="4"/>
  <c r="A26085" i="4"/>
  <c r="A6467" i="4"/>
  <c r="A1531" i="4"/>
  <c r="A8205" i="4"/>
  <c r="A26084" i="4"/>
  <c r="A1530" i="4"/>
  <c r="A12720" i="4"/>
  <c r="A7111" i="4"/>
  <c r="A1529" i="4"/>
  <c r="A1528" i="4"/>
  <c r="A1527" i="4"/>
  <c r="A17384" i="4"/>
  <c r="A20024" i="4"/>
  <c r="A9353" i="4"/>
  <c r="A12719" i="4"/>
  <c r="A20023" i="4"/>
  <c r="A26083" i="4"/>
  <c r="A20022" i="4"/>
  <c r="A20021" i="4"/>
  <c r="A26082" i="4"/>
  <c r="A20020" i="4"/>
  <c r="A20019" i="4"/>
  <c r="A5060" i="4"/>
  <c r="A26081" i="4"/>
  <c r="A8204" i="4"/>
  <c r="A1526" i="4"/>
  <c r="A1525" i="4"/>
  <c r="A8403" i="4"/>
  <c r="A20704" i="4"/>
  <c r="A8309" i="4"/>
  <c r="A15320" i="4"/>
  <c r="A15319" i="4"/>
  <c r="A20018" i="4"/>
  <c r="A8203" i="4"/>
  <c r="A26080" i="4"/>
  <c r="A26079" i="4"/>
  <c r="A26078" i="4"/>
  <c r="A6466" i="4"/>
  <c r="A6465" i="4"/>
  <c r="A1524" i="4"/>
  <c r="A26077" i="4"/>
  <c r="A26076" i="4"/>
  <c r="A7110" i="4"/>
  <c r="A9352" i="4"/>
  <c r="A9351" i="4"/>
  <c r="A8308" i="4"/>
  <c r="A1523" i="4"/>
  <c r="A8331" i="4"/>
  <c r="A20639" i="4"/>
  <c r="A26075" i="4"/>
  <c r="A16972" i="4"/>
  <c r="A16971" i="4"/>
  <c r="A7109" i="4"/>
  <c r="A18092" i="4"/>
  <c r="A6464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475" i="4"/>
  <c r="A20003" i="4"/>
  <c r="A26074" i="4"/>
  <c r="A20002" i="4"/>
  <c r="A26073" i="4"/>
  <c r="A16970" i="4"/>
  <c r="A7108" i="4"/>
  <c r="A8816" i="4"/>
  <c r="A15318" i="4"/>
  <c r="A26072" i="4"/>
  <c r="A16969" i="4"/>
  <c r="A26071" i="4"/>
  <c r="A16968" i="4"/>
  <c r="A16967" i="4"/>
  <c r="A26070" i="4"/>
  <c r="A16966" i="4"/>
  <c r="A5059" i="4"/>
  <c r="A7107" i="4"/>
  <c r="A7106" i="4"/>
  <c r="A1522" i="4"/>
  <c r="A7105" i="4"/>
  <c r="A26069" i="4"/>
  <c r="A26068" i="4"/>
  <c r="A12852" i="4"/>
  <c r="A5058" i="4"/>
  <c r="A20001" i="4"/>
  <c r="A20000" i="4"/>
  <c r="A19999" i="4"/>
  <c r="A26067" i="4"/>
  <c r="A1521" i="4"/>
  <c r="A12927" i="4"/>
  <c r="A26066" i="4"/>
  <c r="A474" i="4"/>
  <c r="A5057" i="4"/>
  <c r="A19998" i="4"/>
  <c r="A473" i="4"/>
  <c r="A1520" i="4"/>
  <c r="A19997" i="4"/>
  <c r="A19996" i="4"/>
  <c r="A26065" i="4"/>
  <c r="A26064" i="4"/>
  <c r="A7104" i="4"/>
  <c r="A8202" i="4"/>
  <c r="A8201" i="4"/>
  <c r="A1519" i="4"/>
  <c r="A26063" i="4"/>
  <c r="A7103" i="4"/>
  <c r="A16965" i="4"/>
  <c r="A16964" i="4"/>
  <c r="A5056" i="4"/>
  <c r="A5055" i="4"/>
  <c r="A5054" i="4"/>
  <c r="A26062" i="4"/>
  <c r="A26061" i="4"/>
  <c r="A26060" i="4"/>
  <c r="A26059" i="4"/>
  <c r="A26058" i="4"/>
  <c r="A26057" i="4"/>
  <c r="A26056" i="4"/>
  <c r="A26055" i="4"/>
  <c r="A26054" i="4"/>
  <c r="A26053" i="4"/>
  <c r="A26052" i="4"/>
  <c r="A26051" i="4"/>
  <c r="A26050" i="4"/>
  <c r="A26049" i="4"/>
  <c r="A26048" i="4"/>
  <c r="A26047" i="4"/>
  <c r="A26046" i="4"/>
  <c r="A26045" i="4"/>
  <c r="A26044" i="4"/>
  <c r="A26043" i="4"/>
  <c r="A26042" i="4"/>
  <c r="A26041" i="4"/>
  <c r="A26040" i="4"/>
  <c r="A26039" i="4"/>
  <c r="A26038" i="4"/>
  <c r="A26037" i="4"/>
  <c r="A26036" i="4"/>
  <c r="A26035" i="4"/>
  <c r="A19995" i="4"/>
  <c r="A26034" i="4"/>
  <c r="A26033" i="4"/>
  <c r="A26032" i="4"/>
  <c r="A26031" i="4"/>
  <c r="A26030" i="4"/>
  <c r="A26029" i="4"/>
  <c r="A26028" i="4"/>
  <c r="A26027" i="4"/>
  <c r="A26026" i="4"/>
  <c r="A26025" i="4"/>
  <c r="A26024" i="4"/>
  <c r="A26023" i="4"/>
  <c r="A8200" i="4"/>
  <c r="A26022" i="4"/>
  <c r="A8199" i="4"/>
  <c r="A8198" i="4"/>
  <c r="A8197" i="4"/>
  <c r="A8196" i="4"/>
  <c r="A1518" i="4"/>
  <c r="A5053" i="4"/>
  <c r="A7102" i="4"/>
  <c r="A8402" i="4"/>
  <c r="A8401" i="4"/>
  <c r="A26021" i="4"/>
  <c r="A1517" i="4"/>
  <c r="A8815" i="4"/>
  <c r="A5052" i="4"/>
  <c r="A19994" i="4"/>
  <c r="A15317" i="4"/>
  <c r="A19993" i="4"/>
  <c r="A26020" i="4"/>
  <c r="A26019" i="4"/>
  <c r="A15316" i="4"/>
  <c r="A15315" i="4"/>
  <c r="A7101" i="4"/>
  <c r="A1881" i="4"/>
  <c r="A8814" i="4"/>
  <c r="A26018" i="4"/>
  <c r="A12216" i="4"/>
  <c r="A5051" i="4"/>
  <c r="A7100" i="4"/>
  <c r="A10958" i="4"/>
  <c r="A10957" i="4"/>
  <c r="A5050" i="4"/>
  <c r="A7099" i="4"/>
  <c r="A26017" i="4"/>
  <c r="A1516" i="4"/>
  <c r="A1515" i="4"/>
  <c r="A7098" i="4"/>
  <c r="A26016" i="4"/>
  <c r="A26015" i="4"/>
  <c r="A12926" i="4"/>
  <c r="A8195" i="4"/>
  <c r="A8194" i="4"/>
  <c r="A19992" i="4"/>
  <c r="A19991" i="4"/>
  <c r="A19990" i="4"/>
  <c r="A19989" i="4"/>
  <c r="A26014" i="4"/>
  <c r="A26013" i="4"/>
  <c r="A19988" i="4"/>
  <c r="A19987" i="4"/>
  <c r="A19986" i="4"/>
  <c r="A19985" i="4"/>
  <c r="A19984" i="4"/>
  <c r="A19983" i="4"/>
  <c r="A15314" i="4"/>
  <c r="A15313" i="4"/>
  <c r="A12215" i="4"/>
  <c r="A17383" i="4"/>
  <c r="A12718" i="4"/>
  <c r="A5049" i="4"/>
  <c r="A12717" i="4"/>
  <c r="A472" i="4"/>
  <c r="A26012" i="4"/>
  <c r="A18022" i="4"/>
  <c r="A18021" i="4"/>
  <c r="A26011" i="4"/>
  <c r="A18020" i="4"/>
  <c r="A12925" i="4"/>
  <c r="A471" i="4"/>
  <c r="A17853" i="4"/>
  <c r="A7097" i="4"/>
  <c r="A26010" i="4"/>
  <c r="A7096" i="4"/>
  <c r="A26009" i="4"/>
  <c r="A26008" i="4"/>
  <c r="A5048" i="4"/>
  <c r="A470" i="4"/>
  <c r="A26007" i="4"/>
  <c r="A8330" i="4"/>
  <c r="A9350" i="4"/>
  <c r="A9349" i="4"/>
  <c r="A9348" i="4"/>
  <c r="A26006" i="4"/>
  <c r="A1514" i="4"/>
  <c r="A1513" i="4"/>
  <c r="A1512" i="4"/>
  <c r="A7095" i="4"/>
  <c r="A7094" i="4"/>
  <c r="A7093" i="4"/>
  <c r="A17236" i="4"/>
  <c r="A5047" i="4"/>
  <c r="A5046" i="4"/>
  <c r="A7092" i="4"/>
  <c r="A26005" i="4"/>
  <c r="A19982" i="4"/>
  <c r="A19981" i="4"/>
  <c r="A19980" i="4"/>
  <c r="A8193" i="4"/>
  <c r="A26004" i="4"/>
  <c r="A1511" i="4"/>
  <c r="A1510" i="4"/>
  <c r="A12214" i="4"/>
  <c r="A7091" i="4"/>
  <c r="A26003" i="4"/>
  <c r="A26002" i="4"/>
  <c r="A12851" i="4"/>
  <c r="A5045" i="4"/>
  <c r="A8813" i="4"/>
  <c r="A9347" i="4"/>
  <c r="A16963" i="4"/>
  <c r="A16962" i="4"/>
  <c r="A7090" i="4"/>
  <c r="A1509" i="4"/>
  <c r="A5044" i="4"/>
  <c r="A7089" i="4"/>
  <c r="A7088" i="4"/>
  <c r="A26001" i="4"/>
  <c r="A7087" i="4"/>
  <c r="A7086" i="4"/>
  <c r="A10785" i="4"/>
  <c r="A26000" i="4"/>
  <c r="A1508" i="4"/>
  <c r="A12213" i="4"/>
  <c r="A18091" i="4"/>
  <c r="A17697" i="4"/>
  <c r="A15312" i="4"/>
  <c r="A6634" i="4"/>
  <c r="A25999" i="4"/>
  <c r="A16490" i="4"/>
  <c r="A25998" i="4"/>
  <c r="A1507" i="4"/>
  <c r="A25997" i="4"/>
  <c r="A1506" i="4"/>
  <c r="A25996" i="4"/>
  <c r="A25995" i="4"/>
  <c r="A25994" i="4"/>
  <c r="A7085" i="4"/>
  <c r="A7084" i="4"/>
  <c r="A15311" i="4"/>
  <c r="A15571" i="4"/>
  <c r="A25993" i="4"/>
  <c r="A25992" i="4"/>
  <c r="A5043" i="4"/>
  <c r="A25991" i="4"/>
  <c r="A12212" i="4"/>
  <c r="A12211" i="4"/>
  <c r="A5042" i="4"/>
  <c r="A5041" i="4"/>
  <c r="A7083" i="4"/>
  <c r="A8192" i="4"/>
  <c r="A8191" i="4"/>
  <c r="A8190" i="4"/>
  <c r="A25990" i="4"/>
  <c r="A15310" i="4"/>
  <c r="A12210" i="4"/>
  <c r="A12209" i="4"/>
  <c r="A18019" i="4"/>
  <c r="A19979" i="4"/>
  <c r="A25989" i="4"/>
  <c r="A9346" i="4"/>
  <c r="A9345" i="4"/>
  <c r="A9344" i="4"/>
  <c r="A25988" i="4"/>
  <c r="A25987" i="4"/>
  <c r="A8441" i="4"/>
  <c r="A8440" i="4"/>
  <c r="A8439" i="4"/>
  <c r="A19978" i="4"/>
  <c r="A8189" i="4"/>
  <c r="A8188" i="4"/>
  <c r="A8187" i="4"/>
  <c r="A8186" i="4"/>
  <c r="A8185" i="4"/>
  <c r="A25986" i="4"/>
  <c r="A19977" i="4"/>
  <c r="A19976" i="4"/>
  <c r="A19975" i="4"/>
  <c r="A25985" i="4"/>
  <c r="A19974" i="4"/>
  <c r="A19973" i="4"/>
  <c r="A19972" i="4"/>
  <c r="A19971" i="4"/>
  <c r="A19970" i="4"/>
  <c r="A19969" i="4"/>
  <c r="A19968" i="4"/>
  <c r="A15309" i="4"/>
  <c r="A5040" i="4"/>
  <c r="A9343" i="4"/>
  <c r="A6184" i="4"/>
  <c r="A25984" i="4"/>
  <c r="A1505" i="4"/>
  <c r="A12208" i="4"/>
  <c r="A25983" i="4"/>
  <c r="A7082" i="4"/>
  <c r="A25982" i="4"/>
  <c r="A7081" i="4"/>
  <c r="A1504" i="4"/>
  <c r="A1686" i="4"/>
  <c r="A15308" i="4"/>
  <c r="A6463" i="4"/>
  <c r="A25981" i="4"/>
  <c r="A25980" i="4"/>
  <c r="A25979" i="4"/>
  <c r="A7080" i="4"/>
  <c r="A7079" i="4"/>
  <c r="A5039" i="4"/>
  <c r="A8184" i="4"/>
  <c r="A15307" i="4"/>
  <c r="A7078" i="4"/>
  <c r="A7077" i="4"/>
  <c r="A25978" i="4"/>
  <c r="A25977" i="4"/>
  <c r="A25976" i="4"/>
  <c r="A19967" i="4"/>
  <c r="A19966" i="4"/>
  <c r="A19965" i="4"/>
  <c r="A19964" i="4"/>
  <c r="A25975" i="4"/>
  <c r="A16961" i="4"/>
  <c r="A16960" i="4"/>
  <c r="A25974" i="4"/>
  <c r="A16959" i="4"/>
  <c r="A1503" i="4"/>
  <c r="A2462" i="4"/>
  <c r="A17382" i="4"/>
  <c r="A17381" i="4"/>
  <c r="A19963" i="4"/>
  <c r="A19962" i="4"/>
  <c r="A19961" i="4"/>
  <c r="A19960" i="4"/>
  <c r="A19959" i="4"/>
  <c r="A19958" i="4"/>
  <c r="A19957" i="4"/>
  <c r="A25973" i="4"/>
  <c r="A7076" i="4"/>
  <c r="A25972" i="4"/>
  <c r="A7075" i="4"/>
  <c r="A7074" i="4"/>
  <c r="A19956" i="4"/>
  <c r="A12716" i="4"/>
  <c r="A12207" i="4"/>
  <c r="A12206" i="4"/>
  <c r="A19955" i="4"/>
  <c r="A25971" i="4"/>
  <c r="A19954" i="4"/>
  <c r="A25970" i="4"/>
  <c r="A19953" i="4"/>
  <c r="A19952" i="4"/>
  <c r="A19951" i="4"/>
  <c r="A1502" i="4"/>
  <c r="A15306" i="4"/>
  <c r="A15305" i="4"/>
  <c r="A18018" i="4"/>
  <c r="A5038" i="4"/>
  <c r="A25969" i="4"/>
  <c r="A7073" i="4"/>
  <c r="A7072" i="4"/>
  <c r="A25968" i="4"/>
  <c r="A19950" i="4"/>
  <c r="A19949" i="4"/>
  <c r="A19948" i="4"/>
  <c r="A19947" i="4"/>
  <c r="A19946" i="4"/>
  <c r="A8183" i="4"/>
  <c r="A1501" i="4"/>
  <c r="A13115" i="4"/>
  <c r="A7071" i="4"/>
  <c r="A17380" i="4"/>
  <c r="A12205" i="4"/>
  <c r="A18017" i="4"/>
  <c r="A12924" i="4"/>
  <c r="A9342" i="4"/>
  <c r="A25967" i="4"/>
  <c r="A19945" i="4"/>
  <c r="A8182" i="4"/>
  <c r="A12204" i="4"/>
  <c r="A25966" i="4"/>
  <c r="A19944" i="4"/>
  <c r="A25965" i="4"/>
  <c r="A25964" i="4"/>
  <c r="A15304" i="4"/>
  <c r="A15303" i="4"/>
  <c r="A8181" i="4"/>
  <c r="A1500" i="4"/>
  <c r="A1499" i="4"/>
  <c r="A1498" i="4"/>
  <c r="A8180" i="4"/>
  <c r="A8179" i="4"/>
  <c r="A6462" i="4"/>
  <c r="A18090" i="4"/>
  <c r="A18089" i="4"/>
  <c r="A1497" i="4"/>
  <c r="A16489" i="4"/>
  <c r="A25963" i="4"/>
  <c r="A25962" i="4"/>
  <c r="A25961" i="4"/>
  <c r="A12203" i="4"/>
  <c r="A25960" i="4"/>
  <c r="A7070" i="4"/>
  <c r="A12202" i="4"/>
  <c r="A12201" i="4"/>
  <c r="A25959" i="4"/>
  <c r="A8438" i="4"/>
  <c r="A8437" i="4"/>
  <c r="A8436" i="4"/>
  <c r="A8435" i="4"/>
  <c r="A25958" i="4"/>
  <c r="A18088" i="4"/>
  <c r="A15302" i="4"/>
  <c r="A25957" i="4"/>
  <c r="A9341" i="4"/>
  <c r="A9340" i="4"/>
  <c r="A9339" i="4"/>
  <c r="A9338" i="4"/>
  <c r="A25956" i="4"/>
  <c r="A25955" i="4"/>
  <c r="A8178" i="4"/>
  <c r="A7069" i="4"/>
  <c r="A7068" i="4"/>
  <c r="A25954" i="4"/>
  <c r="A25953" i="4"/>
  <c r="A1496" i="4"/>
  <c r="A19943" i="4"/>
  <c r="A19942" i="4"/>
  <c r="A19941" i="4"/>
  <c r="A25952" i="4"/>
  <c r="A19940" i="4"/>
  <c r="A19939" i="4"/>
  <c r="A19938" i="4"/>
  <c r="A19937" i="4"/>
  <c r="A19936" i="4"/>
  <c r="A19935" i="4"/>
  <c r="A19934" i="4"/>
  <c r="A19933" i="4"/>
  <c r="A25951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25950" i="4"/>
  <c r="A19921" i="4"/>
  <c r="A25949" i="4"/>
  <c r="A19920" i="4"/>
  <c r="A19919" i="4"/>
  <c r="A19918" i="4"/>
  <c r="A19917" i="4"/>
  <c r="A19916" i="4"/>
  <c r="A1495" i="4"/>
  <c r="A8329" i="4"/>
  <c r="A8328" i="4"/>
  <c r="A10784" i="4"/>
  <c r="A10783" i="4"/>
  <c r="A10782" i="4"/>
  <c r="A17696" i="4"/>
  <c r="A1494" i="4"/>
  <c r="A16958" i="4"/>
  <c r="A16957" i="4"/>
  <c r="A25948" i="4"/>
  <c r="A16956" i="4"/>
  <c r="A8177" i="4"/>
  <c r="A8176" i="4"/>
  <c r="A5037" i="4"/>
  <c r="A10781" i="4"/>
  <c r="A12200" i="4"/>
  <c r="A10780" i="4"/>
  <c r="A19915" i="4"/>
  <c r="A8175" i="4"/>
  <c r="A12199" i="4"/>
  <c r="A12198" i="4"/>
  <c r="A25947" i="4"/>
  <c r="A7067" i="4"/>
  <c r="A7066" i="4"/>
  <c r="A6461" i="4"/>
  <c r="A5036" i="4"/>
  <c r="A19914" i="4"/>
  <c r="A8400" i="4"/>
  <c r="A15301" i="4"/>
  <c r="A15300" i="4"/>
  <c r="A15299" i="4"/>
  <c r="A25946" i="4"/>
  <c r="A5035" i="4"/>
  <c r="A12197" i="4"/>
  <c r="A12196" i="4"/>
  <c r="A10779" i="4"/>
  <c r="A15298" i="4"/>
  <c r="A19913" i="4"/>
  <c r="A16955" i="4"/>
  <c r="A16954" i="4"/>
  <c r="A1493" i="4"/>
  <c r="A174" i="4"/>
  <c r="A18016" i="4"/>
  <c r="A7065" i="4"/>
  <c r="A7064" i="4"/>
  <c r="A25945" i="4"/>
  <c r="A7063" i="4"/>
  <c r="A1492" i="4"/>
  <c r="A19912" i="4"/>
  <c r="A7062" i="4"/>
  <c r="A7061" i="4"/>
  <c r="A25944" i="4"/>
  <c r="A9337" i="4"/>
  <c r="A25943" i="4"/>
  <c r="A25942" i="4"/>
  <c r="A15297" i="4"/>
  <c r="A15296" i="4"/>
  <c r="A7060" i="4"/>
  <c r="A25941" i="4"/>
  <c r="A6460" i="4"/>
  <c r="A8174" i="4"/>
  <c r="A1491" i="4"/>
  <c r="A12195" i="4"/>
  <c r="A15295" i="4"/>
  <c r="A8812" i="4"/>
  <c r="A15294" i="4"/>
  <c r="A8811" i="4"/>
  <c r="A1490" i="4"/>
  <c r="A12194" i="4"/>
  <c r="A6459" i="4"/>
  <c r="A25940" i="4"/>
  <c r="A25939" i="4"/>
  <c r="A1489" i="4"/>
  <c r="A25938" i="4"/>
  <c r="A5034" i="4"/>
  <c r="A5747" i="4"/>
  <c r="A8173" i="4"/>
  <c r="A5033" i="4"/>
  <c r="A1880" i="4"/>
  <c r="A25937" i="4"/>
  <c r="A1488" i="4"/>
  <c r="A6183" i="4"/>
  <c r="A25936" i="4"/>
  <c r="A25935" i="4"/>
  <c r="A7059" i="4"/>
  <c r="A5032" i="4"/>
  <c r="A15293" i="4"/>
  <c r="A8172" i="4"/>
  <c r="A12715" i="4"/>
  <c r="A25934" i="4"/>
  <c r="A25933" i="4"/>
  <c r="A8171" i="4"/>
  <c r="A8170" i="4"/>
  <c r="A8169" i="4"/>
  <c r="A12193" i="4"/>
  <c r="A25932" i="4"/>
  <c r="A19911" i="4"/>
  <c r="A25931" i="4"/>
  <c r="A19910" i="4"/>
  <c r="A19909" i="4"/>
  <c r="A19908" i="4"/>
  <c r="A17379" i="4"/>
  <c r="A17378" i="4"/>
  <c r="A17235" i="4"/>
  <c r="A1487" i="4"/>
  <c r="A1486" i="4"/>
  <c r="A25930" i="4"/>
  <c r="A19907" i="4"/>
  <c r="A1485" i="4"/>
  <c r="A15292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2192" i="4"/>
  <c r="A19894" i="4"/>
  <c r="A25929" i="4"/>
  <c r="A13218" i="4"/>
  <c r="A17852" i="4"/>
  <c r="A1484" i="4"/>
  <c r="A11002" i="4"/>
  <c r="A18087" i="4"/>
  <c r="A25928" i="4"/>
  <c r="A8168" i="4"/>
  <c r="A25927" i="4"/>
  <c r="A1483" i="4"/>
  <c r="A15291" i="4"/>
  <c r="A25926" i="4"/>
  <c r="A19893" i="4"/>
  <c r="A7058" i="4"/>
  <c r="A25925" i="4"/>
  <c r="A5031" i="4"/>
  <c r="A1482" i="4"/>
  <c r="A15290" i="4"/>
  <c r="A15289" i="4"/>
  <c r="A15288" i="4"/>
  <c r="A25924" i="4"/>
  <c r="A1481" i="4"/>
  <c r="A9336" i="4"/>
  <c r="A1480" i="4"/>
  <c r="A8307" i="4"/>
  <c r="A8306" i="4"/>
  <c r="A1479" i="4"/>
  <c r="A1478" i="4"/>
  <c r="A5030" i="4"/>
  <c r="A1477" i="4"/>
  <c r="A8167" i="4"/>
  <c r="A12714" i="4"/>
  <c r="A19892" i="4"/>
  <c r="A25923" i="4"/>
  <c r="A5029" i="4"/>
  <c r="A19891" i="4"/>
  <c r="A19890" i="4"/>
  <c r="A25922" i="4"/>
  <c r="A19889" i="4"/>
  <c r="A19888" i="4"/>
  <c r="A19887" i="4"/>
  <c r="A19886" i="4"/>
  <c r="A25921" i="4"/>
  <c r="A19885" i="4"/>
  <c r="A19884" i="4"/>
  <c r="A19883" i="4"/>
  <c r="A19882" i="4"/>
  <c r="A25920" i="4"/>
  <c r="A5028" i="4"/>
  <c r="A12713" i="4"/>
  <c r="A1476" i="4"/>
  <c r="A1475" i="4"/>
  <c r="A5027" i="4"/>
  <c r="A9335" i="4"/>
  <c r="A8810" i="4"/>
  <c r="A5026" i="4"/>
  <c r="A8399" i="4"/>
  <c r="A15287" i="4"/>
  <c r="A5025" i="4"/>
  <c r="A5024" i="4"/>
  <c r="A12191" i="4"/>
  <c r="A25919" i="4"/>
  <c r="A1474" i="4"/>
  <c r="A12923" i="4"/>
  <c r="A25918" i="4"/>
  <c r="A1473" i="4"/>
  <c r="A5023" i="4"/>
  <c r="A1472" i="4"/>
  <c r="A25917" i="4"/>
  <c r="A8166" i="4"/>
  <c r="A25916" i="4"/>
  <c r="A469" i="4"/>
  <c r="A468" i="4"/>
  <c r="A9334" i="4"/>
  <c r="A8809" i="4"/>
  <c r="A16953" i="4"/>
  <c r="A25915" i="4"/>
  <c r="A16952" i="4"/>
  <c r="A16951" i="4"/>
  <c r="A25914" i="4"/>
  <c r="A12190" i="4"/>
  <c r="A12189" i="4"/>
  <c r="A25913" i="4"/>
  <c r="A5022" i="4"/>
  <c r="A8434" i="4"/>
  <c r="A7057" i="4"/>
  <c r="A15286" i="4"/>
  <c r="A9333" i="4"/>
  <c r="A9332" i="4"/>
  <c r="A8433" i="4"/>
  <c r="A1471" i="4"/>
  <c r="A25912" i="4"/>
  <c r="A15285" i="4"/>
  <c r="A5021" i="4"/>
  <c r="A25911" i="4"/>
  <c r="A15284" i="4"/>
  <c r="A15283" i="4"/>
  <c r="A17695" i="4"/>
  <c r="A17694" i="4"/>
  <c r="A7056" i="4"/>
  <c r="A25910" i="4"/>
  <c r="A12188" i="4"/>
  <c r="A1470" i="4"/>
  <c r="A12187" i="4"/>
  <c r="A6458" i="4"/>
  <c r="A25909" i="4"/>
  <c r="A18086" i="4"/>
  <c r="A18085" i="4"/>
  <c r="A25908" i="4"/>
  <c r="A18084" i="4"/>
  <c r="A18083" i="4"/>
  <c r="A18082" i="4"/>
  <c r="A18081" i="4"/>
  <c r="A18080" i="4"/>
  <c r="A25907" i="4"/>
  <c r="A1469" i="4"/>
  <c r="A6457" i="4"/>
  <c r="A7055" i="4"/>
  <c r="A19881" i="4"/>
  <c r="A19880" i="4"/>
  <c r="A5020" i="4"/>
  <c r="A19879" i="4"/>
  <c r="A17377" i="4"/>
  <c r="A17376" i="4"/>
  <c r="A17693" i="4"/>
  <c r="A17692" i="4"/>
  <c r="A1468" i="4"/>
  <c r="A25906" i="4"/>
  <c r="A25905" i="4"/>
  <c r="A1467" i="4"/>
  <c r="A25904" i="4"/>
  <c r="A5019" i="4"/>
  <c r="A5018" i="4"/>
  <c r="A25903" i="4"/>
  <c r="A11001" i="4"/>
  <c r="A9331" i="4"/>
  <c r="A1466" i="4"/>
  <c r="A1465" i="4"/>
  <c r="A5017" i="4"/>
  <c r="A5016" i="4"/>
  <c r="A12186" i="4"/>
  <c r="A18015" i="4"/>
  <c r="A19878" i="4"/>
  <c r="A19877" i="4"/>
  <c r="A7054" i="4"/>
  <c r="A8165" i="4"/>
  <c r="A5015" i="4"/>
  <c r="A19876" i="4"/>
  <c r="A19875" i="4"/>
  <c r="A19874" i="4"/>
  <c r="A25902" i="4"/>
  <c r="A19873" i="4"/>
  <c r="A19872" i="4"/>
  <c r="A25901" i="4"/>
  <c r="A19871" i="4"/>
  <c r="A19870" i="4"/>
  <c r="A25900" i="4"/>
  <c r="A19869" i="4"/>
  <c r="A19868" i="4"/>
  <c r="A19867" i="4"/>
  <c r="A25899" i="4"/>
  <c r="A19866" i="4"/>
  <c r="A19865" i="4"/>
  <c r="A25898" i="4"/>
  <c r="A8808" i="4"/>
  <c r="A1464" i="4"/>
  <c r="A12712" i="4"/>
  <c r="A12711" i="4"/>
  <c r="A19864" i="4"/>
  <c r="A19863" i="4"/>
  <c r="A17851" i="4"/>
  <c r="A6456" i="4"/>
  <c r="A9330" i="4"/>
  <c r="A8164" i="4"/>
  <c r="A1463" i="4"/>
  <c r="A1462" i="4"/>
  <c r="A25897" i="4"/>
  <c r="A5014" i="4"/>
  <c r="A12185" i="4"/>
  <c r="A1461" i="4"/>
  <c r="A1460" i="4"/>
  <c r="A1459" i="4"/>
  <c r="A1458" i="4"/>
  <c r="A5013" i="4"/>
  <c r="A8807" i="4"/>
  <c r="A5012" i="4"/>
  <c r="A25896" i="4"/>
  <c r="A25895" i="4"/>
  <c r="A25894" i="4"/>
  <c r="A25893" i="4"/>
  <c r="A25892" i="4"/>
  <c r="A25891" i="4"/>
  <c r="A25890" i="4"/>
  <c r="A25889" i="4"/>
  <c r="A25888" i="4"/>
  <c r="A25887" i="4"/>
  <c r="A25886" i="4"/>
  <c r="A25885" i="4"/>
  <c r="A25884" i="4"/>
  <c r="A25883" i="4"/>
  <c r="A25882" i="4"/>
  <c r="A25881" i="4"/>
  <c r="A25880" i="4"/>
  <c r="A25879" i="4"/>
  <c r="A25878" i="4"/>
  <c r="A13633" i="4"/>
  <c r="A13632" i="4"/>
  <c r="A5011" i="4"/>
  <c r="A9329" i="4"/>
  <c r="A9328" i="4"/>
  <c r="A25877" i="4"/>
  <c r="A25876" i="4"/>
  <c r="A25875" i="4"/>
  <c r="A25874" i="4"/>
  <c r="A25873" i="4"/>
  <c r="A25872" i="4"/>
  <c r="A18079" i="4"/>
  <c r="A1457" i="4"/>
  <c r="A5010" i="4"/>
  <c r="A17375" i="4"/>
  <c r="A5009" i="4"/>
  <c r="A5008" i="4"/>
  <c r="A8806" i="4"/>
  <c r="A25871" i="4"/>
  <c r="A1456" i="4"/>
  <c r="A7053" i="4"/>
  <c r="A1879" i="4"/>
  <c r="A8163" i="4"/>
  <c r="A1455" i="4"/>
  <c r="A467" i="4"/>
  <c r="A7052" i="4"/>
  <c r="A7051" i="4"/>
  <c r="A7050" i="4"/>
  <c r="A1454" i="4"/>
  <c r="A1453" i="4"/>
  <c r="A5007" i="4"/>
  <c r="A7049" i="4"/>
  <c r="A7048" i="4"/>
  <c r="A12922" i="4"/>
  <c r="A12921" i="4"/>
  <c r="A25870" i="4"/>
  <c r="A1452" i="4"/>
  <c r="A9327" i="4"/>
  <c r="A25869" i="4"/>
  <c r="A18014" i="4"/>
  <c r="A8162" i="4"/>
  <c r="A8161" i="4"/>
  <c r="A8160" i="4"/>
  <c r="A8159" i="4"/>
  <c r="A1451" i="4"/>
  <c r="A20834" i="4"/>
  <c r="A20833" i="4"/>
  <c r="A25868" i="4"/>
  <c r="A10778" i="4"/>
  <c r="A1450" i="4"/>
  <c r="A1449" i="4"/>
  <c r="A5006" i="4"/>
  <c r="A5005" i="4"/>
  <c r="A5004" i="4"/>
  <c r="A6182" i="4"/>
  <c r="A16488" i="4"/>
  <c r="A5003" i="4"/>
  <c r="A13581" i="4"/>
  <c r="A12273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25867" i="4"/>
  <c r="A19862" i="4"/>
  <c r="A8158" i="4"/>
  <c r="A25866" i="4"/>
  <c r="A1448" i="4"/>
  <c r="A18013" i="4"/>
  <c r="A12920" i="4"/>
  <c r="A6181" i="4"/>
  <c r="A15282" i="4"/>
  <c r="A15281" i="4"/>
  <c r="A5002" i="4"/>
  <c r="A15280" i="4"/>
  <c r="A5001" i="4"/>
  <c r="A7047" i="4"/>
  <c r="A25865" i="4"/>
  <c r="A1447" i="4"/>
  <c r="A2662" i="4"/>
  <c r="A1446" i="4"/>
  <c r="A1445" i="4"/>
  <c r="A5000" i="4"/>
  <c r="A15279" i="4"/>
  <c r="A19861" i="4"/>
  <c r="A1444" i="4"/>
  <c r="A25864" i="4"/>
  <c r="A19860" i="4"/>
  <c r="A1443" i="4"/>
  <c r="A4999" i="4"/>
  <c r="A15278" i="4"/>
  <c r="A25863" i="4"/>
  <c r="A7046" i="4"/>
  <c r="A15277" i="4"/>
  <c r="A2461" i="4"/>
  <c r="A2460" i="4"/>
  <c r="A25862" i="4"/>
  <c r="A1442" i="4"/>
  <c r="A13114" i="4"/>
  <c r="A6455" i="4"/>
  <c r="A4998" i="4"/>
  <c r="A19859" i="4"/>
  <c r="A19858" i="4"/>
  <c r="A19857" i="4"/>
  <c r="A19856" i="4"/>
  <c r="A25861" i="4"/>
  <c r="A25860" i="4"/>
  <c r="A19855" i="4"/>
  <c r="A25859" i="4"/>
  <c r="A15276" i="4"/>
  <c r="A466" i="4"/>
  <c r="A4997" i="4"/>
  <c r="A1441" i="4"/>
  <c r="A25858" i="4"/>
  <c r="A465" i="4"/>
  <c r="A15275" i="4"/>
  <c r="A18012" i="4"/>
  <c r="A6454" i="4"/>
  <c r="A6453" i="4"/>
  <c r="A6452" i="4"/>
  <c r="A15274" i="4"/>
  <c r="A1440" i="4"/>
  <c r="A1439" i="4"/>
  <c r="A15273" i="4"/>
  <c r="A4996" i="4"/>
  <c r="A4995" i="4"/>
  <c r="A8805" i="4"/>
  <c r="A4994" i="4"/>
  <c r="A4993" i="4"/>
  <c r="A1438" i="4"/>
  <c r="A1437" i="4"/>
  <c r="A17374" i="4"/>
  <c r="A17373" i="4"/>
  <c r="A9310" i="4"/>
  <c r="A9309" i="4"/>
  <c r="A9308" i="4"/>
  <c r="A9307" i="4"/>
  <c r="A9306" i="4"/>
  <c r="A9305" i="4"/>
  <c r="A18011" i="4"/>
  <c r="A19854" i="4"/>
  <c r="A25857" i="4"/>
  <c r="A8157" i="4"/>
  <c r="A16487" i="4"/>
  <c r="A8804" i="4"/>
  <c r="A15570" i="4"/>
  <c r="A464" i="4"/>
  <c r="A463" i="4"/>
  <c r="A462" i="4"/>
  <c r="A461" i="4"/>
  <c r="A460" i="4"/>
  <c r="A6451" i="4"/>
  <c r="A25856" i="4"/>
  <c r="A25855" i="4"/>
  <c r="A7045" i="4"/>
  <c r="A12184" i="4"/>
  <c r="A12183" i="4"/>
  <c r="A16950" i="4"/>
  <c r="A16949" i="4"/>
  <c r="A16948" i="4"/>
  <c r="A16947" i="4"/>
  <c r="A16946" i="4"/>
  <c r="A25854" i="4"/>
  <c r="A16945" i="4"/>
  <c r="A16944" i="4"/>
  <c r="A25853" i="4"/>
  <c r="A12710" i="4"/>
  <c r="A10777" i="4"/>
  <c r="A25852" i="4"/>
  <c r="A8803" i="4"/>
  <c r="A17234" i="4"/>
  <c r="A8327" i="4"/>
  <c r="A5903" i="4"/>
  <c r="A5902" i="4"/>
  <c r="A17372" i="4"/>
  <c r="A4992" i="4"/>
  <c r="A25851" i="4"/>
  <c r="A9304" i="4"/>
  <c r="A9303" i="4"/>
  <c r="A25850" i="4"/>
  <c r="A25849" i="4"/>
  <c r="A25848" i="4"/>
  <c r="A17850" i="4"/>
  <c r="A25847" i="4"/>
  <c r="A25846" i="4"/>
  <c r="A19853" i="4"/>
  <c r="A19852" i="4"/>
  <c r="A25845" i="4"/>
  <c r="A10776" i="4"/>
  <c r="A25844" i="4"/>
  <c r="A25843" i="4"/>
  <c r="A5901" i="4"/>
  <c r="A5900" i="4"/>
  <c r="A25842" i="4"/>
  <c r="A17691" i="4"/>
  <c r="A5899" i="4"/>
  <c r="A25841" i="4"/>
  <c r="A25840" i="4"/>
  <c r="A1436" i="4"/>
  <c r="A8156" i="4"/>
  <c r="A8155" i="4"/>
  <c r="A1435" i="4"/>
  <c r="A1434" i="4"/>
  <c r="A10775" i="4"/>
  <c r="A6450" i="4"/>
  <c r="A4991" i="4"/>
  <c r="A5274" i="4"/>
  <c r="A9302" i="4"/>
  <c r="A8305" i="4"/>
  <c r="A12919" i="4"/>
  <c r="A12182" i="4"/>
  <c r="A9301" i="4"/>
  <c r="A25839" i="4"/>
  <c r="A7044" i="4"/>
  <c r="A4990" i="4"/>
  <c r="A1433" i="4"/>
  <c r="A12181" i="4"/>
  <c r="A6449" i="4"/>
  <c r="A12180" i="4"/>
  <c r="A19851" i="4"/>
  <c r="A7043" i="4"/>
  <c r="A7042" i="4"/>
  <c r="A1878" i="4"/>
  <c r="A16486" i="4"/>
  <c r="A15272" i="4"/>
  <c r="A4989" i="4"/>
  <c r="A12179" i="4"/>
  <c r="A12918" i="4"/>
  <c r="A4988" i="4"/>
  <c r="A7041" i="4"/>
  <c r="A25838" i="4"/>
  <c r="A9300" i="4"/>
  <c r="A9299" i="4"/>
  <c r="A10774" i="4"/>
  <c r="A15271" i="4"/>
  <c r="A4987" i="4"/>
  <c r="A15270" i="4"/>
  <c r="A10773" i="4"/>
  <c r="A6633" i="4"/>
  <c r="A17849" i="4"/>
  <c r="A7040" i="4"/>
  <c r="A25837" i="4"/>
  <c r="A7039" i="4"/>
  <c r="A4986" i="4"/>
  <c r="A16943" i="4"/>
  <c r="A16942" i="4"/>
  <c r="A16941" i="4"/>
  <c r="A16940" i="4"/>
  <c r="A16939" i="4"/>
  <c r="A16938" i="4"/>
  <c r="A16937" i="4"/>
  <c r="A16936" i="4"/>
  <c r="A25836" i="4"/>
  <c r="A16935" i="4"/>
  <c r="A16934" i="4"/>
  <c r="A16933" i="4"/>
  <c r="A25835" i="4"/>
  <c r="A2661" i="4"/>
  <c r="A7038" i="4"/>
  <c r="A1432" i="4"/>
  <c r="A15269" i="4"/>
  <c r="A6448" i="4"/>
  <c r="A4985" i="4"/>
  <c r="A13580" i="4"/>
  <c r="A6632" i="4"/>
  <c r="A6631" i="4"/>
  <c r="A4984" i="4"/>
  <c r="A8326" i="4"/>
  <c r="A4983" i="4"/>
  <c r="A7037" i="4"/>
  <c r="A17371" i="4"/>
  <c r="A459" i="4"/>
  <c r="A25834" i="4"/>
  <c r="A25833" i="4"/>
  <c r="A4982" i="4"/>
  <c r="A4981" i="4"/>
  <c r="A1877" i="4"/>
  <c r="A4980" i="4"/>
  <c r="A6630" i="4"/>
  <c r="A4979" i="4"/>
  <c r="A15268" i="4"/>
  <c r="A7036" i="4"/>
  <c r="A7035" i="4"/>
  <c r="A19850" i="4"/>
  <c r="A25832" i="4"/>
  <c r="A4978" i="4"/>
  <c r="A4977" i="4"/>
  <c r="A4976" i="4"/>
  <c r="A4975" i="4"/>
  <c r="A7034" i="4"/>
  <c r="A17233" i="4"/>
  <c r="A25831" i="4"/>
  <c r="A2459" i="4"/>
  <c r="A25830" i="4"/>
  <c r="A25829" i="4"/>
  <c r="A6629" i="4"/>
  <c r="A10772" i="4"/>
  <c r="A4974" i="4"/>
  <c r="A25828" i="4"/>
  <c r="A4973" i="4"/>
  <c r="A1876" i="4"/>
  <c r="A6447" i="4"/>
  <c r="A4972" i="4"/>
  <c r="A5898" i="4"/>
  <c r="A13631" i="4"/>
  <c r="A4971" i="4"/>
  <c r="A11073" i="4"/>
  <c r="A4970" i="4"/>
  <c r="A8154" i="4"/>
  <c r="A8153" i="4"/>
  <c r="A25827" i="4"/>
  <c r="A9298" i="4"/>
  <c r="A9297" i="4"/>
  <c r="A25826" i="4"/>
  <c r="A15267" i="4"/>
  <c r="A458" i="4"/>
  <c r="A12917" i="4"/>
  <c r="A25825" i="4"/>
  <c r="A8152" i="4"/>
  <c r="A1431" i="4"/>
  <c r="A1430" i="4"/>
  <c r="A1429" i="4"/>
  <c r="A16485" i="4"/>
  <c r="A17232" i="4"/>
  <c r="A20638" i="4"/>
  <c r="A7033" i="4"/>
  <c r="A19849" i="4"/>
  <c r="A25824" i="4"/>
  <c r="A17370" i="4"/>
  <c r="A9296" i="4"/>
  <c r="A9295" i="4"/>
  <c r="A173" i="4"/>
  <c r="A4969" i="4"/>
  <c r="A6628" i="4"/>
  <c r="A12916" i="4"/>
  <c r="A4968" i="4"/>
  <c r="A16932" i="4"/>
  <c r="A16931" i="4"/>
  <c r="A16930" i="4"/>
  <c r="A25823" i="4"/>
  <c r="A25822" i="4"/>
  <c r="A2660" i="4"/>
  <c r="A25821" i="4"/>
  <c r="A1428" i="4"/>
  <c r="A4967" i="4"/>
  <c r="A4966" i="4"/>
  <c r="A17662" i="4"/>
  <c r="A4965" i="4"/>
  <c r="A457" i="4"/>
  <c r="A1427" i="4"/>
  <c r="A25820" i="4"/>
  <c r="A13113" i="4"/>
  <c r="A1875" i="4"/>
  <c r="A13112" i="4"/>
  <c r="A13579" i="4"/>
  <c r="A13578" i="4"/>
  <c r="A15266" i="4"/>
  <c r="A16929" i="4"/>
  <c r="A16928" i="4"/>
  <c r="A25819" i="4"/>
  <c r="A15265" i="4"/>
  <c r="A25818" i="4"/>
  <c r="A18010" i="4"/>
  <c r="A10771" i="4"/>
  <c r="A17369" i="4"/>
  <c r="A25817" i="4"/>
  <c r="A6180" i="4"/>
  <c r="A25816" i="4"/>
  <c r="A16927" i="4"/>
  <c r="A16926" i="4"/>
  <c r="A16925" i="4"/>
  <c r="A16924" i="4"/>
  <c r="A16923" i="4"/>
  <c r="A25815" i="4"/>
  <c r="A16922" i="4"/>
  <c r="A25814" i="4"/>
  <c r="A16921" i="4"/>
  <c r="A16920" i="4"/>
  <c r="A13577" i="4"/>
  <c r="A6627" i="4"/>
  <c r="A1426" i="4"/>
  <c r="A1425" i="4"/>
  <c r="A5897" i="4"/>
  <c r="A15264" i="4"/>
  <c r="A4964" i="4"/>
  <c r="A13576" i="4"/>
  <c r="A5896" i="4"/>
  <c r="A4963" i="4"/>
  <c r="A13575" i="4"/>
  <c r="A13574" i="4"/>
  <c r="A25813" i="4"/>
  <c r="A7032" i="4"/>
  <c r="A25812" i="4"/>
  <c r="A25811" i="4"/>
  <c r="A25810" i="4"/>
  <c r="A25809" i="4"/>
  <c r="A25808" i="4"/>
  <c r="A1424" i="4"/>
  <c r="A1423" i="4"/>
  <c r="A25807" i="4"/>
  <c r="A25806" i="4"/>
  <c r="A7031" i="4"/>
  <c r="A7030" i="4"/>
  <c r="A7029" i="4"/>
  <c r="A13573" i="4"/>
  <c r="A25805" i="4"/>
  <c r="A1422" i="4"/>
  <c r="A1421" i="4"/>
  <c r="A25804" i="4"/>
  <c r="A13572" i="4"/>
  <c r="A7028" i="4"/>
  <c r="A10770" i="4"/>
  <c r="A10769" i="4"/>
  <c r="A4962" i="4"/>
  <c r="A25803" i="4"/>
  <c r="A25802" i="4"/>
  <c r="A12915" i="4"/>
  <c r="A12914" i="4"/>
  <c r="A25801" i="4"/>
  <c r="A1420" i="4"/>
  <c r="A25800" i="4"/>
  <c r="A1419" i="4"/>
  <c r="A4961" i="4"/>
  <c r="A4960" i="4"/>
  <c r="A4959" i="4"/>
  <c r="A15263" i="4"/>
  <c r="A4958" i="4"/>
  <c r="A12178" i="4"/>
  <c r="A1418" i="4"/>
  <c r="A1417" i="4"/>
  <c r="A12177" i="4"/>
  <c r="A12176" i="4"/>
  <c r="A12175" i="4"/>
  <c r="A7027" i="4"/>
  <c r="A7026" i="4"/>
  <c r="A25799" i="4"/>
  <c r="A7025" i="4"/>
  <c r="A7024" i="4"/>
  <c r="A7023" i="4"/>
  <c r="A8151" i="4"/>
  <c r="A8150" i="4"/>
  <c r="A1416" i="4"/>
  <c r="A456" i="4"/>
  <c r="A12174" i="4"/>
  <c r="A6446" i="4"/>
  <c r="A25798" i="4"/>
  <c r="A12173" i="4"/>
  <c r="A10768" i="4"/>
  <c r="A7022" i="4"/>
  <c r="A25797" i="4"/>
  <c r="A7021" i="4"/>
  <c r="A4957" i="4"/>
  <c r="A4956" i="4"/>
  <c r="A4955" i="4"/>
  <c r="A12172" i="4"/>
  <c r="A9294" i="4"/>
  <c r="A9293" i="4"/>
  <c r="A8325" i="4"/>
  <c r="A25796" i="4"/>
  <c r="A25795" i="4"/>
  <c r="A9292" i="4"/>
  <c r="A17368" i="4"/>
  <c r="A25794" i="4"/>
  <c r="A2659" i="4"/>
  <c r="A1874" i="4"/>
  <c r="A15262" i="4"/>
  <c r="A25793" i="4"/>
  <c r="A17367" i="4"/>
  <c r="A25792" i="4"/>
  <c r="A15261" i="4"/>
  <c r="A25791" i="4"/>
  <c r="A15260" i="4"/>
  <c r="A19848" i="4"/>
  <c r="A25790" i="4"/>
  <c r="A19847" i="4"/>
  <c r="A1415" i="4"/>
  <c r="A7020" i="4"/>
  <c r="A9291" i="4"/>
  <c r="A25789" i="4"/>
  <c r="A19846" i="4"/>
  <c r="A1414" i="4"/>
  <c r="A10767" i="4"/>
  <c r="A25788" i="4"/>
  <c r="A13111" i="4"/>
  <c r="A19845" i="4"/>
  <c r="A19844" i="4"/>
  <c r="A19843" i="4"/>
  <c r="A10766" i="4"/>
  <c r="A25787" i="4"/>
  <c r="A16484" i="4"/>
  <c r="A7019" i="4"/>
  <c r="A7018" i="4"/>
  <c r="A5895" i="4"/>
  <c r="A25786" i="4"/>
  <c r="A8149" i="4"/>
  <c r="A5894" i="4"/>
  <c r="A12171" i="4"/>
  <c r="A17366" i="4"/>
  <c r="A25785" i="4"/>
  <c r="A12170" i="4"/>
  <c r="A4954" i="4"/>
  <c r="A6445" i="4"/>
  <c r="A1413" i="4"/>
  <c r="A1412" i="4"/>
  <c r="A1411" i="4"/>
  <c r="A4953" i="4"/>
  <c r="A4952" i="4"/>
  <c r="A4951" i="4"/>
  <c r="A4950" i="4"/>
  <c r="A18009" i="4"/>
  <c r="A4949" i="4"/>
  <c r="A8148" i="4"/>
  <c r="A4948" i="4"/>
  <c r="A25784" i="4"/>
  <c r="A25783" i="4"/>
  <c r="A25782" i="4"/>
  <c r="A25781" i="4"/>
  <c r="A1410" i="4"/>
  <c r="A18078" i="4"/>
  <c r="A8324" i="4"/>
  <c r="A8147" i="4"/>
  <c r="A8146" i="4"/>
  <c r="A4947" i="4"/>
  <c r="A4946" i="4"/>
  <c r="A9290" i="4"/>
  <c r="A17231" i="4"/>
  <c r="A4945" i="4"/>
  <c r="A25780" i="4"/>
  <c r="A16919" i="4"/>
  <c r="A16918" i="4"/>
  <c r="A25779" i="4"/>
  <c r="A16917" i="4"/>
  <c r="A25778" i="4"/>
  <c r="A16916" i="4"/>
  <c r="A16915" i="4"/>
  <c r="A16914" i="4"/>
  <c r="A25777" i="4"/>
  <c r="A10765" i="4"/>
  <c r="A25776" i="4"/>
  <c r="A17230" i="4"/>
  <c r="A25775" i="4"/>
  <c r="A12709" i="4"/>
  <c r="A1409" i="4"/>
  <c r="A18008" i="4"/>
  <c r="A18007" i="4"/>
  <c r="A25774" i="4"/>
  <c r="A1408" i="4"/>
  <c r="A2458" i="4"/>
  <c r="A2457" i="4"/>
  <c r="A18006" i="4"/>
  <c r="A4944" i="4"/>
  <c r="A1873" i="4"/>
  <c r="A1407" i="4"/>
  <c r="A18005" i="4"/>
  <c r="A15259" i="4"/>
  <c r="A7017" i="4"/>
  <c r="A4943" i="4"/>
  <c r="A4942" i="4"/>
  <c r="A9289" i="4"/>
  <c r="A9288" i="4"/>
  <c r="A9287" i="4"/>
  <c r="A15258" i="4"/>
  <c r="A2658" i="4"/>
  <c r="A1406" i="4"/>
  <c r="A8802" i="4"/>
  <c r="A25773" i="4"/>
  <c r="A8801" i="4"/>
  <c r="A7016" i="4"/>
  <c r="A9286" i="4"/>
  <c r="A4941" i="4"/>
  <c r="A12708" i="4"/>
  <c r="A15257" i="4"/>
  <c r="A4940" i="4"/>
  <c r="A2657" i="4"/>
  <c r="A2656" i="4"/>
  <c r="A16483" i="4"/>
  <c r="A7015" i="4"/>
  <c r="A25772" i="4"/>
  <c r="A15256" i="4"/>
  <c r="A15569" i="4"/>
  <c r="A25771" i="4"/>
  <c r="A12169" i="4"/>
  <c r="A12168" i="4"/>
  <c r="A12167" i="4"/>
  <c r="A6444" i="4"/>
  <c r="A12166" i="4"/>
  <c r="A1405" i="4"/>
  <c r="A12165" i="4"/>
  <c r="A4939" i="4"/>
  <c r="A8323" i="4"/>
  <c r="A20637" i="4"/>
  <c r="A12164" i="4"/>
  <c r="A1872" i="4"/>
  <c r="A12163" i="4"/>
  <c r="A1404" i="4"/>
  <c r="A4938" i="4"/>
  <c r="A4937" i="4"/>
  <c r="A8322" i="4"/>
  <c r="A5893" i="4"/>
  <c r="A25770" i="4"/>
  <c r="A25769" i="4"/>
  <c r="A8398" i="4"/>
  <c r="A12162" i="4"/>
  <c r="A12161" i="4"/>
  <c r="A25768" i="4"/>
  <c r="A4936" i="4"/>
  <c r="A15255" i="4"/>
  <c r="A25767" i="4"/>
  <c r="A12160" i="4"/>
  <c r="A15254" i="4"/>
  <c r="A25766" i="4"/>
  <c r="A7014" i="4"/>
  <c r="A7013" i="4"/>
  <c r="A8321" i="4"/>
  <c r="A6626" i="4"/>
  <c r="A4935" i="4"/>
  <c r="A7012" i="4"/>
  <c r="A1403" i="4"/>
  <c r="A25765" i="4"/>
  <c r="A12707" i="4"/>
  <c r="A4934" i="4"/>
  <c r="A1402" i="4"/>
  <c r="A1871" i="4"/>
  <c r="A9285" i="4"/>
  <c r="A25764" i="4"/>
  <c r="A1870" i="4"/>
  <c r="A17848" i="4"/>
  <c r="A4933" i="4"/>
  <c r="A4932" i="4"/>
  <c r="A15253" i="4"/>
  <c r="A15252" i="4"/>
  <c r="A25763" i="4"/>
  <c r="A25762" i="4"/>
  <c r="A4931" i="4"/>
  <c r="A25761" i="4"/>
  <c r="A25760" i="4"/>
  <c r="A8800" i="4"/>
  <c r="A15251" i="4"/>
  <c r="A1401" i="4"/>
  <c r="A8145" i="4"/>
  <c r="A25759" i="4"/>
  <c r="A1400" i="4"/>
  <c r="A1399" i="4"/>
  <c r="A15250" i="4"/>
  <c r="A6625" i="4"/>
  <c r="A9284" i="4"/>
  <c r="A25758" i="4"/>
  <c r="A16913" i="4"/>
  <c r="A25757" i="4"/>
  <c r="A16912" i="4"/>
  <c r="A16911" i="4"/>
  <c r="A25756" i="4"/>
  <c r="A16910" i="4"/>
  <c r="A25755" i="4"/>
  <c r="A1398" i="4"/>
  <c r="A1397" i="4"/>
  <c r="A10764" i="4"/>
  <c r="A8320" i="4"/>
  <c r="A15249" i="4"/>
  <c r="A8144" i="4"/>
  <c r="A17229" i="4"/>
  <c r="A15248" i="4"/>
  <c r="A7011" i="4"/>
  <c r="A17228" i="4"/>
  <c r="A4930" i="4"/>
  <c r="A17227" i="4"/>
  <c r="A12913" i="4"/>
  <c r="A6179" i="4"/>
  <c r="A7010" i="4"/>
  <c r="A4929" i="4"/>
  <c r="A4928" i="4"/>
  <c r="A6624" i="4"/>
  <c r="A25754" i="4"/>
  <c r="A15247" i="4"/>
  <c r="A8799" i="4"/>
  <c r="A18004" i="4"/>
  <c r="A25753" i="4"/>
  <c r="A7009" i="4"/>
  <c r="A7008" i="4"/>
  <c r="A25752" i="4"/>
  <c r="A12159" i="4"/>
  <c r="A12158" i="4"/>
  <c r="A12157" i="4"/>
  <c r="A8798" i="4"/>
  <c r="A8143" i="4"/>
  <c r="A12156" i="4"/>
  <c r="A12155" i="4"/>
  <c r="A4927" i="4"/>
  <c r="A1869" i="4"/>
  <c r="A25751" i="4"/>
  <c r="A8304" i="4"/>
  <c r="A25750" i="4"/>
  <c r="A6443" i="4"/>
  <c r="A15568" i="4"/>
  <c r="A6442" i="4"/>
  <c r="A15246" i="4"/>
  <c r="A25749" i="4"/>
  <c r="A10763" i="4"/>
  <c r="A18003" i="4"/>
  <c r="A15245" i="4"/>
  <c r="A25748" i="4"/>
  <c r="A1396" i="4"/>
  <c r="A1395" i="4"/>
  <c r="A17365" i="4"/>
  <c r="A9283" i="4"/>
  <c r="A9282" i="4"/>
  <c r="A9281" i="4"/>
  <c r="A25747" i="4"/>
  <c r="A25746" i="4"/>
  <c r="A16909" i="4"/>
  <c r="A16908" i="4"/>
  <c r="A25745" i="4"/>
  <c r="A25744" i="4"/>
  <c r="A25743" i="4"/>
  <c r="A16907" i="4"/>
  <c r="A10762" i="4"/>
  <c r="A9280" i="4"/>
  <c r="A10761" i="4"/>
  <c r="A10760" i="4"/>
  <c r="A25742" i="4"/>
  <c r="A25741" i="4"/>
  <c r="A19842" i="4"/>
  <c r="A4926" i="4"/>
  <c r="A25740" i="4"/>
  <c r="A25739" i="4"/>
  <c r="A4925" i="4"/>
  <c r="A25738" i="4"/>
  <c r="A18002" i="4"/>
  <c r="A15244" i="4"/>
  <c r="A7007" i="4"/>
  <c r="A25737" i="4"/>
  <c r="A25736" i="4"/>
  <c r="A10759" i="4"/>
  <c r="A2655" i="4"/>
  <c r="A25735" i="4"/>
  <c r="A2654" i="4"/>
  <c r="A2653" i="4"/>
  <c r="A6178" i="4"/>
  <c r="A7006" i="4"/>
  <c r="A25734" i="4"/>
  <c r="A25733" i="4"/>
  <c r="A25732" i="4"/>
  <c r="A25731" i="4"/>
  <c r="A25730" i="4"/>
  <c r="A25729" i="4"/>
  <c r="A8797" i="4"/>
  <c r="A8142" i="4"/>
  <c r="A25728" i="4"/>
  <c r="A25727" i="4"/>
  <c r="A12850" i="4"/>
  <c r="A12849" i="4"/>
  <c r="A25726" i="4"/>
  <c r="A1394" i="4"/>
  <c r="A1393" i="4"/>
  <c r="A15243" i="4"/>
  <c r="A15242" i="4"/>
  <c r="A25725" i="4"/>
  <c r="A12912" i="4"/>
  <c r="A1868" i="4"/>
  <c r="A19841" i="4"/>
  <c r="A8141" i="4"/>
  <c r="A8140" i="4"/>
  <c r="A8139" i="4"/>
  <c r="A6441" i="4"/>
  <c r="A1867" i="4"/>
  <c r="A1866" i="4"/>
  <c r="A10758" i="4"/>
  <c r="A25724" i="4"/>
  <c r="A25723" i="4"/>
  <c r="A25722" i="4"/>
  <c r="A19840" i="4"/>
  <c r="A19839" i="4"/>
  <c r="A19838" i="4"/>
  <c r="A6623" i="4"/>
  <c r="A25721" i="4"/>
  <c r="A1392" i="4"/>
  <c r="A1865" i="4"/>
  <c r="A6177" i="4"/>
  <c r="A1391" i="4"/>
  <c r="A1864" i="4"/>
  <c r="A1863" i="4"/>
  <c r="A1862" i="4"/>
  <c r="A15241" i="4"/>
  <c r="A6622" i="4"/>
  <c r="A25720" i="4"/>
  <c r="A7005" i="4"/>
  <c r="A4924" i="4"/>
  <c r="A12154" i="4"/>
  <c r="A12153" i="4"/>
  <c r="A12152" i="4"/>
  <c r="A455" i="4"/>
  <c r="A13571" i="4"/>
  <c r="A4923" i="4"/>
  <c r="A25719" i="4"/>
  <c r="A12706" i="4"/>
  <c r="A15240" i="4"/>
  <c r="A17226" i="4"/>
  <c r="A8796" i="4"/>
  <c r="A19837" i="4"/>
  <c r="A19836" i="4"/>
  <c r="A19835" i="4"/>
  <c r="A19834" i="4"/>
  <c r="A25718" i="4"/>
  <c r="A25717" i="4"/>
  <c r="A19833" i="4"/>
  <c r="A25716" i="4"/>
  <c r="A4922" i="4"/>
  <c r="A4921" i="4"/>
  <c r="A10757" i="4"/>
  <c r="A15239" i="4"/>
  <c r="A8391" i="4"/>
  <c r="A13110" i="4"/>
  <c r="A18001" i="4"/>
  <c r="A19832" i="4"/>
  <c r="A19831" i="4"/>
  <c r="A19830" i="4"/>
  <c r="A19829" i="4"/>
  <c r="A19828" i="4"/>
  <c r="A25715" i="4"/>
  <c r="A19827" i="4"/>
  <c r="A19826" i="4"/>
  <c r="A19825" i="4"/>
  <c r="A19824" i="4"/>
  <c r="A19823" i="4"/>
  <c r="A19822" i="4"/>
  <c r="A19821" i="4"/>
  <c r="A19820" i="4"/>
  <c r="A1390" i="4"/>
  <c r="A25714" i="4"/>
  <c r="A19819" i="4"/>
  <c r="A19818" i="4"/>
  <c r="A25713" i="4"/>
  <c r="A19817" i="4"/>
  <c r="A19816" i="4"/>
  <c r="A19815" i="4"/>
  <c r="A25712" i="4"/>
  <c r="A19814" i="4"/>
  <c r="A19813" i="4"/>
  <c r="A19812" i="4"/>
  <c r="A19811" i="4"/>
  <c r="A25711" i="4"/>
  <c r="A25710" i="4"/>
  <c r="A25709" i="4"/>
  <c r="A19810" i="4"/>
  <c r="A19809" i="4"/>
  <c r="A19808" i="4"/>
  <c r="A19807" i="4"/>
  <c r="A25708" i="4"/>
  <c r="A19806" i="4"/>
  <c r="A19805" i="4"/>
  <c r="A19804" i="4"/>
  <c r="A19803" i="4"/>
  <c r="A25707" i="4"/>
  <c r="A19802" i="4"/>
  <c r="A25706" i="4"/>
  <c r="A19801" i="4"/>
  <c r="A25705" i="4"/>
  <c r="A25704" i="4"/>
  <c r="A15238" i="4"/>
  <c r="A6440" i="4"/>
  <c r="A15237" i="4"/>
  <c r="A10756" i="4"/>
  <c r="A4920" i="4"/>
  <c r="A7004" i="4"/>
  <c r="A9279" i="4"/>
  <c r="A25703" i="4"/>
  <c r="A9278" i="4"/>
  <c r="A9277" i="4"/>
  <c r="A25702" i="4"/>
  <c r="A25701" i="4"/>
  <c r="A8138" i="4"/>
  <c r="A8137" i="4"/>
  <c r="A1389" i="4"/>
  <c r="A1388" i="4"/>
  <c r="A8795" i="4"/>
  <c r="A7003" i="4"/>
  <c r="A25700" i="4"/>
  <c r="A7002" i="4"/>
  <c r="A10755" i="4"/>
  <c r="A1387" i="4"/>
  <c r="A17364" i="4"/>
  <c r="A17363" i="4"/>
  <c r="A10754" i="4"/>
  <c r="A4919" i="4"/>
  <c r="A15236" i="4"/>
  <c r="A18000" i="4"/>
  <c r="A10753" i="4"/>
  <c r="A5892" i="4"/>
  <c r="A8136" i="4"/>
  <c r="A8135" i="4"/>
  <c r="A8134" i="4"/>
  <c r="A4918" i="4"/>
  <c r="A10752" i="4"/>
  <c r="A15235" i="4"/>
  <c r="A15234" i="4"/>
  <c r="A527" i="4"/>
  <c r="A13109" i="4"/>
  <c r="A7001" i="4"/>
  <c r="A25699" i="4"/>
  <c r="A8319" i="4"/>
  <c r="A25698" i="4"/>
  <c r="A25697" i="4"/>
  <c r="A12151" i="4"/>
  <c r="A8133" i="4"/>
  <c r="A19800" i="4"/>
  <c r="A10751" i="4"/>
  <c r="A4917" i="4"/>
  <c r="A1386" i="4"/>
  <c r="A8794" i="4"/>
  <c r="A6439" i="4"/>
  <c r="A13570" i="4"/>
  <c r="A6438" i="4"/>
  <c r="A10750" i="4"/>
  <c r="A8793" i="4"/>
  <c r="A8792" i="4"/>
  <c r="A10749" i="4"/>
  <c r="A12911" i="4"/>
  <c r="A9276" i="4"/>
  <c r="A6437" i="4"/>
  <c r="A25696" i="4"/>
  <c r="A16906" i="4"/>
  <c r="A25695" i="4"/>
  <c r="A7000" i="4"/>
  <c r="A6999" i="4"/>
  <c r="A1861" i="4"/>
  <c r="A6998" i="4"/>
  <c r="A6997" i="4"/>
  <c r="A25694" i="4"/>
  <c r="A25693" i="4"/>
  <c r="A19799" i="4"/>
  <c r="A19798" i="4"/>
  <c r="A19797" i="4"/>
  <c r="A19796" i="4"/>
  <c r="A19795" i="4"/>
  <c r="A19794" i="4"/>
  <c r="A19793" i="4"/>
  <c r="A1385" i="4"/>
  <c r="A10748" i="4"/>
  <c r="A4916" i="4"/>
  <c r="A8791" i="4"/>
  <c r="A1384" i="4"/>
  <c r="A8790" i="4"/>
  <c r="A12848" i="4"/>
  <c r="A12847" i="4"/>
  <c r="A6996" i="4"/>
  <c r="A1383" i="4"/>
  <c r="A25692" i="4"/>
  <c r="A25691" i="4"/>
  <c r="A25690" i="4"/>
  <c r="A25689" i="4"/>
  <c r="A10747" i="4"/>
  <c r="A13108" i="4"/>
  <c r="A17999" i="4"/>
  <c r="A4915" i="4"/>
  <c r="A19792" i="4"/>
  <c r="A17998" i="4"/>
  <c r="A643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25688" i="4"/>
  <c r="A9255" i="4"/>
  <c r="A9254" i="4"/>
  <c r="A9253" i="4"/>
  <c r="A9252" i="4"/>
  <c r="A9251" i="4"/>
  <c r="A9250" i="4"/>
  <c r="A9249" i="4"/>
  <c r="A9248" i="4"/>
  <c r="A9247" i="4"/>
  <c r="A9246" i="4"/>
  <c r="A9245" i="4"/>
  <c r="A25687" i="4"/>
  <c r="A9244" i="4"/>
  <c r="A9243" i="4"/>
  <c r="A9242" i="4"/>
  <c r="A9241" i="4"/>
  <c r="A6995" i="4"/>
  <c r="A2456" i="4"/>
  <c r="A2455" i="4"/>
  <c r="A9240" i="4"/>
  <c r="A9239" i="4"/>
  <c r="A6994" i="4"/>
  <c r="A25686" i="4"/>
  <c r="A6176" i="4"/>
  <c r="A17847" i="4"/>
  <c r="A17846" i="4"/>
  <c r="A15567" i="4"/>
  <c r="A8303" i="4"/>
  <c r="A25685" i="4"/>
  <c r="A6993" i="4"/>
  <c r="A6992" i="4"/>
  <c r="A6991" i="4"/>
  <c r="A25684" i="4"/>
  <c r="A4914" i="4"/>
  <c r="A4913" i="4"/>
  <c r="A25683" i="4"/>
  <c r="A25682" i="4"/>
  <c r="A25681" i="4"/>
  <c r="A25680" i="4"/>
  <c r="A25679" i="4"/>
  <c r="A25678" i="4"/>
  <c r="A25677" i="4"/>
  <c r="A6990" i="4"/>
  <c r="A25676" i="4"/>
  <c r="A2454" i="4"/>
  <c r="A1382" i="4"/>
  <c r="A1381" i="4"/>
  <c r="A5891" i="4"/>
  <c r="A6989" i="4"/>
  <c r="A2453" i="4"/>
  <c r="A25675" i="4"/>
  <c r="A6988" i="4"/>
  <c r="A6621" i="4"/>
  <c r="A6987" i="4"/>
  <c r="A25674" i="4"/>
  <c r="A19791" i="4"/>
  <c r="A17997" i="4"/>
  <c r="A19790" i="4"/>
  <c r="A17996" i="4"/>
  <c r="A17995" i="4"/>
  <c r="A6175" i="4"/>
  <c r="A5890" i="4"/>
  <c r="A25673" i="4"/>
  <c r="A1380" i="4"/>
  <c r="A4912" i="4"/>
  <c r="A9238" i="4"/>
  <c r="A1379" i="4"/>
  <c r="A6435" i="4"/>
  <c r="A6434" i="4"/>
  <c r="A16482" i="4"/>
  <c r="A6433" i="4"/>
  <c r="A6620" i="4"/>
  <c r="A10746" i="4"/>
  <c r="A13569" i="4"/>
  <c r="A13568" i="4"/>
  <c r="A8789" i="4"/>
  <c r="A6986" i="4"/>
  <c r="A6985" i="4"/>
  <c r="A8132" i="4"/>
  <c r="A8131" i="4"/>
  <c r="A8130" i="4"/>
  <c r="A19789" i="4"/>
  <c r="A25672" i="4"/>
  <c r="A1378" i="4"/>
  <c r="A10745" i="4"/>
  <c r="A18077" i="4"/>
  <c r="A10744" i="4"/>
  <c r="A25671" i="4"/>
  <c r="A12705" i="4"/>
  <c r="A8788" i="4"/>
  <c r="A25670" i="4"/>
  <c r="A8129" i="4"/>
  <c r="A8128" i="4"/>
  <c r="A1377" i="4"/>
  <c r="A15233" i="4"/>
  <c r="A6432" i="4"/>
  <c r="A1860" i="4"/>
  <c r="A15232" i="4"/>
  <c r="A25669" i="4"/>
  <c r="A25668" i="4"/>
  <c r="A8127" i="4"/>
  <c r="A8126" i="4"/>
  <c r="A8125" i="4"/>
  <c r="A8124" i="4"/>
  <c r="A1376" i="4"/>
  <c r="A25667" i="4"/>
  <c r="A10743" i="4"/>
  <c r="A1859" i="4"/>
  <c r="A25666" i="4"/>
  <c r="A25665" i="4"/>
  <c r="A25664" i="4"/>
  <c r="A1858" i="4"/>
  <c r="A17362" i="4"/>
  <c r="A17361" i="4"/>
  <c r="A25663" i="4"/>
  <c r="A2652" i="4"/>
  <c r="A17994" i="4"/>
  <c r="A8787" i="4"/>
  <c r="A10742" i="4"/>
  <c r="A2651" i="4"/>
  <c r="A2650" i="4"/>
  <c r="A2452" i="4"/>
  <c r="A6174" i="4"/>
  <c r="A6173" i="4"/>
  <c r="A6172" i="4"/>
  <c r="A15566" i="4"/>
  <c r="A12150" i="4"/>
  <c r="A12149" i="4"/>
  <c r="A8123" i="4"/>
  <c r="A8122" i="4"/>
  <c r="A8121" i="4"/>
  <c r="A8120" i="4"/>
  <c r="A8119" i="4"/>
  <c r="A10741" i="4"/>
  <c r="A9237" i="4"/>
  <c r="A25662" i="4"/>
  <c r="A17993" i="4"/>
  <c r="A8786" i="4"/>
  <c r="A15231" i="4"/>
  <c r="A6431" i="4"/>
  <c r="A10740" i="4"/>
  <c r="A19788" i="4"/>
  <c r="A25661" i="4"/>
  <c r="A6984" i="4"/>
  <c r="A12910" i="4"/>
  <c r="A6983" i="4"/>
  <c r="A1375" i="4"/>
  <c r="A10739" i="4"/>
  <c r="A9236" i="4"/>
  <c r="A9235" i="4"/>
  <c r="A9234" i="4"/>
  <c r="A15565" i="4"/>
  <c r="A8118" i="4"/>
  <c r="A8117" i="4"/>
  <c r="A8116" i="4"/>
  <c r="A8302" i="4"/>
  <c r="A8301" i="4"/>
  <c r="A8300" i="4"/>
  <c r="A1374" i="4"/>
  <c r="A25660" i="4"/>
  <c r="A17225" i="4"/>
  <c r="A25659" i="4"/>
  <c r="A25658" i="4"/>
  <c r="A25657" i="4"/>
  <c r="A25656" i="4"/>
  <c r="A25655" i="4"/>
  <c r="A16905" i="4"/>
  <c r="A1373" i="4"/>
  <c r="A8785" i="4"/>
  <c r="A8784" i="4"/>
  <c r="A8783" i="4"/>
  <c r="A6619" i="4"/>
  <c r="A8115" i="4"/>
  <c r="A25654" i="4"/>
  <c r="A9233" i="4"/>
  <c r="A9232" i="4"/>
  <c r="A25653" i="4"/>
  <c r="A8782" i="4"/>
  <c r="A15230" i="4"/>
  <c r="A8781" i="4"/>
  <c r="A4911" i="4"/>
  <c r="A17360" i="4"/>
  <c r="A12704" i="4"/>
  <c r="A1372" i="4"/>
  <c r="A9231" i="4"/>
  <c r="A172" i="4"/>
  <c r="A1371" i="4"/>
  <c r="A1370" i="4"/>
  <c r="A8780" i="4"/>
  <c r="A25652" i="4"/>
  <c r="A1369" i="4"/>
  <c r="A1368" i="4"/>
  <c r="A6430" i="4"/>
  <c r="A25651" i="4"/>
  <c r="A8114" i="4"/>
  <c r="A8113" i="4"/>
  <c r="A8112" i="4"/>
  <c r="A25650" i="4"/>
  <c r="A25649" i="4"/>
  <c r="A8779" i="4"/>
  <c r="A25648" i="4"/>
  <c r="A15229" i="4"/>
  <c r="A10738" i="4"/>
  <c r="A6982" i="4"/>
  <c r="A15228" i="4"/>
  <c r="A25647" i="4"/>
  <c r="A5746" i="4"/>
  <c r="A20636" i="4"/>
  <c r="A4910" i="4"/>
  <c r="A4909" i="4"/>
  <c r="A25646" i="4"/>
  <c r="A25645" i="4"/>
  <c r="A25644" i="4"/>
  <c r="A4908" i="4"/>
  <c r="A25643" i="4"/>
  <c r="A25642" i="4"/>
  <c r="A16904" i="4"/>
  <c r="A16903" i="4"/>
  <c r="A16902" i="4"/>
  <c r="A16901" i="4"/>
  <c r="A16900" i="4"/>
  <c r="A25641" i="4"/>
  <c r="A2649" i="4"/>
  <c r="A25640" i="4"/>
  <c r="A11009" i="4"/>
  <c r="A25639" i="4"/>
  <c r="A15564" i="4"/>
  <c r="A1367" i="4"/>
  <c r="A1366" i="4"/>
  <c r="A1365" i="4"/>
  <c r="A1364" i="4"/>
  <c r="A10737" i="4"/>
  <c r="A1857" i="4"/>
  <c r="A17992" i="4"/>
  <c r="A17991" i="4"/>
  <c r="A1856" i="4"/>
  <c r="A2648" i="4"/>
  <c r="A2647" i="4"/>
  <c r="A6981" i="4"/>
  <c r="A6980" i="4"/>
  <c r="A6979" i="4"/>
  <c r="A6978" i="4"/>
  <c r="A8111" i="4"/>
  <c r="A8110" i="4"/>
  <c r="A8109" i="4"/>
  <c r="A1363" i="4"/>
  <c r="A25638" i="4"/>
  <c r="A1362" i="4"/>
  <c r="A1361" i="4"/>
  <c r="A1360" i="4"/>
  <c r="A1359" i="4"/>
  <c r="A1358" i="4"/>
  <c r="A19787" i="4"/>
  <c r="A1357" i="4"/>
  <c r="A1356" i="4"/>
  <c r="A25637" i="4"/>
  <c r="A25636" i="4"/>
  <c r="A25635" i="4"/>
  <c r="A19786" i="4"/>
  <c r="A4907" i="4"/>
  <c r="A9230" i="4"/>
  <c r="A9229" i="4"/>
  <c r="A9228" i="4"/>
  <c r="A25634" i="4"/>
  <c r="A25633" i="4"/>
  <c r="A2646" i="4"/>
  <c r="A2645" i="4"/>
  <c r="A8108" i="4"/>
  <c r="A8107" i="4"/>
  <c r="A8106" i="4"/>
  <c r="A8105" i="4"/>
  <c r="A6977" i="4"/>
  <c r="A6976" i="4"/>
  <c r="A6975" i="4"/>
  <c r="A4906" i="4"/>
  <c r="A17990" i="4"/>
  <c r="A1355" i="4"/>
  <c r="A8778" i="4"/>
  <c r="A25632" i="4"/>
  <c r="A15227" i="4"/>
  <c r="A15226" i="4"/>
  <c r="A1354" i="4"/>
  <c r="A25631" i="4"/>
  <c r="A4905" i="4"/>
  <c r="A9227" i="4"/>
  <c r="A9226" i="4"/>
  <c r="A9225" i="4"/>
  <c r="A15225" i="4"/>
  <c r="A13107" i="4"/>
  <c r="A25630" i="4"/>
  <c r="A19785" i="4"/>
  <c r="A25629" i="4"/>
  <c r="A19784" i="4"/>
  <c r="A19783" i="4"/>
  <c r="A19782" i="4"/>
  <c r="A25628" i="4"/>
  <c r="A19781" i="4"/>
  <c r="A25627" i="4"/>
  <c r="A19780" i="4"/>
  <c r="A19779" i="4"/>
  <c r="A17359" i="4"/>
  <c r="A6429" i="4"/>
  <c r="A16899" i="4"/>
  <c r="A16898" i="4"/>
  <c r="A16897" i="4"/>
  <c r="A16896" i="4"/>
  <c r="A25626" i="4"/>
  <c r="A16895" i="4"/>
  <c r="A16894" i="4"/>
  <c r="A25625" i="4"/>
  <c r="A25624" i="4"/>
  <c r="A8777" i="4"/>
  <c r="A4904" i="4"/>
  <c r="A4903" i="4"/>
  <c r="A1855" i="4"/>
  <c r="A2451" i="4"/>
  <c r="A13567" i="4"/>
  <c r="A12148" i="4"/>
  <c r="A12147" i="4"/>
  <c r="A4902" i="4"/>
  <c r="A25623" i="4"/>
  <c r="A19778" i="4"/>
  <c r="A6618" i="4"/>
  <c r="A4901" i="4"/>
  <c r="A13566" i="4"/>
  <c r="A12146" i="4"/>
  <c r="A19777" i="4"/>
  <c r="A13565" i="4"/>
  <c r="A17845" i="4"/>
  <c r="A19776" i="4"/>
  <c r="A25622" i="4"/>
  <c r="A25621" i="4"/>
  <c r="A9224" i="4"/>
  <c r="A13106" i="4"/>
  <c r="A25620" i="4"/>
  <c r="A8776" i="4"/>
  <c r="A13564" i="4"/>
  <c r="A1854" i="4"/>
  <c r="A10736" i="4"/>
  <c r="A10735" i="4"/>
  <c r="A10734" i="4"/>
  <c r="A15224" i="4"/>
  <c r="A526" i="4"/>
  <c r="A10733" i="4"/>
  <c r="A8104" i="4"/>
  <c r="A8103" i="4"/>
  <c r="A25619" i="4"/>
  <c r="A15622" i="4"/>
  <c r="A1353" i="4"/>
  <c r="A15621" i="4"/>
  <c r="A25618" i="4"/>
  <c r="A25617" i="4"/>
  <c r="A6428" i="4"/>
  <c r="A6427" i="4"/>
  <c r="A8318" i="4"/>
  <c r="A9223" i="4"/>
  <c r="A8102" i="4"/>
  <c r="A1352" i="4"/>
  <c r="A4900" i="4"/>
  <c r="A19775" i="4"/>
  <c r="A19774" i="4"/>
  <c r="A10732" i="4"/>
  <c r="A8775" i="4"/>
  <c r="A19773" i="4"/>
  <c r="A10731" i="4"/>
  <c r="A15223" i="4"/>
  <c r="A10730" i="4"/>
  <c r="A9222" i="4"/>
  <c r="A9221" i="4"/>
  <c r="A10729" i="4"/>
  <c r="A15222" i="4"/>
  <c r="A10728" i="4"/>
  <c r="A13105" i="4"/>
  <c r="A25616" i="4"/>
  <c r="A10727" i="4"/>
  <c r="A10726" i="4"/>
  <c r="A10725" i="4"/>
  <c r="A8101" i="4"/>
  <c r="A25615" i="4"/>
  <c r="A10724" i="4"/>
  <c r="A25614" i="4"/>
  <c r="A10723" i="4"/>
  <c r="A15563" i="4"/>
  <c r="A10722" i="4"/>
  <c r="A25613" i="4"/>
  <c r="A10721" i="4"/>
  <c r="A15562" i="4"/>
  <c r="A4899" i="4"/>
  <c r="A25612" i="4"/>
  <c r="A10720" i="4"/>
  <c r="A4898" i="4"/>
  <c r="A25611" i="4"/>
  <c r="A15221" i="4"/>
  <c r="A10719" i="4"/>
  <c r="A1853" i="4"/>
  <c r="A25610" i="4"/>
  <c r="A10718" i="4"/>
  <c r="A10717" i="4"/>
  <c r="A10716" i="4"/>
  <c r="A6974" i="4"/>
  <c r="A6973" i="4"/>
  <c r="A10715" i="4"/>
  <c r="A25609" i="4"/>
  <c r="A25608" i="4"/>
  <c r="A25607" i="4"/>
  <c r="A20635" i="4"/>
  <c r="A25606" i="4"/>
  <c r="A25605" i="4"/>
  <c r="A25604" i="4"/>
  <c r="A6617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25603" i="4"/>
  <c r="A8774" i="4"/>
  <c r="A8100" i="4"/>
  <c r="A1351" i="4"/>
  <c r="A6426" i="4"/>
  <c r="A8773" i="4"/>
  <c r="A8772" i="4"/>
  <c r="A9220" i="4"/>
  <c r="A9219" i="4"/>
  <c r="A6425" i="4"/>
  <c r="A6616" i="4"/>
  <c r="A10714" i="4"/>
  <c r="A10713" i="4"/>
  <c r="A6424" i="4"/>
  <c r="A4897" i="4"/>
  <c r="A10712" i="4"/>
  <c r="A454" i="4"/>
  <c r="A10711" i="4"/>
  <c r="A17844" i="4"/>
  <c r="A25602" i="4"/>
  <c r="A12703" i="4"/>
  <c r="A2450" i="4"/>
  <c r="A10710" i="4"/>
  <c r="A19772" i="4"/>
  <c r="A8099" i="4"/>
  <c r="A8098" i="4"/>
  <c r="A453" i="4"/>
  <c r="A10956" i="4"/>
  <c r="A25601" i="4"/>
  <c r="A13563" i="4"/>
  <c r="A4896" i="4"/>
  <c r="A4895" i="4"/>
  <c r="A5889" i="4"/>
  <c r="A1350" i="4"/>
  <c r="A10709" i="4"/>
  <c r="A10708" i="4"/>
  <c r="A25600" i="4"/>
  <c r="A25599" i="4"/>
  <c r="A1349" i="4"/>
  <c r="A25598" i="4"/>
  <c r="A12145" i="4"/>
  <c r="A25597" i="4"/>
  <c r="A25596" i="4"/>
  <c r="A25595" i="4"/>
  <c r="A25594" i="4"/>
  <c r="A12144" i="4"/>
  <c r="A10707" i="4"/>
  <c r="A2644" i="4"/>
  <c r="A12702" i="4"/>
  <c r="A4894" i="4"/>
  <c r="A6423" i="4"/>
  <c r="A10706" i="4"/>
  <c r="A25593" i="4"/>
  <c r="A15220" i="4"/>
  <c r="A15219" i="4"/>
  <c r="A10705" i="4"/>
  <c r="A6422" i="4"/>
  <c r="A25592" i="4"/>
  <c r="A1348" i="4"/>
  <c r="A4893" i="4"/>
  <c r="A25591" i="4"/>
  <c r="A452" i="4"/>
  <c r="A10704" i="4"/>
  <c r="A10703" i="4"/>
  <c r="A6972" i="4"/>
  <c r="A12143" i="4"/>
  <c r="A13562" i="4"/>
  <c r="A13630" i="4"/>
  <c r="A4892" i="4"/>
  <c r="A15218" i="4"/>
  <c r="A15217" i="4"/>
  <c r="A8771" i="4"/>
  <c r="A25590" i="4"/>
  <c r="A19771" i="4"/>
  <c r="A5888" i="4"/>
  <c r="A25589" i="4"/>
  <c r="A25588" i="4"/>
  <c r="A25587" i="4"/>
  <c r="A6971" i="4"/>
  <c r="A6970" i="4"/>
  <c r="A17358" i="4"/>
  <c r="A17357" i="4"/>
  <c r="A4891" i="4"/>
  <c r="A19770" i="4"/>
  <c r="A19769" i="4"/>
  <c r="A19768" i="4"/>
  <c r="A19767" i="4"/>
  <c r="A25586" i="4"/>
  <c r="A25585" i="4"/>
  <c r="A25584" i="4"/>
  <c r="A25583" i="4"/>
  <c r="A25582" i="4"/>
  <c r="A17356" i="4"/>
  <c r="A17355" i="4"/>
  <c r="A25581" i="4"/>
  <c r="A4890" i="4"/>
  <c r="A1852" i="4"/>
  <c r="A4889" i="4"/>
  <c r="A25580" i="4"/>
  <c r="A8097" i="4"/>
  <c r="A1347" i="4"/>
  <c r="A4888" i="4"/>
  <c r="A16881" i="4"/>
  <c r="A25579" i="4"/>
  <c r="A25578" i="4"/>
  <c r="A25577" i="4"/>
  <c r="A16880" i="4"/>
  <c r="A19766" i="4"/>
  <c r="A25576" i="4"/>
  <c r="A4887" i="4"/>
  <c r="A8770" i="4"/>
  <c r="A25575" i="4"/>
  <c r="A8769" i="4"/>
  <c r="A9218" i="4"/>
  <c r="A25574" i="4"/>
  <c r="A4886" i="4"/>
  <c r="A525" i="4"/>
  <c r="A12701" i="4"/>
  <c r="A1346" i="4"/>
  <c r="A16879" i="4"/>
  <c r="A8096" i="4"/>
  <c r="A8095" i="4"/>
  <c r="A4885" i="4"/>
  <c r="A4884" i="4"/>
  <c r="A25573" i="4"/>
  <c r="A4883" i="4"/>
  <c r="A1345" i="4"/>
  <c r="A1344" i="4"/>
  <c r="A1343" i="4"/>
  <c r="A1342" i="4"/>
  <c r="A4882" i="4"/>
  <c r="A25572" i="4"/>
  <c r="A25571" i="4"/>
  <c r="A25570" i="4"/>
  <c r="A1341" i="4"/>
  <c r="A1340" i="4"/>
  <c r="A1339" i="4"/>
  <c r="A4881" i="4"/>
  <c r="A17354" i="4"/>
  <c r="A17353" i="4"/>
  <c r="A9217" i="4"/>
  <c r="A25569" i="4"/>
  <c r="A4880" i="4"/>
  <c r="A19765" i="4"/>
  <c r="A25568" i="4"/>
  <c r="A25567" i="4"/>
  <c r="A25566" i="4"/>
  <c r="A6969" i="4"/>
  <c r="A1338" i="4"/>
  <c r="A1337" i="4"/>
  <c r="A1685" i="4"/>
  <c r="A13104" i="4"/>
  <c r="A4879" i="4"/>
  <c r="A16878" i="4"/>
  <c r="A16877" i="4"/>
  <c r="A25565" i="4"/>
  <c r="A16876" i="4"/>
  <c r="A16875" i="4"/>
  <c r="A16874" i="4"/>
  <c r="A16873" i="4"/>
  <c r="A16872" i="4"/>
  <c r="A16871" i="4"/>
  <c r="A16870" i="4"/>
  <c r="A25564" i="4"/>
  <c r="A16869" i="4"/>
  <c r="A16868" i="4"/>
  <c r="A16867" i="4"/>
  <c r="A16866" i="4"/>
  <c r="A8768" i="4"/>
  <c r="A1336" i="4"/>
  <c r="A15216" i="4"/>
  <c r="A4878" i="4"/>
  <c r="A9216" i="4"/>
  <c r="A9215" i="4"/>
  <c r="A4877" i="4"/>
  <c r="A25563" i="4"/>
  <c r="A25562" i="4"/>
  <c r="A2449" i="4"/>
  <c r="A2448" i="4"/>
  <c r="A8432" i="4"/>
  <c r="A19764" i="4"/>
  <c r="A25561" i="4"/>
  <c r="A19763" i="4"/>
  <c r="A19762" i="4"/>
  <c r="A19761" i="4"/>
  <c r="A19760" i="4"/>
  <c r="A2643" i="4"/>
  <c r="A2642" i="4"/>
  <c r="A25560" i="4"/>
  <c r="A12700" i="4"/>
  <c r="A25559" i="4"/>
  <c r="A25558" i="4"/>
  <c r="A25557" i="4"/>
  <c r="A25556" i="4"/>
  <c r="A25555" i="4"/>
  <c r="A25554" i="4"/>
  <c r="A25553" i="4"/>
  <c r="A1335" i="4"/>
  <c r="A1334" i="4"/>
  <c r="A19759" i="4"/>
  <c r="A1333" i="4"/>
  <c r="A8767" i="4"/>
  <c r="A19758" i="4"/>
  <c r="A15215" i="4"/>
  <c r="A15214" i="4"/>
  <c r="A25552" i="4"/>
  <c r="A15213" i="4"/>
  <c r="A6968" i="4"/>
  <c r="A19757" i="4"/>
  <c r="A4876" i="4"/>
  <c r="A25551" i="4"/>
  <c r="A4875" i="4"/>
  <c r="A4874" i="4"/>
  <c r="A20634" i="4"/>
  <c r="A2641" i="4"/>
  <c r="A8390" i="4"/>
  <c r="A6421" i="4"/>
  <c r="A4873" i="4"/>
  <c r="A15212" i="4"/>
  <c r="A2447" i="4"/>
  <c r="A17989" i="4"/>
  <c r="A6967" i="4"/>
  <c r="A15211" i="4"/>
  <c r="A25550" i="4"/>
  <c r="A10702" i="4"/>
  <c r="A17224" i="4"/>
  <c r="A1332" i="4"/>
  <c r="A15210" i="4"/>
  <c r="A9214" i="4"/>
  <c r="A4872" i="4"/>
  <c r="A16865" i="4"/>
  <c r="A25549" i="4"/>
  <c r="A16864" i="4"/>
  <c r="A16863" i="4"/>
  <c r="A16862" i="4"/>
  <c r="A16861" i="4"/>
  <c r="A16860" i="4"/>
  <c r="A25548" i="4"/>
  <c r="A8094" i="4"/>
  <c r="A8093" i="4"/>
  <c r="A8092" i="4"/>
  <c r="A8091" i="4"/>
  <c r="A8090" i="4"/>
  <c r="A2640" i="4"/>
  <c r="A2639" i="4"/>
  <c r="A15561" i="4"/>
  <c r="A15560" i="4"/>
  <c r="A25547" i="4"/>
  <c r="A1331" i="4"/>
  <c r="A1851" i="4"/>
  <c r="A8089" i="4"/>
  <c r="A25546" i="4"/>
  <c r="A1330" i="4"/>
  <c r="A6966" i="4"/>
  <c r="A25545" i="4"/>
  <c r="A25544" i="4"/>
  <c r="A4871" i="4"/>
  <c r="A4870" i="4"/>
  <c r="A4869" i="4"/>
  <c r="A6965" i="4"/>
  <c r="A25543" i="4"/>
  <c r="A6964" i="4"/>
  <c r="A8088" i="4"/>
  <c r="A25542" i="4"/>
  <c r="A25541" i="4"/>
  <c r="A15209" i="4"/>
  <c r="A15208" i="4"/>
  <c r="A25540" i="4"/>
  <c r="A451" i="4"/>
  <c r="A25539" i="4"/>
  <c r="A25538" i="4"/>
  <c r="A25537" i="4"/>
  <c r="A25536" i="4"/>
  <c r="A25535" i="4"/>
  <c r="A25534" i="4"/>
  <c r="A8766" i="4"/>
  <c r="A25533" i="4"/>
  <c r="A10701" i="4"/>
  <c r="A6615" i="4"/>
  <c r="A6420" i="4"/>
  <c r="A25532" i="4"/>
  <c r="A19756" i="4"/>
  <c r="A19755" i="4"/>
  <c r="A25531" i="4"/>
  <c r="A19754" i="4"/>
  <c r="A19753" i="4"/>
  <c r="A10700" i="4"/>
  <c r="A10699" i="4"/>
  <c r="A6419" i="4"/>
  <c r="A18076" i="4"/>
  <c r="A18075" i="4"/>
  <c r="A18074" i="4"/>
  <c r="A18073" i="4"/>
  <c r="A25530" i="4"/>
  <c r="A18072" i="4"/>
  <c r="A18071" i="4"/>
  <c r="A4868" i="4"/>
  <c r="A6418" i="4"/>
  <c r="A4867" i="4"/>
  <c r="A8765" i="4"/>
  <c r="A4866" i="4"/>
  <c r="A25529" i="4"/>
  <c r="A25528" i="4"/>
  <c r="A25527" i="4"/>
  <c r="A17843" i="4"/>
  <c r="A6963" i="4"/>
  <c r="A6962" i="4"/>
  <c r="A19752" i="4"/>
  <c r="A19751" i="4"/>
  <c r="A2638" i="4"/>
  <c r="A6961" i="4"/>
  <c r="A9213" i="4"/>
  <c r="A17352" i="4"/>
  <c r="A4865" i="4"/>
  <c r="A25526" i="4"/>
  <c r="A19750" i="4"/>
  <c r="A25525" i="4"/>
  <c r="A8764" i="4"/>
  <c r="A12699" i="4"/>
  <c r="A15207" i="4"/>
  <c r="A17223" i="4"/>
  <c r="A15206" i="4"/>
  <c r="A9212" i="4"/>
  <c r="A9211" i="4"/>
  <c r="A9210" i="4"/>
  <c r="A9209" i="4"/>
  <c r="A9208" i="4"/>
  <c r="A25524" i="4"/>
  <c r="A9207" i="4"/>
  <c r="A9206" i="4"/>
  <c r="A9205" i="4"/>
  <c r="A9204" i="4"/>
  <c r="A9203" i="4"/>
  <c r="A9202" i="4"/>
  <c r="A9201" i="4"/>
  <c r="A9200" i="4"/>
  <c r="A9199" i="4"/>
  <c r="A9198" i="4"/>
  <c r="A9197" i="4"/>
  <c r="A25523" i="4"/>
  <c r="A8087" i="4"/>
  <c r="A12142" i="4"/>
  <c r="A5745" i="4"/>
  <c r="A13561" i="4"/>
  <c r="A13560" i="4"/>
  <c r="A12909" i="4"/>
  <c r="A4864" i="4"/>
  <c r="A8763" i="4"/>
  <c r="A4863" i="4"/>
  <c r="A13103" i="4"/>
  <c r="A8317" i="4"/>
  <c r="A6960" i="4"/>
  <c r="A25522" i="4"/>
  <c r="A25521" i="4"/>
  <c r="A1329" i="4"/>
  <c r="A12141" i="4"/>
  <c r="A12140" i="4"/>
  <c r="A8086" i="4"/>
  <c r="A13102" i="4"/>
  <c r="A12698" i="4"/>
  <c r="A25520" i="4"/>
  <c r="A15205" i="4"/>
  <c r="A25519" i="4"/>
  <c r="A1328" i="4"/>
  <c r="A4862" i="4"/>
  <c r="A25518" i="4"/>
  <c r="A19749" i="4"/>
  <c r="A25517" i="4"/>
  <c r="A19748" i="4"/>
  <c r="A19747" i="4"/>
  <c r="A19746" i="4"/>
  <c r="A15204" i="4"/>
  <c r="A25516" i="4"/>
  <c r="A25515" i="4"/>
  <c r="A15203" i="4"/>
  <c r="A25514" i="4"/>
  <c r="A25513" i="4"/>
  <c r="A1327" i="4"/>
  <c r="A6959" i="4"/>
  <c r="A6614" i="4"/>
  <c r="A25512" i="4"/>
  <c r="A6613" i="4"/>
  <c r="A12139" i="4"/>
  <c r="A12138" i="4"/>
  <c r="A25511" i="4"/>
  <c r="A10698" i="4"/>
  <c r="A8085" i="4"/>
  <c r="A450" i="4"/>
  <c r="A25510" i="4"/>
  <c r="A9196" i="4"/>
  <c r="A13559" i="4"/>
  <c r="A13558" i="4"/>
  <c r="A4861" i="4"/>
  <c r="A6958" i="4"/>
  <c r="A6957" i="4"/>
  <c r="A15559" i="4"/>
  <c r="A4860" i="4"/>
  <c r="A25509" i="4"/>
  <c r="A8762" i="4"/>
  <c r="A4859" i="4"/>
  <c r="A25508" i="4"/>
  <c r="A8084" i="4"/>
  <c r="A8083" i="4"/>
  <c r="A4858" i="4"/>
  <c r="A19745" i="4"/>
  <c r="A6956" i="4"/>
  <c r="A1326" i="4"/>
  <c r="A6171" i="4"/>
  <c r="A17351" i="4"/>
  <c r="A15202" i="4"/>
  <c r="A25507" i="4"/>
  <c r="A25506" i="4"/>
  <c r="A25505" i="4"/>
  <c r="A8082" i="4"/>
  <c r="A8081" i="4"/>
  <c r="A449" i="4"/>
  <c r="A10697" i="4"/>
  <c r="A4857" i="4"/>
  <c r="A4856" i="4"/>
  <c r="A17602" i="4"/>
  <c r="A8080" i="4"/>
  <c r="A8079" i="4"/>
  <c r="A1850" i="4"/>
  <c r="A9195" i="4"/>
  <c r="A25504" i="4"/>
  <c r="A25503" i="4"/>
  <c r="A25502" i="4"/>
  <c r="A19744" i="4"/>
  <c r="A1849" i="4"/>
  <c r="A8078" i="4"/>
  <c r="A20703" i="4"/>
  <c r="A9924" i="4"/>
  <c r="A4855" i="4"/>
  <c r="A4854" i="4"/>
  <c r="A19743" i="4"/>
  <c r="A6417" i="4"/>
  <c r="A25501" i="4"/>
  <c r="A17842" i="4"/>
  <c r="A17841" i="4"/>
  <c r="A171" i="4"/>
  <c r="A1325" i="4"/>
  <c r="A4853" i="4"/>
  <c r="A10696" i="4"/>
  <c r="A15201" i="4"/>
  <c r="A25500" i="4"/>
  <c r="A25499" i="4"/>
  <c r="A6955" i="4"/>
  <c r="A25498" i="4"/>
  <c r="A25497" i="4"/>
  <c r="A2446" i="4"/>
  <c r="A15200" i="4"/>
  <c r="A25496" i="4"/>
  <c r="A13557" i="4"/>
  <c r="A17350" i="4"/>
  <c r="A12276" i="4"/>
  <c r="A1848" i="4"/>
  <c r="A4852" i="4"/>
  <c r="A12697" i="4"/>
  <c r="A1847" i="4"/>
  <c r="A19742" i="4"/>
  <c r="A6954" i="4"/>
  <c r="A1324" i="4"/>
  <c r="A170" i="4"/>
  <c r="A25495" i="4"/>
  <c r="A25494" i="4"/>
  <c r="A1323" i="4"/>
  <c r="A8761" i="4"/>
  <c r="A15199" i="4"/>
  <c r="A8077" i="4"/>
  <c r="A15198" i="4"/>
  <c r="A25493" i="4"/>
  <c r="A10695" i="4"/>
  <c r="A25492" i="4"/>
  <c r="A12272" i="4"/>
  <c r="A25491" i="4"/>
  <c r="A25490" i="4"/>
  <c r="A4851" i="4"/>
  <c r="A4850" i="4"/>
  <c r="A16859" i="4"/>
  <c r="A25489" i="4"/>
  <c r="A16858" i="4"/>
  <c r="A16857" i="4"/>
  <c r="A16856" i="4"/>
  <c r="A25488" i="4"/>
  <c r="A16855" i="4"/>
  <c r="A16854" i="4"/>
  <c r="A25487" i="4"/>
  <c r="A15197" i="4"/>
  <c r="A25486" i="4"/>
  <c r="A20633" i="4"/>
  <c r="A20632" i="4"/>
  <c r="A6170" i="4"/>
  <c r="A10694" i="4"/>
  <c r="A19741" i="4"/>
  <c r="A25485" i="4"/>
  <c r="A12137" i="4"/>
  <c r="A25484" i="4"/>
  <c r="A12136" i="4"/>
  <c r="A12135" i="4"/>
  <c r="A12134" i="4"/>
  <c r="A12278" i="4"/>
  <c r="A12277" i="4"/>
  <c r="A17711" i="4"/>
  <c r="A17710" i="4"/>
  <c r="A2637" i="4"/>
  <c r="A2636" i="4"/>
  <c r="A8076" i="4"/>
  <c r="A1322" i="4"/>
  <c r="A25483" i="4"/>
  <c r="A15196" i="4"/>
  <c r="A25482" i="4"/>
  <c r="A25481" i="4"/>
  <c r="A1846" i="4"/>
  <c r="A8760" i="4"/>
  <c r="A1321" i="4"/>
  <c r="A1320" i="4"/>
  <c r="A15195" i="4"/>
  <c r="A25480" i="4"/>
  <c r="A13556" i="4"/>
  <c r="A17661" i="4"/>
  <c r="A9194" i="4"/>
  <c r="A10693" i="4"/>
  <c r="A6416" i="4"/>
  <c r="A4849" i="4"/>
  <c r="A25479" i="4"/>
  <c r="A19740" i="4"/>
  <c r="A6953" i="4"/>
  <c r="A6952" i="4"/>
  <c r="A13555" i="4"/>
  <c r="A25478" i="4"/>
  <c r="A8075" i="4"/>
  <c r="A25477" i="4"/>
  <c r="A25476" i="4"/>
  <c r="A25475" i="4"/>
  <c r="A1319" i="4"/>
  <c r="A12133" i="4"/>
  <c r="A11072" i="4"/>
  <c r="A19739" i="4"/>
  <c r="A25474" i="4"/>
  <c r="A448" i="4"/>
  <c r="A10692" i="4"/>
  <c r="A19738" i="4"/>
  <c r="A19737" i="4"/>
  <c r="A25473" i="4"/>
  <c r="A25472" i="4"/>
  <c r="A25471" i="4"/>
  <c r="A25470" i="4"/>
  <c r="A447" i="4"/>
  <c r="A8759" i="4"/>
  <c r="A25469" i="4"/>
  <c r="A15194" i="4"/>
  <c r="A25468" i="4"/>
  <c r="A1318" i="4"/>
  <c r="A25467" i="4"/>
  <c r="A25466" i="4"/>
  <c r="A25465" i="4"/>
  <c r="A25464" i="4"/>
  <c r="A6951" i="4"/>
  <c r="A25463" i="4"/>
  <c r="A25462" i="4"/>
  <c r="A25461" i="4"/>
  <c r="A1317" i="4"/>
  <c r="A25460" i="4"/>
  <c r="A15193" i="4"/>
  <c r="A12132" i="4"/>
  <c r="A12131" i="4"/>
  <c r="A12130" i="4"/>
  <c r="A12129" i="4"/>
  <c r="A11008" i="4"/>
  <c r="A1316" i="4"/>
  <c r="A15192" i="4"/>
  <c r="A10955" i="4"/>
  <c r="A10954" i="4"/>
  <c r="A16481" i="4"/>
  <c r="A6950" i="4"/>
  <c r="A13554" i="4"/>
  <c r="A13553" i="4"/>
  <c r="A10691" i="4"/>
  <c r="A25459" i="4"/>
  <c r="A8758" i="4"/>
  <c r="A4848" i="4"/>
  <c r="A25458" i="4"/>
  <c r="A6612" i="4"/>
  <c r="A1315" i="4"/>
  <c r="A1314" i="4"/>
  <c r="A6611" i="4"/>
  <c r="A19736" i="4"/>
  <c r="A25457" i="4"/>
  <c r="A12128" i="4"/>
  <c r="A12127" i="4"/>
  <c r="A8074" i="4"/>
  <c r="A4847" i="4"/>
  <c r="A19735" i="4"/>
  <c r="A6415" i="4"/>
  <c r="A15191" i="4"/>
  <c r="A15190" i="4"/>
  <c r="A10690" i="4"/>
  <c r="A4846" i="4"/>
  <c r="A6414" i="4"/>
  <c r="A6413" i="4"/>
  <c r="A6949" i="4"/>
  <c r="A12908" i="4"/>
  <c r="A12126" i="4"/>
  <c r="A12125" i="4"/>
  <c r="A9193" i="4"/>
  <c r="A25456" i="4"/>
  <c r="A25455" i="4"/>
  <c r="A10689" i="4"/>
  <c r="A10688" i="4"/>
  <c r="A8073" i="4"/>
  <c r="A8072" i="4"/>
  <c r="A8299" i="4"/>
  <c r="A8757" i="4"/>
  <c r="A9192" i="4"/>
  <c r="A9191" i="4"/>
  <c r="A9190" i="4"/>
  <c r="A9189" i="4"/>
  <c r="A12271" i="4"/>
  <c r="A1845" i="4"/>
  <c r="A12270" i="4"/>
  <c r="A10687" i="4"/>
  <c r="A25454" i="4"/>
  <c r="A1844" i="4"/>
  <c r="A13312" i="4"/>
  <c r="A10686" i="4"/>
  <c r="A10685" i="4"/>
  <c r="A1313" i="4"/>
  <c r="A1312" i="4"/>
  <c r="A10684" i="4"/>
  <c r="A1843" i="4"/>
  <c r="A2635" i="4"/>
  <c r="A2634" i="4"/>
  <c r="A25453" i="4"/>
  <c r="A5576" i="4"/>
  <c r="A10683" i="4"/>
  <c r="A25452" i="4"/>
  <c r="A5356" i="4"/>
  <c r="A5355" i="4"/>
  <c r="A6948" i="4"/>
  <c r="A2445" i="4"/>
  <c r="A25451" i="4"/>
  <c r="A25450" i="4"/>
  <c r="A4845" i="4"/>
  <c r="A9188" i="4"/>
  <c r="A4844" i="4"/>
  <c r="A4843" i="4"/>
  <c r="A8316" i="4"/>
  <c r="A8315" i="4"/>
  <c r="A6610" i="4"/>
  <c r="A19734" i="4"/>
  <c r="A19733" i="4"/>
  <c r="A15189" i="4"/>
  <c r="A1311" i="4"/>
  <c r="A4842" i="4"/>
  <c r="A25449" i="4"/>
  <c r="A25448" i="4"/>
  <c r="A17840" i="4"/>
  <c r="A6947" i="4"/>
  <c r="A446" i="4"/>
  <c r="A1310" i="4"/>
  <c r="A15188" i="4"/>
  <c r="A25447" i="4"/>
  <c r="A25446" i="4"/>
  <c r="A8298" i="4"/>
  <c r="A25445" i="4"/>
  <c r="A10682" i="4"/>
  <c r="A1842" i="4"/>
  <c r="A4841" i="4"/>
  <c r="A4840" i="4"/>
  <c r="A15187" i="4"/>
  <c r="A19732" i="4"/>
  <c r="A10681" i="4"/>
  <c r="A25444" i="4"/>
  <c r="A2444" i="4"/>
  <c r="A9187" i="4"/>
  <c r="A9186" i="4"/>
  <c r="A9185" i="4"/>
  <c r="A9184" i="4"/>
  <c r="A9183" i="4"/>
  <c r="A9182" i="4"/>
  <c r="A9181" i="4"/>
  <c r="A6946" i="4"/>
  <c r="A6945" i="4"/>
  <c r="A6944" i="4"/>
  <c r="A6943" i="4"/>
  <c r="A15186" i="4"/>
  <c r="A9180" i="4"/>
  <c r="A9179" i="4"/>
  <c r="A9178" i="4"/>
  <c r="A9177" i="4"/>
  <c r="A8071" i="4"/>
  <c r="A8070" i="4"/>
  <c r="A15185" i="4"/>
  <c r="A10680" i="4"/>
  <c r="A17222" i="4"/>
  <c r="A1841" i="4"/>
  <c r="A4839" i="4"/>
  <c r="A4838" i="4"/>
  <c r="A25443" i="4"/>
  <c r="A445" i="4"/>
  <c r="A444" i="4"/>
  <c r="A25442" i="4"/>
  <c r="A5887" i="4"/>
  <c r="A25441" i="4"/>
  <c r="A1309" i="4"/>
  <c r="A9176" i="4"/>
  <c r="A25440" i="4"/>
  <c r="A25439" i="4"/>
  <c r="A4837" i="4"/>
  <c r="A25438" i="4"/>
  <c r="A25437" i="4"/>
  <c r="A2633" i="4"/>
  <c r="A2632" i="4"/>
  <c r="A25436" i="4"/>
  <c r="A1308" i="4"/>
  <c r="A1307" i="4"/>
  <c r="A1306" i="4"/>
  <c r="A1305" i="4"/>
  <c r="A1304" i="4"/>
  <c r="A4836" i="4"/>
  <c r="A4835" i="4"/>
  <c r="A10679" i="4"/>
  <c r="A19731" i="4"/>
  <c r="A13101" i="4"/>
  <c r="A4834" i="4"/>
  <c r="A25435" i="4"/>
  <c r="A25434" i="4"/>
  <c r="A8069" i="4"/>
  <c r="A25433" i="4"/>
  <c r="A25432" i="4"/>
  <c r="A8068" i="4"/>
  <c r="A12696" i="4"/>
  <c r="A19730" i="4"/>
  <c r="A19729" i="4"/>
  <c r="A25431" i="4"/>
  <c r="A6412" i="4"/>
  <c r="A10678" i="4"/>
  <c r="A10677" i="4"/>
  <c r="A6169" i="4"/>
  <c r="A6942" i="4"/>
  <c r="A1303" i="4"/>
  <c r="A25430" i="4"/>
  <c r="A8067" i="4"/>
  <c r="A6411" i="4"/>
  <c r="A12695" i="4"/>
  <c r="A16480" i="4"/>
  <c r="A16479" i="4"/>
  <c r="A9175" i="4"/>
  <c r="A1302" i="4"/>
  <c r="A10676" i="4"/>
  <c r="A17839" i="4"/>
  <c r="A17349" i="4"/>
  <c r="A25429" i="4"/>
  <c r="A6410" i="4"/>
  <c r="A15184" i="4"/>
  <c r="A4833" i="4"/>
  <c r="A25428" i="4"/>
  <c r="A4832" i="4"/>
  <c r="A15183" i="4"/>
  <c r="A4831" i="4"/>
  <c r="A2631" i="4"/>
  <c r="A25427" i="4"/>
  <c r="A25426" i="4"/>
  <c r="A6941" i="4"/>
  <c r="A6940" i="4"/>
  <c r="A6939" i="4"/>
  <c r="A1906" i="4"/>
  <c r="A10953" i="4"/>
  <c r="A25425" i="4"/>
  <c r="A4830" i="4"/>
  <c r="A2630" i="4"/>
  <c r="A4829" i="4"/>
  <c r="A8756" i="4"/>
  <c r="A25424" i="4"/>
  <c r="A15620" i="4"/>
  <c r="A4828" i="4"/>
  <c r="A12694" i="4"/>
  <c r="A25423" i="4"/>
  <c r="A25422" i="4"/>
  <c r="A17703" i="4"/>
  <c r="A17348" i="4"/>
  <c r="A25421" i="4"/>
  <c r="A25420" i="4"/>
  <c r="A13552" i="4"/>
  <c r="A8066" i="4"/>
  <c r="A8065" i="4"/>
  <c r="A25419" i="4"/>
  <c r="A1301" i="4"/>
  <c r="A1300" i="4"/>
  <c r="A1299" i="4"/>
  <c r="A10675" i="4"/>
  <c r="A8064" i="4"/>
  <c r="A9174" i="4"/>
  <c r="A4827" i="4"/>
  <c r="A25418" i="4"/>
  <c r="A25417" i="4"/>
  <c r="A5780" i="4"/>
  <c r="A17601" i="4"/>
  <c r="A25416" i="4"/>
  <c r="A5886" i="4"/>
  <c r="A5885" i="4"/>
  <c r="A25415" i="4"/>
  <c r="A1298" i="4"/>
  <c r="A4826" i="4"/>
  <c r="A13551" i="4"/>
  <c r="A8063" i="4"/>
  <c r="A19728" i="4"/>
  <c r="A19727" i="4"/>
  <c r="A25414" i="4"/>
  <c r="A25413" i="4"/>
  <c r="A25412" i="4"/>
  <c r="A19726" i="4"/>
  <c r="A25411" i="4"/>
  <c r="A4825" i="4"/>
  <c r="A5884" i="4"/>
  <c r="A5883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4824" i="4"/>
  <c r="A25410" i="4"/>
  <c r="A25409" i="4"/>
  <c r="A8755" i="4"/>
  <c r="A1840" i="4"/>
  <c r="A25408" i="4"/>
  <c r="A1297" i="4"/>
  <c r="A25407" i="4"/>
  <c r="A25406" i="4"/>
  <c r="A25405" i="4"/>
  <c r="A25404" i="4"/>
  <c r="A25403" i="4"/>
  <c r="A25402" i="4"/>
  <c r="A25401" i="4"/>
  <c r="A4823" i="4"/>
  <c r="A1839" i="4"/>
  <c r="A10674" i="4"/>
  <c r="A25400" i="4"/>
  <c r="A10673" i="4"/>
  <c r="A6609" i="4"/>
  <c r="A9173" i="4"/>
  <c r="A10672" i="4"/>
  <c r="A20631" i="4"/>
  <c r="A25399" i="4"/>
  <c r="A25398" i="4"/>
  <c r="A25397" i="4"/>
  <c r="A12124" i="4"/>
  <c r="A12123" i="4"/>
  <c r="A4822" i="4"/>
  <c r="A25396" i="4"/>
  <c r="A5354" i="4"/>
  <c r="A6938" i="4"/>
  <c r="A1296" i="4"/>
  <c r="A4821" i="4"/>
  <c r="A4820" i="4"/>
  <c r="A4819" i="4"/>
  <c r="A10952" i="4"/>
  <c r="A25395" i="4"/>
  <c r="A4818" i="4"/>
  <c r="A10671" i="4"/>
  <c r="A17988" i="4"/>
  <c r="A10670" i="4"/>
  <c r="A15182" i="4"/>
  <c r="A4817" i="4"/>
  <c r="A4816" i="4"/>
  <c r="A8431" i="4"/>
  <c r="A25394" i="4"/>
  <c r="A25393" i="4"/>
  <c r="A8062" i="4"/>
  <c r="A12122" i="4"/>
  <c r="A25392" i="4"/>
  <c r="A2443" i="4"/>
  <c r="A8754" i="4"/>
  <c r="A6608" i="4"/>
  <c r="A8384" i="4"/>
  <c r="A25391" i="4"/>
  <c r="A2629" i="4"/>
  <c r="A2628" i="4"/>
  <c r="A17709" i="4"/>
  <c r="A17708" i="4"/>
  <c r="A8297" i="4"/>
  <c r="A25390" i="4"/>
  <c r="A1295" i="4"/>
  <c r="A1294" i="4"/>
  <c r="A25389" i="4"/>
  <c r="A6607" i="4"/>
  <c r="A15181" i="4"/>
  <c r="A12121" i="4"/>
  <c r="A4815" i="4"/>
  <c r="A8061" i="4"/>
  <c r="A1293" i="4"/>
  <c r="A4814" i="4"/>
  <c r="A15180" i="4"/>
  <c r="A19725" i="4"/>
  <c r="A4813" i="4"/>
  <c r="A10669" i="4"/>
  <c r="A4812" i="4"/>
  <c r="A25388" i="4"/>
  <c r="A25387" i="4"/>
  <c r="A25386" i="4"/>
  <c r="A10668" i="4"/>
  <c r="A12693" i="4"/>
  <c r="A25385" i="4"/>
  <c r="A8060" i="4"/>
  <c r="A25384" i="4"/>
  <c r="A8059" i="4"/>
  <c r="A5575" i="4"/>
  <c r="A5574" i="4"/>
  <c r="A1292" i="4"/>
  <c r="A1291" i="4"/>
  <c r="A1290" i="4"/>
  <c r="A1289" i="4"/>
  <c r="A25383" i="4"/>
  <c r="A443" i="4"/>
  <c r="A25382" i="4"/>
  <c r="A13550" i="4"/>
  <c r="A9172" i="4"/>
  <c r="A9171" i="4"/>
  <c r="A9170" i="4"/>
  <c r="A9169" i="4"/>
  <c r="A9168" i="4"/>
  <c r="A9167" i="4"/>
  <c r="A9166" i="4"/>
  <c r="A9165" i="4"/>
  <c r="A9164" i="4"/>
  <c r="A1288" i="4"/>
  <c r="A4811" i="4"/>
  <c r="A8058" i="4"/>
  <c r="A8057" i="4"/>
  <c r="A4810" i="4"/>
  <c r="A4809" i="4"/>
  <c r="A19724" i="4"/>
  <c r="A4808" i="4"/>
  <c r="A2627" i="4"/>
  <c r="A15179" i="4"/>
  <c r="A4807" i="4"/>
  <c r="A4806" i="4"/>
  <c r="A2626" i="4"/>
  <c r="A2625" i="4"/>
  <c r="A17707" i="4"/>
  <c r="A8056" i="4"/>
  <c r="A25381" i="4"/>
  <c r="A12269" i="4"/>
  <c r="A15178" i="4"/>
  <c r="A25380" i="4"/>
  <c r="A10667" i="4"/>
  <c r="A12692" i="4"/>
  <c r="A9163" i="4"/>
  <c r="A9162" i="4"/>
  <c r="A9161" i="4"/>
  <c r="A9160" i="4"/>
  <c r="A9159" i="4"/>
  <c r="A9158" i="4"/>
  <c r="A25379" i="4"/>
  <c r="A16853" i="4"/>
  <c r="A16852" i="4"/>
  <c r="A25378" i="4"/>
  <c r="A25377" i="4"/>
  <c r="A16851" i="4"/>
  <c r="A16850" i="4"/>
  <c r="A16849" i="4"/>
  <c r="A16848" i="4"/>
  <c r="A16847" i="4"/>
  <c r="A16846" i="4"/>
  <c r="A25376" i="4"/>
  <c r="A19723" i="4"/>
  <c r="A25375" i="4"/>
  <c r="A10666" i="4"/>
  <c r="A25374" i="4"/>
  <c r="A16845" i="4"/>
  <c r="A16844" i="4"/>
  <c r="A25373" i="4"/>
  <c r="A16843" i="4"/>
  <c r="A25372" i="4"/>
  <c r="A16842" i="4"/>
  <c r="A16841" i="4"/>
  <c r="A16840" i="4"/>
  <c r="A16839" i="4"/>
  <c r="A25371" i="4"/>
  <c r="A16838" i="4"/>
  <c r="A16837" i="4"/>
  <c r="A25370" i="4"/>
  <c r="A16836" i="4"/>
  <c r="A16835" i="4"/>
  <c r="A16834" i="4"/>
  <c r="A16833" i="4"/>
  <c r="A16832" i="4"/>
  <c r="A16831" i="4"/>
  <c r="A25369" i="4"/>
  <c r="A16830" i="4"/>
  <c r="A16829" i="4"/>
  <c r="A16828" i="4"/>
  <c r="A4805" i="4"/>
  <c r="A6937" i="4"/>
  <c r="A25368" i="4"/>
  <c r="A6936" i="4"/>
  <c r="A10665" i="4"/>
  <c r="A1838" i="4"/>
  <c r="A10664" i="4"/>
  <c r="A15177" i="4"/>
  <c r="A4804" i="4"/>
  <c r="A4803" i="4"/>
  <c r="A1971" i="4"/>
  <c r="A17987" i="4"/>
  <c r="A25367" i="4"/>
  <c r="A25366" i="4"/>
  <c r="A25365" i="4"/>
  <c r="A4802" i="4"/>
  <c r="A4801" i="4"/>
  <c r="A6606" i="4"/>
  <c r="A2624" i="4"/>
  <c r="A10663" i="4"/>
  <c r="A12691" i="4"/>
  <c r="A12690" i="4"/>
  <c r="A13217" i="4"/>
  <c r="A2442" i="4"/>
  <c r="A12907" i="4"/>
  <c r="A10662" i="4"/>
  <c r="A10661" i="4"/>
  <c r="A8055" i="4"/>
  <c r="A1287" i="4"/>
  <c r="A1286" i="4"/>
  <c r="A25364" i="4"/>
  <c r="A8753" i="4"/>
  <c r="A10660" i="4"/>
  <c r="A10659" i="4"/>
  <c r="A4800" i="4"/>
  <c r="A4799" i="4"/>
  <c r="A10658" i="4"/>
  <c r="A13100" i="4"/>
  <c r="A10657" i="4"/>
  <c r="A25363" i="4"/>
  <c r="A1285" i="4"/>
  <c r="A1284" i="4"/>
  <c r="A1837" i="4"/>
  <c r="A1836" i="4"/>
  <c r="A25362" i="4"/>
  <c r="A1283" i="4"/>
  <c r="A19722" i="4"/>
  <c r="A8752" i="4"/>
  <c r="A10656" i="4"/>
  <c r="A6935" i="4"/>
  <c r="A1282" i="4"/>
  <c r="A4798" i="4"/>
  <c r="A25361" i="4"/>
  <c r="A25360" i="4"/>
  <c r="A17221" i="4"/>
  <c r="A1281" i="4"/>
  <c r="A4797" i="4"/>
  <c r="A25359" i="4"/>
  <c r="A6168" i="4"/>
  <c r="A5744" i="4"/>
  <c r="A13549" i="4"/>
  <c r="A4796" i="4"/>
  <c r="A10655" i="4"/>
  <c r="A13099" i="4"/>
  <c r="A25358" i="4"/>
  <c r="A6934" i="4"/>
  <c r="A1835" i="4"/>
  <c r="A9157" i="4"/>
  <c r="A9156" i="4"/>
  <c r="A6933" i="4"/>
  <c r="A6932" i="4"/>
  <c r="A15176" i="4"/>
  <c r="A1280" i="4"/>
  <c r="A25357" i="4"/>
  <c r="A25356" i="4"/>
  <c r="A10654" i="4"/>
  <c r="A25355" i="4"/>
  <c r="A15175" i="4"/>
  <c r="A6167" i="4"/>
  <c r="A15174" i="4"/>
  <c r="A20630" i="4"/>
  <c r="A8751" i="4"/>
  <c r="A25354" i="4"/>
  <c r="A1279" i="4"/>
  <c r="A10653" i="4"/>
  <c r="A4795" i="4"/>
  <c r="A15173" i="4"/>
  <c r="A4794" i="4"/>
  <c r="A17347" i="4"/>
  <c r="A10652" i="4"/>
  <c r="A1834" i="4"/>
  <c r="A15172" i="4"/>
  <c r="A19721" i="4"/>
  <c r="A19720" i="4"/>
  <c r="A19719" i="4"/>
  <c r="A5882" i="4"/>
  <c r="A2623" i="4"/>
  <c r="A15171" i="4"/>
  <c r="A6931" i="4"/>
  <c r="A25353" i="4"/>
  <c r="A25352" i="4"/>
  <c r="A8750" i="4"/>
  <c r="A25351" i="4"/>
  <c r="A12120" i="4"/>
  <c r="A1684" i="4"/>
  <c r="A10651" i="4"/>
  <c r="A25350" i="4"/>
  <c r="A25349" i="4"/>
  <c r="A6166" i="4"/>
  <c r="A19718" i="4"/>
  <c r="A17838" i="4"/>
  <c r="A25348" i="4"/>
  <c r="A25347" i="4"/>
  <c r="A6930" i="4"/>
  <c r="A6929" i="4"/>
  <c r="A1278" i="4"/>
  <c r="A10650" i="4"/>
  <c r="A12119" i="4"/>
  <c r="A6409" i="4"/>
  <c r="A19717" i="4"/>
  <c r="A25346" i="4"/>
  <c r="A25345" i="4"/>
  <c r="A25344" i="4"/>
  <c r="A5573" i="4"/>
  <c r="A5572" i="4"/>
  <c r="A1277" i="4"/>
  <c r="A15170" i="4"/>
  <c r="A10649" i="4"/>
  <c r="A13548" i="4"/>
  <c r="A6605" i="4"/>
  <c r="A4793" i="4"/>
  <c r="A12118" i="4"/>
  <c r="A13547" i="4"/>
  <c r="A10648" i="4"/>
  <c r="A10647" i="4"/>
  <c r="A25343" i="4"/>
  <c r="A4792" i="4"/>
  <c r="A25342" i="4"/>
  <c r="A8749" i="4"/>
  <c r="A4791" i="4"/>
  <c r="A5779" i="4"/>
  <c r="A5778" i="4"/>
  <c r="A5777" i="4"/>
  <c r="A5776" i="4"/>
  <c r="A17837" i="4"/>
  <c r="A4790" i="4"/>
  <c r="A19716" i="4"/>
  <c r="A4789" i="4"/>
  <c r="A4788" i="4"/>
  <c r="A13098" i="4"/>
  <c r="A1833" i="4"/>
  <c r="A12268" i="4"/>
  <c r="A6604" i="4"/>
  <c r="A4787" i="4"/>
  <c r="A10646" i="4"/>
  <c r="A25341" i="4"/>
  <c r="A12267" i="4"/>
  <c r="A4786" i="4"/>
  <c r="A19715" i="4"/>
  <c r="A19714" i="4"/>
  <c r="A19713" i="4"/>
  <c r="A19712" i="4"/>
  <c r="A19711" i="4"/>
  <c r="A25340" i="4"/>
  <c r="A19710" i="4"/>
  <c r="A19709" i="4"/>
  <c r="A19708" i="4"/>
  <c r="A19707" i="4"/>
  <c r="A25339" i="4"/>
  <c r="A19706" i="4"/>
  <c r="A19705" i="4"/>
  <c r="A19704" i="4"/>
  <c r="A19703" i="4"/>
  <c r="A25338" i="4"/>
  <c r="A10645" i="4"/>
  <c r="A25337" i="4"/>
  <c r="A10644" i="4"/>
  <c r="A10643" i="4"/>
  <c r="A25336" i="4"/>
  <c r="A4785" i="4"/>
  <c r="A10642" i="4"/>
  <c r="A10641" i="4"/>
  <c r="A4784" i="4"/>
  <c r="A6928" i="4"/>
  <c r="A6927" i="4"/>
  <c r="A6926" i="4"/>
  <c r="A10640" i="4"/>
  <c r="A17836" i="4"/>
  <c r="A4783" i="4"/>
  <c r="A25335" i="4"/>
  <c r="A25334" i="4"/>
  <c r="A25333" i="4"/>
  <c r="A25332" i="4"/>
  <c r="A25331" i="4"/>
  <c r="A442" i="4"/>
  <c r="A16478" i="4"/>
  <c r="A16477" i="4"/>
  <c r="A16476" i="4"/>
  <c r="A16475" i="4"/>
  <c r="A25330" i="4"/>
  <c r="A1905" i="4"/>
  <c r="A169" i="4"/>
  <c r="A4782" i="4"/>
  <c r="A15558" i="4"/>
  <c r="A12117" i="4"/>
  <c r="A10639" i="4"/>
  <c r="A25329" i="4"/>
  <c r="A15169" i="4"/>
  <c r="A10638" i="4"/>
  <c r="A20702" i="4"/>
  <c r="A25328" i="4"/>
  <c r="A6603" i="4"/>
  <c r="A13546" i="4"/>
  <c r="A441" i="4"/>
  <c r="A440" i="4"/>
  <c r="A20629" i="4"/>
  <c r="A20628" i="4"/>
  <c r="A20627" i="4"/>
  <c r="A8054" i="4"/>
  <c r="A25327" i="4"/>
  <c r="A4781" i="4"/>
  <c r="A4780" i="4"/>
  <c r="A19702" i="4"/>
  <c r="A19701" i="4"/>
  <c r="A19700" i="4"/>
  <c r="A19699" i="4"/>
  <c r="A19698" i="4"/>
  <c r="A19697" i="4"/>
  <c r="A10951" i="4"/>
  <c r="A25326" i="4"/>
  <c r="A5571" i="4"/>
  <c r="A8748" i="4"/>
  <c r="A4779" i="4"/>
  <c r="A4778" i="4"/>
  <c r="A19696" i="4"/>
  <c r="A10637" i="4"/>
  <c r="A4777" i="4"/>
  <c r="A25325" i="4"/>
  <c r="A6925" i="4"/>
  <c r="A6924" i="4"/>
  <c r="A12689" i="4"/>
  <c r="A25324" i="4"/>
  <c r="A10636" i="4"/>
  <c r="A8053" i="4"/>
  <c r="A8052" i="4"/>
  <c r="A25323" i="4"/>
  <c r="A25322" i="4"/>
  <c r="A13545" i="4"/>
  <c r="A13544" i="4"/>
  <c r="A6923" i="4"/>
  <c r="A4776" i="4"/>
  <c r="A13543" i="4"/>
  <c r="A13216" i="4"/>
  <c r="A13215" i="4"/>
  <c r="A8051" i="4"/>
  <c r="A25321" i="4"/>
  <c r="A13311" i="4"/>
  <c r="A13310" i="4"/>
  <c r="A8050" i="4"/>
  <c r="A1832" i="4"/>
  <c r="A10950" i="4"/>
  <c r="A10635" i="4"/>
  <c r="A5570" i="4"/>
  <c r="A16474" i="4"/>
  <c r="A8049" i="4"/>
  <c r="A8747" i="4"/>
  <c r="A16473" i="4"/>
  <c r="A149" i="4"/>
  <c r="A13542" i="4"/>
  <c r="A12688" i="4"/>
  <c r="A12687" i="4"/>
  <c r="A13541" i="4"/>
  <c r="A5353" i="4"/>
  <c r="A5352" i="4"/>
  <c r="A15168" i="4"/>
  <c r="A25320" i="4"/>
  <c r="A12686" i="4"/>
  <c r="A25319" i="4"/>
  <c r="A25318" i="4"/>
  <c r="A8746" i="4"/>
  <c r="A8296" i="4"/>
  <c r="A8745" i="4"/>
  <c r="A6922" i="4"/>
  <c r="A25317" i="4"/>
  <c r="A8048" i="4"/>
  <c r="A4775" i="4"/>
  <c r="A15167" i="4"/>
  <c r="A17986" i="4"/>
  <c r="A15166" i="4"/>
  <c r="A4774" i="4"/>
  <c r="A16472" i="4"/>
  <c r="A25316" i="4"/>
  <c r="A25315" i="4"/>
  <c r="A17600" i="4"/>
  <c r="A1276" i="4"/>
  <c r="A6408" i="4"/>
  <c r="A8047" i="4"/>
  <c r="A12116" i="4"/>
  <c r="A12115" i="4"/>
  <c r="A1831" i="4"/>
  <c r="A1970" i="4"/>
  <c r="A12685" i="4"/>
  <c r="A2441" i="4"/>
  <c r="A6921" i="4"/>
  <c r="A25314" i="4"/>
  <c r="A6920" i="4"/>
  <c r="A25313" i="4"/>
  <c r="A6165" i="4"/>
  <c r="A2476" i="4"/>
  <c r="A4773" i="4"/>
  <c r="A4772" i="4"/>
  <c r="A1275" i="4"/>
  <c r="A4771" i="4"/>
  <c r="A4770" i="4"/>
  <c r="A4769" i="4"/>
  <c r="A25312" i="4"/>
  <c r="A25311" i="4"/>
  <c r="A25310" i="4"/>
  <c r="A6919" i="4"/>
  <c r="A8046" i="4"/>
  <c r="A25309" i="4"/>
  <c r="A17346" i="4"/>
  <c r="A13540" i="4"/>
  <c r="A12114" i="4"/>
  <c r="A12275" i="4"/>
  <c r="A12274" i="4"/>
  <c r="A4768" i="4"/>
  <c r="A20626" i="4"/>
  <c r="A2622" i="4"/>
  <c r="A2621" i="4"/>
  <c r="A25308" i="4"/>
  <c r="A2620" i="4"/>
  <c r="A2619" i="4"/>
  <c r="A10949" i="4"/>
  <c r="A25307" i="4"/>
  <c r="A25306" i="4"/>
  <c r="A5569" i="4"/>
  <c r="A5568" i="4"/>
  <c r="A25305" i="4"/>
  <c r="A17835" i="4"/>
  <c r="A10634" i="4"/>
  <c r="A9155" i="4"/>
  <c r="A9154" i="4"/>
  <c r="A9153" i="4"/>
  <c r="A19695" i="4"/>
  <c r="A12266" i="4"/>
  <c r="A10633" i="4"/>
  <c r="A6602" i="4"/>
  <c r="A4767" i="4"/>
  <c r="A6918" i="4"/>
  <c r="A6164" i="4"/>
  <c r="A4766" i="4"/>
  <c r="A25304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274" i="4"/>
  <c r="A25303" i="4"/>
  <c r="A2618" i="4"/>
  <c r="A2617" i="4"/>
  <c r="A8045" i="4"/>
  <c r="A8044" i="4"/>
  <c r="A8043" i="4"/>
  <c r="A25302" i="4"/>
  <c r="A25301" i="4"/>
  <c r="A25300" i="4"/>
  <c r="A1273" i="4"/>
  <c r="A1272" i="4"/>
  <c r="A10632" i="4"/>
  <c r="A4765" i="4"/>
  <c r="A10631" i="4"/>
  <c r="A25299" i="4"/>
  <c r="A4764" i="4"/>
  <c r="A19683" i="4"/>
  <c r="A19682" i="4"/>
  <c r="A19681" i="4"/>
  <c r="A25298" i="4"/>
  <c r="A19680" i="4"/>
  <c r="A19679" i="4"/>
  <c r="A19678" i="4"/>
  <c r="A19677" i="4"/>
  <c r="A25297" i="4"/>
  <c r="A25296" i="4"/>
  <c r="A25295" i="4"/>
  <c r="A19676" i="4"/>
  <c r="A19675" i="4"/>
  <c r="A19674" i="4"/>
  <c r="A19673" i="4"/>
  <c r="A19672" i="4"/>
  <c r="A19671" i="4"/>
  <c r="A19670" i="4"/>
  <c r="A19669" i="4"/>
  <c r="A25294" i="4"/>
  <c r="A19668" i="4"/>
  <c r="A25293" i="4"/>
  <c r="A19667" i="4"/>
  <c r="A25292" i="4"/>
  <c r="A19666" i="4"/>
  <c r="A25291" i="4"/>
  <c r="A19665" i="4"/>
  <c r="A19664" i="4"/>
  <c r="A19663" i="4"/>
  <c r="A19662" i="4"/>
  <c r="A8042" i="4"/>
  <c r="A8041" i="4"/>
  <c r="A13309" i="4"/>
  <c r="A4763" i="4"/>
  <c r="A13629" i="4"/>
  <c r="A25290" i="4"/>
  <c r="A9152" i="4"/>
  <c r="A13539" i="4"/>
  <c r="A15165" i="4"/>
  <c r="A10630" i="4"/>
  <c r="A15164" i="4"/>
  <c r="A4762" i="4"/>
  <c r="A16827" i="4"/>
  <c r="A25289" i="4"/>
  <c r="A16826" i="4"/>
  <c r="A25288" i="4"/>
  <c r="A25287" i="4"/>
  <c r="A19661" i="4"/>
  <c r="A19660" i="4"/>
  <c r="A25286" i="4"/>
  <c r="A19659" i="4"/>
  <c r="A4761" i="4"/>
  <c r="A4760" i="4"/>
  <c r="A25285" i="4"/>
  <c r="A25284" i="4"/>
  <c r="A25283" i="4"/>
  <c r="A4759" i="4"/>
  <c r="A4758" i="4"/>
  <c r="A6163" i="4"/>
  <c r="A4757" i="4"/>
  <c r="A4756" i="4"/>
  <c r="A25282" i="4"/>
  <c r="A19658" i="4"/>
  <c r="A25281" i="4"/>
  <c r="A25280" i="4"/>
  <c r="A17345" i="4"/>
  <c r="A4755" i="4"/>
  <c r="A4754" i="4"/>
  <c r="A8744" i="4"/>
  <c r="A4753" i="4"/>
  <c r="A4752" i="4"/>
  <c r="A17985" i="4"/>
  <c r="A25279" i="4"/>
  <c r="A4751" i="4"/>
  <c r="A4750" i="4"/>
  <c r="A4749" i="4"/>
  <c r="A1904" i="4"/>
  <c r="A25278" i="4"/>
  <c r="A25277" i="4"/>
  <c r="A19657" i="4"/>
  <c r="A25276" i="4"/>
  <c r="A25275" i="4"/>
  <c r="A19656" i="4"/>
  <c r="A25274" i="4"/>
  <c r="A19655" i="4"/>
  <c r="A25273" i="4"/>
  <c r="A25272" i="4"/>
  <c r="A19654" i="4"/>
  <c r="A19653" i="4"/>
  <c r="A25271" i="4"/>
  <c r="A19652" i="4"/>
  <c r="A19651" i="4"/>
  <c r="A19650" i="4"/>
  <c r="A25270" i="4"/>
  <c r="A25269" i="4"/>
  <c r="A25268" i="4"/>
  <c r="A6917" i="4"/>
  <c r="A15619" i="4"/>
  <c r="A16825" i="4"/>
  <c r="A25267" i="4"/>
  <c r="A8743" i="4"/>
  <c r="A1271" i="4"/>
  <c r="A8742" i="4"/>
  <c r="A17660" i="4"/>
  <c r="A1270" i="4"/>
  <c r="A25266" i="4"/>
  <c r="A12113" i="4"/>
  <c r="A25265" i="4"/>
  <c r="A25264" i="4"/>
  <c r="A1269" i="4"/>
  <c r="A15163" i="4"/>
  <c r="A25263" i="4"/>
  <c r="A8040" i="4"/>
  <c r="A8039" i="4"/>
  <c r="A8038" i="4"/>
  <c r="A4748" i="4"/>
  <c r="A25262" i="4"/>
  <c r="A12112" i="4"/>
  <c r="A4747" i="4"/>
  <c r="A10629" i="4"/>
  <c r="A12111" i="4"/>
  <c r="A12110" i="4"/>
  <c r="A17834" i="4"/>
  <c r="A25261" i="4"/>
  <c r="A2616" i="4"/>
  <c r="A2615" i="4"/>
  <c r="A10948" i="4"/>
  <c r="A10947" i="4"/>
  <c r="A10946" i="4"/>
  <c r="A16471" i="4"/>
  <c r="A25260" i="4"/>
  <c r="A25259" i="4"/>
  <c r="A12684" i="4"/>
  <c r="A10628" i="4"/>
  <c r="A10627" i="4"/>
  <c r="A15162" i="4"/>
  <c r="A4746" i="4"/>
  <c r="A4745" i="4"/>
  <c r="A4744" i="4"/>
  <c r="A4743" i="4"/>
  <c r="A4742" i="4"/>
  <c r="A1830" i="4"/>
  <c r="A6916" i="4"/>
  <c r="A6915" i="4"/>
  <c r="A6914" i="4"/>
  <c r="A15557" i="4"/>
  <c r="A25258" i="4"/>
  <c r="A4741" i="4"/>
  <c r="A25257" i="4"/>
  <c r="A10626" i="4"/>
  <c r="A25256" i="4"/>
  <c r="A8741" i="4"/>
  <c r="A4740" i="4"/>
  <c r="A25255" i="4"/>
  <c r="A25254" i="4"/>
  <c r="A25253" i="4"/>
  <c r="A25252" i="4"/>
  <c r="A12109" i="4"/>
  <c r="A1268" i="4"/>
  <c r="A4739" i="4"/>
  <c r="A4738" i="4"/>
  <c r="A10625" i="4"/>
  <c r="A6162" i="4"/>
  <c r="A6161" i="4"/>
  <c r="A6160" i="4"/>
  <c r="A8037" i="4"/>
  <c r="A1829" i="4"/>
  <c r="A25251" i="4"/>
  <c r="A4737" i="4"/>
  <c r="A6913" i="4"/>
  <c r="A25250" i="4"/>
  <c r="A17220" i="4"/>
  <c r="A8740" i="4"/>
  <c r="A8430" i="4"/>
  <c r="A25249" i="4"/>
  <c r="A25248" i="4"/>
  <c r="A15161" i="4"/>
  <c r="A8739" i="4"/>
  <c r="A9151" i="4"/>
  <c r="A9150" i="4"/>
  <c r="A6159" i="4"/>
  <c r="A12108" i="4"/>
  <c r="A25247" i="4"/>
  <c r="A25246" i="4"/>
  <c r="A25245" i="4"/>
  <c r="A20625" i="4"/>
  <c r="A1267" i="4"/>
  <c r="A1266" i="4"/>
  <c r="A4736" i="4"/>
  <c r="A25244" i="4"/>
  <c r="A13308" i="4"/>
  <c r="A25243" i="4"/>
  <c r="A2614" i="4"/>
  <c r="A2613" i="4"/>
  <c r="A17219" i="4"/>
  <c r="A8036" i="4"/>
  <c r="A1265" i="4"/>
  <c r="A1264" i="4"/>
  <c r="A1263" i="4"/>
  <c r="A16470" i="4"/>
  <c r="A25242" i="4"/>
  <c r="A4735" i="4"/>
  <c r="A10624" i="4"/>
  <c r="A4734" i="4"/>
  <c r="A10623" i="4"/>
  <c r="A25241" i="4"/>
  <c r="A25240" i="4"/>
  <c r="A25239" i="4"/>
  <c r="A8738" i="4"/>
  <c r="A10945" i="4"/>
  <c r="A5351" i="4"/>
  <c r="A25238" i="4"/>
  <c r="A8035" i="4"/>
  <c r="A25237" i="4"/>
  <c r="A25236" i="4"/>
  <c r="A2612" i="4"/>
  <c r="A2611" i="4"/>
  <c r="A8034" i="4"/>
  <c r="A8033" i="4"/>
  <c r="A5567" i="4"/>
  <c r="A1262" i="4"/>
  <c r="A25235" i="4"/>
  <c r="A5881" i="4"/>
  <c r="A16824" i="4"/>
  <c r="A16823" i="4"/>
  <c r="A16822" i="4"/>
  <c r="A16821" i="4"/>
  <c r="A16820" i="4"/>
  <c r="A16819" i="4"/>
  <c r="A16818" i="4"/>
  <c r="A16817" i="4"/>
  <c r="A16816" i="4"/>
  <c r="A25234" i="4"/>
  <c r="A16815" i="4"/>
  <c r="A25233" i="4"/>
  <c r="A16814" i="4"/>
  <c r="A25232" i="4"/>
  <c r="A1261" i="4"/>
  <c r="A19649" i="4"/>
  <c r="A19648" i="4"/>
  <c r="A5743" i="4"/>
  <c r="A25231" i="4"/>
  <c r="A4733" i="4"/>
  <c r="A15160" i="4"/>
  <c r="A25230" i="4"/>
  <c r="A4732" i="4"/>
  <c r="A12107" i="4"/>
  <c r="A6158" i="4"/>
  <c r="A6157" i="4"/>
  <c r="A25229" i="4"/>
  <c r="A6156" i="4"/>
  <c r="A6155" i="4"/>
  <c r="A25228" i="4"/>
  <c r="A12683" i="4"/>
  <c r="A8032" i="4"/>
  <c r="A4731" i="4"/>
  <c r="A13097" i="4"/>
  <c r="A6912" i="4"/>
  <c r="A17984" i="4"/>
  <c r="A25227" i="4"/>
  <c r="A4730" i="4"/>
  <c r="A6911" i="4"/>
  <c r="A1828" i="4"/>
  <c r="A18058" i="4"/>
  <c r="A18057" i="4"/>
  <c r="A15159" i="4"/>
  <c r="A12106" i="4"/>
  <c r="A12105" i="4"/>
  <c r="A25226" i="4"/>
  <c r="A8031" i="4"/>
  <c r="A15158" i="4"/>
  <c r="A10622" i="4"/>
  <c r="A25225" i="4"/>
  <c r="A9149" i="4"/>
  <c r="A8030" i="4"/>
  <c r="A8737" i="4"/>
  <c r="A4729" i="4"/>
  <c r="A17659" i="4"/>
  <c r="A25224" i="4"/>
  <c r="A25223" i="4"/>
  <c r="A1260" i="4"/>
  <c r="A1259" i="4"/>
  <c r="A1258" i="4"/>
  <c r="A1257" i="4"/>
  <c r="A25222" i="4"/>
  <c r="A1969" i="4"/>
  <c r="A25221" i="4"/>
  <c r="A25220" i="4"/>
  <c r="A10621" i="4"/>
  <c r="A4728" i="4"/>
  <c r="A4727" i="4"/>
  <c r="A1256" i="4"/>
  <c r="A19647" i="4"/>
  <c r="A19646" i="4"/>
  <c r="A25219" i="4"/>
  <c r="A4726" i="4"/>
  <c r="A10620" i="4"/>
  <c r="A4725" i="4"/>
  <c r="A4724" i="4"/>
  <c r="A4723" i="4"/>
  <c r="A6910" i="4"/>
  <c r="A25218" i="4"/>
  <c r="A6407" i="4"/>
  <c r="A10619" i="4"/>
  <c r="A439" i="4"/>
  <c r="A438" i="4"/>
  <c r="A437" i="4"/>
  <c r="A25217" i="4"/>
  <c r="A1255" i="4"/>
  <c r="A4722" i="4"/>
  <c r="A8736" i="4"/>
  <c r="A10618" i="4"/>
  <c r="A25216" i="4"/>
  <c r="A1254" i="4"/>
  <c r="A25215" i="4"/>
  <c r="A25214" i="4"/>
  <c r="A17983" i="4"/>
  <c r="A25213" i="4"/>
  <c r="A8735" i="4"/>
  <c r="A10617" i="4"/>
  <c r="A12682" i="4"/>
  <c r="A8029" i="4"/>
  <c r="A8028" i="4"/>
  <c r="A8027" i="4"/>
  <c r="A6406" i="4"/>
  <c r="A19645" i="4"/>
  <c r="A17833" i="4"/>
  <c r="A4721" i="4"/>
  <c r="A25212" i="4"/>
  <c r="A4720" i="4"/>
  <c r="A6154" i="4"/>
  <c r="A6153" i="4"/>
  <c r="A4719" i="4"/>
  <c r="A13307" i="4"/>
  <c r="A5566" i="4"/>
  <c r="A1253" i="4"/>
  <c r="A1252" i="4"/>
  <c r="A1251" i="4"/>
  <c r="A4718" i="4"/>
  <c r="A4717" i="4"/>
  <c r="A4716" i="4"/>
  <c r="A4715" i="4"/>
  <c r="A19644" i="4"/>
  <c r="A1827" i="4"/>
  <c r="A25211" i="4"/>
  <c r="A13628" i="4"/>
  <c r="A4714" i="4"/>
  <c r="A6405" i="4"/>
  <c r="A6909" i="4"/>
  <c r="A10616" i="4"/>
  <c r="A10944" i="4"/>
  <c r="A10943" i="4"/>
  <c r="A12681" i="4"/>
  <c r="A1250" i="4"/>
  <c r="A1249" i="4"/>
  <c r="A17344" i="4"/>
  <c r="A17343" i="4"/>
  <c r="A17342" i="4"/>
  <c r="A17341" i="4"/>
  <c r="A17340" i="4"/>
  <c r="A17339" i="4"/>
  <c r="A12104" i="4"/>
  <c r="A25210" i="4"/>
  <c r="A25209" i="4"/>
  <c r="A1826" i="4"/>
  <c r="A15157" i="4"/>
  <c r="A10615" i="4"/>
  <c r="A436" i="4"/>
  <c r="A4713" i="4"/>
  <c r="A25208" i="4"/>
  <c r="A17982" i="4"/>
  <c r="A15156" i="4"/>
  <c r="A25207" i="4"/>
  <c r="A16469" i="4"/>
  <c r="A20624" i="4"/>
  <c r="A15155" i="4"/>
  <c r="A1825" i="4"/>
  <c r="A12103" i="4"/>
  <c r="A25206" i="4"/>
  <c r="A25205" i="4"/>
  <c r="A10942" i="4"/>
  <c r="A10941" i="4"/>
  <c r="A5350" i="4"/>
  <c r="A4712" i="4"/>
  <c r="A1824" i="4"/>
  <c r="A12680" i="4"/>
  <c r="A4711" i="4"/>
  <c r="A4710" i="4"/>
  <c r="A5880" i="4"/>
  <c r="A5879" i="4"/>
  <c r="A4709" i="4"/>
  <c r="A8734" i="4"/>
  <c r="A4708" i="4"/>
  <c r="A10940" i="4"/>
  <c r="A25204" i="4"/>
  <c r="A25203" i="4"/>
  <c r="A25202" i="4"/>
  <c r="A25201" i="4"/>
  <c r="A25200" i="4"/>
  <c r="A25199" i="4"/>
  <c r="A25198" i="4"/>
  <c r="A25197" i="4"/>
  <c r="A25196" i="4"/>
  <c r="A25195" i="4"/>
  <c r="A25194" i="4"/>
  <c r="A25193" i="4"/>
  <c r="A25192" i="4"/>
  <c r="A25191" i="4"/>
  <c r="A25190" i="4"/>
  <c r="A25189" i="4"/>
  <c r="A25188" i="4"/>
  <c r="A25187" i="4"/>
  <c r="A25186" i="4"/>
  <c r="A25185" i="4"/>
  <c r="A25184" i="4"/>
  <c r="A25183" i="4"/>
  <c r="A25182" i="4"/>
  <c r="A25181" i="4"/>
  <c r="A25180" i="4"/>
  <c r="A25179" i="4"/>
  <c r="A25178" i="4"/>
  <c r="A6908" i="4"/>
  <c r="A25177" i="4"/>
  <c r="A25176" i="4"/>
  <c r="A8026" i="4"/>
  <c r="A8025" i="4"/>
  <c r="A12102" i="4"/>
  <c r="A25175" i="4"/>
  <c r="A25174" i="4"/>
  <c r="A25173" i="4"/>
  <c r="A25172" i="4"/>
  <c r="A25171" i="4"/>
  <c r="A8024" i="4"/>
  <c r="A5565" i="4"/>
  <c r="A25170" i="4"/>
  <c r="A5564" i="4"/>
  <c r="A25169" i="4"/>
  <c r="A25168" i="4"/>
  <c r="A25167" i="4"/>
  <c r="A25166" i="4"/>
  <c r="A25165" i="4"/>
  <c r="A25164" i="4"/>
  <c r="A4707" i="4"/>
  <c r="A17338" i="4"/>
  <c r="A25163" i="4"/>
  <c r="A12679" i="4"/>
  <c r="A12678" i="4"/>
  <c r="A25162" i="4"/>
  <c r="A8023" i="4"/>
  <c r="A16468" i="4"/>
  <c r="A10614" i="4"/>
  <c r="A9148" i="4"/>
  <c r="A12677" i="4"/>
  <c r="A10613" i="4"/>
  <c r="A8733" i="4"/>
  <c r="A12676" i="4"/>
  <c r="A5563" i="4"/>
  <c r="A13538" i="4"/>
  <c r="A6907" i="4"/>
  <c r="A8022" i="4"/>
  <c r="A8021" i="4"/>
  <c r="A10612" i="4"/>
  <c r="A2610" i="4"/>
  <c r="A2609" i="4"/>
  <c r="A25161" i="4"/>
  <c r="A4706" i="4"/>
  <c r="A12846" i="4"/>
  <c r="A1248" i="4"/>
  <c r="A1247" i="4"/>
  <c r="A1246" i="4"/>
  <c r="A25160" i="4"/>
  <c r="A1245" i="4"/>
  <c r="A10611" i="4"/>
  <c r="A25159" i="4"/>
  <c r="A25158" i="4"/>
  <c r="A13537" i="4"/>
  <c r="A10610" i="4"/>
  <c r="A8732" i="4"/>
  <c r="A8731" i="4"/>
  <c r="A25157" i="4"/>
  <c r="A8730" i="4"/>
  <c r="A12845" i="4"/>
  <c r="A12675" i="4"/>
  <c r="A10609" i="4"/>
  <c r="A4705" i="4"/>
  <c r="A19643" i="4"/>
  <c r="A25156" i="4"/>
  <c r="A4704" i="4"/>
  <c r="A8020" i="4"/>
  <c r="A25155" i="4"/>
  <c r="A8019" i="4"/>
  <c r="A1244" i="4"/>
  <c r="A1243" i="4"/>
  <c r="A1242" i="4"/>
  <c r="A25154" i="4"/>
  <c r="A8729" i="4"/>
  <c r="A6152" i="4"/>
  <c r="A19642" i="4"/>
  <c r="A19641" i="4"/>
  <c r="A4703" i="4"/>
  <c r="A25153" i="4"/>
  <c r="A19640" i="4"/>
  <c r="A19639" i="4"/>
  <c r="A13096" i="4"/>
  <c r="A25152" i="4"/>
  <c r="A25151" i="4"/>
  <c r="A25150" i="4"/>
  <c r="A4702" i="4"/>
  <c r="A4701" i="4"/>
  <c r="A17981" i="4"/>
  <c r="A25149" i="4"/>
  <c r="A25148" i="4"/>
  <c r="A13627" i="4"/>
  <c r="A4700" i="4"/>
  <c r="A4699" i="4"/>
  <c r="A25147" i="4"/>
  <c r="A4698" i="4"/>
  <c r="A5243" i="4"/>
  <c r="A2608" i="4"/>
  <c r="A2607" i="4"/>
  <c r="A25146" i="4"/>
  <c r="A1241" i="4"/>
  <c r="A4697" i="4"/>
  <c r="A9147" i="4"/>
  <c r="A6601" i="4"/>
  <c r="A4696" i="4"/>
  <c r="A12674" i="4"/>
  <c r="A12673" i="4"/>
  <c r="A8018" i="4"/>
  <c r="A10608" i="4"/>
  <c r="A17980" i="4"/>
  <c r="A25145" i="4"/>
  <c r="A17218" i="4"/>
  <c r="A19638" i="4"/>
  <c r="A17337" i="4"/>
  <c r="A4695" i="4"/>
  <c r="A4694" i="4"/>
  <c r="A25144" i="4"/>
  <c r="A25143" i="4"/>
  <c r="A5562" i="4"/>
  <c r="A15556" i="4"/>
  <c r="A17336" i="4"/>
  <c r="A12101" i="4"/>
  <c r="A6906" i="4"/>
  <c r="A12844" i="4"/>
  <c r="A1240" i="4"/>
  <c r="A25142" i="4"/>
  <c r="A12672" i="4"/>
  <c r="A17832" i="4"/>
  <c r="A17831" i="4"/>
  <c r="A17830" i="4"/>
  <c r="A17829" i="4"/>
  <c r="A9923" i="4"/>
  <c r="A16467" i="4"/>
  <c r="A25141" i="4"/>
  <c r="A25140" i="4"/>
  <c r="A1239" i="4"/>
  <c r="A25139" i="4"/>
  <c r="A6600" i="4"/>
  <c r="A25138" i="4"/>
  <c r="A5878" i="4"/>
  <c r="A20623" i="4"/>
  <c r="A15154" i="4"/>
  <c r="A9922" i="4"/>
  <c r="A15153" i="4"/>
  <c r="A19637" i="4"/>
  <c r="A13306" i="4"/>
  <c r="A19636" i="4"/>
  <c r="A4693" i="4"/>
  <c r="A4692" i="4"/>
  <c r="A1823" i="4"/>
  <c r="A4691" i="4"/>
  <c r="A4690" i="4"/>
  <c r="A4689" i="4"/>
  <c r="A25137" i="4"/>
  <c r="A12671" i="4"/>
  <c r="A12670" i="4"/>
  <c r="A4688" i="4"/>
  <c r="A25136" i="4"/>
  <c r="A6151" i="4"/>
  <c r="A25135" i="4"/>
  <c r="A20622" i="4"/>
  <c r="A20621" i="4"/>
  <c r="A8017" i="4"/>
  <c r="A25134" i="4"/>
  <c r="A5877" i="4"/>
  <c r="A25133" i="4"/>
  <c r="A12669" i="4"/>
  <c r="A12668" i="4"/>
  <c r="A10607" i="4"/>
  <c r="A6905" i="4"/>
  <c r="A4687" i="4"/>
  <c r="A25132" i="4"/>
  <c r="A25131" i="4"/>
  <c r="A10606" i="4"/>
  <c r="A8728" i="4"/>
  <c r="A2606" i="4"/>
  <c r="A5742" i="4"/>
  <c r="A4686" i="4"/>
  <c r="A25130" i="4"/>
  <c r="A25129" i="4"/>
  <c r="A6404" i="4"/>
  <c r="A15152" i="4"/>
  <c r="A1238" i="4"/>
  <c r="A1237" i="4"/>
  <c r="A1236" i="4"/>
  <c r="A17979" i="4"/>
  <c r="A13536" i="4"/>
  <c r="A6904" i="4"/>
  <c r="A6903" i="4"/>
  <c r="A25128" i="4"/>
  <c r="A10939" i="4"/>
  <c r="A1822" i="4"/>
  <c r="A8295" i="4"/>
  <c r="A1235" i="4"/>
  <c r="A1234" i="4"/>
  <c r="A1233" i="4"/>
  <c r="A1232" i="4"/>
  <c r="A1231" i="4"/>
  <c r="A1230" i="4"/>
  <c r="A13535" i="4"/>
  <c r="A12667" i="4"/>
  <c r="A25127" i="4"/>
  <c r="A25126" i="4"/>
  <c r="A15151" i="4"/>
  <c r="A19635" i="4"/>
  <c r="A25125" i="4"/>
  <c r="A9146" i="4"/>
  <c r="A9145" i="4"/>
  <c r="A9144" i="4"/>
  <c r="A2440" i="4"/>
  <c r="A12666" i="4"/>
  <c r="A8727" i="4"/>
  <c r="A11007" i="4"/>
  <c r="A25124" i="4"/>
  <c r="A8016" i="4"/>
  <c r="A1229" i="4"/>
  <c r="A1228" i="4"/>
  <c r="A6599" i="4"/>
  <c r="A19634" i="4"/>
  <c r="A15150" i="4"/>
  <c r="A6598" i="4"/>
  <c r="A4685" i="4"/>
  <c r="A4684" i="4"/>
  <c r="A2605" i="4"/>
  <c r="A6597" i="4"/>
  <c r="A19633" i="4"/>
  <c r="A12665" i="4"/>
  <c r="A6902" i="4"/>
  <c r="A8726" i="4"/>
  <c r="A13214" i="4"/>
  <c r="A13213" i="4"/>
  <c r="A13212" i="4"/>
  <c r="A17828" i="4"/>
  <c r="A17827" i="4"/>
  <c r="A25123" i="4"/>
  <c r="A25122" i="4"/>
  <c r="A25121" i="4"/>
  <c r="A19632" i="4"/>
  <c r="A19631" i="4"/>
  <c r="A2604" i="4"/>
  <c r="A2603" i="4"/>
  <c r="A2602" i="4"/>
  <c r="A2601" i="4"/>
  <c r="A2600" i="4"/>
  <c r="A2599" i="4"/>
  <c r="A2598" i="4"/>
  <c r="A2597" i="4"/>
  <c r="A25120" i="4"/>
  <c r="A25119" i="4"/>
  <c r="A25118" i="4"/>
  <c r="A25117" i="4"/>
  <c r="A25116" i="4"/>
  <c r="A25115" i="4"/>
  <c r="A10938" i="4"/>
  <c r="A25114" i="4"/>
  <c r="A9143" i="4"/>
  <c r="A25113" i="4"/>
  <c r="A25112" i="4"/>
  <c r="A16813" i="4"/>
  <c r="A15149" i="4"/>
  <c r="A25111" i="4"/>
  <c r="A15148" i="4"/>
  <c r="A13534" i="4"/>
  <c r="A25110" i="4"/>
  <c r="A19630" i="4"/>
  <c r="A25109" i="4"/>
  <c r="A6150" i="4"/>
  <c r="A19629" i="4"/>
  <c r="A17826" i="4"/>
  <c r="A16466" i="4"/>
  <c r="A2439" i="4"/>
  <c r="A8015" i="4"/>
  <c r="A8014" i="4"/>
  <c r="A435" i="4"/>
  <c r="A5876" i="4"/>
  <c r="A6149" i="4"/>
  <c r="A4683" i="4"/>
  <c r="A1227" i="4"/>
  <c r="A5875" i="4"/>
  <c r="A4682" i="4"/>
  <c r="A4681" i="4"/>
  <c r="A6403" i="4"/>
  <c r="A1226" i="4"/>
  <c r="A25108" i="4"/>
  <c r="A6901" i="4"/>
  <c r="A17978" i="4"/>
  <c r="A6402" i="4"/>
  <c r="A8725" i="4"/>
  <c r="A6401" i="4"/>
  <c r="A6596" i="4"/>
  <c r="A8724" i="4"/>
  <c r="A4680" i="4"/>
  <c r="A25107" i="4"/>
  <c r="A6400" i="4"/>
  <c r="A10605" i="4"/>
  <c r="A4679" i="4"/>
  <c r="A10604" i="4"/>
  <c r="A17977" i="4"/>
  <c r="A10603" i="4"/>
  <c r="A2596" i="4"/>
  <c r="A2595" i="4"/>
  <c r="A12664" i="4"/>
  <c r="A25106" i="4"/>
  <c r="A10602" i="4"/>
  <c r="A12663" i="4"/>
  <c r="A12662" i="4"/>
  <c r="A13211" i="4"/>
  <c r="A8013" i="4"/>
  <c r="A8012" i="4"/>
  <c r="A8011" i="4"/>
  <c r="A8010" i="4"/>
  <c r="A8009" i="4"/>
  <c r="A25105" i="4"/>
  <c r="A4678" i="4"/>
  <c r="A25104" i="4"/>
  <c r="A12100" i="4"/>
  <c r="A10601" i="4"/>
  <c r="A15555" i="4"/>
  <c r="A12099" i="4"/>
  <c r="A25103" i="4"/>
  <c r="A4677" i="4"/>
  <c r="A19628" i="4"/>
  <c r="A10600" i="4"/>
  <c r="A4676" i="4"/>
  <c r="A25102" i="4"/>
  <c r="A19627" i="4"/>
  <c r="A2594" i="4"/>
  <c r="A10599" i="4"/>
  <c r="A8008" i="4"/>
  <c r="A8007" i="4"/>
  <c r="A4675" i="4"/>
  <c r="A25101" i="4"/>
  <c r="A5741" i="4"/>
  <c r="A4674" i="4"/>
  <c r="A4673" i="4"/>
  <c r="A25100" i="4"/>
  <c r="A15147" i="4"/>
  <c r="A19626" i="4"/>
  <c r="A19625" i="4"/>
  <c r="A20620" i="4"/>
  <c r="A8006" i="4"/>
  <c r="A12661" i="4"/>
  <c r="A4672" i="4"/>
  <c r="A8005" i="4"/>
  <c r="A20619" i="4"/>
  <c r="A19624" i="4"/>
  <c r="A15146" i="4"/>
  <c r="A5874" i="4"/>
  <c r="A15145" i="4"/>
  <c r="A4671" i="4"/>
  <c r="A16465" i="4"/>
  <c r="A25099" i="4"/>
  <c r="A19623" i="4"/>
  <c r="A25098" i="4"/>
  <c r="A25097" i="4"/>
  <c r="A15144" i="4"/>
  <c r="A4670" i="4"/>
  <c r="A17976" i="4"/>
  <c r="A17975" i="4"/>
  <c r="A4669" i="4"/>
  <c r="A6399" i="4"/>
  <c r="A4668" i="4"/>
  <c r="A5740" i="4"/>
  <c r="A25096" i="4"/>
  <c r="A434" i="4"/>
  <c r="A433" i="4"/>
  <c r="A432" i="4"/>
  <c r="A12098" i="4"/>
  <c r="A12097" i="4"/>
  <c r="A12096" i="4"/>
  <c r="A12095" i="4"/>
  <c r="A12094" i="4"/>
  <c r="A8004" i="4"/>
  <c r="A5561" i="4"/>
  <c r="A4667" i="4"/>
  <c r="A6900" i="4"/>
  <c r="A6899" i="4"/>
  <c r="A4666" i="4"/>
  <c r="A25095" i="4"/>
  <c r="A25094" i="4"/>
  <c r="A1821" i="4"/>
  <c r="A15143" i="4"/>
  <c r="A8723" i="4"/>
  <c r="A6398" i="4"/>
  <c r="A25093" i="4"/>
  <c r="A4665" i="4"/>
  <c r="A12093" i="4"/>
  <c r="A4664" i="4"/>
  <c r="A25092" i="4"/>
  <c r="A4663" i="4"/>
  <c r="A4662" i="4"/>
  <c r="A25091" i="4"/>
  <c r="A15142" i="4"/>
  <c r="A9142" i="4"/>
  <c r="A9141" i="4"/>
  <c r="A25090" i="4"/>
  <c r="A9140" i="4"/>
  <c r="A9139" i="4"/>
  <c r="A9138" i="4"/>
  <c r="A9137" i="4"/>
  <c r="A9136" i="4"/>
  <c r="A9135" i="4"/>
  <c r="A8003" i="4"/>
  <c r="A25089" i="4"/>
  <c r="A4661" i="4"/>
  <c r="A15141" i="4"/>
  <c r="A10598" i="4"/>
  <c r="A10597" i="4"/>
  <c r="A4660" i="4"/>
  <c r="A4659" i="4"/>
  <c r="A19622" i="4"/>
  <c r="A25088" i="4"/>
  <c r="A10596" i="4"/>
  <c r="A25087" i="4"/>
  <c r="A6898" i="4"/>
  <c r="A6897" i="4"/>
  <c r="A8002" i="4"/>
  <c r="A8001" i="4"/>
  <c r="A8000" i="4"/>
  <c r="A19621" i="4"/>
  <c r="A15140" i="4"/>
  <c r="A10595" i="4"/>
  <c r="A15453" i="4"/>
  <c r="A25086" i="4"/>
  <c r="A5560" i="4"/>
  <c r="A19620" i="4"/>
  <c r="A19619" i="4"/>
  <c r="A25085" i="4"/>
  <c r="A4658" i="4"/>
  <c r="A15139" i="4"/>
  <c r="A25084" i="4"/>
  <c r="A12660" i="4"/>
  <c r="A25083" i="4"/>
  <c r="A25082" i="4"/>
  <c r="A6397" i="4"/>
  <c r="A6396" i="4"/>
  <c r="A19618" i="4"/>
  <c r="A19617" i="4"/>
  <c r="A5349" i="4"/>
  <c r="A6896" i="4"/>
  <c r="A1903" i="4"/>
  <c r="A25081" i="4"/>
  <c r="A17825" i="4"/>
  <c r="A25080" i="4"/>
  <c r="A1225" i="4"/>
  <c r="A25079" i="4"/>
  <c r="A7999" i="4"/>
  <c r="A10594" i="4"/>
  <c r="A10593" i="4"/>
  <c r="A25078" i="4"/>
  <c r="A25077" i="4"/>
  <c r="A25076" i="4"/>
  <c r="A4657" i="4"/>
  <c r="A19616" i="4"/>
  <c r="A19615" i="4"/>
  <c r="A20618" i="4"/>
  <c r="A25075" i="4"/>
  <c r="A25074" i="4"/>
  <c r="A25073" i="4"/>
  <c r="A25072" i="4"/>
  <c r="A1224" i="4"/>
  <c r="A10937" i="4"/>
  <c r="A7998" i="4"/>
  <c r="A4656" i="4"/>
  <c r="A15138" i="4"/>
  <c r="A25071" i="4"/>
  <c r="A25070" i="4"/>
  <c r="A25069" i="4"/>
  <c r="A6395" i="4"/>
  <c r="A10592" i="4"/>
  <c r="A4655" i="4"/>
  <c r="A10591" i="4"/>
  <c r="A2593" i="4"/>
  <c r="A10590" i="4"/>
  <c r="A25068" i="4"/>
  <c r="A25067" i="4"/>
  <c r="A19614" i="4"/>
  <c r="A16812" i="4"/>
  <c r="A16811" i="4"/>
  <c r="A25066" i="4"/>
  <c r="A25065" i="4"/>
  <c r="A25064" i="4"/>
  <c r="A5559" i="4"/>
  <c r="A10589" i="4"/>
  <c r="A17974" i="4"/>
  <c r="A4654" i="4"/>
  <c r="A4653" i="4"/>
  <c r="A4652" i="4"/>
  <c r="A4651" i="4"/>
  <c r="A12659" i="4"/>
  <c r="A10588" i="4"/>
  <c r="A6148" i="4"/>
  <c r="A10" i="4"/>
  <c r="A6895" i="4"/>
  <c r="A25063" i="4"/>
  <c r="A1223" i="4"/>
  <c r="A1222" i="4"/>
  <c r="A1221" i="4"/>
  <c r="A10587" i="4"/>
  <c r="A10586" i="4"/>
  <c r="A19613" i="4"/>
  <c r="A2438" i="4"/>
  <c r="A12906" i="4"/>
  <c r="A25062" i="4"/>
  <c r="A1220" i="4"/>
  <c r="A1219" i="4"/>
  <c r="A2592" i="4"/>
  <c r="A2591" i="4"/>
  <c r="A1902" i="4"/>
  <c r="A10585" i="4"/>
  <c r="A1218" i="4"/>
  <c r="A1217" i="4"/>
  <c r="A25061" i="4"/>
  <c r="A9134" i="4"/>
  <c r="A6394" i="4"/>
  <c r="A12905" i="4"/>
  <c r="A10584" i="4"/>
  <c r="A17658" i="4"/>
  <c r="A25060" i="4"/>
  <c r="A25059" i="4"/>
  <c r="A16464" i="4"/>
  <c r="A16463" i="4"/>
  <c r="A16462" i="4"/>
  <c r="A6894" i="4"/>
  <c r="A25058" i="4"/>
  <c r="A20617" i="4"/>
  <c r="A15137" i="4"/>
  <c r="A25057" i="4"/>
  <c r="A25056" i="4"/>
  <c r="A6393" i="4"/>
  <c r="A25055" i="4"/>
  <c r="A4650" i="4"/>
  <c r="A1820" i="4"/>
  <c r="A1819" i="4"/>
  <c r="A25054" i="4"/>
  <c r="A20616" i="4"/>
  <c r="A13305" i="4"/>
  <c r="A12092" i="4"/>
  <c r="A25053" i="4"/>
  <c r="A25052" i="4"/>
  <c r="A25051" i="4"/>
  <c r="A25050" i="4"/>
  <c r="A25049" i="4"/>
  <c r="A25048" i="4"/>
  <c r="A2590" i="4"/>
  <c r="A12658" i="4"/>
  <c r="A25047" i="4"/>
  <c r="A7997" i="4"/>
  <c r="A7996" i="4"/>
  <c r="A10583" i="4"/>
  <c r="A10582" i="4"/>
  <c r="A13533" i="4"/>
  <c r="A10581" i="4"/>
  <c r="A10580" i="4"/>
  <c r="A13532" i="4"/>
  <c r="A1216" i="4"/>
  <c r="A13531" i="4"/>
  <c r="A6392" i="4"/>
  <c r="A15136" i="4"/>
  <c r="A4649" i="4"/>
  <c r="A8722" i="4"/>
  <c r="A6893" i="4"/>
  <c r="A6892" i="4"/>
  <c r="A6891" i="4"/>
  <c r="A25046" i="4"/>
  <c r="A12657" i="4"/>
  <c r="A12656" i="4"/>
  <c r="A19612" i="4"/>
  <c r="A19611" i="4"/>
  <c r="A19610" i="4"/>
  <c r="A19609" i="4"/>
  <c r="A25045" i="4"/>
  <c r="A25044" i="4"/>
  <c r="A19608" i="4"/>
  <c r="A19607" i="4"/>
  <c r="A1968" i="4"/>
  <c r="A12655" i="4"/>
  <c r="A7995" i="4"/>
  <c r="A17973" i="4"/>
  <c r="A1215" i="4"/>
  <c r="A17972" i="4"/>
  <c r="A15554" i="4"/>
  <c r="A25043" i="4"/>
  <c r="A9133" i="4"/>
  <c r="A9132" i="4"/>
  <c r="A25042" i="4"/>
  <c r="A25041" i="4"/>
  <c r="A8721" i="4"/>
  <c r="A25040" i="4"/>
  <c r="A25039" i="4"/>
  <c r="A25038" i="4"/>
  <c r="A10579" i="4"/>
  <c r="A25037" i="4"/>
  <c r="A10578" i="4"/>
  <c r="A10577" i="4"/>
  <c r="A25036" i="4"/>
  <c r="A25035" i="4"/>
  <c r="A10576" i="4"/>
  <c r="A25034" i="4"/>
  <c r="A10575" i="4"/>
  <c r="A25033" i="4"/>
  <c r="A25032" i="4"/>
  <c r="A10574" i="4"/>
  <c r="A1818" i="4"/>
  <c r="A8720" i="4"/>
  <c r="A25031" i="4"/>
  <c r="A13530" i="4"/>
  <c r="A25030" i="4"/>
  <c r="A13529" i="4"/>
  <c r="A6595" i="4"/>
  <c r="A10573" i="4"/>
  <c r="A13528" i="4"/>
  <c r="A10572" i="4"/>
  <c r="A431" i="4"/>
  <c r="A15135" i="4"/>
  <c r="A10936" i="4"/>
  <c r="A10935" i="4"/>
  <c r="A1214" i="4"/>
  <c r="A1213" i="4"/>
  <c r="A15134" i="4"/>
  <c r="A25029" i="4"/>
  <c r="A25028" i="4"/>
  <c r="A25027" i="4"/>
  <c r="A13626" i="4"/>
  <c r="A25026" i="4"/>
  <c r="A1817" i="4"/>
  <c r="A18056" i="4"/>
  <c r="A25025" i="4"/>
  <c r="A17824" i="4"/>
  <c r="A10571" i="4"/>
  <c r="A12091" i="4"/>
  <c r="A15133" i="4"/>
  <c r="A5873" i="4"/>
  <c r="A25024" i="4"/>
  <c r="A7994" i="4"/>
  <c r="A17823" i="4"/>
  <c r="A13304" i="4"/>
  <c r="A15132" i="4"/>
  <c r="A5558" i="4"/>
  <c r="A19606" i="4"/>
  <c r="A19605" i="4"/>
  <c r="A12090" i="4"/>
  <c r="A8719" i="4"/>
  <c r="A25023" i="4"/>
  <c r="A4648" i="4"/>
  <c r="A6147" i="4"/>
  <c r="A6594" i="4"/>
  <c r="A6890" i="4"/>
  <c r="A8718" i="4"/>
  <c r="A1816" i="4"/>
  <c r="A7993" i="4"/>
  <c r="A5557" i="4"/>
  <c r="A8717" i="4"/>
  <c r="A16461" i="4"/>
  <c r="A13527" i="4"/>
  <c r="A13526" i="4"/>
  <c r="A25022" i="4"/>
  <c r="A5872" i="4"/>
  <c r="A12843" i="4"/>
  <c r="A19604" i="4"/>
  <c r="A4647" i="4"/>
  <c r="A19603" i="4"/>
  <c r="A1815" i="4"/>
  <c r="A25021" i="4"/>
  <c r="A17335" i="4"/>
  <c r="A17334" i="4"/>
  <c r="A18055" i="4"/>
  <c r="A18054" i="4"/>
  <c r="A12654" i="4"/>
  <c r="A4646" i="4"/>
  <c r="A12653" i="4"/>
  <c r="A12652" i="4"/>
  <c r="A4645" i="4"/>
  <c r="A1212" i="4"/>
  <c r="A2589" i="4"/>
  <c r="A430" i="4"/>
  <c r="A25020" i="4"/>
  <c r="A25019" i="4"/>
  <c r="A25018" i="4"/>
  <c r="A8716" i="4"/>
  <c r="A13303" i="4"/>
  <c r="A10570" i="4"/>
  <c r="A25017" i="4"/>
  <c r="A25016" i="4"/>
  <c r="A10569" i="4"/>
  <c r="A25015" i="4"/>
  <c r="A1814" i="4"/>
  <c r="A12651" i="4"/>
  <c r="A25014" i="4"/>
  <c r="A1211" i="4"/>
  <c r="A5739" i="4"/>
  <c r="A10568" i="4"/>
  <c r="A4644" i="4"/>
  <c r="A12842" i="4"/>
  <c r="A12650" i="4"/>
  <c r="A7992" i="4"/>
  <c r="A4643" i="4"/>
  <c r="A4642" i="4"/>
  <c r="A25013" i="4"/>
  <c r="A25012" i="4"/>
  <c r="A25011" i="4"/>
  <c r="A25010" i="4"/>
  <c r="A12649" i="4"/>
  <c r="A4641" i="4"/>
  <c r="A12089" i="4"/>
  <c r="A4640" i="4"/>
  <c r="A8715" i="4"/>
  <c r="A12088" i="4"/>
  <c r="A16460" i="4"/>
  <c r="A20615" i="4"/>
  <c r="A25009" i="4"/>
  <c r="A6889" i="4"/>
  <c r="A6888" i="4"/>
  <c r="A15131" i="4"/>
  <c r="A1210" i="4"/>
  <c r="A10934" i="4"/>
  <c r="A10933" i="4"/>
  <c r="A7991" i="4"/>
  <c r="A6887" i="4"/>
  <c r="A6886" i="4"/>
  <c r="A12087" i="4"/>
  <c r="A25008" i="4"/>
  <c r="A25007" i="4"/>
  <c r="A25006" i="4"/>
  <c r="A16810" i="4"/>
  <c r="A25005" i="4"/>
  <c r="A16809" i="4"/>
  <c r="A16808" i="4"/>
  <c r="A16807" i="4"/>
  <c r="A25004" i="4"/>
  <c r="A16806" i="4"/>
  <c r="A16805" i="4"/>
  <c r="A16804" i="4"/>
  <c r="A25003" i="4"/>
  <c r="A16803" i="4"/>
  <c r="A16802" i="4"/>
  <c r="A16801" i="4"/>
  <c r="A5556" i="4"/>
  <c r="A5555" i="4"/>
  <c r="A25002" i="4"/>
  <c r="A19602" i="4"/>
  <c r="A25001" i="4"/>
  <c r="A19601" i="4"/>
  <c r="A25000" i="4"/>
  <c r="A24999" i="4"/>
  <c r="A2437" i="4"/>
  <c r="A4639" i="4"/>
  <c r="A24998" i="4"/>
  <c r="A19600" i="4"/>
  <c r="A24997" i="4"/>
  <c r="A13525" i="4"/>
  <c r="A13625" i="4"/>
  <c r="A24996" i="4"/>
  <c r="A12086" i="4"/>
  <c r="A12085" i="4"/>
  <c r="A12084" i="4"/>
  <c r="A12083" i="4"/>
  <c r="A12082" i="4"/>
  <c r="A12081" i="4"/>
  <c r="A12080" i="4"/>
  <c r="A12079" i="4"/>
  <c r="A2436" i="4"/>
  <c r="A24995" i="4"/>
  <c r="A16800" i="4"/>
  <c r="A19599" i="4"/>
  <c r="A19598" i="4"/>
  <c r="A19597" i="4"/>
  <c r="A19596" i="4"/>
  <c r="A24994" i="4"/>
  <c r="A19595" i="4"/>
  <c r="A19594" i="4"/>
  <c r="A19593" i="4"/>
  <c r="A19592" i="4"/>
  <c r="A19591" i="4"/>
  <c r="A19590" i="4"/>
  <c r="A24993" i="4"/>
  <c r="A19589" i="4"/>
  <c r="A24992" i="4"/>
  <c r="A19588" i="4"/>
  <c r="A24991" i="4"/>
  <c r="A19587" i="4"/>
  <c r="A19586" i="4"/>
  <c r="A19585" i="4"/>
  <c r="A24990" i="4"/>
  <c r="A19584" i="4"/>
  <c r="A19583" i="4"/>
  <c r="A19582" i="4"/>
  <c r="A24989" i="4"/>
  <c r="A19581" i="4"/>
  <c r="A4638" i="4"/>
  <c r="A7990" i="4"/>
  <c r="A5554" i="4"/>
  <c r="A5553" i="4"/>
  <c r="A1209" i="4"/>
  <c r="A1208" i="4"/>
  <c r="A6391" i="4"/>
  <c r="A4637" i="4"/>
  <c r="A4636" i="4"/>
  <c r="A1813" i="4"/>
  <c r="A4635" i="4"/>
  <c r="A4634" i="4"/>
  <c r="A12648" i="4"/>
  <c r="A4633" i="4"/>
  <c r="A1812" i="4"/>
  <c r="A24988" i="4"/>
  <c r="A4632" i="4"/>
  <c r="A6390" i="4"/>
  <c r="A12647" i="4"/>
  <c r="A24987" i="4"/>
  <c r="A15130" i="4"/>
  <c r="A17217" i="4"/>
  <c r="A24986" i="4"/>
  <c r="A17822" i="4"/>
  <c r="A17821" i="4"/>
  <c r="A429" i="4"/>
  <c r="A2435" i="4"/>
  <c r="A1207" i="4"/>
  <c r="A1206" i="4"/>
  <c r="A1205" i="4"/>
  <c r="A1204" i="4"/>
  <c r="A4631" i="4"/>
  <c r="A8714" i="4"/>
  <c r="A12078" i="4"/>
  <c r="A12077" i="4"/>
  <c r="A15129" i="4"/>
  <c r="A8713" i="4"/>
  <c r="A16459" i="4"/>
  <c r="A24985" i="4"/>
  <c r="A1203" i="4"/>
  <c r="A6593" i="4"/>
  <c r="A6389" i="4"/>
  <c r="A6592" i="4"/>
  <c r="A24984" i="4"/>
  <c r="A4630" i="4"/>
  <c r="A17971" i="4"/>
  <c r="A13302" i="4"/>
  <c r="A6591" i="4"/>
  <c r="A24983" i="4"/>
  <c r="A6590" i="4"/>
  <c r="A24982" i="4"/>
  <c r="A6885" i="4"/>
  <c r="A6884" i="4"/>
  <c r="A6883" i="4"/>
  <c r="A24981" i="4"/>
  <c r="A4629" i="4"/>
  <c r="A4628" i="4"/>
  <c r="A6388" i="4"/>
  <c r="A24980" i="4"/>
  <c r="A16458" i="4"/>
  <c r="A16457" i="4"/>
  <c r="A16456" i="4"/>
  <c r="A4627" i="4"/>
  <c r="A4626" i="4"/>
  <c r="A19580" i="4"/>
  <c r="A2588" i="4"/>
  <c r="A6882" i="4"/>
  <c r="A24979" i="4"/>
  <c r="A24978" i="4"/>
  <c r="A13524" i="4"/>
  <c r="A24977" i="4"/>
  <c r="A7989" i="4"/>
  <c r="A15128" i="4"/>
  <c r="A10567" i="4"/>
  <c r="A7988" i="4"/>
  <c r="A7987" i="4"/>
  <c r="A7986" i="4"/>
  <c r="A7985" i="4"/>
  <c r="A7984" i="4"/>
  <c r="A1202" i="4"/>
  <c r="A24976" i="4"/>
  <c r="A24975" i="4"/>
  <c r="A24974" i="4"/>
  <c r="A12646" i="4"/>
  <c r="A24973" i="4"/>
  <c r="A1811" i="4"/>
  <c r="A5871" i="4"/>
  <c r="A24972" i="4"/>
  <c r="A6387" i="4"/>
  <c r="A12076" i="4"/>
  <c r="A1201" i="4"/>
  <c r="A9131" i="4"/>
  <c r="A9130" i="4"/>
  <c r="A9129" i="4"/>
  <c r="A9128" i="4"/>
  <c r="A9127" i="4"/>
  <c r="A12645" i="4"/>
  <c r="A24971" i="4"/>
  <c r="A24970" i="4"/>
  <c r="A24969" i="4"/>
  <c r="A2587" i="4"/>
  <c r="A2586" i="4"/>
  <c r="A24968" i="4"/>
  <c r="A5738" i="4"/>
  <c r="A2434" i="4"/>
  <c r="A17970" i="4"/>
  <c r="A6386" i="4"/>
  <c r="A10566" i="4"/>
  <c r="A10565" i="4"/>
  <c r="A6589" i="4"/>
  <c r="A17216" i="4"/>
  <c r="A10564" i="4"/>
  <c r="A10563" i="4"/>
  <c r="A10562" i="4"/>
  <c r="A8712" i="4"/>
  <c r="A1810" i="4"/>
  <c r="A4625" i="4"/>
  <c r="A16799" i="4"/>
  <c r="A2585" i="4"/>
  <c r="A2584" i="4"/>
  <c r="A2583" i="4"/>
  <c r="A2582" i="4"/>
  <c r="A2581" i="4"/>
  <c r="A2580" i="4"/>
  <c r="A24967" i="4"/>
  <c r="A15127" i="4"/>
  <c r="A7983" i="4"/>
  <c r="A1200" i="4"/>
  <c r="A1199" i="4"/>
  <c r="A24966" i="4"/>
  <c r="A8711" i="4"/>
  <c r="A9126" i="4"/>
  <c r="A6385" i="4"/>
  <c r="A17969" i="4"/>
  <c r="A6384" i="4"/>
  <c r="A13301" i="4"/>
  <c r="A17215" i="4"/>
  <c r="A13300" i="4"/>
  <c r="A24965" i="4"/>
  <c r="A24964" i="4"/>
  <c r="A7982" i="4"/>
  <c r="A7981" i="4"/>
  <c r="A6146" i="4"/>
  <c r="A6145" i="4"/>
  <c r="A6144" i="4"/>
  <c r="A24963" i="4"/>
  <c r="A19579" i="4"/>
  <c r="A24962" i="4"/>
  <c r="A19578" i="4"/>
  <c r="A24961" i="4"/>
  <c r="A19577" i="4"/>
  <c r="A19576" i="4"/>
  <c r="A19575" i="4"/>
  <c r="A19574" i="4"/>
  <c r="A19573" i="4"/>
  <c r="A19572" i="4"/>
  <c r="A19571" i="4"/>
  <c r="A19570" i="4"/>
  <c r="A19569" i="4"/>
  <c r="A19568" i="4"/>
  <c r="A24960" i="4"/>
  <c r="A19567" i="4"/>
  <c r="A24959" i="4"/>
  <c r="A19566" i="4"/>
  <c r="A12644" i="4"/>
  <c r="A12643" i="4"/>
  <c r="A10932" i="4"/>
  <c r="A1198" i="4"/>
  <c r="A1197" i="4"/>
  <c r="A1196" i="4"/>
  <c r="A17214" i="4"/>
  <c r="A24958" i="4"/>
  <c r="A9125" i="4"/>
  <c r="A9124" i="4"/>
  <c r="A9123" i="4"/>
  <c r="A9122" i="4"/>
  <c r="A24957" i="4"/>
  <c r="A9121" i="4"/>
  <c r="A9120" i="4"/>
  <c r="A9119" i="4"/>
  <c r="A10931" i="4"/>
  <c r="A428" i="4"/>
  <c r="A12075" i="4"/>
  <c r="A16455" i="4"/>
  <c r="A6881" i="4"/>
  <c r="A13523" i="4"/>
  <c r="A6588" i="4"/>
  <c r="A24956" i="4"/>
  <c r="A6143" i="4"/>
  <c r="A12642" i="4"/>
  <c r="A24955" i="4"/>
  <c r="A1195" i="4"/>
  <c r="A1194" i="4"/>
  <c r="A1193" i="4"/>
  <c r="A1192" i="4"/>
  <c r="A4624" i="4"/>
  <c r="A4623" i="4"/>
  <c r="A19565" i="4"/>
  <c r="A24954" i="4"/>
  <c r="A8710" i="4"/>
  <c r="A15618" i="4"/>
  <c r="A4622" i="4"/>
  <c r="A8709" i="4"/>
  <c r="A5348" i="4"/>
  <c r="A10561" i="4"/>
  <c r="A24953" i="4"/>
  <c r="A4621" i="4"/>
  <c r="A4620" i="4"/>
  <c r="A4619" i="4"/>
  <c r="A4618" i="4"/>
  <c r="A24952" i="4"/>
  <c r="A1809" i="4"/>
  <c r="A24951" i="4"/>
  <c r="A4617" i="4"/>
  <c r="A427" i="4"/>
  <c r="A426" i="4"/>
  <c r="A9118" i="4"/>
  <c r="A16798" i="4"/>
  <c r="A16797" i="4"/>
  <c r="A16796" i="4"/>
  <c r="A16795" i="4"/>
  <c r="A16794" i="4"/>
  <c r="A16793" i="4"/>
  <c r="A24950" i="4"/>
  <c r="A24949" i="4"/>
  <c r="A24948" i="4"/>
  <c r="A24947" i="4"/>
  <c r="A16792" i="4"/>
  <c r="A16791" i="4"/>
  <c r="A16790" i="4"/>
  <c r="A16789" i="4"/>
  <c r="A24946" i="4"/>
  <c r="A16788" i="4"/>
  <c r="A16787" i="4"/>
  <c r="A16786" i="4"/>
  <c r="A16785" i="4"/>
  <c r="A16784" i="4"/>
  <c r="A16783" i="4"/>
  <c r="A10930" i="4"/>
  <c r="A12641" i="4"/>
  <c r="A168" i="4"/>
  <c r="A167" i="4"/>
  <c r="A7980" i="4"/>
  <c r="A7979" i="4"/>
  <c r="A4616" i="4"/>
  <c r="A17968" i="4"/>
  <c r="A10929" i="4"/>
  <c r="A12640" i="4"/>
  <c r="A15126" i="4"/>
  <c r="A10928" i="4"/>
  <c r="A15125" i="4"/>
  <c r="A24945" i="4"/>
  <c r="A6880" i="4"/>
  <c r="A5737" i="4"/>
  <c r="A17333" i="4"/>
  <c r="A17332" i="4"/>
  <c r="A17331" i="4"/>
  <c r="A4615" i="4"/>
  <c r="A24944" i="4"/>
  <c r="A8708" i="4"/>
  <c r="A10560" i="4"/>
  <c r="A6879" i="4"/>
  <c r="A24943" i="4"/>
  <c r="A20614" i="4"/>
  <c r="A20613" i="4"/>
  <c r="A5347" i="4"/>
  <c r="A1901" i="4"/>
  <c r="A12639" i="4"/>
  <c r="A1191" i="4"/>
  <c r="A4614" i="4"/>
  <c r="A6383" i="4"/>
  <c r="A6382" i="4"/>
  <c r="A12074" i="4"/>
  <c r="A5870" i="4"/>
  <c r="A6381" i="4"/>
  <c r="A6380" i="4"/>
  <c r="A2471" i="4"/>
  <c r="A10559" i="4"/>
  <c r="A4613" i="4"/>
  <c r="A24942" i="4"/>
  <c r="A19564" i="4"/>
  <c r="A19563" i="4"/>
  <c r="A19562" i="4"/>
  <c r="A24941" i="4"/>
  <c r="A24940" i="4"/>
  <c r="A1190" i="4"/>
  <c r="A24939" i="4"/>
  <c r="A24938" i="4"/>
  <c r="A6142" i="4"/>
  <c r="A24937" i="4"/>
  <c r="A12073" i="4"/>
  <c r="A24936" i="4"/>
  <c r="A24935" i="4"/>
  <c r="A24934" i="4"/>
  <c r="A24933" i="4"/>
  <c r="A24932" i="4"/>
  <c r="A24931" i="4"/>
  <c r="A24930" i="4"/>
  <c r="A17967" i="4"/>
  <c r="A8707" i="4"/>
  <c r="A2579" i="4"/>
  <c r="A2578" i="4"/>
  <c r="A7978" i="4"/>
  <c r="A7977" i="4"/>
  <c r="A4612" i="4"/>
  <c r="A4611" i="4"/>
  <c r="A13210" i="4"/>
  <c r="A19561" i="4"/>
  <c r="A24929" i="4"/>
  <c r="A12638" i="4"/>
  <c r="A12637" i="4"/>
  <c r="A10558" i="4"/>
  <c r="A24928" i="4"/>
  <c r="A17966" i="4"/>
  <c r="A24927" i="4"/>
  <c r="A12072" i="4"/>
  <c r="A5775" i="4"/>
  <c r="A24926" i="4"/>
  <c r="A4610" i="4"/>
  <c r="A4609" i="4"/>
  <c r="A24925" i="4"/>
  <c r="A6141" i="4"/>
  <c r="A24924" i="4"/>
  <c r="A2577" i="4"/>
  <c r="A2576" i="4"/>
  <c r="A2575" i="4"/>
  <c r="A12636" i="4"/>
  <c r="A12635" i="4"/>
  <c r="A24923" i="4"/>
  <c r="A12634" i="4"/>
  <c r="A7976" i="4"/>
  <c r="A7975" i="4"/>
  <c r="A1189" i="4"/>
  <c r="A24922" i="4"/>
  <c r="A6140" i="4"/>
  <c r="A12071" i="4"/>
  <c r="A8706" i="4"/>
  <c r="A24921" i="4"/>
  <c r="A9117" i="4"/>
  <c r="A9116" i="4"/>
  <c r="A9115" i="4"/>
  <c r="A8705" i="4"/>
  <c r="A10557" i="4"/>
  <c r="A10927" i="4"/>
  <c r="A12841" i="4"/>
  <c r="A12840" i="4"/>
  <c r="A8704" i="4"/>
  <c r="A24920" i="4"/>
  <c r="A12633" i="4"/>
  <c r="A12632" i="4"/>
  <c r="A425" i="4"/>
  <c r="A24919" i="4"/>
  <c r="A15124" i="4"/>
  <c r="A12070" i="4"/>
  <c r="A1188" i="4"/>
  <c r="A6379" i="4"/>
  <c r="A12631" i="4"/>
  <c r="A12630" i="4"/>
  <c r="A7974" i="4"/>
  <c r="A24918" i="4"/>
  <c r="A7973" i="4"/>
  <c r="A8703" i="4"/>
  <c r="A15123" i="4"/>
  <c r="A8702" i="4"/>
  <c r="A5736" i="4"/>
  <c r="A4608" i="4"/>
  <c r="A4607" i="4"/>
  <c r="A12629" i="4"/>
  <c r="A4606" i="4"/>
  <c r="A24917" i="4"/>
  <c r="A24916" i="4"/>
  <c r="A24915" i="4"/>
  <c r="A24914" i="4"/>
  <c r="A9114" i="4"/>
  <c r="A12628" i="4"/>
  <c r="A1187" i="4"/>
  <c r="A1186" i="4"/>
  <c r="A24913" i="4"/>
  <c r="A4605" i="4"/>
  <c r="A6139" i="4"/>
  <c r="A12627" i="4"/>
  <c r="A24912" i="4"/>
  <c r="A24911" i="4"/>
  <c r="A24910" i="4"/>
  <c r="A20612" i="4"/>
  <c r="A24909" i="4"/>
  <c r="A1185" i="4"/>
  <c r="A24908" i="4"/>
  <c r="A5774" i="4"/>
  <c r="A5773" i="4"/>
  <c r="A5772" i="4"/>
  <c r="A12069" i="4"/>
  <c r="A4604" i="4"/>
  <c r="A6587" i="4"/>
  <c r="A12068" i="4"/>
  <c r="A4603" i="4"/>
  <c r="A6378" i="4"/>
  <c r="A6377" i="4"/>
  <c r="A6376" i="4"/>
  <c r="A11071" i="4"/>
  <c r="A11070" i="4"/>
  <c r="A10556" i="4"/>
  <c r="A24907" i="4"/>
  <c r="A24906" i="4"/>
  <c r="A5771" i="4"/>
  <c r="A10555" i="4"/>
  <c r="A8701" i="4"/>
  <c r="A8700" i="4"/>
  <c r="A4602" i="4"/>
  <c r="A24905" i="4"/>
  <c r="A24904" i="4"/>
  <c r="A8699" i="4"/>
  <c r="A424" i="4"/>
  <c r="A24903" i="4"/>
  <c r="A6878" i="4"/>
  <c r="A20611" i="4"/>
  <c r="A12626" i="4"/>
  <c r="A24902" i="4"/>
  <c r="A10926" i="4"/>
  <c r="A7972" i="4"/>
  <c r="A7971" i="4"/>
  <c r="A7970" i="4"/>
  <c r="A7969" i="4"/>
  <c r="A7968" i="4"/>
  <c r="A7967" i="4"/>
  <c r="A7966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18053" i="4"/>
  <c r="A18052" i="4"/>
  <c r="A1184" i="4"/>
  <c r="A1183" i="4"/>
  <c r="A7965" i="4"/>
  <c r="A24901" i="4"/>
  <c r="A5346" i="4"/>
  <c r="A17820" i="4"/>
  <c r="A15122" i="4"/>
  <c r="A24900" i="4"/>
  <c r="A4601" i="4"/>
  <c r="A15121" i="4"/>
  <c r="A4600" i="4"/>
  <c r="A20610" i="4"/>
  <c r="A24899" i="4"/>
  <c r="A24898" i="4"/>
  <c r="A24897" i="4"/>
  <c r="A24896" i="4"/>
  <c r="A13209" i="4"/>
  <c r="A24895" i="4"/>
  <c r="A19560" i="4"/>
  <c r="A19559" i="4"/>
  <c r="A19558" i="4"/>
  <c r="A19557" i="4"/>
  <c r="A12067" i="4"/>
  <c r="A24894" i="4"/>
  <c r="A24893" i="4"/>
  <c r="A16454" i="4"/>
  <c r="A16453" i="4"/>
  <c r="A24892" i="4"/>
  <c r="A19556" i="4"/>
  <c r="A6877" i="4"/>
  <c r="A24891" i="4"/>
  <c r="A24890" i="4"/>
  <c r="A17330" i="4"/>
  <c r="A17329" i="4"/>
  <c r="A2433" i="4"/>
  <c r="A6586" i="4"/>
  <c r="A1808" i="4"/>
  <c r="A9113" i="4"/>
  <c r="A4599" i="4"/>
  <c r="A24889" i="4"/>
  <c r="A24888" i="4"/>
  <c r="A24887" i="4"/>
  <c r="A2574" i="4"/>
  <c r="A2573" i="4"/>
  <c r="A7964" i="4"/>
  <c r="A7963" i="4"/>
  <c r="A7962" i="4"/>
  <c r="A24886" i="4"/>
  <c r="A24885" i="4"/>
  <c r="A24884" i="4"/>
  <c r="A6585" i="4"/>
  <c r="A1182" i="4"/>
  <c r="A1181" i="4"/>
  <c r="A1180" i="4"/>
  <c r="A6138" i="4"/>
  <c r="A4598" i="4"/>
  <c r="A24883" i="4"/>
  <c r="A7961" i="4"/>
  <c r="A24882" i="4"/>
  <c r="A4597" i="4"/>
  <c r="A17213" i="4"/>
  <c r="A10554" i="4"/>
  <c r="A24881" i="4"/>
  <c r="A4596" i="4"/>
  <c r="A9112" i="4"/>
  <c r="A24880" i="4"/>
  <c r="A12625" i="4"/>
  <c r="A4595" i="4"/>
  <c r="A423" i="4"/>
  <c r="A17819" i="4"/>
  <c r="A6375" i="4"/>
  <c r="A1179" i="4"/>
  <c r="A4594" i="4"/>
  <c r="A4593" i="4"/>
  <c r="A4592" i="4"/>
  <c r="A12624" i="4"/>
  <c r="A19555" i="4"/>
  <c r="A17818" i="4"/>
  <c r="A17690" i="4"/>
  <c r="A17689" i="4"/>
  <c r="A7960" i="4"/>
  <c r="A24879" i="4"/>
  <c r="A20609" i="4"/>
  <c r="A20608" i="4"/>
  <c r="A8698" i="4"/>
  <c r="A8697" i="4"/>
  <c r="A10553" i="4"/>
  <c r="A10552" i="4"/>
  <c r="A10551" i="4"/>
  <c r="A10550" i="4"/>
  <c r="A10549" i="4"/>
  <c r="A10548" i="4"/>
  <c r="A10547" i="4"/>
  <c r="A10546" i="4"/>
  <c r="A10545" i="4"/>
  <c r="A24878" i="4"/>
  <c r="A10544" i="4"/>
  <c r="A6584" i="4"/>
  <c r="A24877" i="4"/>
  <c r="A1967" i="4"/>
  <c r="A15120" i="4"/>
  <c r="A12623" i="4"/>
  <c r="A24876" i="4"/>
  <c r="A12622" i="4"/>
  <c r="A24875" i="4"/>
  <c r="A12621" i="4"/>
  <c r="A8696" i="4"/>
  <c r="A24874" i="4"/>
  <c r="A24873" i="4"/>
  <c r="A17965" i="4"/>
  <c r="A1178" i="4"/>
  <c r="A24872" i="4"/>
  <c r="A15119" i="4"/>
  <c r="A15118" i="4"/>
  <c r="A15117" i="4"/>
  <c r="A15116" i="4"/>
  <c r="A24871" i="4"/>
  <c r="A9" i="4"/>
  <c r="A4591" i="4"/>
  <c r="A4590" i="4"/>
  <c r="A24870" i="4"/>
  <c r="A7959" i="4"/>
  <c r="A7958" i="4"/>
  <c r="A17964" i="4"/>
  <c r="A8695" i="4"/>
  <c r="A8694" i="4"/>
  <c r="A24869" i="4"/>
  <c r="A8693" i="4"/>
  <c r="A24868" i="4"/>
  <c r="A10543" i="4"/>
  <c r="A10542" i="4"/>
  <c r="A7957" i="4"/>
  <c r="A7956" i="4"/>
  <c r="A7955" i="4"/>
  <c r="A7954" i="4"/>
  <c r="A4589" i="4"/>
  <c r="A8692" i="4"/>
  <c r="A8691" i="4"/>
  <c r="A8690" i="4"/>
  <c r="A17963" i="4"/>
  <c r="A8689" i="4"/>
  <c r="A24867" i="4"/>
  <c r="A17817" i="4"/>
  <c r="A20607" i="4"/>
  <c r="A24866" i="4"/>
  <c r="A24865" i="4"/>
  <c r="A24864" i="4"/>
  <c r="A12066" i="4"/>
  <c r="A12065" i="4"/>
  <c r="A6137" i="4"/>
  <c r="A24863" i="4"/>
  <c r="A24862" i="4"/>
  <c r="A9111" i="4"/>
  <c r="A9110" i="4"/>
  <c r="A1900" i="4"/>
  <c r="A166" i="4"/>
  <c r="A24861" i="4"/>
  <c r="A24860" i="4"/>
  <c r="A4588" i="4"/>
  <c r="A24859" i="4"/>
  <c r="A1177" i="4"/>
  <c r="A24858" i="4"/>
  <c r="A9109" i="4"/>
  <c r="A9108" i="4"/>
  <c r="A4587" i="4"/>
  <c r="A12620" i="4"/>
  <c r="A5869" i="4"/>
  <c r="A24857" i="4"/>
  <c r="A2432" i="4"/>
  <c r="A148" i="4"/>
  <c r="A147" i="4"/>
  <c r="A5552" i="4"/>
  <c r="A5551" i="4"/>
  <c r="A24856" i="4"/>
  <c r="A1176" i="4"/>
  <c r="A5735" i="4"/>
  <c r="A5868" i="4"/>
  <c r="A5867" i="4"/>
  <c r="A24855" i="4"/>
  <c r="A24854" i="4"/>
  <c r="A4586" i="4"/>
  <c r="A4585" i="4"/>
  <c r="A1807" i="4"/>
  <c r="A24853" i="4"/>
  <c r="A19554" i="4"/>
  <c r="A19553" i="4"/>
  <c r="A2572" i="4"/>
  <c r="A6876" i="4"/>
  <c r="A5734" i="4"/>
  <c r="A17816" i="4"/>
  <c r="A24852" i="4"/>
  <c r="A9107" i="4"/>
  <c r="A12064" i="4"/>
  <c r="A19552" i="4"/>
  <c r="A4584" i="4"/>
  <c r="A15617" i="4"/>
  <c r="A15616" i="4"/>
  <c r="A15615" i="4"/>
  <c r="A15614" i="4"/>
  <c r="A15613" i="4"/>
  <c r="A24851" i="4"/>
  <c r="A4583" i="4"/>
  <c r="A4582" i="4"/>
  <c r="A4581" i="4"/>
  <c r="A10541" i="4"/>
  <c r="A19551" i="4"/>
  <c r="A7953" i="4"/>
  <c r="A4580" i="4"/>
  <c r="A4579" i="4"/>
  <c r="A6374" i="4"/>
  <c r="A7952" i="4"/>
  <c r="A1175" i="4"/>
  <c r="A17815" i="4"/>
  <c r="A17814" i="4"/>
  <c r="A17813" i="4"/>
  <c r="A17812" i="4"/>
  <c r="A17811" i="4"/>
  <c r="A24850" i="4"/>
  <c r="A1806" i="4"/>
  <c r="A13522" i="4"/>
  <c r="A13208" i="4"/>
  <c r="A24849" i="4"/>
  <c r="A1174" i="4"/>
  <c r="A24848" i="4"/>
  <c r="A6875" i="4"/>
  <c r="A24847" i="4"/>
  <c r="A4578" i="4"/>
  <c r="A24846" i="4"/>
  <c r="A24845" i="4"/>
  <c r="A24844" i="4"/>
  <c r="A24843" i="4"/>
  <c r="A15115" i="4"/>
  <c r="A12063" i="4"/>
  <c r="A10540" i="4"/>
  <c r="A17212" i="4"/>
  <c r="A15114" i="4"/>
  <c r="A422" i="4"/>
  <c r="A6136" i="4"/>
  <c r="A6135" i="4"/>
  <c r="A15452" i="4"/>
  <c r="A15113" i="4"/>
  <c r="A15112" i="4"/>
  <c r="A15111" i="4"/>
  <c r="A24842" i="4"/>
  <c r="A24841" i="4"/>
  <c r="A6373" i="4"/>
  <c r="A12619" i="4"/>
  <c r="A13521" i="4"/>
  <c r="A16452" i="4"/>
  <c r="A19550" i="4"/>
  <c r="A1173" i="4"/>
  <c r="A1172" i="4"/>
  <c r="A24840" i="4"/>
  <c r="A24839" i="4"/>
  <c r="A2571" i="4"/>
  <c r="A7951" i="4"/>
  <c r="A24838" i="4"/>
  <c r="A8688" i="4"/>
  <c r="A1171" i="4"/>
  <c r="A10539" i="4"/>
  <c r="A6134" i="4"/>
  <c r="A24837" i="4"/>
  <c r="A17810" i="4"/>
  <c r="A24836" i="4"/>
  <c r="A9106" i="4"/>
  <c r="A9105" i="4"/>
  <c r="A24835" i="4"/>
  <c r="A12618" i="4"/>
  <c r="A12617" i="4"/>
  <c r="A17211" i="4"/>
  <c r="A5733" i="4"/>
  <c r="A24834" i="4"/>
  <c r="A9104" i="4"/>
  <c r="A9103" i="4"/>
  <c r="A12616" i="4"/>
  <c r="A24833" i="4"/>
  <c r="A12615" i="4"/>
  <c r="A4577" i="4"/>
  <c r="A12062" i="4"/>
  <c r="A24832" i="4"/>
  <c r="A19549" i="4"/>
  <c r="A19548" i="4"/>
  <c r="A12061" i="4"/>
  <c r="A24831" i="4"/>
  <c r="A12614" i="4"/>
  <c r="A12613" i="4"/>
  <c r="A15110" i="4"/>
  <c r="A24830" i="4"/>
  <c r="A24829" i="4"/>
  <c r="A7950" i="4"/>
  <c r="A1170" i="4"/>
  <c r="A1169" i="4"/>
  <c r="A1168" i="4"/>
  <c r="A1167" i="4"/>
  <c r="A1166" i="4"/>
  <c r="A1165" i="4"/>
  <c r="A1164" i="4"/>
  <c r="A8687" i="4"/>
  <c r="A7949" i="4"/>
  <c r="A12612" i="4"/>
  <c r="A10538" i="4"/>
  <c r="A8686" i="4"/>
  <c r="A4576" i="4"/>
  <c r="A6874" i="4"/>
  <c r="A2570" i="4"/>
  <c r="A2569" i="4"/>
  <c r="A2568" i="4"/>
  <c r="A24828" i="4"/>
  <c r="A6372" i="4"/>
  <c r="A7948" i="4"/>
  <c r="A7947" i="4"/>
  <c r="A15109" i="4"/>
  <c r="A24827" i="4"/>
  <c r="A24826" i="4"/>
  <c r="A17688" i="4"/>
  <c r="A17687" i="4"/>
  <c r="A6133" i="4"/>
  <c r="A6132" i="4"/>
  <c r="A7946" i="4"/>
  <c r="A1163" i="4"/>
  <c r="A1162" i="4"/>
  <c r="A4575" i="4"/>
  <c r="A11069" i="4"/>
  <c r="A24825" i="4"/>
  <c r="A5732" i="4"/>
  <c r="A7945" i="4"/>
  <c r="A4574" i="4"/>
  <c r="A4573" i="4"/>
  <c r="A10537" i="4"/>
  <c r="A15108" i="4"/>
  <c r="A15107" i="4"/>
  <c r="A12611" i="4"/>
  <c r="A24824" i="4"/>
  <c r="A16451" i="4"/>
  <c r="A5770" i="4"/>
  <c r="A5769" i="4"/>
  <c r="A12060" i="4"/>
  <c r="A12059" i="4"/>
  <c r="A17809" i="4"/>
  <c r="A2431" i="4"/>
  <c r="A6873" i="4"/>
  <c r="A1161" i="4"/>
  <c r="A4572" i="4"/>
  <c r="A2430" i="4"/>
  <c r="A7944" i="4"/>
  <c r="A24823" i="4"/>
  <c r="A17962" i="4"/>
  <c r="A1160" i="4"/>
  <c r="A24822" i="4"/>
  <c r="A1159" i="4"/>
  <c r="A24821" i="4"/>
  <c r="A24820" i="4"/>
  <c r="A16782" i="4"/>
  <c r="A16781" i="4"/>
  <c r="A16780" i="4"/>
  <c r="A16779" i="4"/>
  <c r="A16778" i="4"/>
  <c r="A16777" i="4"/>
  <c r="A24819" i="4"/>
  <c r="A16776" i="4"/>
  <c r="A16775" i="4"/>
  <c r="A24818" i="4"/>
  <c r="A16774" i="4"/>
  <c r="A24817" i="4"/>
  <c r="A4571" i="4"/>
  <c r="A8294" i="4"/>
  <c r="A5866" i="4"/>
  <c r="A9102" i="4"/>
  <c r="A9101" i="4"/>
  <c r="A9100" i="4"/>
  <c r="A12904" i="4"/>
  <c r="A6583" i="4"/>
  <c r="A24816" i="4"/>
  <c r="A17961" i="4"/>
  <c r="A19547" i="4"/>
  <c r="A24815" i="4"/>
  <c r="A7943" i="4"/>
  <c r="A2567" i="4"/>
  <c r="A24814" i="4"/>
  <c r="A9921" i="4"/>
  <c r="A12610" i="4"/>
  <c r="A5865" i="4"/>
  <c r="A10925" i="4"/>
  <c r="A6582" i="4"/>
  <c r="A10536" i="4"/>
  <c r="A15612" i="4"/>
  <c r="A15451" i="4"/>
  <c r="A8685" i="4"/>
  <c r="A24813" i="4"/>
  <c r="A13207" i="4"/>
  <c r="A13206" i="4"/>
  <c r="A16450" i="4"/>
  <c r="A16449" i="4"/>
  <c r="A16448" i="4"/>
  <c r="A16447" i="4"/>
  <c r="A24812" i="4"/>
  <c r="A24811" i="4"/>
  <c r="A24810" i="4"/>
  <c r="A6872" i="4"/>
  <c r="A24809" i="4"/>
  <c r="A1158" i="4"/>
  <c r="A24808" i="4"/>
  <c r="A1157" i="4"/>
  <c r="A1156" i="4"/>
  <c r="A2429" i="4"/>
  <c r="A6131" i="4"/>
  <c r="A6130" i="4"/>
  <c r="A6371" i="4"/>
  <c r="A4570" i="4"/>
  <c r="A24807" i="4"/>
  <c r="A11068" i="4"/>
  <c r="A4569" i="4"/>
  <c r="A24806" i="4"/>
  <c r="A7942" i="4"/>
  <c r="A5550" i="4"/>
  <c r="A5549" i="4"/>
  <c r="A24805" i="4"/>
  <c r="A6370" i="4"/>
  <c r="A18051" i="4"/>
  <c r="A1155" i="4"/>
  <c r="A1154" i="4"/>
  <c r="A1153" i="4"/>
  <c r="A24804" i="4"/>
  <c r="A17960" i="4"/>
  <c r="A24803" i="4"/>
  <c r="A4568" i="4"/>
  <c r="A24802" i="4"/>
  <c r="A13299" i="4"/>
  <c r="A24801" i="4"/>
  <c r="A24800" i="4"/>
  <c r="A19546" i="4"/>
  <c r="A19545" i="4"/>
  <c r="A6871" i="4"/>
  <c r="A7941" i="4"/>
  <c r="A7940" i="4"/>
  <c r="A24799" i="4"/>
  <c r="A6129" i="4"/>
  <c r="A24798" i="4"/>
  <c r="A12903" i="4"/>
  <c r="A1966" i="4"/>
  <c r="A12609" i="4"/>
  <c r="A7939" i="4"/>
  <c r="A24797" i="4"/>
  <c r="A10535" i="4"/>
  <c r="A10534" i="4"/>
  <c r="A8684" i="4"/>
  <c r="A12608" i="4"/>
  <c r="A10533" i="4"/>
  <c r="A17328" i="4"/>
  <c r="A17327" i="4"/>
  <c r="A12058" i="4"/>
  <c r="A17210" i="4"/>
  <c r="A17959" i="4"/>
  <c r="A4567" i="4"/>
  <c r="A4566" i="4"/>
  <c r="A24796" i="4"/>
  <c r="A12057" i="4"/>
  <c r="A17958" i="4"/>
  <c r="A6581" i="4"/>
  <c r="A6580" i="4"/>
  <c r="A10532" i="4"/>
  <c r="A6128" i="4"/>
  <c r="A6369" i="4"/>
  <c r="A6368" i="4"/>
  <c r="A13205" i="4"/>
  <c r="A19544" i="4"/>
  <c r="A19543" i="4"/>
  <c r="A16446" i="4"/>
  <c r="A24795" i="4"/>
  <c r="A6870" i="4"/>
  <c r="A7938" i="4"/>
  <c r="A20606" i="4"/>
  <c r="A6127" i="4"/>
  <c r="A24794" i="4"/>
  <c r="A24793" i="4"/>
  <c r="A7937" i="4"/>
  <c r="A8683" i="4"/>
  <c r="A4565" i="4"/>
  <c r="A13520" i="4"/>
  <c r="A20605" i="4"/>
  <c r="A20604" i="4"/>
  <c r="A6367" i="4"/>
  <c r="A4564" i="4"/>
  <c r="A4563" i="4"/>
  <c r="A10531" i="4"/>
  <c r="A4562" i="4"/>
  <c r="A5548" i="4"/>
  <c r="A24792" i="4"/>
  <c r="A11067" i="4"/>
  <c r="A24791" i="4"/>
  <c r="A19542" i="4"/>
  <c r="A6869" i="4"/>
  <c r="A6868" i="4"/>
  <c r="A17808" i="4"/>
  <c r="A4561" i="4"/>
  <c r="A6366" i="4"/>
  <c r="A6365" i="4"/>
  <c r="A12056" i="4"/>
  <c r="A12055" i="4"/>
  <c r="A6126" i="4"/>
  <c r="A6579" i="4"/>
  <c r="A6364" i="4"/>
  <c r="A12902" i="4"/>
  <c r="A24790" i="4"/>
  <c r="A13204" i="4"/>
  <c r="A16445" i="4"/>
  <c r="A16444" i="4"/>
  <c r="A16443" i="4"/>
  <c r="A6867" i="4"/>
  <c r="A15106" i="4"/>
  <c r="A2428" i="4"/>
  <c r="A13298" i="4"/>
  <c r="A24789" i="4"/>
  <c r="A17706" i="4"/>
  <c r="A15105" i="4"/>
  <c r="A13519" i="4"/>
  <c r="A24788" i="4"/>
  <c r="A7936" i="4"/>
  <c r="A24787" i="4"/>
  <c r="A7935" i="4"/>
  <c r="A7934" i="4"/>
  <c r="A24786" i="4"/>
  <c r="A24785" i="4"/>
  <c r="A1152" i="4"/>
  <c r="A24784" i="4"/>
  <c r="A15104" i="4"/>
  <c r="A1805" i="4"/>
  <c r="A7933" i="4"/>
  <c r="A7932" i="4"/>
  <c r="A18050" i="4"/>
  <c r="A4560" i="4"/>
  <c r="A6866" i="4"/>
  <c r="A6363" i="4"/>
  <c r="A13518" i="4"/>
  <c r="A17209" i="4"/>
  <c r="A6362" i="4"/>
  <c r="A6361" i="4"/>
  <c r="A1151" i="4"/>
  <c r="A24783" i="4"/>
  <c r="A24782" i="4"/>
  <c r="A10530" i="4"/>
  <c r="A10529" i="4"/>
  <c r="A6360" i="4"/>
  <c r="A4559" i="4"/>
  <c r="A4558" i="4"/>
  <c r="A13624" i="4"/>
  <c r="A6359" i="4"/>
  <c r="A4557" i="4"/>
  <c r="A7931" i="4"/>
  <c r="A7930" i="4"/>
  <c r="A24781" i="4"/>
  <c r="A1150" i="4"/>
  <c r="A1149" i="4"/>
  <c r="A5731" i="4"/>
  <c r="A1804" i="4"/>
  <c r="A4556" i="4"/>
  <c r="A4555" i="4"/>
  <c r="A6358" i="4"/>
  <c r="A24780" i="4"/>
  <c r="A6357" i="4"/>
  <c r="A10924" i="4"/>
  <c r="A17208" i="4"/>
  <c r="A24779" i="4"/>
  <c r="A24778" i="4"/>
  <c r="A5768" i="4"/>
  <c r="A1148" i="4"/>
  <c r="A24777" i="4"/>
  <c r="A24776" i="4"/>
  <c r="A12054" i="4"/>
  <c r="A12053" i="4"/>
  <c r="A24775" i="4"/>
  <c r="A1899" i="4"/>
  <c r="A8682" i="4"/>
  <c r="A24774" i="4"/>
  <c r="A24773" i="4"/>
  <c r="A24772" i="4"/>
  <c r="A24771" i="4"/>
  <c r="A24770" i="4"/>
  <c r="A10528" i="4"/>
  <c r="A10527" i="4"/>
  <c r="A10526" i="4"/>
  <c r="A4554" i="4"/>
  <c r="A4553" i="4"/>
  <c r="A10525" i="4"/>
  <c r="A17957" i="4"/>
  <c r="A6356" i="4"/>
  <c r="A24769" i="4"/>
  <c r="A4552" i="4"/>
  <c r="A4551" i="4"/>
  <c r="A24768" i="4"/>
  <c r="A6355" i="4"/>
  <c r="A6354" i="4"/>
  <c r="A4550" i="4"/>
  <c r="A4549" i="4"/>
  <c r="A4548" i="4"/>
  <c r="A4547" i="4"/>
  <c r="A19541" i="4"/>
  <c r="A19540" i="4"/>
  <c r="A12052" i="4"/>
  <c r="A12051" i="4"/>
  <c r="A24767" i="4"/>
  <c r="A17807" i="4"/>
  <c r="A24766" i="4"/>
  <c r="A6865" i="4"/>
  <c r="A24765" i="4"/>
  <c r="A24764" i="4"/>
  <c r="A24763" i="4"/>
  <c r="A24762" i="4"/>
  <c r="A24761" i="4"/>
  <c r="A2427" i="4"/>
  <c r="A2426" i="4"/>
  <c r="A6125" i="4"/>
  <c r="A6353" i="4"/>
  <c r="A6352" i="4"/>
  <c r="A7929" i="4"/>
  <c r="A24760" i="4"/>
  <c r="A7928" i="4"/>
  <c r="A16442" i="4"/>
  <c r="A16441" i="4"/>
  <c r="A16440" i="4"/>
  <c r="A16439" i="4"/>
  <c r="A16438" i="4"/>
  <c r="A1147" i="4"/>
  <c r="A1146" i="4"/>
  <c r="A1145" i="4"/>
  <c r="A8681" i="4"/>
  <c r="A6351" i="4"/>
  <c r="A16437" i="4"/>
  <c r="A16436" i="4"/>
  <c r="A16435" i="4"/>
  <c r="A16434" i="4"/>
  <c r="A16433" i="4"/>
  <c r="A24759" i="4"/>
  <c r="A17680" i="4"/>
  <c r="A6124" i="4"/>
  <c r="A12050" i="4"/>
  <c r="A7927" i="4"/>
  <c r="A1144" i="4"/>
  <c r="A17806" i="4"/>
  <c r="A24758" i="4"/>
  <c r="A4546" i="4"/>
  <c r="A4545" i="4"/>
  <c r="A12049" i="4"/>
  <c r="A17956" i="4"/>
  <c r="A4544" i="4"/>
  <c r="A4543" i="4"/>
  <c r="A24757" i="4"/>
  <c r="A10524" i="4"/>
  <c r="A1143" i="4"/>
  <c r="A10523" i="4"/>
  <c r="A10522" i="4"/>
  <c r="A10521" i="4"/>
  <c r="A12048" i="4"/>
  <c r="A1142" i="4"/>
  <c r="A1141" i="4"/>
  <c r="A1140" i="4"/>
  <c r="A17955" i="4"/>
  <c r="A12047" i="4"/>
  <c r="A24756" i="4"/>
  <c r="A9920" i="4"/>
  <c r="A9919" i="4"/>
  <c r="A9918" i="4"/>
  <c r="A9917" i="4"/>
  <c r="A9916" i="4"/>
  <c r="A9915" i="4"/>
  <c r="A9914" i="4"/>
  <c r="A9913" i="4"/>
  <c r="A24755" i="4"/>
  <c r="A10923" i="4"/>
  <c r="A10922" i="4"/>
  <c r="A24754" i="4"/>
  <c r="A7926" i="4"/>
  <c r="A7925" i="4"/>
  <c r="A7924" i="4"/>
  <c r="A7923" i="4"/>
  <c r="A8680" i="4"/>
  <c r="A12839" i="4"/>
  <c r="A13517" i="4"/>
  <c r="A8679" i="4"/>
  <c r="A4542" i="4"/>
  <c r="A8678" i="4"/>
  <c r="A10921" i="4"/>
  <c r="A19539" i="4"/>
  <c r="A19538" i="4"/>
  <c r="A19537" i="4"/>
  <c r="A6350" i="4"/>
  <c r="A1803" i="4"/>
  <c r="A6578" i="4"/>
  <c r="A6349" i="4"/>
  <c r="A12901" i="4"/>
  <c r="A24753" i="4"/>
  <c r="A20701" i="4"/>
  <c r="A10520" i="4"/>
  <c r="A7922" i="4"/>
  <c r="A5730" i="4"/>
  <c r="A6348" i="4"/>
  <c r="A12607" i="4"/>
  <c r="A24752" i="4"/>
  <c r="A24751" i="4"/>
  <c r="A6864" i="4"/>
  <c r="A24750" i="4"/>
  <c r="A24749" i="4"/>
  <c r="A24748" i="4"/>
  <c r="A24747" i="4"/>
  <c r="A17326" i="4"/>
  <c r="A17325" i="4"/>
  <c r="A17324" i="4"/>
  <c r="A17323" i="4"/>
  <c r="A17322" i="4"/>
  <c r="A17321" i="4"/>
  <c r="A13516" i="4"/>
  <c r="A24746" i="4"/>
  <c r="A10519" i="4"/>
  <c r="A5547" i="4"/>
  <c r="A5620" i="4"/>
  <c r="A5619" i="4"/>
  <c r="A10518" i="4"/>
  <c r="A16432" i="4"/>
  <c r="A1139" i="4"/>
  <c r="A6863" i="4"/>
  <c r="A4541" i="4"/>
  <c r="A7921" i="4"/>
  <c r="A24745" i="4"/>
  <c r="A6347" i="4"/>
  <c r="A10517" i="4"/>
  <c r="A4540" i="4"/>
  <c r="A4539" i="4"/>
  <c r="A4538" i="4"/>
  <c r="A4537" i="4"/>
  <c r="A6577" i="4"/>
  <c r="A24744" i="4"/>
  <c r="A24743" i="4"/>
  <c r="A24742" i="4"/>
  <c r="A2566" i="4"/>
  <c r="A24741" i="4"/>
  <c r="A16431" i="4"/>
  <c r="A16430" i="4"/>
  <c r="A16429" i="4"/>
  <c r="A16428" i="4"/>
  <c r="A16427" i="4"/>
  <c r="A16426" i="4"/>
  <c r="A16425" i="4"/>
  <c r="A16424" i="4"/>
  <c r="A24740" i="4"/>
  <c r="A5345" i="4"/>
  <c r="A5344" i="4"/>
  <c r="A5343" i="4"/>
  <c r="A5342" i="4"/>
  <c r="A1802" i="4"/>
  <c r="A1801" i="4"/>
  <c r="A24739" i="4"/>
  <c r="A24738" i="4"/>
  <c r="A10516" i="4"/>
  <c r="A10515" i="4"/>
  <c r="A24737" i="4"/>
  <c r="A24736" i="4"/>
  <c r="A5546" i="4"/>
  <c r="A4536" i="4"/>
  <c r="A4535" i="4"/>
  <c r="A4534" i="4"/>
  <c r="A24735" i="4"/>
  <c r="A10514" i="4"/>
  <c r="A13297" i="4"/>
  <c r="A4533" i="4"/>
  <c r="A5242" i="4"/>
  <c r="A5241" i="4"/>
  <c r="A13203" i="4"/>
  <c r="A13202" i="4"/>
  <c r="A13201" i="4"/>
  <c r="A19536" i="4"/>
  <c r="A19535" i="4"/>
  <c r="A8429" i="4"/>
  <c r="A24734" i="4"/>
  <c r="A8428" i="4"/>
  <c r="A24733" i="4"/>
  <c r="A8427" i="4"/>
  <c r="A8426" i="4"/>
  <c r="A24732" i="4"/>
  <c r="A8425" i="4"/>
  <c r="A8424" i="4"/>
  <c r="A8423" i="4"/>
  <c r="A6862" i="4"/>
  <c r="A6861" i="4"/>
  <c r="A6860" i="4"/>
  <c r="A7920" i="4"/>
  <c r="A24731" i="4"/>
  <c r="A16423" i="4"/>
  <c r="A24730" i="4"/>
  <c r="A15103" i="4"/>
  <c r="A10513" i="4"/>
  <c r="A10512" i="4"/>
  <c r="A17954" i="4"/>
  <c r="A13515" i="4"/>
  <c r="A4532" i="4"/>
  <c r="A4531" i="4"/>
  <c r="A4530" i="4"/>
  <c r="A1898" i="4"/>
  <c r="A12606" i="4"/>
  <c r="A10920" i="4"/>
  <c r="A7919" i="4"/>
  <c r="A7918" i="4"/>
  <c r="A5545" i="4"/>
  <c r="A5618" i="4"/>
  <c r="A5617" i="4"/>
  <c r="A5616" i="4"/>
  <c r="A1138" i="4"/>
  <c r="A1137" i="4"/>
  <c r="A1136" i="4"/>
  <c r="A1135" i="4"/>
  <c r="A24729" i="4"/>
  <c r="A4529" i="4"/>
  <c r="A16422" i="4"/>
  <c r="A17953" i="4"/>
  <c r="A4528" i="4"/>
  <c r="A4527" i="4"/>
  <c r="A4526" i="4"/>
  <c r="A16773" i="4"/>
  <c r="A16772" i="4"/>
  <c r="A17207" i="4"/>
  <c r="A6123" i="4"/>
  <c r="A5544" i="4"/>
  <c r="A17206" i="4"/>
  <c r="A17952" i="4"/>
  <c r="A6346" i="4"/>
  <c r="A6345" i="4"/>
  <c r="A17320" i="4"/>
  <c r="A17319" i="4"/>
  <c r="A8677" i="4"/>
  <c r="A6344" i="4"/>
  <c r="A1134" i="4"/>
  <c r="A10919" i="4"/>
  <c r="A24728" i="4"/>
  <c r="A24727" i="4"/>
  <c r="A16421" i="4"/>
  <c r="A16420" i="4"/>
  <c r="A16419" i="4"/>
  <c r="A17951" i="4"/>
  <c r="A1800" i="4"/>
  <c r="A1799" i="4"/>
  <c r="A24726" i="4"/>
  <c r="A165" i="4"/>
  <c r="A164" i="4"/>
  <c r="A7917" i="4"/>
  <c r="A1133" i="4"/>
  <c r="A1132" i="4"/>
  <c r="A1131" i="4"/>
  <c r="A17950" i="4"/>
  <c r="A7916" i="4"/>
  <c r="A7915" i="4"/>
  <c r="A8676" i="4"/>
  <c r="A4525" i="4"/>
  <c r="A7914" i="4"/>
  <c r="A7913" i="4"/>
  <c r="A13296" i="4"/>
  <c r="A4524" i="4"/>
  <c r="A17949" i="4"/>
  <c r="A17948" i="4"/>
  <c r="A4523" i="4"/>
  <c r="A4522" i="4"/>
  <c r="A4521" i="4"/>
  <c r="A1798" i="4"/>
  <c r="A12605" i="4"/>
  <c r="A8675" i="4"/>
  <c r="A7912" i="4"/>
  <c r="A7911" i="4"/>
  <c r="A24725" i="4"/>
  <c r="A12604" i="4"/>
  <c r="A20603" i="4"/>
  <c r="A24724" i="4"/>
  <c r="A17686" i="4"/>
  <c r="A17685" i="4"/>
  <c r="A24723" i="4"/>
  <c r="A20602" i="4"/>
  <c r="A4520" i="4"/>
  <c r="A12046" i="4"/>
  <c r="A24722" i="4"/>
  <c r="A24721" i="4"/>
  <c r="A24720" i="4"/>
  <c r="A24719" i="4"/>
  <c r="A7910" i="4"/>
  <c r="A7909" i="4"/>
  <c r="A24718" i="4"/>
  <c r="A7908" i="4"/>
  <c r="A10511" i="4"/>
  <c r="A24717" i="4"/>
  <c r="A16418" i="4"/>
  <c r="A421" i="4"/>
  <c r="A1130" i="4"/>
  <c r="A1129" i="4"/>
  <c r="A1128" i="4"/>
  <c r="A1127" i="4"/>
  <c r="A24716" i="4"/>
  <c r="A24715" i="4"/>
  <c r="A24714" i="4"/>
  <c r="A5729" i="4"/>
  <c r="A10510" i="4"/>
  <c r="A6343" i="4"/>
  <c r="A24713" i="4"/>
  <c r="A17805" i="4"/>
  <c r="A4519" i="4"/>
  <c r="A4518" i="4"/>
  <c r="A4517" i="4"/>
  <c r="A4516" i="4"/>
  <c r="A4515" i="4"/>
  <c r="A16771" i="4"/>
  <c r="A16770" i="4"/>
  <c r="A16769" i="4"/>
  <c r="A16768" i="4"/>
  <c r="A16767" i="4"/>
  <c r="A16766" i="4"/>
  <c r="A16765" i="4"/>
  <c r="A16764" i="4"/>
  <c r="A16763" i="4"/>
  <c r="A24712" i="4"/>
  <c r="A16762" i="4"/>
  <c r="A24711" i="4"/>
  <c r="A24710" i="4"/>
  <c r="A5864" i="4"/>
  <c r="A7907" i="4"/>
  <c r="A17947" i="4"/>
  <c r="A24709" i="4"/>
  <c r="A4514" i="4"/>
  <c r="A4513" i="4"/>
  <c r="A4512" i="4"/>
  <c r="A420" i="4"/>
  <c r="A8674" i="4"/>
  <c r="A6342" i="4"/>
  <c r="A6341" i="4"/>
  <c r="A4511" i="4"/>
  <c r="A4510" i="4"/>
  <c r="A4509" i="4"/>
  <c r="A11066" i="4"/>
  <c r="A24708" i="4"/>
  <c r="A16417" i="4"/>
  <c r="A24707" i="4"/>
  <c r="A19534" i="4"/>
  <c r="A19533" i="4"/>
  <c r="A19532" i="4"/>
  <c r="A16416" i="4"/>
  <c r="A17679" i="4"/>
  <c r="A24706" i="4"/>
  <c r="A24705" i="4"/>
  <c r="A24704" i="4"/>
  <c r="A24703" i="4"/>
  <c r="A16415" i="4"/>
  <c r="A16414" i="4"/>
  <c r="A24702" i="4"/>
  <c r="A1126" i="4"/>
  <c r="A1125" i="4"/>
  <c r="A24701" i="4"/>
  <c r="A1124" i="4"/>
  <c r="A6122" i="4"/>
  <c r="A6121" i="4"/>
  <c r="A6859" i="4"/>
  <c r="A4508" i="4"/>
  <c r="A7906" i="4"/>
  <c r="A5543" i="4"/>
  <c r="A6576" i="4"/>
  <c r="A1123" i="4"/>
  <c r="A6858" i="4"/>
  <c r="A6857" i="4"/>
  <c r="A6856" i="4"/>
  <c r="A20601" i="4"/>
  <c r="A20600" i="4"/>
  <c r="A20599" i="4"/>
  <c r="A1122" i="4"/>
  <c r="A1121" i="4"/>
  <c r="A10509" i="4"/>
  <c r="A15611" i="4"/>
  <c r="A15610" i="4"/>
  <c r="A12603" i="4"/>
  <c r="A12045" i="4"/>
  <c r="A13514" i="4"/>
  <c r="A24700" i="4"/>
  <c r="A24699" i="4"/>
  <c r="A24698" i="4"/>
  <c r="A7905" i="4"/>
  <c r="A24697" i="4"/>
  <c r="A4507" i="4"/>
  <c r="A5542" i="4"/>
  <c r="A13295" i="4"/>
  <c r="A13294" i="4"/>
  <c r="A10918" i="4"/>
  <c r="A10917" i="4"/>
  <c r="A10916" i="4"/>
  <c r="A5541" i="4"/>
  <c r="A6340" i="4"/>
  <c r="A24696" i="4"/>
  <c r="A1120" i="4"/>
  <c r="A1119" i="4"/>
  <c r="A1118" i="4"/>
  <c r="A1117" i="4"/>
  <c r="A8673" i="4"/>
  <c r="A10508" i="4"/>
  <c r="A17318" i="4"/>
  <c r="A8672" i="4"/>
  <c r="A10507" i="4"/>
  <c r="A17946" i="4"/>
  <c r="A17945" i="4"/>
  <c r="A4506" i="4"/>
  <c r="A8671" i="4"/>
  <c r="A24695" i="4"/>
  <c r="A1116" i="4"/>
  <c r="A24694" i="4"/>
  <c r="A19531" i="4"/>
  <c r="A10506" i="4"/>
  <c r="A10505" i="4"/>
  <c r="A10504" i="4"/>
  <c r="A10503" i="4"/>
  <c r="A17944" i="4"/>
  <c r="A10502" i="4"/>
  <c r="A6120" i="4"/>
  <c r="A8670" i="4"/>
  <c r="A4505" i="4"/>
  <c r="A4504" i="4"/>
  <c r="A6339" i="4"/>
  <c r="A10501" i="4"/>
  <c r="A24693" i="4"/>
  <c r="A10500" i="4"/>
  <c r="A8669" i="4"/>
  <c r="A10499" i="4"/>
  <c r="A419" i="4"/>
  <c r="A418" i="4"/>
  <c r="A24692" i="4"/>
  <c r="A13200" i="4"/>
  <c r="A24691" i="4"/>
  <c r="A6855" i="4"/>
  <c r="A1115" i="4"/>
  <c r="A1114" i="4"/>
  <c r="A12044" i="4"/>
  <c r="A12043" i="4"/>
  <c r="A12042" i="4"/>
  <c r="A17943" i="4"/>
  <c r="A4503" i="4"/>
  <c r="A1797" i="4"/>
  <c r="A1796" i="4"/>
  <c r="A12602" i="4"/>
  <c r="A12601" i="4"/>
  <c r="A5863" i="4"/>
  <c r="A12600" i="4"/>
  <c r="A12599" i="4"/>
  <c r="A12598" i="4"/>
  <c r="A4502" i="4"/>
  <c r="A16413" i="4"/>
  <c r="A24690" i="4"/>
  <c r="A24689" i="4"/>
  <c r="A8668" i="4"/>
  <c r="A24688" i="4"/>
  <c r="A24687" i="4"/>
  <c r="A10498" i="4"/>
  <c r="A8667" i="4"/>
  <c r="A19530" i="4"/>
  <c r="A12041" i="4"/>
  <c r="A7904" i="4"/>
  <c r="A15102" i="4"/>
  <c r="A4501" i="4"/>
  <c r="A8666" i="4"/>
  <c r="A24686" i="4"/>
  <c r="A24685" i="4"/>
  <c r="A15101" i="4"/>
  <c r="A15100" i="4"/>
  <c r="A15099" i="4"/>
  <c r="A15098" i="4"/>
  <c r="A15097" i="4"/>
  <c r="A15096" i="4"/>
  <c r="A2425" i="4"/>
  <c r="A24684" i="4"/>
  <c r="A13293" i="4"/>
  <c r="A24683" i="4"/>
  <c r="A12597" i="4"/>
  <c r="A7903" i="4"/>
  <c r="A7902" i="4"/>
  <c r="A24682" i="4"/>
  <c r="A24681" i="4"/>
  <c r="A24680" i="4"/>
  <c r="A1113" i="4"/>
  <c r="A24679" i="4"/>
  <c r="A5341" i="4"/>
  <c r="A5862" i="4"/>
  <c r="A7901" i="4"/>
  <c r="A6338" i="4"/>
  <c r="A24678" i="4"/>
  <c r="A24677" i="4"/>
  <c r="A10497" i="4"/>
  <c r="A4500" i="4"/>
  <c r="A4499" i="4"/>
  <c r="A24676" i="4"/>
  <c r="A24675" i="4"/>
  <c r="A15095" i="4"/>
  <c r="A17317" i="4"/>
  <c r="A6337" i="4"/>
  <c r="A17684" i="4"/>
  <c r="A17683" i="4"/>
  <c r="A16412" i="4"/>
  <c r="A19529" i="4"/>
  <c r="A2424" i="4"/>
  <c r="A1112" i="4"/>
  <c r="A1111" i="4"/>
  <c r="A1110" i="4"/>
  <c r="A4498" i="4"/>
  <c r="A24674" i="4"/>
  <c r="A24673" i="4"/>
  <c r="A12596" i="4"/>
  <c r="A12595" i="4"/>
  <c r="A10496" i="4"/>
  <c r="A17942" i="4"/>
  <c r="A10915" i="4"/>
  <c r="A10495" i="4"/>
  <c r="A24672" i="4"/>
  <c r="A15094" i="4"/>
  <c r="A7900" i="4"/>
  <c r="A8665" i="4"/>
  <c r="A4497" i="4"/>
  <c r="A4496" i="4"/>
  <c r="A4495" i="4"/>
  <c r="A4494" i="4"/>
  <c r="A4493" i="4"/>
  <c r="A4492" i="4"/>
  <c r="A19528" i="4"/>
  <c r="A19527" i="4"/>
  <c r="A8664" i="4"/>
  <c r="A13513" i="4"/>
  <c r="A4491" i="4"/>
  <c r="A4490" i="4"/>
  <c r="A4489" i="4"/>
  <c r="A24671" i="4"/>
  <c r="A24670" i="4"/>
  <c r="A13512" i="4"/>
  <c r="A417" i="4"/>
  <c r="A6119" i="4"/>
  <c r="A6118" i="4"/>
  <c r="A12040" i="4"/>
  <c r="A7899" i="4"/>
  <c r="A15093" i="4"/>
  <c r="A15092" i="4"/>
  <c r="A15091" i="4"/>
  <c r="A15090" i="4"/>
  <c r="A8663" i="4"/>
  <c r="A8662" i="4"/>
  <c r="A6336" i="4"/>
  <c r="A17941" i="4"/>
  <c r="A13511" i="4"/>
  <c r="A24669" i="4"/>
  <c r="A6117" i="4"/>
  <c r="A12594" i="4"/>
  <c r="A7898" i="4"/>
  <c r="A7897" i="4"/>
  <c r="A7896" i="4"/>
  <c r="A24668" i="4"/>
  <c r="A7895" i="4"/>
  <c r="A5540" i="4"/>
  <c r="A16411" i="4"/>
  <c r="A16410" i="4"/>
  <c r="A1109" i="4"/>
  <c r="A1108" i="4"/>
  <c r="A17316" i="4"/>
  <c r="A10494" i="4"/>
  <c r="A13292" i="4"/>
  <c r="A24667" i="4"/>
  <c r="A10493" i="4"/>
  <c r="A10914" i="4"/>
  <c r="A24666" i="4"/>
  <c r="A10492" i="4"/>
  <c r="A8314" i="4"/>
  <c r="A10491" i="4"/>
  <c r="A5861" i="4"/>
  <c r="A6335" i="4"/>
  <c r="A4488" i="4"/>
  <c r="A10490" i="4"/>
  <c r="A24665" i="4"/>
  <c r="A24664" i="4"/>
  <c r="A24663" i="4"/>
  <c r="A10489" i="4"/>
  <c r="A15089" i="4"/>
  <c r="A15088" i="4"/>
  <c r="A17702" i="4"/>
  <c r="A5539" i="4"/>
  <c r="A5538" i="4"/>
  <c r="A6116" i="4"/>
  <c r="A7894" i="4"/>
  <c r="A2423" i="4"/>
  <c r="A2422" i="4"/>
  <c r="A2421" i="4"/>
  <c r="A24662" i="4"/>
  <c r="A2420" i="4"/>
  <c r="A12039" i="4"/>
  <c r="A8661" i="4"/>
  <c r="A8660" i="4"/>
  <c r="A12900" i="4"/>
  <c r="A13291" i="4"/>
  <c r="A13290" i="4"/>
  <c r="A13289" i="4"/>
  <c r="A24661" i="4"/>
  <c r="A24660" i="4"/>
  <c r="A16761" i="4"/>
  <c r="A16760" i="4"/>
  <c r="A16759" i="4"/>
  <c r="A16758" i="4"/>
  <c r="A16757" i="4"/>
  <c r="A16756" i="4"/>
  <c r="A16755" i="4"/>
  <c r="A16754" i="4"/>
  <c r="A24659" i="4"/>
  <c r="A24658" i="4"/>
  <c r="A7893" i="4"/>
  <c r="A12038" i="4"/>
  <c r="A24657" i="4"/>
  <c r="A6115" i="4"/>
  <c r="A8659" i="4"/>
  <c r="A10488" i="4"/>
  <c r="A10487" i="4"/>
  <c r="A5728" i="4"/>
  <c r="A8658" i="4"/>
  <c r="A416" i="4"/>
  <c r="A415" i="4"/>
  <c r="A4487" i="4"/>
  <c r="A1795" i="4"/>
  <c r="A17940" i="4"/>
  <c r="A24656" i="4"/>
  <c r="A1107" i="4"/>
  <c r="A17939" i="4"/>
  <c r="A19526" i="4"/>
  <c r="A24655" i="4"/>
  <c r="A24654" i="4"/>
  <c r="A4486" i="4"/>
  <c r="A24653" i="4"/>
  <c r="A4485" i="4"/>
  <c r="A13510" i="4"/>
  <c r="A1794" i="4"/>
  <c r="A24652" i="4"/>
  <c r="A24651" i="4"/>
  <c r="A24650" i="4"/>
  <c r="A12037" i="4"/>
  <c r="A24649" i="4"/>
  <c r="A16409" i="4"/>
  <c r="A16408" i="4"/>
  <c r="A17315" i="4"/>
  <c r="A17314" i="4"/>
  <c r="A17313" i="4"/>
  <c r="A17312" i="4"/>
  <c r="A17311" i="4"/>
  <c r="A24648" i="4"/>
  <c r="A24647" i="4"/>
  <c r="A24646" i="4"/>
  <c r="A24645" i="4"/>
  <c r="A24644" i="4"/>
  <c r="A24643" i="4"/>
  <c r="A24642" i="4"/>
  <c r="A24641" i="4"/>
  <c r="A24640" i="4"/>
  <c r="A24639" i="4"/>
  <c r="A24638" i="4"/>
  <c r="A24637" i="4"/>
  <c r="A24636" i="4"/>
  <c r="A24635" i="4"/>
  <c r="A6334" i="4"/>
  <c r="A6333" i="4"/>
  <c r="A24634" i="4"/>
  <c r="A10486" i="4"/>
  <c r="A15087" i="4"/>
  <c r="A24633" i="4"/>
  <c r="A24632" i="4"/>
  <c r="A24631" i="4"/>
  <c r="A7892" i="4"/>
  <c r="A7891" i="4"/>
  <c r="A5537" i="4"/>
  <c r="A5536" i="4"/>
  <c r="A5535" i="4"/>
  <c r="A5534" i="4"/>
  <c r="A5533" i="4"/>
  <c r="A16407" i="4"/>
  <c r="A16406" i="4"/>
  <c r="A16405" i="4"/>
  <c r="A1106" i="4"/>
  <c r="A1105" i="4"/>
  <c r="A1104" i="4"/>
  <c r="A1103" i="4"/>
  <c r="A4484" i="4"/>
  <c r="A4483" i="4"/>
  <c r="A4482" i="4"/>
  <c r="A16404" i="4"/>
  <c r="A16753" i="4"/>
  <c r="A16752" i="4"/>
  <c r="A16751" i="4"/>
  <c r="A16750" i="4"/>
  <c r="A24630" i="4"/>
  <c r="A16749" i="4"/>
  <c r="A16748" i="4"/>
  <c r="A16747" i="4"/>
  <c r="A16746" i="4"/>
  <c r="A16745" i="4"/>
  <c r="A16744" i="4"/>
  <c r="A16743" i="4"/>
  <c r="A16742" i="4"/>
  <c r="A16741" i="4"/>
  <c r="A16740" i="4"/>
  <c r="A24629" i="4"/>
  <c r="A16739" i="4"/>
  <c r="A8657" i="4"/>
  <c r="A20598" i="4"/>
  <c r="A20597" i="4"/>
  <c r="A24628" i="4"/>
  <c r="A5727" i="4"/>
  <c r="A5726" i="4"/>
  <c r="A15086" i="4"/>
  <c r="A24627" i="4"/>
  <c r="A1102" i="4"/>
  <c r="A12036" i="4"/>
  <c r="A12593" i="4"/>
  <c r="A24626" i="4"/>
  <c r="A24625" i="4"/>
  <c r="A7890" i="4"/>
  <c r="A24624" i="4"/>
  <c r="A24623" i="4"/>
  <c r="A19525" i="4"/>
  <c r="A6854" i="4"/>
  <c r="A6853" i="4"/>
  <c r="A24622" i="4"/>
  <c r="A4481" i="4"/>
  <c r="A1793" i="4"/>
  <c r="A8389" i="4"/>
  <c r="A4480" i="4"/>
  <c r="A13509" i="4"/>
  <c r="A12035" i="4"/>
  <c r="A4479" i="4"/>
  <c r="A4478" i="4"/>
  <c r="A4477" i="4"/>
  <c r="A24621" i="4"/>
  <c r="A4476" i="4"/>
  <c r="A4475" i="4"/>
  <c r="A9099" i="4"/>
  <c r="A9098" i="4"/>
  <c r="A4474" i="4"/>
  <c r="A6332" i="4"/>
  <c r="A10485" i="4"/>
  <c r="A4473" i="4"/>
  <c r="A4472" i="4"/>
  <c r="A24620" i="4"/>
  <c r="A24619" i="4"/>
  <c r="A10484" i="4"/>
  <c r="A8656" i="4"/>
  <c r="A8655" i="4"/>
  <c r="A19524" i="4"/>
  <c r="A1792" i="4"/>
  <c r="A7889" i="4"/>
  <c r="A4471" i="4"/>
  <c r="A24618" i="4"/>
  <c r="A10913" i="4"/>
  <c r="A10912" i="4"/>
  <c r="A19523" i="4"/>
  <c r="A24617" i="4"/>
  <c r="A12592" i="4"/>
  <c r="A1101" i="4"/>
  <c r="A2419" i="4"/>
  <c r="A4470" i="4"/>
  <c r="A4469" i="4"/>
  <c r="A24616" i="4"/>
  <c r="A15085" i="4"/>
  <c r="A15084" i="4"/>
  <c r="A7888" i="4"/>
  <c r="A7887" i="4"/>
  <c r="A17705" i="4"/>
  <c r="A17804" i="4"/>
  <c r="A6331" i="4"/>
  <c r="A24615" i="4"/>
  <c r="A13288" i="4"/>
  <c r="A414" i="4"/>
  <c r="A13287" i="4"/>
  <c r="A19522" i="4"/>
  <c r="A10483" i="4"/>
  <c r="A12591" i="4"/>
  <c r="A12590" i="4"/>
  <c r="A5532" i="4"/>
  <c r="A5531" i="4"/>
  <c r="A5530" i="4"/>
  <c r="A1100" i="4"/>
  <c r="A1099" i="4"/>
  <c r="A24614" i="4"/>
  <c r="A10482" i="4"/>
  <c r="A4468" i="4"/>
  <c r="A4467" i="4"/>
  <c r="A4466" i="4"/>
  <c r="A24613" i="4"/>
  <c r="A24612" i="4"/>
  <c r="A10481" i="4"/>
  <c r="A4465" i="4"/>
  <c r="A4464" i="4"/>
  <c r="A4463" i="4"/>
  <c r="A4462" i="4"/>
  <c r="A4461" i="4"/>
  <c r="A6114" i="4"/>
  <c r="A10480" i="4"/>
  <c r="A4460" i="4"/>
  <c r="A10479" i="4"/>
  <c r="A24611" i="4"/>
  <c r="A2418" i="4"/>
  <c r="A24610" i="4"/>
  <c r="A24609" i="4"/>
  <c r="A12589" i="4"/>
  <c r="A7886" i="4"/>
  <c r="A1791" i="4"/>
  <c r="A1098" i="4"/>
  <c r="A15083" i="4"/>
  <c r="A10478" i="4"/>
  <c r="A24608" i="4"/>
  <c r="A24607" i="4"/>
  <c r="A5529" i="4"/>
  <c r="A10477" i="4"/>
  <c r="A24606" i="4"/>
  <c r="A24605" i="4"/>
  <c r="A24604" i="4"/>
  <c r="A24603" i="4"/>
  <c r="A24602" i="4"/>
  <c r="A24601" i="4"/>
  <c r="A16738" i="4"/>
  <c r="A16737" i="4"/>
  <c r="A16736" i="4"/>
  <c r="A24600" i="4"/>
  <c r="A16735" i="4"/>
  <c r="A16734" i="4"/>
  <c r="A16733" i="4"/>
  <c r="A16732" i="4"/>
  <c r="A16731" i="4"/>
  <c r="A16730" i="4"/>
  <c r="A16729" i="4"/>
  <c r="A24599" i="4"/>
  <c r="A24598" i="4"/>
  <c r="A16728" i="4"/>
  <c r="A16727" i="4"/>
  <c r="A24597" i="4"/>
  <c r="A16726" i="4"/>
  <c r="A16725" i="4"/>
  <c r="A17938" i="4"/>
  <c r="A24596" i="4"/>
  <c r="A19521" i="4"/>
  <c r="A7885" i="4"/>
  <c r="A7884" i="4"/>
  <c r="A4459" i="4"/>
  <c r="A4458" i="4"/>
  <c r="A4457" i="4"/>
  <c r="A4456" i="4"/>
  <c r="A16403" i="4"/>
  <c r="A19520" i="4"/>
  <c r="A19519" i="4"/>
  <c r="A6852" i="4"/>
  <c r="A6851" i="4"/>
  <c r="A7883" i="4"/>
  <c r="A7882" i="4"/>
  <c r="A13623" i="4"/>
  <c r="A1097" i="4"/>
  <c r="A1096" i="4"/>
  <c r="A2417" i="4"/>
  <c r="A24595" i="4"/>
  <c r="A2416" i="4"/>
  <c r="A2415" i="4"/>
  <c r="A4455" i="4"/>
  <c r="A7881" i="4"/>
  <c r="A7880" i="4"/>
  <c r="A7879" i="4"/>
  <c r="A7878" i="4"/>
  <c r="A7877" i="4"/>
  <c r="A24594" i="4"/>
  <c r="A10911" i="4"/>
  <c r="A10910" i="4"/>
  <c r="A7876" i="4"/>
  <c r="A10476" i="4"/>
  <c r="A1095" i="4"/>
  <c r="A1094" i="4"/>
  <c r="A4454" i="4"/>
  <c r="A4453" i="4"/>
  <c r="A4452" i="4"/>
  <c r="A6330" i="4"/>
  <c r="A6329" i="4"/>
  <c r="A4451" i="4"/>
  <c r="A4450" i="4"/>
  <c r="A4449" i="4"/>
  <c r="A4448" i="4"/>
  <c r="A4447" i="4"/>
  <c r="A8654" i="4"/>
  <c r="A24593" i="4"/>
  <c r="A15082" i="4"/>
  <c r="A15081" i="4"/>
  <c r="A10475" i="4"/>
  <c r="A10474" i="4"/>
  <c r="A19518" i="4"/>
  <c r="A19517" i="4"/>
  <c r="A19516" i="4"/>
  <c r="A19515" i="4"/>
  <c r="A8653" i="4"/>
  <c r="A24592" i="4"/>
  <c r="A4446" i="4"/>
  <c r="A24591" i="4"/>
  <c r="A19514" i="4"/>
  <c r="A4445" i="4"/>
  <c r="A13508" i="4"/>
  <c r="A10909" i="4"/>
  <c r="A10473" i="4"/>
  <c r="A6575" i="4"/>
  <c r="A10472" i="4"/>
  <c r="A12588" i="4"/>
  <c r="A17803" i="4"/>
  <c r="A4444" i="4"/>
  <c r="A6113" i="4"/>
  <c r="A6112" i="4"/>
  <c r="A13199" i="4"/>
  <c r="A13198" i="4"/>
  <c r="A13197" i="4"/>
  <c r="A5340" i="4"/>
  <c r="A17678" i="4"/>
  <c r="A1093" i="4"/>
  <c r="A24590" i="4"/>
  <c r="A13622" i="4"/>
  <c r="A13621" i="4"/>
  <c r="A13620" i="4"/>
  <c r="A1092" i="4"/>
  <c r="A1091" i="4"/>
  <c r="A24589" i="4"/>
  <c r="A1090" i="4"/>
  <c r="A15080" i="4"/>
  <c r="A10471" i="4"/>
  <c r="A13286" i="4"/>
  <c r="A1790" i="4"/>
  <c r="A24588" i="4"/>
  <c r="A24587" i="4"/>
  <c r="A15079" i="4"/>
  <c r="A5860" i="4"/>
  <c r="A10470" i="4"/>
  <c r="A24586" i="4"/>
  <c r="A10469" i="4"/>
  <c r="A24585" i="4"/>
  <c r="A5725" i="4"/>
  <c r="A16402" i="4"/>
  <c r="A16401" i="4"/>
  <c r="A24584" i="4"/>
  <c r="A6111" i="4"/>
  <c r="A6110" i="4"/>
  <c r="A6109" i="4"/>
  <c r="A6108" i="4"/>
  <c r="A10468" i="4"/>
  <c r="A4443" i="4"/>
  <c r="A4442" i="4"/>
  <c r="A6574" i="4"/>
  <c r="A10467" i="4"/>
  <c r="A24583" i="4"/>
  <c r="A6107" i="4"/>
  <c r="A6328" i="4"/>
  <c r="A4441" i="4"/>
  <c r="A4440" i="4"/>
  <c r="A4439" i="4"/>
  <c r="A4438" i="4"/>
  <c r="A4437" i="4"/>
  <c r="A4436" i="4"/>
  <c r="A10908" i="4"/>
  <c r="A19513" i="4"/>
  <c r="A8422" i="4"/>
  <c r="A8421" i="4"/>
  <c r="A8420" i="4"/>
  <c r="A8419" i="4"/>
  <c r="A1089" i="4"/>
  <c r="A24582" i="4"/>
  <c r="A24581" i="4"/>
  <c r="A4435" i="4"/>
  <c r="A12587" i="4"/>
  <c r="A12586" i="4"/>
  <c r="A12585" i="4"/>
  <c r="A10466" i="4"/>
  <c r="A24580" i="4"/>
  <c r="A16400" i="4"/>
  <c r="A19512" i="4"/>
  <c r="A6850" i="4"/>
  <c r="A15078" i="4"/>
  <c r="A15077" i="4"/>
  <c r="A24579" i="4"/>
  <c r="A13196" i="4"/>
  <c r="A6573" i="4"/>
  <c r="A6106" i="4"/>
  <c r="A6105" i="4"/>
  <c r="A6104" i="4"/>
  <c r="A24578" i="4"/>
  <c r="A4434" i="4"/>
  <c r="A17937" i="4"/>
  <c r="A11065" i="4"/>
  <c r="A11064" i="4"/>
  <c r="A12584" i="4"/>
  <c r="A7875" i="4"/>
  <c r="A7874" i="4"/>
  <c r="A7873" i="4"/>
  <c r="A7872" i="4"/>
  <c r="A6327" i="4"/>
  <c r="A20596" i="4"/>
  <c r="A8418" i="4"/>
  <c r="A4433" i="4"/>
  <c r="A10465" i="4"/>
  <c r="A10464" i="4"/>
  <c r="A19511" i="4"/>
  <c r="A24577" i="4"/>
  <c r="A7871" i="4"/>
  <c r="A1088" i="4"/>
  <c r="A6103" i="4"/>
  <c r="A10463" i="4"/>
  <c r="A12583" i="4"/>
  <c r="A12582" i="4"/>
  <c r="A12581" i="4"/>
  <c r="A12580" i="4"/>
  <c r="A12579" i="4"/>
  <c r="A12578" i="4"/>
  <c r="A7870" i="4"/>
  <c r="A20595" i="4"/>
  <c r="A20594" i="4"/>
  <c r="A20593" i="4"/>
  <c r="A24576" i="4"/>
  <c r="A24575" i="4"/>
  <c r="A24574" i="4"/>
  <c r="A17936" i="4"/>
  <c r="A24573" i="4"/>
  <c r="A24572" i="4"/>
  <c r="A10462" i="4"/>
  <c r="A8652" i="4"/>
  <c r="A6572" i="4"/>
  <c r="A6326" i="4"/>
  <c r="A7869" i="4"/>
  <c r="A7868" i="4"/>
  <c r="A8651" i="4"/>
  <c r="A413" i="4"/>
  <c r="A24571" i="4"/>
  <c r="A17802" i="4"/>
  <c r="A15076" i="4"/>
  <c r="A2414" i="4"/>
  <c r="A9097" i="4"/>
  <c r="A24570" i="4"/>
  <c r="A2565" i="4"/>
  <c r="A2564" i="4"/>
  <c r="A2563" i="4"/>
  <c r="A15075" i="4"/>
  <c r="A7867" i="4"/>
  <c r="A8650" i="4"/>
  <c r="A6325" i="4"/>
  <c r="A17935" i="4"/>
  <c r="A24569" i="4"/>
  <c r="A24568" i="4"/>
  <c r="A6324" i="4"/>
  <c r="A17801" i="4"/>
  <c r="A10461" i="4"/>
  <c r="A5767" i="4"/>
  <c r="A5766" i="4"/>
  <c r="A13507" i="4"/>
  <c r="A4432" i="4"/>
  <c r="A4431" i="4"/>
  <c r="A4430" i="4"/>
  <c r="A4429" i="4"/>
  <c r="A4428" i="4"/>
  <c r="A10460" i="4"/>
  <c r="A13506" i="4"/>
  <c r="A4427" i="4"/>
  <c r="A2413" i="4"/>
  <c r="A2412" i="4"/>
  <c r="A24567" i="4"/>
  <c r="A24566" i="4"/>
  <c r="A12577" i="4"/>
  <c r="A16399" i="4"/>
  <c r="A19510" i="4"/>
  <c r="A19509" i="4"/>
  <c r="A19508" i="4"/>
  <c r="A19507" i="4"/>
  <c r="A19506" i="4"/>
  <c r="A19505" i="4"/>
  <c r="A4426" i="4"/>
  <c r="A4425" i="4"/>
  <c r="A8649" i="4"/>
  <c r="A10459" i="4"/>
  <c r="A10458" i="4"/>
  <c r="A6323" i="4"/>
  <c r="A4424" i="4"/>
  <c r="A24565" i="4"/>
  <c r="A20592" i="4"/>
  <c r="A20591" i="4"/>
  <c r="A1789" i="4"/>
  <c r="A6322" i="4"/>
  <c r="A4423" i="4"/>
  <c r="A24564" i="4"/>
  <c r="A6102" i="4"/>
  <c r="A24563" i="4"/>
  <c r="A24562" i="4"/>
  <c r="A19504" i="4"/>
  <c r="A12899" i="4"/>
  <c r="A12034" i="4"/>
  <c r="A6101" i="4"/>
  <c r="A2411" i="4"/>
  <c r="A24561" i="4"/>
  <c r="A24560" i="4"/>
  <c r="A24559" i="4"/>
  <c r="A24558" i="4"/>
  <c r="A1087" i="4"/>
  <c r="A1086" i="4"/>
  <c r="A13619" i="4"/>
  <c r="A20590" i="4"/>
  <c r="A17800" i="4"/>
  <c r="A24557" i="4"/>
  <c r="A24556" i="4"/>
  <c r="A6321" i="4"/>
  <c r="A1788" i="4"/>
  <c r="A4422" i="4"/>
  <c r="A4421" i="4"/>
  <c r="A4420" i="4"/>
  <c r="A4419" i="4"/>
  <c r="A4418" i="4"/>
  <c r="A4417" i="4"/>
  <c r="A4416" i="4"/>
  <c r="A4415" i="4"/>
  <c r="A12033" i="4"/>
  <c r="A12032" i="4"/>
  <c r="A24555" i="4"/>
  <c r="A24554" i="4"/>
  <c r="A24553" i="4"/>
  <c r="A15074" i="4"/>
  <c r="A12576" i="4"/>
  <c r="A15073" i="4"/>
  <c r="A10907" i="4"/>
  <c r="A7866" i="4"/>
  <c r="A7865" i="4"/>
  <c r="A24552" i="4"/>
  <c r="A24551" i="4"/>
  <c r="A24550" i="4"/>
  <c r="A16398" i="4"/>
  <c r="A16397" i="4"/>
  <c r="A16396" i="4"/>
  <c r="A16395" i="4"/>
  <c r="A16394" i="4"/>
  <c r="A16393" i="4"/>
  <c r="A16392" i="4"/>
  <c r="A16391" i="4"/>
  <c r="A1085" i="4"/>
  <c r="A1084" i="4"/>
  <c r="A1083" i="4"/>
  <c r="A8383" i="4"/>
  <c r="A8382" i="4"/>
  <c r="A9096" i="4"/>
  <c r="A10457" i="4"/>
  <c r="A20589" i="4"/>
  <c r="A1082" i="4"/>
  <c r="A5724" i="4"/>
  <c r="A24549" i="4"/>
  <c r="A10456" i="4"/>
  <c r="A6320" i="4"/>
  <c r="A24548" i="4"/>
  <c r="A12031" i="4"/>
  <c r="A4414" i="4"/>
  <c r="A6849" i="4"/>
  <c r="A6848" i="4"/>
  <c r="A6847" i="4"/>
  <c r="A6846" i="4"/>
  <c r="A4413" i="4"/>
  <c r="A6319" i="4"/>
  <c r="A19503" i="4"/>
  <c r="A24547" i="4"/>
  <c r="A17677" i="4"/>
  <c r="A24546" i="4"/>
  <c r="A24545" i="4"/>
  <c r="A24544" i="4"/>
  <c r="A24543" i="4"/>
  <c r="A24542" i="4"/>
  <c r="A24541" i="4"/>
  <c r="A16390" i="4"/>
  <c r="A24540" i="4"/>
  <c r="A24539" i="4"/>
  <c r="A1081" i="4"/>
  <c r="A1080" i="4"/>
  <c r="A2410" i="4"/>
  <c r="A2409" i="4"/>
  <c r="A2408" i="4"/>
  <c r="A12030" i="4"/>
  <c r="A12029" i="4"/>
  <c r="A2407" i="4"/>
  <c r="A2562" i="4"/>
  <c r="A12575" i="4"/>
  <c r="A24538" i="4"/>
  <c r="A15072" i="4"/>
  <c r="A10455" i="4"/>
  <c r="A10906" i="4"/>
  <c r="A7864" i="4"/>
  <c r="A7863" i="4"/>
  <c r="A5528" i="4"/>
  <c r="A5527" i="4"/>
  <c r="A16389" i="4"/>
  <c r="A16388" i="4"/>
  <c r="A16387" i="4"/>
  <c r="A12838" i="4"/>
  <c r="A1079" i="4"/>
  <c r="A1078" i="4"/>
  <c r="A1077" i="4"/>
  <c r="A24537" i="4"/>
  <c r="A24536" i="4"/>
  <c r="A15609" i="4"/>
  <c r="A24535" i="4"/>
  <c r="A7862" i="4"/>
  <c r="A1076" i="4"/>
  <c r="A17799" i="4"/>
  <c r="A17798" i="4"/>
  <c r="A24534" i="4"/>
  <c r="A4412" i="4"/>
  <c r="A6100" i="4"/>
  <c r="A6099" i="4"/>
  <c r="A24533" i="4"/>
  <c r="A8648" i="4"/>
  <c r="A10454" i="4"/>
  <c r="A19502" i="4"/>
  <c r="A17797" i="4"/>
  <c r="A24532" i="4"/>
  <c r="A13618" i="4"/>
  <c r="A7861" i="4"/>
  <c r="A7860" i="4"/>
  <c r="A7859" i="4"/>
  <c r="A7858" i="4"/>
  <c r="A7857" i="4"/>
  <c r="A7856" i="4"/>
  <c r="A24531" i="4"/>
  <c r="A1075" i="4"/>
  <c r="A1074" i="4"/>
  <c r="A1073" i="4"/>
  <c r="A17796" i="4"/>
  <c r="A24530" i="4"/>
  <c r="A412" i="4"/>
  <c r="A16724" i="4"/>
  <c r="A16723" i="4"/>
  <c r="A16722" i="4"/>
  <c r="A16721" i="4"/>
  <c r="A24529" i="4"/>
  <c r="A5526" i="4"/>
  <c r="A24528" i="4"/>
  <c r="A1072" i="4"/>
  <c r="A1071" i="4"/>
  <c r="A4411" i="4"/>
  <c r="A1787" i="4"/>
  <c r="A16720" i="4"/>
  <c r="A16719" i="4"/>
  <c r="A16718" i="4"/>
  <c r="A24527" i="4"/>
  <c r="A16717" i="4"/>
  <c r="A16716" i="4"/>
  <c r="A16715" i="4"/>
  <c r="A12574" i="4"/>
  <c r="A11034" i="4"/>
  <c r="A11033" i="4"/>
  <c r="A12028" i="4"/>
  <c r="A13285" i="4"/>
  <c r="A7855" i="4"/>
  <c r="A2406" i="4"/>
  <c r="A2405" i="4"/>
  <c r="A2404" i="4"/>
  <c r="A15071" i="4"/>
  <c r="A16386" i="4"/>
  <c r="A6098" i="4"/>
  <c r="A15070" i="4"/>
  <c r="A24526" i="4"/>
  <c r="A24525" i="4"/>
  <c r="A24524" i="4"/>
  <c r="A12573" i="4"/>
  <c r="A5525" i="4"/>
  <c r="A24523" i="4"/>
  <c r="A19501" i="4"/>
  <c r="A411" i="4"/>
  <c r="A24522" i="4"/>
  <c r="A410" i="4"/>
  <c r="A16385" i="4"/>
  <c r="A15069" i="4"/>
  <c r="A11063" i="4"/>
  <c r="A24521" i="4"/>
  <c r="A15068" i="4"/>
  <c r="A12572" i="4"/>
  <c r="A24520" i="4"/>
  <c r="A16714" i="4"/>
  <c r="A16713" i="4"/>
  <c r="A16712" i="4"/>
  <c r="A24519" i="4"/>
  <c r="A16711" i="4"/>
  <c r="A16710" i="4"/>
  <c r="A16709" i="4"/>
  <c r="A24518" i="4"/>
  <c r="A16708" i="4"/>
  <c r="A24517" i="4"/>
  <c r="A19500" i="4"/>
  <c r="A6318" i="4"/>
  <c r="A13505" i="4"/>
  <c r="A10453" i="4"/>
  <c r="A8647" i="4"/>
  <c r="A10452" i="4"/>
  <c r="A13504" i="4"/>
  <c r="A8646" i="4"/>
  <c r="A4410" i="4"/>
  <c r="A6097" i="4"/>
  <c r="A15067" i="4"/>
  <c r="A15066" i="4"/>
  <c r="A7854" i="4"/>
  <c r="A13503" i="4"/>
  <c r="A1070" i="4"/>
  <c r="A1069" i="4"/>
  <c r="A12571" i="4"/>
  <c r="A6317" i="4"/>
  <c r="A6096" i="4"/>
  <c r="A17795" i="4"/>
  <c r="A24516" i="4"/>
  <c r="A10451" i="4"/>
  <c r="A12570" i="4"/>
  <c r="A24515" i="4"/>
  <c r="A5524" i="4"/>
  <c r="A24514" i="4"/>
  <c r="A16384" i="4"/>
  <c r="A16383" i="4"/>
  <c r="A24513" i="4"/>
  <c r="A524" i="4"/>
  <c r="A19499" i="4"/>
  <c r="A19498" i="4"/>
  <c r="A24512" i="4"/>
  <c r="A1068" i="4"/>
  <c r="A10450" i="4"/>
  <c r="A24511" i="4"/>
  <c r="A10449" i="4"/>
  <c r="A6095" i="4"/>
  <c r="A12569" i="4"/>
  <c r="A10905" i="4"/>
  <c r="A24510" i="4"/>
  <c r="A24509" i="4"/>
  <c r="A24508" i="4"/>
  <c r="A24507" i="4"/>
  <c r="A24506" i="4"/>
  <c r="A7853" i="4"/>
  <c r="A7852" i="4"/>
  <c r="A7851" i="4"/>
  <c r="A16382" i="4"/>
  <c r="A1067" i="4"/>
  <c r="A1066" i="4"/>
  <c r="A15065" i="4"/>
  <c r="A6845" i="4"/>
  <c r="A24505" i="4"/>
  <c r="A17794" i="4"/>
  <c r="A10448" i="4"/>
  <c r="A17934" i="4"/>
  <c r="A9095" i="4"/>
  <c r="A4409" i="4"/>
  <c r="A4408" i="4"/>
  <c r="A8645" i="4"/>
  <c r="A17933" i="4"/>
  <c r="A4407" i="4"/>
  <c r="A12568" i="4"/>
  <c r="A12567" i="4"/>
  <c r="A8644" i="4"/>
  <c r="A8643" i="4"/>
  <c r="A10447" i="4"/>
  <c r="A409" i="4"/>
  <c r="A5765" i="4"/>
  <c r="A17793" i="4"/>
  <c r="A9094" i="4"/>
  <c r="A24504" i="4"/>
  <c r="A9093" i="4"/>
  <c r="A9092" i="4"/>
  <c r="A7850" i="4"/>
  <c r="A10446" i="4"/>
  <c r="A24503" i="4"/>
  <c r="A6316" i="4"/>
  <c r="A19497" i="4"/>
  <c r="A19496" i="4"/>
  <c r="A7849" i="4"/>
  <c r="A24502" i="4"/>
  <c r="A17792" i="4"/>
  <c r="A10445" i="4"/>
  <c r="A24501" i="4"/>
  <c r="A2561" i="4"/>
  <c r="A2560" i="4"/>
  <c r="A13195" i="4"/>
  <c r="A24500" i="4"/>
  <c r="A16381" i="4"/>
  <c r="A24499" i="4"/>
  <c r="A16380" i="4"/>
  <c r="A24498" i="4"/>
  <c r="A24497" i="4"/>
  <c r="A24496" i="4"/>
  <c r="A24495" i="4"/>
  <c r="A8642" i="4"/>
  <c r="A10444" i="4"/>
  <c r="A24494" i="4"/>
  <c r="A15064" i="4"/>
  <c r="A15063" i="4"/>
  <c r="A24493" i="4"/>
  <c r="A24492" i="4"/>
  <c r="A24491" i="4"/>
  <c r="A24490" i="4"/>
  <c r="A24489" i="4"/>
  <c r="A12566" i="4"/>
  <c r="A24488" i="4"/>
  <c r="A24487" i="4"/>
  <c r="A15062" i="4"/>
  <c r="A10904" i="4"/>
  <c r="A10903" i="4"/>
  <c r="A16707" i="4"/>
  <c r="A5523" i="4"/>
  <c r="A24486" i="4"/>
  <c r="A5522" i="4"/>
  <c r="A5521" i="4"/>
  <c r="A5520" i="4"/>
  <c r="A16379" i="4"/>
  <c r="A1065" i="4"/>
  <c r="A1064" i="4"/>
  <c r="A1063" i="4"/>
  <c r="A24485" i="4"/>
  <c r="A13502" i="4"/>
  <c r="A4406" i="4"/>
  <c r="A10443" i="4"/>
  <c r="A24484" i="4"/>
  <c r="A10442" i="4"/>
  <c r="A24483" i="4"/>
  <c r="A13501" i="4"/>
  <c r="A6571" i="4"/>
  <c r="A24482" i="4"/>
  <c r="A13500" i="4"/>
  <c r="A1786" i="4"/>
  <c r="A10441" i="4"/>
  <c r="A6315" i="4"/>
  <c r="A10440" i="4"/>
  <c r="A4405" i="4"/>
  <c r="A4404" i="4"/>
  <c r="A4403" i="4"/>
  <c r="A9091" i="4"/>
  <c r="A9090" i="4"/>
  <c r="A9089" i="4"/>
  <c r="A9088" i="4"/>
  <c r="A17701" i="4"/>
  <c r="A1062" i="4"/>
  <c r="A6314" i="4"/>
  <c r="A24481" i="4"/>
  <c r="A24480" i="4"/>
  <c r="A12027" i="4"/>
  <c r="A6313" i="4"/>
  <c r="A24479" i="4"/>
  <c r="A8641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11062" i="4"/>
  <c r="A24478" i="4"/>
  <c r="A4390" i="4"/>
  <c r="A10439" i="4"/>
  <c r="A19495" i="4"/>
  <c r="A19494" i="4"/>
  <c r="A19493" i="4"/>
  <c r="A19492" i="4"/>
  <c r="A19491" i="4"/>
  <c r="A19490" i="4"/>
  <c r="A19489" i="4"/>
  <c r="A24477" i="4"/>
  <c r="A24476" i="4"/>
  <c r="A24475" i="4"/>
  <c r="A24474" i="4"/>
  <c r="A24473" i="4"/>
  <c r="A24472" i="4"/>
  <c r="A16378" i="4"/>
  <c r="A24471" i="4"/>
  <c r="A24470" i="4"/>
  <c r="A24469" i="4"/>
  <c r="A24468" i="4"/>
  <c r="A24467" i="4"/>
  <c r="A24466" i="4"/>
  <c r="A24465" i="4"/>
  <c r="A1061" i="4"/>
  <c r="A1060" i="4"/>
  <c r="A1059" i="4"/>
  <c r="A24464" i="4"/>
  <c r="A24463" i="4"/>
  <c r="A8381" i="4"/>
  <c r="A2403" i="4"/>
  <c r="A4389" i="4"/>
  <c r="A4388" i="4"/>
  <c r="A4387" i="4"/>
  <c r="A12026" i="4"/>
  <c r="A7848" i="4"/>
  <c r="A15061" i="4"/>
  <c r="A24462" i="4"/>
  <c r="A24461" i="4"/>
  <c r="A24460" i="4"/>
  <c r="A13284" i="4"/>
  <c r="A24459" i="4"/>
  <c r="A1058" i="4"/>
  <c r="A19488" i="4"/>
  <c r="A19487" i="4"/>
  <c r="A19486" i="4"/>
  <c r="A19485" i="4"/>
  <c r="A19484" i="4"/>
  <c r="A19483" i="4"/>
  <c r="A24458" i="4"/>
  <c r="A15060" i="4"/>
  <c r="A4386" i="4"/>
  <c r="A4385" i="4"/>
  <c r="A13499" i="4"/>
  <c r="A6094" i="4"/>
  <c r="A6093" i="4"/>
  <c r="A15059" i="4"/>
  <c r="A24457" i="4"/>
  <c r="A24456" i="4"/>
  <c r="A1057" i="4"/>
  <c r="A408" i="4"/>
  <c r="A407" i="4"/>
  <c r="A406" i="4"/>
  <c r="A405" i="4"/>
  <c r="A404" i="4"/>
  <c r="A24455" i="4"/>
  <c r="A24454" i="4"/>
  <c r="A15553" i="4"/>
  <c r="A13498" i="4"/>
  <c r="A24453" i="4"/>
  <c r="A9087" i="4"/>
  <c r="A24452" i="4"/>
  <c r="A9086" i="4"/>
  <c r="A24451" i="4"/>
  <c r="A5519" i="4"/>
  <c r="A13497" i="4"/>
  <c r="A16377" i="4"/>
  <c r="A12025" i="4"/>
  <c r="A24450" i="4"/>
  <c r="A4384" i="4"/>
  <c r="A9085" i="4"/>
  <c r="A4383" i="4"/>
  <c r="A24449" i="4"/>
  <c r="A12565" i="4"/>
  <c r="A24448" i="4"/>
  <c r="A24447" i="4"/>
  <c r="A16376" i="4"/>
  <c r="A16375" i="4"/>
  <c r="A15584" i="4"/>
  <c r="A10438" i="4"/>
  <c r="A4382" i="4"/>
  <c r="A4381" i="4"/>
  <c r="A4380" i="4"/>
  <c r="A4379" i="4"/>
  <c r="A4378" i="4"/>
  <c r="A8" i="4"/>
  <c r="A7" i="4"/>
  <c r="A24446" i="4"/>
  <c r="A24445" i="4"/>
  <c r="A17791" i="4"/>
  <c r="A12024" i="4"/>
  <c r="A12023" i="4"/>
  <c r="A13496" i="4"/>
  <c r="A24444" i="4"/>
  <c r="A24443" i="4"/>
  <c r="A12022" i="4"/>
  <c r="A12021" i="4"/>
  <c r="A403" i="4"/>
  <c r="A402" i="4"/>
  <c r="A4377" i="4"/>
  <c r="A4376" i="4"/>
  <c r="A13495" i="4"/>
  <c r="A15058" i="4"/>
  <c r="A7847" i="4"/>
  <c r="A7846" i="4"/>
  <c r="A12564" i="4"/>
  <c r="A401" i="4"/>
  <c r="A400" i="4"/>
  <c r="A399" i="4"/>
  <c r="A398" i="4"/>
  <c r="A24442" i="4"/>
  <c r="A9375" i="4"/>
  <c r="A19482" i="4"/>
  <c r="A6092" i="4"/>
  <c r="A6091" i="4"/>
  <c r="A7845" i="4"/>
  <c r="A7844" i="4"/>
  <c r="A24441" i="4"/>
  <c r="A24440" i="4"/>
  <c r="A1056" i="4"/>
  <c r="A15057" i="4"/>
  <c r="A15056" i="4"/>
  <c r="A2402" i="4"/>
  <c r="A24439" i="4"/>
  <c r="A24438" i="4"/>
  <c r="A12020" i="4"/>
  <c r="A24437" i="4"/>
  <c r="A24436" i="4"/>
  <c r="A24435" i="4"/>
  <c r="A2401" i="4"/>
  <c r="A15055" i="4"/>
  <c r="A24434" i="4"/>
  <c r="A24433" i="4"/>
  <c r="A24432" i="4"/>
  <c r="A10902" i="4"/>
  <c r="A24431" i="4"/>
  <c r="A24430" i="4"/>
  <c r="A19481" i="4"/>
  <c r="A19480" i="4"/>
  <c r="A19479" i="4"/>
  <c r="A19478" i="4"/>
  <c r="A19477" i="4"/>
  <c r="A19476" i="4"/>
  <c r="A9084" i="4"/>
  <c r="A9083" i="4"/>
  <c r="A9082" i="4"/>
  <c r="A9081" i="4"/>
  <c r="A9080" i="4"/>
  <c r="A9079" i="4"/>
  <c r="A9078" i="4"/>
  <c r="A10437" i="4"/>
  <c r="A10436" i="4"/>
  <c r="A4375" i="4"/>
  <c r="A24429" i="4"/>
  <c r="A17700" i="4"/>
  <c r="A24428" i="4"/>
  <c r="A1055" i="4"/>
  <c r="A1054" i="4"/>
  <c r="A1053" i="4"/>
  <c r="A24427" i="4"/>
  <c r="A24426" i="4"/>
  <c r="A10435" i="4"/>
  <c r="A1785" i="4"/>
  <c r="A4374" i="4"/>
  <c r="A4373" i="4"/>
  <c r="A4372" i="4"/>
  <c r="A24425" i="4"/>
  <c r="A7843" i="4"/>
  <c r="A24424" i="4"/>
  <c r="A6090" i="4"/>
  <c r="A4371" i="4"/>
  <c r="A9077" i="4"/>
  <c r="A9076" i="4"/>
  <c r="A9075" i="4"/>
  <c r="A5518" i="4"/>
  <c r="A8640" i="4"/>
  <c r="A8639" i="4"/>
  <c r="A10901" i="4"/>
  <c r="A10900" i="4"/>
  <c r="A7842" i="4"/>
  <c r="A7841" i="4"/>
  <c r="A7840" i="4"/>
  <c r="A1052" i="4"/>
  <c r="A1051" i="4"/>
  <c r="A163" i="4"/>
  <c r="A2400" i="4"/>
  <c r="A18049" i="4"/>
  <c r="A20588" i="4"/>
  <c r="A20587" i="4"/>
  <c r="A397" i="4"/>
  <c r="A15054" i="4"/>
  <c r="A24423" i="4"/>
  <c r="A24422" i="4"/>
  <c r="A5517" i="4"/>
  <c r="A7839" i="4"/>
  <c r="A7838" i="4"/>
  <c r="A10434" i="4"/>
  <c r="A4370" i="4"/>
  <c r="A10433" i="4"/>
  <c r="A24421" i="4"/>
  <c r="A10432" i="4"/>
  <c r="A4369" i="4"/>
  <c r="A4368" i="4"/>
  <c r="A10431" i="4"/>
  <c r="A523" i="4"/>
  <c r="A19475" i="4"/>
  <c r="A24420" i="4"/>
  <c r="A13494" i="4"/>
  <c r="A6312" i="4"/>
  <c r="A10899" i="4"/>
  <c r="A10898" i="4"/>
  <c r="A10897" i="4"/>
  <c r="A10896" i="4"/>
  <c r="A10895" i="4"/>
  <c r="A24419" i="4"/>
  <c r="A24418" i="4"/>
  <c r="A16706" i="4"/>
  <c r="A13283" i="4"/>
  <c r="A16374" i="4"/>
  <c r="A19474" i="4"/>
  <c r="A19473" i="4"/>
  <c r="A6089" i="4"/>
  <c r="A24417" i="4"/>
  <c r="A6088" i="4"/>
  <c r="A19472" i="4"/>
  <c r="A19471" i="4"/>
  <c r="A19470" i="4"/>
  <c r="A19469" i="4"/>
  <c r="A8417" i="4"/>
  <c r="A6844" i="4"/>
  <c r="A13617" i="4"/>
  <c r="A17310" i="4"/>
  <c r="A24416" i="4"/>
  <c r="A10430" i="4"/>
  <c r="A6311" i="4"/>
  <c r="A1784" i="4"/>
  <c r="A1783" i="4"/>
  <c r="A4367" i="4"/>
  <c r="A4366" i="4"/>
  <c r="A24415" i="4"/>
  <c r="A4365" i="4"/>
  <c r="A6570" i="4"/>
  <c r="A17932" i="4"/>
  <c r="A13493" i="4"/>
  <c r="A10429" i="4"/>
  <c r="A10428" i="4"/>
  <c r="A2559" i="4"/>
  <c r="A24414" i="4"/>
  <c r="A2558" i="4"/>
  <c r="A1897" i="4"/>
  <c r="A24413" i="4"/>
  <c r="A24412" i="4"/>
  <c r="A7837" i="4"/>
  <c r="A7836" i="4"/>
  <c r="A5516" i="4"/>
  <c r="A13282" i="4"/>
  <c r="A16373" i="4"/>
  <c r="A24411" i="4"/>
  <c r="A16372" i="4"/>
  <c r="A16371" i="4"/>
  <c r="A16370" i="4"/>
  <c r="A1050" i="4"/>
  <c r="A1049" i="4"/>
  <c r="A4364" i="4"/>
  <c r="A4363" i="4"/>
  <c r="A4362" i="4"/>
  <c r="A19468" i="4"/>
  <c r="A19467" i="4"/>
  <c r="A24410" i="4"/>
  <c r="A24409" i="4"/>
  <c r="A10427" i="4"/>
  <c r="A8638" i="4"/>
  <c r="A24408" i="4"/>
  <c r="A1048" i="4"/>
  <c r="A13492" i="4"/>
  <c r="A10426" i="4"/>
  <c r="A8637" i="4"/>
  <c r="A24407" i="4"/>
  <c r="A24406" i="4"/>
  <c r="A6087" i="4"/>
  <c r="A15053" i="4"/>
  <c r="A19466" i="4"/>
  <c r="A24405" i="4"/>
  <c r="A19465" i="4"/>
  <c r="A19464" i="4"/>
  <c r="A2399" i="4"/>
  <c r="A4361" i="4"/>
  <c r="A24404" i="4"/>
  <c r="A7835" i="4"/>
  <c r="A24403" i="4"/>
  <c r="A10894" i="4"/>
  <c r="A5515" i="4"/>
  <c r="A24402" i="4"/>
  <c r="A5514" i="4"/>
  <c r="A10425" i="4"/>
  <c r="A24401" i="4"/>
  <c r="A20832" i="4"/>
  <c r="A20831" i="4"/>
  <c r="A15608" i="4"/>
  <c r="A7834" i="4"/>
  <c r="A15052" i="4"/>
  <c r="A1047" i="4"/>
  <c r="A1046" i="4"/>
  <c r="A24400" i="4"/>
  <c r="A6086" i="4"/>
  <c r="A9074" i="4"/>
  <c r="A9073" i="4"/>
  <c r="A9072" i="4"/>
  <c r="A13491" i="4"/>
  <c r="A24399" i="4"/>
  <c r="A24398" i="4"/>
  <c r="A16705" i="4"/>
  <c r="A16704" i="4"/>
  <c r="A16703" i="4"/>
  <c r="A1965" i="4"/>
  <c r="A7833" i="4"/>
  <c r="A15051" i="4"/>
  <c r="A24397" i="4"/>
  <c r="A15050" i="4"/>
  <c r="A15049" i="4"/>
  <c r="A24396" i="4"/>
  <c r="A10424" i="4"/>
  <c r="A10423" i="4"/>
  <c r="A396" i="4"/>
  <c r="A16369" i="4"/>
  <c r="A24395" i="4"/>
  <c r="A24394" i="4"/>
  <c r="A8636" i="4"/>
  <c r="A6310" i="4"/>
  <c r="A13490" i="4"/>
  <c r="A15048" i="4"/>
  <c r="A6569" i="4"/>
  <c r="A10422" i="4"/>
  <c r="A5513" i="4"/>
  <c r="A5512" i="4"/>
  <c r="A24393" i="4"/>
  <c r="A24392" i="4"/>
  <c r="A15047" i="4"/>
  <c r="A4360" i="4"/>
  <c r="A12563" i="4"/>
  <c r="A10421" i="4"/>
  <c r="A4359" i="4"/>
  <c r="A24391" i="4"/>
  <c r="A15046" i="4"/>
  <c r="A24390" i="4"/>
  <c r="A15045" i="4"/>
  <c r="A15044" i="4"/>
  <c r="A1045" i="4"/>
  <c r="A1044" i="4"/>
  <c r="A6309" i="4"/>
  <c r="A1782" i="4"/>
  <c r="A10420" i="4"/>
  <c r="A6568" i="4"/>
  <c r="A10419" i="4"/>
  <c r="A1043" i="4"/>
  <c r="A10418" i="4"/>
  <c r="A19463" i="4"/>
  <c r="A19462" i="4"/>
  <c r="A24389" i="4"/>
  <c r="A8416" i="4"/>
  <c r="A4358" i="4"/>
  <c r="A15043" i="4"/>
  <c r="A24388" i="4"/>
  <c r="A17931" i="4"/>
  <c r="A10893" i="4"/>
  <c r="A10892" i="4"/>
  <c r="A19461" i="4"/>
  <c r="A395" i="4"/>
  <c r="A394" i="4"/>
  <c r="A24387" i="4"/>
  <c r="A16368" i="4"/>
  <c r="A24386" i="4"/>
  <c r="A393" i="4"/>
  <c r="A1042" i="4"/>
  <c r="A1041" i="4"/>
  <c r="A13616" i="4"/>
  <c r="A1040" i="4"/>
  <c r="A24385" i="4"/>
  <c r="A13489" i="4"/>
  <c r="A10417" i="4"/>
  <c r="A17930" i="4"/>
  <c r="A24384" i="4"/>
  <c r="A6308" i="4"/>
  <c r="A15042" i="4"/>
  <c r="A12562" i="4"/>
  <c r="A12561" i="4"/>
  <c r="A24383" i="4"/>
  <c r="A7832" i="4"/>
  <c r="A24382" i="4"/>
  <c r="A7831" i="4"/>
  <c r="A7830" i="4"/>
  <c r="A7829" i="4"/>
  <c r="A7828" i="4"/>
  <c r="A5511" i="4"/>
  <c r="A24381" i="4"/>
  <c r="A24380" i="4"/>
  <c r="A16367" i="4"/>
  <c r="A392" i="4"/>
  <c r="A1039" i="4"/>
  <c r="A1038" i="4"/>
  <c r="A1037" i="4"/>
  <c r="A13488" i="4"/>
  <c r="A6567" i="4"/>
  <c r="A15552" i="4"/>
  <c r="A15551" i="4"/>
  <c r="A24379" i="4"/>
  <c r="A24378" i="4"/>
  <c r="A4357" i="4"/>
  <c r="A10416" i="4"/>
  <c r="A24377" i="4"/>
  <c r="A4356" i="4"/>
  <c r="A17205" i="4"/>
  <c r="A10415" i="4"/>
  <c r="A16366" i="4"/>
  <c r="A16365" i="4"/>
  <c r="A16364" i="4"/>
  <c r="A16363" i="4"/>
  <c r="A5723" i="4"/>
  <c r="A5722" i="4"/>
  <c r="A24376" i="4"/>
  <c r="A12019" i="4"/>
  <c r="A12018" i="4"/>
  <c r="A10414" i="4"/>
  <c r="A24375" i="4"/>
  <c r="A24374" i="4"/>
  <c r="A12560" i="4"/>
  <c r="A10413" i="4"/>
  <c r="A4355" i="4"/>
  <c r="A6307" i="4"/>
  <c r="A6843" i="4"/>
  <c r="A13487" i="4"/>
  <c r="A10412" i="4"/>
  <c r="A24373" i="4"/>
  <c r="A24372" i="4"/>
  <c r="A12017" i="4"/>
  <c r="A12016" i="4"/>
  <c r="A8635" i="4"/>
  <c r="A4354" i="4"/>
  <c r="A4353" i="4"/>
  <c r="A8634" i="4"/>
  <c r="A4352" i="4"/>
  <c r="A4351" i="4"/>
  <c r="A4350" i="4"/>
  <c r="A4349" i="4"/>
  <c r="A4348" i="4"/>
  <c r="A17929" i="4"/>
  <c r="A24371" i="4"/>
  <c r="A24370" i="4"/>
  <c r="A24369" i="4"/>
  <c r="A24368" i="4"/>
  <c r="A5510" i="4"/>
  <c r="A24367" i="4"/>
  <c r="A24366" i="4"/>
  <c r="A24365" i="4"/>
  <c r="A24364" i="4"/>
  <c r="A24363" i="4"/>
  <c r="A19460" i="4"/>
  <c r="A24362" i="4"/>
  <c r="A15041" i="4"/>
  <c r="A24361" i="4"/>
  <c r="A2398" i="4"/>
  <c r="A2397" i="4"/>
  <c r="A2396" i="4"/>
  <c r="A12015" i="4"/>
  <c r="A12559" i="4"/>
  <c r="A24360" i="4"/>
  <c r="A7827" i="4"/>
  <c r="A24359" i="4"/>
  <c r="A19459" i="4"/>
  <c r="A24358" i="4"/>
  <c r="A13486" i="4"/>
  <c r="A13485" i="4"/>
  <c r="A4347" i="4"/>
  <c r="A13484" i="4"/>
  <c r="A13483" i="4"/>
  <c r="A17790" i="4"/>
  <c r="A24357" i="4"/>
  <c r="A15040" i="4"/>
  <c r="A15039" i="4"/>
  <c r="A15038" i="4"/>
  <c r="A15037" i="4"/>
  <c r="A15036" i="4"/>
  <c r="A4346" i="4"/>
  <c r="A4345" i="4"/>
  <c r="A4344" i="4"/>
  <c r="A4343" i="4"/>
  <c r="A4342" i="4"/>
  <c r="A4341" i="4"/>
  <c r="A4340" i="4"/>
  <c r="A24356" i="4"/>
  <c r="A12014" i="4"/>
  <c r="A6566" i="4"/>
  <c r="A15035" i="4"/>
  <c r="A5859" i="4"/>
  <c r="A24355" i="4"/>
  <c r="A4339" i="4"/>
  <c r="A6085" i="4"/>
  <c r="A15034" i="4"/>
  <c r="A15033" i="4"/>
  <c r="A9071" i="4"/>
  <c r="A9070" i="4"/>
  <c r="A6306" i="4"/>
  <c r="A6842" i="4"/>
  <c r="A10411" i="4"/>
  <c r="A10410" i="4"/>
  <c r="A8633" i="4"/>
  <c r="A4338" i="4"/>
  <c r="A10409" i="4"/>
  <c r="A6841" i="4"/>
  <c r="A24354" i="4"/>
  <c r="A24353" i="4"/>
  <c r="A1036" i="4"/>
  <c r="A1035" i="4"/>
  <c r="A1034" i="4"/>
  <c r="A1033" i="4"/>
  <c r="A12013" i="4"/>
  <c r="A24352" i="4"/>
  <c r="A24351" i="4"/>
  <c r="A6565" i="4"/>
  <c r="A2557" i="4"/>
  <c r="A24350" i="4"/>
  <c r="A7826" i="4"/>
  <c r="A5509" i="4"/>
  <c r="A13482" i="4"/>
  <c r="A24349" i="4"/>
  <c r="A24348" i="4"/>
  <c r="A10891" i="4"/>
  <c r="A6564" i="4"/>
  <c r="A4337" i="4"/>
  <c r="A4336" i="4"/>
  <c r="A4335" i="4"/>
  <c r="A4334" i="4"/>
  <c r="A1781" i="4"/>
  <c r="A4333" i="4"/>
  <c r="A4332" i="4"/>
  <c r="A4331" i="4"/>
  <c r="A15032" i="4"/>
  <c r="A6563" i="4"/>
  <c r="A20586" i="4"/>
  <c r="A24347" i="4"/>
  <c r="A6084" i="4"/>
  <c r="A8632" i="4"/>
  <c r="A13481" i="4"/>
  <c r="A24346" i="4"/>
  <c r="A7825" i="4"/>
  <c r="A7824" i="4"/>
  <c r="A13480" i="4"/>
  <c r="A13479" i="4"/>
  <c r="A10408" i="4"/>
  <c r="A391" i="4"/>
  <c r="A1032" i="4"/>
  <c r="A1031" i="4"/>
  <c r="A24345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8631" i="4"/>
  <c r="A24344" i="4"/>
  <c r="A24343" i="4"/>
  <c r="A9051" i="4"/>
  <c r="A4330" i="4"/>
  <c r="A10407" i="4"/>
  <c r="A13194" i="4"/>
  <c r="A13193" i="4"/>
  <c r="A6083" i="4"/>
  <c r="A13615" i="4"/>
  <c r="A24342" i="4"/>
  <c r="A1030" i="4"/>
  <c r="A1029" i="4"/>
  <c r="A1028" i="4"/>
  <c r="A1027" i="4"/>
  <c r="A1026" i="4"/>
  <c r="A1025" i="4"/>
  <c r="A24341" i="4"/>
  <c r="A1780" i="4"/>
  <c r="A1964" i="4"/>
  <c r="A20585" i="4"/>
  <c r="A20584" i="4"/>
  <c r="A7823" i="4"/>
  <c r="A7822" i="4"/>
  <c r="A7821" i="4"/>
  <c r="A15031" i="4"/>
  <c r="A10406" i="4"/>
  <c r="A7820" i="4"/>
  <c r="A5508" i="4"/>
  <c r="A16362" i="4"/>
  <c r="A1024" i="4"/>
  <c r="A13478" i="4"/>
  <c r="A24340" i="4"/>
  <c r="A8630" i="4"/>
  <c r="A10405" i="4"/>
  <c r="A12012" i="4"/>
  <c r="A10404" i="4"/>
  <c r="A10890" i="4"/>
  <c r="A10889" i="4"/>
  <c r="A10888" i="4"/>
  <c r="A5339" i="4"/>
  <c r="A24339" i="4"/>
  <c r="A24338" i="4"/>
  <c r="A24337" i="4"/>
  <c r="A24336" i="4"/>
  <c r="A15030" i="4"/>
  <c r="A24335" i="4"/>
  <c r="A15029" i="4"/>
  <c r="A15028" i="4"/>
  <c r="A17928" i="4"/>
  <c r="A4329" i="4"/>
  <c r="A1023" i="4"/>
  <c r="A10403" i="4"/>
  <c r="A6840" i="4"/>
  <c r="A7819" i="4"/>
  <c r="A7818" i="4"/>
  <c r="A24334" i="4"/>
  <c r="A2395" i="4"/>
  <c r="A6305" i="4"/>
  <c r="A6562" i="4"/>
  <c r="A24333" i="4"/>
  <c r="A15027" i="4"/>
  <c r="A10402" i="4"/>
  <c r="A10401" i="4"/>
  <c r="A15026" i="4"/>
  <c r="A6304" i="4"/>
  <c r="A6561" i="4"/>
  <c r="A10400" i="4"/>
  <c r="A4328" i="4"/>
  <c r="A24332" i="4"/>
  <c r="A4327" i="4"/>
  <c r="A4326" i="4"/>
  <c r="A24331" i="4"/>
  <c r="A4325" i="4"/>
  <c r="A4324" i="4"/>
  <c r="A13477" i="4"/>
  <c r="A4323" i="4"/>
  <c r="A8629" i="4"/>
  <c r="A8628" i="4"/>
  <c r="A10399" i="4"/>
  <c r="A4322" i="4"/>
  <c r="A10398" i="4"/>
  <c r="A24330" i="4"/>
  <c r="A19458" i="4"/>
  <c r="A19457" i="4"/>
  <c r="A19456" i="4"/>
  <c r="A24329" i="4"/>
  <c r="A12558" i="4"/>
  <c r="A6839" i="4"/>
  <c r="A24328" i="4"/>
  <c r="A24327" i="4"/>
  <c r="A13614" i="4"/>
  <c r="A13613" i="4"/>
  <c r="A2394" i="4"/>
  <c r="A6082" i="4"/>
  <c r="A4321" i="4"/>
  <c r="A15550" i="4"/>
  <c r="A24326" i="4"/>
  <c r="A24325" i="4"/>
  <c r="A24324" i="4"/>
  <c r="A12557" i="4"/>
  <c r="A162" i="4"/>
  <c r="A24323" i="4"/>
  <c r="A15549" i="4"/>
  <c r="A15548" i="4"/>
  <c r="A7817" i="4"/>
  <c r="A7816" i="4"/>
  <c r="A10397" i="4"/>
  <c r="A24322" i="4"/>
  <c r="A24321" i="4"/>
  <c r="A24320" i="4"/>
  <c r="A16361" i="4"/>
  <c r="A16360" i="4"/>
  <c r="A5721" i="4"/>
  <c r="A5720" i="4"/>
  <c r="A1022" i="4"/>
  <c r="A4320" i="4"/>
  <c r="A4319" i="4"/>
  <c r="A10396" i="4"/>
  <c r="A16359" i="4"/>
  <c r="A8627" i="4"/>
  <c r="A24319" i="4"/>
  <c r="A24318" i="4"/>
  <c r="A10395" i="4"/>
  <c r="A10394" i="4"/>
  <c r="A4318" i="4"/>
  <c r="A8626" i="4"/>
  <c r="A12011" i="4"/>
  <c r="A12010" i="4"/>
  <c r="A12009" i="4"/>
  <c r="A8625" i="4"/>
  <c r="A4317" i="4"/>
  <c r="A4316" i="4"/>
  <c r="A2393" i="4"/>
  <c r="A4315" i="4"/>
  <c r="A4314" i="4"/>
  <c r="A24317" i="4"/>
  <c r="A6560" i="4"/>
  <c r="A17204" i="4"/>
  <c r="A12556" i="4"/>
  <c r="A12555" i="4"/>
  <c r="A4313" i="4"/>
  <c r="A6559" i="4"/>
  <c r="A10393" i="4"/>
  <c r="A19455" i="4"/>
  <c r="A6081" i="4"/>
  <c r="A6080" i="4"/>
  <c r="A17789" i="4"/>
  <c r="A24316" i="4"/>
  <c r="A7815" i="4"/>
  <c r="A7814" i="4"/>
  <c r="A1021" i="4"/>
  <c r="A2392" i="4"/>
  <c r="A6079" i="4"/>
  <c r="A10392" i="4"/>
  <c r="A8624" i="4"/>
  <c r="A2556" i="4"/>
  <c r="A24315" i="4"/>
  <c r="A15025" i="4"/>
  <c r="A12554" i="4"/>
  <c r="A24314" i="4"/>
  <c r="A10391" i="4"/>
  <c r="A10390" i="4"/>
  <c r="A2498" i="4"/>
  <c r="A24313" i="4"/>
  <c r="A24312" i="4"/>
  <c r="A1020" i="4"/>
  <c r="A10389" i="4"/>
  <c r="A8313" i="4"/>
  <c r="A15024" i="4"/>
  <c r="A4312" i="4"/>
  <c r="A4311" i="4"/>
  <c r="A4310" i="4"/>
  <c r="A4309" i="4"/>
  <c r="A4308" i="4"/>
  <c r="A4307" i="4"/>
  <c r="A12008" i="4"/>
  <c r="A12007" i="4"/>
  <c r="A11061" i="4"/>
  <c r="A11060" i="4"/>
  <c r="A11059" i="4"/>
  <c r="A24311" i="4"/>
  <c r="A7813" i="4"/>
  <c r="A7812" i="4"/>
  <c r="A10388" i="4"/>
  <c r="A8623" i="4"/>
  <c r="A24310" i="4"/>
  <c r="A24309" i="4"/>
  <c r="A12553" i="4"/>
  <c r="A12552" i="4"/>
  <c r="A24308" i="4"/>
  <c r="A10387" i="4"/>
  <c r="A8622" i="4"/>
  <c r="A1019" i="4"/>
  <c r="A1018" i="4"/>
  <c r="A4306" i="4"/>
  <c r="A8621" i="4"/>
  <c r="A10386" i="4"/>
  <c r="A15023" i="4"/>
  <c r="A16358" i="4"/>
  <c r="A19454" i="4"/>
  <c r="A24307" i="4"/>
  <c r="A10385" i="4"/>
  <c r="A4305" i="4"/>
  <c r="A4304" i="4"/>
  <c r="A24306" i="4"/>
  <c r="A12551" i="4"/>
  <c r="A12550" i="4"/>
  <c r="A12549" i="4"/>
  <c r="A12548" i="4"/>
  <c r="A17203" i="4"/>
  <c r="A19453" i="4"/>
  <c r="A19452" i="4"/>
  <c r="A19451" i="4"/>
  <c r="A24305" i="4"/>
  <c r="A24304" i="4"/>
  <c r="A7811" i="4"/>
  <c r="A1017" i="4"/>
  <c r="A1016" i="4"/>
  <c r="A1015" i="4"/>
  <c r="A15022" i="4"/>
  <c r="A6303" i="4"/>
  <c r="A2555" i="4"/>
  <c r="A24303" i="4"/>
  <c r="A24302" i="4"/>
  <c r="A24301" i="4"/>
  <c r="A24300" i="4"/>
  <c r="A12547" i="4"/>
  <c r="A8620" i="4"/>
  <c r="A24299" i="4"/>
  <c r="A4303" i="4"/>
  <c r="A4302" i="4"/>
  <c r="A10384" i="4"/>
  <c r="A24298" i="4"/>
  <c r="A5719" i="4"/>
  <c r="A10383" i="4"/>
  <c r="A4301" i="4"/>
  <c r="A4300" i="4"/>
  <c r="A1779" i="4"/>
  <c r="A10382" i="4"/>
  <c r="A4299" i="4"/>
  <c r="A8619" i="4"/>
  <c r="A8618" i="4"/>
  <c r="A10381" i="4"/>
  <c r="A2391" i="4"/>
  <c r="A12265" i="4"/>
  <c r="A9050" i="4"/>
  <c r="A4298" i="4"/>
  <c r="A4297" i="4"/>
  <c r="A4296" i="4"/>
  <c r="A8617" i="4"/>
  <c r="A10380" i="4"/>
  <c r="A2390" i="4"/>
  <c r="A2389" i="4"/>
  <c r="A2388" i="4"/>
  <c r="A10379" i="4"/>
  <c r="A7810" i="4"/>
  <c r="A7809" i="4"/>
  <c r="A1014" i="4"/>
  <c r="A17788" i="4"/>
  <c r="A17787" i="4"/>
  <c r="A17786" i="4"/>
  <c r="A24297" i="4"/>
  <c r="A10378" i="4"/>
  <c r="A8616" i="4"/>
  <c r="A10377" i="4"/>
  <c r="A8615" i="4"/>
  <c r="A8614" i="4"/>
  <c r="A10376" i="4"/>
  <c r="A10375" i="4"/>
  <c r="A10374" i="4"/>
  <c r="A10373" i="4"/>
  <c r="A10372" i="4"/>
  <c r="A10371" i="4"/>
  <c r="A10370" i="4"/>
  <c r="A10369" i="4"/>
  <c r="A10368" i="4"/>
  <c r="A10367" i="4"/>
  <c r="A12264" i="4"/>
  <c r="A2554" i="4"/>
  <c r="A15021" i="4"/>
  <c r="A24296" i="4"/>
  <c r="A24295" i="4"/>
  <c r="A12546" i="4"/>
  <c r="A10887" i="4"/>
  <c r="A24294" i="4"/>
  <c r="A1013" i="4"/>
  <c r="A1012" i="4"/>
  <c r="A1011" i="4"/>
  <c r="A24293" i="4"/>
  <c r="A17309" i="4"/>
  <c r="A17308" i="4"/>
  <c r="A17307" i="4"/>
  <c r="A4295" i="4"/>
  <c r="A4294" i="4"/>
  <c r="A2553" i="4"/>
  <c r="A2552" i="4"/>
  <c r="A2551" i="4"/>
  <c r="A12545" i="4"/>
  <c r="A10886" i="4"/>
  <c r="A1010" i="4"/>
  <c r="A7808" i="4"/>
  <c r="A7807" i="4"/>
  <c r="A17785" i="4"/>
  <c r="A10366" i="4"/>
  <c r="A4293" i="4"/>
  <c r="A6078" i="4"/>
  <c r="A2387" i="4"/>
  <c r="A2386" i="4"/>
  <c r="A2385" i="4"/>
  <c r="A4292" i="4"/>
  <c r="A24292" i="4"/>
  <c r="A8613" i="4"/>
  <c r="A4291" i="4"/>
  <c r="A4290" i="4"/>
  <c r="A6077" i="4"/>
  <c r="A16702" i="4"/>
  <c r="A24291" i="4"/>
  <c r="A2550" i="4"/>
  <c r="A2549" i="4"/>
  <c r="A5240" i="4"/>
  <c r="A19450" i="4"/>
  <c r="A5239" i="4"/>
  <c r="A24290" i="4"/>
  <c r="A390" i="4"/>
  <c r="A389" i="4"/>
  <c r="A388" i="4"/>
  <c r="A19449" i="4"/>
  <c r="A19448" i="4"/>
  <c r="A19447" i="4"/>
  <c r="A24289" i="4"/>
  <c r="A24288" i="4"/>
  <c r="A19446" i="4"/>
  <c r="A24287" i="4"/>
  <c r="A24286" i="4"/>
  <c r="A24285" i="4"/>
  <c r="A24284" i="4"/>
  <c r="A24283" i="4"/>
  <c r="A24282" i="4"/>
  <c r="A6838" i="4"/>
  <c r="A24281" i="4"/>
  <c r="A6076" i="4"/>
  <c r="A13476" i="4"/>
  <c r="A24280" i="4"/>
  <c r="A10365" i="4"/>
  <c r="A17927" i="4"/>
  <c r="A8612" i="4"/>
  <c r="A12006" i="4"/>
  <c r="A12005" i="4"/>
  <c r="A8380" i="4"/>
  <c r="A4289" i="4"/>
  <c r="A1778" i="4"/>
  <c r="A4288" i="4"/>
  <c r="A4287" i="4"/>
  <c r="A24279" i="4"/>
  <c r="A4286" i="4"/>
  <c r="A4285" i="4"/>
  <c r="A4284" i="4"/>
  <c r="A4283" i="4"/>
  <c r="A24278" i="4"/>
  <c r="A4282" i="4"/>
  <c r="A24277" i="4"/>
  <c r="A4281" i="4"/>
  <c r="A4280" i="4"/>
  <c r="A4279" i="4"/>
  <c r="A24276" i="4"/>
  <c r="A24275" i="4"/>
  <c r="A4278" i="4"/>
  <c r="A4277" i="4"/>
  <c r="A1777" i="4"/>
  <c r="A12898" i="4"/>
  <c r="A12897" i="4"/>
  <c r="A12896" i="4"/>
  <c r="A12895" i="4"/>
  <c r="A12894" i="4"/>
  <c r="A12893" i="4"/>
  <c r="A4276" i="4"/>
  <c r="A12004" i="4"/>
  <c r="A15547" i="4"/>
  <c r="A24274" i="4"/>
  <c r="A24273" i="4"/>
  <c r="A9912" i="4"/>
  <c r="A9911" i="4"/>
  <c r="A15020" i="4"/>
  <c r="A24272" i="4"/>
  <c r="A15019" i="4"/>
  <c r="A15018" i="4"/>
  <c r="A24271" i="4"/>
  <c r="A12544" i="4"/>
  <c r="A24270" i="4"/>
  <c r="A24269" i="4"/>
  <c r="A24268" i="4"/>
  <c r="A24267" i="4"/>
  <c r="A24266" i="4"/>
  <c r="A24265" i="4"/>
  <c r="A24264" i="4"/>
  <c r="A24263" i="4"/>
  <c r="A24262" i="4"/>
  <c r="A24261" i="4"/>
  <c r="A24260" i="4"/>
  <c r="A24259" i="4"/>
  <c r="A24258" i="4"/>
  <c r="A24257" i="4"/>
  <c r="A24256" i="4"/>
  <c r="A24255" i="4"/>
  <c r="A24254" i="4"/>
  <c r="A24253" i="4"/>
  <c r="A24252" i="4"/>
  <c r="A24251" i="4"/>
  <c r="A24250" i="4"/>
  <c r="A24249" i="4"/>
  <c r="A24248" i="4"/>
  <c r="A16357" i="4"/>
  <c r="A24247" i="4"/>
  <c r="A16356" i="4"/>
  <c r="A16355" i="4"/>
  <c r="A1009" i="4"/>
  <c r="A1008" i="4"/>
  <c r="A1007" i="4"/>
  <c r="A1006" i="4"/>
  <c r="A24246" i="4"/>
  <c r="A4275" i="4"/>
  <c r="A24245" i="4"/>
  <c r="A24244" i="4"/>
  <c r="A24243" i="4"/>
  <c r="A24242" i="4"/>
  <c r="A1005" i="4"/>
  <c r="A10364" i="4"/>
  <c r="A15607" i="4"/>
  <c r="A1776" i="4"/>
  <c r="A10363" i="4"/>
  <c r="A10362" i="4"/>
  <c r="A6302" i="4"/>
  <c r="A24241" i="4"/>
  <c r="A12003" i="4"/>
  <c r="A12002" i="4"/>
  <c r="A5338" i="4"/>
  <c r="A5337" i="4"/>
  <c r="A19445" i="4"/>
  <c r="A24240" i="4"/>
  <c r="A2384" i="4"/>
  <c r="A8611" i="4"/>
  <c r="A24239" i="4"/>
  <c r="A8610" i="4"/>
  <c r="A19444" i="4"/>
  <c r="A24238" i="4"/>
  <c r="A24237" i="4"/>
  <c r="A2383" i="4"/>
  <c r="A1004" i="4"/>
  <c r="A1003" i="4"/>
  <c r="A24236" i="4"/>
  <c r="A10361" i="4"/>
  <c r="A24235" i="4"/>
  <c r="A19443" i="4"/>
  <c r="A19442" i="4"/>
  <c r="A19441" i="4"/>
  <c r="A5336" i="4"/>
  <c r="A5335" i="4"/>
  <c r="A24234" i="4"/>
  <c r="A24233" i="4"/>
  <c r="A6837" i="4"/>
  <c r="A6836" i="4"/>
  <c r="A1002" i="4"/>
  <c r="A1001" i="4"/>
  <c r="A1000" i="4"/>
  <c r="A24232" i="4"/>
  <c r="A387" i="4"/>
  <c r="A7806" i="4"/>
  <c r="A7805" i="4"/>
  <c r="A2382" i="4"/>
  <c r="A12001" i="4"/>
  <c r="A24231" i="4"/>
  <c r="A24230" i="4"/>
  <c r="A12543" i="4"/>
  <c r="A12542" i="4"/>
  <c r="A24229" i="4"/>
  <c r="A24228" i="4"/>
  <c r="A12541" i="4"/>
  <c r="A15017" i="4"/>
  <c r="A10360" i="4"/>
  <c r="A10359" i="4"/>
  <c r="A10885" i="4"/>
  <c r="A7804" i="4"/>
  <c r="A7803" i="4"/>
  <c r="A5507" i="4"/>
  <c r="A10358" i="4"/>
  <c r="A16354" i="4"/>
  <c r="A16353" i="4"/>
  <c r="A999" i="4"/>
  <c r="A386" i="4"/>
  <c r="A10357" i="4"/>
  <c r="A10356" i="4"/>
  <c r="A12000" i="4"/>
  <c r="A11999" i="4"/>
  <c r="A20830" i="4"/>
  <c r="A8609" i="4"/>
  <c r="A10355" i="4"/>
  <c r="A1775" i="4"/>
  <c r="A6301" i="4"/>
  <c r="A4274" i="4"/>
  <c r="A4273" i="4"/>
  <c r="A4272" i="4"/>
  <c r="A4271" i="4"/>
  <c r="A4270" i="4"/>
  <c r="A4269" i="4"/>
  <c r="A4268" i="4"/>
  <c r="A4267" i="4"/>
  <c r="A10354" i="4"/>
  <c r="A13475" i="4"/>
  <c r="A11058" i="4"/>
  <c r="A11057" i="4"/>
  <c r="A11056" i="4"/>
  <c r="A11055" i="4"/>
  <c r="A5334" i="4"/>
  <c r="A5333" i="4"/>
  <c r="A6835" i="4"/>
  <c r="A24227" i="4"/>
  <c r="A6834" i="4"/>
  <c r="A24226" i="4"/>
  <c r="A2381" i="4"/>
  <c r="A13474" i="4"/>
  <c r="A8608" i="4"/>
  <c r="A10353" i="4"/>
  <c r="A10352" i="4"/>
  <c r="A10351" i="4"/>
  <c r="A10350" i="4"/>
  <c r="A2548" i="4"/>
  <c r="A24225" i="4"/>
  <c r="A24224" i="4"/>
  <c r="A19440" i="4"/>
  <c r="A19439" i="4"/>
  <c r="A19438" i="4"/>
  <c r="A24223" i="4"/>
  <c r="A19437" i="4"/>
  <c r="A17784" i="4"/>
  <c r="A6833" i="4"/>
  <c r="A7802" i="4"/>
  <c r="A7801" i="4"/>
  <c r="A7800" i="4"/>
  <c r="A998" i="4"/>
  <c r="A24222" i="4"/>
  <c r="A997" i="4"/>
  <c r="A996" i="4"/>
  <c r="A995" i="4"/>
  <c r="A11032" i="4"/>
  <c r="A10349" i="4"/>
  <c r="A24221" i="4"/>
  <c r="A24220" i="4"/>
  <c r="A24219" i="4"/>
  <c r="A24218" i="4"/>
  <c r="A2547" i="4"/>
  <c r="A24217" i="4"/>
  <c r="A12540" i="4"/>
  <c r="A24216" i="4"/>
  <c r="A24215" i="4"/>
  <c r="A994" i="4"/>
  <c r="A993" i="4"/>
  <c r="A992" i="4"/>
  <c r="A24214" i="4"/>
  <c r="A991" i="4"/>
  <c r="A13192" i="4"/>
  <c r="A24213" i="4"/>
  <c r="A24212" i="4"/>
  <c r="A24211" i="4"/>
  <c r="A10348" i="4"/>
  <c r="A24210" i="4"/>
  <c r="A24209" i="4"/>
  <c r="A13473" i="4"/>
  <c r="A6" i="4"/>
  <c r="A24208" i="4"/>
  <c r="A5" i="4"/>
  <c r="A385" i="4"/>
  <c r="A24207" i="4"/>
  <c r="A13095" i="4"/>
  <c r="A6075" i="4"/>
  <c r="A8379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8607" i="4"/>
  <c r="A8606" i="4"/>
  <c r="A8605" i="4"/>
  <c r="A5506" i="4"/>
  <c r="A8604" i="4"/>
  <c r="A2380" i="4"/>
  <c r="A10347" i="4"/>
  <c r="A10346" i="4"/>
  <c r="A11998" i="4"/>
  <c r="A11997" i="4"/>
  <c r="A4266" i="4"/>
  <c r="A4265" i="4"/>
  <c r="A1774" i="4"/>
  <c r="A4264" i="4"/>
  <c r="A4263" i="4"/>
  <c r="A24206" i="4"/>
  <c r="A24205" i="4"/>
  <c r="A10884" i="4"/>
  <c r="A10883" i="4"/>
  <c r="A10882" i="4"/>
  <c r="A10881" i="4"/>
  <c r="A19436" i="4"/>
  <c r="A384" i="4"/>
  <c r="A17783" i="4"/>
  <c r="A990" i="4"/>
  <c r="A989" i="4"/>
  <c r="A6300" i="4"/>
  <c r="A8603" i="4"/>
  <c r="A383" i="4"/>
  <c r="A15004" i="4"/>
  <c r="A15003" i="4"/>
  <c r="A24204" i="4"/>
  <c r="A24203" i="4"/>
  <c r="A24202" i="4"/>
  <c r="A15002" i="4"/>
  <c r="A24201" i="4"/>
  <c r="A24200" i="4"/>
  <c r="A5505" i="4"/>
  <c r="A13472" i="4"/>
  <c r="A13281" i="4"/>
  <c r="A13280" i="4"/>
  <c r="A16352" i="4"/>
  <c r="A988" i="4"/>
  <c r="A987" i="4"/>
  <c r="A24199" i="4"/>
  <c r="A6299" i="4"/>
  <c r="A24198" i="4"/>
  <c r="A6074" i="4"/>
  <c r="A10345" i="4"/>
  <c r="A13471" i="4"/>
  <c r="A15546" i="4"/>
  <c r="A2546" i="4"/>
  <c r="A4262" i="4"/>
  <c r="A5332" i="4"/>
  <c r="A5331" i="4"/>
  <c r="A5330" i="4"/>
  <c r="A24197" i="4"/>
  <c r="A24196" i="4"/>
  <c r="A15001" i="4"/>
  <c r="A10344" i="4"/>
  <c r="A24195" i="4"/>
  <c r="A9049" i="4"/>
  <c r="A9048" i="4"/>
  <c r="A9047" i="4"/>
  <c r="A9046" i="4"/>
  <c r="A9045" i="4"/>
  <c r="A11996" i="4"/>
  <c r="A11995" i="4"/>
  <c r="A5329" i="4"/>
  <c r="A5328" i="4"/>
  <c r="A11994" i="4"/>
  <c r="A20583" i="4"/>
  <c r="A20582" i="4"/>
  <c r="A2379" i="4"/>
  <c r="A2378" i="4"/>
  <c r="A24194" i="4"/>
  <c r="A16351" i="4"/>
  <c r="A16350" i="4"/>
  <c r="A16349" i="4"/>
  <c r="A16348" i="4"/>
  <c r="A16347" i="4"/>
  <c r="A16346" i="4"/>
  <c r="A4261" i="4"/>
  <c r="A10880" i="4"/>
  <c r="A24193" i="4"/>
  <c r="A19435" i="4"/>
  <c r="A13191" i="4"/>
  <c r="A13190" i="4"/>
  <c r="A13189" i="4"/>
  <c r="A13188" i="4"/>
  <c r="A2377" i="4"/>
  <c r="A12539" i="4"/>
  <c r="A24192" i="4"/>
  <c r="A24191" i="4"/>
  <c r="A6073" i="4"/>
  <c r="A6072" i="4"/>
  <c r="A17782" i="4"/>
  <c r="A15000" i="4"/>
  <c r="A12538" i="4"/>
  <c r="A12537" i="4"/>
  <c r="A10343" i="4"/>
  <c r="A4260" i="4"/>
  <c r="A11993" i="4"/>
  <c r="A11992" i="4"/>
  <c r="A11991" i="4"/>
  <c r="A13279" i="4"/>
  <c r="A13278" i="4"/>
  <c r="A24190" i="4"/>
  <c r="A2545" i="4"/>
  <c r="A2544" i="4"/>
  <c r="A14999" i="4"/>
  <c r="A12536" i="4"/>
  <c r="A12535" i="4"/>
  <c r="A12534" i="4"/>
  <c r="A24189" i="4"/>
  <c r="A12533" i="4"/>
  <c r="A15545" i="4"/>
  <c r="A10879" i="4"/>
  <c r="A24188" i="4"/>
  <c r="A24187" i="4"/>
  <c r="A24186" i="4"/>
  <c r="A7799" i="4"/>
  <c r="A24185" i="4"/>
  <c r="A24184" i="4"/>
  <c r="A24183" i="4"/>
  <c r="A10342" i="4"/>
  <c r="A1773" i="4"/>
  <c r="A4259" i="4"/>
  <c r="A24182" i="4"/>
  <c r="A4258" i="4"/>
  <c r="A24181" i="4"/>
  <c r="A24180" i="4"/>
  <c r="A24179" i="4"/>
  <c r="A24178" i="4"/>
  <c r="A20581" i="4"/>
  <c r="A4257" i="4"/>
  <c r="A24177" i="4"/>
  <c r="A6071" i="4"/>
  <c r="A6070" i="4"/>
  <c r="A14998" i="4"/>
  <c r="A14997" i="4"/>
  <c r="A14996" i="4"/>
  <c r="A14995" i="4"/>
  <c r="A14994" i="4"/>
  <c r="A4256" i="4"/>
  <c r="A24176" i="4"/>
  <c r="A24175" i="4"/>
  <c r="A24174" i="4"/>
  <c r="A24173" i="4"/>
  <c r="A14993" i="4"/>
  <c r="A14992" i="4"/>
  <c r="A14991" i="4"/>
  <c r="A14990" i="4"/>
  <c r="A24172" i="4"/>
  <c r="A4255" i="4"/>
  <c r="A13470" i="4"/>
  <c r="A13469" i="4"/>
  <c r="A12532" i="4"/>
  <c r="A12531" i="4"/>
  <c r="A4254" i="4"/>
  <c r="A8602" i="4"/>
  <c r="A19434" i="4"/>
  <c r="A19433" i="4"/>
  <c r="A19432" i="4"/>
  <c r="A5238" i="4"/>
  <c r="A20829" i="4"/>
  <c r="A20828" i="4"/>
  <c r="A24171" i="4"/>
  <c r="A24170" i="4"/>
  <c r="A24169" i="4"/>
  <c r="A7798" i="4"/>
  <c r="A24168" i="4"/>
  <c r="A5718" i="4"/>
  <c r="A6069" i="4"/>
  <c r="A986" i="4"/>
  <c r="A985" i="4"/>
  <c r="A984" i="4"/>
  <c r="A983" i="4"/>
  <c r="A14989" i="4"/>
  <c r="A14988" i="4"/>
  <c r="A17926" i="4"/>
  <c r="A11990" i="4"/>
  <c r="A13468" i="4"/>
  <c r="A6558" i="4"/>
  <c r="A2543" i="4"/>
  <c r="A24167" i="4"/>
  <c r="A14987" i="4"/>
  <c r="A14986" i="4"/>
  <c r="A14985" i="4"/>
  <c r="A24166" i="4"/>
  <c r="A24165" i="4"/>
  <c r="A24164" i="4"/>
  <c r="A24163" i="4"/>
  <c r="A982" i="4"/>
  <c r="A13187" i="4"/>
  <c r="A13186" i="4"/>
  <c r="A24162" i="4"/>
  <c r="A14984" i="4"/>
  <c r="A10341" i="4"/>
  <c r="A9044" i="4"/>
  <c r="A24161" i="4"/>
  <c r="A9043" i="4"/>
  <c r="A11989" i="4"/>
  <c r="A11988" i="4"/>
  <c r="A981" i="4"/>
  <c r="A5237" i="4"/>
  <c r="A19431" i="4"/>
  <c r="A19430" i="4"/>
  <c r="A24160" i="4"/>
  <c r="A19429" i="4"/>
  <c r="A19428" i="4"/>
  <c r="A19427" i="4"/>
  <c r="A19426" i="4"/>
  <c r="A6068" i="4"/>
  <c r="A8378" i="4"/>
  <c r="A11987" i="4"/>
  <c r="A24159" i="4"/>
  <c r="A4253" i="4"/>
  <c r="A4252" i="4"/>
  <c r="A11986" i="4"/>
  <c r="A11985" i="4"/>
  <c r="A8601" i="4"/>
  <c r="A980" i="4"/>
  <c r="A24158" i="4"/>
  <c r="A13467" i="4"/>
  <c r="A10340" i="4"/>
  <c r="A9042" i="4"/>
  <c r="A24157" i="4"/>
  <c r="A9041" i="4"/>
  <c r="A9040" i="4"/>
  <c r="A8600" i="4"/>
  <c r="A7797" i="4"/>
  <c r="A24156" i="4"/>
  <c r="A24155" i="4"/>
  <c r="A16345" i="4"/>
  <c r="A13466" i="4"/>
  <c r="A10339" i="4"/>
  <c r="A19425" i="4"/>
  <c r="A8377" i="4"/>
  <c r="A8599" i="4"/>
  <c r="A4251" i="4"/>
  <c r="A24154" i="4"/>
  <c r="A4250" i="4"/>
  <c r="A4249" i="4"/>
  <c r="A4248" i="4"/>
  <c r="A4247" i="4"/>
  <c r="A4246" i="4"/>
  <c r="A4245" i="4"/>
  <c r="A4244" i="4"/>
  <c r="A4243" i="4"/>
  <c r="A19424" i="4"/>
  <c r="A19423" i="4"/>
  <c r="A24153" i="4"/>
  <c r="A19422" i="4"/>
  <c r="A19421" i="4"/>
  <c r="A24152" i="4"/>
  <c r="A19420" i="4"/>
  <c r="A19419" i="4"/>
  <c r="A19418" i="4"/>
  <c r="A12530" i="4"/>
  <c r="A5858" i="4"/>
  <c r="A24151" i="4"/>
  <c r="A13277" i="4"/>
  <c r="A8598" i="4"/>
  <c r="A19417" i="4"/>
  <c r="A24150" i="4"/>
  <c r="A19416" i="4"/>
  <c r="A24149" i="4"/>
  <c r="A13612" i="4"/>
  <c r="A8376" i="4"/>
  <c r="A8375" i="4"/>
  <c r="A24148" i="4"/>
  <c r="A14983" i="4"/>
  <c r="A979" i="4"/>
  <c r="A6298" i="4"/>
  <c r="A4242" i="4"/>
  <c r="A24147" i="4"/>
  <c r="A2376" i="4"/>
  <c r="A24146" i="4"/>
  <c r="A12529" i="4"/>
  <c r="A24145" i="4"/>
  <c r="A24144" i="4"/>
  <c r="A5504" i="4"/>
  <c r="A4241" i="4"/>
  <c r="A24143" i="4"/>
  <c r="A978" i="4"/>
  <c r="A24142" i="4"/>
  <c r="A977" i="4"/>
  <c r="A24141" i="4"/>
  <c r="A17781" i="4"/>
  <c r="A7796" i="4"/>
  <c r="A7795" i="4"/>
  <c r="A6067" i="4"/>
  <c r="A6297" i="4"/>
  <c r="A976" i="4"/>
  <c r="A17925" i="4"/>
  <c r="A24140" i="4"/>
  <c r="A24139" i="4"/>
  <c r="A14982" i="4"/>
  <c r="A14981" i="4"/>
  <c r="A1772" i="4"/>
  <c r="A5503" i="4"/>
  <c r="A14980" i="4"/>
  <c r="A1771" i="4"/>
  <c r="A4240" i="4"/>
  <c r="A4239" i="4"/>
  <c r="A24138" i="4"/>
  <c r="A12528" i="4"/>
  <c r="A24137" i="4"/>
  <c r="A4238" i="4"/>
  <c r="A6066" i="4"/>
  <c r="A17780" i="4"/>
  <c r="A6065" i="4"/>
  <c r="A6064" i="4"/>
  <c r="A975" i="4"/>
  <c r="A974" i="4"/>
  <c r="A24136" i="4"/>
  <c r="A10338" i="4"/>
  <c r="A10337" i="4"/>
  <c r="A24135" i="4"/>
  <c r="A14979" i="4"/>
  <c r="A14978" i="4"/>
  <c r="A14977" i="4"/>
  <c r="A14976" i="4"/>
  <c r="A14975" i="4"/>
  <c r="A14974" i="4"/>
  <c r="A14973" i="4"/>
  <c r="A12527" i="4"/>
  <c r="A24134" i="4"/>
  <c r="A24133" i="4"/>
  <c r="A24132" i="4"/>
  <c r="A5502" i="4"/>
  <c r="A5501" i="4"/>
  <c r="A5615" i="4"/>
  <c r="A24131" i="4"/>
  <c r="A16344" i="4"/>
  <c r="A973" i="4"/>
  <c r="A24130" i="4"/>
  <c r="A24129" i="4"/>
  <c r="A12263" i="4"/>
  <c r="A4237" i="4"/>
  <c r="A4236" i="4"/>
  <c r="A4235" i="4"/>
  <c r="A4234" i="4"/>
  <c r="A10336" i="4"/>
  <c r="A10335" i="4"/>
  <c r="A8397" i="4"/>
  <c r="A10334" i="4"/>
  <c r="A972" i="4"/>
  <c r="A24128" i="4"/>
  <c r="A24127" i="4"/>
  <c r="A24126" i="4"/>
  <c r="A7794" i="4"/>
  <c r="A7793" i="4"/>
  <c r="A24125" i="4"/>
  <c r="A11984" i="4"/>
  <c r="A11983" i="4"/>
  <c r="A11982" i="4"/>
  <c r="A10333" i="4"/>
  <c r="A10332" i="4"/>
  <c r="A24124" i="4"/>
  <c r="A24123" i="4"/>
  <c r="A19415" i="4"/>
  <c r="A24122" i="4"/>
  <c r="A24121" i="4"/>
  <c r="A24120" i="4"/>
  <c r="A10331" i="4"/>
  <c r="A7792" i="4"/>
  <c r="A4233" i="4"/>
  <c r="A15544" i="4"/>
  <c r="A15543" i="4"/>
  <c r="A24119" i="4"/>
  <c r="A8597" i="4"/>
  <c r="A19414" i="4"/>
  <c r="A19413" i="4"/>
  <c r="A19412" i="4"/>
  <c r="A20580" i="4"/>
  <c r="A4232" i="4"/>
  <c r="A4231" i="4"/>
  <c r="A4230" i="4"/>
  <c r="A7791" i="4"/>
  <c r="A7790" i="4"/>
  <c r="A7789" i="4"/>
  <c r="A24118" i="4"/>
  <c r="A8596" i="4"/>
  <c r="A10878" i="4"/>
  <c r="A10877" i="4"/>
  <c r="A24117" i="4"/>
  <c r="A24116" i="4"/>
  <c r="A24115" i="4"/>
  <c r="A24114" i="4"/>
  <c r="A19411" i="4"/>
  <c r="A382" i="4"/>
  <c r="A12526" i="4"/>
  <c r="A971" i="4"/>
  <c r="A24113" i="4"/>
  <c r="A970" i="4"/>
  <c r="A969" i="4"/>
  <c r="A24112" i="4"/>
  <c r="A10330" i="4"/>
  <c r="A10329" i="4"/>
  <c r="A2542" i="4"/>
  <c r="A2541" i="4"/>
  <c r="A14972" i="4"/>
  <c r="A1896" i="4"/>
  <c r="A12525" i="4"/>
  <c r="A12524" i="4"/>
  <c r="A12523" i="4"/>
  <c r="A7788" i="4"/>
  <c r="A7787" i="4"/>
  <c r="A24111" i="4"/>
  <c r="A7786" i="4"/>
  <c r="A2497" i="4"/>
  <c r="A2496" i="4"/>
  <c r="A24110" i="4"/>
  <c r="A16343" i="4"/>
  <c r="A381" i="4"/>
  <c r="A968" i="4"/>
  <c r="A24109" i="4"/>
  <c r="A14971" i="4"/>
  <c r="A10328" i="4"/>
  <c r="A24108" i="4"/>
  <c r="A24107" i="4"/>
  <c r="A2540" i="4"/>
  <c r="A6063" i="4"/>
  <c r="A6062" i="4"/>
  <c r="A24106" i="4"/>
  <c r="A6557" i="4"/>
  <c r="A19410" i="4"/>
  <c r="A19409" i="4"/>
  <c r="A14970" i="4"/>
  <c r="A24105" i="4"/>
  <c r="A11981" i="4"/>
  <c r="A11980" i="4"/>
  <c r="A11979" i="4"/>
  <c r="A1770" i="4"/>
  <c r="A1769" i="4"/>
  <c r="A4229" i="4"/>
  <c r="A4228" i="4"/>
  <c r="A4227" i="4"/>
  <c r="A24104" i="4"/>
  <c r="A4226" i="4"/>
  <c r="A4225" i="4"/>
  <c r="A10327" i="4"/>
  <c r="A19408" i="4"/>
  <c r="A146" i="4"/>
  <c r="A145" i="4"/>
  <c r="A9910" i="4"/>
  <c r="A9909" i="4"/>
  <c r="A9908" i="4"/>
  <c r="A9907" i="4"/>
  <c r="A9906" i="4"/>
  <c r="A144" i="4"/>
  <c r="A143" i="4"/>
  <c r="A9905" i="4"/>
  <c r="A24103" i="4"/>
  <c r="A11978" i="4"/>
  <c r="A11977" i="4"/>
  <c r="A4224" i="4"/>
  <c r="A5500" i="4"/>
  <c r="A6061" i="4"/>
  <c r="A19407" i="4"/>
  <c r="A19406" i="4"/>
  <c r="A6832" i="4"/>
  <c r="A24102" i="4"/>
  <c r="A5717" i="4"/>
  <c r="A24101" i="4"/>
  <c r="A17924" i="4"/>
  <c r="A10326" i="4"/>
  <c r="A20579" i="4"/>
  <c r="A20578" i="4"/>
  <c r="A14969" i="4"/>
  <c r="A24100" i="4"/>
  <c r="A24099" i="4"/>
  <c r="A24098" i="4"/>
  <c r="A12522" i="4"/>
  <c r="A12521" i="4"/>
  <c r="A12520" i="4"/>
  <c r="A8595" i="4"/>
  <c r="A380" i="4"/>
  <c r="A4223" i="4"/>
  <c r="A24097" i="4"/>
  <c r="A967" i="4"/>
  <c r="A6556" i="4"/>
  <c r="A6296" i="4"/>
  <c r="A4222" i="4"/>
  <c r="A1963" i="4"/>
  <c r="A14968" i="4"/>
  <c r="A24096" i="4"/>
  <c r="A4221" i="4"/>
  <c r="A24095" i="4"/>
  <c r="A5764" i="4"/>
  <c r="A14967" i="4"/>
  <c r="A10325" i="4"/>
  <c r="A10324" i="4"/>
  <c r="A11054" i="4"/>
  <c r="A24094" i="4"/>
  <c r="A24093" i="4"/>
  <c r="A24092" i="4"/>
  <c r="A16342" i="4"/>
  <c r="A16341" i="4"/>
  <c r="A16340" i="4"/>
  <c r="A16339" i="4"/>
  <c r="A379" i="4"/>
  <c r="A378" i="4"/>
  <c r="A377" i="4"/>
  <c r="A376" i="4"/>
  <c r="A375" i="4"/>
  <c r="A11976" i="4"/>
  <c r="A4220" i="4"/>
  <c r="A6060" i="4"/>
  <c r="A6059" i="4"/>
  <c r="A6058" i="4"/>
  <c r="A6057" i="4"/>
  <c r="A6056" i="4"/>
  <c r="A6055" i="4"/>
  <c r="A6054" i="4"/>
  <c r="A24091" i="4"/>
  <c r="A966" i="4"/>
  <c r="A4219" i="4"/>
  <c r="A8594" i="4"/>
  <c r="A24090" i="4"/>
  <c r="A24089" i="4"/>
  <c r="A24088" i="4"/>
  <c r="A24087" i="4"/>
  <c r="A13094" i="4"/>
  <c r="A24086" i="4"/>
  <c r="A17779" i="4"/>
  <c r="A24085" i="4"/>
  <c r="A24084" i="4"/>
  <c r="A24083" i="4"/>
  <c r="A24082" i="4"/>
  <c r="A24081" i="4"/>
  <c r="A24080" i="4"/>
  <c r="A19405" i="4"/>
  <c r="A8465" i="4"/>
  <c r="A13611" i="4"/>
  <c r="A13610" i="4"/>
  <c r="A13609" i="4"/>
  <c r="A7785" i="4"/>
  <c r="A24079" i="4"/>
  <c r="A13608" i="4"/>
  <c r="A17778" i="4"/>
  <c r="A11975" i="4"/>
  <c r="A12519" i="4"/>
  <c r="A12518" i="4"/>
  <c r="A12892" i="4"/>
  <c r="A12891" i="4"/>
  <c r="A4218" i="4"/>
  <c r="A24078" i="4"/>
  <c r="A6295" i="4"/>
  <c r="A4217" i="4"/>
  <c r="A24077" i="4"/>
  <c r="A4216" i="4"/>
  <c r="A1768" i="4"/>
  <c r="A4215" i="4"/>
  <c r="A24076" i="4"/>
  <c r="A24075" i="4"/>
  <c r="A9039" i="4"/>
  <c r="A9038" i="4"/>
  <c r="A24074" i="4"/>
  <c r="A4214" i="4"/>
  <c r="A4213" i="4"/>
  <c r="A11974" i="4"/>
  <c r="A11973" i="4"/>
  <c r="A24073" i="4"/>
  <c r="A24072" i="4"/>
  <c r="A7784" i="4"/>
  <c r="A7783" i="4"/>
  <c r="A24071" i="4"/>
  <c r="A12517" i="4"/>
  <c r="A7782" i="4"/>
  <c r="A24070" i="4"/>
  <c r="A24069" i="4"/>
  <c r="A16338" i="4"/>
  <c r="A24068" i="4"/>
  <c r="A24067" i="4"/>
  <c r="A24066" i="4"/>
  <c r="A24065" i="4"/>
  <c r="A14966" i="4"/>
  <c r="A24064" i="4"/>
  <c r="A1767" i="4"/>
  <c r="A4212" i="4"/>
  <c r="A1766" i="4"/>
  <c r="A15583" i="4"/>
  <c r="A10323" i="4"/>
  <c r="A24063" i="4"/>
  <c r="A10322" i="4"/>
  <c r="A2539" i="4"/>
  <c r="A6053" i="4"/>
  <c r="A14965" i="4"/>
  <c r="A4211" i="4"/>
  <c r="A10321" i="4"/>
  <c r="A10320" i="4"/>
  <c r="A14964" i="4"/>
  <c r="A6052" i="4"/>
  <c r="A10319" i="4"/>
  <c r="A12516" i="4"/>
  <c r="A14963" i="4"/>
  <c r="A24062" i="4"/>
  <c r="A10318" i="4"/>
  <c r="A12890" i="4"/>
  <c r="A12889" i="4"/>
  <c r="A24061" i="4"/>
  <c r="A4210" i="4"/>
  <c r="A10317" i="4"/>
  <c r="A19404" i="4"/>
  <c r="A5236" i="4"/>
  <c r="A19403" i="4"/>
  <c r="A6051" i="4"/>
  <c r="A6050" i="4"/>
  <c r="A17777" i="4"/>
  <c r="A17776" i="4"/>
  <c r="A17775" i="4"/>
  <c r="A2375" i="4"/>
  <c r="A24060" i="4"/>
  <c r="A965" i="4"/>
  <c r="A964" i="4"/>
  <c r="A963" i="4"/>
  <c r="A962" i="4"/>
  <c r="A961" i="4"/>
  <c r="A960" i="4"/>
  <c r="A24059" i="4"/>
  <c r="A2374" i="4"/>
  <c r="A2373" i="4"/>
  <c r="A24058" i="4"/>
  <c r="A2372" i="4"/>
  <c r="A6049" i="4"/>
  <c r="A10316" i="4"/>
  <c r="A24057" i="4"/>
  <c r="A24056" i="4"/>
  <c r="A24055" i="4"/>
  <c r="A24054" i="4"/>
  <c r="A24053" i="4"/>
  <c r="A24052" i="4"/>
  <c r="A24051" i="4"/>
  <c r="A7781" i="4"/>
  <c r="A7780" i="4"/>
  <c r="A24050" i="4"/>
  <c r="A24049" i="4"/>
  <c r="A24048" i="4"/>
  <c r="A20700" i="4"/>
  <c r="A959" i="4"/>
  <c r="A958" i="4"/>
  <c r="A957" i="4"/>
  <c r="A956" i="4"/>
  <c r="A24047" i="4"/>
  <c r="A24046" i="4"/>
  <c r="A24045" i="4"/>
  <c r="A24044" i="4"/>
  <c r="A13465" i="4"/>
  <c r="A4209" i="4"/>
  <c r="A4208" i="4"/>
  <c r="A6294" i="4"/>
  <c r="A11972" i="4"/>
  <c r="A955" i="4"/>
  <c r="A7779" i="4"/>
  <c r="A7778" i="4"/>
  <c r="A11971" i="4"/>
  <c r="A11970" i="4"/>
  <c r="A14962" i="4"/>
  <c r="A4207" i="4"/>
  <c r="A4206" i="4"/>
  <c r="A10315" i="4"/>
  <c r="A10314" i="4"/>
  <c r="A11969" i="4"/>
  <c r="A11968" i="4"/>
  <c r="A11967" i="4"/>
  <c r="A11966" i="4"/>
  <c r="A24043" i="4"/>
  <c r="A4205" i="4"/>
  <c r="A4204" i="4"/>
  <c r="A4203" i="4"/>
  <c r="A4202" i="4"/>
  <c r="A4201" i="4"/>
  <c r="A12515" i="4"/>
  <c r="A12514" i="4"/>
  <c r="A24042" i="4"/>
  <c r="A4200" i="4"/>
  <c r="A10313" i="4"/>
  <c r="A6555" i="4"/>
  <c r="A6554" i="4"/>
  <c r="A4199" i="4"/>
  <c r="A8593" i="4"/>
  <c r="A11965" i="4"/>
  <c r="A4198" i="4"/>
  <c r="A7777" i="4"/>
  <c r="A5499" i="4"/>
  <c r="A10312" i="4"/>
  <c r="A19402" i="4"/>
  <c r="A13185" i="4"/>
  <c r="A19401" i="4"/>
  <c r="A19400" i="4"/>
  <c r="A19399" i="4"/>
  <c r="A24041" i="4"/>
  <c r="A19398" i="4"/>
  <c r="A24040" i="4"/>
  <c r="A7776" i="4"/>
  <c r="A7775" i="4"/>
  <c r="A954" i="4"/>
  <c r="A6048" i="4"/>
  <c r="A6047" i="4"/>
  <c r="A10311" i="4"/>
  <c r="A10310" i="4"/>
  <c r="A10309" i="4"/>
  <c r="A8592" i="4"/>
  <c r="A24039" i="4"/>
  <c r="A11964" i="4"/>
  <c r="A2538" i="4"/>
  <c r="A14961" i="4"/>
  <c r="A14960" i="4"/>
  <c r="A14959" i="4"/>
  <c r="A14958" i="4"/>
  <c r="A24038" i="4"/>
  <c r="A1895" i="4"/>
  <c r="A24037" i="4"/>
  <c r="A24036" i="4"/>
  <c r="A12513" i="4"/>
  <c r="A12512" i="4"/>
  <c r="A12511" i="4"/>
  <c r="A12510" i="4"/>
  <c r="A12509" i="4"/>
  <c r="A12508" i="4"/>
  <c r="A12507" i="4"/>
  <c r="A10308" i="4"/>
  <c r="A7774" i="4"/>
  <c r="A24035" i="4"/>
  <c r="A5498" i="4"/>
  <c r="A5497" i="4"/>
  <c r="A5496" i="4"/>
  <c r="A24034" i="4"/>
  <c r="A5327" i="4"/>
  <c r="A24033" i="4"/>
  <c r="A374" i="4"/>
  <c r="A373" i="4"/>
  <c r="A10307" i="4"/>
  <c r="A24032" i="4"/>
  <c r="A24031" i="4"/>
  <c r="A11963" i="4"/>
  <c r="A11962" i="4"/>
  <c r="A11961" i="4"/>
  <c r="A11960" i="4"/>
  <c r="A14957" i="4"/>
  <c r="A24030" i="4"/>
  <c r="A24029" i="4"/>
  <c r="A10306" i="4"/>
  <c r="A9037" i="4"/>
  <c r="A9036" i="4"/>
  <c r="A9035" i="4"/>
  <c r="A9034" i="4"/>
  <c r="A9033" i="4"/>
  <c r="A9032" i="4"/>
  <c r="A9031" i="4"/>
  <c r="A10305" i="4"/>
  <c r="A24028" i="4"/>
  <c r="A24027" i="4"/>
  <c r="A24026" i="4"/>
  <c r="A24025" i="4"/>
  <c r="A8591" i="4"/>
  <c r="A13184" i="4"/>
  <c r="A7773" i="4"/>
  <c r="A7772" i="4"/>
  <c r="A6046" i="4"/>
  <c r="A2371" i="4"/>
  <c r="A10304" i="4"/>
  <c r="A4197" i="4"/>
  <c r="A24024" i="4"/>
  <c r="A4196" i="4"/>
  <c r="A10876" i="4"/>
  <c r="A10303" i="4"/>
  <c r="A8590" i="4"/>
  <c r="A14956" i="4"/>
  <c r="A24023" i="4"/>
  <c r="A4195" i="4"/>
  <c r="A4194" i="4"/>
  <c r="A24022" i="4"/>
  <c r="A4193" i="4"/>
  <c r="A18048" i="4"/>
  <c r="A18047" i="4"/>
  <c r="A19397" i="4"/>
  <c r="A19396" i="4"/>
  <c r="A9904" i="4"/>
  <c r="A372" i="4"/>
  <c r="A2370" i="4"/>
  <c r="A19395" i="4"/>
  <c r="A16337" i="4"/>
  <c r="A16336" i="4"/>
  <c r="A2495" i="4"/>
  <c r="A11959" i="4"/>
  <c r="A14955" i="4"/>
  <c r="A14954" i="4"/>
  <c r="A14953" i="4"/>
  <c r="A24021" i="4"/>
  <c r="A24020" i="4"/>
  <c r="A10875" i="4"/>
  <c r="A10874" i="4"/>
  <c r="A2537" i="4"/>
  <c r="A2536" i="4"/>
  <c r="A24019" i="4"/>
  <c r="A14952" i="4"/>
  <c r="A12506" i="4"/>
  <c r="A12505" i="4"/>
  <c r="A5495" i="4"/>
  <c r="A5494" i="4"/>
  <c r="A24018" i="4"/>
  <c r="A13093" i="4"/>
  <c r="A13092" i="4"/>
  <c r="A19394" i="4"/>
  <c r="A19393" i="4"/>
  <c r="A19392" i="4"/>
  <c r="A10302" i="4"/>
  <c r="A8589" i="4"/>
  <c r="A24017" i="4"/>
  <c r="A4192" i="4"/>
  <c r="A4191" i="4"/>
  <c r="A4190" i="4"/>
  <c r="A4189" i="4"/>
  <c r="A10301" i="4"/>
  <c r="A10300" i="4"/>
  <c r="A24016" i="4"/>
  <c r="A13183" i="4"/>
  <c r="A13182" i="4"/>
  <c r="A24015" i="4"/>
  <c r="A2369" i="4"/>
  <c r="A2368" i="4"/>
  <c r="A10299" i="4"/>
  <c r="A10298" i="4"/>
  <c r="A10297" i="4"/>
  <c r="A24014" i="4"/>
  <c r="A7771" i="4"/>
  <c r="A10296" i="4"/>
  <c r="A953" i="4"/>
  <c r="A24013" i="4"/>
  <c r="A24012" i="4"/>
  <c r="A24011" i="4"/>
  <c r="A19391" i="4"/>
  <c r="A7770" i="4"/>
  <c r="A7769" i="4"/>
  <c r="A7768" i="4"/>
  <c r="A7767" i="4"/>
  <c r="A4188" i="4"/>
  <c r="A4187" i="4"/>
  <c r="A6293" i="4"/>
  <c r="A11958" i="4"/>
  <c r="A11957" i="4"/>
  <c r="A10295" i="4"/>
  <c r="A4186" i="4"/>
  <c r="A952" i="4"/>
  <c r="A951" i="4"/>
  <c r="A5235" i="4"/>
  <c r="A19390" i="4"/>
  <c r="A19389" i="4"/>
  <c r="A19388" i="4"/>
  <c r="A19387" i="4"/>
  <c r="A19386" i="4"/>
  <c r="A19385" i="4"/>
  <c r="A19384" i="4"/>
  <c r="A24010" i="4"/>
  <c r="A24009" i="4"/>
  <c r="A7766" i="4"/>
  <c r="A24008" i="4"/>
  <c r="A950" i="4"/>
  <c r="A949" i="4"/>
  <c r="A20577" i="4"/>
  <c r="A371" i="4"/>
  <c r="A370" i="4"/>
  <c r="A369" i="4"/>
  <c r="A368" i="4"/>
  <c r="A367" i="4"/>
  <c r="A366" i="4"/>
  <c r="A365" i="4"/>
  <c r="A364" i="4"/>
  <c r="A948" i="4"/>
  <c r="A947" i="4"/>
  <c r="A24007" i="4"/>
  <c r="A10294" i="4"/>
  <c r="A4185" i="4"/>
  <c r="A10293" i="4"/>
  <c r="A6292" i="4"/>
  <c r="A24006" i="4"/>
  <c r="A13276" i="4"/>
  <c r="A14951" i="4"/>
  <c r="A14950" i="4"/>
  <c r="A14949" i="4"/>
  <c r="A12504" i="4"/>
  <c r="A12503" i="4"/>
  <c r="A24005" i="4"/>
  <c r="A13464" i="4"/>
  <c r="A24004" i="4"/>
  <c r="A24003" i="4"/>
  <c r="A10873" i="4"/>
  <c r="A10872" i="4"/>
  <c r="A10871" i="4"/>
  <c r="A24002" i="4"/>
  <c r="A10292" i="4"/>
  <c r="A16335" i="4"/>
  <c r="A24001" i="4"/>
  <c r="A946" i="4"/>
  <c r="A945" i="4"/>
  <c r="A17774" i="4"/>
  <c r="A14948" i="4"/>
  <c r="A13463" i="4"/>
  <c r="A4184" i="4"/>
  <c r="A4183" i="4"/>
  <c r="A4182" i="4"/>
  <c r="A12888" i="4"/>
  <c r="A1765" i="4"/>
  <c r="A4181" i="4"/>
  <c r="A4180" i="4"/>
  <c r="A4179" i="4"/>
  <c r="A4178" i="4"/>
  <c r="A4177" i="4"/>
  <c r="A4176" i="4"/>
  <c r="A4175" i="4"/>
  <c r="A24000" i="4"/>
  <c r="A8396" i="4"/>
  <c r="A6291" i="4"/>
  <c r="A4174" i="4"/>
  <c r="A23999" i="4"/>
  <c r="A23998" i="4"/>
  <c r="A23997" i="4"/>
  <c r="A4173" i="4"/>
  <c r="A4172" i="4"/>
  <c r="A4171" i="4"/>
  <c r="A16334" i="4"/>
  <c r="A16333" i="4"/>
  <c r="A16332" i="4"/>
  <c r="A23996" i="4"/>
  <c r="A5763" i="4"/>
  <c r="A10291" i="4"/>
  <c r="A1683" i="4"/>
  <c r="A1962" i="4"/>
  <c r="A23995" i="4"/>
  <c r="A17773" i="4"/>
  <c r="A1764" i="4"/>
  <c r="A10290" i="4"/>
  <c r="A10289" i="4"/>
  <c r="A13462" i="4"/>
  <c r="A8588" i="4"/>
  <c r="A23994" i="4"/>
  <c r="A23993" i="4"/>
  <c r="A17772" i="4"/>
  <c r="A23992" i="4"/>
  <c r="A19383" i="4"/>
  <c r="A19382" i="4"/>
  <c r="A23991" i="4"/>
  <c r="A7765" i="4"/>
  <c r="A23990" i="4"/>
  <c r="A6045" i="4"/>
  <c r="A2367" i="4"/>
  <c r="A2366" i="4"/>
  <c r="A2365" i="4"/>
  <c r="A8587" i="4"/>
  <c r="A4170" i="4"/>
  <c r="A23989" i="4"/>
  <c r="A17923" i="4"/>
  <c r="A12887" i="4"/>
  <c r="A23988" i="4"/>
  <c r="A23987" i="4"/>
  <c r="A23986" i="4"/>
  <c r="A23985" i="4"/>
  <c r="A23984" i="4"/>
  <c r="A4169" i="4"/>
  <c r="A23983" i="4"/>
  <c r="A11956" i="4"/>
  <c r="A11955" i="4"/>
  <c r="A8586" i="4"/>
  <c r="A6290" i="4"/>
  <c r="A23982" i="4"/>
  <c r="A17922" i="4"/>
  <c r="A23981" i="4"/>
  <c r="A14947" i="4"/>
  <c r="A14946" i="4"/>
  <c r="A23980" i="4"/>
  <c r="A16701" i="4"/>
  <c r="A16700" i="4"/>
  <c r="A16699" i="4"/>
  <c r="A16698" i="4"/>
  <c r="A16697" i="4"/>
  <c r="A23979" i="4"/>
  <c r="A8585" i="4"/>
  <c r="A8584" i="4"/>
  <c r="A23978" i="4"/>
  <c r="A6044" i="4"/>
  <c r="A23977" i="4"/>
  <c r="A7764" i="4"/>
  <c r="A14945" i="4"/>
  <c r="A1763" i="4"/>
  <c r="A142" i="4"/>
  <c r="A9903" i="4"/>
  <c r="A9902" i="4"/>
  <c r="A9901" i="4"/>
  <c r="A13461" i="4"/>
  <c r="A23976" i="4"/>
  <c r="A23975" i="4"/>
  <c r="A20576" i="4"/>
  <c r="A5716" i="4"/>
  <c r="A23974" i="4"/>
  <c r="A23973" i="4"/>
  <c r="A23972" i="4"/>
  <c r="A4168" i="4"/>
  <c r="A8583" i="4"/>
  <c r="A23971" i="4"/>
  <c r="A23970" i="4"/>
  <c r="A5493" i="4"/>
  <c r="A8312" i="4"/>
  <c r="A6043" i="4"/>
  <c r="A6042" i="4"/>
  <c r="A6041" i="4"/>
  <c r="A6040" i="4"/>
  <c r="A6039" i="4"/>
  <c r="A23969" i="4"/>
  <c r="A7763" i="4"/>
  <c r="A11954" i="4"/>
  <c r="A2364" i="4"/>
  <c r="A23968" i="4"/>
  <c r="A2363" i="4"/>
  <c r="A4167" i="4"/>
  <c r="A23967" i="4"/>
  <c r="A9030" i="4"/>
  <c r="A9029" i="4"/>
  <c r="A9028" i="4"/>
  <c r="A23966" i="4"/>
  <c r="A6553" i="4"/>
  <c r="A17771" i="4"/>
  <c r="A17770" i="4"/>
  <c r="A17769" i="4"/>
  <c r="A14944" i="4"/>
  <c r="A14943" i="4"/>
  <c r="A4166" i="4"/>
  <c r="A4165" i="4"/>
  <c r="A4164" i="4"/>
  <c r="A11953" i="4"/>
  <c r="A7762" i="4"/>
  <c r="A7761" i="4"/>
  <c r="A6552" i="4"/>
  <c r="A363" i="4"/>
  <c r="A362" i="4"/>
  <c r="A361" i="4"/>
  <c r="A5234" i="4"/>
  <c r="A5233" i="4"/>
  <c r="A360" i="4"/>
  <c r="A359" i="4"/>
  <c r="A358" i="4"/>
  <c r="A19381" i="4"/>
  <c r="A19380" i="4"/>
  <c r="A19379" i="4"/>
  <c r="A23965" i="4"/>
  <c r="A13091" i="4"/>
  <c r="A13090" i="4"/>
  <c r="A16331" i="4"/>
  <c r="A16330" i="4"/>
  <c r="A7760" i="4"/>
  <c r="A7759" i="4"/>
  <c r="A944" i="4"/>
  <c r="A23964" i="4"/>
  <c r="A23963" i="4"/>
  <c r="A11952" i="4"/>
  <c r="A11951" i="4"/>
  <c r="A11950" i="4"/>
  <c r="A11949" i="4"/>
  <c r="A14942" i="4"/>
  <c r="A23962" i="4"/>
  <c r="A1762" i="4"/>
  <c r="A10870" i="4"/>
  <c r="A23961" i="4"/>
  <c r="A23960" i="4"/>
  <c r="A23959" i="4"/>
  <c r="A7758" i="4"/>
  <c r="A23958" i="4"/>
  <c r="A7757" i="4"/>
  <c r="A5492" i="4"/>
  <c r="A5491" i="4"/>
  <c r="A23957" i="4"/>
  <c r="A5326" i="4"/>
  <c r="A5325" i="4"/>
  <c r="A23956" i="4"/>
  <c r="A357" i="4"/>
  <c r="A356" i="4"/>
  <c r="A355" i="4"/>
  <c r="A23955" i="4"/>
  <c r="A23954" i="4"/>
  <c r="A16329" i="4"/>
  <c r="A16328" i="4"/>
  <c r="A23953" i="4"/>
  <c r="A7756" i="4"/>
  <c r="A6038" i="4"/>
  <c r="A20575" i="4"/>
  <c r="A2362" i="4"/>
  <c r="A2361" i="4"/>
  <c r="A5762" i="4"/>
  <c r="A14941" i="4"/>
  <c r="A23952" i="4"/>
  <c r="A4163" i="4"/>
  <c r="A10288" i="4"/>
  <c r="A10287" i="4"/>
  <c r="A10286" i="4"/>
  <c r="A5232" i="4"/>
  <c r="A354" i="4"/>
  <c r="A11948" i="4"/>
  <c r="A4162" i="4"/>
  <c r="A23951" i="4"/>
  <c r="A6551" i="4"/>
  <c r="A6550" i="4"/>
  <c r="A23950" i="4"/>
  <c r="A23949" i="4"/>
  <c r="A1961" i="4"/>
  <c r="A23948" i="4"/>
  <c r="A23947" i="4"/>
  <c r="A2360" i="4"/>
  <c r="A2359" i="4"/>
  <c r="A23946" i="4"/>
  <c r="A23945" i="4"/>
  <c r="A23944" i="4"/>
  <c r="A19378" i="4"/>
  <c r="A353" i="4"/>
  <c r="A6037" i="4"/>
  <c r="A6036" i="4"/>
  <c r="A943" i="4"/>
  <c r="A942" i="4"/>
  <c r="A941" i="4"/>
  <c r="A23943" i="4"/>
  <c r="A11947" i="4"/>
  <c r="A11946" i="4"/>
  <c r="A14940" i="4"/>
  <c r="A14939" i="4"/>
  <c r="A23942" i="4"/>
  <c r="A23941" i="4"/>
  <c r="A12502" i="4"/>
  <c r="A5857" i="4"/>
  <c r="A23940" i="4"/>
  <c r="A4161" i="4"/>
  <c r="A5324" i="4"/>
  <c r="A940" i="4"/>
  <c r="A23939" i="4"/>
  <c r="A939" i="4"/>
  <c r="A938" i="4"/>
  <c r="A937" i="4"/>
  <c r="A19377" i="4"/>
  <c r="A23938" i="4"/>
  <c r="A5761" i="4"/>
  <c r="A352" i="4"/>
  <c r="A23937" i="4"/>
  <c r="A2358" i="4"/>
  <c r="A1960" i="4"/>
  <c r="A4160" i="4"/>
  <c r="A23936" i="4"/>
  <c r="A4159" i="4"/>
  <c r="A4158" i="4"/>
  <c r="A4157" i="4"/>
  <c r="A4156" i="4"/>
  <c r="A4155" i="4"/>
  <c r="A10285" i="4"/>
  <c r="A6289" i="4"/>
  <c r="A4154" i="4"/>
  <c r="A8582" i="4"/>
  <c r="A4153" i="4"/>
  <c r="A23935" i="4"/>
  <c r="A23934" i="4"/>
  <c r="A10284" i="4"/>
  <c r="A5323" i="4"/>
  <c r="A23933" i="4"/>
  <c r="A14938" i="4"/>
  <c r="A19376" i="4"/>
  <c r="A19375" i="4"/>
  <c r="A19374" i="4"/>
  <c r="A19373" i="4"/>
  <c r="A19372" i="4"/>
  <c r="A19371" i="4"/>
  <c r="A19370" i="4"/>
  <c r="A14937" i="4"/>
  <c r="A14936" i="4"/>
  <c r="A8581" i="4"/>
  <c r="A23932" i="4"/>
  <c r="A10283" i="4"/>
  <c r="A4152" i="4"/>
  <c r="A6288" i="4"/>
  <c r="A6287" i="4"/>
  <c r="A4151" i="4"/>
  <c r="A4150" i="4"/>
  <c r="A4149" i="4"/>
  <c r="A8580" i="4"/>
  <c r="A10282" i="4"/>
  <c r="A23931" i="4"/>
  <c r="A23930" i="4"/>
  <c r="A11945" i="4"/>
  <c r="A23929" i="4"/>
  <c r="A4148" i="4"/>
  <c r="A23928" i="4"/>
  <c r="A23927" i="4"/>
  <c r="A23926" i="4"/>
  <c r="A936" i="4"/>
  <c r="A17921" i="4"/>
  <c r="A14935" i="4"/>
  <c r="A6286" i="4"/>
  <c r="A4147" i="4"/>
  <c r="A4146" i="4"/>
  <c r="A14934" i="4"/>
  <c r="A6285" i="4"/>
  <c r="A19369" i="4"/>
  <c r="A23925" i="4"/>
  <c r="A12886" i="4"/>
  <c r="A5322" i="4"/>
  <c r="A935" i="4"/>
  <c r="A934" i="4"/>
  <c r="A933" i="4"/>
  <c r="A932" i="4"/>
  <c r="A931" i="4"/>
  <c r="A930" i="4"/>
  <c r="A929" i="4"/>
  <c r="A7755" i="4"/>
  <c r="A7754" i="4"/>
  <c r="A7753" i="4"/>
  <c r="A351" i="4"/>
  <c r="A23924" i="4"/>
  <c r="A11944" i="4"/>
  <c r="A11943" i="4"/>
  <c r="A11942" i="4"/>
  <c r="A11941" i="4"/>
  <c r="A11940" i="4"/>
  <c r="A11939" i="4"/>
  <c r="A14933" i="4"/>
  <c r="A14932" i="4"/>
  <c r="A928" i="4"/>
  <c r="A23923" i="4"/>
  <c r="A4145" i="4"/>
  <c r="A6284" i="4"/>
  <c r="A20574" i="4"/>
  <c r="A20573" i="4"/>
  <c r="A2535" i="4"/>
  <c r="A2534" i="4"/>
  <c r="A2533" i="4"/>
  <c r="A2532" i="4"/>
  <c r="A23922" i="4"/>
  <c r="A14931" i="4"/>
  <c r="A14930" i="4"/>
  <c r="A14929" i="4"/>
  <c r="A23921" i="4"/>
  <c r="A23920" i="4"/>
  <c r="A23919" i="4"/>
  <c r="A23918" i="4"/>
  <c r="A5490" i="4"/>
  <c r="A927" i="4"/>
  <c r="A926" i="4"/>
  <c r="A14928" i="4"/>
  <c r="A14927" i="4"/>
  <c r="A14926" i="4"/>
  <c r="A17920" i="4"/>
  <c r="A14925" i="4"/>
  <c r="A14924" i="4"/>
  <c r="A7752" i="4"/>
  <c r="A17919" i="4"/>
  <c r="A23917" i="4"/>
  <c r="A23916" i="4"/>
  <c r="A13089" i="4"/>
  <c r="A13088" i="4"/>
  <c r="A13087" i="4"/>
  <c r="A17768" i="4"/>
  <c r="A17767" i="4"/>
  <c r="A17766" i="4"/>
  <c r="A17765" i="4"/>
  <c r="A14923" i="4"/>
  <c r="A14922" i="4"/>
  <c r="A10281" i="4"/>
  <c r="A10280" i="4"/>
  <c r="A23915" i="4"/>
  <c r="A23914" i="4"/>
  <c r="A11938" i="4"/>
  <c r="A11937" i="4"/>
  <c r="A11936" i="4"/>
  <c r="A23913" i="4"/>
  <c r="A2357" i="4"/>
  <c r="A4144" i="4"/>
  <c r="A4143" i="4"/>
  <c r="A4142" i="4"/>
  <c r="A23912" i="4"/>
  <c r="A8395" i="4"/>
  <c r="A23911" i="4"/>
  <c r="A13086" i="4"/>
  <c r="A13085" i="4"/>
  <c r="A13084" i="4"/>
  <c r="A14921" i="4"/>
  <c r="A5489" i="4"/>
  <c r="A6283" i="4"/>
  <c r="A16327" i="4"/>
  <c r="A925" i="4"/>
  <c r="A23910" i="4"/>
  <c r="A10869" i="4"/>
  <c r="A350" i="4"/>
  <c r="A349" i="4"/>
  <c r="A23909" i="4"/>
  <c r="A19368" i="4"/>
  <c r="A19367" i="4"/>
  <c r="A23908" i="4"/>
  <c r="A924" i="4"/>
  <c r="A923" i="4"/>
  <c r="A17764" i="4"/>
  <c r="A2356" i="4"/>
  <c r="A23907" i="4"/>
  <c r="A23906" i="4"/>
  <c r="A23905" i="4"/>
  <c r="A10279" i="4"/>
  <c r="A6282" i="4"/>
  <c r="A23904" i="4"/>
  <c r="A14920" i="4"/>
  <c r="A14919" i="4"/>
  <c r="A23903" i="4"/>
  <c r="A23902" i="4"/>
  <c r="A23901" i="4"/>
  <c r="A14918" i="4"/>
  <c r="A12501" i="4"/>
  <c r="A23900" i="4"/>
  <c r="A12500" i="4"/>
  <c r="A12499" i="4"/>
  <c r="A12498" i="4"/>
  <c r="A23899" i="4"/>
  <c r="A23898" i="4"/>
  <c r="A5488" i="4"/>
  <c r="A5487" i="4"/>
  <c r="A348" i="4"/>
  <c r="A922" i="4"/>
  <c r="A23897" i="4"/>
  <c r="A23896" i="4"/>
  <c r="A23895" i="4"/>
  <c r="A23894" i="4"/>
  <c r="A6035" i="4"/>
  <c r="A2355" i="4"/>
  <c r="A16326" i="4"/>
  <c r="A16325" i="4"/>
  <c r="A16324" i="4"/>
  <c r="A16323" i="4"/>
  <c r="A23893" i="4"/>
  <c r="A23892" i="4"/>
  <c r="A23891" i="4"/>
  <c r="A23890" i="4"/>
  <c r="A7751" i="4"/>
  <c r="A6034" i="4"/>
  <c r="A921" i="4"/>
  <c r="A4141" i="4"/>
  <c r="A4140" i="4"/>
  <c r="A4139" i="4"/>
  <c r="A23889" i="4"/>
  <c r="A14917" i="4"/>
  <c r="A23888" i="4"/>
  <c r="A16322" i="4"/>
  <c r="A16321" i="4"/>
  <c r="A16320" i="4"/>
  <c r="A14916" i="4"/>
  <c r="A19366" i="4"/>
  <c r="A19365" i="4"/>
  <c r="A19364" i="4"/>
  <c r="A17763" i="4"/>
  <c r="A8579" i="4"/>
  <c r="A4138" i="4"/>
  <c r="A4137" i="4"/>
  <c r="A4136" i="4"/>
  <c r="A8578" i="4"/>
  <c r="A13275" i="4"/>
  <c r="A20699" i="4"/>
  <c r="A347" i="4"/>
  <c r="A346" i="4"/>
  <c r="A345" i="4"/>
  <c r="A23887" i="4"/>
  <c r="A19363" i="4"/>
  <c r="A13181" i="4"/>
  <c r="A13180" i="4"/>
  <c r="A13179" i="4"/>
  <c r="A23886" i="4"/>
  <c r="A11935" i="4"/>
  <c r="A23885" i="4"/>
  <c r="A23884" i="4"/>
  <c r="A16319" i="4"/>
  <c r="A8415" i="4"/>
  <c r="A23883" i="4"/>
  <c r="A8414" i="4"/>
  <c r="A6033" i="4"/>
  <c r="A23882" i="4"/>
  <c r="A23881" i="4"/>
  <c r="A920" i="4"/>
  <c r="A7750" i="4"/>
  <c r="A7749" i="4"/>
  <c r="A7748" i="4"/>
  <c r="A7747" i="4"/>
  <c r="A7746" i="4"/>
  <c r="A919" i="4"/>
  <c r="A23880" i="4"/>
  <c r="A6032" i="4"/>
  <c r="A6031" i="4"/>
  <c r="A23879" i="4"/>
  <c r="A23878" i="4"/>
  <c r="A11934" i="4"/>
  <c r="A23877" i="4"/>
  <c r="A11933" i="4"/>
  <c r="A11932" i="4"/>
  <c r="A4135" i="4"/>
  <c r="A8577" i="4"/>
  <c r="A23876" i="4"/>
  <c r="A10278" i="4"/>
  <c r="A10277" i="4"/>
  <c r="A10276" i="4"/>
  <c r="A10275" i="4"/>
  <c r="A23875" i="4"/>
  <c r="A10274" i="4"/>
  <c r="A10273" i="4"/>
  <c r="A10272" i="4"/>
  <c r="A23874" i="4"/>
  <c r="A10271" i="4"/>
  <c r="A23873" i="4"/>
  <c r="A10270" i="4"/>
  <c r="A8576" i="4"/>
  <c r="A23872" i="4"/>
  <c r="A13460" i="4"/>
  <c r="A4134" i="4"/>
  <c r="A4133" i="4"/>
  <c r="A4132" i="4"/>
  <c r="A4131" i="4"/>
  <c r="A4130" i="4"/>
  <c r="A11931" i="4"/>
  <c r="A11930" i="4"/>
  <c r="A13274" i="4"/>
  <c r="A4129" i="4"/>
  <c r="A14915" i="4"/>
  <c r="A6831" i="4"/>
  <c r="A12497" i="4"/>
  <c r="A12496" i="4"/>
  <c r="A12495" i="4"/>
  <c r="A12494" i="4"/>
  <c r="A14914" i="4"/>
  <c r="A7745" i="4"/>
  <c r="A18046" i="4"/>
  <c r="A18045" i="4"/>
  <c r="A16318" i="4"/>
  <c r="A16317" i="4"/>
  <c r="A918" i="4"/>
  <c r="A917" i="4"/>
  <c r="A916" i="4"/>
  <c r="A4128" i="4"/>
  <c r="A23871" i="4"/>
  <c r="A23870" i="4"/>
  <c r="A19362" i="4"/>
  <c r="A23869" i="4"/>
  <c r="A23868" i="4"/>
  <c r="A20572" i="4"/>
  <c r="A19361" i="4"/>
  <c r="A19360" i="4"/>
  <c r="A19359" i="4"/>
  <c r="A19358" i="4"/>
  <c r="A5760" i="4"/>
  <c r="A5759" i="4"/>
  <c r="A14913" i="4"/>
  <c r="A14912" i="4"/>
  <c r="A14911" i="4"/>
  <c r="A14910" i="4"/>
  <c r="A23867" i="4"/>
  <c r="A14909" i="4"/>
  <c r="A11929" i="4"/>
  <c r="A11928" i="4"/>
  <c r="A4127" i="4"/>
  <c r="A23866" i="4"/>
  <c r="A23865" i="4"/>
  <c r="A23864" i="4"/>
  <c r="A7744" i="4"/>
  <c r="A23863" i="4"/>
  <c r="A23862" i="4"/>
  <c r="A12885" i="4"/>
  <c r="A12884" i="4"/>
  <c r="A23861" i="4"/>
  <c r="A1761" i="4"/>
  <c r="A9027" i="4"/>
  <c r="A23860" i="4"/>
  <c r="A19357" i="4"/>
  <c r="A19356" i="4"/>
  <c r="A13178" i="4"/>
  <c r="A13177" i="4"/>
  <c r="A23859" i="4"/>
  <c r="A6030" i="4"/>
  <c r="A19355" i="4"/>
  <c r="A23858" i="4"/>
  <c r="A23857" i="4"/>
  <c r="A18125" i="4"/>
  <c r="A7743" i="4"/>
  <c r="A7742" i="4"/>
  <c r="A6029" i="4"/>
  <c r="A5715" i="4"/>
  <c r="A6028" i="4"/>
  <c r="A23856" i="4"/>
  <c r="A915" i="4"/>
  <c r="A13607" i="4"/>
  <c r="A13606" i="4"/>
  <c r="A14908" i="4"/>
  <c r="A14907" i="4"/>
  <c r="A6027" i="4"/>
  <c r="A11927" i="4"/>
  <c r="A23855" i="4"/>
  <c r="A9026" i="4"/>
  <c r="A9025" i="4"/>
  <c r="A9024" i="4"/>
  <c r="A9023" i="4"/>
  <c r="A6281" i="4"/>
  <c r="A23854" i="4"/>
  <c r="A2531" i="4"/>
  <c r="A2354" i="4"/>
  <c r="A14906" i="4"/>
  <c r="A14905" i="4"/>
  <c r="A14904" i="4"/>
  <c r="A23853" i="4"/>
  <c r="A11926" i="4"/>
  <c r="A11925" i="4"/>
  <c r="A23852" i="4"/>
  <c r="A11924" i="4"/>
  <c r="A5486" i="4"/>
  <c r="A914" i="4"/>
  <c r="A913" i="4"/>
  <c r="A6026" i="4"/>
  <c r="A5321" i="4"/>
  <c r="A6025" i="4"/>
  <c r="A23851" i="4"/>
  <c r="A14903" i="4"/>
  <c r="A6280" i="4"/>
  <c r="A7741" i="4"/>
  <c r="A14902" i="4"/>
  <c r="A2353" i="4"/>
  <c r="A2352" i="4"/>
  <c r="A23850" i="4"/>
  <c r="A1760" i="4"/>
  <c r="A17918" i="4"/>
  <c r="A10269" i="4"/>
  <c r="A4126" i="4"/>
  <c r="A4125" i="4"/>
  <c r="A4124" i="4"/>
  <c r="A23849" i="4"/>
  <c r="A4123" i="4"/>
  <c r="A23848" i="4"/>
  <c r="A23847" i="4"/>
  <c r="A4122" i="4"/>
  <c r="A912" i="4"/>
  <c r="A911" i="4"/>
  <c r="A23846" i="4"/>
  <c r="A13083" i="4"/>
  <c r="A13082" i="4"/>
  <c r="A23845" i="4"/>
  <c r="A1759" i="4"/>
  <c r="A9022" i="4"/>
  <c r="A9021" i="4"/>
  <c r="A9020" i="4"/>
  <c r="A23844" i="4"/>
  <c r="A4121" i="4"/>
  <c r="A13176" i="4"/>
  <c r="A23843" i="4"/>
  <c r="A6279" i="4"/>
  <c r="A13273" i="4"/>
  <c r="A19354" i="4"/>
  <c r="A23842" i="4"/>
  <c r="A23841" i="4"/>
  <c r="A19353" i="4"/>
  <c r="A19352" i="4"/>
  <c r="A19351" i="4"/>
  <c r="A13081" i="4"/>
  <c r="A23840" i="4"/>
  <c r="A19350" i="4"/>
  <c r="A19349" i="4"/>
  <c r="A19348" i="4"/>
  <c r="A19347" i="4"/>
  <c r="A19346" i="4"/>
  <c r="A6024" i="4"/>
  <c r="A6023" i="4"/>
  <c r="A13605" i="4"/>
  <c r="A910" i="4"/>
  <c r="A909" i="4"/>
  <c r="A17306" i="4"/>
  <c r="A6022" i="4"/>
  <c r="A6021" i="4"/>
  <c r="A8575" i="4"/>
  <c r="A23839" i="4"/>
  <c r="A23838" i="4"/>
  <c r="A5485" i="4"/>
  <c r="A12883" i="4"/>
  <c r="A23837" i="4"/>
  <c r="A4120" i="4"/>
  <c r="A1758" i="4"/>
  <c r="A14901" i="4"/>
  <c r="A14900" i="4"/>
  <c r="A23836" i="4"/>
  <c r="A12493" i="4"/>
  <c r="A23835" i="4"/>
  <c r="A10868" i="4"/>
  <c r="A5484" i="4"/>
  <c r="A5483" i="4"/>
  <c r="A5482" i="4"/>
  <c r="A344" i="4"/>
  <c r="A23834" i="4"/>
  <c r="A16316" i="4"/>
  <c r="A23833" i="4"/>
  <c r="A16315" i="4"/>
  <c r="A23832" i="4"/>
  <c r="A908" i="4"/>
  <c r="A907" i="4"/>
  <c r="A906" i="4"/>
  <c r="A23831" i="4"/>
  <c r="A23830" i="4"/>
  <c r="A11923" i="4"/>
  <c r="A23829" i="4"/>
  <c r="A23828" i="4"/>
  <c r="A5481" i="4"/>
  <c r="A16314" i="4"/>
  <c r="A16313" i="4"/>
  <c r="A13080" i="4"/>
  <c r="A13079" i="4"/>
  <c r="A23827" i="4"/>
  <c r="A16312" i="4"/>
  <c r="A16311" i="4"/>
  <c r="A23826" i="4"/>
  <c r="A14899" i="4"/>
  <c r="A14898" i="4"/>
  <c r="A11922" i="4"/>
  <c r="A14897" i="4"/>
  <c r="A23825" i="4"/>
  <c r="A11921" i="4"/>
  <c r="A4119" i="4"/>
  <c r="A17762" i="4"/>
  <c r="A17305" i="4"/>
  <c r="A17304" i="4"/>
  <c r="A23824" i="4"/>
  <c r="A17917" i="4"/>
  <c r="A23823" i="4"/>
  <c r="A4118" i="4"/>
  <c r="A10268" i="4"/>
  <c r="A4117" i="4"/>
  <c r="A4116" i="4"/>
  <c r="A23822" i="4"/>
  <c r="A4115" i="4"/>
  <c r="A23821" i="4"/>
  <c r="A6278" i="4"/>
  <c r="A19345" i="4"/>
  <c r="A19344" i="4"/>
  <c r="A19343" i="4"/>
  <c r="A16310" i="4"/>
  <c r="A16309" i="4"/>
  <c r="A16308" i="4"/>
  <c r="A16307" i="4"/>
  <c r="A5714" i="4"/>
  <c r="A5713" i="4"/>
  <c r="A905" i="4"/>
  <c r="A904" i="4"/>
  <c r="A903" i="4"/>
  <c r="A23820" i="4"/>
  <c r="A23819" i="4"/>
  <c r="A2351" i="4"/>
  <c r="A6020" i="4"/>
  <c r="A6019" i="4"/>
  <c r="A10267" i="4"/>
  <c r="A10266" i="4"/>
  <c r="A4114" i="4"/>
  <c r="A4113" i="4"/>
  <c r="A10265" i="4"/>
  <c r="A6277" i="4"/>
  <c r="A902" i="4"/>
  <c r="A901" i="4"/>
  <c r="A900" i="4"/>
  <c r="A7740" i="4"/>
  <c r="A14896" i="4"/>
  <c r="A14895" i="4"/>
  <c r="A14894" i="4"/>
  <c r="A23818" i="4"/>
  <c r="A12492" i="4"/>
  <c r="A23817" i="4"/>
  <c r="A7739" i="4"/>
  <c r="A5480" i="4"/>
  <c r="A5479" i="4"/>
  <c r="A5478" i="4"/>
  <c r="A5477" i="4"/>
  <c r="A5476" i="4"/>
  <c r="A5475" i="4"/>
  <c r="A5474" i="4"/>
  <c r="A5473" i="4"/>
  <c r="A5472" i="4"/>
  <c r="A5471" i="4"/>
  <c r="A20571" i="4"/>
  <c r="A16306" i="4"/>
  <c r="A343" i="4"/>
  <c r="A23816" i="4"/>
  <c r="A10264" i="4"/>
  <c r="A6018" i="4"/>
  <c r="A6017" i="4"/>
  <c r="A16305" i="4"/>
  <c r="A23815" i="4"/>
  <c r="A17761" i="4"/>
  <c r="A7738" i="4"/>
  <c r="A10263" i="4"/>
  <c r="A141" i="4"/>
  <c r="A9900" i="4"/>
  <c r="A9899" i="4"/>
  <c r="A140" i="4"/>
  <c r="A9898" i="4"/>
  <c r="A9897" i="4"/>
  <c r="A15542" i="4"/>
  <c r="A139" i="4"/>
  <c r="A9896" i="4"/>
  <c r="A9895" i="4"/>
  <c r="A17303" i="4"/>
  <c r="A17302" i="4"/>
  <c r="A7737" i="4"/>
  <c r="A7736" i="4"/>
  <c r="A23814" i="4"/>
  <c r="A2350" i="4"/>
  <c r="A2349" i="4"/>
  <c r="A4112" i="4"/>
  <c r="A4111" i="4"/>
  <c r="A5470" i="4"/>
  <c r="A5469" i="4"/>
  <c r="A14893" i="4"/>
  <c r="A20570" i="4"/>
  <c r="A23813" i="4"/>
  <c r="A16304" i="4"/>
  <c r="A4110" i="4"/>
  <c r="A14892" i="4"/>
  <c r="A14891" i="4"/>
  <c r="A19342" i="4"/>
  <c r="A6016" i="4"/>
  <c r="A17760" i="4"/>
  <c r="A17759" i="4"/>
  <c r="A17758" i="4"/>
  <c r="A7735" i="4"/>
  <c r="A7734" i="4"/>
  <c r="A899" i="4"/>
  <c r="A898" i="4"/>
  <c r="A2348" i="4"/>
  <c r="A23812" i="4"/>
  <c r="A23811" i="4"/>
  <c r="A1757" i="4"/>
  <c r="A2530" i="4"/>
  <c r="A2529" i="4"/>
  <c r="A14890" i="4"/>
  <c r="A14889" i="4"/>
  <c r="A14888" i="4"/>
  <c r="A2347" i="4"/>
  <c r="A2346" i="4"/>
  <c r="A2345" i="4"/>
  <c r="A23810" i="4"/>
  <c r="A12491" i="4"/>
  <c r="A12490" i="4"/>
  <c r="A23809" i="4"/>
  <c r="A23808" i="4"/>
  <c r="A1756" i="4"/>
  <c r="A10867" i="4"/>
  <c r="A7733" i="4"/>
  <c r="A5468" i="4"/>
  <c r="A23807" i="4"/>
  <c r="A897" i="4"/>
  <c r="A4109" i="4"/>
  <c r="A4108" i="4"/>
  <c r="A20569" i="4"/>
  <c r="A4107" i="4"/>
  <c r="A11920" i="4"/>
  <c r="A6276" i="4"/>
  <c r="A4106" i="4"/>
  <c r="A4105" i="4"/>
  <c r="A4104" i="4"/>
  <c r="A4103" i="4"/>
  <c r="A10262" i="4"/>
  <c r="A23806" i="4"/>
  <c r="A4102" i="4"/>
  <c r="A4101" i="4"/>
  <c r="A4100" i="4"/>
  <c r="A13459" i="4"/>
  <c r="A11919" i="4"/>
  <c r="A11918" i="4"/>
  <c r="A13078" i="4"/>
  <c r="A23805" i="4"/>
  <c r="A5758" i="4"/>
  <c r="A15541" i="4"/>
  <c r="A1959" i="4"/>
  <c r="A6830" i="4"/>
  <c r="A23804" i="4"/>
  <c r="A7732" i="4"/>
  <c r="A23803" i="4"/>
  <c r="A14887" i="4"/>
  <c r="A14886" i="4"/>
  <c r="A6015" i="4"/>
  <c r="A17916" i="4"/>
  <c r="A8574" i="4"/>
  <c r="A12489" i="4"/>
  <c r="A23802" i="4"/>
  <c r="A896" i="4"/>
  <c r="A13077" i="4"/>
  <c r="A13076" i="4"/>
  <c r="A14885" i="4"/>
  <c r="A4099" i="4"/>
  <c r="A4098" i="4"/>
  <c r="A6014" i="4"/>
  <c r="A6013" i="4"/>
  <c r="A14884" i="4"/>
  <c r="A12488" i="4"/>
  <c r="A23801" i="4"/>
  <c r="A2475" i="4"/>
  <c r="A20568" i="4"/>
  <c r="A23800" i="4"/>
  <c r="A6275" i="4"/>
  <c r="A4097" i="4"/>
  <c r="A4096" i="4"/>
  <c r="A17915" i="4"/>
  <c r="A14883" i="4"/>
  <c r="A23799" i="4"/>
  <c r="A16303" i="4"/>
  <c r="A19341" i="4"/>
  <c r="A19340" i="4"/>
  <c r="A19339" i="4"/>
  <c r="A11917" i="4"/>
  <c r="A13075" i="4"/>
  <c r="A13175" i="4"/>
  <c r="A2344" i="4"/>
  <c r="A23798" i="4"/>
  <c r="A6012" i="4"/>
  <c r="A23797" i="4"/>
  <c r="A23796" i="4"/>
  <c r="A23795" i="4"/>
  <c r="A16302" i="4"/>
  <c r="A23794" i="4"/>
  <c r="A6011" i="4"/>
  <c r="A6010" i="4"/>
  <c r="A6009" i="4"/>
  <c r="A6008" i="4"/>
  <c r="A13604" i="4"/>
  <c r="A895" i="4"/>
  <c r="A23793" i="4"/>
  <c r="A14882" i="4"/>
  <c r="A11916" i="4"/>
  <c r="A11915" i="4"/>
  <c r="A14881" i="4"/>
  <c r="A14880" i="4"/>
  <c r="A2343" i="4"/>
  <c r="A2342" i="4"/>
  <c r="A6007" i="4"/>
  <c r="A6006" i="4"/>
  <c r="A23792" i="4"/>
  <c r="A2341" i="4"/>
  <c r="A2340" i="4"/>
  <c r="A4095" i="4"/>
  <c r="A11914" i="4"/>
  <c r="A23791" i="4"/>
  <c r="A10261" i="4"/>
  <c r="A6274" i="4"/>
  <c r="A14879" i="4"/>
  <c r="A12487" i="4"/>
  <c r="A7731" i="4"/>
  <c r="A7730" i="4"/>
  <c r="A7729" i="4"/>
  <c r="A10260" i="4"/>
  <c r="A23790" i="4"/>
  <c r="A20698" i="4"/>
  <c r="A20697" i="4"/>
  <c r="A16301" i="4"/>
  <c r="A16300" i="4"/>
  <c r="A23789" i="4"/>
  <c r="A23788" i="4"/>
  <c r="A23787" i="4"/>
  <c r="A23786" i="4"/>
  <c r="A894" i="4"/>
  <c r="A893" i="4"/>
  <c r="A892" i="4"/>
  <c r="A891" i="4"/>
  <c r="A890" i="4"/>
  <c r="A13074" i="4"/>
  <c r="A23785" i="4"/>
  <c r="A23784" i="4"/>
  <c r="A23783" i="4"/>
  <c r="A23782" i="4"/>
  <c r="A10259" i="4"/>
  <c r="A23781" i="4"/>
  <c r="A14878" i="4"/>
  <c r="A14877" i="4"/>
  <c r="A6005" i="4"/>
  <c r="A13458" i="4"/>
  <c r="A23780" i="4"/>
  <c r="A14876" i="4"/>
  <c r="A13457" i="4"/>
  <c r="A23779" i="4"/>
  <c r="A23778" i="4"/>
  <c r="A15582" i="4"/>
  <c r="A15581" i="4"/>
  <c r="A19338" i="4"/>
  <c r="A19337" i="4"/>
  <c r="A23777" i="4"/>
  <c r="A23776" i="4"/>
  <c r="A19336" i="4"/>
  <c r="A23775" i="4"/>
  <c r="A19335" i="4"/>
  <c r="A19334" i="4"/>
  <c r="A19333" i="4"/>
  <c r="A19332" i="4"/>
  <c r="A2339" i="4"/>
  <c r="A11913" i="4"/>
  <c r="A4094" i="4"/>
  <c r="A23774" i="4"/>
  <c r="A7728" i="4"/>
  <c r="A13073" i="4"/>
  <c r="A23773" i="4"/>
  <c r="A19331" i="4"/>
  <c r="A11912" i="4"/>
  <c r="A11911" i="4"/>
  <c r="A23772" i="4"/>
  <c r="A4093" i="4"/>
  <c r="A4092" i="4"/>
  <c r="A4091" i="4"/>
  <c r="A4090" i="4"/>
  <c r="A4089" i="4"/>
  <c r="A4088" i="4"/>
  <c r="A4087" i="4"/>
  <c r="A4086" i="4"/>
  <c r="A4085" i="4"/>
  <c r="A23771" i="4"/>
  <c r="A4084" i="4"/>
  <c r="A4083" i="4"/>
  <c r="A4082" i="4"/>
  <c r="A4081" i="4"/>
  <c r="A23770" i="4"/>
  <c r="A19330" i="4"/>
  <c r="A19329" i="4"/>
  <c r="A19328" i="4"/>
  <c r="A19327" i="4"/>
  <c r="A19326" i="4"/>
  <c r="A5231" i="4"/>
  <c r="A342" i="4"/>
  <c r="A23769" i="4"/>
  <c r="A19325" i="4"/>
  <c r="A19324" i="4"/>
  <c r="A23768" i="4"/>
  <c r="A13072" i="4"/>
  <c r="A23767" i="4"/>
  <c r="A13071" i="4"/>
  <c r="A13070" i="4"/>
  <c r="A19323" i="4"/>
  <c r="A6004" i="4"/>
  <c r="A23766" i="4"/>
  <c r="A6003" i="4"/>
  <c r="A6002" i="4"/>
  <c r="A889" i="4"/>
  <c r="A888" i="4"/>
  <c r="A17301" i="4"/>
  <c r="A887" i="4"/>
  <c r="A10258" i="4"/>
  <c r="A4080" i="4"/>
  <c r="A1755" i="4"/>
  <c r="A1754" i="4"/>
  <c r="A1753" i="4"/>
  <c r="A9894" i="4"/>
  <c r="A12486" i="4"/>
  <c r="A12485" i="4"/>
  <c r="A12484" i="4"/>
  <c r="A23765" i="4"/>
  <c r="A12483" i="4"/>
  <c r="A13272" i="4"/>
  <c r="A13271" i="4"/>
  <c r="A23764" i="4"/>
  <c r="A10866" i="4"/>
  <c r="A10865" i="4"/>
  <c r="A10257" i="4"/>
  <c r="A6273" i="4"/>
  <c r="A23763" i="4"/>
  <c r="A4079" i="4"/>
  <c r="A19322" i="4"/>
  <c r="A19321" i="4"/>
  <c r="A19320" i="4"/>
  <c r="A23762" i="4"/>
  <c r="A13174" i="4"/>
  <c r="A8413" i="4"/>
  <c r="A11910" i="4"/>
  <c r="A2338" i="4"/>
  <c r="A10256" i="4"/>
  <c r="A10255" i="4"/>
  <c r="A138" i="4"/>
  <c r="A137" i="4"/>
  <c r="A9893" i="4"/>
  <c r="A9892" i="4"/>
  <c r="A16299" i="4"/>
  <c r="A10254" i="4"/>
  <c r="A19319" i="4"/>
  <c r="A13173" i="4"/>
  <c r="A13172" i="4"/>
  <c r="A5320" i="4"/>
  <c r="A5319" i="4"/>
  <c r="A7727" i="4"/>
  <c r="A11909" i="4"/>
  <c r="A11908" i="4"/>
  <c r="A23761" i="4"/>
  <c r="A14875" i="4"/>
  <c r="A4078" i="4"/>
  <c r="A23760" i="4"/>
  <c r="A23759" i="4"/>
  <c r="A10253" i="4"/>
  <c r="A5230" i="4"/>
  <c r="A23758" i="4"/>
  <c r="A17757" i="4"/>
  <c r="A11907" i="4"/>
  <c r="A9019" i="4"/>
  <c r="A4077" i="4"/>
  <c r="A23757" i="4"/>
  <c r="A4076" i="4"/>
  <c r="A20696" i="4"/>
  <c r="A886" i="4"/>
  <c r="A885" i="4"/>
  <c r="A5229" i="4"/>
  <c r="A23756" i="4"/>
  <c r="A19318" i="4"/>
  <c r="A19317" i="4"/>
  <c r="A19316" i="4"/>
  <c r="A19315" i="4"/>
  <c r="A9891" i="4"/>
  <c r="A19314" i="4"/>
  <c r="A2337" i="4"/>
  <c r="A884" i="4"/>
  <c r="A23755" i="4"/>
  <c r="A883" i="4"/>
  <c r="A14874" i="4"/>
  <c r="A14873" i="4"/>
  <c r="A14872" i="4"/>
  <c r="A2336" i="4"/>
  <c r="A6549" i="4"/>
  <c r="A4075" i="4"/>
  <c r="A10252" i="4"/>
  <c r="A23754" i="4"/>
  <c r="A23753" i="4"/>
  <c r="A23752" i="4"/>
  <c r="A12482" i="4"/>
  <c r="A23751" i="4"/>
  <c r="A12481" i="4"/>
  <c r="A12480" i="4"/>
  <c r="A12479" i="4"/>
  <c r="A11906" i="4"/>
  <c r="A23750" i="4"/>
  <c r="A7726" i="4"/>
  <c r="A5467" i="4"/>
  <c r="A5466" i="4"/>
  <c r="A5465" i="4"/>
  <c r="A882" i="4"/>
  <c r="A881" i="4"/>
  <c r="A6548" i="4"/>
  <c r="A10251" i="4"/>
  <c r="A19313" i="4"/>
  <c r="A14871" i="4"/>
  <c r="A11905" i="4"/>
  <c r="A4074" i="4"/>
  <c r="A4073" i="4"/>
  <c r="A1752" i="4"/>
  <c r="A23749" i="4"/>
  <c r="A1751" i="4"/>
  <c r="A5228" i="4"/>
  <c r="A4072" i="4"/>
  <c r="A4071" i="4"/>
  <c r="A23748" i="4"/>
  <c r="A23747" i="4"/>
  <c r="A4070" i="4"/>
  <c r="A1750" i="4"/>
  <c r="A17914" i="4"/>
  <c r="A17913" i="4"/>
  <c r="A17912" i="4"/>
  <c r="A11904" i="4"/>
  <c r="A2335" i="4"/>
  <c r="A4069" i="4"/>
  <c r="A23746" i="4"/>
  <c r="A880" i="4"/>
  <c r="A879" i="4"/>
  <c r="A4068" i="4"/>
  <c r="A13069" i="4"/>
  <c r="A19312" i="4"/>
  <c r="A16298" i="4"/>
  <c r="A16297" i="4"/>
  <c r="A23745" i="4"/>
  <c r="A14870" i="4"/>
  <c r="A14869" i="4"/>
  <c r="A23744" i="4"/>
  <c r="A13456" i="4"/>
  <c r="A13455" i="4"/>
  <c r="A11903" i="4"/>
  <c r="A23743" i="4"/>
  <c r="A23742" i="4"/>
  <c r="A19311" i="4"/>
  <c r="A19310" i="4"/>
  <c r="A8573" i="4"/>
  <c r="A19309" i="4"/>
  <c r="A19308" i="4"/>
  <c r="A2334" i="4"/>
  <c r="A10250" i="4"/>
  <c r="A10249" i="4"/>
  <c r="A8572" i="4"/>
  <c r="A2494" i="4"/>
  <c r="A5464" i="4"/>
  <c r="A12478" i="4"/>
  <c r="A12477" i="4"/>
  <c r="A12476" i="4"/>
  <c r="A10248" i="4"/>
  <c r="A19307" i="4"/>
  <c r="A19306" i="4"/>
  <c r="A5227" i="4"/>
  <c r="A5226" i="4"/>
  <c r="A5225" i="4"/>
  <c r="A5224" i="4"/>
  <c r="A5223" i="4"/>
  <c r="A19305" i="4"/>
  <c r="A19304" i="4"/>
  <c r="A19303" i="4"/>
  <c r="A19302" i="4"/>
  <c r="A23741" i="4"/>
  <c r="A11902" i="4"/>
  <c r="A11901" i="4"/>
  <c r="A23740" i="4"/>
  <c r="A19301" i="4"/>
  <c r="A19300" i="4"/>
  <c r="A19299" i="4"/>
  <c r="A23739" i="4"/>
  <c r="A23738" i="4"/>
  <c r="A19298" i="4"/>
  <c r="A19297" i="4"/>
  <c r="A23737" i="4"/>
  <c r="A878" i="4"/>
  <c r="A23736" i="4"/>
  <c r="A23735" i="4"/>
  <c r="A2333" i="4"/>
  <c r="A23734" i="4"/>
  <c r="A23733" i="4"/>
  <c r="A4067" i="4"/>
  <c r="A4066" i="4"/>
  <c r="A4065" i="4"/>
  <c r="A23732" i="4"/>
  <c r="A23731" i="4"/>
  <c r="A5712" i="4"/>
  <c r="A2528" i="4"/>
  <c r="A2527" i="4"/>
  <c r="A2526" i="4"/>
  <c r="A2525" i="4"/>
  <c r="A2524" i="4"/>
  <c r="A23730" i="4"/>
  <c r="A2332" i="4"/>
  <c r="A12475" i="4"/>
  <c r="A12474" i="4"/>
  <c r="A12473" i="4"/>
  <c r="A12472" i="4"/>
  <c r="A12471" i="4"/>
  <c r="A11900" i="4"/>
  <c r="A11899" i="4"/>
  <c r="A23729" i="4"/>
  <c r="A7725" i="4"/>
  <c r="A23728" i="4"/>
  <c r="A23727" i="4"/>
  <c r="A5463" i="4"/>
  <c r="A5462" i="4"/>
  <c r="A5461" i="4"/>
  <c r="A16296" i="4"/>
  <c r="A23726" i="4"/>
  <c r="A16295" i="4"/>
  <c r="A16294" i="4"/>
  <c r="A16293" i="4"/>
  <c r="A877" i="4"/>
  <c r="A6001" i="4"/>
  <c r="A15540" i="4"/>
  <c r="A5711" i="4"/>
  <c r="A341" i="4"/>
  <c r="A23725" i="4"/>
  <c r="A17911" i="4"/>
  <c r="A12470" i="4"/>
  <c r="A7724" i="4"/>
  <c r="A7723" i="4"/>
  <c r="A15539" i="4"/>
  <c r="A14868" i="4"/>
  <c r="A6272" i="4"/>
  <c r="A4064" i="4"/>
  <c r="A11898" i="4"/>
  <c r="A23724" i="4"/>
  <c r="A7722" i="4"/>
  <c r="A7721" i="4"/>
  <c r="A7720" i="4"/>
  <c r="A12469" i="4"/>
  <c r="A23723" i="4"/>
  <c r="A4063" i="4"/>
  <c r="A15538" i="4"/>
  <c r="A15537" i="4"/>
  <c r="A19296" i="4"/>
  <c r="A19295" i="4"/>
  <c r="A14867" i="4"/>
  <c r="A17300" i="4"/>
  <c r="A17299" i="4"/>
  <c r="A11897" i="4"/>
  <c r="A23722" i="4"/>
  <c r="A23721" i="4"/>
  <c r="A4062" i="4"/>
  <c r="A4061" i="4"/>
  <c r="A10247" i="4"/>
  <c r="A10246" i="4"/>
  <c r="A4060" i="4"/>
  <c r="A4059" i="4"/>
  <c r="A23720" i="4"/>
  <c r="A4058" i="4"/>
  <c r="A4057" i="4"/>
  <c r="A4056" i="4"/>
  <c r="A23719" i="4"/>
  <c r="A11896" i="4"/>
  <c r="A14866" i="4"/>
  <c r="A14865" i="4"/>
  <c r="A10864" i="4"/>
  <c r="A23718" i="4"/>
  <c r="A6271" i="4"/>
  <c r="A19294" i="4"/>
  <c r="A19293" i="4"/>
  <c r="A23717" i="4"/>
  <c r="A6829" i="4"/>
  <c r="A6828" i="4"/>
  <c r="A11895" i="4"/>
  <c r="A8571" i="4"/>
  <c r="A23716" i="4"/>
  <c r="A5460" i="4"/>
  <c r="A5459" i="4"/>
  <c r="A16292" i="4"/>
  <c r="A16291" i="4"/>
  <c r="A16290" i="4"/>
  <c r="A876" i="4"/>
  <c r="A875" i="4"/>
  <c r="A874" i="4"/>
  <c r="A19292" i="4"/>
  <c r="A19291" i="4"/>
  <c r="A19290" i="4"/>
  <c r="A15606" i="4"/>
  <c r="A23715" i="4"/>
  <c r="A16289" i="4"/>
  <c r="A16288" i="4"/>
  <c r="A16287" i="4"/>
  <c r="A19289" i="4"/>
  <c r="A2331" i="4"/>
  <c r="A23714" i="4"/>
  <c r="A873" i="4"/>
  <c r="A340" i="4"/>
  <c r="A339" i="4"/>
  <c r="A2330" i="4"/>
  <c r="A2329" i="4"/>
  <c r="A6000" i="4"/>
  <c r="A5999" i="4"/>
  <c r="A5998" i="4"/>
  <c r="A4055" i="4"/>
  <c r="A11894" i="4"/>
  <c r="A6547" i="4"/>
  <c r="A4054" i="4"/>
  <c r="A1749" i="4"/>
  <c r="A1748" i="4"/>
  <c r="A1747" i="4"/>
  <c r="A4053" i="4"/>
  <c r="A4052" i="4"/>
  <c r="A4051" i="4"/>
  <c r="A23713" i="4"/>
  <c r="A4050" i="4"/>
  <c r="A4049" i="4"/>
  <c r="A1746" i="4"/>
  <c r="A11893" i="4"/>
  <c r="A23712" i="4"/>
  <c r="A23711" i="4"/>
  <c r="A23710" i="4"/>
  <c r="A23709" i="4"/>
  <c r="A23708" i="4"/>
  <c r="A23707" i="4"/>
  <c r="A23706" i="4"/>
  <c r="A23705" i="4"/>
  <c r="A23704" i="4"/>
  <c r="A23703" i="4"/>
  <c r="A20827" i="4"/>
  <c r="A14864" i="4"/>
  <c r="A23702" i="4"/>
  <c r="A8570" i="4"/>
  <c r="A10863" i="4"/>
  <c r="A10862" i="4"/>
  <c r="A10861" i="4"/>
  <c r="A23701" i="4"/>
  <c r="A23700" i="4"/>
  <c r="A7719" i="4"/>
  <c r="A5458" i="4"/>
  <c r="A23699" i="4"/>
  <c r="A16286" i="4"/>
  <c r="A16285" i="4"/>
  <c r="A16284" i="4"/>
  <c r="A4048" i="4"/>
  <c r="A10245" i="4"/>
  <c r="A19288" i="4"/>
  <c r="A19287" i="4"/>
  <c r="A19286" i="4"/>
  <c r="A23698" i="4"/>
  <c r="A16283" i="4"/>
  <c r="A23697" i="4"/>
  <c r="A23696" i="4"/>
  <c r="A4047" i="4"/>
  <c r="A4046" i="4"/>
  <c r="A23695" i="4"/>
  <c r="A872" i="4"/>
  <c r="A23694" i="4"/>
  <c r="A23693" i="4"/>
  <c r="A23692" i="4"/>
  <c r="A338" i="4"/>
  <c r="A5757" i="4"/>
  <c r="A5710" i="4"/>
  <c r="A11031" i="4"/>
  <c r="A14863" i="4"/>
  <c r="A10244" i="4"/>
  <c r="A23691" i="4"/>
  <c r="A4045" i="4"/>
  <c r="A9018" i="4"/>
  <c r="A9017" i="4"/>
  <c r="A9016" i="4"/>
  <c r="A14862" i="4"/>
  <c r="A10243" i="4"/>
  <c r="A23690" i="4"/>
  <c r="A337" i="4"/>
  <c r="A336" i="4"/>
  <c r="A23689" i="4"/>
  <c r="A335" i="4"/>
  <c r="A23688" i="4"/>
  <c r="A16282" i="4"/>
  <c r="A16281" i="4"/>
  <c r="A5997" i="4"/>
  <c r="A5996" i="4"/>
  <c r="A5995" i="4"/>
  <c r="A5994" i="4"/>
  <c r="A5993" i="4"/>
  <c r="A23687" i="4"/>
  <c r="A23686" i="4"/>
  <c r="A8569" i="4"/>
  <c r="A10242" i="4"/>
  <c r="A8568" i="4"/>
  <c r="A4044" i="4"/>
  <c r="A10860" i="4"/>
  <c r="A7718" i="4"/>
  <c r="A7717" i="4"/>
  <c r="A18044" i="4"/>
  <c r="A8567" i="4"/>
  <c r="A334" i="4"/>
  <c r="A5222" i="4"/>
  <c r="A19285" i="4"/>
  <c r="A23685" i="4"/>
  <c r="A13068" i="4"/>
  <c r="A13067" i="4"/>
  <c r="A13066" i="4"/>
  <c r="A13065" i="4"/>
  <c r="A19284" i="4"/>
  <c r="A19283" i="4"/>
  <c r="A23684" i="4"/>
  <c r="A23683" i="4"/>
  <c r="A5318" i="4"/>
  <c r="A23682" i="4"/>
  <c r="A16280" i="4"/>
  <c r="A23681" i="4"/>
  <c r="A16279" i="4"/>
  <c r="A23680" i="4"/>
  <c r="A2328" i="4"/>
  <c r="A23679" i="4"/>
  <c r="A8412" i="4"/>
  <c r="A6827" i="4"/>
  <c r="A23678" i="4"/>
  <c r="A23677" i="4"/>
  <c r="A5992" i="4"/>
  <c r="A871" i="4"/>
  <c r="A14861" i="4"/>
  <c r="A2327" i="4"/>
  <c r="A11892" i="4"/>
  <c r="A4043" i="4"/>
  <c r="A4042" i="4"/>
  <c r="A4041" i="4"/>
  <c r="A23676" i="4"/>
  <c r="A4040" i="4"/>
  <c r="A10241" i="4"/>
  <c r="A10240" i="4"/>
  <c r="A14860" i="4"/>
  <c r="A23675" i="4"/>
  <c r="A14859" i="4"/>
  <c r="A14858" i="4"/>
  <c r="A23674" i="4"/>
  <c r="A12468" i="4"/>
  <c r="A12467" i="4"/>
  <c r="A12466" i="4"/>
  <c r="A14857" i="4"/>
  <c r="A23673" i="4"/>
  <c r="A23672" i="4"/>
  <c r="A23671" i="4"/>
  <c r="A10859" i="4"/>
  <c r="A10858" i="4"/>
  <c r="A7716" i="4"/>
  <c r="A7715" i="4"/>
  <c r="A5457" i="4"/>
  <c r="A5456" i="4"/>
  <c r="A5455" i="4"/>
  <c r="A5614" i="4"/>
  <c r="A23670" i="4"/>
  <c r="A5454" i="4"/>
  <c r="A20567" i="4"/>
  <c r="A23669" i="4"/>
  <c r="A16278" i="4"/>
  <c r="A16277" i="4"/>
  <c r="A23668" i="4"/>
  <c r="A19282" i="4"/>
  <c r="A19281" i="4"/>
  <c r="A23667" i="4"/>
  <c r="A870" i="4"/>
  <c r="A23666" i="4"/>
  <c r="A869" i="4"/>
  <c r="A23665" i="4"/>
  <c r="A23664" i="4"/>
  <c r="A868" i="4"/>
  <c r="A867" i="4"/>
  <c r="A19280" i="4"/>
  <c r="A2326" i="4"/>
  <c r="A20566" i="4"/>
  <c r="A4039" i="4"/>
  <c r="A5991" i="4"/>
  <c r="A10239" i="4"/>
  <c r="A17756" i="4"/>
  <c r="A8566" i="4"/>
  <c r="A23663" i="4"/>
  <c r="A4038" i="4"/>
  <c r="A23662" i="4"/>
  <c r="A12465" i="4"/>
  <c r="A1745" i="4"/>
  <c r="A10857" i="4"/>
  <c r="A866" i="4"/>
  <c r="A10238" i="4"/>
  <c r="A16276" i="4"/>
  <c r="A16275" i="4"/>
  <c r="A16274" i="4"/>
  <c r="A16273" i="4"/>
  <c r="A1958" i="4"/>
  <c r="A5990" i="4"/>
  <c r="A23661" i="4"/>
  <c r="A2325" i="4"/>
  <c r="A11891" i="4"/>
  <c r="A11890" i="4"/>
  <c r="A11889" i="4"/>
  <c r="A14856" i="4"/>
  <c r="A23660" i="4"/>
  <c r="A23659" i="4"/>
  <c r="A23658" i="4"/>
  <c r="A16272" i="4"/>
  <c r="A8478" i="4"/>
  <c r="A8464" i="4"/>
  <c r="A13454" i="4"/>
  <c r="A20565" i="4"/>
  <c r="A5613" i="4"/>
  <c r="A7714" i="4"/>
  <c r="A20695" i="4"/>
  <c r="A19279" i="4"/>
  <c r="A19278" i="4"/>
  <c r="A23657" i="4"/>
  <c r="A19277" i="4"/>
  <c r="A19276" i="4"/>
  <c r="A15536" i="4"/>
  <c r="A15535" i="4"/>
  <c r="A13171" i="4"/>
  <c r="A19275" i="4"/>
  <c r="A19274" i="4"/>
  <c r="A19273" i="4"/>
  <c r="A12882" i="4"/>
  <c r="A23656" i="4"/>
  <c r="A16271" i="4"/>
  <c r="A19272" i="4"/>
  <c r="A5989" i="4"/>
  <c r="A5988" i="4"/>
  <c r="A23655" i="4"/>
  <c r="A17599" i="4"/>
  <c r="A5987" i="4"/>
  <c r="A23654" i="4"/>
  <c r="A5986" i="4"/>
  <c r="A865" i="4"/>
  <c r="A864" i="4"/>
  <c r="A23653" i="4"/>
  <c r="A8565" i="4"/>
  <c r="A10237" i="4"/>
  <c r="A10236" i="4"/>
  <c r="A6270" i="4"/>
  <c r="A23652" i="4"/>
  <c r="A23651" i="4"/>
  <c r="A23650" i="4"/>
  <c r="A7713" i="4"/>
  <c r="A14855" i="4"/>
  <c r="A14854" i="4"/>
  <c r="A2324" i="4"/>
  <c r="A14853" i="4"/>
  <c r="A12464" i="4"/>
  <c r="A12463" i="4"/>
  <c r="A7712" i="4"/>
  <c r="A7711" i="4"/>
  <c r="A7710" i="4"/>
  <c r="A7709" i="4"/>
  <c r="A10235" i="4"/>
  <c r="A23649" i="4"/>
  <c r="A16270" i="4"/>
  <c r="A23648" i="4"/>
  <c r="A23647" i="4"/>
  <c r="A863" i="4"/>
  <c r="A862" i="4"/>
  <c r="A23646" i="4"/>
  <c r="A8564" i="4"/>
  <c r="A10234" i="4"/>
  <c r="A10233" i="4"/>
  <c r="A23645" i="4"/>
  <c r="A16269" i="4"/>
  <c r="A16268" i="4"/>
  <c r="A16267" i="4"/>
  <c r="A5709" i="4"/>
  <c r="A8374" i="4"/>
  <c r="A10232" i="4"/>
  <c r="A10231" i="4"/>
  <c r="A4037" i="4"/>
  <c r="A4036" i="4"/>
  <c r="A23644" i="4"/>
  <c r="A4035" i="4"/>
  <c r="A16266" i="4"/>
  <c r="A23643" i="4"/>
  <c r="A10230" i="4"/>
  <c r="A23642" i="4"/>
  <c r="A15534" i="4"/>
  <c r="A8477" i="4"/>
  <c r="A7708" i="4"/>
  <c r="A7707" i="4"/>
  <c r="A7706" i="4"/>
  <c r="A14852" i="4"/>
  <c r="A23641" i="4"/>
  <c r="A161" i="4"/>
  <c r="A17298" i="4"/>
  <c r="A14851" i="4"/>
  <c r="A8563" i="4"/>
  <c r="A4034" i="4"/>
  <c r="A11888" i="4"/>
  <c r="A6269" i="4"/>
  <c r="A4033" i="4"/>
  <c r="A23640" i="4"/>
  <c r="A4032" i="4"/>
  <c r="A4031" i="4"/>
  <c r="A4030" i="4"/>
  <c r="A4029" i="4"/>
  <c r="A14850" i="4"/>
  <c r="A23639" i="4"/>
  <c r="A4028" i="4"/>
  <c r="A4027" i="4"/>
  <c r="A4026" i="4"/>
  <c r="A20564" i="4"/>
  <c r="A12462" i="4"/>
  <c r="A23638" i="4"/>
  <c r="A8562" i="4"/>
  <c r="A13064" i="4"/>
  <c r="A5756" i="4"/>
  <c r="A1957" i="4"/>
  <c r="A1956" i="4"/>
  <c r="A23637" i="4"/>
  <c r="A5708" i="4"/>
  <c r="A23636" i="4"/>
  <c r="A861" i="4"/>
  <c r="A860" i="4"/>
  <c r="A12461" i="4"/>
  <c r="A5453" i="4"/>
  <c r="A333" i="4"/>
  <c r="A16265" i="4"/>
  <c r="A16264" i="4"/>
  <c r="A5221" i="4"/>
  <c r="A23635" i="4"/>
  <c r="A23634" i="4"/>
  <c r="A23633" i="4"/>
  <c r="A16263" i="4"/>
  <c r="A332" i="4"/>
  <c r="A23632" i="4"/>
  <c r="A23631" i="4"/>
  <c r="A23630" i="4"/>
  <c r="A19271" i="4"/>
  <c r="A19270" i="4"/>
  <c r="A5985" i="4"/>
  <c r="A6826" i="4"/>
  <c r="A23629" i="4"/>
  <c r="A18124" i="4"/>
  <c r="A5984" i="4"/>
  <c r="A2323" i="4"/>
  <c r="A5983" i="4"/>
  <c r="A859" i="4"/>
  <c r="A11887" i="4"/>
  <c r="A11886" i="4"/>
  <c r="A11885" i="4"/>
  <c r="A11884" i="4"/>
  <c r="A10229" i="4"/>
  <c r="A11883" i="4"/>
  <c r="A11882" i="4"/>
  <c r="A11881" i="4"/>
  <c r="A8561" i="4"/>
  <c r="A13453" i="4"/>
  <c r="A14849" i="4"/>
  <c r="A14848" i="4"/>
  <c r="A14847" i="4"/>
  <c r="A14846" i="4"/>
  <c r="A14845" i="4"/>
  <c r="A14844" i="4"/>
  <c r="A12460" i="4"/>
  <c r="A12459" i="4"/>
  <c r="A12458" i="4"/>
  <c r="A23628" i="4"/>
  <c r="A23627" i="4"/>
  <c r="A7705" i="4"/>
  <c r="A7704" i="4"/>
  <c r="A7703" i="4"/>
  <c r="A5452" i="4"/>
  <c r="A16262" i="4"/>
  <c r="A16261" i="4"/>
  <c r="A16260" i="4"/>
  <c r="A858" i="4"/>
  <c r="A857" i="4"/>
  <c r="A856" i="4"/>
  <c r="A855" i="4"/>
  <c r="A854" i="4"/>
  <c r="A853" i="4"/>
  <c r="A10228" i="4"/>
  <c r="A23626" i="4"/>
  <c r="A16259" i="4"/>
  <c r="A23625" i="4"/>
  <c r="A16258" i="4"/>
  <c r="A23624" i="4"/>
  <c r="A2322" i="4"/>
  <c r="A23623" i="4"/>
  <c r="A20826" i="4"/>
  <c r="A20825" i="4"/>
  <c r="A20824" i="4"/>
  <c r="A8560" i="4"/>
  <c r="A23622" i="4"/>
  <c r="A16257" i="4"/>
  <c r="A16256" i="4"/>
  <c r="A17598" i="4"/>
  <c r="A23621" i="4"/>
  <c r="A7702" i="4"/>
  <c r="A7701" i="4"/>
  <c r="A7700" i="4"/>
  <c r="A7699" i="4"/>
  <c r="A7698" i="4"/>
  <c r="A23620" i="4"/>
  <c r="A14843" i="4"/>
  <c r="A14842" i="4"/>
  <c r="A23619" i="4"/>
  <c r="A16255" i="4"/>
  <c r="A20563" i="4"/>
  <c r="A2321" i="4"/>
  <c r="A4025" i="4"/>
  <c r="A4024" i="4"/>
  <c r="A4023" i="4"/>
  <c r="A16254" i="4"/>
  <c r="A23618" i="4"/>
  <c r="A13170" i="4"/>
  <c r="A16253" i="4"/>
  <c r="A19269" i="4"/>
  <c r="A5317" i="4"/>
  <c r="A5316" i="4"/>
  <c r="A23617" i="4"/>
  <c r="A23616" i="4"/>
  <c r="A19268" i="4"/>
  <c r="A8476" i="4"/>
  <c r="A14841" i="4"/>
  <c r="A14840" i="4"/>
  <c r="A23615" i="4"/>
  <c r="A11880" i="4"/>
  <c r="A11879" i="4"/>
  <c r="A10227" i="4"/>
  <c r="A4022" i="4"/>
  <c r="A23614" i="4"/>
  <c r="A4021" i="4"/>
  <c r="A1744" i="4"/>
  <c r="A4020" i="4"/>
  <c r="A4019" i="4"/>
  <c r="A11878" i="4"/>
  <c r="A4018" i="4"/>
  <c r="A23613" i="4"/>
  <c r="A7697" i="4"/>
  <c r="A10226" i="4"/>
  <c r="A16252" i="4"/>
  <c r="A16251" i="4"/>
  <c r="A852" i="4"/>
  <c r="A851" i="4"/>
  <c r="A850" i="4"/>
  <c r="A849" i="4"/>
  <c r="A10225" i="4"/>
  <c r="A16250" i="4"/>
  <c r="A16249" i="4"/>
  <c r="A19267" i="4"/>
  <c r="A19266" i="4"/>
  <c r="A19265" i="4"/>
  <c r="A16248" i="4"/>
  <c r="A13063" i="4"/>
  <c r="A23612" i="4"/>
  <c r="A9890" i="4"/>
  <c r="A9889" i="4"/>
  <c r="A9888" i="4"/>
  <c r="A9887" i="4"/>
  <c r="A9886" i="4"/>
  <c r="A136" i="4"/>
  <c r="A23611" i="4"/>
  <c r="A8463" i="4"/>
  <c r="A23610" i="4"/>
  <c r="A23609" i="4"/>
  <c r="A23608" i="4"/>
  <c r="A848" i="4"/>
  <c r="A13603" i="4"/>
  <c r="A23607" i="4"/>
  <c r="A847" i="4"/>
  <c r="A2493" i="4"/>
  <c r="A11877" i="4"/>
  <c r="A11876" i="4"/>
  <c r="A10224" i="4"/>
  <c r="A23606" i="4"/>
  <c r="A23605" i="4"/>
  <c r="A12457" i="4"/>
  <c r="A13270" i="4"/>
  <c r="A5451" i="4"/>
  <c r="A5450" i="4"/>
  <c r="A5449" i="4"/>
  <c r="A5448" i="4"/>
  <c r="A5447" i="4"/>
  <c r="A5446" i="4"/>
  <c r="A20562" i="4"/>
  <c r="A23604" i="4"/>
  <c r="A23603" i="4"/>
  <c r="A23602" i="4"/>
  <c r="A16247" i="4"/>
  <c r="A19264" i="4"/>
  <c r="A16246" i="4"/>
  <c r="A846" i="4"/>
  <c r="A845" i="4"/>
  <c r="A844" i="4"/>
  <c r="A23601" i="4"/>
  <c r="A13062" i="4"/>
  <c r="A5982" i="4"/>
  <c r="A5755" i="4"/>
  <c r="A23600" i="4"/>
  <c r="A23599" i="4"/>
  <c r="A14839" i="4"/>
  <c r="A14838" i="4"/>
  <c r="A23598" i="4"/>
  <c r="A4017" i="4"/>
  <c r="A23597" i="4"/>
  <c r="A4016" i="4"/>
  <c r="A4015" i="4"/>
  <c r="A10223" i="4"/>
  <c r="A23596" i="4"/>
  <c r="A5445" i="4"/>
  <c r="A5444" i="4"/>
  <c r="A5443" i="4"/>
  <c r="A5442" i="4"/>
  <c r="A4014" i="4"/>
  <c r="A10222" i="4"/>
  <c r="A23595" i="4"/>
  <c r="A2320" i="4"/>
  <c r="A23594" i="4"/>
  <c r="A20561" i="4"/>
  <c r="A2319" i="4"/>
  <c r="A23593" i="4"/>
  <c r="A11875" i="4"/>
  <c r="A23592" i="4"/>
  <c r="A5612" i="4"/>
  <c r="A16245" i="4"/>
  <c r="A135" i="4"/>
  <c r="A9885" i="4"/>
  <c r="A9884" i="4"/>
  <c r="A9883" i="4"/>
  <c r="A134" i="4"/>
  <c r="A133" i="4"/>
  <c r="A132" i="4"/>
  <c r="A9882" i="4"/>
  <c r="A9881" i="4"/>
  <c r="A9880" i="4"/>
  <c r="A131" i="4"/>
  <c r="A130" i="4"/>
  <c r="A129" i="4"/>
  <c r="A9879" i="4"/>
  <c r="A9878" i="4"/>
  <c r="A9877" i="4"/>
  <c r="A9876" i="4"/>
  <c r="A9875" i="4"/>
  <c r="A19263" i="4"/>
  <c r="A23591" i="4"/>
  <c r="A128" i="4"/>
  <c r="A9874" i="4"/>
  <c r="A9873" i="4"/>
  <c r="A9872" i="4"/>
  <c r="A5981" i="4"/>
  <c r="A11874" i="4"/>
  <c r="A20560" i="4"/>
  <c r="A23590" i="4"/>
  <c r="A4013" i="4"/>
  <c r="A4012" i="4"/>
  <c r="A4011" i="4"/>
  <c r="A17910" i="4"/>
  <c r="A23589" i="4"/>
  <c r="A127" i="4"/>
  <c r="A9871" i="4"/>
  <c r="A9870" i="4"/>
  <c r="A23588" i="4"/>
  <c r="A9869" i="4"/>
  <c r="A5611" i="4"/>
  <c r="A19262" i="4"/>
  <c r="A19261" i="4"/>
  <c r="A19260" i="4"/>
  <c r="A19259" i="4"/>
  <c r="A19258" i="4"/>
  <c r="A19257" i="4"/>
  <c r="A19256" i="4"/>
  <c r="A19255" i="4"/>
  <c r="A331" i="4"/>
  <c r="A330" i="4"/>
  <c r="A16244" i="4"/>
  <c r="A16243" i="4"/>
  <c r="A23587" i="4"/>
  <c r="A23586" i="4"/>
  <c r="A23585" i="4"/>
  <c r="A13061" i="4"/>
  <c r="A13169" i="4"/>
  <c r="A23584" i="4"/>
  <c r="A23583" i="4"/>
  <c r="A16242" i="4"/>
  <c r="A23582" i="4"/>
  <c r="A2318" i="4"/>
  <c r="A843" i="4"/>
  <c r="A842" i="4"/>
  <c r="A14837" i="4"/>
  <c r="A11873" i="4"/>
  <c r="A14836" i="4"/>
  <c r="A2317" i="4"/>
  <c r="A4010" i="4"/>
  <c r="A4009" i="4"/>
  <c r="A4008" i="4"/>
  <c r="A10221" i="4"/>
  <c r="A8559" i="4"/>
  <c r="A9868" i="4"/>
  <c r="A14835" i="4"/>
  <c r="A14834" i="4"/>
  <c r="A14833" i="4"/>
  <c r="A14832" i="4"/>
  <c r="A2316" i="4"/>
  <c r="A14831" i="4"/>
  <c r="A14830" i="4"/>
  <c r="A23581" i="4"/>
  <c r="A23580" i="4"/>
  <c r="A23579" i="4"/>
  <c r="A23578" i="4"/>
  <c r="A23577" i="4"/>
  <c r="A23576" i="4"/>
  <c r="A23575" i="4"/>
  <c r="A23574" i="4"/>
  <c r="A11872" i="4"/>
  <c r="A7696" i="4"/>
  <c r="A5441" i="4"/>
  <c r="A23573" i="4"/>
  <c r="A23572" i="4"/>
  <c r="A841" i="4"/>
  <c r="A23571" i="4"/>
  <c r="A840" i="4"/>
  <c r="A329" i="4"/>
  <c r="A4007" i="4"/>
  <c r="A4006" i="4"/>
  <c r="A23570" i="4"/>
  <c r="A12" i="4"/>
  <c r="A9374" i="4"/>
  <c r="A19254" i="4"/>
  <c r="A13168" i="4"/>
  <c r="A2315" i="4"/>
  <c r="A23569" i="4"/>
  <c r="A8558" i="4"/>
  <c r="A8557" i="4"/>
  <c r="A8556" i="4"/>
  <c r="A23568" i="4"/>
  <c r="A8555" i="4"/>
  <c r="A4005" i="4"/>
  <c r="A1743" i="4"/>
  <c r="A12262" i="4"/>
  <c r="A4004" i="4"/>
  <c r="A4003" i="4"/>
  <c r="A4002" i="4"/>
  <c r="A6268" i="4"/>
  <c r="A4001" i="4"/>
  <c r="A4000" i="4"/>
  <c r="A3999" i="4"/>
  <c r="A17909" i="4"/>
  <c r="A3998" i="4"/>
  <c r="A3997" i="4"/>
  <c r="A23567" i="4"/>
  <c r="A23566" i="4"/>
  <c r="A23565" i="4"/>
  <c r="A14829" i="4"/>
  <c r="A23564" i="4"/>
  <c r="A3996" i="4"/>
  <c r="A23563" i="4"/>
  <c r="A3995" i="4"/>
  <c r="A23562" i="4"/>
  <c r="A23561" i="4"/>
  <c r="A3994" i="4"/>
  <c r="A10220" i="4"/>
  <c r="A328" i="4"/>
  <c r="A327" i="4"/>
  <c r="A326" i="4"/>
  <c r="A325" i="4"/>
  <c r="A23560" i="4"/>
  <c r="A19253" i="4"/>
  <c r="A7695" i="4"/>
  <c r="A7694" i="4"/>
  <c r="A5980" i="4"/>
  <c r="A17908" i="4"/>
  <c r="A11871" i="4"/>
  <c r="A7693" i="4"/>
  <c r="A12456" i="4"/>
  <c r="A12455" i="4"/>
  <c r="A10219" i="4"/>
  <c r="A23559" i="4"/>
  <c r="A839" i="4"/>
  <c r="A23558" i="4"/>
  <c r="A5315" i="4"/>
  <c r="A23557" i="4"/>
  <c r="A1955" i="4"/>
  <c r="A13060" i="4"/>
  <c r="A16241" i="4"/>
  <c r="A16240" i="4"/>
  <c r="A7692" i="4"/>
  <c r="A11870" i="4"/>
  <c r="A23556" i="4"/>
  <c r="A12454" i="4"/>
  <c r="A324" i="4"/>
  <c r="A16239" i="4"/>
  <c r="A16238" i="4"/>
  <c r="A16237" i="4"/>
  <c r="A23555" i="4"/>
  <c r="A16236" i="4"/>
  <c r="A11869" i="4"/>
  <c r="A11868" i="4"/>
  <c r="A11867" i="4"/>
  <c r="A19252" i="4"/>
  <c r="A5979" i="4"/>
  <c r="A23554" i="4"/>
  <c r="A5754" i="4"/>
  <c r="A15605" i="4"/>
  <c r="A15604" i="4"/>
  <c r="A19251" i="4"/>
  <c r="A19250" i="4"/>
  <c r="A19249" i="4"/>
  <c r="A16235" i="4"/>
  <c r="A23553" i="4"/>
  <c r="A23552" i="4"/>
  <c r="A5978" i="4"/>
  <c r="A14828" i="4"/>
  <c r="A2314" i="4"/>
  <c r="A2313" i="4"/>
  <c r="A23551" i="4"/>
  <c r="A10218" i="4"/>
  <c r="A13452" i="4"/>
  <c r="A11866" i="4"/>
  <c r="A23550" i="4"/>
  <c r="A23549" i="4"/>
  <c r="A10217" i="4"/>
  <c r="A10216" i="4"/>
  <c r="A23548" i="4"/>
  <c r="A23547" i="4"/>
  <c r="A20823" i="4"/>
  <c r="A20822" i="4"/>
  <c r="A20821" i="4"/>
  <c r="A23546" i="4"/>
  <c r="A20820" i="4"/>
  <c r="A23545" i="4"/>
  <c r="A23544" i="4"/>
  <c r="A23543" i="4"/>
  <c r="A14827" i="4"/>
  <c r="A2312" i="4"/>
  <c r="A2311" i="4"/>
  <c r="A14826" i="4"/>
  <c r="A23542" i="4"/>
  <c r="A23541" i="4"/>
  <c r="A12453" i="4"/>
  <c r="A12452" i="4"/>
  <c r="A23540" i="4"/>
  <c r="A23539" i="4"/>
  <c r="A23538" i="4"/>
  <c r="A14825" i="4"/>
  <c r="A23537" i="4"/>
  <c r="A7691" i="4"/>
  <c r="A5440" i="4"/>
  <c r="A5610" i="4"/>
  <c r="A5609" i="4"/>
  <c r="A5608" i="4"/>
  <c r="A5439" i="4"/>
  <c r="A23536" i="4"/>
  <c r="A323" i="4"/>
  <c r="A23535" i="4"/>
  <c r="A23534" i="4"/>
  <c r="A838" i="4"/>
  <c r="A20559" i="4"/>
  <c r="A23533" i="4"/>
  <c r="A20558" i="4"/>
  <c r="A23532" i="4"/>
  <c r="A17755" i="4"/>
  <c r="A3993" i="4"/>
  <c r="A837" i="4"/>
  <c r="A7690" i="4"/>
  <c r="A10215" i="4"/>
  <c r="A836" i="4"/>
  <c r="A23531" i="4"/>
  <c r="A23530" i="4"/>
  <c r="A23529" i="4"/>
  <c r="A14824" i="4"/>
  <c r="A23528" i="4"/>
  <c r="A3992" i="4"/>
  <c r="A8554" i="4"/>
  <c r="A8553" i="4"/>
  <c r="A12451" i="4"/>
  <c r="A12450" i="4"/>
  <c r="A3991" i="4"/>
  <c r="A835" i="4"/>
  <c r="A834" i="4"/>
  <c r="A13059" i="4"/>
  <c r="A13058" i="4"/>
  <c r="A5977" i="4"/>
  <c r="A5976" i="4"/>
  <c r="A5975" i="4"/>
  <c r="A2310" i="4"/>
  <c r="A2309" i="4"/>
  <c r="A10214" i="4"/>
  <c r="A1742" i="4"/>
  <c r="A23527" i="4"/>
  <c r="A23526" i="4"/>
  <c r="A9015" i="4"/>
  <c r="A9014" i="4"/>
  <c r="A23525" i="4"/>
  <c r="A9013" i="4"/>
  <c r="A23524" i="4"/>
  <c r="A11865" i="4"/>
  <c r="A8552" i="4"/>
  <c r="A833" i="4"/>
  <c r="A13269" i="4"/>
  <c r="A14823" i="4"/>
  <c r="A23523" i="4"/>
  <c r="A23522" i="4"/>
  <c r="A3990" i="4"/>
  <c r="A19248" i="4"/>
  <c r="A19247" i="4"/>
  <c r="A322" i="4"/>
  <c r="A832" i="4"/>
  <c r="A23521" i="4"/>
  <c r="A11864" i="4"/>
  <c r="A1741" i="4"/>
  <c r="A3989" i="4"/>
  <c r="A3988" i="4"/>
  <c r="A17907" i="4"/>
  <c r="A3987" i="4"/>
  <c r="A3986" i="4"/>
  <c r="A3985" i="4"/>
  <c r="A17906" i="4"/>
  <c r="A17905" i="4"/>
  <c r="A3984" i="4"/>
  <c r="A3983" i="4"/>
  <c r="A3982" i="4"/>
  <c r="A7689" i="4"/>
  <c r="A23520" i="4"/>
  <c r="A10213" i="4"/>
  <c r="A6546" i="4"/>
  <c r="A19246" i="4"/>
  <c r="A19245" i="4"/>
  <c r="A321" i="4"/>
  <c r="A15533" i="4"/>
  <c r="A15532" i="4"/>
  <c r="A5974" i="4"/>
  <c r="A5973" i="4"/>
  <c r="A9867" i="4"/>
  <c r="A126" i="4"/>
  <c r="A23519" i="4"/>
  <c r="A16234" i="4"/>
  <c r="A19244" i="4"/>
  <c r="A19243" i="4"/>
  <c r="A19242" i="4"/>
  <c r="A19241" i="4"/>
  <c r="A23518" i="4"/>
  <c r="A19240" i="4"/>
  <c r="A16233" i="4"/>
  <c r="A23517" i="4"/>
  <c r="A16232" i="4"/>
  <c r="A16231" i="4"/>
  <c r="A5972" i="4"/>
  <c r="A12449" i="4"/>
  <c r="A23516" i="4"/>
  <c r="A5707" i="4"/>
  <c r="A831" i="4"/>
  <c r="A830" i="4"/>
  <c r="A2492" i="4"/>
  <c r="A5971" i="4"/>
  <c r="A12261" i="4"/>
  <c r="A23515" i="4"/>
  <c r="A11863" i="4"/>
  <c r="A11862" i="4"/>
  <c r="A13451" i="4"/>
  <c r="A2308" i="4"/>
  <c r="A14822" i="4"/>
  <c r="A14821" i="4"/>
  <c r="A23514" i="4"/>
  <c r="A23513" i="4"/>
  <c r="A12448" i="4"/>
  <c r="A23512" i="4"/>
  <c r="A7688" i="4"/>
  <c r="A23511" i="4"/>
  <c r="A23510" i="4"/>
  <c r="A5438" i="4"/>
  <c r="A23509" i="4"/>
  <c r="A10212" i="4"/>
  <c r="A23508" i="4"/>
  <c r="A20557" i="4"/>
  <c r="A16230" i="4"/>
  <c r="A16229" i="4"/>
  <c r="A16228" i="4"/>
  <c r="A16227" i="4"/>
  <c r="A23507" i="4"/>
  <c r="A23506" i="4"/>
  <c r="A23505" i="4"/>
  <c r="A16226" i="4"/>
  <c r="A16225" i="4"/>
  <c r="A829" i="4"/>
  <c r="A828" i="4"/>
  <c r="A3981" i="4"/>
  <c r="A23504" i="4"/>
  <c r="A16224" i="4"/>
  <c r="A13057" i="4"/>
  <c r="A13056" i="4"/>
  <c r="A14820" i="4"/>
  <c r="A20556" i="4"/>
  <c r="A17754" i="4"/>
  <c r="A23503" i="4"/>
  <c r="A23502" i="4"/>
  <c r="A2307" i="4"/>
  <c r="A3980" i="4"/>
  <c r="A9012" i="4"/>
  <c r="A9011" i="4"/>
  <c r="A9010" i="4"/>
  <c r="A9009" i="4"/>
  <c r="A9008" i="4"/>
  <c r="A9007" i="4"/>
  <c r="A9006" i="4"/>
  <c r="A9005" i="4"/>
  <c r="A10211" i="4"/>
  <c r="A5314" i="4"/>
  <c r="A5313" i="4"/>
  <c r="A5312" i="4"/>
  <c r="A23501" i="4"/>
  <c r="A19239" i="4"/>
  <c r="A19238" i="4"/>
  <c r="A19237" i="4"/>
  <c r="A827" i="4"/>
  <c r="A14819" i="4"/>
  <c r="A14818" i="4"/>
  <c r="A2306" i="4"/>
  <c r="A10210" i="4"/>
  <c r="A13450" i="4"/>
  <c r="A2305" i="4"/>
  <c r="A2304" i="4"/>
  <c r="A23500" i="4"/>
  <c r="A826" i="4"/>
  <c r="A10209" i="4"/>
  <c r="A23499" i="4"/>
  <c r="A19236" i="4"/>
  <c r="A19235" i="4"/>
  <c r="A19234" i="4"/>
  <c r="A19233" i="4"/>
  <c r="A19232" i="4"/>
  <c r="A20555" i="4"/>
  <c r="A14817" i="4"/>
  <c r="A3979" i="4"/>
  <c r="A12447" i="4"/>
  <c r="A12446" i="4"/>
  <c r="A23498" i="4"/>
  <c r="A13449" i="4"/>
  <c r="A3978" i="4"/>
  <c r="A8551" i="4"/>
  <c r="A160" i="4"/>
  <c r="A5970" i="4"/>
  <c r="A23497" i="4"/>
  <c r="A23496" i="4"/>
  <c r="A825" i="4"/>
  <c r="A14816" i="4"/>
  <c r="A5969" i="4"/>
  <c r="A13448" i="4"/>
  <c r="A13447" i="4"/>
  <c r="A23495" i="4"/>
  <c r="A12445" i="4"/>
  <c r="A23494" i="4"/>
  <c r="A8550" i="4"/>
  <c r="A10208" i="4"/>
  <c r="A23493" i="4"/>
  <c r="A3977" i="4"/>
  <c r="A23492" i="4"/>
  <c r="A19231" i="4"/>
  <c r="A23491" i="4"/>
  <c r="A11861" i="4"/>
  <c r="A19230" i="4"/>
  <c r="A9866" i="4"/>
  <c r="A9865" i="4"/>
  <c r="A125" i="4"/>
  <c r="A2523" i="4"/>
  <c r="A2522" i="4"/>
  <c r="A23490" i="4"/>
  <c r="A1954" i="4"/>
  <c r="A7687" i="4"/>
  <c r="A5968" i="4"/>
  <c r="A7686" i="4"/>
  <c r="A17753" i="4"/>
  <c r="A17752" i="4"/>
  <c r="A17751" i="4"/>
  <c r="A23489" i="4"/>
  <c r="A2303" i="4"/>
  <c r="A5967" i="4"/>
  <c r="A10207" i="4"/>
  <c r="A23488" i="4"/>
  <c r="A8549" i="4"/>
  <c r="A20819" i="4"/>
  <c r="A20818" i="4"/>
  <c r="A23487" i="4"/>
  <c r="A824" i="4"/>
  <c r="A7685" i="4"/>
  <c r="A14815" i="4"/>
  <c r="A23486" i="4"/>
  <c r="A12444" i="4"/>
  <c r="A23485" i="4"/>
  <c r="A23484" i="4"/>
  <c r="A11860" i="4"/>
  <c r="A11859" i="4"/>
  <c r="A11858" i="4"/>
  <c r="A7684" i="4"/>
  <c r="A7683" i="4"/>
  <c r="A5437" i="4"/>
  <c r="A5436" i="4"/>
  <c r="A23483" i="4"/>
  <c r="A16223" i="4"/>
  <c r="A16222" i="4"/>
  <c r="A16221" i="4"/>
  <c r="A17597" i="4"/>
  <c r="A17596" i="4"/>
  <c r="A823" i="4"/>
  <c r="A822" i="4"/>
  <c r="A10206" i="4"/>
  <c r="A320" i="4"/>
  <c r="A319" i="4"/>
  <c r="A19229" i="4"/>
  <c r="A19228" i="4"/>
  <c r="A3976" i="4"/>
  <c r="A11857" i="4"/>
  <c r="A3975" i="4"/>
  <c r="A3974" i="4"/>
  <c r="A3973" i="4"/>
  <c r="A3972" i="4"/>
  <c r="A3971" i="4"/>
  <c r="A3970" i="4"/>
  <c r="A3969" i="4"/>
  <c r="A10205" i="4"/>
  <c r="A3968" i="4"/>
  <c r="A3967" i="4"/>
  <c r="A3966" i="4"/>
  <c r="A3965" i="4"/>
  <c r="A3964" i="4"/>
  <c r="A3963" i="4"/>
  <c r="A3962" i="4"/>
  <c r="A3961" i="4"/>
  <c r="A14814" i="4"/>
  <c r="A14813" i="4"/>
  <c r="A14812" i="4"/>
  <c r="A12443" i="4"/>
  <c r="A23482" i="4"/>
  <c r="A3960" i="4"/>
  <c r="A3959" i="4"/>
  <c r="A10204" i="4"/>
  <c r="A14811" i="4"/>
  <c r="A23481" i="4"/>
  <c r="A11856" i="4"/>
  <c r="A23480" i="4"/>
  <c r="A14810" i="4"/>
  <c r="A14809" i="4"/>
  <c r="A23479" i="4"/>
  <c r="A23478" i="4"/>
  <c r="A23477" i="4"/>
  <c r="A5435" i="4"/>
  <c r="A23476" i="4"/>
  <c r="A20694" i="4"/>
  <c r="A23475" i="4"/>
  <c r="A20693" i="4"/>
  <c r="A318" i="4"/>
  <c r="A11855" i="4"/>
  <c r="A17670" i="4"/>
  <c r="A17750" i="4"/>
  <c r="A3958" i="4"/>
  <c r="A3957" i="4"/>
  <c r="A15580" i="4"/>
  <c r="A10203" i="4"/>
  <c r="A7682" i="4"/>
  <c r="A2521" i="4"/>
  <c r="A124" i="4"/>
  <c r="A2302" i="4"/>
  <c r="A5966" i="4"/>
  <c r="A23474" i="4"/>
  <c r="A23473" i="4"/>
  <c r="A11854" i="4"/>
  <c r="A11853" i="4"/>
  <c r="A14808" i="4"/>
  <c r="A12442" i="4"/>
  <c r="A23472" i="4"/>
  <c r="A14807" i="4"/>
  <c r="A10202" i="4"/>
  <c r="A10201" i="4"/>
  <c r="A5220" i="4"/>
  <c r="A5219" i="4"/>
  <c r="A5218" i="4"/>
  <c r="A5217" i="4"/>
  <c r="A19227" i="4"/>
  <c r="A23471" i="4"/>
  <c r="A9864" i="4"/>
  <c r="A19226" i="4"/>
  <c r="A19225" i="4"/>
  <c r="A23470" i="4"/>
  <c r="A23469" i="4"/>
  <c r="A11852" i="4"/>
  <c r="A15531" i="4"/>
  <c r="A19224" i="4"/>
  <c r="A19223" i="4"/>
  <c r="A9863" i="4"/>
  <c r="A23468" i="4"/>
  <c r="A23467" i="4"/>
  <c r="A9862" i="4"/>
  <c r="A19222" i="4"/>
  <c r="A19221" i="4"/>
  <c r="A19220" i="4"/>
  <c r="A19219" i="4"/>
  <c r="A19218" i="4"/>
  <c r="A19217" i="4"/>
  <c r="A16220" i="4"/>
  <c r="A16219" i="4"/>
  <c r="A2301" i="4"/>
  <c r="A2300" i="4"/>
  <c r="A23466" i="4"/>
  <c r="A5965" i="4"/>
  <c r="A20554" i="4"/>
  <c r="A14806" i="4"/>
  <c r="A821" i="4"/>
  <c r="A820" i="4"/>
  <c r="A819" i="4"/>
  <c r="A818" i="4"/>
  <c r="A23465" i="4"/>
  <c r="A2299" i="4"/>
  <c r="A2298" i="4"/>
  <c r="A2297" i="4"/>
  <c r="A2296" i="4"/>
  <c r="A2295" i="4"/>
  <c r="A2294" i="4"/>
  <c r="A2293" i="4"/>
  <c r="A2292" i="4"/>
  <c r="A2291" i="4"/>
  <c r="A11851" i="4"/>
  <c r="A23464" i="4"/>
  <c r="A11850" i="4"/>
  <c r="A23463" i="4"/>
  <c r="A3956" i="4"/>
  <c r="A11849" i="4"/>
  <c r="A23462" i="4"/>
  <c r="A23461" i="4"/>
  <c r="A317" i="4"/>
  <c r="A316" i="4"/>
  <c r="A23460" i="4"/>
  <c r="A2520" i="4"/>
  <c r="A2290" i="4"/>
  <c r="A12441" i="4"/>
  <c r="A12440" i="4"/>
  <c r="A12439" i="4"/>
  <c r="A23459" i="4"/>
  <c r="A7681" i="4"/>
  <c r="A7680" i="4"/>
  <c r="A7679" i="4"/>
  <c r="A7678" i="4"/>
  <c r="A7677" i="4"/>
  <c r="A7676" i="4"/>
  <c r="A5434" i="4"/>
  <c r="A5433" i="4"/>
  <c r="A3955" i="4"/>
  <c r="A23458" i="4"/>
  <c r="A20553" i="4"/>
  <c r="A315" i="4"/>
  <c r="A23457" i="4"/>
  <c r="A16218" i="4"/>
  <c r="A16217" i="4"/>
  <c r="A16216" i="4"/>
  <c r="A13055" i="4"/>
  <c r="A10200" i="4"/>
  <c r="A6267" i="4"/>
  <c r="A3954" i="4"/>
  <c r="A10199" i="4"/>
  <c r="A10198" i="4"/>
  <c r="A7675" i="4"/>
  <c r="A7674" i="4"/>
  <c r="A23456" i="4"/>
  <c r="A3953" i="4"/>
  <c r="A3952" i="4"/>
  <c r="A817" i="4"/>
  <c r="A10197" i="4"/>
  <c r="A23455" i="4"/>
  <c r="A5432" i="4"/>
  <c r="A5431" i="4"/>
  <c r="A5311" i="4"/>
  <c r="A14805" i="4"/>
  <c r="A14804" i="4"/>
  <c r="A3951" i="4"/>
  <c r="A3950" i="4"/>
  <c r="A3949" i="4"/>
  <c r="A3948" i="4"/>
  <c r="A3947" i="4"/>
  <c r="A3946" i="4"/>
  <c r="A3945" i="4"/>
  <c r="A1740" i="4"/>
  <c r="A23454" i="4"/>
  <c r="A6266" i="4"/>
  <c r="A3944" i="4"/>
  <c r="A1739" i="4"/>
  <c r="A2289" i="4"/>
  <c r="A5216" i="4"/>
  <c r="A5964" i="4"/>
  <c r="A11848" i="4"/>
  <c r="A11847" i="4"/>
  <c r="A3943" i="4"/>
  <c r="A6265" i="4"/>
  <c r="A11846" i="4"/>
  <c r="A11845" i="4"/>
  <c r="A23453" i="4"/>
  <c r="A10196" i="4"/>
  <c r="A3942" i="4"/>
  <c r="A10195" i="4"/>
  <c r="A16215" i="4"/>
  <c r="A19216" i="4"/>
  <c r="A23452" i="4"/>
  <c r="A16214" i="4"/>
  <c r="A19215" i="4"/>
  <c r="A19214" i="4"/>
  <c r="A19213" i="4"/>
  <c r="A19212" i="4"/>
  <c r="A19211" i="4"/>
  <c r="A19210" i="4"/>
  <c r="A19209" i="4"/>
  <c r="A19208" i="4"/>
  <c r="A23451" i="4"/>
  <c r="A23450" i="4"/>
  <c r="A19207" i="4"/>
  <c r="A16213" i="4"/>
  <c r="A16212" i="4"/>
  <c r="A16211" i="4"/>
  <c r="A16210" i="4"/>
  <c r="A16209" i="4"/>
  <c r="A23449" i="4"/>
  <c r="A23448" i="4"/>
  <c r="A23447" i="4"/>
  <c r="A16208" i="4"/>
  <c r="A16207" i="4"/>
  <c r="A15530" i="4"/>
  <c r="A2288" i="4"/>
  <c r="A2287" i="4"/>
  <c r="A23446" i="4"/>
  <c r="A12438" i="4"/>
  <c r="A17904" i="4"/>
  <c r="A7673" i="4"/>
  <c r="A7672" i="4"/>
  <c r="A14803" i="4"/>
  <c r="A23445" i="4"/>
  <c r="A13268" i="4"/>
  <c r="A23444" i="4"/>
  <c r="A12437" i="4"/>
  <c r="A10194" i="4"/>
  <c r="A10856" i="4"/>
  <c r="A5430" i="4"/>
  <c r="A5429" i="4"/>
  <c r="A5428" i="4"/>
  <c r="A10193" i="4"/>
  <c r="A20552" i="4"/>
  <c r="A23443" i="4"/>
  <c r="A20692" i="4"/>
  <c r="A20691" i="4"/>
  <c r="A20690" i="4"/>
  <c r="A20689" i="4"/>
  <c r="A23442" i="4"/>
  <c r="A19206" i="4"/>
  <c r="A3941" i="4"/>
  <c r="A5963" i="4"/>
  <c r="A9861" i="4"/>
  <c r="A9860" i="4"/>
  <c r="A23441" i="4"/>
  <c r="A12436" i="4"/>
  <c r="A10192" i="4"/>
  <c r="A10191" i="4"/>
  <c r="A3940" i="4"/>
  <c r="A3939" i="4"/>
  <c r="A3938" i="4"/>
  <c r="A23440" i="4"/>
  <c r="A8548" i="4"/>
  <c r="A10190" i="4"/>
  <c r="A10189" i="4"/>
  <c r="A14802" i="4"/>
  <c r="A10188" i="4"/>
  <c r="A10187" i="4"/>
  <c r="A3937" i="4"/>
  <c r="A14801" i="4"/>
  <c r="A2286" i="4"/>
  <c r="A12435" i="4"/>
  <c r="A23439" i="4"/>
  <c r="A1682" i="4"/>
  <c r="A14800" i="4"/>
  <c r="A2285" i="4"/>
  <c r="A2284" i="4"/>
  <c r="A10186" i="4"/>
  <c r="A10185" i="4"/>
  <c r="A3936" i="4"/>
  <c r="A3935" i="4"/>
  <c r="A3934" i="4"/>
  <c r="A13446" i="4"/>
  <c r="A2283" i="4"/>
  <c r="A23438" i="4"/>
  <c r="A23437" i="4"/>
  <c r="A5753" i="4"/>
  <c r="A5752" i="4"/>
  <c r="A23436" i="4"/>
  <c r="A17297" i="4"/>
  <c r="A17296" i="4"/>
  <c r="A10184" i="4"/>
  <c r="A11844" i="4"/>
  <c r="A6264" i="4"/>
  <c r="A7671" i="4"/>
  <c r="A14799" i="4"/>
  <c r="A23435" i="4"/>
  <c r="A816" i="4"/>
  <c r="A815" i="4"/>
  <c r="A19205" i="4"/>
  <c r="A5215" i="4"/>
  <c r="A5214" i="4"/>
  <c r="A20551" i="4"/>
  <c r="A19204" i="4"/>
  <c r="A19203" i="4"/>
  <c r="A23434" i="4"/>
  <c r="A23433" i="4"/>
  <c r="A13167" i="4"/>
  <c r="A23432" i="4"/>
  <c r="A16206" i="4"/>
  <c r="A16205" i="4"/>
  <c r="A23431" i="4"/>
  <c r="A2519" i="4"/>
  <c r="A11843" i="4"/>
  <c r="A23430" i="4"/>
  <c r="A9859" i="4"/>
  <c r="A9858" i="4"/>
  <c r="A9857" i="4"/>
  <c r="A9856" i="4"/>
  <c r="A123" i="4"/>
  <c r="A9855" i="4"/>
  <c r="A9854" i="4"/>
  <c r="A19202" i="4"/>
  <c r="A23429" i="4"/>
  <c r="A16204" i="4"/>
  <c r="A23428" i="4"/>
  <c r="A16203" i="4"/>
  <c r="A16202" i="4"/>
  <c r="A23427" i="4"/>
  <c r="A16201" i="4"/>
  <c r="A8411" i="4"/>
  <c r="A8410" i="4"/>
  <c r="A12434" i="4"/>
  <c r="A814" i="4"/>
  <c r="A14798" i="4"/>
  <c r="A813" i="4"/>
  <c r="A7670" i="4"/>
  <c r="A14797" i="4"/>
  <c r="A23426" i="4"/>
  <c r="A23425" i="4"/>
  <c r="A11842" i="4"/>
  <c r="A8373" i="4"/>
  <c r="A2282" i="4"/>
  <c r="A3933" i="4"/>
  <c r="A23424" i="4"/>
  <c r="A5427" i="4"/>
  <c r="A3932" i="4"/>
  <c r="A3931" i="4"/>
  <c r="A3930" i="4"/>
  <c r="A12260" i="4"/>
  <c r="A12259" i="4"/>
  <c r="A3929" i="4"/>
  <c r="A3928" i="4"/>
  <c r="A23423" i="4"/>
  <c r="A5213" i="4"/>
  <c r="A3927" i="4"/>
  <c r="A3926" i="4"/>
  <c r="A3925" i="4"/>
  <c r="A3924" i="4"/>
  <c r="A3923" i="4"/>
  <c r="A3922" i="4"/>
  <c r="A3921" i="4"/>
  <c r="A3920" i="4"/>
  <c r="A3919" i="4"/>
  <c r="A3918" i="4"/>
  <c r="A3917" i="4"/>
  <c r="A23422" i="4"/>
  <c r="A1738" i="4"/>
  <c r="A13445" i="4"/>
  <c r="A6545" i="4"/>
  <c r="A17903" i="4"/>
  <c r="A3916" i="4"/>
  <c r="A23421" i="4"/>
  <c r="A23420" i="4"/>
  <c r="A9004" i="4"/>
  <c r="A9003" i="4"/>
  <c r="A9002" i="4"/>
  <c r="A9001" i="4"/>
  <c r="A9000" i="4"/>
  <c r="A3915" i="4"/>
  <c r="A3914" i="4"/>
  <c r="A23419" i="4"/>
  <c r="A23418" i="4"/>
  <c r="A11841" i="4"/>
  <c r="A3913" i="4"/>
  <c r="A3912" i="4"/>
  <c r="A3911" i="4"/>
  <c r="A23417" i="4"/>
  <c r="A5706" i="4"/>
  <c r="A14796" i="4"/>
  <c r="A14795" i="4"/>
  <c r="A14794" i="4"/>
  <c r="A23416" i="4"/>
  <c r="A14793" i="4"/>
  <c r="A23415" i="4"/>
  <c r="A12433" i="4"/>
  <c r="A14792" i="4"/>
  <c r="A23414" i="4"/>
  <c r="A14791" i="4"/>
  <c r="A23413" i="4"/>
  <c r="A23412" i="4"/>
  <c r="A23411" i="4"/>
  <c r="A11840" i="4"/>
  <c r="A23410" i="4"/>
  <c r="A23409" i="4"/>
  <c r="A5856" i="4"/>
  <c r="A10855" i="4"/>
  <c r="A23408" i="4"/>
  <c r="A23407" i="4"/>
  <c r="A23406" i="4"/>
  <c r="A7669" i="4"/>
  <c r="A23405" i="4"/>
  <c r="A7668" i="4"/>
  <c r="A7667" i="4"/>
  <c r="A7666" i="4"/>
  <c r="A7665" i="4"/>
  <c r="A7664" i="4"/>
  <c r="A23404" i="4"/>
  <c r="A23403" i="4"/>
  <c r="A23402" i="4"/>
  <c r="A18043" i="4"/>
  <c r="A3910" i="4"/>
  <c r="A23401" i="4"/>
  <c r="A23400" i="4"/>
  <c r="A23399" i="4"/>
  <c r="A23398" i="4"/>
  <c r="A812" i="4"/>
  <c r="A811" i="4"/>
  <c r="A810" i="4"/>
  <c r="A809" i="4"/>
  <c r="A808" i="4"/>
  <c r="A807" i="4"/>
  <c r="A806" i="4"/>
  <c r="A23397" i="4"/>
  <c r="A3909" i="4"/>
  <c r="A3908" i="4"/>
  <c r="A3907" i="4"/>
  <c r="A3906" i="4"/>
  <c r="A13054" i="4"/>
  <c r="A13053" i="4"/>
  <c r="A13052" i="4"/>
  <c r="A16200" i="4"/>
  <c r="A16199" i="4"/>
  <c r="A23396" i="4"/>
  <c r="A16198" i="4"/>
  <c r="A16197" i="4"/>
  <c r="A19201" i="4"/>
  <c r="A5705" i="4"/>
  <c r="A7663" i="4"/>
  <c r="A8372" i="4"/>
  <c r="A7662" i="4"/>
  <c r="A7661" i="4"/>
  <c r="A5310" i="4"/>
  <c r="A6263" i="4"/>
  <c r="A17202" i="4"/>
  <c r="A17201" i="4"/>
  <c r="A3905" i="4"/>
  <c r="A14790" i="4"/>
  <c r="A23395" i="4"/>
  <c r="A23394" i="4"/>
  <c r="A23393" i="4"/>
  <c r="A16196" i="4"/>
  <c r="A16195" i="4"/>
  <c r="A314" i="4"/>
  <c r="A23392" i="4"/>
  <c r="A11839" i="4"/>
  <c r="A23391" i="4"/>
  <c r="A10183" i="4"/>
  <c r="A5309" i="4"/>
  <c r="A23390" i="4"/>
  <c r="A14789" i="4"/>
  <c r="A2281" i="4"/>
  <c r="A2280" i="4"/>
  <c r="A2279" i="4"/>
  <c r="A2278" i="4"/>
  <c r="A2277" i="4"/>
  <c r="A10182" i="4"/>
  <c r="A10181" i="4"/>
  <c r="A10180" i="4"/>
  <c r="A3904" i="4"/>
  <c r="A3903" i="4"/>
  <c r="A23389" i="4"/>
  <c r="A23388" i="4"/>
  <c r="A10179" i="4"/>
  <c r="A805" i="4"/>
  <c r="A10178" i="4"/>
  <c r="A10177" i="4"/>
  <c r="A19200" i="4"/>
  <c r="A313" i="4"/>
  <c r="A5962" i="4"/>
  <c r="A17902" i="4"/>
  <c r="A11838" i="4"/>
  <c r="A23387" i="4"/>
  <c r="A10176" i="4"/>
  <c r="A16194" i="4"/>
  <c r="A5212" i="4"/>
  <c r="A5211" i="4"/>
  <c r="A5210" i="4"/>
  <c r="A5209" i="4"/>
  <c r="A23386" i="4"/>
  <c r="A23385" i="4"/>
  <c r="A23384" i="4"/>
  <c r="A19199" i="4"/>
  <c r="A19198" i="4"/>
  <c r="A20550" i="4"/>
  <c r="A20549" i="4"/>
  <c r="A16193" i="4"/>
  <c r="A13166" i="4"/>
  <c r="A19197" i="4"/>
  <c r="A2518" i="4"/>
  <c r="A2517" i="4"/>
  <c r="A2516" i="4"/>
  <c r="A122" i="4"/>
  <c r="A16192" i="4"/>
  <c r="A23383" i="4"/>
  <c r="A16191" i="4"/>
  <c r="A16190" i="4"/>
  <c r="A23382" i="4"/>
  <c r="A16189" i="4"/>
  <c r="A16188" i="4"/>
  <c r="A16187" i="4"/>
  <c r="A19196" i="4"/>
  <c r="A16186" i="4"/>
  <c r="A16185" i="4"/>
  <c r="A16184" i="4"/>
  <c r="A5961" i="4"/>
  <c r="A23381" i="4"/>
  <c r="A2276" i="4"/>
  <c r="A804" i="4"/>
  <c r="A803" i="4"/>
  <c r="A7660" i="4"/>
  <c r="A17749" i="4"/>
  <c r="A2275" i="4"/>
  <c r="A2274" i="4"/>
  <c r="A18042" i="4"/>
  <c r="A8547" i="4"/>
  <c r="A20817" i="4"/>
  <c r="A20816" i="4"/>
  <c r="A20815" i="4"/>
  <c r="A20814" i="4"/>
  <c r="A23380" i="4"/>
  <c r="A20813" i="4"/>
  <c r="A20812" i="4"/>
  <c r="A20811" i="4"/>
  <c r="A20810" i="4"/>
  <c r="A23379" i="4"/>
  <c r="A802" i="4"/>
  <c r="A2273" i="4"/>
  <c r="A14788" i="4"/>
  <c r="A14787" i="4"/>
  <c r="A14786" i="4"/>
  <c r="A14785" i="4"/>
  <c r="A14784" i="4"/>
  <c r="A14783" i="4"/>
  <c r="A14782" i="4"/>
  <c r="A12432" i="4"/>
  <c r="A23378" i="4"/>
  <c r="A7659" i="4"/>
  <c r="A7658" i="4"/>
  <c r="A23377" i="4"/>
  <c r="A20548" i="4"/>
  <c r="A312" i="4"/>
  <c r="A16183" i="4"/>
  <c r="A801" i="4"/>
  <c r="A800" i="4"/>
  <c r="A23376" i="4"/>
  <c r="A799" i="4"/>
  <c r="A798" i="4"/>
  <c r="A797" i="4"/>
  <c r="A796" i="4"/>
  <c r="A5208" i="4"/>
  <c r="A16182" i="4"/>
  <c r="A16181" i="4"/>
  <c r="A16180" i="4"/>
  <c r="A16179" i="4"/>
  <c r="A13051" i="4"/>
  <c r="A23375" i="4"/>
  <c r="A16178" i="4"/>
  <c r="A19195" i="4"/>
  <c r="A23374" i="4"/>
  <c r="A23373" i="4"/>
  <c r="A5704" i="4"/>
  <c r="A5703" i="4"/>
  <c r="A17748" i="4"/>
  <c r="A17747" i="4"/>
  <c r="A17746" i="4"/>
  <c r="A17745" i="4"/>
  <c r="A2272" i="4"/>
  <c r="A11837" i="4"/>
  <c r="A23372" i="4"/>
  <c r="A11836" i="4"/>
  <c r="A12431" i="4"/>
  <c r="A12430" i="4"/>
  <c r="A5426" i="4"/>
  <c r="A23371" i="4"/>
  <c r="A23370" i="4"/>
  <c r="A16177" i="4"/>
  <c r="A16176" i="4"/>
  <c r="A16175" i="4"/>
  <c r="A795" i="4"/>
  <c r="A23369" i="4"/>
  <c r="A14781" i="4"/>
  <c r="A14780" i="4"/>
  <c r="A2271" i="4"/>
  <c r="A5960" i="4"/>
  <c r="A11835" i="4"/>
  <c r="A11834" i="4"/>
  <c r="A11833" i="4"/>
  <c r="A23368" i="4"/>
  <c r="A11832" i="4"/>
  <c r="A3902" i="4"/>
  <c r="A1737" i="4"/>
  <c r="A6544" i="4"/>
  <c r="A10175" i="4"/>
  <c r="A3901" i="4"/>
  <c r="A23367" i="4"/>
  <c r="A3900" i="4"/>
  <c r="A3899" i="4"/>
  <c r="A3898" i="4"/>
  <c r="A3897" i="4"/>
  <c r="A17901" i="4"/>
  <c r="A23366" i="4"/>
  <c r="A23365" i="4"/>
  <c r="A13444" i="4"/>
  <c r="A23364" i="4"/>
  <c r="A19194" i="4"/>
  <c r="A19193" i="4"/>
  <c r="A19192" i="4"/>
  <c r="A19191" i="4"/>
  <c r="A19190" i="4"/>
  <c r="A7657" i="4"/>
  <c r="A23363" i="4"/>
  <c r="A19189" i="4"/>
  <c r="A3896" i="4"/>
  <c r="A23362" i="4"/>
  <c r="A3895" i="4"/>
  <c r="A3894" i="4"/>
  <c r="A3893" i="4"/>
  <c r="A3892" i="4"/>
  <c r="A3891" i="4"/>
  <c r="A23361" i="4"/>
  <c r="A19188" i="4"/>
  <c r="A11" i="4"/>
  <c r="A23360" i="4"/>
  <c r="A9373" i="4"/>
  <c r="A9372" i="4"/>
  <c r="A23359" i="4"/>
  <c r="A23358" i="4"/>
  <c r="A19187" i="4"/>
  <c r="A23357" i="4"/>
  <c r="A23356" i="4"/>
  <c r="A23355" i="4"/>
  <c r="A23354" i="4"/>
  <c r="A9853" i="4"/>
  <c r="A9852" i="4"/>
  <c r="A9851" i="4"/>
  <c r="A9850" i="4"/>
  <c r="A9849" i="4"/>
  <c r="A9848" i="4"/>
  <c r="A9847" i="4"/>
  <c r="A23353" i="4"/>
  <c r="A121" i="4"/>
  <c r="A19186" i="4"/>
  <c r="A19185" i="4"/>
  <c r="A19184" i="4"/>
  <c r="A16174" i="4"/>
  <c r="A23352" i="4"/>
  <c r="A16173" i="4"/>
  <c r="A5959" i="4"/>
  <c r="A5958" i="4"/>
  <c r="A5957" i="4"/>
  <c r="A2270" i="4"/>
  <c r="A23351" i="4"/>
  <c r="A23350" i="4"/>
  <c r="A794" i="4"/>
  <c r="A793" i="4"/>
  <c r="A5702" i="4"/>
  <c r="A23349" i="4"/>
  <c r="A23348" i="4"/>
  <c r="A23347" i="4"/>
  <c r="A14779" i="4"/>
  <c r="A792" i="4"/>
  <c r="A17744" i="4"/>
  <c r="A17743" i="4"/>
  <c r="A2269" i="4"/>
  <c r="A2268" i="4"/>
  <c r="A23346" i="4"/>
  <c r="A2267" i="4"/>
  <c r="A11831" i="4"/>
  <c r="A11830" i="4"/>
  <c r="A11829" i="4"/>
  <c r="A13443" i="4"/>
  <c r="A9846" i="4"/>
  <c r="A9845" i="4"/>
  <c r="A9844" i="4"/>
  <c r="A23345" i="4"/>
  <c r="A23344" i="4"/>
  <c r="A23343" i="4"/>
  <c r="A7656" i="4"/>
  <c r="A14778" i="4"/>
  <c r="A23342" i="4"/>
  <c r="A14777" i="4"/>
  <c r="A14776" i="4"/>
  <c r="A14775" i="4"/>
  <c r="A14774" i="4"/>
  <c r="A14773" i="4"/>
  <c r="A14772" i="4"/>
  <c r="A14771" i="4"/>
  <c r="A20547" i="4"/>
  <c r="A23341" i="4"/>
  <c r="A14770" i="4"/>
  <c r="A12429" i="4"/>
  <c r="A10854" i="4"/>
  <c r="A5956" i="4"/>
  <c r="A23340" i="4"/>
  <c r="A23339" i="4"/>
  <c r="A23338" i="4"/>
  <c r="A5425" i="4"/>
  <c r="A20546" i="4"/>
  <c r="A23337" i="4"/>
  <c r="A23336" i="4"/>
  <c r="A16172" i="4"/>
  <c r="A23335" i="4"/>
  <c r="A16171" i="4"/>
  <c r="A19183" i="4"/>
  <c r="A23334" i="4"/>
  <c r="A23333" i="4"/>
  <c r="A16170" i="4"/>
  <c r="A23332" i="4"/>
  <c r="A791" i="4"/>
  <c r="A790" i="4"/>
  <c r="A789" i="4"/>
  <c r="A788" i="4"/>
  <c r="A13165" i="4"/>
  <c r="A23331" i="4"/>
  <c r="A5207" i="4"/>
  <c r="A23330" i="4"/>
  <c r="A5955" i="4"/>
  <c r="A5954" i="4"/>
  <c r="A4" i="4"/>
  <c r="A23329" i="4"/>
  <c r="A14769" i="4"/>
  <c r="A23328" i="4"/>
  <c r="A14768" i="4"/>
  <c r="A10174" i="4"/>
  <c r="A6262" i="4"/>
  <c r="A11828" i="4"/>
  <c r="A23327" i="4"/>
  <c r="A23326" i="4"/>
  <c r="A23325" i="4"/>
  <c r="A12428" i="4"/>
  <c r="A19182" i="4"/>
  <c r="A3890" i="4"/>
  <c r="A3889" i="4"/>
  <c r="A3888" i="4"/>
  <c r="A3887" i="4"/>
  <c r="A3886" i="4"/>
  <c r="A3885" i="4"/>
  <c r="A5308" i="4"/>
  <c r="A3884" i="4"/>
  <c r="A3883" i="4"/>
  <c r="A3882" i="4"/>
  <c r="A3881" i="4"/>
  <c r="A10173" i="4"/>
  <c r="A16169" i="4"/>
  <c r="A16168" i="4"/>
  <c r="A16167" i="4"/>
  <c r="A5206" i="4"/>
  <c r="A13050" i="4"/>
  <c r="A19181" i="4"/>
  <c r="A19180" i="4"/>
  <c r="A19179" i="4"/>
  <c r="A19178" i="4"/>
  <c r="A19177" i="4"/>
  <c r="A19176" i="4"/>
  <c r="A19175" i="4"/>
  <c r="A19174" i="4"/>
  <c r="A19173" i="4"/>
  <c r="A2266" i="4"/>
  <c r="A2265" i="4"/>
  <c r="A2264" i="4"/>
  <c r="A2263" i="4"/>
  <c r="A2262" i="4"/>
  <c r="A23324" i="4"/>
  <c r="A9843" i="4"/>
  <c r="A9842" i="4"/>
  <c r="A9841" i="4"/>
  <c r="A5607" i="4"/>
  <c r="A23323" i="4"/>
  <c r="A23322" i="4"/>
  <c r="A23321" i="4"/>
  <c r="A10853" i="4"/>
  <c r="A5307" i="4"/>
  <c r="A5306" i="4"/>
  <c r="A23320" i="4"/>
  <c r="A23319" i="4"/>
  <c r="A16166" i="4"/>
  <c r="A311" i="4"/>
  <c r="A19172" i="4"/>
  <c r="A23318" i="4"/>
  <c r="A19171" i="4"/>
  <c r="A19170" i="4"/>
  <c r="A19169" i="4"/>
  <c r="A19168" i="4"/>
  <c r="A19167" i="4"/>
  <c r="A19166" i="4"/>
  <c r="A19165" i="4"/>
  <c r="A19164" i="4"/>
  <c r="A310" i="4"/>
  <c r="A19163" i="4"/>
  <c r="A19162" i="4"/>
  <c r="A19161" i="4"/>
  <c r="A19160" i="4"/>
  <c r="A19159" i="4"/>
  <c r="A19158" i="4"/>
  <c r="A16165" i="4"/>
  <c r="A2261" i="4"/>
  <c r="A2260" i="4"/>
  <c r="A2259" i="4"/>
  <c r="A3880" i="4"/>
  <c r="A20809" i="4"/>
  <c r="A23317" i="4"/>
  <c r="A6543" i="4"/>
  <c r="A13164" i="4"/>
  <c r="A12881" i="4"/>
  <c r="A12880" i="4"/>
  <c r="A787" i="4"/>
  <c r="A786" i="4"/>
  <c r="A12879" i="4"/>
  <c r="A14767" i="4"/>
  <c r="A23316" i="4"/>
  <c r="A3879" i="4"/>
  <c r="A3878" i="4"/>
  <c r="A8546" i="4"/>
  <c r="A3877" i="4"/>
  <c r="A13442" i="4"/>
  <c r="A13441" i="4"/>
  <c r="A3876" i="4"/>
  <c r="A3875" i="4"/>
  <c r="A3874" i="4"/>
  <c r="A3873" i="4"/>
  <c r="A17200" i="4"/>
  <c r="A3872" i="4"/>
  <c r="A1736" i="4"/>
  <c r="A8545" i="4"/>
  <c r="A23315" i="4"/>
  <c r="A14766" i="4"/>
  <c r="A14765" i="4"/>
  <c r="A10852" i="4"/>
  <c r="A7655" i="4"/>
  <c r="A3871" i="4"/>
  <c r="A11000" i="4"/>
  <c r="A23314" i="4"/>
  <c r="A23313" i="4"/>
  <c r="A19157" i="4"/>
  <c r="A19156" i="4"/>
  <c r="A19155" i="4"/>
  <c r="A19154" i="4"/>
  <c r="A19153" i="4"/>
  <c r="A19152" i="4"/>
  <c r="A5205" i="4"/>
  <c r="A16164" i="4"/>
  <c r="A16163" i="4"/>
  <c r="A19151" i="4"/>
  <c r="A5305" i="4"/>
  <c r="A9840" i="4"/>
  <c r="A9839" i="4"/>
  <c r="A9838" i="4"/>
  <c r="A9837" i="4"/>
  <c r="A120" i="4"/>
  <c r="A9836" i="4"/>
  <c r="A9835" i="4"/>
  <c r="A9834" i="4"/>
  <c r="A9833" i="4"/>
  <c r="A119" i="4"/>
  <c r="A16162" i="4"/>
  <c r="A2258" i="4"/>
  <c r="A23312" i="4"/>
  <c r="A7654" i="4"/>
  <c r="A5701" i="4"/>
  <c r="A5700" i="4"/>
  <c r="A5699" i="4"/>
  <c r="A23311" i="4"/>
  <c r="A785" i="4"/>
  <c r="A23310" i="4"/>
  <c r="A14764" i="4"/>
  <c r="A23309" i="4"/>
  <c r="A14763" i="4"/>
  <c r="A14762" i="4"/>
  <c r="A14761" i="4"/>
  <c r="A14760" i="4"/>
  <c r="A23308" i="4"/>
  <c r="A17742" i="4"/>
  <c r="A19150" i="4"/>
  <c r="A11827" i="4"/>
  <c r="A23307" i="4"/>
  <c r="A1735" i="4"/>
  <c r="A11826" i="4"/>
  <c r="A11825" i="4"/>
  <c r="A23306" i="4"/>
  <c r="A23305" i="4"/>
  <c r="A11824" i="4"/>
  <c r="A3870" i="4"/>
  <c r="A10172" i="4"/>
  <c r="A10171" i="4"/>
  <c r="A23304" i="4"/>
  <c r="A7653" i="4"/>
  <c r="A14759" i="4"/>
  <c r="A14758" i="4"/>
  <c r="A23303" i="4"/>
  <c r="A14757" i="4"/>
  <c r="A23302" i="4"/>
  <c r="A12427" i="4"/>
  <c r="A23301" i="4"/>
  <c r="A5606" i="4"/>
  <c r="A23300" i="4"/>
  <c r="A784" i="4"/>
  <c r="A783" i="4"/>
  <c r="A782" i="4"/>
  <c r="A781" i="4"/>
  <c r="A780" i="4"/>
  <c r="A23299" i="4"/>
  <c r="A13440" i="4"/>
  <c r="A2257" i="4"/>
  <c r="A2256" i="4"/>
  <c r="A5698" i="4"/>
  <c r="A5953" i="4"/>
  <c r="A779" i="4"/>
  <c r="A778" i="4"/>
  <c r="A11823" i="4"/>
  <c r="A10170" i="4"/>
  <c r="A10169" i="4"/>
  <c r="A11822" i="4"/>
  <c r="A11821" i="4"/>
  <c r="A23298" i="4"/>
  <c r="A14756" i="4"/>
  <c r="A7652" i="4"/>
  <c r="A17900" i="4"/>
  <c r="A23297" i="4"/>
  <c r="A9832" i="4"/>
  <c r="A9831" i="4"/>
  <c r="A9830" i="4"/>
  <c r="A1953" i="4"/>
  <c r="A3869" i="4"/>
  <c r="A3868" i="4"/>
  <c r="A23296" i="4"/>
  <c r="A3867" i="4"/>
  <c r="A2491" i="4"/>
  <c r="A3866" i="4"/>
  <c r="A23295" i="4"/>
  <c r="A23294" i="4"/>
  <c r="A14755" i="4"/>
  <c r="A14754" i="4"/>
  <c r="A14753" i="4"/>
  <c r="A17741" i="4"/>
  <c r="A23293" i="4"/>
  <c r="A13439" i="4"/>
  <c r="A13438" i="4"/>
  <c r="A23292" i="4"/>
  <c r="A13437" i="4"/>
  <c r="A13436" i="4"/>
  <c r="A23291" i="4"/>
  <c r="A10168" i="4"/>
  <c r="A10167" i="4"/>
  <c r="A13435" i="4"/>
  <c r="A23290" i="4"/>
  <c r="A10851" i="4"/>
  <c r="A6542" i="4"/>
  <c r="A5204" i="4"/>
  <c r="A7651" i="4"/>
  <c r="A7650" i="4"/>
  <c r="A23289" i="4"/>
  <c r="A2255" i="4"/>
  <c r="A11820" i="4"/>
  <c r="A11819" i="4"/>
  <c r="A11818" i="4"/>
  <c r="A14752" i="4"/>
  <c r="A3865" i="4"/>
  <c r="A3864" i="4"/>
  <c r="A3863" i="4"/>
  <c r="A3862" i="4"/>
  <c r="A3861" i="4"/>
  <c r="A3860" i="4"/>
  <c r="A3859" i="4"/>
  <c r="A3858" i="4"/>
  <c r="A3857" i="4"/>
  <c r="A16161" i="4"/>
  <c r="A16160" i="4"/>
  <c r="A16159" i="4"/>
  <c r="A16158" i="4"/>
  <c r="A5203" i="4"/>
  <c r="A5202" i="4"/>
  <c r="A2474" i="4"/>
  <c r="A19149" i="4"/>
  <c r="A19148" i="4"/>
  <c r="A2515" i="4"/>
  <c r="A2514" i="4"/>
  <c r="A5952" i="4"/>
  <c r="A9423" i="4"/>
  <c r="A9422" i="4"/>
  <c r="A9421" i="4"/>
  <c r="A9420" i="4"/>
  <c r="A23288" i="4"/>
  <c r="A23287" i="4"/>
  <c r="A9419" i="4"/>
  <c r="A23286" i="4"/>
  <c r="A9418" i="4"/>
  <c r="A9417" i="4"/>
  <c r="A18" i="4"/>
  <c r="A19147" i="4"/>
  <c r="A19146" i="4"/>
  <c r="A19145" i="4"/>
  <c r="A23285" i="4"/>
  <c r="A23284" i="4"/>
  <c r="A23283" i="4"/>
  <c r="A8462" i="4"/>
  <c r="A8461" i="4"/>
  <c r="A2254" i="4"/>
  <c r="A2253" i="4"/>
  <c r="A23282" i="4"/>
  <c r="A5697" i="4"/>
  <c r="A777" i="4"/>
  <c r="A23281" i="4"/>
  <c r="A776" i="4"/>
  <c r="A23280" i="4"/>
  <c r="A775" i="4"/>
  <c r="A14751" i="4"/>
  <c r="A11817" i="4"/>
  <c r="A11816" i="4"/>
  <c r="A11815" i="4"/>
  <c r="A2252" i="4"/>
  <c r="A14750" i="4"/>
  <c r="A11814" i="4"/>
  <c r="A13267" i="4"/>
  <c r="A11813" i="4"/>
  <c r="A6541" i="4"/>
  <c r="A10166" i="4"/>
  <c r="A118" i="4"/>
  <c r="A9829" i="4"/>
  <c r="A9828" i="4"/>
  <c r="A9827" i="4"/>
  <c r="A9826" i="4"/>
  <c r="A23279" i="4"/>
  <c r="A7649" i="4"/>
  <c r="A14749" i="4"/>
  <c r="A23278" i="4"/>
  <c r="A12426" i="4"/>
  <c r="A13266" i="4"/>
  <c r="A12425" i="4"/>
  <c r="A12424" i="4"/>
  <c r="A23277" i="4"/>
  <c r="A23276" i="4"/>
  <c r="A5424" i="4"/>
  <c r="A23275" i="4"/>
  <c r="A774" i="4"/>
  <c r="A773" i="4"/>
  <c r="A23274" i="4"/>
  <c r="A11812" i="4"/>
  <c r="A3856" i="4"/>
  <c r="A3855" i="4"/>
  <c r="A3854" i="4"/>
  <c r="A3853" i="4"/>
  <c r="A3852" i="4"/>
  <c r="A3851" i="4"/>
  <c r="A3850" i="4"/>
  <c r="A3849" i="4"/>
  <c r="A3848" i="4"/>
  <c r="A6261" i="4"/>
  <c r="A3847" i="4"/>
  <c r="A3846" i="4"/>
  <c r="A3845" i="4"/>
  <c r="A3844" i="4"/>
  <c r="A23273" i="4"/>
  <c r="A3843" i="4"/>
  <c r="A5304" i="4"/>
  <c r="A23272" i="4"/>
  <c r="A16157" i="4"/>
  <c r="A16156" i="4"/>
  <c r="A16155" i="4"/>
  <c r="A16154" i="4"/>
  <c r="A117" i="4"/>
  <c r="A9825" i="4"/>
  <c r="A9824" i="4"/>
  <c r="A116" i="4"/>
  <c r="A9823" i="4"/>
  <c r="A9822" i="4"/>
  <c r="A115" i="4"/>
  <c r="A9821" i="4"/>
  <c r="A114" i="4"/>
  <c r="A9820" i="4"/>
  <c r="A9819" i="4"/>
  <c r="A23271" i="4"/>
  <c r="A9818" i="4"/>
  <c r="A9817" i="4"/>
  <c r="A23270" i="4"/>
  <c r="A9816" i="4"/>
  <c r="A9815" i="4"/>
  <c r="A9814" i="4"/>
  <c r="A23269" i="4"/>
  <c r="A23268" i="4"/>
  <c r="A9813" i="4"/>
  <c r="A9812" i="4"/>
  <c r="A9811" i="4"/>
  <c r="A113" i="4"/>
  <c r="A9810" i="4"/>
  <c r="A9809" i="4"/>
  <c r="A19144" i="4"/>
  <c r="A1952" i="4"/>
  <c r="A1951" i="4"/>
  <c r="A14748" i="4"/>
  <c r="A14747" i="4"/>
  <c r="A14746" i="4"/>
  <c r="A2251" i="4"/>
  <c r="A2250" i="4"/>
  <c r="A14745" i="4"/>
  <c r="A13434" i="4"/>
  <c r="A3842" i="4"/>
  <c r="A23267" i="4"/>
  <c r="A112" i="4"/>
  <c r="A9808" i="4"/>
  <c r="A9807" i="4"/>
  <c r="A9806" i="4"/>
  <c r="A9805" i="4"/>
  <c r="A23266" i="4"/>
  <c r="A3841" i="4"/>
  <c r="A16153" i="4"/>
  <c r="A7648" i="4"/>
  <c r="A7647" i="4"/>
  <c r="A7646" i="4"/>
  <c r="A14744" i="4"/>
  <c r="A14743" i="4"/>
  <c r="A2249" i="4"/>
  <c r="A2248" i="4"/>
  <c r="A23265" i="4"/>
  <c r="A6540" i="4"/>
  <c r="A10165" i="4"/>
  <c r="A12423" i="4"/>
  <c r="A23264" i="4"/>
  <c r="A12422" i="4"/>
  <c r="A19143" i="4"/>
  <c r="A19142" i="4"/>
  <c r="A19141" i="4"/>
  <c r="A19140" i="4"/>
  <c r="A14742" i="4"/>
  <c r="A7645" i="4"/>
  <c r="A14741" i="4"/>
  <c r="A12421" i="4"/>
  <c r="A23263" i="4"/>
  <c r="A5605" i="4"/>
  <c r="A23262" i="4"/>
  <c r="A23261" i="4"/>
  <c r="A2513" i="4"/>
  <c r="A2512" i="4"/>
  <c r="A11811" i="4"/>
  <c r="A23260" i="4"/>
  <c r="A23259" i="4"/>
  <c r="A309" i="4"/>
  <c r="A16152" i="4"/>
  <c r="A16151" i="4"/>
  <c r="A16150" i="4"/>
  <c r="A16149" i="4"/>
  <c r="A16148" i="4"/>
  <c r="A23258" i="4"/>
  <c r="A16147" i="4"/>
  <c r="A16146" i="4"/>
  <c r="A23257" i="4"/>
  <c r="A23256" i="4"/>
  <c r="A23255" i="4"/>
  <c r="A23254" i="4"/>
  <c r="A23253" i="4"/>
  <c r="A15529" i="4"/>
  <c r="A16145" i="4"/>
  <c r="A15528" i="4"/>
  <c r="A12420" i="4"/>
  <c r="A23252" i="4"/>
  <c r="A14740" i="4"/>
  <c r="A23251" i="4"/>
  <c r="A14739" i="4"/>
  <c r="A14738" i="4"/>
  <c r="A11810" i="4"/>
  <c r="A14737" i="4"/>
  <c r="A14736" i="4"/>
  <c r="A14735" i="4"/>
  <c r="A14734" i="4"/>
  <c r="A14733" i="4"/>
  <c r="A14732" i="4"/>
  <c r="A23250" i="4"/>
  <c r="A11809" i="4"/>
  <c r="A23249" i="4"/>
  <c r="A8544" i="4"/>
  <c r="A11808" i="4"/>
  <c r="A11807" i="4"/>
  <c r="A23248" i="4"/>
  <c r="A23247" i="4"/>
  <c r="A12878" i="4"/>
  <c r="A14731" i="4"/>
  <c r="A2247" i="4"/>
  <c r="A23246" i="4"/>
  <c r="A12419" i="4"/>
  <c r="A12418" i="4"/>
  <c r="A12417" i="4"/>
  <c r="A12416" i="4"/>
  <c r="A23245" i="4"/>
  <c r="A12415" i="4"/>
  <c r="A12414" i="4"/>
  <c r="A23244" i="4"/>
  <c r="A23243" i="4"/>
  <c r="A23242" i="4"/>
  <c r="A11806" i="4"/>
  <c r="A7644" i="4"/>
  <c r="A5423" i="4"/>
  <c r="A5422" i="4"/>
  <c r="A5421" i="4"/>
  <c r="A5604" i="4"/>
  <c r="A5303" i="4"/>
  <c r="A5302" i="4"/>
  <c r="A16144" i="4"/>
  <c r="A16143" i="4"/>
  <c r="A23241" i="4"/>
  <c r="A16142" i="4"/>
  <c r="A16141" i="4"/>
  <c r="A19139" i="4"/>
  <c r="A19138" i="4"/>
  <c r="A19137" i="4"/>
  <c r="A19136" i="4"/>
  <c r="A19135" i="4"/>
  <c r="A19134" i="4"/>
  <c r="A772" i="4"/>
  <c r="A771" i="4"/>
  <c r="A23240" i="4"/>
  <c r="A23239" i="4"/>
  <c r="A770" i="4"/>
  <c r="A23238" i="4"/>
  <c r="A15527" i="4"/>
  <c r="A15603" i="4"/>
  <c r="A14730" i="4"/>
  <c r="A14729" i="4"/>
  <c r="A17899" i="4"/>
  <c r="A9804" i="4"/>
  <c r="A14728" i="4"/>
  <c r="A14727" i="4"/>
  <c r="A14726" i="4"/>
  <c r="A14725" i="4"/>
  <c r="A12413" i="4"/>
  <c r="A12412" i="4"/>
  <c r="A3840" i="4"/>
  <c r="A1950" i="4"/>
  <c r="A23237" i="4"/>
  <c r="A23236" i="4"/>
  <c r="A14724" i="4"/>
  <c r="A3839" i="4"/>
  <c r="A3838" i="4"/>
  <c r="A6539" i="4"/>
  <c r="A10164" i="4"/>
  <c r="A5420" i="4"/>
  <c r="A5419" i="4"/>
  <c r="A23235" i="4"/>
  <c r="A23234" i="4"/>
  <c r="A1949" i="4"/>
  <c r="A17595" i="4"/>
  <c r="A10163" i="4"/>
  <c r="A14723" i="4"/>
  <c r="A14722" i="4"/>
  <c r="A14721" i="4"/>
  <c r="A14720" i="4"/>
  <c r="A11805" i="4"/>
  <c r="A11804" i="4"/>
  <c r="A3837" i="4"/>
  <c r="A3836" i="4"/>
  <c r="A3835" i="4"/>
  <c r="A3834" i="4"/>
  <c r="A3833" i="4"/>
  <c r="A3832" i="4"/>
  <c r="A3831" i="4"/>
  <c r="A17898" i="4"/>
  <c r="A13433" i="4"/>
  <c r="A3830" i="4"/>
  <c r="A3829" i="4"/>
  <c r="A17897" i="4"/>
  <c r="A17896" i="4"/>
  <c r="A3828" i="4"/>
  <c r="A3827" i="4"/>
  <c r="A3826" i="4"/>
  <c r="A3825" i="4"/>
  <c r="A11803" i="4"/>
  <c r="A3824" i="4"/>
  <c r="A3823" i="4"/>
  <c r="A3822" i="4"/>
  <c r="A3821" i="4"/>
  <c r="A19133" i="4"/>
  <c r="A5201" i="4"/>
  <c r="A5200" i="4"/>
  <c r="A16140" i="4"/>
  <c r="A16139" i="4"/>
  <c r="A16138" i="4"/>
  <c r="A19132" i="4"/>
  <c r="A19131" i="4"/>
  <c r="A9803" i="4"/>
  <c r="A2511" i="4"/>
  <c r="A2510" i="4"/>
  <c r="A2509" i="4"/>
  <c r="A20545" i="4"/>
  <c r="A769" i="4"/>
  <c r="A768" i="4"/>
  <c r="A15602" i="4"/>
  <c r="A111" i="4"/>
  <c r="A23233" i="4"/>
  <c r="A19130" i="4"/>
  <c r="A23232" i="4"/>
  <c r="A19129" i="4"/>
  <c r="A19128" i="4"/>
  <c r="A19127" i="4"/>
  <c r="A19126" i="4"/>
  <c r="A19125" i="4"/>
  <c r="A19124" i="4"/>
  <c r="A19123" i="4"/>
  <c r="A19122" i="4"/>
  <c r="A16137" i="4"/>
  <c r="A13265" i="4"/>
  <c r="A13264" i="4"/>
  <c r="A13263" i="4"/>
  <c r="A7643" i="4"/>
  <c r="A7642" i="4"/>
  <c r="A7641" i="4"/>
  <c r="A5696" i="4"/>
  <c r="A5695" i="4"/>
  <c r="A5694" i="4"/>
  <c r="A11802" i="4"/>
  <c r="A13262" i="4"/>
  <c r="A13261" i="4"/>
  <c r="A13260" i="4"/>
  <c r="A11801" i="4"/>
  <c r="A11800" i="4"/>
  <c r="A11799" i="4"/>
  <c r="A6538" i="4"/>
  <c r="A8543" i="4"/>
  <c r="A13602" i="4"/>
  <c r="A7640" i="4"/>
  <c r="A23231" i="4"/>
  <c r="A14719" i="4"/>
  <c r="A23230" i="4"/>
  <c r="A14718" i="4"/>
  <c r="A12411" i="4"/>
  <c r="A23229" i="4"/>
  <c r="A12410" i="4"/>
  <c r="A23228" i="4"/>
  <c r="A12409" i="4"/>
  <c r="A23227" i="4"/>
  <c r="A23226" i="4"/>
  <c r="A23225" i="4"/>
  <c r="A23224" i="4"/>
  <c r="A7639" i="4"/>
  <c r="A7638" i="4"/>
  <c r="A5418" i="4"/>
  <c r="A23223" i="4"/>
  <c r="A23222" i="4"/>
  <c r="A23221" i="4"/>
  <c r="A14717" i="4"/>
  <c r="A23220" i="4"/>
  <c r="A110" i="4"/>
  <c r="A23219" i="4"/>
  <c r="A9802" i="4"/>
  <c r="A9801" i="4"/>
  <c r="A2246" i="4"/>
  <c r="A23218" i="4"/>
  <c r="A19121" i="4"/>
  <c r="A19120" i="4"/>
  <c r="A23217" i="4"/>
  <c r="A767" i="4"/>
  <c r="A766" i="4"/>
  <c r="A23216" i="4"/>
  <c r="A23215" i="4"/>
  <c r="A765" i="4"/>
  <c r="A764" i="4"/>
  <c r="A23214" i="4"/>
  <c r="A16136" i="4"/>
  <c r="A13049" i="4"/>
  <c r="A2245" i="4"/>
  <c r="A763" i="4"/>
  <c r="A762" i="4"/>
  <c r="A14716" i="4"/>
  <c r="A14715" i="4"/>
  <c r="A17740" i="4"/>
  <c r="A14714" i="4"/>
  <c r="A23213" i="4"/>
  <c r="A8542" i="4"/>
  <c r="A761" i="4"/>
  <c r="A5417" i="4"/>
  <c r="A5301" i="4"/>
  <c r="A5300" i="4"/>
  <c r="A5199" i="4"/>
  <c r="A7637" i="4"/>
  <c r="A6537" i="4"/>
  <c r="A23212" i="4"/>
  <c r="A23211" i="4"/>
  <c r="A3820" i="4"/>
  <c r="A3819" i="4"/>
  <c r="A23210" i="4"/>
  <c r="A5198" i="4"/>
  <c r="A23209" i="4"/>
  <c r="A5197" i="4"/>
  <c r="A23208" i="4"/>
  <c r="A12877" i="4"/>
  <c r="A23207" i="4"/>
  <c r="A6260" i="4"/>
  <c r="A11798" i="4"/>
  <c r="A23206" i="4"/>
  <c r="A3818" i="4"/>
  <c r="A12408" i="4"/>
  <c r="A10162" i="4"/>
  <c r="A19119" i="4"/>
  <c r="A19118" i="4"/>
  <c r="A308" i="4"/>
  <c r="A19117" i="4"/>
  <c r="A9800" i="4"/>
  <c r="A2508" i="4"/>
  <c r="A5951" i="4"/>
  <c r="A23205" i="4"/>
  <c r="A19116" i="4"/>
  <c r="A19115" i="4"/>
  <c r="A23204" i="4"/>
  <c r="A23203" i="4"/>
  <c r="A16135" i="4"/>
  <c r="A13163" i="4"/>
  <c r="A23202" i="4"/>
  <c r="A23201" i="4"/>
  <c r="A23200" i="4"/>
  <c r="A7636" i="4"/>
  <c r="A760" i="4"/>
  <c r="A759" i="4"/>
  <c r="A758" i="4"/>
  <c r="A17739" i="4"/>
  <c r="A11797" i="4"/>
  <c r="A11796" i="4"/>
  <c r="A14713" i="4"/>
  <c r="A23199" i="4"/>
  <c r="A23198" i="4"/>
  <c r="A13432" i="4"/>
  <c r="A11795" i="4"/>
  <c r="A11794" i="4"/>
  <c r="A11793" i="4"/>
  <c r="A11792" i="4"/>
  <c r="A11791" i="4"/>
  <c r="A10161" i="4"/>
  <c r="A23197" i="4"/>
  <c r="A14712" i="4"/>
  <c r="A23196" i="4"/>
  <c r="A14711" i="4"/>
  <c r="A12407" i="4"/>
  <c r="A23195" i="4"/>
  <c r="A23194" i="4"/>
  <c r="A5603" i="4"/>
  <c r="A23193" i="4"/>
  <c r="A5299" i="4"/>
  <c r="A16134" i="4"/>
  <c r="A16133" i="4"/>
  <c r="A16132" i="4"/>
  <c r="A757" i="4"/>
  <c r="A756" i="4"/>
  <c r="A755" i="4"/>
  <c r="A754" i="4"/>
  <c r="A23192" i="4"/>
  <c r="A753" i="4"/>
  <c r="A752" i="4"/>
  <c r="A23191" i="4"/>
  <c r="A751" i="4"/>
  <c r="A5196" i="4"/>
  <c r="A5195" i="4"/>
  <c r="A5194" i="4"/>
  <c r="A5193" i="4"/>
  <c r="A5192" i="4"/>
  <c r="A20544" i="4"/>
  <c r="A23190" i="4"/>
  <c r="A19114" i="4"/>
  <c r="A23189" i="4"/>
  <c r="A19113" i="4"/>
  <c r="A23188" i="4"/>
  <c r="A19112" i="4"/>
  <c r="A19111" i="4"/>
  <c r="A19110" i="4"/>
  <c r="A19109" i="4"/>
  <c r="A23187" i="4"/>
  <c r="A23186" i="4"/>
  <c r="A750" i="4"/>
  <c r="A23185" i="4"/>
  <c r="A17738" i="4"/>
  <c r="A17737" i="4"/>
  <c r="A14710" i="4"/>
  <c r="A14709" i="4"/>
  <c r="A14708" i="4"/>
  <c r="A14707" i="4"/>
  <c r="A14706" i="4"/>
  <c r="A13431" i="4"/>
  <c r="A3817" i="4"/>
  <c r="A3816" i="4"/>
  <c r="A3815" i="4"/>
  <c r="A6536" i="4"/>
  <c r="A10160" i="4"/>
  <c r="A3814" i="4"/>
  <c r="A3813" i="4"/>
  <c r="A3812" i="4"/>
  <c r="A3811" i="4"/>
  <c r="A23184" i="4"/>
  <c r="A3810" i="4"/>
  <c r="A3809" i="4"/>
  <c r="A8999" i="4"/>
  <c r="A6535" i="4"/>
  <c r="A23183" i="4"/>
  <c r="A7635" i="4"/>
  <c r="A23182" i="4"/>
  <c r="A23181" i="4"/>
  <c r="A3808" i="4"/>
  <c r="A3807" i="4"/>
  <c r="A16131" i="4"/>
  <c r="A16130" i="4"/>
  <c r="A16129" i="4"/>
  <c r="A16128" i="4"/>
  <c r="A16127" i="4"/>
  <c r="A23180" i="4"/>
  <c r="A5950" i="4"/>
  <c r="A9416" i="4"/>
  <c r="A9415" i="4"/>
  <c r="A23179" i="4"/>
  <c r="A9955" i="4"/>
  <c r="A19108" i="4"/>
  <c r="A19107" i="4"/>
  <c r="A19106" i="4"/>
  <c r="A19105" i="4"/>
  <c r="A17594" i="4"/>
  <c r="A7634" i="4"/>
  <c r="A11790" i="4"/>
  <c r="A11789" i="4"/>
  <c r="A11788" i="4"/>
  <c r="A23178" i="4"/>
  <c r="A11787" i="4"/>
  <c r="A5416" i="4"/>
  <c r="A5415" i="4"/>
  <c r="A3806" i="4"/>
  <c r="A5298" i="4"/>
  <c r="A20688" i="4"/>
  <c r="A20687" i="4"/>
  <c r="A23177" i="4"/>
  <c r="A20686" i="4"/>
  <c r="A20685" i="4"/>
  <c r="A20684" i="4"/>
  <c r="A20683" i="4"/>
  <c r="A20682" i="4"/>
  <c r="A20681" i="4"/>
  <c r="A20680" i="4"/>
  <c r="A20679" i="4"/>
  <c r="A20678" i="4"/>
  <c r="A23176" i="4"/>
  <c r="A16126" i="4"/>
  <c r="A23175" i="4"/>
  <c r="A3805" i="4"/>
  <c r="A23174" i="4"/>
  <c r="A23173" i="4"/>
  <c r="A7633" i="4"/>
  <c r="A5602" i="4"/>
  <c r="A23172" i="4"/>
  <c r="A14705" i="4"/>
  <c r="A2244" i="4"/>
  <c r="A23171" i="4"/>
  <c r="A23170" i="4"/>
  <c r="A23169" i="4"/>
  <c r="A13430" i="4"/>
  <c r="A13429" i="4"/>
  <c r="A23168" i="4"/>
  <c r="A5191" i="4"/>
  <c r="A5190" i="4"/>
  <c r="A5189" i="4"/>
  <c r="A5188" i="4"/>
  <c r="A23167" i="4"/>
  <c r="A16125" i="4"/>
  <c r="A19104" i="4"/>
  <c r="A19103" i="4"/>
  <c r="A16124" i="4"/>
  <c r="A9799" i="4"/>
  <c r="A9798" i="4"/>
  <c r="A9797" i="4"/>
  <c r="A9796" i="4"/>
  <c r="A9795" i="4"/>
  <c r="A9794" i="4"/>
  <c r="A9793" i="4"/>
  <c r="A109" i="4"/>
  <c r="A108" i="4"/>
  <c r="A16123" i="4"/>
  <c r="A16122" i="4"/>
  <c r="A23166" i="4"/>
  <c r="A23165" i="4"/>
  <c r="A23164" i="4"/>
  <c r="A23163" i="4"/>
  <c r="A23162" i="4"/>
  <c r="A23161" i="4"/>
  <c r="A23160" i="4"/>
  <c r="A23159" i="4"/>
  <c r="A12406" i="4"/>
  <c r="A7632" i="4"/>
  <c r="A7631" i="4"/>
  <c r="A2243" i="4"/>
  <c r="A749" i="4"/>
  <c r="A23158" i="4"/>
  <c r="A23157" i="4"/>
  <c r="A14704" i="4"/>
  <c r="A23156" i="4"/>
  <c r="A7630" i="4"/>
  <c r="A14703" i="4"/>
  <c r="A14702" i="4"/>
  <c r="A14701" i="4"/>
  <c r="A14700" i="4"/>
  <c r="A14699" i="4"/>
  <c r="A14698" i="4"/>
  <c r="A23155" i="4"/>
  <c r="A17736" i="4"/>
  <c r="A23154" i="4"/>
  <c r="A11786" i="4"/>
  <c r="A11785" i="4"/>
  <c r="A3804" i="4"/>
  <c r="A3803" i="4"/>
  <c r="A3802" i="4"/>
  <c r="A11053" i="4"/>
  <c r="A13601" i="4"/>
  <c r="A6534" i="4"/>
  <c r="A23153" i="4"/>
  <c r="A307" i="4"/>
  <c r="A20808" i="4"/>
  <c r="A20807" i="4"/>
  <c r="A13259" i="4"/>
  <c r="A2242" i="4"/>
  <c r="A2241" i="4"/>
  <c r="A14697" i="4"/>
  <c r="A12405" i="4"/>
  <c r="A23152" i="4"/>
  <c r="A23151" i="4"/>
  <c r="A23150" i="4"/>
  <c r="A10850" i="4"/>
  <c r="A10849" i="4"/>
  <c r="A14696" i="4"/>
  <c r="A14695" i="4"/>
  <c r="A23149" i="4"/>
  <c r="A7629" i="4"/>
  <c r="A7628" i="4"/>
  <c r="A3801" i="4"/>
  <c r="A3800" i="4"/>
  <c r="A3799" i="4"/>
  <c r="A3798" i="4"/>
  <c r="A3797" i="4"/>
  <c r="A3796" i="4"/>
  <c r="A23148" i="4"/>
  <c r="A5601" i="4"/>
  <c r="A23147" i="4"/>
  <c r="A23146" i="4"/>
  <c r="A23145" i="4"/>
  <c r="A23144" i="4"/>
  <c r="A3795" i="4"/>
  <c r="A20543" i="4"/>
  <c r="A23143" i="4"/>
  <c r="A23142" i="4"/>
  <c r="A23141" i="4"/>
  <c r="A748" i="4"/>
  <c r="A3794" i="4"/>
  <c r="A19102" i="4"/>
  <c r="A2240" i="4"/>
  <c r="A747" i="4"/>
  <c r="A2239" i="4"/>
  <c r="A2238" i="4"/>
  <c r="A14694" i="4"/>
  <c r="A2237" i="4"/>
  <c r="A2236" i="4"/>
  <c r="A2235" i="4"/>
  <c r="A3793" i="4"/>
  <c r="A14693" i="4"/>
  <c r="A23140" i="4"/>
  <c r="A23139" i="4"/>
  <c r="A23138" i="4"/>
  <c r="A3792" i="4"/>
  <c r="A16121" i="4"/>
  <c r="A16120" i="4"/>
  <c r="A14692" i="4"/>
  <c r="A14691" i="4"/>
  <c r="A14690" i="4"/>
  <c r="A2234" i="4"/>
  <c r="A2233" i="4"/>
  <c r="A3791" i="4"/>
  <c r="A5414" i="4"/>
  <c r="A23137" i="4"/>
  <c r="A107" i="4"/>
  <c r="A19101" i="4"/>
  <c r="A19100" i="4"/>
  <c r="A19099" i="4"/>
  <c r="A9792" i="4"/>
  <c r="A9791" i="4"/>
  <c r="A9790" i="4"/>
  <c r="A19098" i="4"/>
  <c r="A19097" i="4"/>
  <c r="A23136" i="4"/>
  <c r="A23135" i="4"/>
  <c r="A7627" i="4"/>
  <c r="A23134" i="4"/>
  <c r="A23133" i="4"/>
  <c r="A23132" i="4"/>
  <c r="A11784" i="4"/>
  <c r="A11783" i="4"/>
  <c r="A11782" i="4"/>
  <c r="A11781" i="4"/>
  <c r="A11780" i="4"/>
  <c r="A11779" i="4"/>
  <c r="A8998" i="4"/>
  <c r="A3790" i="4"/>
  <c r="A10999" i="4"/>
  <c r="A10998" i="4"/>
  <c r="A1734" i="4"/>
  <c r="A3789" i="4"/>
  <c r="A23131" i="4"/>
  <c r="A3788" i="4"/>
  <c r="A3787" i="4"/>
  <c r="A3786" i="4"/>
  <c r="A23130" i="4"/>
  <c r="A3785" i="4"/>
  <c r="A3784" i="4"/>
  <c r="A3783" i="4"/>
  <c r="A3782" i="4"/>
  <c r="A3781" i="4"/>
  <c r="A3780" i="4"/>
  <c r="A10159" i="4"/>
  <c r="A3779" i="4"/>
  <c r="A3778" i="4"/>
  <c r="A3777" i="4"/>
  <c r="A13428" i="4"/>
  <c r="A3776" i="4"/>
  <c r="A3775" i="4"/>
  <c r="A3774" i="4"/>
  <c r="A3773" i="4"/>
  <c r="A3772" i="4"/>
  <c r="A3771" i="4"/>
  <c r="A3770" i="4"/>
  <c r="A3769" i="4"/>
  <c r="A23129" i="4"/>
  <c r="A3768" i="4"/>
  <c r="A11778" i="4"/>
  <c r="A11777" i="4"/>
  <c r="A11776" i="4"/>
  <c r="A3767" i="4"/>
  <c r="A3766" i="4"/>
  <c r="A10158" i="4"/>
  <c r="A23128" i="4"/>
  <c r="A23127" i="4"/>
  <c r="A23126" i="4"/>
  <c r="A14689" i="4"/>
  <c r="A14688" i="4"/>
  <c r="A23125" i="4"/>
  <c r="A16119" i="4"/>
  <c r="A23124" i="4"/>
  <c r="A3765" i="4"/>
  <c r="A23123" i="4"/>
  <c r="A3764" i="4"/>
  <c r="A5187" i="4"/>
  <c r="A306" i="4"/>
  <c r="A305" i="4"/>
  <c r="A304" i="4"/>
  <c r="A303" i="4"/>
  <c r="A302" i="4"/>
  <c r="A19096" i="4"/>
  <c r="A23122" i="4"/>
  <c r="A19095" i="4"/>
  <c r="A23121" i="4"/>
  <c r="A2232" i="4"/>
  <c r="A5949" i="4"/>
  <c r="A5948" i="4"/>
  <c r="A3763" i="4"/>
  <c r="A23120" i="4"/>
  <c r="A3762" i="4"/>
  <c r="A5186" i="4"/>
  <c r="A19094" i="4"/>
  <c r="A19093" i="4"/>
  <c r="A19092" i="4"/>
  <c r="A16118" i="4"/>
  <c r="A19091" i="4"/>
  <c r="A20542" i="4"/>
  <c r="A20541" i="4"/>
  <c r="A20540" i="4"/>
  <c r="A19090" i="4"/>
  <c r="A19089" i="4"/>
  <c r="A5185" i="4"/>
  <c r="A301" i="4"/>
  <c r="A16117" i="4"/>
  <c r="A19088" i="4"/>
  <c r="A19087" i="4"/>
  <c r="A19086" i="4"/>
  <c r="A9789" i="4"/>
  <c r="A9788" i="4"/>
  <c r="A9787" i="4"/>
  <c r="A9786" i="4"/>
  <c r="A9785" i="4"/>
  <c r="A106" i="4"/>
  <c r="A105" i="4"/>
  <c r="A104" i="4"/>
  <c r="A9784" i="4"/>
  <c r="A23119" i="4"/>
  <c r="A19085" i="4"/>
  <c r="A16116" i="4"/>
  <c r="A16115" i="4"/>
  <c r="A16114" i="4"/>
  <c r="A16113" i="4"/>
  <c r="A16112" i="4"/>
  <c r="A19084" i="4"/>
  <c r="A16111" i="4"/>
  <c r="A16110" i="4"/>
  <c r="A15526" i="4"/>
  <c r="A15525" i="4"/>
  <c r="A12404" i="4"/>
  <c r="A23118" i="4"/>
  <c r="A14687" i="4"/>
  <c r="A746" i="4"/>
  <c r="A745" i="4"/>
  <c r="A19083" i="4"/>
  <c r="A23117" i="4"/>
  <c r="A11775" i="4"/>
  <c r="A11774" i="4"/>
  <c r="A11773" i="4"/>
  <c r="A11772" i="4"/>
  <c r="A14686" i="4"/>
  <c r="A23116" i="4"/>
  <c r="A10157" i="4"/>
  <c r="A10156" i="4"/>
  <c r="A7626" i="4"/>
  <c r="A13258" i="4"/>
  <c r="A14685" i="4"/>
  <c r="A14684" i="4"/>
  <c r="A23115" i="4"/>
  <c r="A23114" i="4"/>
  <c r="A23113" i="4"/>
  <c r="A7625" i="4"/>
  <c r="A23112" i="4"/>
  <c r="A7624" i="4"/>
  <c r="A5413" i="4"/>
  <c r="A23111" i="4"/>
  <c r="A5297" i="4"/>
  <c r="A16109" i="4"/>
  <c r="A23110" i="4"/>
  <c r="A16108" i="4"/>
  <c r="A23109" i="4"/>
  <c r="A23108" i="4"/>
  <c r="A744" i="4"/>
  <c r="A743" i="4"/>
  <c r="A19082" i="4"/>
  <c r="A19081" i="4"/>
  <c r="A7623" i="4"/>
  <c r="A17735" i="4"/>
  <c r="A14683" i="4"/>
  <c r="A5947" i="4"/>
  <c r="A1733" i="4"/>
  <c r="A7622" i="4"/>
  <c r="A23107" i="4"/>
  <c r="A14682" i="4"/>
  <c r="A12403" i="4"/>
  <c r="A19080" i="4"/>
  <c r="A15524" i="4"/>
  <c r="A19079" i="4"/>
  <c r="A16107" i="4"/>
  <c r="A23106" i="4"/>
  <c r="A23105" i="4"/>
  <c r="A23104" i="4"/>
  <c r="A11771" i="4"/>
  <c r="A23103" i="4"/>
  <c r="A6259" i="4"/>
  <c r="A2231" i="4"/>
  <c r="A2230" i="4"/>
  <c r="A23102" i="4"/>
  <c r="A20539" i="4"/>
  <c r="A23101" i="4"/>
  <c r="A16106" i="4"/>
  <c r="A16105" i="4"/>
  <c r="A16104" i="4"/>
  <c r="A23100" i="4"/>
  <c r="A23099" i="4"/>
  <c r="A7621" i="4"/>
  <c r="A7620" i="4"/>
  <c r="A2229" i="4"/>
  <c r="A2228" i="4"/>
  <c r="A11770" i="4"/>
  <c r="A8541" i="4"/>
  <c r="A8540" i="4"/>
  <c r="A7619" i="4"/>
  <c r="A7618" i="4"/>
  <c r="A14681" i="4"/>
  <c r="A23098" i="4"/>
  <c r="A23097" i="4"/>
  <c r="A10155" i="4"/>
  <c r="A8539" i="4"/>
  <c r="A9783" i="4"/>
  <c r="A2227" i="4"/>
  <c r="A8538" i="4"/>
  <c r="A8537" i="4"/>
  <c r="A13427" i="4"/>
  <c r="A3761" i="4"/>
  <c r="A3760" i="4"/>
  <c r="A3759" i="4"/>
  <c r="A23096" i="4"/>
  <c r="A742" i="4"/>
  <c r="A8536" i="4"/>
  <c r="A8535" i="4"/>
  <c r="A2507" i="4"/>
  <c r="A19078" i="4"/>
  <c r="A19077" i="4"/>
  <c r="A19076" i="4"/>
  <c r="A19075" i="4"/>
  <c r="A19074" i="4"/>
  <c r="A19073" i="4"/>
  <c r="A19072" i="4"/>
  <c r="A19071" i="4"/>
  <c r="A16103" i="4"/>
  <c r="A23095" i="4"/>
  <c r="A5946" i="4"/>
  <c r="A9414" i="4"/>
  <c r="A9413" i="4"/>
  <c r="A9412" i="4"/>
  <c r="A9954" i="4"/>
  <c r="A9782" i="4"/>
  <c r="A9781" i="4"/>
  <c r="A9780" i="4"/>
  <c r="A9779" i="4"/>
  <c r="A9778" i="4"/>
  <c r="A103" i="4"/>
  <c r="A102" i="4"/>
  <c r="A9777" i="4"/>
  <c r="A9776" i="4"/>
  <c r="A9775" i="4"/>
  <c r="A9774" i="4"/>
  <c r="A9773" i="4"/>
  <c r="A9772" i="4"/>
  <c r="A9771" i="4"/>
  <c r="A9770" i="4"/>
  <c r="A101" i="4"/>
  <c r="A100" i="4"/>
  <c r="A19070" i="4"/>
  <c r="A19069" i="4"/>
  <c r="A19068" i="4"/>
  <c r="A19067" i="4"/>
  <c r="A16102" i="4"/>
  <c r="A16101" i="4"/>
  <c r="A16100" i="4"/>
  <c r="A23094" i="4"/>
  <c r="A16099" i="4"/>
  <c r="A1948" i="4"/>
  <c r="A1947" i="4"/>
  <c r="A1946" i="4"/>
  <c r="A1945" i="4"/>
  <c r="A23093" i="4"/>
  <c r="A7617" i="4"/>
  <c r="A7616" i="4"/>
  <c r="A23092" i="4"/>
  <c r="A23091" i="4"/>
  <c r="A23090" i="4"/>
  <c r="A14680" i="4"/>
  <c r="A23089" i="4"/>
  <c r="A14679" i="4"/>
  <c r="A16098" i="4"/>
  <c r="A5855" i="4"/>
  <c r="A14678" i="4"/>
  <c r="A2226" i="4"/>
  <c r="A2225" i="4"/>
  <c r="A23088" i="4"/>
  <c r="A10154" i="4"/>
  <c r="A11769" i="4"/>
  <c r="A11768" i="4"/>
  <c r="A23087" i="4"/>
  <c r="A11767" i="4"/>
  <c r="A11766" i="4"/>
  <c r="A12258" i="4"/>
  <c r="A23086" i="4"/>
  <c r="A6258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23085" i="4"/>
  <c r="A17895" i="4"/>
  <c r="A3734" i="4"/>
  <c r="A3733" i="4"/>
  <c r="A13426" i="4"/>
  <c r="A23084" i="4"/>
  <c r="A3732" i="4"/>
  <c r="A23083" i="4"/>
  <c r="A11765" i="4"/>
  <c r="A11764" i="4"/>
  <c r="A11763" i="4"/>
  <c r="A11762" i="4"/>
  <c r="A23082" i="4"/>
  <c r="A11761" i="4"/>
  <c r="A8534" i="4"/>
  <c r="A23081" i="4"/>
  <c r="A23080" i="4"/>
  <c r="A14677" i="4"/>
  <c r="A14676" i="4"/>
  <c r="A23079" i="4"/>
  <c r="A20538" i="4"/>
  <c r="A23078" i="4"/>
  <c r="A12402" i="4"/>
  <c r="A23077" i="4"/>
  <c r="A12401" i="4"/>
  <c r="A23076" i="4"/>
  <c r="A23075" i="4"/>
  <c r="A23074" i="4"/>
  <c r="A23073" i="4"/>
  <c r="A23072" i="4"/>
  <c r="A23071" i="4"/>
  <c r="A9769" i="4"/>
  <c r="A23070" i="4"/>
  <c r="A17699" i="4"/>
  <c r="A10848" i="4"/>
  <c r="A5854" i="4"/>
  <c r="A14675" i="4"/>
  <c r="A10847" i="4"/>
  <c r="A10846" i="4"/>
  <c r="A23069" i="4"/>
  <c r="A15523" i="4"/>
  <c r="A23068" i="4"/>
  <c r="A23067" i="4"/>
  <c r="A7615" i="4"/>
  <c r="A5412" i="4"/>
  <c r="A20537" i="4"/>
  <c r="A20677" i="4"/>
  <c r="A23066" i="4"/>
  <c r="A23065" i="4"/>
  <c r="A19066" i="4"/>
  <c r="A23064" i="4"/>
  <c r="A16097" i="4"/>
  <c r="A16096" i="4"/>
  <c r="A16095" i="4"/>
  <c r="A16094" i="4"/>
  <c r="A23063" i="4"/>
  <c r="A741" i="4"/>
  <c r="A740" i="4"/>
  <c r="A23062" i="4"/>
  <c r="A300" i="4"/>
  <c r="A739" i="4"/>
  <c r="A738" i="4"/>
  <c r="A23061" i="4"/>
  <c r="A3731" i="4"/>
  <c r="A3730" i="4"/>
  <c r="A3729" i="4"/>
  <c r="A10153" i="4"/>
  <c r="A10152" i="4"/>
  <c r="A23060" i="4"/>
  <c r="A23059" i="4"/>
  <c r="A7614" i="4"/>
  <c r="A14674" i="4"/>
  <c r="A11760" i="4"/>
  <c r="A8533" i="4"/>
  <c r="A13425" i="4"/>
  <c r="A3728" i="4"/>
  <c r="A16093" i="4"/>
  <c r="A737" i="4"/>
  <c r="A2224" i="4"/>
  <c r="A2223" i="4"/>
  <c r="A2222" i="4"/>
  <c r="A23058" i="4"/>
  <c r="A736" i="4"/>
  <c r="A19065" i="4"/>
  <c r="A16092" i="4"/>
  <c r="A23057" i="4"/>
  <c r="A19064" i="4"/>
  <c r="A19063" i="4"/>
  <c r="A19062" i="4"/>
  <c r="A17676" i="4"/>
  <c r="A23056" i="4"/>
  <c r="A14673" i="4"/>
  <c r="A14672" i="4"/>
  <c r="A14671" i="4"/>
  <c r="A3727" i="4"/>
  <c r="A3726" i="4"/>
  <c r="A20536" i="4"/>
  <c r="A5411" i="4"/>
  <c r="A19061" i="4"/>
  <c r="A735" i="4"/>
  <c r="A734" i="4"/>
  <c r="A10151" i="4"/>
  <c r="A10150" i="4"/>
  <c r="A19060" i="4"/>
  <c r="A19059" i="4"/>
  <c r="A23055" i="4"/>
  <c r="A5296" i="4"/>
  <c r="A5693" i="4"/>
  <c r="A5692" i="4"/>
  <c r="A5691" i="4"/>
  <c r="A5690" i="4"/>
  <c r="A23054" i="4"/>
  <c r="A14670" i="4"/>
  <c r="A10149" i="4"/>
  <c r="A3725" i="4"/>
  <c r="A11759" i="4"/>
  <c r="A5295" i="4"/>
  <c r="A10148" i="4"/>
  <c r="A23053" i="4"/>
  <c r="A19058" i="4"/>
  <c r="A19057" i="4"/>
  <c r="A17669" i="4"/>
  <c r="A9768" i="4"/>
  <c r="A9767" i="4"/>
  <c r="A9766" i="4"/>
  <c r="A9765" i="4"/>
  <c r="A9764" i="4"/>
  <c r="A9763" i="4"/>
  <c r="A19056" i="4"/>
  <c r="A19055" i="4"/>
  <c r="A19054" i="4"/>
  <c r="A2221" i="4"/>
  <c r="A23052" i="4"/>
  <c r="A12400" i="4"/>
  <c r="A5689" i="4"/>
  <c r="A733" i="4"/>
  <c r="A732" i="4"/>
  <c r="A23051" i="4"/>
  <c r="A7613" i="4"/>
  <c r="A23050" i="4"/>
  <c r="A14669" i="4"/>
  <c r="A2220" i="4"/>
  <c r="A2219" i="4"/>
  <c r="A2218" i="4"/>
  <c r="A11758" i="4"/>
  <c r="A11757" i="4"/>
  <c r="A17894" i="4"/>
  <c r="A731" i="4"/>
  <c r="A730" i="4"/>
  <c r="A14668" i="4"/>
  <c r="A14667" i="4"/>
  <c r="A14666" i="4"/>
  <c r="A14665" i="4"/>
  <c r="A14664" i="4"/>
  <c r="A23049" i="4"/>
  <c r="A23048" i="4"/>
  <c r="A23047" i="4"/>
  <c r="A11756" i="4"/>
  <c r="A23046" i="4"/>
  <c r="A11755" i="4"/>
  <c r="A23045" i="4"/>
  <c r="A23044" i="4"/>
  <c r="A23043" i="4"/>
  <c r="A5410" i="4"/>
  <c r="A5409" i="4"/>
  <c r="A5408" i="4"/>
  <c r="A23042" i="4"/>
  <c r="A5294" i="4"/>
  <c r="A23041" i="4"/>
  <c r="A729" i="4"/>
  <c r="A23040" i="4"/>
  <c r="A728" i="4"/>
  <c r="A299" i="4"/>
  <c r="A298" i="4"/>
  <c r="A297" i="4"/>
  <c r="A296" i="4"/>
  <c r="A727" i="4"/>
  <c r="A23039" i="4"/>
  <c r="A8532" i="4"/>
  <c r="A9371" i="4"/>
  <c r="A9370" i="4"/>
  <c r="A295" i="4"/>
  <c r="A294" i="4"/>
  <c r="A293" i="4"/>
  <c r="A19053" i="4"/>
  <c r="A17657" i="4"/>
  <c r="A23038" i="4"/>
  <c r="A9953" i="4"/>
  <c r="A14663" i="4"/>
  <c r="A726" i="4"/>
  <c r="A725" i="4"/>
  <c r="A724" i="4"/>
  <c r="A14662" i="4"/>
  <c r="A14661" i="4"/>
  <c r="A23037" i="4"/>
  <c r="A292" i="4"/>
  <c r="A291" i="4"/>
  <c r="A23036" i="4"/>
  <c r="A3724" i="4"/>
  <c r="A3723" i="4"/>
  <c r="A12257" i="4"/>
  <c r="A3722" i="4"/>
  <c r="A3721" i="4"/>
  <c r="A3720" i="4"/>
  <c r="A3719" i="4"/>
  <c r="A10147" i="4"/>
  <c r="A3718" i="4"/>
  <c r="A3717" i="4"/>
  <c r="A3716" i="4"/>
  <c r="A3715" i="4"/>
  <c r="A3714" i="4"/>
  <c r="A3713" i="4"/>
  <c r="A3712" i="4"/>
  <c r="A3711" i="4"/>
  <c r="A3710" i="4"/>
  <c r="A11754" i="4"/>
  <c r="A11753" i="4"/>
  <c r="A23035" i="4"/>
  <c r="A2217" i="4"/>
  <c r="A23034" i="4"/>
  <c r="A3709" i="4"/>
  <c r="A8394" i="4"/>
  <c r="A8393" i="4"/>
  <c r="A20676" i="4"/>
  <c r="A20675" i="4"/>
  <c r="A3708" i="4"/>
  <c r="A16091" i="4"/>
  <c r="A13048" i="4"/>
  <c r="A23033" i="4"/>
  <c r="A23032" i="4"/>
  <c r="A7612" i="4"/>
  <c r="A7611" i="4"/>
  <c r="A7610" i="4"/>
  <c r="A7609" i="4"/>
  <c r="A7608" i="4"/>
  <c r="A2216" i="4"/>
  <c r="A11752" i="4"/>
  <c r="A11751" i="4"/>
  <c r="A23031" i="4"/>
  <c r="A11750" i="4"/>
  <c r="A5293" i="4"/>
  <c r="A5751" i="4"/>
  <c r="A5750" i="4"/>
  <c r="A23030" i="4"/>
  <c r="A2215" i="4"/>
  <c r="A2214" i="4"/>
  <c r="A10146" i="4"/>
  <c r="A10145" i="4"/>
  <c r="A5184" i="4"/>
  <c r="A5183" i="4"/>
  <c r="A5182" i="4"/>
  <c r="A5181" i="4"/>
  <c r="A5180" i="4"/>
  <c r="A5179" i="4"/>
  <c r="A23029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5522" i="4"/>
  <c r="A19038" i="4"/>
  <c r="A23028" i="4"/>
  <c r="A23027" i="4"/>
  <c r="A9762" i="4"/>
  <c r="A9761" i="4"/>
  <c r="A9760" i="4"/>
  <c r="A9759" i="4"/>
  <c r="A99" i="4"/>
  <c r="A19037" i="4"/>
  <c r="A23026" i="4"/>
  <c r="A19036" i="4"/>
  <c r="A23025" i="4"/>
  <c r="A13600" i="4"/>
  <c r="A13599" i="4"/>
  <c r="A15521" i="4"/>
  <c r="A15520" i="4"/>
  <c r="A9411" i="4"/>
  <c r="A9410" i="4"/>
  <c r="A2213" i="4"/>
  <c r="A23024" i="4"/>
  <c r="A23023" i="4"/>
  <c r="A7607" i="4"/>
  <c r="A7606" i="4"/>
  <c r="A5945" i="4"/>
  <c r="A14660" i="4"/>
  <c r="A723" i="4"/>
  <c r="A722" i="4"/>
  <c r="A14659" i="4"/>
  <c r="A23022" i="4"/>
  <c r="A721" i="4"/>
  <c r="A14658" i="4"/>
  <c r="A14657" i="4"/>
  <c r="A14656" i="4"/>
  <c r="A14655" i="4"/>
  <c r="A720" i="4"/>
  <c r="A719" i="4"/>
  <c r="A23021" i="4"/>
  <c r="A19035" i="4"/>
  <c r="A19034" i="4"/>
  <c r="A5944" i="4"/>
  <c r="A5943" i="4"/>
  <c r="A23020" i="4"/>
  <c r="A2212" i="4"/>
  <c r="A2211" i="4"/>
  <c r="A2210" i="4"/>
  <c r="A11749" i="4"/>
  <c r="A11748" i="4"/>
  <c r="A3707" i="4"/>
  <c r="A23019" i="4"/>
  <c r="A3706" i="4"/>
  <c r="A23018" i="4"/>
  <c r="A8997" i="4"/>
  <c r="A8996" i="4"/>
  <c r="A8995" i="4"/>
  <c r="A8994" i="4"/>
  <c r="A8993" i="4"/>
  <c r="A11747" i="4"/>
  <c r="A11746" i="4"/>
  <c r="A11745" i="4"/>
  <c r="A11744" i="4"/>
  <c r="A11743" i="4"/>
  <c r="A11742" i="4"/>
  <c r="A11741" i="4"/>
  <c r="A11740" i="4"/>
  <c r="A11739" i="4"/>
  <c r="A11738" i="4"/>
  <c r="A23017" i="4"/>
  <c r="A23016" i="4"/>
  <c r="A10144" i="4"/>
  <c r="A23015" i="4"/>
  <c r="A23014" i="4"/>
  <c r="A7605" i="4"/>
  <c r="A2209" i="4"/>
  <c r="A2208" i="4"/>
  <c r="A2207" i="4"/>
  <c r="A14654" i="4"/>
  <c r="A12399" i="4"/>
  <c r="A12398" i="4"/>
  <c r="A12397" i="4"/>
  <c r="A12396" i="4"/>
  <c r="A12395" i="4"/>
  <c r="A12394" i="4"/>
  <c r="A23013" i="4"/>
  <c r="A5853" i="4"/>
  <c r="A23012" i="4"/>
  <c r="A23011" i="4"/>
  <c r="A13162" i="4"/>
  <c r="A13161" i="4"/>
  <c r="A5942" i="4"/>
  <c r="A5941" i="4"/>
  <c r="A5407" i="4"/>
  <c r="A23010" i="4"/>
  <c r="A23009" i="4"/>
  <c r="A5406" i="4"/>
  <c r="A16090" i="4"/>
  <c r="A23008" i="4"/>
  <c r="A17593" i="4"/>
  <c r="A23007" i="4"/>
  <c r="A14653" i="4"/>
  <c r="A2206" i="4"/>
  <c r="A14652" i="4"/>
  <c r="A14651" i="4"/>
  <c r="A11737" i="4"/>
  <c r="A11736" i="4"/>
  <c r="A23006" i="4"/>
  <c r="A3705" i="4"/>
  <c r="A3704" i="4"/>
  <c r="A3703" i="4"/>
  <c r="A23005" i="4"/>
  <c r="A23004" i="4"/>
  <c r="A23003" i="4"/>
  <c r="A19033" i="4"/>
  <c r="A23002" i="4"/>
  <c r="A19032" i="4"/>
  <c r="A19031" i="4"/>
  <c r="A15601" i="4"/>
  <c r="A15600" i="4"/>
  <c r="A17734" i="4"/>
  <c r="A2205" i="4"/>
  <c r="A11735" i="4"/>
  <c r="A23001" i="4"/>
  <c r="A10143" i="4"/>
  <c r="A23000" i="4"/>
  <c r="A290" i="4"/>
  <c r="A14650" i="4"/>
  <c r="A14649" i="4"/>
  <c r="A17295" i="4"/>
  <c r="A17294" i="4"/>
  <c r="A17293" i="4"/>
  <c r="A17292" i="4"/>
  <c r="A17291" i="4"/>
  <c r="A17290" i="4"/>
  <c r="A17289" i="4"/>
  <c r="A17288" i="4"/>
  <c r="A10142" i="4"/>
  <c r="A22999" i="4"/>
  <c r="A1732" i="4"/>
  <c r="A10141" i="4"/>
  <c r="A10140" i="4"/>
  <c r="A3702" i="4"/>
  <c r="A3701" i="4"/>
  <c r="A10139" i="4"/>
  <c r="A1944" i="4"/>
  <c r="A14648" i="4"/>
  <c r="A17733" i="4"/>
  <c r="A14647" i="4"/>
  <c r="A10138" i="4"/>
  <c r="A6533" i="4"/>
  <c r="A11734" i="4"/>
  <c r="A5178" i="4"/>
  <c r="A3700" i="4"/>
  <c r="A3699" i="4"/>
  <c r="A3698" i="4"/>
  <c r="A11733" i="4"/>
  <c r="A1731" i="4"/>
  <c r="A22998" i="4"/>
  <c r="A3697" i="4"/>
  <c r="A3696" i="4"/>
  <c r="A3695" i="4"/>
  <c r="A10137" i="4"/>
  <c r="A13424" i="4"/>
  <c r="A3694" i="4"/>
  <c r="A3693" i="4"/>
  <c r="A3692" i="4"/>
  <c r="A8531" i="4"/>
  <c r="A3691" i="4"/>
  <c r="A3690" i="4"/>
  <c r="A3689" i="4"/>
  <c r="A22997" i="4"/>
  <c r="A3688" i="4"/>
  <c r="A3687" i="4"/>
  <c r="A3686" i="4"/>
  <c r="A3685" i="4"/>
  <c r="A3684" i="4"/>
  <c r="A3683" i="4"/>
  <c r="A3682" i="4"/>
  <c r="A22996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10845" i="4"/>
  <c r="A10844" i="4"/>
  <c r="A22995" i="4"/>
  <c r="A5292" i="4"/>
  <c r="A22994" i="4"/>
  <c r="A22993" i="4"/>
  <c r="A22992" i="4"/>
  <c r="A16089" i="4"/>
  <c r="A16088" i="4"/>
  <c r="A19030" i="4"/>
  <c r="A22991" i="4"/>
  <c r="A19029" i="4"/>
  <c r="A19028" i="4"/>
  <c r="A22990" i="4"/>
  <c r="A22989" i="4"/>
  <c r="A19027" i="4"/>
  <c r="A98" i="4"/>
  <c r="A22988" i="4"/>
  <c r="A22987" i="4"/>
  <c r="A9409" i="4"/>
  <c r="A17" i="4"/>
  <c r="A22986" i="4"/>
  <c r="A9408" i="4"/>
  <c r="A22985" i="4"/>
  <c r="A22984" i="4"/>
  <c r="A22983" i="4"/>
  <c r="A22982" i="4"/>
  <c r="A19026" i="4"/>
  <c r="A19025" i="4"/>
  <c r="A19024" i="4"/>
  <c r="A15519" i="4"/>
  <c r="A22981" i="4"/>
  <c r="A718" i="4"/>
  <c r="A22980" i="4"/>
  <c r="A22979" i="4"/>
  <c r="A22978" i="4"/>
  <c r="A7604" i="4"/>
  <c r="A7603" i="4"/>
  <c r="A717" i="4"/>
  <c r="A22977" i="4"/>
  <c r="A716" i="4"/>
  <c r="A22976" i="4"/>
  <c r="A14646" i="4"/>
  <c r="A11732" i="4"/>
  <c r="A11731" i="4"/>
  <c r="A11730" i="4"/>
  <c r="A22975" i="4"/>
  <c r="A2204" i="4"/>
  <c r="A22974" i="4"/>
  <c r="A2203" i="4"/>
  <c r="A20535" i="4"/>
  <c r="A22973" i="4"/>
  <c r="A3669" i="4"/>
  <c r="A22972" i="4"/>
  <c r="A11729" i="4"/>
  <c r="A22971" i="4"/>
  <c r="A22970" i="4"/>
  <c r="A3668" i="4"/>
  <c r="A9758" i="4"/>
  <c r="A9757" i="4"/>
  <c r="A9756" i="4"/>
  <c r="A20806" i="4"/>
  <c r="A20805" i="4"/>
  <c r="A20534" i="4"/>
  <c r="A22969" i="4"/>
  <c r="A14645" i="4"/>
  <c r="A22968" i="4"/>
  <c r="A22967" i="4"/>
  <c r="A22966" i="4"/>
  <c r="A22965" i="4"/>
  <c r="A22964" i="4"/>
  <c r="A12393" i="4"/>
  <c r="A14644" i="4"/>
  <c r="A14643" i="4"/>
  <c r="A14642" i="4"/>
  <c r="A14641" i="4"/>
  <c r="A10843" i="4"/>
  <c r="A22963" i="4"/>
  <c r="A11728" i="4"/>
  <c r="A7602" i="4"/>
  <c r="A7601" i="4"/>
  <c r="A5600" i="4"/>
  <c r="A5599" i="4"/>
  <c r="A5291" i="4"/>
  <c r="A22962" i="4"/>
  <c r="A289" i="4"/>
  <c r="A715" i="4"/>
  <c r="A22961" i="4"/>
  <c r="A22960" i="4"/>
  <c r="A22959" i="4"/>
  <c r="A22958" i="4"/>
  <c r="A22957" i="4"/>
  <c r="A1943" i="4"/>
  <c r="A1942" i="4"/>
  <c r="A22956" i="4"/>
  <c r="A11727" i="4"/>
  <c r="A11726" i="4"/>
  <c r="A11725" i="4"/>
  <c r="A3667" i="4"/>
  <c r="A22955" i="4"/>
  <c r="A22954" i="4"/>
  <c r="A714" i="4"/>
  <c r="A22953" i="4"/>
  <c r="A22952" i="4"/>
  <c r="A3666" i="4"/>
  <c r="A3665" i="4"/>
  <c r="A16087" i="4"/>
  <c r="A16086" i="4"/>
  <c r="A16085" i="4"/>
  <c r="A16084" i="4"/>
  <c r="A16083" i="4"/>
  <c r="A713" i="4"/>
  <c r="A712" i="4"/>
  <c r="A14640" i="4"/>
  <c r="A14639" i="4"/>
  <c r="A3664" i="4"/>
  <c r="A3663" i="4"/>
  <c r="A6257" i="4"/>
  <c r="A13423" i="4"/>
  <c r="A13422" i="4"/>
  <c r="A10136" i="4"/>
  <c r="A3662" i="4"/>
  <c r="A9755" i="4"/>
  <c r="A9754" i="4"/>
  <c r="A9753" i="4"/>
  <c r="A19023" i="4"/>
  <c r="A288" i="4"/>
  <c r="A10135" i="4"/>
  <c r="A22951" i="4"/>
  <c r="A19022" i="4"/>
  <c r="A19021" i="4"/>
  <c r="A19020" i="4"/>
  <c r="A19019" i="4"/>
  <c r="A22950" i="4"/>
  <c r="A1941" i="4"/>
  <c r="A1940" i="4"/>
  <c r="A7600" i="4"/>
  <c r="A14638" i="4"/>
  <c r="A14637" i="4"/>
  <c r="A22949" i="4"/>
  <c r="A10134" i="4"/>
  <c r="A97" i="4"/>
  <c r="A9752" i="4"/>
  <c r="A9751" i="4"/>
  <c r="A9750" i="4"/>
  <c r="A9749" i="4"/>
  <c r="A22948" i="4"/>
  <c r="A5598" i="4"/>
  <c r="A96" i="4"/>
  <c r="A95" i="4"/>
  <c r="A9748" i="4"/>
  <c r="A9747" i="4"/>
  <c r="A9746" i="4"/>
  <c r="A9745" i="4"/>
  <c r="A9744" i="4"/>
  <c r="A94" i="4"/>
  <c r="A93" i="4"/>
  <c r="A92" i="4"/>
  <c r="A91" i="4"/>
  <c r="A9743" i="4"/>
  <c r="A9742" i="4"/>
  <c r="A16082" i="4"/>
  <c r="A19018" i="4"/>
  <c r="A16081" i="4"/>
  <c r="A15518" i="4"/>
  <c r="A22947" i="4"/>
  <c r="A7599" i="4"/>
  <c r="A22946" i="4"/>
  <c r="A14636" i="4"/>
  <c r="A14635" i="4"/>
  <c r="A22945" i="4"/>
  <c r="A14634" i="4"/>
  <c r="A2202" i="4"/>
  <c r="A2201" i="4"/>
  <c r="A10133" i="4"/>
  <c r="A11724" i="4"/>
  <c r="A3661" i="4"/>
  <c r="A22944" i="4"/>
  <c r="A15517" i="4"/>
  <c r="A5405" i="4"/>
  <c r="A16080" i="4"/>
  <c r="A22943" i="4"/>
  <c r="A19017" i="4"/>
  <c r="A19016" i="4"/>
  <c r="A19015" i="4"/>
  <c r="A19014" i="4"/>
  <c r="A19013" i="4"/>
  <c r="A19012" i="4"/>
  <c r="A22942" i="4"/>
  <c r="A22941" i="4"/>
  <c r="A22940" i="4"/>
  <c r="A5177" i="4"/>
  <c r="A5176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5940" i="4"/>
  <c r="A5939" i="4"/>
  <c r="A5938" i="4"/>
  <c r="A22939" i="4"/>
  <c r="A9407" i="4"/>
  <c r="A22938" i="4"/>
  <c r="A22937" i="4"/>
  <c r="A22936" i="4"/>
  <c r="A18996" i="4"/>
  <c r="A18995" i="4"/>
  <c r="A16079" i="4"/>
  <c r="A16078" i="4"/>
  <c r="A16077" i="4"/>
  <c r="A22935" i="4"/>
  <c r="A16076" i="4"/>
  <c r="A8460" i="4"/>
  <c r="A13160" i="4"/>
  <c r="A22934" i="4"/>
  <c r="A13257" i="4"/>
  <c r="A22933" i="4"/>
  <c r="A711" i="4"/>
  <c r="A710" i="4"/>
  <c r="A14633" i="4"/>
  <c r="A8371" i="4"/>
  <c r="A7598" i="4"/>
  <c r="A7597" i="4"/>
  <c r="A14632" i="4"/>
  <c r="A14631" i="4"/>
  <c r="A14630" i="4"/>
  <c r="A709" i="4"/>
  <c r="A22932" i="4"/>
  <c r="A22931" i="4"/>
  <c r="A708" i="4"/>
  <c r="A707" i="4"/>
  <c r="A22930" i="4"/>
  <c r="A706" i="4"/>
  <c r="A705" i="4"/>
  <c r="A22929" i="4"/>
  <c r="A22928" i="4"/>
  <c r="A704" i="4"/>
  <c r="A2200" i="4"/>
  <c r="A2199" i="4"/>
  <c r="A2198" i="4"/>
  <c r="A11723" i="4"/>
  <c r="A11722" i="4"/>
  <c r="A11721" i="4"/>
  <c r="A5404" i="4"/>
  <c r="A11720" i="4"/>
  <c r="A11719" i="4"/>
  <c r="A11718" i="4"/>
  <c r="A22927" i="4"/>
  <c r="A22926" i="4"/>
  <c r="A703" i="4"/>
  <c r="A14629" i="4"/>
  <c r="A14628" i="4"/>
  <c r="A22925" i="4"/>
  <c r="A14627" i="4"/>
  <c r="A14626" i="4"/>
  <c r="A22924" i="4"/>
  <c r="A2197" i="4"/>
  <c r="A2196" i="4"/>
  <c r="A14625" i="4"/>
  <c r="A22923" i="4"/>
  <c r="A14624" i="4"/>
  <c r="A2195" i="4"/>
  <c r="A14623" i="4"/>
  <c r="A22922" i="4"/>
  <c r="A14622" i="4"/>
  <c r="A22921" i="4"/>
  <c r="A12392" i="4"/>
  <c r="A22920" i="4"/>
  <c r="A22919" i="4"/>
  <c r="A22918" i="4"/>
  <c r="A22917" i="4"/>
  <c r="A22916" i="4"/>
  <c r="A22915" i="4"/>
  <c r="A7596" i="4"/>
  <c r="A3660" i="4"/>
  <c r="A3659" i="4"/>
  <c r="A10132" i="4"/>
  <c r="A22914" i="4"/>
  <c r="A287" i="4"/>
  <c r="A22913" i="4"/>
  <c r="A16075" i="4"/>
  <c r="A22912" i="4"/>
  <c r="A22911" i="4"/>
  <c r="A22910" i="4"/>
  <c r="A18994" i="4"/>
  <c r="A16074" i="4"/>
  <c r="A22909" i="4"/>
  <c r="A22908" i="4"/>
  <c r="A18993" i="4"/>
  <c r="A18992" i="4"/>
  <c r="A22907" i="4"/>
  <c r="A18991" i="4"/>
  <c r="A16073" i="4"/>
  <c r="A702" i="4"/>
  <c r="A701" i="4"/>
  <c r="A700" i="4"/>
  <c r="A22906" i="4"/>
  <c r="A699" i="4"/>
  <c r="A698" i="4"/>
  <c r="A697" i="4"/>
  <c r="A696" i="4"/>
  <c r="A695" i="4"/>
  <c r="A22905" i="4"/>
  <c r="A22904" i="4"/>
  <c r="A5852" i="4"/>
  <c r="A2194" i="4"/>
  <c r="A14621" i="4"/>
  <c r="A10131" i="4"/>
  <c r="A10130" i="4"/>
  <c r="A11717" i="4"/>
  <c r="A22903" i="4"/>
  <c r="A11716" i="4"/>
  <c r="A11715" i="4"/>
  <c r="A3658" i="4"/>
  <c r="A3657" i="4"/>
  <c r="A3656" i="4"/>
  <c r="A3655" i="4"/>
  <c r="A3654" i="4"/>
  <c r="A3653" i="4"/>
  <c r="A1789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17892" i="4"/>
  <c r="A8530" i="4"/>
  <c r="A22902" i="4"/>
  <c r="A6256" i="4"/>
  <c r="A6255" i="4"/>
  <c r="A3637" i="4"/>
  <c r="A22901" i="4"/>
  <c r="A3636" i="4"/>
  <c r="A3635" i="4"/>
  <c r="A10129" i="4"/>
  <c r="A22900" i="4"/>
  <c r="A13421" i="4"/>
  <c r="A6532" i="4"/>
  <c r="A3634" i="4"/>
  <c r="A3633" i="4"/>
  <c r="A3632" i="4"/>
  <c r="A3631" i="4"/>
  <c r="A22899" i="4"/>
  <c r="A13420" i="4"/>
  <c r="A22898" i="4"/>
  <c r="A22897" i="4"/>
  <c r="A3630" i="4"/>
  <c r="A3629" i="4"/>
  <c r="A3628" i="4"/>
  <c r="A18990" i="4"/>
  <c r="A18989" i="4"/>
  <c r="A18988" i="4"/>
  <c r="A18987" i="4"/>
  <c r="A22896" i="4"/>
  <c r="A14620" i="4"/>
  <c r="A14619" i="4"/>
  <c r="A14618" i="4"/>
  <c r="A14617" i="4"/>
  <c r="A22895" i="4"/>
  <c r="A11714" i="4"/>
  <c r="A11713" i="4"/>
  <c r="A8529" i="4"/>
  <c r="A22894" i="4"/>
  <c r="A22893" i="4"/>
  <c r="A22892" i="4"/>
  <c r="A14616" i="4"/>
  <c r="A10128" i="4"/>
  <c r="A1939" i="4"/>
  <c r="A1938" i="4"/>
  <c r="A14615" i="4"/>
  <c r="A22891" i="4"/>
  <c r="A22890" i="4"/>
  <c r="A6531" i="4"/>
  <c r="A10127" i="4"/>
  <c r="A22889" i="4"/>
  <c r="A14614" i="4"/>
  <c r="A11712" i="4"/>
  <c r="A3627" i="4"/>
  <c r="A3626" i="4"/>
  <c r="A10126" i="4"/>
  <c r="A14613" i="4"/>
  <c r="A22888" i="4"/>
  <c r="A15375" i="4"/>
  <c r="A18986" i="4"/>
  <c r="A16072" i="4"/>
  <c r="A16071" i="4"/>
  <c r="A18985" i="4"/>
  <c r="A18984" i="4"/>
  <c r="A22887" i="4"/>
  <c r="A18983" i="4"/>
  <c r="A18982" i="4"/>
  <c r="A16070" i="4"/>
  <c r="A16069" i="4"/>
  <c r="A16068" i="4"/>
  <c r="A18981" i="4"/>
  <c r="A22886" i="4"/>
  <c r="A18980" i="4"/>
  <c r="A18979" i="4"/>
  <c r="A16067" i="4"/>
  <c r="A16066" i="4"/>
  <c r="A2506" i="4"/>
  <c r="A3625" i="4"/>
  <c r="A5937" i="4"/>
  <c r="A694" i="4"/>
  <c r="A693" i="4"/>
  <c r="A11711" i="4"/>
  <c r="A90" i="4"/>
  <c r="A22885" i="4"/>
  <c r="A89" i="4"/>
  <c r="A9406" i="4"/>
  <c r="A9405" i="4"/>
  <c r="A9404" i="4"/>
  <c r="A9403" i="4"/>
  <c r="A16" i="4"/>
  <c r="A9402" i="4"/>
  <c r="A9401" i="4"/>
  <c r="A22884" i="4"/>
  <c r="A22883" i="4"/>
  <c r="A9400" i="4"/>
  <c r="A9399" i="4"/>
  <c r="A22882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22881" i="4"/>
  <c r="A18963" i="4"/>
  <c r="A18962" i="4"/>
  <c r="A18961" i="4"/>
  <c r="A18960" i="4"/>
  <c r="A22880" i="4"/>
  <c r="A2193" i="4"/>
  <c r="A22879" i="4"/>
  <c r="A13256" i="4"/>
  <c r="A13255" i="4"/>
  <c r="A13254" i="4"/>
  <c r="A2192" i="4"/>
  <c r="A20533" i="4"/>
  <c r="A22878" i="4"/>
  <c r="A692" i="4"/>
  <c r="A14612" i="4"/>
  <c r="A22877" i="4"/>
  <c r="A14611" i="4"/>
  <c r="A7595" i="4"/>
  <c r="A7594" i="4"/>
  <c r="A691" i="4"/>
  <c r="A2191" i="4"/>
  <c r="A14610" i="4"/>
  <c r="A2190" i="4"/>
  <c r="A2189" i="4"/>
  <c r="A22876" i="4"/>
  <c r="A11710" i="4"/>
  <c r="A22875" i="4"/>
  <c r="A13419" i="4"/>
  <c r="A13418" i="4"/>
  <c r="A11052" i="4"/>
  <c r="A22874" i="4"/>
  <c r="A11709" i="4"/>
  <c r="A11708" i="4"/>
  <c r="A22873" i="4"/>
  <c r="A22872" i="4"/>
  <c r="A10125" i="4"/>
  <c r="A10124" i="4"/>
  <c r="A10123" i="4"/>
  <c r="A10122" i="4"/>
  <c r="A8528" i="4"/>
  <c r="A22871" i="4"/>
  <c r="A10121" i="4"/>
  <c r="A10120" i="4"/>
  <c r="A10119" i="4"/>
  <c r="A10118" i="4"/>
  <c r="A286" i="4"/>
  <c r="A285" i="4"/>
  <c r="A20532" i="4"/>
  <c r="A14609" i="4"/>
  <c r="A22870" i="4"/>
  <c r="A14608" i="4"/>
  <c r="A14607" i="4"/>
  <c r="A14606" i="4"/>
  <c r="A22869" i="4"/>
  <c r="A12391" i="4"/>
  <c r="A22868" i="4"/>
  <c r="A22867" i="4"/>
  <c r="A284" i="4"/>
  <c r="A283" i="4"/>
  <c r="A14605" i="4"/>
  <c r="A14604" i="4"/>
  <c r="A22866" i="4"/>
  <c r="A3624" i="4"/>
  <c r="A5403" i="4"/>
  <c r="A5402" i="4"/>
  <c r="A12876" i="4"/>
  <c r="A5290" i="4"/>
  <c r="A5289" i="4"/>
  <c r="A5288" i="4"/>
  <c r="A5287" i="4"/>
  <c r="A3623" i="4"/>
  <c r="A3622" i="4"/>
  <c r="A3621" i="4"/>
  <c r="A22865" i="4"/>
  <c r="A22864" i="4"/>
  <c r="A22863" i="4"/>
  <c r="A22862" i="4"/>
  <c r="A22861" i="4"/>
  <c r="A22860" i="4"/>
  <c r="A16065" i="4"/>
  <c r="A22859" i="4"/>
  <c r="A690" i="4"/>
  <c r="A689" i="4"/>
  <c r="A688" i="4"/>
  <c r="A687" i="4"/>
  <c r="A686" i="4"/>
  <c r="A22858" i="4"/>
  <c r="A3620" i="4"/>
  <c r="A16064" i="4"/>
  <c r="A16063" i="4"/>
  <c r="A16062" i="4"/>
  <c r="A16061" i="4"/>
  <c r="A18959" i="4"/>
  <c r="A18958" i="4"/>
  <c r="A22857" i="4"/>
  <c r="A14603" i="4"/>
  <c r="A17732" i="4"/>
  <c r="A10117" i="4"/>
  <c r="A88" i="4"/>
  <c r="A9741" i="4"/>
  <c r="A9740" i="4"/>
  <c r="A9739" i="4"/>
  <c r="A7593" i="4"/>
  <c r="A7592" i="4"/>
  <c r="A3619" i="4"/>
  <c r="A3618" i="4"/>
  <c r="A3617" i="4"/>
  <c r="A3616" i="4"/>
  <c r="A3615" i="4"/>
  <c r="A3614" i="4"/>
  <c r="A3613" i="4"/>
  <c r="A685" i="4"/>
  <c r="A684" i="4"/>
  <c r="A683" i="4"/>
  <c r="A22856" i="4"/>
  <c r="A1937" i="4"/>
  <c r="A22855" i="4"/>
  <c r="A14602" i="4"/>
  <c r="A14601" i="4"/>
  <c r="A22854" i="4"/>
  <c r="A3612" i="4"/>
  <c r="A10116" i="4"/>
  <c r="A10115" i="4"/>
  <c r="A22853" i="4"/>
  <c r="A22852" i="4"/>
  <c r="A22851" i="4"/>
  <c r="A18957" i="4"/>
  <c r="A18956" i="4"/>
  <c r="A7591" i="4"/>
  <c r="A22850" i="4"/>
  <c r="A22849" i="4"/>
  <c r="A10114" i="4"/>
  <c r="A10113" i="4"/>
  <c r="A14600" i="4"/>
  <c r="A22848" i="4"/>
  <c r="A22847" i="4"/>
  <c r="A16060" i="4"/>
  <c r="A16059" i="4"/>
  <c r="A16058" i="4"/>
  <c r="A16057" i="4"/>
  <c r="A16056" i="4"/>
  <c r="A16055" i="4"/>
  <c r="A16054" i="4"/>
  <c r="A18955" i="4"/>
  <c r="A18954" i="4"/>
  <c r="A18953" i="4"/>
  <c r="A18952" i="4"/>
  <c r="A18951" i="4"/>
  <c r="A18950" i="4"/>
  <c r="A9398" i="4"/>
  <c r="A9397" i="4"/>
  <c r="A9952" i="4"/>
  <c r="A22846" i="4"/>
  <c r="A18949" i="4"/>
  <c r="A18948" i="4"/>
  <c r="A18947" i="4"/>
  <c r="A18946" i="4"/>
  <c r="A22845" i="4"/>
  <c r="A15599" i="4"/>
  <c r="A14599" i="4"/>
  <c r="A22844" i="4"/>
  <c r="A11707" i="4"/>
  <c r="A11706" i="4"/>
  <c r="A11705" i="4"/>
  <c r="A3611" i="4"/>
  <c r="A3610" i="4"/>
  <c r="A3609" i="4"/>
  <c r="A22843" i="4"/>
  <c r="A10112" i="4"/>
  <c r="A13417" i="4"/>
  <c r="A6254" i="4"/>
  <c r="A6253" i="4"/>
  <c r="A6252" i="4"/>
  <c r="A3608" i="4"/>
  <c r="A3607" i="4"/>
  <c r="A3606" i="4"/>
  <c r="A3605" i="4"/>
  <c r="A3604" i="4"/>
  <c r="A3603" i="4"/>
  <c r="A13416" i="4"/>
  <c r="A22842" i="4"/>
  <c r="A10111" i="4"/>
  <c r="A3602" i="4"/>
  <c r="A3601" i="4"/>
  <c r="A10110" i="4"/>
  <c r="A10109" i="4"/>
  <c r="A682" i="4"/>
  <c r="A11704" i="4"/>
  <c r="A11703" i="4"/>
  <c r="A5401" i="4"/>
  <c r="A6530" i="4"/>
  <c r="A5286" i="4"/>
  <c r="A5285" i="4"/>
  <c r="A20674" i="4"/>
  <c r="A20673" i="4"/>
  <c r="A20672" i="4"/>
  <c r="A22841" i="4"/>
  <c r="A3600" i="4"/>
  <c r="A22840" i="4"/>
  <c r="A22839" i="4"/>
  <c r="A5175" i="4"/>
  <c r="A5174" i="4"/>
  <c r="A18945" i="4"/>
  <c r="A18944" i="4"/>
  <c r="A18943" i="4"/>
  <c r="A18942" i="4"/>
  <c r="A18941" i="4"/>
  <c r="A18940" i="4"/>
  <c r="A5284" i="4"/>
  <c r="A9738" i="4"/>
  <c r="A9737" i="4"/>
  <c r="A9736" i="4"/>
  <c r="A9735" i="4"/>
  <c r="A9734" i="4"/>
  <c r="A9733" i="4"/>
  <c r="A9732" i="4"/>
  <c r="A9731" i="4"/>
  <c r="A9730" i="4"/>
  <c r="A87" i="4"/>
  <c r="A86" i="4"/>
  <c r="A22838" i="4"/>
  <c r="A16053" i="4"/>
  <c r="A85" i="4"/>
  <c r="A22837" i="4"/>
  <c r="A18939" i="4"/>
  <c r="A18938" i="4"/>
  <c r="A22836" i="4"/>
  <c r="A18937" i="4"/>
  <c r="A18936" i="4"/>
  <c r="A18935" i="4"/>
  <c r="A18934" i="4"/>
  <c r="A18933" i="4"/>
  <c r="A22835" i="4"/>
  <c r="A22834" i="4"/>
  <c r="A16052" i="4"/>
  <c r="A16051" i="4"/>
  <c r="A22833" i="4"/>
  <c r="A16050" i="4"/>
  <c r="A16049" i="4"/>
  <c r="A16048" i="4"/>
  <c r="A2188" i="4"/>
  <c r="A22832" i="4"/>
  <c r="A22831" i="4"/>
  <c r="A22830" i="4"/>
  <c r="A7590" i="4"/>
  <c r="A14598" i="4"/>
  <c r="A22829" i="4"/>
  <c r="A681" i="4"/>
  <c r="A680" i="4"/>
  <c r="A14597" i="4"/>
  <c r="A14596" i="4"/>
  <c r="A14595" i="4"/>
  <c r="A14594" i="4"/>
  <c r="A679" i="4"/>
  <c r="A678" i="4"/>
  <c r="A17731" i="4"/>
  <c r="A22828" i="4"/>
  <c r="A14593" i="4"/>
  <c r="A2187" i="4"/>
  <c r="A2186" i="4"/>
  <c r="A2185" i="4"/>
  <c r="A13415" i="4"/>
  <c r="A22827" i="4"/>
  <c r="A5936" i="4"/>
  <c r="A8992" i="4"/>
  <c r="A3599" i="4"/>
  <c r="A3598" i="4"/>
  <c r="A3597" i="4"/>
  <c r="A3596" i="4"/>
  <c r="A3595" i="4"/>
  <c r="A11051" i="4"/>
  <c r="A5400" i="4"/>
  <c r="A5399" i="4"/>
  <c r="A11050" i="4"/>
  <c r="A11049" i="4"/>
  <c r="A11048" i="4"/>
  <c r="A22826" i="4"/>
  <c r="A10997" i="4"/>
  <c r="A11702" i="4"/>
  <c r="A22825" i="4"/>
  <c r="A677" i="4"/>
  <c r="A676" i="4"/>
  <c r="A14592" i="4"/>
  <c r="A14591" i="4"/>
  <c r="A14590" i="4"/>
  <c r="A14589" i="4"/>
  <c r="A2184" i="4"/>
  <c r="A2183" i="4"/>
  <c r="A22824" i="4"/>
  <c r="A22823" i="4"/>
  <c r="A14588" i="4"/>
  <c r="A22822" i="4"/>
  <c r="A22821" i="4"/>
  <c r="A22820" i="4"/>
  <c r="A22819" i="4"/>
  <c r="A12390" i="4"/>
  <c r="A22818" i="4"/>
  <c r="A22817" i="4"/>
  <c r="A22816" i="4"/>
  <c r="A22815" i="4"/>
  <c r="A22814" i="4"/>
  <c r="A22813" i="4"/>
  <c r="A22812" i="4"/>
  <c r="A22811" i="4"/>
  <c r="A22810" i="4"/>
  <c r="A282" i="4"/>
  <c r="A281" i="4"/>
  <c r="A22809" i="4"/>
  <c r="A22808" i="4"/>
  <c r="A280" i="4"/>
  <c r="A22807" i="4"/>
  <c r="A22806" i="4"/>
  <c r="A22805" i="4"/>
  <c r="A5597" i="4"/>
  <c r="A5596" i="4"/>
  <c r="A22804" i="4"/>
  <c r="A5283" i="4"/>
  <c r="A20671" i="4"/>
  <c r="A16047" i="4"/>
  <c r="A16046" i="4"/>
  <c r="A675" i="4"/>
  <c r="A674" i="4"/>
  <c r="A22803" i="4"/>
  <c r="A22802" i="4"/>
  <c r="A22801" i="4"/>
  <c r="A22800" i="4"/>
  <c r="A279" i="4"/>
  <c r="A14587" i="4"/>
  <c r="A14586" i="4"/>
  <c r="A11701" i="4"/>
  <c r="A6529" i="4"/>
  <c r="A22799" i="4"/>
  <c r="A22798" i="4"/>
  <c r="A14585" i="4"/>
  <c r="A1894" i="4"/>
  <c r="A1893" i="4"/>
  <c r="A1892" i="4"/>
  <c r="A3594" i="4"/>
  <c r="A22797" i="4"/>
  <c r="A22796" i="4"/>
  <c r="A22795" i="4"/>
  <c r="A16045" i="4"/>
  <c r="A22794" i="4"/>
  <c r="A18932" i="4"/>
  <c r="A18931" i="4"/>
  <c r="A18930" i="4"/>
  <c r="A7589" i="4"/>
  <c r="A11700" i="4"/>
  <c r="A11699" i="4"/>
  <c r="A7588" i="4"/>
  <c r="A7587" i="4"/>
  <c r="A22793" i="4"/>
  <c r="A5595" i="4"/>
  <c r="A18929" i="4"/>
  <c r="A17668" i="4"/>
  <c r="A17667" i="4"/>
  <c r="A8475" i="4"/>
  <c r="A14584" i="4"/>
  <c r="A3593" i="4"/>
  <c r="A3592" i="4"/>
  <c r="A3591" i="4"/>
  <c r="A3590" i="4"/>
  <c r="A3589" i="4"/>
  <c r="A3588" i="4"/>
  <c r="A3587" i="4"/>
  <c r="A14583" i="4"/>
  <c r="A14582" i="4"/>
  <c r="A6251" i="4"/>
  <c r="A16044" i="4"/>
  <c r="A18928" i="4"/>
  <c r="A18927" i="4"/>
  <c r="A8459" i="4"/>
  <c r="A2182" i="4"/>
  <c r="A2181" i="4"/>
  <c r="A7586" i="4"/>
  <c r="A14581" i="4"/>
  <c r="A14580" i="4"/>
  <c r="A14579" i="4"/>
  <c r="A14578" i="4"/>
  <c r="A22792" i="4"/>
  <c r="A2180" i="4"/>
  <c r="A22791" i="4"/>
  <c r="A2179" i="4"/>
  <c r="A22790" i="4"/>
  <c r="A10108" i="4"/>
  <c r="A22789" i="4"/>
  <c r="A10107" i="4"/>
  <c r="A13414" i="4"/>
  <c r="A13413" i="4"/>
  <c r="A10106" i="4"/>
  <c r="A10105" i="4"/>
  <c r="A2178" i="4"/>
  <c r="A14577" i="4"/>
  <c r="A14576" i="4"/>
  <c r="A22788" i="4"/>
  <c r="A22787" i="4"/>
  <c r="A22786" i="4"/>
  <c r="A22785" i="4"/>
  <c r="A22784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278" i="4"/>
  <c r="A277" i="4"/>
  <c r="A22783" i="4"/>
  <c r="A18914" i="4"/>
  <c r="A9729" i="4"/>
  <c r="A9728" i="4"/>
  <c r="A9727" i="4"/>
  <c r="A84" i="4"/>
  <c r="A22782" i="4"/>
  <c r="A18913" i="4"/>
  <c r="A18912" i="4"/>
  <c r="A18911" i="4"/>
  <c r="A22781" i="4"/>
  <c r="A16043" i="4"/>
  <c r="A16042" i="4"/>
  <c r="A16041" i="4"/>
  <c r="A2177" i="4"/>
  <c r="A12389" i="4"/>
  <c r="A7585" i="4"/>
  <c r="A673" i="4"/>
  <c r="A672" i="4"/>
  <c r="A671" i="4"/>
  <c r="A14575" i="4"/>
  <c r="A7584" i="4"/>
  <c r="A7583" i="4"/>
  <c r="A670" i="4"/>
  <c r="A14574" i="4"/>
  <c r="A22780" i="4"/>
  <c r="A11698" i="4"/>
  <c r="A11697" i="4"/>
  <c r="A11696" i="4"/>
  <c r="A11695" i="4"/>
  <c r="A11694" i="4"/>
  <c r="A11693" i="4"/>
  <c r="A11692" i="4"/>
  <c r="A14573" i="4"/>
  <c r="A14572" i="4"/>
  <c r="A22779" i="4"/>
  <c r="A3586" i="4"/>
  <c r="A3585" i="4"/>
  <c r="A3584" i="4"/>
  <c r="A3583" i="4"/>
  <c r="A3582" i="4"/>
  <c r="A3581" i="4"/>
  <c r="A3580" i="4"/>
  <c r="A3579" i="4"/>
  <c r="A22778" i="4"/>
  <c r="A2176" i="4"/>
  <c r="A2175" i="4"/>
  <c r="A22777" i="4"/>
  <c r="A14571" i="4"/>
  <c r="A13253" i="4"/>
  <c r="A14570" i="4"/>
  <c r="A14569" i="4"/>
  <c r="A22776" i="4"/>
  <c r="A22775" i="4"/>
  <c r="A22774" i="4"/>
  <c r="A12388" i="4"/>
  <c r="A22773" i="4"/>
  <c r="A22772" i="4"/>
  <c r="A22771" i="4"/>
  <c r="A12387" i="4"/>
  <c r="A12386" i="4"/>
  <c r="A10842" i="4"/>
  <c r="A10841" i="4"/>
  <c r="A14568" i="4"/>
  <c r="A5594" i="4"/>
  <c r="A276" i="4"/>
  <c r="A22770" i="4"/>
  <c r="A669" i="4"/>
  <c r="A668" i="4"/>
  <c r="A667" i="4"/>
  <c r="A666" i="4"/>
  <c r="A22769" i="4"/>
  <c r="A22768" i="4"/>
  <c r="A10104" i="4"/>
  <c r="A11691" i="4"/>
  <c r="A11690" i="4"/>
  <c r="A11689" i="4"/>
  <c r="A11688" i="4"/>
  <c r="A11687" i="4"/>
  <c r="A22767" i="4"/>
  <c r="A5173" i="4"/>
  <c r="A5172" i="4"/>
  <c r="A3578" i="4"/>
  <c r="A11686" i="4"/>
  <c r="A3577" i="4"/>
  <c r="A12256" i="4"/>
  <c r="A12255" i="4"/>
  <c r="A1730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10103" i="4"/>
  <c r="A3564" i="4"/>
  <c r="A3563" i="4"/>
  <c r="A3562" i="4"/>
  <c r="A22766" i="4"/>
  <c r="A8527" i="4"/>
  <c r="A3561" i="4"/>
  <c r="A3560" i="4"/>
  <c r="A3559" i="4"/>
  <c r="A3558" i="4"/>
  <c r="A3557" i="4"/>
  <c r="A3556" i="4"/>
  <c r="A3555" i="4"/>
  <c r="A3554" i="4"/>
  <c r="A1729" i="4"/>
  <c r="A1728" i="4"/>
  <c r="A13412" i="4"/>
  <c r="A3553" i="4"/>
  <c r="A3552" i="4"/>
  <c r="A3551" i="4"/>
  <c r="A17199" i="4"/>
  <c r="A3550" i="4"/>
  <c r="A22765" i="4"/>
  <c r="A3549" i="4"/>
  <c r="A10102" i="4"/>
  <c r="A10101" i="4"/>
  <c r="A10100" i="4"/>
  <c r="A22764" i="4"/>
  <c r="A14567" i="4"/>
  <c r="A3548" i="4"/>
  <c r="A1727" i="4"/>
  <c r="A3547" i="4"/>
  <c r="A3546" i="4"/>
  <c r="A3545" i="4"/>
  <c r="A16040" i="4"/>
  <c r="A18910" i="4"/>
  <c r="A18909" i="4"/>
  <c r="A18908" i="4"/>
  <c r="A18907" i="4"/>
  <c r="A22763" i="4"/>
  <c r="A15516" i="4"/>
  <c r="A15515" i="4"/>
  <c r="A10099" i="4"/>
  <c r="A10098" i="4"/>
  <c r="A10097" i="4"/>
  <c r="A10096" i="4"/>
  <c r="A9726" i="4"/>
  <c r="A22762" i="4"/>
  <c r="A22761" i="4"/>
  <c r="A22760" i="4"/>
  <c r="A22759" i="4"/>
  <c r="A3544" i="4"/>
  <c r="A10095" i="4"/>
  <c r="A10094" i="4"/>
  <c r="A6250" i="4"/>
  <c r="A6249" i="4"/>
  <c r="A8526" i="4"/>
  <c r="A2174" i="4"/>
  <c r="A2173" i="4"/>
  <c r="A8525" i="4"/>
  <c r="A10093" i="4"/>
  <c r="A10092" i="4"/>
  <c r="A22758" i="4"/>
  <c r="A10091" i="4"/>
  <c r="A22757" i="4"/>
  <c r="A17592" i="4"/>
  <c r="A14566" i="4"/>
  <c r="A3543" i="4"/>
  <c r="A6528" i="4"/>
  <c r="A5593" i="4"/>
  <c r="A22756" i="4"/>
  <c r="A9725" i="4"/>
  <c r="A5171" i="4"/>
  <c r="A5170" i="4"/>
  <c r="A22755" i="4"/>
  <c r="A5169" i="4"/>
  <c r="A5168" i="4"/>
  <c r="A18906" i="4"/>
  <c r="A18905" i="4"/>
  <c r="A18904" i="4"/>
  <c r="A18903" i="4"/>
  <c r="A22754" i="4"/>
  <c r="A22753" i="4"/>
  <c r="A22752" i="4"/>
  <c r="A5282" i="4"/>
  <c r="A22751" i="4"/>
  <c r="A22750" i="4"/>
  <c r="A9724" i="4"/>
  <c r="A9723" i="4"/>
  <c r="A9722" i="4"/>
  <c r="A9721" i="4"/>
  <c r="A83" i="4"/>
  <c r="A9720" i="4"/>
  <c r="A9719" i="4"/>
  <c r="A9718" i="4"/>
  <c r="A9717" i="4"/>
  <c r="A9716" i="4"/>
  <c r="A82" i="4"/>
  <c r="A9715" i="4"/>
  <c r="A22749" i="4"/>
  <c r="A9714" i="4"/>
  <c r="A9713" i="4"/>
  <c r="A9712" i="4"/>
  <c r="A22748" i="4"/>
  <c r="A22747" i="4"/>
  <c r="A18902" i="4"/>
  <c r="A22746" i="4"/>
  <c r="A18901" i="4"/>
  <c r="A22745" i="4"/>
  <c r="A18900" i="4"/>
  <c r="A18899" i="4"/>
  <c r="A16039" i="4"/>
  <c r="A13047" i="4"/>
  <c r="A16038" i="4"/>
  <c r="A16037" i="4"/>
  <c r="A15514" i="4"/>
  <c r="A18898" i="4"/>
  <c r="A9711" i="4"/>
  <c r="A7582" i="4"/>
  <c r="A22744" i="4"/>
  <c r="A14565" i="4"/>
  <c r="A665" i="4"/>
  <c r="A664" i="4"/>
  <c r="A14564" i="4"/>
  <c r="A22743" i="4"/>
  <c r="A22742" i="4"/>
  <c r="A22741" i="4"/>
  <c r="A663" i="4"/>
  <c r="A22740" i="4"/>
  <c r="A14563" i="4"/>
  <c r="A662" i="4"/>
  <c r="A11685" i="4"/>
  <c r="A11684" i="4"/>
  <c r="A8524" i="4"/>
  <c r="A8523" i="4"/>
  <c r="A3542" i="4"/>
  <c r="A3541" i="4"/>
  <c r="A3540" i="4"/>
  <c r="A22739" i="4"/>
  <c r="A6248" i="4"/>
  <c r="A11683" i="4"/>
  <c r="A11682" i="4"/>
  <c r="A11681" i="4"/>
  <c r="A10090" i="4"/>
  <c r="A22738" i="4"/>
  <c r="A22737" i="4"/>
  <c r="A22736" i="4"/>
  <c r="A7581" i="4"/>
  <c r="A22735" i="4"/>
  <c r="A14562" i="4"/>
  <c r="A2172" i="4"/>
  <c r="A14561" i="4"/>
  <c r="A14560" i="4"/>
  <c r="A2171" i="4"/>
  <c r="A22734" i="4"/>
  <c r="A22733" i="4"/>
  <c r="A12385" i="4"/>
  <c r="A22732" i="4"/>
  <c r="A22731" i="4"/>
  <c r="A22730" i="4"/>
  <c r="A22729" i="4"/>
  <c r="A22728" i="4"/>
  <c r="A22727" i="4"/>
  <c r="A22726" i="4"/>
  <c r="A275" i="4"/>
  <c r="A22725" i="4"/>
  <c r="A5398" i="4"/>
  <c r="A10089" i="4"/>
  <c r="A20531" i="4"/>
  <c r="A22724" i="4"/>
  <c r="A20670" i="4"/>
  <c r="A22723" i="4"/>
  <c r="A18897" i="4"/>
  <c r="A16036" i="4"/>
  <c r="A16035" i="4"/>
  <c r="A16034" i="4"/>
  <c r="A16033" i="4"/>
  <c r="A22722" i="4"/>
  <c r="A16032" i="4"/>
  <c r="A16031" i="4"/>
  <c r="A16030" i="4"/>
  <c r="A16029" i="4"/>
  <c r="A16028" i="4"/>
  <c r="A22721" i="4"/>
  <c r="A16027" i="4"/>
  <c r="A16026" i="4"/>
  <c r="A16025" i="4"/>
  <c r="A16024" i="4"/>
  <c r="A661" i="4"/>
  <c r="A660" i="4"/>
  <c r="A659" i="4"/>
  <c r="A658" i="4"/>
  <c r="A22720" i="4"/>
  <c r="A22719" i="4"/>
  <c r="A3539" i="4"/>
  <c r="A18896" i="4"/>
  <c r="A18895" i="4"/>
  <c r="A18894" i="4"/>
  <c r="A7580" i="4"/>
  <c r="A2170" i="4"/>
  <c r="A14559" i="4"/>
  <c r="A14558" i="4"/>
  <c r="A22718" i="4"/>
  <c r="A22717" i="4"/>
  <c r="A18893" i="4"/>
  <c r="A18892" i="4"/>
  <c r="A18891" i="4"/>
  <c r="A18890" i="4"/>
  <c r="A18889" i="4"/>
  <c r="A1936" i="4"/>
  <c r="A1935" i="4"/>
  <c r="A14557" i="4"/>
  <c r="A3538" i="4"/>
  <c r="A3537" i="4"/>
  <c r="A3536" i="4"/>
  <c r="A3535" i="4"/>
  <c r="A3534" i="4"/>
  <c r="A3533" i="4"/>
  <c r="A22716" i="4"/>
  <c r="A7579" i="4"/>
  <c r="A7578" i="4"/>
  <c r="A2169" i="4"/>
  <c r="A2168" i="4"/>
  <c r="A22715" i="4"/>
  <c r="A22714" i="4"/>
  <c r="A18888" i="4"/>
  <c r="A16023" i="4"/>
  <c r="A11680" i="4"/>
  <c r="A11679" i="4"/>
  <c r="A1726" i="4"/>
  <c r="A3532" i="4"/>
  <c r="A3531" i="4"/>
  <c r="A3530" i="4"/>
  <c r="A12254" i="4"/>
  <c r="A12253" i="4"/>
  <c r="A17891" i="4"/>
  <c r="A3529" i="4"/>
  <c r="A3528" i="4"/>
  <c r="A3527" i="4"/>
  <c r="A3526" i="4"/>
  <c r="A3525" i="4"/>
  <c r="A3524" i="4"/>
  <c r="A3523" i="4"/>
  <c r="A22713" i="4"/>
  <c r="A3522" i="4"/>
  <c r="A3521" i="4"/>
  <c r="A3520" i="4"/>
  <c r="A3519" i="4"/>
  <c r="A3518" i="4"/>
  <c r="A3517" i="4"/>
  <c r="A3516" i="4"/>
  <c r="A8522" i="4"/>
  <c r="A8521" i="4"/>
  <c r="A3515" i="4"/>
  <c r="A3514" i="4"/>
  <c r="A3513" i="4"/>
  <c r="A3512" i="4"/>
  <c r="A3511" i="4"/>
  <c r="A22712" i="4"/>
  <c r="A3510" i="4"/>
  <c r="A3509" i="4"/>
  <c r="A10088" i="4"/>
  <c r="A6527" i="4"/>
  <c r="A22711" i="4"/>
  <c r="A22710" i="4"/>
  <c r="A22709" i="4"/>
  <c r="A22708" i="4"/>
  <c r="A2167" i="4"/>
  <c r="A22707" i="4"/>
  <c r="A11678" i="4"/>
  <c r="A11677" i="4"/>
  <c r="A22706" i="4"/>
  <c r="A22705" i="4"/>
  <c r="A3508" i="4"/>
  <c r="A3507" i="4"/>
  <c r="A16022" i="4"/>
  <c r="A16021" i="4"/>
  <c r="A16020" i="4"/>
  <c r="A16019" i="4"/>
  <c r="A3506" i="4"/>
  <c r="A3505" i="4"/>
  <c r="A22704" i="4"/>
  <c r="A8458" i="4"/>
  <c r="A14556" i="4"/>
  <c r="A14555" i="4"/>
  <c r="A14554" i="4"/>
  <c r="A14553" i="4"/>
  <c r="A17730" i="4"/>
  <c r="A17729" i="4"/>
  <c r="A3504" i="4"/>
  <c r="A3503" i="4"/>
  <c r="A22703" i="4"/>
  <c r="A11676" i="4"/>
  <c r="A22702" i="4"/>
  <c r="A11675" i="4"/>
  <c r="A10087" i="4"/>
  <c r="A13411" i="4"/>
  <c r="A15586" i="4"/>
  <c r="A15374" i="4"/>
  <c r="A3502" i="4"/>
  <c r="A22701" i="4"/>
  <c r="A9369" i="4"/>
  <c r="A22700" i="4"/>
  <c r="A18887" i="4"/>
  <c r="A18886" i="4"/>
  <c r="A18885" i="4"/>
  <c r="A18884" i="4"/>
  <c r="A18883" i="4"/>
  <c r="A5167" i="4"/>
  <c r="A18882" i="4"/>
  <c r="A18881" i="4"/>
  <c r="A18880" i="4"/>
  <c r="A18879" i="4"/>
  <c r="A5935" i="4"/>
  <c r="A5934" i="4"/>
  <c r="A11674" i="4"/>
  <c r="A22699" i="4"/>
  <c r="A17666" i="4"/>
  <c r="A9710" i="4"/>
  <c r="A81" i="4"/>
  <c r="A22698" i="4"/>
  <c r="A16018" i="4"/>
  <c r="A7577" i="4"/>
  <c r="A7576" i="4"/>
  <c r="A7575" i="4"/>
  <c r="A7574" i="4"/>
  <c r="A657" i="4"/>
  <c r="A22697" i="4"/>
  <c r="A14552" i="4"/>
  <c r="A14551" i="4"/>
  <c r="A2166" i="4"/>
  <c r="A22696" i="4"/>
  <c r="A5933" i="4"/>
  <c r="A11673" i="4"/>
  <c r="A22695" i="4"/>
  <c r="A3501" i="4"/>
  <c r="A3500" i="4"/>
  <c r="A3499" i="4"/>
  <c r="A11672" i="4"/>
  <c r="A13410" i="4"/>
  <c r="A20804" i="4"/>
  <c r="A22694" i="4"/>
  <c r="A22693" i="4"/>
  <c r="A22692" i="4"/>
  <c r="A22691" i="4"/>
  <c r="A22690" i="4"/>
  <c r="A12384" i="4"/>
  <c r="A22689" i="4"/>
  <c r="A274" i="4"/>
  <c r="A273" i="4"/>
  <c r="A10840" i="4"/>
  <c r="A10839" i="4"/>
  <c r="A22688" i="4"/>
  <c r="A22687" i="4"/>
  <c r="A10838" i="4"/>
  <c r="A5397" i="4"/>
  <c r="A22686" i="4"/>
  <c r="A5396" i="4"/>
  <c r="A5281" i="4"/>
  <c r="A22685" i="4"/>
  <c r="A5280" i="4"/>
  <c r="A272" i="4"/>
  <c r="A16017" i="4"/>
  <c r="A16016" i="4"/>
  <c r="A16015" i="4"/>
  <c r="A22684" i="4"/>
  <c r="A16014" i="4"/>
  <c r="A22683" i="4"/>
  <c r="A16013" i="4"/>
  <c r="A16012" i="4"/>
  <c r="A656" i="4"/>
  <c r="A655" i="4"/>
  <c r="A271" i="4"/>
  <c r="A22682" i="4"/>
  <c r="A22681" i="4"/>
  <c r="A22680" i="4"/>
  <c r="A22679" i="4"/>
  <c r="A17591" i="4"/>
  <c r="A22678" i="4"/>
  <c r="A7573" i="4"/>
  <c r="A7572" i="4"/>
  <c r="A270" i="4"/>
  <c r="A11671" i="4"/>
  <c r="A11670" i="4"/>
  <c r="A11669" i="4"/>
  <c r="A22677" i="4"/>
  <c r="A18878" i="4"/>
  <c r="A18877" i="4"/>
  <c r="A18876" i="4"/>
  <c r="A18875" i="4"/>
  <c r="A16011" i="4"/>
  <c r="A5166" i="4"/>
  <c r="A18874" i="4"/>
  <c r="A18873" i="4"/>
  <c r="A7571" i="4"/>
  <c r="A7570" i="4"/>
  <c r="A654" i="4"/>
  <c r="A653" i="4"/>
  <c r="A652" i="4"/>
  <c r="A651" i="4"/>
  <c r="A17728" i="4"/>
  <c r="A17727" i="4"/>
  <c r="A11668" i="4"/>
  <c r="A11667" i="4"/>
  <c r="A11666" i="4"/>
  <c r="A11665" i="4"/>
  <c r="A11664" i="4"/>
  <c r="A11663" i="4"/>
  <c r="A11662" i="4"/>
  <c r="A11661" i="4"/>
  <c r="A11660" i="4"/>
  <c r="A11659" i="4"/>
  <c r="A2165" i="4"/>
  <c r="A14550" i="4"/>
  <c r="A269" i="4"/>
  <c r="A3498" i="4"/>
  <c r="A3497" i="4"/>
  <c r="A14549" i="4"/>
  <c r="A18123" i="4"/>
  <c r="A11658" i="4"/>
  <c r="A11657" i="4"/>
  <c r="A6526" i="4"/>
  <c r="A22676" i="4"/>
  <c r="A2164" i="4"/>
  <c r="A2163" i="4"/>
  <c r="A22675" i="4"/>
  <c r="A22674" i="4"/>
  <c r="A22673" i="4"/>
  <c r="A18872" i="4"/>
  <c r="A22672" i="4"/>
  <c r="A18871" i="4"/>
  <c r="A16010" i="4"/>
  <c r="A16009" i="4"/>
  <c r="A16008" i="4"/>
  <c r="A16007" i="4"/>
  <c r="A14548" i="4"/>
  <c r="A22671" i="4"/>
  <c r="A22670" i="4"/>
  <c r="A14547" i="4"/>
  <c r="A2162" i="4"/>
  <c r="A12383" i="4"/>
  <c r="A12382" i="4"/>
  <c r="A12381" i="4"/>
  <c r="A3496" i="4"/>
  <c r="A3495" i="4"/>
  <c r="A3494" i="4"/>
  <c r="A22669" i="4"/>
  <c r="A3493" i="4"/>
  <c r="A3492" i="4"/>
  <c r="A3491" i="4"/>
  <c r="A22668" i="4"/>
  <c r="A5165" i="4"/>
  <c r="A22667" i="4"/>
  <c r="A5164" i="4"/>
  <c r="A16006" i="4"/>
  <c r="A16005" i="4"/>
  <c r="A22666" i="4"/>
  <c r="A18870" i="4"/>
  <c r="A18869" i="4"/>
  <c r="A18868" i="4"/>
  <c r="A18867" i="4"/>
  <c r="A18866" i="4"/>
  <c r="A18865" i="4"/>
  <c r="A18864" i="4"/>
  <c r="A2505" i="4"/>
  <c r="A22665" i="4"/>
  <c r="A17726" i="4"/>
  <c r="A22664" i="4"/>
  <c r="A9396" i="4"/>
  <c r="A9709" i="4"/>
  <c r="A9708" i="4"/>
  <c r="A9707" i="4"/>
  <c r="A9706" i="4"/>
  <c r="A80" i="4"/>
  <c r="A18863" i="4"/>
  <c r="A18862" i="4"/>
  <c r="A22663" i="4"/>
  <c r="A22662" i="4"/>
  <c r="A18861" i="4"/>
  <c r="A18860" i="4"/>
  <c r="A18859" i="4"/>
  <c r="A22661" i="4"/>
  <c r="A22660" i="4"/>
  <c r="A18858" i="4"/>
  <c r="A22659" i="4"/>
  <c r="A18857" i="4"/>
  <c r="A16004" i="4"/>
  <c r="A16003" i="4"/>
  <c r="A13598" i="4"/>
  <c r="A15513" i="4"/>
  <c r="A15512" i="4"/>
  <c r="A22658" i="4"/>
  <c r="A18856" i="4"/>
  <c r="A9395" i="4"/>
  <c r="A8457" i="4"/>
  <c r="A12380" i="4"/>
  <c r="A14546" i="4"/>
  <c r="A22657" i="4"/>
  <c r="A14545" i="4"/>
  <c r="A7569" i="4"/>
  <c r="A7568" i="4"/>
  <c r="A7567" i="4"/>
  <c r="A7566" i="4"/>
  <c r="A7565" i="4"/>
  <c r="A7564" i="4"/>
  <c r="A7563" i="4"/>
  <c r="A22656" i="4"/>
  <c r="A14544" i="4"/>
  <c r="A650" i="4"/>
  <c r="A22655" i="4"/>
  <c r="A649" i="4"/>
  <c r="A9705" i="4"/>
  <c r="A22654" i="4"/>
  <c r="A2490" i="4"/>
  <c r="A2161" i="4"/>
  <c r="A22653" i="4"/>
  <c r="A22652" i="4"/>
  <c r="A22651" i="4"/>
  <c r="A2489" i="4"/>
  <c r="A2488" i="4"/>
  <c r="A2160" i="4"/>
  <c r="A22650" i="4"/>
  <c r="A22649" i="4"/>
  <c r="A11656" i="4"/>
  <c r="A11655" i="4"/>
  <c r="A22648" i="4"/>
  <c r="A11654" i="4"/>
  <c r="A11653" i="4"/>
  <c r="A5163" i="4"/>
  <c r="A22647" i="4"/>
  <c r="A5162" i="4"/>
  <c r="A5161" i="4"/>
  <c r="A5160" i="4"/>
  <c r="A5159" i="4"/>
  <c r="A10086" i="4"/>
  <c r="A22646" i="4"/>
  <c r="A22645" i="4"/>
  <c r="A3490" i="4"/>
  <c r="A22644" i="4"/>
  <c r="A12252" i="4"/>
  <c r="A22643" i="4"/>
  <c r="A22642" i="4"/>
  <c r="A13409" i="4"/>
  <c r="A3489" i="4"/>
  <c r="A3488" i="4"/>
  <c r="A3487" i="4"/>
  <c r="A3486" i="4"/>
  <c r="A3485" i="4"/>
  <c r="A3484" i="4"/>
  <c r="A3483" i="4"/>
  <c r="A3482" i="4"/>
  <c r="A3481" i="4"/>
  <c r="A3480" i="4"/>
  <c r="A6247" i="4"/>
  <c r="A3479" i="4"/>
  <c r="A3478" i="4"/>
  <c r="A13408" i="4"/>
  <c r="A13407" i="4"/>
  <c r="A6525" i="4"/>
  <c r="A6524" i="4"/>
  <c r="A10085" i="4"/>
  <c r="A22641" i="4"/>
  <c r="A3477" i="4"/>
  <c r="A3476" i="4"/>
  <c r="A3475" i="4"/>
  <c r="A6246" i="4"/>
  <c r="A13406" i="4"/>
  <c r="A13405" i="4"/>
  <c r="A17198" i="4"/>
  <c r="A5395" i="4"/>
  <c r="A22640" i="4"/>
  <c r="A22639" i="4"/>
  <c r="A11652" i="4"/>
  <c r="A11651" i="4"/>
  <c r="A3474" i="4"/>
  <c r="A3473" i="4"/>
  <c r="A3472" i="4"/>
  <c r="A22638" i="4"/>
  <c r="A22637" i="4"/>
  <c r="A22636" i="4"/>
  <c r="A20803" i="4"/>
  <c r="A648" i="4"/>
  <c r="A647" i="4"/>
  <c r="A22635" i="4"/>
  <c r="A22634" i="4"/>
  <c r="A22633" i="4"/>
  <c r="A2159" i="4"/>
  <c r="A14543" i="4"/>
  <c r="A14542" i="4"/>
  <c r="A14541" i="4"/>
  <c r="A22632" i="4"/>
  <c r="A14540" i="4"/>
  <c r="A14539" i="4"/>
  <c r="A14538" i="4"/>
  <c r="A14537" i="4"/>
  <c r="A14536" i="4"/>
  <c r="A22631" i="4"/>
  <c r="A22630" i="4"/>
  <c r="A12379" i="4"/>
  <c r="A12378" i="4"/>
  <c r="A22629" i="4"/>
  <c r="A12377" i="4"/>
  <c r="A22628" i="4"/>
  <c r="A22627" i="4"/>
  <c r="A22626" i="4"/>
  <c r="A268" i="4"/>
  <c r="A13159" i="4"/>
  <c r="A22625" i="4"/>
  <c r="A22624" i="4"/>
  <c r="A22623" i="4"/>
  <c r="A3471" i="4"/>
  <c r="A8392" i="4"/>
  <c r="A5394" i="4"/>
  <c r="A6245" i="4"/>
  <c r="A6244" i="4"/>
  <c r="A22622" i="4"/>
  <c r="A267" i="4"/>
  <c r="A18855" i="4"/>
  <c r="A22621" i="4"/>
  <c r="A22620" i="4"/>
  <c r="A22619" i="4"/>
  <c r="A18854" i="4"/>
  <c r="A22618" i="4"/>
  <c r="A22617" i="4"/>
  <c r="A18853" i="4"/>
  <c r="A18852" i="4"/>
  <c r="A18851" i="4"/>
  <c r="A16002" i="4"/>
  <c r="A16001" i="4"/>
  <c r="A16000" i="4"/>
  <c r="A15999" i="4"/>
  <c r="A15998" i="4"/>
  <c r="A15997" i="4"/>
  <c r="A11650" i="4"/>
  <c r="A646" i="4"/>
  <c r="A645" i="4"/>
  <c r="A644" i="4"/>
  <c r="A643" i="4"/>
  <c r="A642" i="4"/>
  <c r="A641" i="4"/>
  <c r="A22616" i="4"/>
  <c r="A22615" i="4"/>
  <c r="A640" i="4"/>
  <c r="A639" i="4"/>
  <c r="A3470" i="4"/>
  <c r="A3469" i="4"/>
  <c r="A2504" i="4"/>
  <c r="A22614" i="4"/>
  <c r="A14535" i="4"/>
  <c r="A5592" i="4"/>
  <c r="A15373" i="4"/>
  <c r="A3468" i="4"/>
  <c r="A3467" i="4"/>
  <c r="A18850" i="4"/>
  <c r="A18849" i="4"/>
  <c r="A2158" i="4"/>
  <c r="A14534" i="4"/>
  <c r="A2157" i="4"/>
  <c r="A2156" i="4"/>
  <c r="A6243" i="4"/>
  <c r="A22613" i="4"/>
  <c r="A22612" i="4"/>
  <c r="A22611" i="4"/>
  <c r="A638" i="4"/>
  <c r="A22610" i="4"/>
  <c r="A14533" i="4"/>
  <c r="A22609" i="4"/>
  <c r="A22608" i="4"/>
  <c r="A22607" i="4"/>
  <c r="A22606" i="4"/>
  <c r="A22605" i="4"/>
  <c r="A5591" i="4"/>
  <c r="A5279" i="4"/>
  <c r="A266" i="4"/>
  <c r="A22604" i="4"/>
  <c r="A17665" i="4"/>
  <c r="A7562" i="4"/>
  <c r="A6242" i="4"/>
  <c r="A6241" i="4"/>
  <c r="A14532" i="4"/>
  <c r="A5393" i="4"/>
  <c r="A15996" i="4"/>
  <c r="A18848" i="4"/>
  <c r="A18847" i="4"/>
  <c r="A22603" i="4"/>
  <c r="A18846" i="4"/>
  <c r="A14531" i="4"/>
  <c r="A14530" i="4"/>
  <c r="A22602" i="4"/>
  <c r="A11649" i="4"/>
  <c r="A22601" i="4"/>
  <c r="A12376" i="4"/>
  <c r="A12375" i="4"/>
  <c r="A12374" i="4"/>
  <c r="A22600" i="4"/>
  <c r="A22599" i="4"/>
  <c r="A265" i="4"/>
  <c r="A264" i="4"/>
  <c r="A263" i="4"/>
  <c r="A3466" i="4"/>
  <c r="A3465" i="4"/>
  <c r="A22598" i="4"/>
  <c r="A18845" i="4"/>
  <c r="A5158" i="4"/>
  <c r="A15995" i="4"/>
  <c r="A22597" i="4"/>
  <c r="A18844" i="4"/>
  <c r="A18843" i="4"/>
  <c r="A18842" i="4"/>
  <c r="A18841" i="4"/>
  <c r="A18840" i="4"/>
  <c r="A18839" i="4"/>
  <c r="A18838" i="4"/>
  <c r="A18837" i="4"/>
  <c r="A22596" i="4"/>
  <c r="A18836" i="4"/>
  <c r="A15511" i="4"/>
  <c r="A22595" i="4"/>
  <c r="A5932" i="4"/>
  <c r="A22594" i="4"/>
  <c r="A22593" i="4"/>
  <c r="A18835" i="4"/>
  <c r="A18834" i="4"/>
  <c r="A22592" i="4"/>
  <c r="A22591" i="4"/>
  <c r="A22590" i="4"/>
  <c r="A18833" i="4"/>
  <c r="A18832" i="4"/>
  <c r="A15994" i="4"/>
  <c r="A5688" i="4"/>
  <c r="A5687" i="4"/>
  <c r="A22589" i="4"/>
  <c r="A22588" i="4"/>
  <c r="A14529" i="4"/>
  <c r="A14528" i="4"/>
  <c r="A637" i="4"/>
  <c r="A636" i="4"/>
  <c r="A14527" i="4"/>
  <c r="A22587" i="4"/>
  <c r="A22586" i="4"/>
  <c r="A22585" i="4"/>
  <c r="A22584" i="4"/>
  <c r="A635" i="4"/>
  <c r="A634" i="4"/>
  <c r="A22583" i="4"/>
  <c r="A14526" i="4"/>
  <c r="A633" i="4"/>
  <c r="A15993" i="4"/>
  <c r="A22582" i="4"/>
  <c r="A1725" i="4"/>
  <c r="A3464" i="4"/>
  <c r="A3463" i="4"/>
  <c r="A3462" i="4"/>
  <c r="A3461" i="4"/>
  <c r="A3460" i="4"/>
  <c r="A3459" i="4"/>
  <c r="A3458" i="4"/>
  <c r="A3457" i="4"/>
  <c r="A3456" i="4"/>
  <c r="A11648" i="4"/>
  <c r="A11647" i="4"/>
  <c r="A11646" i="4"/>
  <c r="A11645" i="4"/>
  <c r="A11644" i="4"/>
  <c r="A11643" i="4"/>
  <c r="A11642" i="4"/>
  <c r="A11641" i="4"/>
  <c r="A22581" i="4"/>
  <c r="A13597" i="4"/>
  <c r="A13596" i="4"/>
  <c r="A13595" i="4"/>
  <c r="A22580" i="4"/>
  <c r="A11640" i="4"/>
  <c r="A22579" i="4"/>
  <c r="A22578" i="4"/>
  <c r="A22577" i="4"/>
  <c r="A20530" i="4"/>
  <c r="A2155" i="4"/>
  <c r="A2154" i="4"/>
  <c r="A20529" i="4"/>
  <c r="A14525" i="4"/>
  <c r="A14524" i="4"/>
  <c r="A14523" i="4"/>
  <c r="A14522" i="4"/>
  <c r="A14521" i="4"/>
  <c r="A14520" i="4"/>
  <c r="A14519" i="4"/>
  <c r="A22576" i="4"/>
  <c r="A14518" i="4"/>
  <c r="A14517" i="4"/>
  <c r="A22575" i="4"/>
  <c r="A12373" i="4"/>
  <c r="A22574" i="4"/>
  <c r="A22573" i="4"/>
  <c r="A12372" i="4"/>
  <c r="A22572" i="4"/>
  <c r="A10837" i="4"/>
  <c r="A10836" i="4"/>
  <c r="A10835" i="4"/>
  <c r="A10834" i="4"/>
  <c r="A13158" i="4"/>
  <c r="A22571" i="4"/>
  <c r="A13157" i="4"/>
  <c r="A22570" i="4"/>
  <c r="A22569" i="4"/>
  <c r="A7561" i="4"/>
  <c r="A22568" i="4"/>
  <c r="A22567" i="4"/>
  <c r="A22566" i="4"/>
  <c r="A22565" i="4"/>
  <c r="A22564" i="4"/>
  <c r="A22563" i="4"/>
  <c r="A22562" i="4"/>
  <c r="A22561" i="4"/>
  <c r="A632" i="4"/>
  <c r="A631" i="4"/>
  <c r="A22560" i="4"/>
  <c r="A630" i="4"/>
  <c r="A629" i="4"/>
  <c r="A628" i="4"/>
  <c r="A22559" i="4"/>
  <c r="A627" i="4"/>
  <c r="A626" i="4"/>
  <c r="A3455" i="4"/>
  <c r="A3454" i="4"/>
  <c r="A79" i="4"/>
  <c r="A9704" i="4"/>
  <c r="A9703" i="4"/>
  <c r="A22558" i="4"/>
  <c r="A9702" i="4"/>
  <c r="A18831" i="4"/>
  <c r="A15992" i="4"/>
  <c r="A15991" i="4"/>
  <c r="A7560" i="4"/>
  <c r="A22557" i="4"/>
  <c r="A22556" i="4"/>
  <c r="A5931" i="4"/>
  <c r="A14516" i="4"/>
  <c r="A17287" i="4"/>
  <c r="A17286" i="4"/>
  <c r="A17285" i="4"/>
  <c r="A17284" i="4"/>
  <c r="A17283" i="4"/>
  <c r="A17282" i="4"/>
  <c r="A17281" i="4"/>
  <c r="A17280" i="4"/>
  <c r="A14515" i="4"/>
  <c r="A13404" i="4"/>
  <c r="A3453" i="4"/>
  <c r="A15990" i="4"/>
  <c r="A22555" i="4"/>
  <c r="A15989" i="4"/>
  <c r="A22554" i="4"/>
  <c r="A18830" i="4"/>
  <c r="A18829" i="4"/>
  <c r="A5851" i="4"/>
  <c r="A5157" i="4"/>
  <c r="A8520" i="4"/>
  <c r="A11639" i="4"/>
  <c r="A1724" i="4"/>
  <c r="A3452" i="4"/>
  <c r="A3451" i="4"/>
  <c r="A3450" i="4"/>
  <c r="A3449" i="4"/>
  <c r="A22553" i="4"/>
  <c r="A22552" i="4"/>
  <c r="A3448" i="4"/>
  <c r="A22551" i="4"/>
  <c r="A3447" i="4"/>
  <c r="A13403" i="4"/>
  <c r="A3446" i="4"/>
  <c r="A3445" i="4"/>
  <c r="A1723" i="4"/>
  <c r="A1722" i="4"/>
  <c r="A1721" i="4"/>
  <c r="A3444" i="4"/>
  <c r="A3443" i="4"/>
  <c r="A3442" i="4"/>
  <c r="A3441" i="4"/>
  <c r="A3440" i="4"/>
  <c r="A3439" i="4"/>
  <c r="A22550" i="4"/>
  <c r="A8519" i="4"/>
  <c r="A13402" i="4"/>
  <c r="A5156" i="4"/>
  <c r="A3438" i="4"/>
  <c r="A22549" i="4"/>
  <c r="A3437" i="4"/>
  <c r="A3436" i="4"/>
  <c r="A22548" i="4"/>
  <c r="A15988" i="4"/>
  <c r="A22547" i="4"/>
  <c r="A3435" i="4"/>
  <c r="A22546" i="4"/>
  <c r="A15987" i="4"/>
  <c r="A5155" i="4"/>
  <c r="A18828" i="4"/>
  <c r="A18827" i="4"/>
  <c r="A18826" i="4"/>
  <c r="A18825" i="4"/>
  <c r="A18824" i="4"/>
  <c r="A8456" i="4"/>
  <c r="A7559" i="4"/>
  <c r="A14514" i="4"/>
  <c r="A3434" i="4"/>
  <c r="A3433" i="4"/>
  <c r="A14513" i="4"/>
  <c r="A22545" i="4"/>
  <c r="A22544" i="4"/>
  <c r="A17725" i="4"/>
  <c r="A22543" i="4"/>
  <c r="A2153" i="4"/>
  <c r="A14512" i="4"/>
  <c r="A5686" i="4"/>
  <c r="A6240" i="4"/>
  <c r="A22542" i="4"/>
  <c r="A15510" i="4"/>
  <c r="A15509" i="4"/>
  <c r="A5154" i="4"/>
  <c r="A18823" i="4"/>
  <c r="A18822" i="4"/>
  <c r="A18821" i="4"/>
  <c r="A18820" i="4"/>
  <c r="A22541" i="4"/>
  <c r="A22540" i="4"/>
  <c r="A18819" i="4"/>
  <c r="A18818" i="4"/>
  <c r="A18817" i="4"/>
  <c r="A22539" i="4"/>
  <c r="A18816" i="4"/>
  <c r="A13046" i="4"/>
  <c r="A13045" i="4"/>
  <c r="A18815" i="4"/>
  <c r="A18814" i="4"/>
  <c r="A18813" i="4"/>
  <c r="A22538" i="4"/>
  <c r="A15986" i="4"/>
  <c r="A20528" i="4"/>
  <c r="A22537" i="4"/>
  <c r="A22536" i="4"/>
  <c r="A15985" i="4"/>
  <c r="A18812" i="4"/>
  <c r="A18811" i="4"/>
  <c r="A18810" i="4"/>
  <c r="A18809" i="4"/>
  <c r="A22535" i="4"/>
  <c r="A18808" i="4"/>
  <c r="A18807" i="4"/>
  <c r="A22534" i="4"/>
  <c r="A22533" i="4"/>
  <c r="A22532" i="4"/>
  <c r="A18806" i="4"/>
  <c r="A18805" i="4"/>
  <c r="A18804" i="4"/>
  <c r="A18803" i="4"/>
  <c r="A18802" i="4"/>
  <c r="A18801" i="4"/>
  <c r="A15984" i="4"/>
  <c r="A15983" i="4"/>
  <c r="A15982" i="4"/>
  <c r="A15981" i="4"/>
  <c r="A15980" i="4"/>
  <c r="A2152" i="4"/>
  <c r="A22531" i="4"/>
  <c r="A13252" i="4"/>
  <c r="A14511" i="4"/>
  <c r="A14510" i="4"/>
  <c r="A14509" i="4"/>
  <c r="A625" i="4"/>
  <c r="A624" i="4"/>
  <c r="A623" i="4"/>
  <c r="A622" i="4"/>
  <c r="A621" i="4"/>
  <c r="A14508" i="4"/>
  <c r="A14507" i="4"/>
  <c r="A7558" i="4"/>
  <c r="A8370" i="4"/>
  <c r="A7557" i="4"/>
  <c r="A7556" i="4"/>
  <c r="A7555" i="4"/>
  <c r="A22530" i="4"/>
  <c r="A620" i="4"/>
  <c r="A619" i="4"/>
  <c r="A14506" i="4"/>
  <c r="A2151" i="4"/>
  <c r="A2150" i="4"/>
  <c r="A14505" i="4"/>
  <c r="A14504" i="4"/>
  <c r="A11638" i="4"/>
  <c r="A11637" i="4"/>
  <c r="A11636" i="4"/>
  <c r="A5930" i="4"/>
  <c r="A22529" i="4"/>
  <c r="A1720" i="4"/>
  <c r="A1719" i="4"/>
  <c r="A10084" i="4"/>
  <c r="A1718" i="4"/>
  <c r="A22528" i="4"/>
  <c r="A22527" i="4"/>
  <c r="A3432" i="4"/>
  <c r="A11047" i="4"/>
  <c r="A11046" i="4"/>
  <c r="A11045" i="4"/>
  <c r="A11044" i="4"/>
  <c r="A11635" i="4"/>
  <c r="A11634" i="4"/>
  <c r="A11633" i="4"/>
  <c r="A22526" i="4"/>
  <c r="A11632" i="4"/>
  <c r="A11631" i="4"/>
  <c r="A11630" i="4"/>
  <c r="A11629" i="4"/>
  <c r="A11628" i="4"/>
  <c r="A11627" i="4"/>
  <c r="A14503" i="4"/>
  <c r="A14502" i="4"/>
  <c r="A14501" i="4"/>
  <c r="A14500" i="4"/>
  <c r="A2149" i="4"/>
  <c r="A2148" i="4"/>
  <c r="A2147" i="4"/>
  <c r="A14499" i="4"/>
  <c r="A14498" i="4"/>
  <c r="A14497" i="4"/>
  <c r="A22525" i="4"/>
  <c r="A14496" i="4"/>
  <c r="A22524" i="4"/>
  <c r="A22523" i="4"/>
  <c r="A22522" i="4"/>
  <c r="A22521" i="4"/>
  <c r="A22520" i="4"/>
  <c r="A12371" i="4"/>
  <c r="A22519" i="4"/>
  <c r="A262" i="4"/>
  <c r="A22518" i="4"/>
  <c r="A261" i="4"/>
  <c r="A5929" i="4"/>
  <c r="A5928" i="4"/>
  <c r="A5927" i="4"/>
  <c r="A22517" i="4"/>
  <c r="A7554" i="4"/>
  <c r="A5590" i="4"/>
  <c r="A3431" i="4"/>
  <c r="A3430" i="4"/>
  <c r="A260" i="4"/>
  <c r="A5589" i="4"/>
  <c r="A22516" i="4"/>
  <c r="A22515" i="4"/>
  <c r="A22514" i="4"/>
  <c r="A22513" i="4"/>
  <c r="A18800" i="4"/>
  <c r="A18799" i="4"/>
  <c r="A18798" i="4"/>
  <c r="A18797" i="4"/>
  <c r="A18796" i="4"/>
  <c r="A18795" i="4"/>
  <c r="A18794" i="4"/>
  <c r="A18793" i="4"/>
  <c r="A1934" i="4"/>
  <c r="A22512" i="4"/>
  <c r="A14495" i="4"/>
  <c r="A7553" i="4"/>
  <c r="A7552" i="4"/>
  <c r="A14494" i="4"/>
  <c r="A14493" i="4"/>
  <c r="A14492" i="4"/>
  <c r="A11626" i="4"/>
  <c r="A22511" i="4"/>
  <c r="A22510" i="4"/>
  <c r="A10083" i="4"/>
  <c r="A10082" i="4"/>
  <c r="A6239" i="4"/>
  <c r="A6523" i="4"/>
  <c r="A11625" i="4"/>
  <c r="A12370" i="4"/>
  <c r="A12369" i="4"/>
  <c r="A12368" i="4"/>
  <c r="A12367" i="4"/>
  <c r="A22509" i="4"/>
  <c r="A12366" i="4"/>
  <c r="A22508" i="4"/>
  <c r="A12251" i="4"/>
  <c r="A22507" i="4"/>
  <c r="A3429" i="4"/>
  <c r="A15979" i="4"/>
  <c r="A15978" i="4"/>
  <c r="A18792" i="4"/>
  <c r="A18791" i="4"/>
  <c r="A22506" i="4"/>
  <c r="A17724" i="4"/>
  <c r="A2146" i="4"/>
  <c r="A11624" i="4"/>
  <c r="A22505" i="4"/>
  <c r="A11623" i="4"/>
  <c r="A11622" i="4"/>
  <c r="A11621" i="4"/>
  <c r="A11620" i="4"/>
  <c r="A22504" i="4"/>
  <c r="A22503" i="4"/>
  <c r="A11619" i="4"/>
  <c r="A11618" i="4"/>
  <c r="A22502" i="4"/>
  <c r="A11617" i="4"/>
  <c r="A22501" i="4"/>
  <c r="A11616" i="4"/>
  <c r="A11615" i="4"/>
  <c r="A11614" i="4"/>
  <c r="A22500" i="4"/>
  <c r="A11613" i="4"/>
  <c r="A11612" i="4"/>
  <c r="A11611" i="4"/>
  <c r="A11610" i="4"/>
  <c r="A13251" i="4"/>
  <c r="A18790" i="4"/>
  <c r="A18789" i="4"/>
  <c r="A18788" i="4"/>
  <c r="A8518" i="4"/>
  <c r="A3428" i="4"/>
  <c r="A3427" i="4"/>
  <c r="A22499" i="4"/>
  <c r="A7551" i="4"/>
  <c r="A7550" i="4"/>
  <c r="A22498" i="4"/>
  <c r="A3426" i="4"/>
  <c r="A22497" i="4"/>
  <c r="A22496" i="4"/>
  <c r="A18787" i="4"/>
  <c r="A18786" i="4"/>
  <c r="A18785" i="4"/>
  <c r="A18784" i="4"/>
  <c r="A1933" i="4"/>
  <c r="A22495" i="4"/>
  <c r="A14491" i="4"/>
  <c r="A7549" i="4"/>
  <c r="A7548" i="4"/>
  <c r="A8369" i="4"/>
  <c r="A14490" i="4"/>
  <c r="A14489" i="4"/>
  <c r="A14488" i="4"/>
  <c r="A618" i="4"/>
  <c r="A617" i="4"/>
  <c r="A22494" i="4"/>
  <c r="A11609" i="4"/>
  <c r="A22493" i="4"/>
  <c r="A3425" i="4"/>
  <c r="A3424" i="4"/>
  <c r="A11608" i="4"/>
  <c r="A3423" i="4"/>
  <c r="A3422" i="4"/>
  <c r="A18041" i="4"/>
  <c r="A5153" i="4"/>
  <c r="A5152" i="4"/>
  <c r="A3421" i="4"/>
  <c r="A22492" i="4"/>
  <c r="A3420" i="4"/>
  <c r="A22491" i="4"/>
  <c r="A3419" i="4"/>
  <c r="A3418" i="4"/>
  <c r="A22490" i="4"/>
  <c r="A3417" i="4"/>
  <c r="A3416" i="4"/>
  <c r="A3415" i="4"/>
  <c r="A3414" i="4"/>
  <c r="A3413" i="4"/>
  <c r="A22489" i="4"/>
  <c r="A3412" i="4"/>
  <c r="A3411" i="4"/>
  <c r="A3410" i="4"/>
  <c r="A3409" i="4"/>
  <c r="A10081" i="4"/>
  <c r="A13401" i="4"/>
  <c r="A13400" i="4"/>
  <c r="A6522" i="4"/>
  <c r="A3408" i="4"/>
  <c r="A3407" i="4"/>
  <c r="A22488" i="4"/>
  <c r="A22487" i="4"/>
  <c r="A6521" i="4"/>
  <c r="A10080" i="4"/>
  <c r="A3406" i="4"/>
  <c r="A3405" i="4"/>
  <c r="A11607" i="4"/>
  <c r="A11606" i="4"/>
  <c r="A11605" i="4"/>
  <c r="A22486" i="4"/>
  <c r="A3404" i="4"/>
  <c r="A3403" i="4"/>
  <c r="A3402" i="4"/>
  <c r="A3401" i="4"/>
  <c r="A22485" i="4"/>
  <c r="A13399" i="4"/>
  <c r="A15977" i="4"/>
  <c r="A15976" i="4"/>
  <c r="A22484" i="4"/>
  <c r="A18783" i="4"/>
  <c r="A18782" i="4"/>
  <c r="A18781" i="4"/>
  <c r="A18780" i="4"/>
  <c r="A22483" i="4"/>
  <c r="A20527" i="4"/>
  <c r="A11604" i="4"/>
  <c r="A13250" i="4"/>
  <c r="A22482" i="4"/>
  <c r="A22481" i="4"/>
  <c r="A22480" i="4"/>
  <c r="A9394" i="4"/>
  <c r="A18779" i="4"/>
  <c r="A18778" i="4"/>
  <c r="A18777" i="4"/>
  <c r="A18776" i="4"/>
  <c r="A22479" i="4"/>
  <c r="A22478" i="4"/>
  <c r="A22477" i="4"/>
  <c r="A22476" i="4"/>
  <c r="A22475" i="4"/>
  <c r="A15975" i="4"/>
  <c r="A5685" i="4"/>
  <c r="A14487" i="4"/>
  <c r="A14486" i="4"/>
  <c r="A14485" i="4"/>
  <c r="A14484" i="4"/>
  <c r="A14483" i="4"/>
  <c r="A22474" i="4"/>
  <c r="A14482" i="4"/>
  <c r="A22473" i="4"/>
  <c r="A22472" i="4"/>
  <c r="A22471" i="4"/>
  <c r="A15974" i="4"/>
  <c r="A22470" i="4"/>
  <c r="A616" i="4"/>
  <c r="A615" i="4"/>
  <c r="A14481" i="4"/>
  <c r="A14480" i="4"/>
  <c r="A22469" i="4"/>
  <c r="A18040" i="4"/>
  <c r="A8517" i="4"/>
  <c r="A22468" i="4"/>
  <c r="A22467" i="4"/>
  <c r="A22466" i="4"/>
  <c r="A10079" i="4"/>
  <c r="A22465" i="4"/>
  <c r="A11603" i="4"/>
  <c r="A22464" i="4"/>
  <c r="A22463" i="4"/>
  <c r="A259" i="4"/>
  <c r="A2145" i="4"/>
  <c r="A14479" i="4"/>
  <c r="A14478" i="4"/>
  <c r="A14477" i="4"/>
  <c r="A14476" i="4"/>
  <c r="A14475" i="4"/>
  <c r="A22462" i="4"/>
  <c r="A14474" i="4"/>
  <c r="A14473" i="4"/>
  <c r="A14472" i="4"/>
  <c r="A22461" i="4"/>
  <c r="A22460" i="4"/>
  <c r="A22459" i="4"/>
  <c r="A22458" i="4"/>
  <c r="A22457" i="4"/>
  <c r="A22456" i="4"/>
  <c r="A12365" i="4"/>
  <c r="A22455" i="4"/>
  <c r="A12364" i="4"/>
  <c r="A22454" i="4"/>
  <c r="A22453" i="4"/>
  <c r="A22452" i="4"/>
  <c r="A15973" i="4"/>
  <c r="A15972" i="4"/>
  <c r="A18775" i="4"/>
  <c r="A18774" i="4"/>
  <c r="A15971" i="4"/>
  <c r="A15970" i="4"/>
  <c r="A15969" i="4"/>
  <c r="A15968" i="4"/>
  <c r="A15967" i="4"/>
  <c r="A15966" i="4"/>
  <c r="A15965" i="4"/>
  <c r="A22451" i="4"/>
  <c r="A22450" i="4"/>
  <c r="A614" i="4"/>
  <c r="A613" i="4"/>
  <c r="A612" i="4"/>
  <c r="A22449" i="4"/>
  <c r="A22448" i="4"/>
  <c r="A5151" i="4"/>
  <c r="A18773" i="4"/>
  <c r="A18772" i="4"/>
  <c r="A18771" i="4"/>
  <c r="A18770" i="4"/>
  <c r="A18769" i="4"/>
  <c r="A22447" i="4"/>
  <c r="A22446" i="4"/>
  <c r="A18768" i="4"/>
  <c r="A258" i="4"/>
  <c r="A22445" i="4"/>
  <c r="A17279" i="4"/>
  <c r="A17278" i="4"/>
  <c r="A17277" i="4"/>
  <c r="A17276" i="4"/>
  <c r="A3400" i="4"/>
  <c r="A2144" i="4"/>
  <c r="A12363" i="4"/>
  <c r="A12362" i="4"/>
  <c r="A12361" i="4"/>
  <c r="A12360" i="4"/>
  <c r="A12359" i="4"/>
  <c r="A12358" i="4"/>
  <c r="A12357" i="4"/>
  <c r="A12356" i="4"/>
  <c r="A12355" i="4"/>
  <c r="A12354" i="4"/>
  <c r="A22444" i="4"/>
  <c r="A22443" i="4"/>
  <c r="A18767" i="4"/>
  <c r="A7547" i="4"/>
  <c r="A611" i="4"/>
  <c r="A610" i="4"/>
  <c r="A17890" i="4"/>
  <c r="A22442" i="4"/>
  <c r="A22441" i="4"/>
  <c r="A12353" i="4"/>
  <c r="A12352" i="4"/>
  <c r="A12351" i="4"/>
  <c r="A18766" i="4"/>
  <c r="A18765" i="4"/>
  <c r="A18764" i="4"/>
  <c r="A12250" i="4"/>
  <c r="A14471" i="4"/>
  <c r="A11602" i="4"/>
  <c r="A11601" i="4"/>
  <c r="A11600" i="4"/>
  <c r="A11599" i="4"/>
  <c r="A11598" i="4"/>
  <c r="A11597" i="4"/>
  <c r="A22440" i="4"/>
  <c r="A2143" i="4"/>
  <c r="A22439" i="4"/>
  <c r="A22438" i="4"/>
  <c r="A5926" i="4"/>
  <c r="A3399" i="4"/>
  <c r="A18763" i="4"/>
  <c r="A10996" i="4"/>
  <c r="A15964" i="4"/>
  <c r="A15508" i="4"/>
  <c r="A257" i="4"/>
  <c r="A14470" i="4"/>
  <c r="A14469" i="4"/>
  <c r="A22437" i="4"/>
  <c r="A14468" i="4"/>
  <c r="A14467" i="4"/>
  <c r="A17723" i="4"/>
  <c r="A2142" i="4"/>
  <c r="A2141" i="4"/>
  <c r="A22436" i="4"/>
  <c r="A13249" i="4"/>
  <c r="A3398" i="4"/>
  <c r="A18762" i="4"/>
  <c r="A18761" i="4"/>
  <c r="A18760" i="4"/>
  <c r="A18759" i="4"/>
  <c r="A18758" i="4"/>
  <c r="A18757" i="4"/>
  <c r="A18756" i="4"/>
  <c r="A18755" i="4"/>
  <c r="A22435" i="4"/>
  <c r="A18754" i="4"/>
  <c r="A18753" i="4"/>
  <c r="A18752" i="4"/>
  <c r="A22434" i="4"/>
  <c r="A22433" i="4"/>
  <c r="A22432" i="4"/>
  <c r="A22431" i="4"/>
  <c r="A22430" i="4"/>
  <c r="A22429" i="4"/>
  <c r="A22428" i="4"/>
  <c r="A22427" i="4"/>
  <c r="A9701" i="4"/>
  <c r="A22426" i="4"/>
  <c r="A22425" i="4"/>
  <c r="A78" i="4"/>
  <c r="A22424" i="4"/>
  <c r="A22423" i="4"/>
  <c r="A9393" i="4"/>
  <c r="A9392" i="4"/>
  <c r="A18751" i="4"/>
  <c r="A18750" i="4"/>
  <c r="A18749" i="4"/>
  <c r="A18748" i="4"/>
  <c r="A22422" i="4"/>
  <c r="A18747" i="4"/>
  <c r="A18746" i="4"/>
  <c r="A18745" i="4"/>
  <c r="A18744" i="4"/>
  <c r="A22421" i="4"/>
  <c r="A18743" i="4"/>
  <c r="A15963" i="4"/>
  <c r="A256" i="4"/>
  <c r="A255" i="4"/>
  <c r="A8455" i="4"/>
  <c r="A22420" i="4"/>
  <c r="A22419" i="4"/>
  <c r="A7546" i="4"/>
  <c r="A22418" i="4"/>
  <c r="A14466" i="4"/>
  <c r="A14465" i="4"/>
  <c r="A14464" i="4"/>
  <c r="A609" i="4"/>
  <c r="A7545" i="4"/>
  <c r="A7544" i="4"/>
  <c r="A7543" i="4"/>
  <c r="A7542" i="4"/>
  <c r="A608" i="4"/>
  <c r="A607" i="4"/>
  <c r="A22417" i="4"/>
  <c r="A14463" i="4"/>
  <c r="A2140" i="4"/>
  <c r="A11596" i="4"/>
  <c r="A11595" i="4"/>
  <c r="A11594" i="4"/>
  <c r="A11593" i="4"/>
  <c r="A17889" i="4"/>
  <c r="A3397" i="4"/>
  <c r="A3396" i="4"/>
  <c r="A3395" i="4"/>
  <c r="A10078" i="4"/>
  <c r="A5392" i="4"/>
  <c r="A11592" i="4"/>
  <c r="A22416" i="4"/>
  <c r="A11591" i="4"/>
  <c r="A11590" i="4"/>
  <c r="A11589" i="4"/>
  <c r="A22415" i="4"/>
  <c r="A11588" i="4"/>
  <c r="A11587" i="4"/>
  <c r="A11586" i="4"/>
  <c r="A11585" i="4"/>
  <c r="A22414" i="4"/>
  <c r="A22413" i="4"/>
  <c r="A5391" i="4"/>
  <c r="A22412" i="4"/>
  <c r="A5390" i="4"/>
  <c r="A5389" i="4"/>
  <c r="A5388" i="4"/>
  <c r="A10995" i="4"/>
  <c r="A10994" i="4"/>
  <c r="A22411" i="4"/>
  <c r="A5588" i="4"/>
  <c r="A5587" i="4"/>
  <c r="A7541" i="4"/>
  <c r="A7540" i="4"/>
  <c r="A22410" i="4"/>
  <c r="A14462" i="4"/>
  <c r="A14461" i="4"/>
  <c r="A14460" i="4"/>
  <c r="A14459" i="4"/>
  <c r="A14458" i="4"/>
  <c r="A2139" i="4"/>
  <c r="A2138" i="4"/>
  <c r="A22409" i="4"/>
  <c r="A14457" i="4"/>
  <c r="A14456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54" i="4"/>
  <c r="A22393" i="4"/>
  <c r="A22392" i="4"/>
  <c r="A22391" i="4"/>
  <c r="A14455" i="4"/>
  <c r="A14454" i="4"/>
  <c r="A14453" i="4"/>
  <c r="A14452" i="4"/>
  <c r="A22390" i="4"/>
  <c r="A22389" i="4"/>
  <c r="A5925" i="4"/>
  <c r="A7539" i="4"/>
  <c r="A22388" i="4"/>
  <c r="A22387" i="4"/>
  <c r="A22386" i="4"/>
  <c r="A5387" i="4"/>
  <c r="A22385" i="4"/>
  <c r="A22384" i="4"/>
  <c r="A15962" i="4"/>
  <c r="A15961" i="4"/>
  <c r="A15960" i="4"/>
  <c r="A15959" i="4"/>
  <c r="A22383" i="4"/>
  <c r="A22382" i="4"/>
  <c r="A15958" i="4"/>
  <c r="A15957" i="4"/>
  <c r="A15956" i="4"/>
  <c r="A606" i="4"/>
  <c r="A605" i="4"/>
  <c r="A604" i="4"/>
  <c r="A15955" i="4"/>
  <c r="A22381" i="4"/>
  <c r="A15954" i="4"/>
  <c r="A15953" i="4"/>
  <c r="A253" i="4"/>
  <c r="A15507" i="4"/>
  <c r="A14451" i="4"/>
  <c r="A14450" i="4"/>
  <c r="A603" i="4"/>
  <c r="A602" i="4"/>
  <c r="A15952" i="4"/>
  <c r="A10077" i="4"/>
  <c r="A10076" i="4"/>
  <c r="A10075" i="4"/>
  <c r="A10074" i="4"/>
  <c r="A11584" i="4"/>
  <c r="A10073" i="4"/>
  <c r="A5150" i="4"/>
  <c r="A5149" i="4"/>
  <c r="A5148" i="4"/>
  <c r="A5147" i="4"/>
  <c r="A3394" i="4"/>
  <c r="A3393" i="4"/>
  <c r="A3392" i="4"/>
  <c r="A22380" i="4"/>
  <c r="A12249" i="4"/>
  <c r="A22379" i="4"/>
  <c r="A6238" i="4"/>
  <c r="A3391" i="4"/>
  <c r="A3390" i="4"/>
  <c r="A3389" i="4"/>
  <c r="A3388" i="4"/>
  <c r="A3387" i="4"/>
  <c r="A3386" i="4"/>
  <c r="A22378" i="4"/>
  <c r="A3385" i="4"/>
  <c r="A10072" i="4"/>
  <c r="A1717" i="4"/>
  <c r="A1716" i="4"/>
  <c r="A1715" i="4"/>
  <c r="A3384" i="4"/>
  <c r="A3383" i="4"/>
  <c r="A1714" i="4"/>
  <c r="A1713" i="4"/>
  <c r="A8516" i="4"/>
  <c r="A22377" i="4"/>
  <c r="A3382" i="4"/>
  <c r="A3381" i="4"/>
  <c r="A22376" i="4"/>
  <c r="A3380" i="4"/>
  <c r="A3379" i="4"/>
  <c r="A3378" i="4"/>
  <c r="A3377" i="4"/>
  <c r="A3376" i="4"/>
  <c r="A3375" i="4"/>
  <c r="A3374" i="4"/>
  <c r="A3373" i="4"/>
  <c r="A3372" i="4"/>
  <c r="A22375" i="4"/>
  <c r="A22374" i="4"/>
  <c r="A3371" i="4"/>
  <c r="A1712" i="4"/>
  <c r="A22373" i="4"/>
  <c r="A13398" i="4"/>
  <c r="A3370" i="4"/>
  <c r="A3369" i="4"/>
  <c r="A3368" i="4"/>
  <c r="A3367" i="4"/>
  <c r="A3366" i="4"/>
  <c r="A18742" i="4"/>
  <c r="A2137" i="4"/>
  <c r="A2136" i="4"/>
  <c r="A2135" i="4"/>
  <c r="A601" i="4"/>
  <c r="A14449" i="4"/>
  <c r="A14448" i="4"/>
  <c r="A22372" i="4"/>
  <c r="A14447" i="4"/>
  <c r="A7538" i="4"/>
  <c r="A14446" i="4"/>
  <c r="A600" i="4"/>
  <c r="A599" i="4"/>
  <c r="A2134" i="4"/>
  <c r="A2133" i="4"/>
  <c r="A3365" i="4"/>
  <c r="A3364" i="4"/>
  <c r="A3363" i="4"/>
  <c r="A14445" i="4"/>
  <c r="A14444" i="4"/>
  <c r="A12350" i="4"/>
  <c r="A22371" i="4"/>
  <c r="A22370" i="4"/>
  <c r="A598" i="4"/>
  <c r="A597" i="4"/>
  <c r="A14443" i="4"/>
  <c r="A22369" i="4"/>
  <c r="A5586" i="4"/>
  <c r="A2132" i="4"/>
  <c r="A22368" i="4"/>
  <c r="A5146" i="4"/>
  <c r="A5145" i="4"/>
  <c r="A18741" i="4"/>
  <c r="A18740" i="4"/>
  <c r="A18739" i="4"/>
  <c r="A18738" i="4"/>
  <c r="A18737" i="4"/>
  <c r="A22367" i="4"/>
  <c r="A22366" i="4"/>
  <c r="A1932" i="4"/>
  <c r="A14442" i="4"/>
  <c r="A14441" i="4"/>
  <c r="A3362" i="4"/>
  <c r="A11583" i="4"/>
  <c r="A77" i="4"/>
  <c r="A9700" i="4"/>
  <c r="A9699" i="4"/>
  <c r="A22365" i="4"/>
  <c r="A22364" i="4"/>
  <c r="A12349" i="4"/>
  <c r="A22363" i="4"/>
  <c r="A22362" i="4"/>
  <c r="A252" i="4"/>
  <c r="A22361" i="4"/>
  <c r="A13044" i="4"/>
  <c r="A15951" i="4"/>
  <c r="A15950" i="4"/>
  <c r="A15949" i="4"/>
  <c r="A22360" i="4"/>
  <c r="A18736" i="4"/>
  <c r="A5924" i="4"/>
  <c r="A5923" i="4"/>
  <c r="A5922" i="4"/>
  <c r="A5921" i="4"/>
  <c r="A13248" i="4"/>
  <c r="A13247" i="4"/>
  <c r="A9698" i="4"/>
  <c r="A9697" i="4"/>
  <c r="A9696" i="4"/>
  <c r="A22359" i="4"/>
  <c r="A9695" i="4"/>
  <c r="A22358" i="4"/>
  <c r="A9694" i="4"/>
  <c r="A22357" i="4"/>
  <c r="A76" i="4"/>
  <c r="A22356" i="4"/>
  <c r="A75" i="4"/>
  <c r="A9391" i="4"/>
  <c r="A15" i="4"/>
  <c r="A14" i="4"/>
  <c r="A15948" i="4"/>
  <c r="A15947" i="4"/>
  <c r="A15946" i="4"/>
  <c r="A22355" i="4"/>
  <c r="A15945" i="4"/>
  <c r="A18735" i="4"/>
  <c r="A18734" i="4"/>
  <c r="A15944" i="4"/>
  <c r="A22354" i="4"/>
  <c r="A15943" i="4"/>
  <c r="A15942" i="4"/>
  <c r="A15941" i="4"/>
  <c r="A18733" i="4"/>
  <c r="A18732" i="4"/>
  <c r="A18731" i="4"/>
  <c r="A13043" i="4"/>
  <c r="A13042" i="4"/>
  <c r="A13041" i="4"/>
  <c r="A9951" i="4"/>
  <c r="A2131" i="4"/>
  <c r="A17590" i="4"/>
  <c r="A22353" i="4"/>
  <c r="A22352" i="4"/>
  <c r="A22351" i="4"/>
  <c r="A22350" i="4"/>
  <c r="A22349" i="4"/>
  <c r="A14440" i="4"/>
  <c r="A14439" i="4"/>
  <c r="A14438" i="4"/>
  <c r="A596" i="4"/>
  <c r="A595" i="4"/>
  <c r="A594" i="4"/>
  <c r="A593" i="4"/>
  <c r="A592" i="4"/>
  <c r="A591" i="4"/>
  <c r="A14437" i="4"/>
  <c r="A22348" i="4"/>
  <c r="A7537" i="4"/>
  <c r="A7536" i="4"/>
  <c r="A8368" i="4"/>
  <c r="A8367" i="4"/>
  <c r="A590" i="4"/>
  <c r="A14436" i="4"/>
  <c r="A14435" i="4"/>
  <c r="A14434" i="4"/>
  <c r="A589" i="4"/>
  <c r="A588" i="4"/>
  <c r="A587" i="4"/>
  <c r="A17722" i="4"/>
  <c r="A17275" i="4"/>
  <c r="A11582" i="4"/>
  <c r="A11581" i="4"/>
  <c r="A11580" i="4"/>
  <c r="A11579" i="4"/>
  <c r="A11578" i="4"/>
  <c r="A3361" i="4"/>
  <c r="A3360" i="4"/>
  <c r="A3359" i="4"/>
  <c r="A3358" i="4"/>
  <c r="A10071" i="4"/>
  <c r="A22347" i="4"/>
  <c r="A22346" i="4"/>
  <c r="A3357" i="4"/>
  <c r="A11577" i="4"/>
  <c r="A11576" i="4"/>
  <c r="A11575" i="4"/>
  <c r="A11574" i="4"/>
  <c r="A11043" i="4"/>
  <c r="A11573" i="4"/>
  <c r="A11572" i="4"/>
  <c r="A11042" i="4"/>
  <c r="A22345" i="4"/>
  <c r="A11571" i="4"/>
  <c r="A11570" i="4"/>
  <c r="A11569" i="4"/>
  <c r="A22344" i="4"/>
  <c r="A20802" i="4"/>
  <c r="A20801" i="4"/>
  <c r="A7535" i="4"/>
  <c r="A2130" i="4"/>
  <c r="A2129" i="4"/>
  <c r="A14433" i="4"/>
  <c r="A14432" i="4"/>
  <c r="A14431" i="4"/>
  <c r="A14430" i="4"/>
  <c r="A14429" i="4"/>
  <c r="A14428" i="4"/>
  <c r="A2128" i="4"/>
  <c r="A14427" i="4"/>
  <c r="A14426" i="4"/>
  <c r="A22343" i="4"/>
  <c r="A22342" i="4"/>
  <c r="A14425" i="4"/>
  <c r="A22341" i="4"/>
  <c r="A2127" i="4"/>
  <c r="A22340" i="4"/>
  <c r="A22339" i="4"/>
  <c r="A22338" i="4"/>
  <c r="A22337" i="4"/>
  <c r="A22336" i="4"/>
  <c r="A12348" i="4"/>
  <c r="A22335" i="4"/>
  <c r="A22334" i="4"/>
  <c r="A22333" i="4"/>
  <c r="A251" i="4"/>
  <c r="A22332" i="4"/>
  <c r="A22331" i="4"/>
  <c r="A22330" i="4"/>
  <c r="A22329" i="4"/>
  <c r="A5386" i="4"/>
  <c r="A5385" i="4"/>
  <c r="A5384" i="4"/>
  <c r="A5278" i="4"/>
  <c r="A20526" i="4"/>
  <c r="A15940" i="4"/>
  <c r="A15939" i="4"/>
  <c r="A15938" i="4"/>
  <c r="A15937" i="4"/>
  <c r="A22328" i="4"/>
  <c r="A15936" i="4"/>
  <c r="A15935" i="4"/>
  <c r="A22327" i="4"/>
  <c r="A586" i="4"/>
  <c r="A585" i="4"/>
  <c r="A22326" i="4"/>
  <c r="A584" i="4"/>
  <c r="A583" i="4"/>
  <c r="A15934" i="4"/>
  <c r="A15933" i="4"/>
  <c r="A15932" i="4"/>
  <c r="A22325" i="4"/>
  <c r="A15931" i="4"/>
  <c r="A22324" i="4"/>
  <c r="A18730" i="4"/>
  <c r="A2126" i="4"/>
  <c r="A2125" i="4"/>
  <c r="A14424" i="4"/>
  <c r="A11568" i="4"/>
  <c r="A11567" i="4"/>
  <c r="A6237" i="4"/>
  <c r="A3356" i="4"/>
  <c r="A10070" i="4"/>
  <c r="A14423" i="4"/>
  <c r="A14422" i="4"/>
  <c r="A22323" i="4"/>
  <c r="A2124" i="4"/>
  <c r="A2123" i="4"/>
  <c r="A2122" i="4"/>
  <c r="A22322" i="4"/>
  <c r="A22321" i="4"/>
  <c r="A3355" i="4"/>
  <c r="A22320" i="4"/>
  <c r="A22319" i="4"/>
  <c r="A22318" i="4"/>
  <c r="A22317" i="4"/>
  <c r="A22316" i="4"/>
  <c r="A22315" i="4"/>
  <c r="A22314" i="4"/>
  <c r="A2121" i="4"/>
  <c r="A8366" i="4"/>
  <c r="A14421" i="4"/>
  <c r="A17721" i="4"/>
  <c r="A2120" i="4"/>
  <c r="A2119" i="4"/>
  <c r="A3354" i="4"/>
  <c r="A11566" i="4"/>
  <c r="A11565" i="4"/>
  <c r="A11564" i="4"/>
  <c r="A22313" i="4"/>
  <c r="A22312" i="4"/>
  <c r="A22311" i="4"/>
  <c r="A22310" i="4"/>
  <c r="A22309" i="4"/>
  <c r="A5585" i="4"/>
  <c r="A5584" i="4"/>
  <c r="A5583" i="4"/>
  <c r="A5582" i="4"/>
  <c r="A2487" i="4"/>
  <c r="A18729" i="4"/>
  <c r="A22308" i="4"/>
  <c r="A12347" i="4"/>
  <c r="A12346" i="4"/>
  <c r="A12345" i="4"/>
  <c r="A12344" i="4"/>
  <c r="A22307" i="4"/>
  <c r="A22306" i="4"/>
  <c r="A22305" i="4"/>
  <c r="A22304" i="4"/>
  <c r="A18728" i="4"/>
  <c r="A15506" i="4"/>
  <c r="A250" i="4"/>
  <c r="A8474" i="4"/>
  <c r="A14420" i="4"/>
  <c r="A14419" i="4"/>
  <c r="A582" i="4"/>
  <c r="A581" i="4"/>
  <c r="A9693" i="4"/>
  <c r="A14418" i="4"/>
  <c r="A5920" i="4"/>
  <c r="A11563" i="4"/>
  <c r="A11562" i="4"/>
  <c r="A11561" i="4"/>
  <c r="A11560" i="4"/>
  <c r="A11559" i="4"/>
  <c r="A1711" i="4"/>
  <c r="A22303" i="4"/>
  <c r="A3353" i="4"/>
  <c r="A3352" i="4"/>
  <c r="A3351" i="4"/>
  <c r="A22302" i="4"/>
  <c r="A17888" i="4"/>
  <c r="A10069" i="4"/>
  <c r="A3350" i="4"/>
  <c r="A10068" i="4"/>
  <c r="A3349" i="4"/>
  <c r="A3348" i="4"/>
  <c r="A3347" i="4"/>
  <c r="A13397" i="4"/>
  <c r="A22301" i="4"/>
  <c r="A22300" i="4"/>
  <c r="A22299" i="4"/>
  <c r="A3346" i="4"/>
  <c r="A3345" i="4"/>
  <c r="A3344" i="4"/>
  <c r="A3343" i="4"/>
  <c r="A3342" i="4"/>
  <c r="A22298" i="4"/>
  <c r="A3341" i="4"/>
  <c r="A10067" i="4"/>
  <c r="A22297" i="4"/>
  <c r="A6520" i="4"/>
  <c r="A6519" i="4"/>
  <c r="A10066" i="4"/>
  <c r="A3340" i="4"/>
  <c r="A3339" i="4"/>
  <c r="A22296" i="4"/>
  <c r="A11558" i="4"/>
  <c r="A11557" i="4"/>
  <c r="A11556" i="4"/>
  <c r="A22295" i="4"/>
  <c r="A11555" i="4"/>
  <c r="A2118" i="4"/>
  <c r="A14417" i="4"/>
  <c r="A11554" i="4"/>
  <c r="A11553" i="4"/>
  <c r="A22294" i="4"/>
  <c r="A22293" i="4"/>
  <c r="A6518" i="4"/>
  <c r="A3338" i="4"/>
  <c r="A22292" i="4"/>
  <c r="A3337" i="4"/>
  <c r="A13396" i="4"/>
  <c r="A5144" i="4"/>
  <c r="A5143" i="4"/>
  <c r="A5142" i="4"/>
  <c r="A5141" i="4"/>
  <c r="A18727" i="4"/>
  <c r="A22291" i="4"/>
  <c r="A22290" i="4"/>
  <c r="A18726" i="4"/>
  <c r="A5140" i="4"/>
  <c r="A22289" i="4"/>
  <c r="A18725" i="4"/>
  <c r="A18724" i="4"/>
  <c r="A18723" i="4"/>
  <c r="A22288" i="4"/>
  <c r="A18722" i="4"/>
  <c r="A18721" i="4"/>
  <c r="A22287" i="4"/>
  <c r="A18720" i="4"/>
  <c r="A22286" i="4"/>
  <c r="A18719" i="4"/>
  <c r="A22285" i="4"/>
  <c r="A22284" i="4"/>
  <c r="A22283" i="4"/>
  <c r="A15930" i="4"/>
  <c r="A15929" i="4"/>
  <c r="A15928" i="4"/>
  <c r="A74" i="4"/>
  <c r="A73" i="4"/>
  <c r="A72" i="4"/>
  <c r="A18718" i="4"/>
  <c r="A15505" i="4"/>
  <c r="A15504" i="4"/>
  <c r="A12248" i="4"/>
  <c r="A12247" i="4"/>
  <c r="A12246" i="4"/>
  <c r="A13040" i="4"/>
  <c r="A13039" i="4"/>
  <c r="A13038" i="4"/>
  <c r="A2117" i="4"/>
  <c r="A5919" i="4"/>
  <c r="A22282" i="4"/>
  <c r="A580" i="4"/>
  <c r="A14416" i="4"/>
  <c r="A14415" i="4"/>
  <c r="A14414" i="4"/>
  <c r="A14413" i="4"/>
  <c r="A14412" i="4"/>
  <c r="A14411" i="4"/>
  <c r="A14410" i="4"/>
  <c r="A579" i="4"/>
  <c r="A578" i="4"/>
  <c r="A22281" i="4"/>
  <c r="A22280" i="4"/>
  <c r="A22279" i="4"/>
  <c r="A22278" i="4"/>
  <c r="A14409" i="4"/>
  <c r="A8365" i="4"/>
  <c r="A577" i="4"/>
  <c r="A22277" i="4"/>
  <c r="A15381" i="4"/>
  <c r="A22276" i="4"/>
  <c r="A14408" i="4"/>
  <c r="A11552" i="4"/>
  <c r="A11551" i="4"/>
  <c r="A11550" i="4"/>
  <c r="A11549" i="4"/>
  <c r="A11548" i="4"/>
  <c r="A3336" i="4"/>
  <c r="A22275" i="4"/>
  <c r="A6517" i="4"/>
  <c r="A22274" i="4"/>
  <c r="A11547" i="4"/>
  <c r="A11546" i="4"/>
  <c r="A11545" i="4"/>
  <c r="A11544" i="4"/>
  <c r="A11543" i="4"/>
  <c r="A11542" i="4"/>
  <c r="A11541" i="4"/>
  <c r="A11540" i="4"/>
  <c r="A22273" i="4"/>
  <c r="A11539" i="4"/>
  <c r="A11538" i="4"/>
  <c r="A22272" i="4"/>
  <c r="A22271" i="4"/>
  <c r="A6236" i="4"/>
  <c r="A20800" i="4"/>
  <c r="A20799" i="4"/>
  <c r="A20798" i="4"/>
  <c r="A576" i="4"/>
  <c r="A575" i="4"/>
  <c r="A7534" i="4"/>
  <c r="A22270" i="4"/>
  <c r="A14407" i="4"/>
  <c r="A14406" i="4"/>
  <c r="A14405" i="4"/>
  <c r="A22269" i="4"/>
  <c r="A14404" i="4"/>
  <c r="A14403" i="4"/>
  <c r="A22268" i="4"/>
  <c r="A14402" i="4"/>
  <c r="A2116" i="4"/>
  <c r="A22267" i="4"/>
  <c r="A14401" i="4"/>
  <c r="A14400" i="4"/>
  <c r="A14399" i="4"/>
  <c r="A14398" i="4"/>
  <c r="A14397" i="4"/>
  <c r="A14396" i="4"/>
  <c r="A14395" i="4"/>
  <c r="A22266" i="4"/>
  <c r="A22265" i="4"/>
  <c r="A22264" i="4"/>
  <c r="A12343" i="4"/>
  <c r="A22263" i="4"/>
  <c r="A22262" i="4"/>
  <c r="A22261" i="4"/>
  <c r="A22260" i="4"/>
  <c r="A22259" i="4"/>
  <c r="A22258" i="4"/>
  <c r="A249" i="4"/>
  <c r="A10833" i="4"/>
  <c r="A14394" i="4"/>
  <c r="A14393" i="4"/>
  <c r="A14392" i="4"/>
  <c r="A248" i="4"/>
  <c r="A247" i="4"/>
  <c r="A10832" i="4"/>
  <c r="A22257" i="4"/>
  <c r="A10831" i="4"/>
  <c r="A22256" i="4"/>
  <c r="A5277" i="4"/>
  <c r="A15927" i="4"/>
  <c r="A22255" i="4"/>
  <c r="A22254" i="4"/>
  <c r="A574" i="4"/>
  <c r="A573" i="4"/>
  <c r="A572" i="4"/>
  <c r="A571" i="4"/>
  <c r="A22253" i="4"/>
  <c r="A15926" i="4"/>
  <c r="A22252" i="4"/>
  <c r="A8473" i="4"/>
  <c r="A14391" i="4"/>
  <c r="A8364" i="4"/>
  <c r="A22251" i="4"/>
  <c r="A2115" i="4"/>
  <c r="A11537" i="4"/>
  <c r="A22250" i="4"/>
  <c r="A3335" i="4"/>
  <c r="A3334" i="4"/>
  <c r="A3333" i="4"/>
  <c r="A22249" i="4"/>
  <c r="A22248" i="4"/>
  <c r="A22247" i="4"/>
  <c r="A18717" i="4"/>
  <c r="A22246" i="4"/>
  <c r="A18716" i="4"/>
  <c r="A22245" i="4"/>
  <c r="A18715" i="4"/>
  <c r="A18714" i="4"/>
  <c r="A18713" i="4"/>
  <c r="A18712" i="4"/>
  <c r="A13246" i="4"/>
  <c r="A22244" i="4"/>
  <c r="A11536" i="4"/>
  <c r="A22243" i="4"/>
  <c r="A22242" i="4"/>
  <c r="A9692" i="4"/>
  <c r="A9691" i="4"/>
  <c r="A9690" i="4"/>
  <c r="A9689" i="4"/>
  <c r="A9688" i="4"/>
  <c r="A9687" i="4"/>
  <c r="A22241" i="4"/>
  <c r="A22240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22239" i="4"/>
  <c r="A15912" i="4"/>
  <c r="A15911" i="4"/>
  <c r="A15910" i="4"/>
  <c r="A9390" i="4"/>
  <c r="A2114" i="4"/>
  <c r="A2113" i="4"/>
  <c r="A2112" i="4"/>
  <c r="A2111" i="4"/>
  <c r="A22238" i="4"/>
  <c r="A2110" i="4"/>
  <c r="A18122" i="4"/>
  <c r="A14390" i="4"/>
  <c r="A14389" i="4"/>
  <c r="A14388" i="4"/>
  <c r="A14387" i="4"/>
  <c r="A14386" i="4"/>
  <c r="A14385" i="4"/>
  <c r="A22237" i="4"/>
  <c r="A3332" i="4"/>
  <c r="A22236" i="4"/>
  <c r="A22235" i="4"/>
  <c r="A22234" i="4"/>
  <c r="A20797" i="4"/>
  <c r="A14384" i="4"/>
  <c r="A2109" i="4"/>
  <c r="A2108" i="4"/>
  <c r="A2107" i="4"/>
  <c r="A14383" i="4"/>
  <c r="A12342" i="4"/>
  <c r="A12341" i="4"/>
  <c r="A12340" i="4"/>
  <c r="A12339" i="4"/>
  <c r="A12338" i="4"/>
  <c r="A12337" i="4"/>
  <c r="A12336" i="4"/>
  <c r="A12335" i="4"/>
  <c r="A22233" i="4"/>
  <c r="A22232" i="4"/>
  <c r="A22231" i="4"/>
  <c r="A22230" i="4"/>
  <c r="A22229" i="4"/>
  <c r="A3331" i="4"/>
  <c r="A22228" i="4"/>
  <c r="A22227" i="4"/>
  <c r="A15909" i="4"/>
  <c r="A15908" i="4"/>
  <c r="A22226" i="4"/>
  <c r="A5139" i="4"/>
  <c r="A5138" i="4"/>
  <c r="A5137" i="4"/>
  <c r="A15907" i="4"/>
  <c r="A18711" i="4"/>
  <c r="A18710" i="4"/>
  <c r="A18709" i="4"/>
  <c r="A22225" i="4"/>
  <c r="A22224" i="4"/>
  <c r="A18708" i="4"/>
  <c r="A18707" i="4"/>
  <c r="A15906" i="4"/>
  <c r="A246" i="4"/>
  <c r="A9686" i="4"/>
  <c r="A18706" i="4"/>
  <c r="A1931" i="4"/>
  <c r="A7533" i="4"/>
  <c r="A22223" i="4"/>
  <c r="A7532" i="4"/>
  <c r="A14382" i="4"/>
  <c r="A14381" i="4"/>
  <c r="A570" i="4"/>
  <c r="A569" i="4"/>
  <c r="A568" i="4"/>
  <c r="A11535" i="4"/>
  <c r="A11534" i="4"/>
  <c r="A2106" i="4"/>
  <c r="A11533" i="4"/>
  <c r="A11532" i="4"/>
  <c r="A22222" i="4"/>
  <c r="A2105" i="4"/>
  <c r="A2104" i="4"/>
  <c r="A14380" i="4"/>
  <c r="A2103" i="4"/>
  <c r="A22221" i="4"/>
  <c r="A22220" i="4"/>
  <c r="A22219" i="4"/>
  <c r="A20525" i="4"/>
  <c r="A15905" i="4"/>
  <c r="A15904" i="4"/>
  <c r="A15903" i="4"/>
  <c r="A15902" i="4"/>
  <c r="A15901" i="4"/>
  <c r="A15900" i="4"/>
  <c r="A18705" i="4"/>
  <c r="A18704" i="4"/>
  <c r="A9685" i="4"/>
  <c r="A7531" i="4"/>
  <c r="A14379" i="4"/>
  <c r="A7530" i="4"/>
  <c r="A7529" i="4"/>
  <c r="A15598" i="4"/>
  <c r="A15597" i="4"/>
  <c r="A22218" i="4"/>
  <c r="A15596" i="4"/>
  <c r="A15595" i="4"/>
  <c r="A15594" i="4"/>
  <c r="A22217" i="4"/>
  <c r="A567" i="4"/>
  <c r="A566" i="4"/>
  <c r="A565" i="4"/>
  <c r="A5684" i="4"/>
  <c r="A5683" i="4"/>
  <c r="A22216" i="4"/>
  <c r="A22215" i="4"/>
  <c r="A10065" i="4"/>
  <c r="A6235" i="4"/>
  <c r="A6234" i="4"/>
  <c r="A6233" i="4"/>
  <c r="A3330" i="4"/>
  <c r="A20796" i="4"/>
  <c r="A14378" i="4"/>
  <c r="A12334" i="4"/>
  <c r="A12333" i="4"/>
  <c r="A12332" i="4"/>
  <c r="A12331" i="4"/>
  <c r="A12330" i="4"/>
  <c r="A11531" i="4"/>
  <c r="A11530" i="4"/>
  <c r="A3329" i="4"/>
  <c r="A3328" i="4"/>
  <c r="A3327" i="4"/>
  <c r="A3326" i="4"/>
  <c r="A3325" i="4"/>
  <c r="A3324" i="4"/>
  <c r="A22214" i="4"/>
  <c r="A564" i="4"/>
  <c r="A22213" i="4"/>
  <c r="A22212" i="4"/>
  <c r="A22211" i="4"/>
  <c r="A11529" i="4"/>
  <c r="A11528" i="4"/>
  <c r="A22210" i="4"/>
  <c r="A11527" i="4"/>
  <c r="A22209" i="4"/>
  <c r="A18703" i="4"/>
  <c r="A18702" i="4"/>
  <c r="A18701" i="4"/>
  <c r="A22208" i="4"/>
  <c r="A22207" i="4"/>
  <c r="A22206" i="4"/>
  <c r="A22205" i="4"/>
  <c r="A22204" i="4"/>
  <c r="A22203" i="4"/>
  <c r="A18700" i="4"/>
  <c r="A15380" i="4"/>
  <c r="A18699" i="4"/>
  <c r="A18698" i="4"/>
  <c r="A18697" i="4"/>
  <c r="A22202" i="4"/>
  <c r="A15899" i="4"/>
  <c r="A14377" i="4"/>
  <c r="A14376" i="4"/>
  <c r="A14375" i="4"/>
  <c r="A14374" i="4"/>
  <c r="A3" i="4"/>
  <c r="A18696" i="4"/>
  <c r="A18695" i="4"/>
  <c r="A18694" i="4"/>
  <c r="A18693" i="4"/>
  <c r="A22201" i="4"/>
  <c r="A2102" i="4"/>
  <c r="A11526" i="4"/>
  <c r="A11525" i="4"/>
  <c r="A3323" i="4"/>
  <c r="A3322" i="4"/>
  <c r="A3321" i="4"/>
  <c r="A10064" i="4"/>
  <c r="A22200" i="4"/>
  <c r="A3320" i="4"/>
  <c r="A3319" i="4"/>
  <c r="A6232" i="4"/>
  <c r="A6231" i="4"/>
  <c r="A14373" i="4"/>
  <c r="A14372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0795" i="4"/>
  <c r="A20794" i="4"/>
  <c r="A20793" i="4"/>
  <c r="A20792" i="4"/>
  <c r="A22187" i="4"/>
  <c r="A11524" i="4"/>
  <c r="A3318" i="4"/>
  <c r="A3317" i="4"/>
  <c r="A3316" i="4"/>
  <c r="A15372" i="4"/>
  <c r="A18692" i="4"/>
  <c r="A20524" i="4"/>
  <c r="A9684" i="4"/>
  <c r="A9683" i="4"/>
  <c r="A9682" i="4"/>
  <c r="A9681" i="4"/>
  <c r="A9680" i="4"/>
  <c r="A71" i="4"/>
  <c r="A14371" i="4"/>
  <c r="A14370" i="4"/>
  <c r="A7528" i="4"/>
  <c r="A22186" i="4"/>
  <c r="A6230" i="4"/>
  <c r="A3315" i="4"/>
  <c r="A3314" i="4"/>
  <c r="A11523" i="4"/>
  <c r="A11522" i="4"/>
  <c r="A11521" i="4"/>
  <c r="A14369" i="4"/>
  <c r="A14368" i="4"/>
  <c r="A22185" i="4"/>
  <c r="A15371" i="4"/>
  <c r="A5581" i="4"/>
  <c r="A5580" i="4"/>
  <c r="A22184" i="4"/>
  <c r="A6516" i="4"/>
  <c r="A12245" i="4"/>
  <c r="A22183" i="4"/>
  <c r="A15898" i="4"/>
  <c r="A15897" i="4"/>
  <c r="A18691" i="4"/>
  <c r="A22182" i="4"/>
  <c r="A22181" i="4"/>
  <c r="A22180" i="4"/>
  <c r="A22179" i="4"/>
  <c r="A18690" i="4"/>
  <c r="A18689" i="4"/>
  <c r="A2503" i="4"/>
  <c r="A2502" i="4"/>
  <c r="A22178" i="4"/>
  <c r="A22177" i="4"/>
  <c r="A9679" i="4"/>
  <c r="A9678" i="4"/>
  <c r="A9677" i="4"/>
  <c r="A9676" i="4"/>
  <c r="A9675" i="4"/>
  <c r="A70" i="4"/>
  <c r="A69" i="4"/>
  <c r="A22176" i="4"/>
  <c r="A18688" i="4"/>
  <c r="A18687" i="4"/>
  <c r="A15896" i="4"/>
  <c r="A18686" i="4"/>
  <c r="A18685" i="4"/>
  <c r="A18684" i="4"/>
  <c r="A18683" i="4"/>
  <c r="A22175" i="4"/>
  <c r="A22174" i="4"/>
  <c r="A22173" i="4"/>
  <c r="A18682" i="4"/>
  <c r="A18681" i="4"/>
  <c r="A18680" i="4"/>
  <c r="A18679" i="4"/>
  <c r="A17887" i="4"/>
  <c r="A22172" i="4"/>
  <c r="A17886" i="4"/>
  <c r="A17885" i="4"/>
  <c r="A2101" i="4"/>
  <c r="A5918" i="4"/>
  <c r="A5850" i="4"/>
  <c r="A5682" i="4"/>
  <c r="A5681" i="4"/>
  <c r="A14367" i="4"/>
  <c r="A14366" i="4"/>
  <c r="A14365" i="4"/>
  <c r="A14364" i="4"/>
  <c r="A14363" i="4"/>
  <c r="A563" i="4"/>
  <c r="A14362" i="4"/>
  <c r="A14361" i="4"/>
  <c r="A14360" i="4"/>
  <c r="A22171" i="4"/>
  <c r="A14359" i="4"/>
  <c r="A22170" i="4"/>
  <c r="A7527" i="4"/>
  <c r="A7526" i="4"/>
  <c r="A7525" i="4"/>
  <c r="A14358" i="4"/>
  <c r="A14357" i="4"/>
  <c r="A14356" i="4"/>
  <c r="A14355" i="4"/>
  <c r="A22169" i="4"/>
  <c r="A2486" i="4"/>
  <c r="A2100" i="4"/>
  <c r="A2099" i="4"/>
  <c r="A2098" i="4"/>
  <c r="A2097" i="4"/>
  <c r="A22168" i="4"/>
  <c r="A17884" i="4"/>
  <c r="A11520" i="4"/>
  <c r="A11519" i="4"/>
  <c r="A22167" i="4"/>
  <c r="A11518" i="4"/>
  <c r="A11517" i="4"/>
  <c r="A22166" i="4"/>
  <c r="A2096" i="4"/>
  <c r="A2095" i="4"/>
  <c r="A2094" i="4"/>
  <c r="A2093" i="4"/>
  <c r="A2092" i="4"/>
  <c r="A20791" i="4"/>
  <c r="A22165" i="4"/>
  <c r="A20790" i="4"/>
  <c r="A20789" i="4"/>
  <c r="A20788" i="4"/>
  <c r="A20787" i="4"/>
  <c r="A20786" i="4"/>
  <c r="A20785" i="4"/>
  <c r="A7524" i="4"/>
  <c r="A7523" i="4"/>
  <c r="A7522" i="4"/>
  <c r="A22164" i="4"/>
  <c r="A14354" i="4"/>
  <c r="A14353" i="4"/>
  <c r="A14352" i="4"/>
  <c r="A22163" i="4"/>
  <c r="A14351" i="4"/>
  <c r="A14350" i="4"/>
  <c r="A2091" i="4"/>
  <c r="A14349" i="4"/>
  <c r="A22162" i="4"/>
  <c r="A22161" i="4"/>
  <c r="A22160" i="4"/>
  <c r="A14348" i="4"/>
  <c r="A22159" i="4"/>
  <c r="A14347" i="4"/>
  <c r="A22158" i="4"/>
  <c r="A22157" i="4"/>
  <c r="A12329" i="4"/>
  <c r="A12328" i="4"/>
  <c r="A22156" i="4"/>
  <c r="A22155" i="4"/>
  <c r="A22154" i="4"/>
  <c r="A11516" i="4"/>
  <c r="A11515" i="4"/>
  <c r="A11514" i="4"/>
  <c r="A11513" i="4"/>
  <c r="A22153" i="4"/>
  <c r="A22152" i="4"/>
  <c r="A245" i="4"/>
  <c r="A14346" i="4"/>
  <c r="A10830" i="4"/>
  <c r="A22151" i="4"/>
  <c r="A13156" i="4"/>
  <c r="A22150" i="4"/>
  <c r="A7521" i="4"/>
  <c r="A7520" i="4"/>
  <c r="A7519" i="4"/>
  <c r="A5276" i="4"/>
  <c r="A562" i="4"/>
  <c r="A22149" i="4"/>
  <c r="A9674" i="4"/>
  <c r="A22148" i="4"/>
  <c r="A18678" i="4"/>
  <c r="A12244" i="4"/>
  <c r="A12243" i="4"/>
  <c r="A12242" i="4"/>
  <c r="A22147" i="4"/>
  <c r="A3313" i="4"/>
  <c r="A22146" i="4"/>
  <c r="A3312" i="4"/>
  <c r="A3311" i="4"/>
  <c r="A3310" i="4"/>
  <c r="A22145" i="4"/>
  <c r="A22144" i="4"/>
  <c r="A22143" i="4"/>
  <c r="A22142" i="4"/>
  <c r="A15450" i="4"/>
  <c r="A15449" i="4"/>
  <c r="A15448" i="4"/>
  <c r="A15447" i="4"/>
  <c r="A22141" i="4"/>
  <c r="A22140" i="4"/>
  <c r="A22139" i="4"/>
  <c r="A22138" i="4"/>
  <c r="A22137" i="4"/>
  <c r="A8515" i="4"/>
  <c r="A3309" i="4"/>
  <c r="A3308" i="4"/>
  <c r="A11512" i="4"/>
  <c r="A22136" i="4"/>
  <c r="A15503" i="4"/>
  <c r="A22135" i="4"/>
  <c r="A14345" i="4"/>
  <c r="A14344" i="4"/>
  <c r="A14343" i="4"/>
  <c r="A22134" i="4"/>
  <c r="A15895" i="4"/>
  <c r="A15894" i="4"/>
  <c r="A18677" i="4"/>
  <c r="A18676" i="4"/>
  <c r="A18675" i="4"/>
  <c r="A18674" i="4"/>
  <c r="A18673" i="4"/>
  <c r="A14342" i="4"/>
  <c r="A22133" i="4"/>
  <c r="A22132" i="4"/>
  <c r="A11511" i="4"/>
  <c r="A11510" i="4"/>
  <c r="A11509" i="4"/>
  <c r="A11508" i="4"/>
  <c r="A22131" i="4"/>
  <c r="A11507" i="4"/>
  <c r="A11506" i="4"/>
  <c r="A11505" i="4"/>
  <c r="A5136" i="4"/>
  <c r="A5135" i="4"/>
  <c r="A10063" i="4"/>
  <c r="A3307" i="4"/>
  <c r="A3306" i="4"/>
  <c r="A3305" i="4"/>
  <c r="A3304" i="4"/>
  <c r="A3303" i="4"/>
  <c r="A3302" i="4"/>
  <c r="A3301" i="4"/>
  <c r="A10062" i="4"/>
  <c r="A3300" i="4"/>
  <c r="A3299" i="4"/>
  <c r="A3298" i="4"/>
  <c r="A3297" i="4"/>
  <c r="A3296" i="4"/>
  <c r="A3295" i="4"/>
  <c r="A3294" i="4"/>
  <c r="A3293" i="4"/>
  <c r="A3292" i="4"/>
  <c r="A22130" i="4"/>
  <c r="A3291" i="4"/>
  <c r="A10061" i="4"/>
  <c r="A22129" i="4"/>
  <c r="A10060" i="4"/>
  <c r="A10059" i="4"/>
  <c r="A13395" i="4"/>
  <c r="A13394" i="4"/>
  <c r="A3290" i="4"/>
  <c r="A3289" i="4"/>
  <c r="A13393" i="4"/>
  <c r="A22128" i="4"/>
  <c r="A13392" i="4"/>
  <c r="A13391" i="4"/>
  <c r="A6515" i="4"/>
  <c r="A6514" i="4"/>
  <c r="A3288" i="4"/>
  <c r="A3287" i="4"/>
  <c r="A3286" i="4"/>
  <c r="A3285" i="4"/>
  <c r="A3284" i="4"/>
  <c r="A6229" i="4"/>
  <c r="A6228" i="4"/>
  <c r="A10058" i="4"/>
  <c r="A5134" i="4"/>
  <c r="A6227" i="4"/>
  <c r="A11504" i="4"/>
  <c r="A11503" i="4"/>
  <c r="A11502" i="4"/>
  <c r="A3283" i="4"/>
  <c r="A3282" i="4"/>
  <c r="A3281" i="4"/>
  <c r="A22127" i="4"/>
  <c r="A7518" i="4"/>
  <c r="A7517" i="4"/>
  <c r="A14341" i="4"/>
  <c r="A22126" i="4"/>
  <c r="A3280" i="4"/>
  <c r="A3279" i="4"/>
  <c r="A3278" i="4"/>
  <c r="A22125" i="4"/>
  <c r="A6513" i="4"/>
  <c r="A3277" i="4"/>
  <c r="A3276" i="4"/>
  <c r="A3275" i="4"/>
  <c r="A3274" i="4"/>
  <c r="A13390" i="4"/>
  <c r="A3273" i="4"/>
  <c r="A9673" i="4"/>
  <c r="A9672" i="4"/>
  <c r="A9671" i="4"/>
  <c r="A9670" i="4"/>
  <c r="A68" i="4"/>
  <c r="A67" i="4"/>
  <c r="A2090" i="4"/>
  <c r="A22124" i="4"/>
  <c r="A2089" i="4"/>
  <c r="A22123" i="4"/>
  <c r="A14340" i="4"/>
  <c r="A22122" i="4"/>
  <c r="A14339" i="4"/>
  <c r="A14338" i="4"/>
  <c r="A14337" i="4"/>
  <c r="A22121" i="4"/>
  <c r="A17720" i="4"/>
  <c r="A17719" i="4"/>
  <c r="A17718" i="4"/>
  <c r="A17717" i="4"/>
  <c r="A18672" i="4"/>
  <c r="A18671" i="4"/>
  <c r="A18670" i="4"/>
  <c r="A11501" i="4"/>
  <c r="A11500" i="4"/>
  <c r="A11499" i="4"/>
  <c r="A11498" i="4"/>
  <c r="A11497" i="4"/>
  <c r="A11496" i="4"/>
  <c r="A22120" i="4"/>
  <c r="A6226" i="4"/>
  <c r="A22119" i="4"/>
  <c r="A22118" i="4"/>
  <c r="A22117" i="4"/>
  <c r="A22116" i="4"/>
  <c r="A22115" i="4"/>
  <c r="A10057" i="4"/>
  <c r="A18669" i="4"/>
  <c r="A22114" i="4"/>
  <c r="A22113" i="4"/>
  <c r="A18668" i="4"/>
  <c r="A22112" i="4"/>
  <c r="A18667" i="4"/>
  <c r="A18666" i="4"/>
  <c r="A18665" i="4"/>
  <c r="A18664" i="4"/>
  <c r="A18663" i="4"/>
  <c r="A18662" i="4"/>
  <c r="A22111" i="4"/>
  <c r="A22110" i="4"/>
  <c r="A18661" i="4"/>
  <c r="A18660" i="4"/>
  <c r="A22109" i="4"/>
  <c r="A8454" i="4"/>
  <c r="A8472" i="4"/>
  <c r="A2088" i="4"/>
  <c r="A2087" i="4"/>
  <c r="A14336" i="4"/>
  <c r="A14335" i="4"/>
  <c r="A14334" i="4"/>
  <c r="A17274" i="4"/>
  <c r="A17273" i="4"/>
  <c r="A17272" i="4"/>
  <c r="A17271" i="4"/>
  <c r="A11495" i="4"/>
  <c r="A11494" i="4"/>
  <c r="A13389" i="4"/>
  <c r="A10056" i="4"/>
  <c r="A15446" i="4"/>
  <c r="A15445" i="4"/>
  <c r="A22108" i="4"/>
  <c r="A22107" i="4"/>
  <c r="A22106" i="4"/>
  <c r="A22105" i="4"/>
  <c r="A3272" i="4"/>
  <c r="A8514" i="4"/>
  <c r="A13388" i="4"/>
  <c r="A13387" i="4"/>
  <c r="A3271" i="4"/>
  <c r="A13386" i="4"/>
  <c r="A13385" i="4"/>
  <c r="A13384" i="4"/>
  <c r="A15893" i="4"/>
  <c r="A15892" i="4"/>
  <c r="A18659" i="4"/>
  <c r="A18658" i="4"/>
  <c r="A18657" i="4"/>
  <c r="A8363" i="4"/>
  <c r="A5133" i="4"/>
  <c r="A22104" i="4"/>
  <c r="A12875" i="4"/>
  <c r="A22103" i="4"/>
  <c r="A2086" i="4"/>
  <c r="A3270" i="4"/>
  <c r="A2085" i="4"/>
  <c r="A14333" i="4"/>
  <c r="A22102" i="4"/>
  <c r="A22101" i="4"/>
  <c r="A22100" i="4"/>
  <c r="A22099" i="4"/>
  <c r="A22098" i="4"/>
  <c r="A22097" i="4"/>
  <c r="A15370" i="4"/>
  <c r="A22096" i="4"/>
  <c r="A13037" i="4"/>
  <c r="A13036" i="4"/>
  <c r="A18656" i="4"/>
  <c r="A18655" i="4"/>
  <c r="A18654" i="4"/>
  <c r="A18653" i="4"/>
  <c r="A18652" i="4"/>
  <c r="A22095" i="4"/>
  <c r="A13035" i="4"/>
  <c r="A18651" i="4"/>
  <c r="A18650" i="4"/>
  <c r="A18649" i="4"/>
  <c r="A13245" i="4"/>
  <c r="A22094" i="4"/>
  <c r="A2501" i="4"/>
  <c r="A22093" i="4"/>
  <c r="A9669" i="4"/>
  <c r="A22092" i="4"/>
  <c r="A9668" i="4"/>
  <c r="A9667" i="4"/>
  <c r="A22091" i="4"/>
  <c r="A9666" i="4"/>
  <c r="A9665" i="4"/>
  <c r="A9664" i="4"/>
  <c r="A9663" i="4"/>
  <c r="A9662" i="4"/>
  <c r="A9661" i="4"/>
  <c r="A9660" i="4"/>
  <c r="A9659" i="4"/>
  <c r="A9658" i="4"/>
  <c r="A9657" i="4"/>
  <c r="A9656" i="4"/>
  <c r="A66" i="4"/>
  <c r="A9655" i="4"/>
  <c r="A22090" i="4"/>
  <c r="A9654" i="4"/>
  <c r="A9653" i="4"/>
  <c r="A65" i="4"/>
  <c r="A9389" i="4"/>
  <c r="A9388" i="4"/>
  <c r="A9387" i="4"/>
  <c r="A9950" i="4"/>
  <c r="A9949" i="4"/>
  <c r="A13" i="4"/>
  <c r="A22089" i="4"/>
  <c r="A22088" i="4"/>
  <c r="A18648" i="4"/>
  <c r="A18647" i="4"/>
  <c r="A18646" i="4"/>
  <c r="A18645" i="4"/>
  <c r="A22087" i="4"/>
  <c r="A22086" i="4"/>
  <c r="A18644" i="4"/>
  <c r="A18643" i="4"/>
  <c r="A18642" i="4"/>
  <c r="A22085" i="4"/>
  <c r="A22084" i="4"/>
  <c r="A18641" i="4"/>
  <c r="A18640" i="4"/>
  <c r="A18639" i="4"/>
  <c r="A18638" i="4"/>
  <c r="A18637" i="4"/>
  <c r="A22083" i="4"/>
  <c r="A22082" i="4"/>
  <c r="A15891" i="4"/>
  <c r="A22081" i="4"/>
  <c r="A15890" i="4"/>
  <c r="A15889" i="4"/>
  <c r="A15888" i="4"/>
  <c r="A15887" i="4"/>
  <c r="A22080" i="4"/>
  <c r="A15886" i="4"/>
  <c r="A15885" i="4"/>
  <c r="A22079" i="4"/>
  <c r="A15884" i="4"/>
  <c r="A15883" i="4"/>
  <c r="A22078" i="4"/>
  <c r="A22077" i="4"/>
  <c r="A22076" i="4"/>
  <c r="A22075" i="4"/>
  <c r="A22074" i="4"/>
  <c r="A15882" i="4"/>
  <c r="A15881" i="4"/>
  <c r="A22073" i="4"/>
  <c r="A15502" i="4"/>
  <c r="A15501" i="4"/>
  <c r="A15500" i="4"/>
  <c r="A15499" i="4"/>
  <c r="A15498" i="4"/>
  <c r="A15497" i="4"/>
  <c r="A15496" i="4"/>
  <c r="A15495" i="4"/>
  <c r="A22072" i="4"/>
  <c r="A15494" i="4"/>
  <c r="A15493" i="4"/>
  <c r="A15492" i="4"/>
  <c r="A15880" i="4"/>
  <c r="A15879" i="4"/>
  <c r="A22071" i="4"/>
  <c r="A8513" i="4"/>
  <c r="A22070" i="4"/>
  <c r="A8512" i="4"/>
  <c r="A12241" i="4"/>
  <c r="A12240" i="4"/>
  <c r="A12239" i="4"/>
  <c r="A2084" i="4"/>
  <c r="A22069" i="4"/>
  <c r="A2083" i="4"/>
  <c r="A18121" i="4"/>
  <c r="A22068" i="4"/>
  <c r="A18120" i="4"/>
  <c r="A22067" i="4"/>
  <c r="A18119" i="4"/>
  <c r="A14332" i="4"/>
  <c r="A5849" i="4"/>
  <c r="A5848" i="4"/>
  <c r="A5847" i="4"/>
  <c r="A22066" i="4"/>
  <c r="A5846" i="4"/>
  <c r="A5845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5844" i="4"/>
  <c r="A5843" i="4"/>
  <c r="A14304" i="4"/>
  <c r="A14303" i="4"/>
  <c r="A14302" i="4"/>
  <c r="A22065" i="4"/>
  <c r="A14301" i="4"/>
  <c r="A22064" i="4"/>
  <c r="A14300" i="4"/>
  <c r="A15878" i="4"/>
  <c r="A15877" i="4"/>
  <c r="A15876" i="4"/>
  <c r="A15875" i="4"/>
  <c r="A15874" i="4"/>
  <c r="A8362" i="4"/>
  <c r="A561" i="4"/>
  <c r="A22063" i="4"/>
  <c r="A14299" i="4"/>
  <c r="A14298" i="4"/>
  <c r="A14297" i="4"/>
  <c r="A14296" i="4"/>
  <c r="A14295" i="4"/>
  <c r="A14294" i="4"/>
  <c r="A14293" i="4"/>
  <c r="A22062" i="4"/>
  <c r="A14292" i="4"/>
  <c r="A14291" i="4"/>
  <c r="A14290" i="4"/>
  <c r="A22061" i="4"/>
  <c r="A22060" i="4"/>
  <c r="A14289" i="4"/>
  <c r="A22059" i="4"/>
  <c r="A14288" i="4"/>
  <c r="A14287" i="4"/>
  <c r="A22058" i="4"/>
  <c r="A22057" i="4"/>
  <c r="A14286" i="4"/>
  <c r="A14285" i="4"/>
  <c r="A14284" i="4"/>
  <c r="A14283" i="4"/>
  <c r="A18636" i="4"/>
  <c r="A22056" i="4"/>
  <c r="A22055" i="4"/>
  <c r="A20784" i="4"/>
  <c r="A22054" i="4"/>
  <c r="A22053" i="4"/>
  <c r="A22052" i="4"/>
  <c r="A5917" i="4"/>
  <c r="A11493" i="4"/>
  <c r="A11492" i="4"/>
  <c r="A22051" i="4"/>
  <c r="A3269" i="4"/>
  <c r="A22050" i="4"/>
  <c r="A18635" i="4"/>
  <c r="A9652" i="4"/>
  <c r="A13383" i="4"/>
  <c r="A22049" i="4"/>
  <c r="A14282" i="4"/>
  <c r="A22048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22047" i="4"/>
  <c r="A22046" i="4"/>
  <c r="A14270" i="4"/>
  <c r="A22045" i="4"/>
  <c r="A22044" i="4"/>
  <c r="A14269" i="4"/>
  <c r="A14268" i="4"/>
  <c r="A14267" i="4"/>
  <c r="A22043" i="4"/>
  <c r="A22042" i="4"/>
  <c r="A14266" i="4"/>
  <c r="A14265" i="4"/>
  <c r="A22041" i="4"/>
  <c r="A22040" i="4"/>
  <c r="A22039" i="4"/>
  <c r="A12327" i="4"/>
  <c r="A12326" i="4"/>
  <c r="A22038" i="4"/>
  <c r="A22037" i="4"/>
  <c r="A5842" i="4"/>
  <c r="A22036" i="4"/>
  <c r="A22035" i="4"/>
  <c r="A22034" i="4"/>
  <c r="A22033" i="4"/>
  <c r="A10829" i="4"/>
  <c r="A10828" i="4"/>
  <c r="A2203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22031" i="4"/>
  <c r="A22030" i="4"/>
  <c r="A15873" i="4"/>
  <c r="A15872" i="4"/>
  <c r="A22029" i="4"/>
  <c r="A22028" i="4"/>
  <c r="A22027" i="4"/>
  <c r="A15871" i="4"/>
  <c r="A22026" i="4"/>
  <c r="A15870" i="4"/>
  <c r="A15869" i="4"/>
  <c r="A22025" i="4"/>
  <c r="A22024" i="4"/>
  <c r="A22023" i="4"/>
  <c r="A10827" i="4"/>
  <c r="A22022" i="4"/>
  <c r="A22021" i="4"/>
  <c r="A22020" i="4"/>
  <c r="A22019" i="4"/>
  <c r="A7516" i="4"/>
  <c r="A8453" i="4"/>
  <c r="A8452" i="4"/>
  <c r="A5383" i="4"/>
  <c r="A22018" i="4"/>
  <c r="A244" i="4"/>
  <c r="A15868" i="4"/>
  <c r="A22017" i="4"/>
  <c r="A22016" i="4"/>
  <c r="A15867" i="4"/>
  <c r="A15866" i="4"/>
  <c r="A15865" i="4"/>
  <c r="A15864" i="4"/>
  <c r="A17589" i="4"/>
  <c r="A560" i="4"/>
  <c r="A22015" i="4"/>
  <c r="A18634" i="4"/>
  <c r="A18633" i="4"/>
  <c r="A18632" i="4"/>
  <c r="A18631" i="4"/>
  <c r="A18630" i="4"/>
  <c r="A22014" i="4"/>
  <c r="A18629" i="4"/>
  <c r="A18628" i="4"/>
  <c r="A18627" i="4"/>
  <c r="A22013" i="4"/>
  <c r="A22012" i="4"/>
  <c r="A22011" i="4"/>
  <c r="A18626" i="4"/>
  <c r="A18625" i="4"/>
  <c r="A18624" i="4"/>
  <c r="A14264" i="4"/>
  <c r="A15593" i="4"/>
  <c r="A559" i="4"/>
  <c r="A558" i="4"/>
  <c r="A11491" i="4"/>
  <c r="A11490" i="4"/>
  <c r="A2082" i="4"/>
  <c r="A2081" i="4"/>
  <c r="A11489" i="4"/>
  <c r="A11488" i="4"/>
  <c r="A11487" i="4"/>
  <c r="A11486" i="4"/>
  <c r="A11485" i="4"/>
  <c r="A3268" i="4"/>
  <c r="A3267" i="4"/>
  <c r="A11484" i="4"/>
  <c r="A11483" i="4"/>
  <c r="A11482" i="4"/>
  <c r="A11481" i="4"/>
  <c r="A11480" i="4"/>
  <c r="A11479" i="4"/>
  <c r="A12325" i="4"/>
  <c r="A22010" i="4"/>
  <c r="A22009" i="4"/>
  <c r="A18623" i="4"/>
  <c r="A15863" i="4"/>
  <c r="A18622" i="4"/>
  <c r="A18621" i="4"/>
  <c r="A18620" i="4"/>
  <c r="A13034" i="4"/>
  <c r="A22008" i="4"/>
  <c r="A18619" i="4"/>
  <c r="A18618" i="4"/>
  <c r="A18617" i="4"/>
  <c r="A18616" i="4"/>
  <c r="A22007" i="4"/>
  <c r="A20523" i="4"/>
  <c r="A22006" i="4"/>
  <c r="A9651" i="4"/>
  <c r="A22005" i="4"/>
  <c r="A64" i="4"/>
  <c r="A18615" i="4"/>
  <c r="A22004" i="4"/>
  <c r="A18614" i="4"/>
  <c r="A18613" i="4"/>
  <c r="A18612" i="4"/>
  <c r="A18611" i="4"/>
  <c r="A18610" i="4"/>
  <c r="A22003" i="4"/>
  <c r="A18609" i="4"/>
  <c r="A18608" i="4"/>
  <c r="A18607" i="4"/>
  <c r="A22002" i="4"/>
  <c r="A18606" i="4"/>
  <c r="A15862" i="4"/>
  <c r="A15861" i="4"/>
  <c r="A15860" i="4"/>
  <c r="A15859" i="4"/>
  <c r="A15858" i="4"/>
  <c r="A9386" i="4"/>
  <c r="A15491" i="4"/>
  <c r="A15490" i="4"/>
  <c r="A1930" i="4"/>
  <c r="A5916" i="4"/>
  <c r="A22001" i="4"/>
  <c r="A14263" i="4"/>
  <c r="A14262" i="4"/>
  <c r="A14261" i="4"/>
  <c r="A14260" i="4"/>
  <c r="A14259" i="4"/>
  <c r="A22000" i="4"/>
  <c r="A14258" i="4"/>
  <c r="A14257" i="4"/>
  <c r="A557" i="4"/>
  <c r="A14256" i="4"/>
  <c r="A14255" i="4"/>
  <c r="A14254" i="4"/>
  <c r="A9650" i="4"/>
  <c r="A14253" i="4"/>
  <c r="A11478" i="4"/>
  <c r="A21999" i="4"/>
  <c r="A11477" i="4"/>
  <c r="A11476" i="4"/>
  <c r="A11475" i="4"/>
  <c r="A11474" i="4"/>
  <c r="A11473" i="4"/>
  <c r="A3266" i="4"/>
  <c r="A3265" i="4"/>
  <c r="A3264" i="4"/>
  <c r="A3263" i="4"/>
  <c r="A3262" i="4"/>
  <c r="A3261" i="4"/>
  <c r="A3260" i="4"/>
  <c r="A3259" i="4"/>
  <c r="A3258" i="4"/>
  <c r="A21998" i="4"/>
  <c r="A3257" i="4"/>
  <c r="A3256" i="4"/>
  <c r="A21997" i="4"/>
  <c r="A3255" i="4"/>
  <c r="A3254" i="4"/>
  <c r="A11472" i="4"/>
  <c r="A11471" i="4"/>
  <c r="A11470" i="4"/>
  <c r="A21996" i="4"/>
  <c r="A11469" i="4"/>
  <c r="A11468" i="4"/>
  <c r="A11467" i="4"/>
  <c r="A11466" i="4"/>
  <c r="A11465" i="4"/>
  <c r="A11464" i="4"/>
  <c r="A11463" i="4"/>
  <c r="A11462" i="4"/>
  <c r="A21995" i="4"/>
  <c r="A11461" i="4"/>
  <c r="A21994" i="4"/>
  <c r="A11460" i="4"/>
  <c r="A21993" i="4"/>
  <c r="A9649" i="4"/>
  <c r="A21992" i="4"/>
  <c r="A7515" i="4"/>
  <c r="A7514" i="4"/>
  <c r="A7513" i="4"/>
  <c r="A14252" i="4"/>
  <c r="A2080" i="4"/>
  <c r="A2079" i="4"/>
  <c r="A14251" i="4"/>
  <c r="A2078" i="4"/>
  <c r="A2077" i="4"/>
  <c r="A2076" i="4"/>
  <c r="A14250" i="4"/>
  <c r="A14249" i="4"/>
  <c r="A21991" i="4"/>
  <c r="A21990" i="4"/>
  <c r="A21989" i="4"/>
  <c r="A21988" i="4"/>
  <c r="A12324" i="4"/>
  <c r="A21987" i="4"/>
  <c r="A21986" i="4"/>
  <c r="A21985" i="4"/>
  <c r="A21984" i="4"/>
  <c r="A21983" i="4"/>
  <c r="A21982" i="4"/>
  <c r="A243" i="4"/>
  <c r="A242" i="4"/>
  <c r="A5579" i="4"/>
  <c r="A21981" i="4"/>
  <c r="A21980" i="4"/>
  <c r="A21979" i="4"/>
  <c r="A241" i="4"/>
  <c r="A240" i="4"/>
  <c r="A18605" i="4"/>
  <c r="A18604" i="4"/>
  <c r="A556" i="4"/>
  <c r="A21978" i="4"/>
  <c r="A11459" i="4"/>
  <c r="A21977" i="4"/>
  <c r="A21976" i="4"/>
  <c r="A18603" i="4"/>
  <c r="A15857" i="4"/>
  <c r="A8471" i="4"/>
  <c r="A14248" i="4"/>
  <c r="A18602" i="4"/>
  <c r="A18601" i="4"/>
  <c r="A18600" i="4"/>
  <c r="A18599" i="4"/>
  <c r="A18598" i="4"/>
  <c r="A17270" i="4"/>
  <c r="A17269" i="4"/>
  <c r="A20666" i="4"/>
  <c r="A3253" i="4"/>
  <c r="A21975" i="4"/>
  <c r="A8511" i="4"/>
  <c r="A10055" i="4"/>
  <c r="A10054" i="4"/>
  <c r="A3252" i="4"/>
  <c r="A21974" i="4"/>
  <c r="A15444" i="4"/>
  <c r="A15443" i="4"/>
  <c r="A21973" i="4"/>
  <c r="A14247" i="4"/>
  <c r="A21972" i="4"/>
  <c r="A11458" i="4"/>
  <c r="A21971" i="4"/>
  <c r="A18597" i="4"/>
  <c r="A15856" i="4"/>
  <c r="A15855" i="4"/>
  <c r="A21970" i="4"/>
  <c r="A21969" i="4"/>
  <c r="A21968" i="4"/>
  <c r="A21967" i="4"/>
  <c r="A21966" i="4"/>
  <c r="A21965" i="4"/>
  <c r="A3251" i="4"/>
  <c r="A3250" i="4"/>
  <c r="A5680" i="4"/>
  <c r="A5679" i="4"/>
  <c r="A14246" i="4"/>
  <c r="A14245" i="4"/>
  <c r="A3249" i="4"/>
  <c r="A13244" i="4"/>
  <c r="A21964" i="4"/>
  <c r="A5132" i="4"/>
  <c r="A63" i="4"/>
  <c r="A9648" i="4"/>
  <c r="A18596" i="4"/>
  <c r="A18595" i="4"/>
  <c r="A21963" i="4"/>
  <c r="A2075" i="4"/>
  <c r="A7512" i="4"/>
  <c r="A7511" i="4"/>
  <c r="A7510" i="4"/>
  <c r="A21962" i="4"/>
  <c r="A17716" i="4"/>
  <c r="A2074" i="4"/>
  <c r="A21961" i="4"/>
  <c r="A13594" i="4"/>
  <c r="A13593" i="4"/>
  <c r="A21960" i="4"/>
  <c r="A21959" i="4"/>
  <c r="A11457" i="4"/>
  <c r="A11456" i="4"/>
  <c r="A11455" i="4"/>
  <c r="A11454" i="4"/>
  <c r="A11453" i="4"/>
  <c r="A11452" i="4"/>
  <c r="A21958" i="4"/>
  <c r="A13592" i="4"/>
  <c r="A13591" i="4"/>
  <c r="A13590" i="4"/>
  <c r="A555" i="4"/>
  <c r="A7509" i="4"/>
  <c r="A11451" i="4"/>
  <c r="A11450" i="4"/>
  <c r="A11449" i="4"/>
  <c r="A12874" i="4"/>
  <c r="A21957" i="4"/>
  <c r="A21956" i="4"/>
  <c r="A11448" i="4"/>
  <c r="A21955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21954" i="4"/>
  <c r="A14244" i="4"/>
  <c r="A9647" i="4"/>
  <c r="A9646" i="4"/>
  <c r="A9645" i="4"/>
  <c r="A9644" i="4"/>
  <c r="A5825" i="4"/>
  <c r="A5824" i="4"/>
  <c r="A14243" i="4"/>
  <c r="A14242" i="4"/>
  <c r="A18594" i="4"/>
  <c r="A18593" i="4"/>
  <c r="A20783" i="4"/>
  <c r="A20782" i="4"/>
  <c r="A20781" i="4"/>
  <c r="A20780" i="4"/>
  <c r="A20779" i="4"/>
  <c r="A20778" i="4"/>
  <c r="A11436" i="4"/>
  <c r="A11435" i="4"/>
  <c r="A14241" i="4"/>
  <c r="A14240" i="4"/>
  <c r="A14239" i="4"/>
  <c r="A14238" i="4"/>
  <c r="A14237" i="4"/>
  <c r="A21953" i="4"/>
  <c r="A11434" i="4"/>
  <c r="A11433" i="4"/>
  <c r="A11432" i="4"/>
  <c r="A11431" i="4"/>
  <c r="A11430" i="4"/>
  <c r="A11429" i="4"/>
  <c r="A11428" i="4"/>
  <c r="A239" i="4"/>
  <c r="A12238" i="4"/>
  <c r="A12237" i="4"/>
  <c r="A10053" i="4"/>
  <c r="A6512" i="4"/>
  <c r="A8510" i="4"/>
  <c r="A3248" i="4"/>
  <c r="A3247" i="4"/>
  <c r="A3246" i="4"/>
  <c r="A3245" i="4"/>
  <c r="A21952" i="4"/>
  <c r="A3244" i="4"/>
  <c r="A3243" i="4"/>
  <c r="A3242" i="4"/>
  <c r="A3241" i="4"/>
  <c r="A3240" i="4"/>
  <c r="A3239" i="4"/>
  <c r="A3238" i="4"/>
  <c r="A3237" i="4"/>
  <c r="A3236" i="4"/>
  <c r="A21951" i="4"/>
  <c r="A3235" i="4"/>
  <c r="A3234" i="4"/>
  <c r="A3233" i="4"/>
  <c r="A11427" i="4"/>
  <c r="A17883" i="4"/>
  <c r="A8509" i="4"/>
  <c r="A8508" i="4"/>
  <c r="A3232" i="4"/>
  <c r="A3231" i="4"/>
  <c r="A3230" i="4"/>
  <c r="A8507" i="4"/>
  <c r="A6511" i="4"/>
  <c r="A17882" i="4"/>
  <c r="A8506" i="4"/>
  <c r="A8505" i="4"/>
  <c r="A10993" i="4"/>
  <c r="A3229" i="4"/>
  <c r="A3228" i="4"/>
  <c r="A3227" i="4"/>
  <c r="A3226" i="4"/>
  <c r="A3225" i="4"/>
  <c r="A21950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13382" i="4"/>
  <c r="A13381" i="4"/>
  <c r="A13380" i="4"/>
  <c r="A3209" i="4"/>
  <c r="A3208" i="4"/>
  <c r="A3207" i="4"/>
  <c r="A10052" i="4"/>
  <c r="A10051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13379" i="4"/>
  <c r="A3193" i="4"/>
  <c r="A3192" i="4"/>
  <c r="A3191" i="4"/>
  <c r="A3190" i="4"/>
  <c r="A3189" i="4"/>
  <c r="A13378" i="4"/>
  <c r="A3188" i="4"/>
  <c r="A3187" i="4"/>
  <c r="A1710" i="4"/>
  <c r="A1709" i="4"/>
  <c r="A6225" i="4"/>
  <c r="A6224" i="4"/>
  <c r="A10050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10049" i="4"/>
  <c r="A21949" i="4"/>
  <c r="A10048" i="4"/>
  <c r="A11426" i="4"/>
  <c r="A11425" i="4"/>
  <c r="A21948" i="4"/>
  <c r="A13377" i="4"/>
  <c r="A13376" i="4"/>
  <c r="A21947" i="4"/>
  <c r="A13375" i="4"/>
  <c r="A13374" i="4"/>
  <c r="A21946" i="4"/>
  <c r="A11424" i="4"/>
  <c r="A11423" i="4"/>
  <c r="A11422" i="4"/>
  <c r="A21945" i="4"/>
  <c r="A11421" i="4"/>
  <c r="A21944" i="4"/>
  <c r="A11420" i="4"/>
  <c r="A14236" i="4"/>
  <c r="A14235" i="4"/>
  <c r="A14234" i="4"/>
  <c r="A14233" i="4"/>
  <c r="A20777" i="4"/>
  <c r="A21943" i="4"/>
  <c r="A5823" i="4"/>
  <c r="A6223" i="4"/>
  <c r="A3172" i="4"/>
  <c r="A3171" i="4"/>
  <c r="A3170" i="4"/>
  <c r="A3169" i="4"/>
  <c r="A3168" i="4"/>
  <c r="A3167" i="4"/>
  <c r="A3166" i="4"/>
  <c r="A10047" i="4"/>
  <c r="A18039" i="4"/>
  <c r="A3165" i="4"/>
  <c r="A3164" i="4"/>
  <c r="A3163" i="4"/>
  <c r="A3162" i="4"/>
  <c r="A21942" i="4"/>
  <c r="A3161" i="4"/>
  <c r="A3160" i="4"/>
  <c r="A21941" i="4"/>
  <c r="A3159" i="4"/>
  <c r="A3158" i="4"/>
  <c r="A3157" i="4"/>
  <c r="A3156" i="4"/>
  <c r="A21940" i="4"/>
  <c r="A3155" i="4"/>
  <c r="A21939" i="4"/>
  <c r="A15369" i="4"/>
  <c r="A5131" i="4"/>
  <c r="A11419" i="4"/>
  <c r="A14232" i="4"/>
  <c r="A11418" i="4"/>
  <c r="A11417" i="4"/>
  <c r="A11416" i="4"/>
  <c r="A11415" i="4"/>
  <c r="A21938" i="4"/>
  <c r="A2469" i="4"/>
  <c r="A2468" i="4"/>
  <c r="A13033" i="4"/>
  <c r="A21937" i="4"/>
  <c r="A21936" i="4"/>
  <c r="A21935" i="4"/>
  <c r="A3154" i="4"/>
  <c r="A3153" i="4"/>
  <c r="A3152" i="4"/>
  <c r="A3151" i="4"/>
  <c r="A3150" i="4"/>
  <c r="A11414" i="4"/>
  <c r="A3149" i="4"/>
  <c r="A21934" i="4"/>
  <c r="A3148" i="4"/>
  <c r="A3147" i="4"/>
  <c r="A17197" i="4"/>
  <c r="A6222" i="4"/>
  <c r="A3146" i="4"/>
  <c r="A10046" i="4"/>
  <c r="A5130" i="4"/>
  <c r="A3145" i="4"/>
  <c r="A3144" i="4"/>
  <c r="A3143" i="4"/>
  <c r="A3142" i="4"/>
  <c r="A3141" i="4"/>
  <c r="A3140" i="4"/>
  <c r="A3139" i="4"/>
  <c r="A3138" i="4"/>
  <c r="A3137" i="4"/>
  <c r="A13373" i="4"/>
  <c r="A3136" i="4"/>
  <c r="A3135" i="4"/>
  <c r="A3134" i="4"/>
  <c r="A8504" i="4"/>
  <c r="A10045" i="4"/>
  <c r="A3133" i="4"/>
  <c r="A3132" i="4"/>
  <c r="A21933" i="4"/>
  <c r="A21932" i="4"/>
  <c r="A15442" i="4"/>
  <c r="A15441" i="4"/>
  <c r="A15440" i="4"/>
  <c r="A15439" i="4"/>
  <c r="A21931" i="4"/>
  <c r="A15438" i="4"/>
  <c r="A21930" i="4"/>
  <c r="A15437" i="4"/>
  <c r="A15436" i="4"/>
  <c r="A15435" i="4"/>
  <c r="A2073" i="4"/>
  <c r="A11413" i="4"/>
  <c r="A11412" i="4"/>
  <c r="A11411" i="4"/>
  <c r="A21929" i="4"/>
  <c r="A11410" i="4"/>
  <c r="A11409" i="4"/>
  <c r="A20776" i="4"/>
  <c r="A21928" i="4"/>
  <c r="A3131" i="4"/>
  <c r="A21927" i="4"/>
  <c r="A3130" i="4"/>
  <c r="A3129" i="4"/>
  <c r="A3128" i="4"/>
  <c r="A3127" i="4"/>
  <c r="A3126" i="4"/>
  <c r="A21926" i="4"/>
  <c r="A15592" i="4"/>
  <c r="A3125" i="4"/>
  <c r="A6510" i="4"/>
  <c r="A6509" i="4"/>
  <c r="A6508" i="4"/>
  <c r="A6221" i="4"/>
  <c r="A6220" i="4"/>
  <c r="A6219" i="4"/>
  <c r="A21925" i="4"/>
  <c r="A13372" i="4"/>
  <c r="A21924" i="4"/>
  <c r="A18592" i="4"/>
  <c r="A18591" i="4"/>
  <c r="A21923" i="4"/>
  <c r="A18590" i="4"/>
  <c r="A18589" i="4"/>
  <c r="A21922" i="4"/>
  <c r="A21921" i="4"/>
  <c r="A8361" i="4"/>
  <c r="A21920" i="4"/>
  <c r="A21919" i="4"/>
  <c r="A18588" i="4"/>
  <c r="A18587" i="4"/>
  <c r="A18586" i="4"/>
  <c r="A21918" i="4"/>
  <c r="A18585" i="4"/>
  <c r="A18584" i="4"/>
  <c r="A2072" i="4"/>
  <c r="A21917" i="4"/>
  <c r="A14231" i="4"/>
  <c r="A14230" i="4"/>
  <c r="A2071" i="4"/>
  <c r="A21916" i="4"/>
  <c r="A21915" i="4"/>
  <c r="A21914" i="4"/>
  <c r="A9643" i="4"/>
  <c r="A9642" i="4"/>
  <c r="A62" i="4"/>
  <c r="A9641" i="4"/>
  <c r="A9640" i="4"/>
  <c r="A9639" i="4"/>
  <c r="A21913" i="4"/>
  <c r="A21912" i="4"/>
  <c r="A21911" i="4"/>
  <c r="A21910" i="4"/>
  <c r="A21909" i="4"/>
  <c r="A21908" i="4"/>
  <c r="A10826" i="4"/>
  <c r="A21907" i="4"/>
  <c r="A3124" i="4"/>
  <c r="A21906" i="4"/>
  <c r="A21905" i="4"/>
  <c r="A15489" i="4"/>
  <c r="A15488" i="4"/>
  <c r="A21904" i="4"/>
  <c r="A9638" i="4"/>
  <c r="A18583" i="4"/>
  <c r="A21903" i="4"/>
  <c r="A21902" i="4"/>
  <c r="A21901" i="4"/>
  <c r="A5678" i="4"/>
  <c r="A5677" i="4"/>
  <c r="A5676" i="4"/>
  <c r="A5675" i="4"/>
  <c r="A5674" i="4"/>
  <c r="A5673" i="4"/>
  <c r="A5672" i="4"/>
  <c r="A5671" i="4"/>
  <c r="A5670" i="4"/>
  <c r="A5669" i="4"/>
  <c r="A5668" i="4"/>
  <c r="A21900" i="4"/>
  <c r="A8360" i="4"/>
  <c r="A14229" i="4"/>
  <c r="A14228" i="4"/>
  <c r="A11408" i="4"/>
  <c r="A3123" i="4"/>
  <c r="A3122" i="4"/>
  <c r="A3121" i="4"/>
  <c r="A11407" i="4"/>
  <c r="A7508" i="4"/>
  <c r="A12323" i="4"/>
  <c r="A12322" i="4"/>
  <c r="A12321" i="4"/>
  <c r="A12320" i="4"/>
  <c r="A12319" i="4"/>
  <c r="A12318" i="4"/>
  <c r="A12317" i="4"/>
  <c r="A12316" i="4"/>
  <c r="A21899" i="4"/>
  <c r="A21898" i="4"/>
  <c r="A21897" i="4"/>
  <c r="A10825" i="4"/>
  <c r="A5129" i="4"/>
  <c r="A18582" i="4"/>
  <c r="A18581" i="4"/>
  <c r="A18580" i="4"/>
  <c r="A18579" i="4"/>
  <c r="A18578" i="4"/>
  <c r="A18577" i="4"/>
  <c r="A18576" i="4"/>
  <c r="A18575" i="4"/>
  <c r="A21896" i="4"/>
  <c r="A5128" i="4"/>
  <c r="A18574" i="4"/>
  <c r="A13243" i="4"/>
  <c r="A13242" i="4"/>
  <c r="A11406" i="4"/>
  <c r="A11405" i="4"/>
  <c r="A21895" i="4"/>
  <c r="A18573" i="4"/>
  <c r="A18572" i="4"/>
  <c r="A18571" i="4"/>
  <c r="A18570" i="4"/>
  <c r="A18569" i="4"/>
  <c r="A18568" i="4"/>
  <c r="A21894" i="4"/>
  <c r="A18567" i="4"/>
  <c r="A18566" i="4"/>
  <c r="A18565" i="4"/>
  <c r="A21893" i="4"/>
  <c r="A18564" i="4"/>
  <c r="A18563" i="4"/>
  <c r="A18562" i="4"/>
  <c r="A21892" i="4"/>
  <c r="A18561" i="4"/>
  <c r="A18560" i="4"/>
  <c r="A13032" i="4"/>
  <c r="A21891" i="4"/>
  <c r="A12236" i="4"/>
  <c r="A15487" i="4"/>
  <c r="A15486" i="4"/>
  <c r="A5822" i="4"/>
  <c r="A5915" i="4"/>
  <c r="A14227" i="4"/>
  <c r="A14226" i="4"/>
  <c r="A14225" i="4"/>
  <c r="A14224" i="4"/>
  <c r="A21890" i="4"/>
  <c r="A21889" i="4"/>
  <c r="A554" i="4"/>
  <c r="A21888" i="4"/>
  <c r="A553" i="4"/>
  <c r="A552" i="4"/>
  <c r="A21887" i="4"/>
  <c r="A7507" i="4"/>
  <c r="A7506" i="4"/>
  <c r="A8359" i="4"/>
  <c r="A551" i="4"/>
  <c r="A14223" i="4"/>
  <c r="A550" i="4"/>
  <c r="A14222" i="4"/>
  <c r="A17715" i="4"/>
  <c r="A14221" i="4"/>
  <c r="A2070" i="4"/>
  <c r="A21886" i="4"/>
  <c r="A11404" i="4"/>
  <c r="A11403" i="4"/>
  <c r="A21885" i="4"/>
  <c r="A11402" i="4"/>
  <c r="A11401" i="4"/>
  <c r="A11400" i="4"/>
  <c r="A11399" i="4"/>
  <c r="A11398" i="4"/>
  <c r="A11397" i="4"/>
  <c r="A11396" i="4"/>
  <c r="A21884" i="4"/>
  <c r="A7505" i="4"/>
  <c r="A14220" i="4"/>
  <c r="A21883" i="4"/>
  <c r="A21882" i="4"/>
  <c r="A2069" i="4"/>
  <c r="A14219" i="4"/>
  <c r="A2068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7504" i="4"/>
  <c r="A17675" i="4"/>
  <c r="A15854" i="4"/>
  <c r="A21870" i="4"/>
  <c r="A15853" i="4"/>
  <c r="A15852" i="4"/>
  <c r="A15851" i="4"/>
  <c r="A15850" i="4"/>
  <c r="A21869" i="4"/>
  <c r="A21868" i="4"/>
  <c r="A549" i="4"/>
  <c r="A21867" i="4"/>
  <c r="A18559" i="4"/>
  <c r="A18558" i="4"/>
  <c r="A14218" i="4"/>
  <c r="A14217" i="4"/>
  <c r="A21866" i="4"/>
  <c r="A14216" i="4"/>
  <c r="A14215" i="4"/>
  <c r="A14214" i="4"/>
  <c r="A159" i="4"/>
  <c r="A9945" i="4"/>
  <c r="A9637" i="4"/>
  <c r="A18557" i="4"/>
  <c r="A18556" i="4"/>
  <c r="A3120" i="4"/>
  <c r="A3119" i="4"/>
  <c r="A3118" i="4"/>
  <c r="A3117" i="4"/>
  <c r="A3116" i="4"/>
  <c r="A3115" i="4"/>
  <c r="A3114" i="4"/>
  <c r="A3113" i="4"/>
  <c r="A21865" i="4"/>
  <c r="A21864" i="4"/>
  <c r="A21863" i="4"/>
  <c r="A21862" i="4"/>
  <c r="A15849" i="4"/>
  <c r="A15848" i="4"/>
  <c r="A15847" i="4"/>
  <c r="A6507" i="4"/>
  <c r="A6506" i="4"/>
  <c r="A8503" i="4"/>
  <c r="A8502" i="4"/>
  <c r="A8501" i="4"/>
  <c r="A18555" i="4"/>
  <c r="A18554" i="4"/>
  <c r="A18553" i="4"/>
  <c r="A18552" i="4"/>
  <c r="A18551" i="4"/>
  <c r="A18550" i="4"/>
  <c r="A18549" i="4"/>
  <c r="A18548" i="4"/>
  <c r="A18547" i="4"/>
  <c r="A18546" i="4"/>
  <c r="A21861" i="4"/>
  <c r="A21860" i="4"/>
  <c r="A11395" i="4"/>
  <c r="A11394" i="4"/>
  <c r="A11393" i="4"/>
  <c r="A11392" i="4"/>
  <c r="A21859" i="4"/>
  <c r="A21858" i="4"/>
  <c r="A21857" i="4"/>
  <c r="A238" i="4"/>
  <c r="A20522" i="4"/>
  <c r="A21856" i="4"/>
  <c r="A17674" i="4"/>
  <c r="A10044" i="4"/>
  <c r="A21855" i="4"/>
  <c r="A10043" i="4"/>
  <c r="A11391" i="4"/>
  <c r="A21854" i="4"/>
  <c r="A21853" i="4"/>
  <c r="A21852" i="4"/>
  <c r="A6218" i="4"/>
  <c r="A6217" i="4"/>
  <c r="A9636" i="4"/>
  <c r="A9635" i="4"/>
  <c r="A9634" i="4"/>
  <c r="A9633" i="4"/>
  <c r="A61" i="4"/>
  <c r="A3112" i="4"/>
  <c r="A3111" i="4"/>
  <c r="A21851" i="4"/>
  <c r="A15368" i="4"/>
  <c r="A237" i="4"/>
  <c r="A18545" i="4"/>
  <c r="A21850" i="4"/>
  <c r="A13031" i="4"/>
  <c r="A13030" i="4"/>
  <c r="A21849" i="4"/>
  <c r="A13029" i="4"/>
  <c r="A13028" i="4"/>
  <c r="A13027" i="4"/>
  <c r="A13026" i="4"/>
  <c r="A18544" i="4"/>
  <c r="A18543" i="4"/>
  <c r="A18542" i="4"/>
  <c r="A18541" i="4"/>
  <c r="A18540" i="4"/>
  <c r="A18539" i="4"/>
  <c r="A18538" i="4"/>
  <c r="A18537" i="4"/>
  <c r="A18536" i="4"/>
  <c r="A18535" i="4"/>
  <c r="A21848" i="4"/>
  <c r="A21847" i="4"/>
  <c r="A21846" i="4"/>
  <c r="A21845" i="4"/>
  <c r="A21844" i="4"/>
  <c r="A21843" i="4"/>
  <c r="A21842" i="4"/>
  <c r="A13025" i="4"/>
  <c r="A13024" i="4"/>
  <c r="A13023" i="4"/>
  <c r="A21841" i="4"/>
  <c r="A21840" i="4"/>
  <c r="A13022" i="4"/>
  <c r="A13021" i="4"/>
  <c r="A13020" i="4"/>
  <c r="A13019" i="4"/>
  <c r="A21839" i="4"/>
  <c r="A21838" i="4"/>
  <c r="A13018" i="4"/>
  <c r="A13017" i="4"/>
  <c r="A21837" i="4"/>
  <c r="A21836" i="4"/>
  <c r="A18534" i="4"/>
  <c r="A18533" i="4"/>
  <c r="A18532" i="4"/>
  <c r="A18531" i="4"/>
  <c r="A21835" i="4"/>
  <c r="A18530" i="4"/>
  <c r="A18529" i="4"/>
  <c r="A21834" i="4"/>
  <c r="A21833" i="4"/>
  <c r="A18528" i="4"/>
  <c r="A18527" i="4"/>
  <c r="A18526" i="4"/>
  <c r="A18525" i="4"/>
  <c r="A9944" i="4"/>
  <c r="A21832" i="4"/>
  <c r="A21831" i="4"/>
  <c r="A5914" i="4"/>
  <c r="A21830" i="4"/>
  <c r="A13241" i="4"/>
  <c r="A13240" i="4"/>
  <c r="A21829" i="4"/>
  <c r="A21828" i="4"/>
  <c r="A9632" i="4"/>
  <c r="A9631" i="4"/>
  <c r="A9630" i="4"/>
  <c r="A9629" i="4"/>
  <c r="A9628" i="4"/>
  <c r="A9627" i="4"/>
  <c r="A9626" i="4"/>
  <c r="A21827" i="4"/>
  <c r="A21826" i="4"/>
  <c r="A60" i="4"/>
  <c r="A9625" i="4"/>
  <c r="A9624" i="4"/>
  <c r="A9623" i="4"/>
  <c r="A9622" i="4"/>
  <c r="A9621" i="4"/>
  <c r="A9620" i="4"/>
  <c r="A21825" i="4"/>
  <c r="A21824" i="4"/>
  <c r="A9619" i="4"/>
  <c r="A21823" i="4"/>
  <c r="A9618" i="4"/>
  <c r="A59" i="4"/>
  <c r="A21822" i="4"/>
  <c r="A21821" i="4"/>
  <c r="A21820" i="4"/>
  <c r="A21819" i="4"/>
  <c r="A8358" i="4"/>
  <c r="A8357" i="4"/>
  <c r="A8356" i="4"/>
  <c r="A18524" i="4"/>
  <c r="A18523" i="4"/>
  <c r="A18522" i="4"/>
  <c r="A18521" i="4"/>
  <c r="A21818" i="4"/>
  <c r="A15846" i="4"/>
  <c r="A15845" i="4"/>
  <c r="A21817" i="4"/>
  <c r="A15844" i="4"/>
  <c r="A15843" i="4"/>
  <c r="A15842" i="4"/>
  <c r="A15841" i="4"/>
  <c r="A21816" i="4"/>
  <c r="A13016" i="4"/>
  <c r="A21815" i="4"/>
  <c r="A13015" i="4"/>
  <c r="A21814" i="4"/>
  <c r="A21813" i="4"/>
  <c r="A21812" i="4"/>
  <c r="A21811" i="4"/>
  <c r="A15840" i="4"/>
  <c r="A21810" i="4"/>
  <c r="A15839" i="4"/>
  <c r="A15838" i="4"/>
  <c r="A15837" i="4"/>
  <c r="A15836" i="4"/>
  <c r="A15835" i="4"/>
  <c r="A15834" i="4"/>
  <c r="A15833" i="4"/>
  <c r="A15832" i="4"/>
  <c r="A236" i="4"/>
  <c r="A15831" i="4"/>
  <c r="A15830" i="4"/>
  <c r="A15829" i="4"/>
  <c r="A15828" i="4"/>
  <c r="A15485" i="4"/>
  <c r="A15484" i="4"/>
  <c r="A15483" i="4"/>
  <c r="A2067" i="4"/>
  <c r="A1929" i="4"/>
  <c r="A2066" i="4"/>
  <c r="A2065" i="4"/>
  <c r="A2064" i="4"/>
  <c r="A2063" i="4"/>
  <c r="A21809" i="4"/>
  <c r="A18118" i="4"/>
  <c r="A18117" i="4"/>
  <c r="A18116" i="4"/>
  <c r="A14213" i="4"/>
  <c r="A14212" i="4"/>
  <c r="A14211" i="4"/>
  <c r="A14210" i="4"/>
  <c r="A14209" i="4"/>
  <c r="A14208" i="4"/>
  <c r="A5821" i="4"/>
  <c r="A21808" i="4"/>
  <c r="A5820" i="4"/>
  <c r="A14207" i="4"/>
  <c r="A14206" i="4"/>
  <c r="A14205" i="4"/>
  <c r="A14204" i="4"/>
  <c r="A21807" i="4"/>
  <c r="A14203" i="4"/>
  <c r="A14202" i="4"/>
  <c r="A14201" i="4"/>
  <c r="A21806" i="4"/>
  <c r="A14200" i="4"/>
  <c r="A14199" i="4"/>
  <c r="A14198" i="4"/>
  <c r="A14197" i="4"/>
  <c r="A21805" i="4"/>
  <c r="A14196" i="4"/>
  <c r="A14195" i="4"/>
  <c r="A14194" i="4"/>
  <c r="A14193" i="4"/>
  <c r="A14192" i="4"/>
  <c r="A14191" i="4"/>
  <c r="A21804" i="4"/>
  <c r="A21803" i="4"/>
  <c r="A21802" i="4"/>
  <c r="A5819" i="4"/>
  <c r="A5818" i="4"/>
  <c r="A21801" i="4"/>
  <c r="A14190" i="4"/>
  <c r="A14189" i="4"/>
  <c r="A14188" i="4"/>
  <c r="A9617" i="4"/>
  <c r="A14187" i="4"/>
  <c r="A14186" i="4"/>
  <c r="A14185" i="4"/>
  <c r="A15827" i="4"/>
  <c r="A15826" i="4"/>
  <c r="A14184" i="4"/>
  <c r="A14183" i="4"/>
  <c r="A14182" i="4"/>
  <c r="A14181" i="4"/>
  <c r="A14180" i="4"/>
  <c r="A14179" i="4"/>
  <c r="A21800" i="4"/>
  <c r="A21799" i="4"/>
  <c r="A14178" i="4"/>
  <c r="A14177" i="4"/>
  <c r="A14176" i="4"/>
  <c r="A14175" i="4"/>
  <c r="A14174" i="4"/>
  <c r="A14173" i="4"/>
  <c r="A14172" i="4"/>
  <c r="A21798" i="4"/>
  <c r="A21797" i="4"/>
  <c r="A14171" i="4"/>
  <c r="A21796" i="4"/>
  <c r="A21795" i="4"/>
  <c r="A14170" i="4"/>
  <c r="A14169" i="4"/>
  <c r="A14168" i="4"/>
  <c r="A14167" i="4"/>
  <c r="A14166" i="4"/>
  <c r="A21794" i="4"/>
  <c r="A14165" i="4"/>
  <c r="A14164" i="4"/>
  <c r="A21793" i="4"/>
  <c r="A9616" i="4"/>
  <c r="A9615" i="4"/>
  <c r="A9614" i="4"/>
  <c r="A9613" i="4"/>
  <c r="A9612" i="4"/>
  <c r="A9611" i="4"/>
  <c r="A21792" i="4"/>
  <c r="A20714" i="4"/>
  <c r="A21791" i="4"/>
  <c r="A21790" i="4"/>
  <c r="A3110" i="4"/>
  <c r="A11390" i="4"/>
  <c r="A11389" i="4"/>
  <c r="A11388" i="4"/>
  <c r="A13589" i="4"/>
  <c r="A21789" i="4"/>
  <c r="A7503" i="4"/>
  <c r="A13371" i="4"/>
  <c r="A13370" i="4"/>
  <c r="A11387" i="4"/>
  <c r="A10992" i="4"/>
  <c r="A10991" i="4"/>
  <c r="A10990" i="4"/>
  <c r="A15434" i="4"/>
  <c r="A14163" i="4"/>
  <c r="A21788" i="4"/>
  <c r="A21787" i="4"/>
  <c r="A21786" i="4"/>
  <c r="A20521" i="4"/>
  <c r="A20520" i="4"/>
  <c r="A2062" i="4"/>
  <c r="A2061" i="4"/>
  <c r="A2060" i="4"/>
  <c r="A14162" i="4"/>
  <c r="A2059" i="4"/>
  <c r="A2058" i="4"/>
  <c r="A14161" i="4"/>
  <c r="A14160" i="4"/>
  <c r="A14159" i="4"/>
  <c r="A14158" i="4"/>
  <c r="A14157" i="4"/>
  <c r="A14156" i="4"/>
  <c r="A21785" i="4"/>
  <c r="A21784" i="4"/>
  <c r="A21783" i="4"/>
  <c r="A21782" i="4"/>
  <c r="A14155" i="4"/>
  <c r="A14154" i="4"/>
  <c r="A14153" i="4"/>
  <c r="A14152" i="4"/>
  <c r="A14151" i="4"/>
  <c r="A14150" i="4"/>
  <c r="A21781" i="4"/>
  <c r="A21780" i="4"/>
  <c r="A21779" i="4"/>
  <c r="A21778" i="4"/>
  <c r="A21777" i="4"/>
  <c r="A12315" i="4"/>
  <c r="A12314" i="4"/>
  <c r="A21776" i="4"/>
  <c r="A12313" i="4"/>
  <c r="A12312" i="4"/>
  <c r="A12311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5817" i="4"/>
  <c r="A5816" i="4"/>
  <c r="A21761" i="4"/>
  <c r="A11386" i="4"/>
  <c r="A7502" i="4"/>
  <c r="A21760" i="4"/>
  <c r="A21759" i="4"/>
  <c r="A21758" i="4"/>
  <c r="A21757" i="4"/>
  <c r="A21756" i="4"/>
  <c r="A21755" i="4"/>
  <c r="A21754" i="4"/>
  <c r="A15825" i="4"/>
  <c r="A21753" i="4"/>
  <c r="A15824" i="4"/>
  <c r="A15823" i="4"/>
  <c r="A15822" i="4"/>
  <c r="A15821" i="4"/>
  <c r="A15820" i="4"/>
  <c r="A15819" i="4"/>
  <c r="A15818" i="4"/>
  <c r="A15817" i="4"/>
  <c r="A15816" i="4"/>
  <c r="A17588" i="4"/>
  <c r="A21752" i="4"/>
  <c r="A15482" i="4"/>
  <c r="A18520" i="4"/>
  <c r="A21751" i="4"/>
  <c r="A21750" i="4"/>
  <c r="A18519" i="4"/>
  <c r="A10989" i="4"/>
  <c r="A21749" i="4"/>
  <c r="A15481" i="4"/>
  <c r="A235" i="4"/>
  <c r="A234" i="4"/>
  <c r="A233" i="4"/>
  <c r="A21748" i="4"/>
  <c r="A21747" i="4"/>
  <c r="A2057" i="4"/>
  <c r="A21746" i="4"/>
  <c r="A2056" i="4"/>
  <c r="A548" i="4"/>
  <c r="A2055" i="4"/>
  <c r="A21745" i="4"/>
  <c r="A21744" i="4"/>
  <c r="A5913" i="4"/>
  <c r="A21743" i="4"/>
  <c r="A18518" i="4"/>
  <c r="A18517" i="4"/>
  <c r="A18516" i="4"/>
  <c r="A18515" i="4"/>
  <c r="A18514" i="4"/>
  <c r="A21742" i="4"/>
  <c r="A1928" i="4"/>
  <c r="A2054" i="4"/>
  <c r="A14149" i="4"/>
  <c r="A2053" i="4"/>
  <c r="A2052" i="4"/>
  <c r="A21741" i="4"/>
  <c r="A21740" i="4"/>
  <c r="A21739" i="4"/>
  <c r="A10042" i="4"/>
  <c r="A21738" i="4"/>
  <c r="A5578" i="4"/>
  <c r="A21737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2051" i="4"/>
  <c r="A15804" i="4"/>
  <c r="A15803" i="4"/>
  <c r="A15802" i="4"/>
  <c r="A15801" i="4"/>
  <c r="A15800" i="4"/>
  <c r="A15799" i="4"/>
  <c r="A21736" i="4"/>
  <c r="A9610" i="4"/>
  <c r="A232" i="4"/>
  <c r="A6505" i="4"/>
  <c r="A21735" i="4"/>
  <c r="A3109" i="4"/>
  <c r="A3108" i="4"/>
  <c r="A3107" i="4"/>
  <c r="A3106" i="4"/>
  <c r="A3105" i="4"/>
  <c r="A21734" i="4"/>
  <c r="A21733" i="4"/>
  <c r="A21732" i="4"/>
  <c r="A21731" i="4"/>
  <c r="A3104" i="4"/>
  <c r="A1708" i="4"/>
  <c r="A10041" i="4"/>
  <c r="A10040" i="4"/>
  <c r="A10039" i="4"/>
  <c r="A21730" i="4"/>
  <c r="A13588" i="4"/>
  <c r="A21729" i="4"/>
  <c r="A7501" i="4"/>
  <c r="A7500" i="4"/>
  <c r="A7499" i="4"/>
  <c r="A21728" i="4"/>
  <c r="A21727" i="4"/>
  <c r="A11385" i="4"/>
  <c r="A21726" i="4"/>
  <c r="A15798" i="4"/>
  <c r="A15797" i="4"/>
  <c r="A15796" i="4"/>
  <c r="A15795" i="4"/>
  <c r="A15794" i="4"/>
  <c r="A21725" i="4"/>
  <c r="A15793" i="4"/>
  <c r="A15792" i="4"/>
  <c r="A15791" i="4"/>
  <c r="A15790" i="4"/>
  <c r="A15789" i="4"/>
  <c r="A15788" i="4"/>
  <c r="A21724" i="4"/>
  <c r="A231" i="4"/>
  <c r="A21723" i="4"/>
  <c r="A5127" i="4"/>
  <c r="A5126" i="4"/>
  <c r="A5125" i="4"/>
  <c r="A18513" i="4"/>
  <c r="A18512" i="4"/>
  <c r="A18511" i="4"/>
  <c r="A18510" i="4"/>
  <c r="A18509" i="4"/>
  <c r="A18508" i="4"/>
  <c r="A18507" i="4"/>
  <c r="A15787" i="4"/>
  <c r="A18506" i="4"/>
  <c r="A18505" i="4"/>
  <c r="A18504" i="4"/>
  <c r="A18503" i="4"/>
  <c r="A21722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21721" i="4"/>
  <c r="A21720" i="4"/>
  <c r="A15480" i="4"/>
  <c r="A21719" i="4"/>
  <c r="A21718" i="4"/>
  <c r="A12310" i="4"/>
  <c r="A21717" i="4"/>
  <c r="A21716" i="4"/>
  <c r="A11384" i="4"/>
  <c r="A11383" i="4"/>
  <c r="A11382" i="4"/>
  <c r="A11381" i="4"/>
  <c r="A11380" i="4"/>
  <c r="A21715" i="4"/>
  <c r="A11379" i="4"/>
  <c r="A21714" i="4"/>
  <c r="A21713" i="4"/>
  <c r="A21712" i="4"/>
  <c r="A21711" i="4"/>
  <c r="A21710" i="4"/>
  <c r="A21709" i="4"/>
  <c r="A11378" i="4"/>
  <c r="A21708" i="4"/>
  <c r="A21707" i="4"/>
  <c r="A21706" i="4"/>
  <c r="A21705" i="4"/>
  <c r="A9609" i="4"/>
  <c r="A21704" i="4"/>
  <c r="A9608" i="4"/>
  <c r="A58" i="4"/>
  <c r="A21703" i="4"/>
  <c r="A9385" i="4"/>
  <c r="A18490" i="4"/>
  <c r="A21702" i="4"/>
  <c r="A18489" i="4"/>
  <c r="A18488" i="4"/>
  <c r="A21701" i="4"/>
  <c r="A21700" i="4"/>
  <c r="A21699" i="4"/>
  <c r="A18487" i="4"/>
  <c r="A18486" i="4"/>
  <c r="A18485" i="4"/>
  <c r="A18484" i="4"/>
  <c r="A18483" i="4"/>
  <c r="A18482" i="4"/>
  <c r="A18481" i="4"/>
  <c r="A21698" i="4"/>
  <c r="A18480" i="4"/>
  <c r="A18479" i="4"/>
  <c r="A18478" i="4"/>
  <c r="A18477" i="4"/>
  <c r="A13014" i="4"/>
  <c r="A15786" i="4"/>
  <c r="A230" i="4"/>
  <c r="A21697" i="4"/>
  <c r="A21696" i="4"/>
  <c r="A21695" i="4"/>
  <c r="A18476" i="4"/>
  <c r="A9384" i="4"/>
  <c r="A21694" i="4"/>
  <c r="A21693" i="4"/>
  <c r="A15479" i="4"/>
  <c r="A21692" i="4"/>
  <c r="A15478" i="4"/>
  <c r="A8470" i="4"/>
  <c r="A2050" i="4"/>
  <c r="A2049" i="4"/>
  <c r="A1927" i="4"/>
  <c r="A21691" i="4"/>
  <c r="A14148" i="4"/>
  <c r="A14147" i="4"/>
  <c r="A14146" i="4"/>
  <c r="A14145" i="4"/>
  <c r="A21690" i="4"/>
  <c r="A14144" i="4"/>
  <c r="A14143" i="4"/>
  <c r="A14142" i="4"/>
  <c r="A14141" i="4"/>
  <c r="A14140" i="4"/>
  <c r="A14139" i="4"/>
  <c r="A14138" i="4"/>
  <c r="A14137" i="4"/>
  <c r="A14136" i="4"/>
  <c r="A14135" i="4"/>
  <c r="A21689" i="4"/>
  <c r="A14134" i="4"/>
  <c r="A21688" i="4"/>
  <c r="A21687" i="4"/>
  <c r="A21686" i="4"/>
  <c r="A547" i="4"/>
  <c r="A546" i="4"/>
  <c r="A545" i="4"/>
  <c r="A544" i="4"/>
  <c r="A15591" i="4"/>
  <c r="A543" i="4"/>
  <c r="A21685" i="4"/>
  <c r="A229" i="4"/>
  <c r="A14133" i="4"/>
  <c r="A14132" i="4"/>
  <c r="A18475" i="4"/>
  <c r="A18474" i="4"/>
  <c r="A18473" i="4"/>
  <c r="A18472" i="4"/>
  <c r="A18471" i="4"/>
  <c r="A18470" i="4"/>
  <c r="A21684" i="4"/>
  <c r="A18469" i="4"/>
  <c r="A18468" i="4"/>
  <c r="A18467" i="4"/>
  <c r="A18466" i="4"/>
  <c r="A9607" i="4"/>
  <c r="A14131" i="4"/>
  <c r="A17673" i="4"/>
  <c r="A2048" i="4"/>
  <c r="A5667" i="4"/>
  <c r="A11377" i="4"/>
  <c r="A11376" i="4"/>
  <c r="A21683" i="4"/>
  <c r="A21682" i="4"/>
  <c r="A11375" i="4"/>
  <c r="A11374" i="4"/>
  <c r="A11373" i="4"/>
  <c r="A5912" i="4"/>
  <c r="A11372" i="4"/>
  <c r="A11371" i="4"/>
  <c r="A11370" i="4"/>
  <c r="A11369" i="4"/>
  <c r="A11368" i="4"/>
  <c r="A11367" i="4"/>
  <c r="A21681" i="4"/>
  <c r="A21680" i="4"/>
  <c r="A11366" i="4"/>
  <c r="A21679" i="4"/>
  <c r="A11365" i="4"/>
  <c r="A11364" i="4"/>
  <c r="A11363" i="4"/>
  <c r="A21678" i="4"/>
  <c r="A10038" i="4"/>
  <c r="A21677" i="4"/>
  <c r="A21676" i="4"/>
  <c r="A17196" i="4"/>
  <c r="A17195" i="4"/>
  <c r="A3103" i="4"/>
  <c r="A3102" i="4"/>
  <c r="A3101" i="4"/>
  <c r="A21675" i="4"/>
  <c r="A3100" i="4"/>
  <c r="A21674" i="4"/>
  <c r="A3099" i="4"/>
  <c r="A3098" i="4"/>
  <c r="A3097" i="4"/>
  <c r="A3096" i="4"/>
  <c r="A3095" i="4"/>
  <c r="A21673" i="4"/>
  <c r="A10037" i="4"/>
  <c r="A13369" i="4"/>
  <c r="A13368" i="4"/>
  <c r="A13367" i="4"/>
  <c r="A6504" i="4"/>
  <c r="A8500" i="4"/>
  <c r="A10036" i="4"/>
  <c r="A10035" i="4"/>
  <c r="A10034" i="4"/>
  <c r="A10033" i="4"/>
  <c r="A10032" i="4"/>
  <c r="A10031" i="4"/>
  <c r="A3094" i="4"/>
  <c r="A3093" i="4"/>
  <c r="A3092" i="4"/>
  <c r="A3091" i="4"/>
  <c r="A3090" i="4"/>
  <c r="A6216" i="4"/>
  <c r="A6215" i="4"/>
  <c r="A6214" i="4"/>
  <c r="A21672" i="4"/>
  <c r="A10030" i="4"/>
  <c r="A5124" i="4"/>
  <c r="A21671" i="4"/>
  <c r="A21670" i="4"/>
  <c r="A3089" i="4"/>
  <c r="A3088" i="4"/>
  <c r="A3087" i="4"/>
  <c r="A3086" i="4"/>
  <c r="A3085" i="4"/>
  <c r="A3084" i="4"/>
  <c r="A3083" i="4"/>
  <c r="A3082" i="4"/>
  <c r="A10029" i="4"/>
  <c r="A11041" i="4"/>
  <c r="A21669" i="4"/>
  <c r="A21668" i="4"/>
  <c r="A21667" i="4"/>
  <c r="A11362" i="4"/>
  <c r="A11361" i="4"/>
  <c r="A11360" i="4"/>
  <c r="A11359" i="4"/>
  <c r="A11358" i="4"/>
  <c r="A11357" i="4"/>
  <c r="A11040" i="4"/>
  <c r="A11356" i="4"/>
  <c r="A11355" i="4"/>
  <c r="A11354" i="4"/>
  <c r="A11353" i="4"/>
  <c r="A21666" i="4"/>
  <c r="A11352" i="4"/>
  <c r="A21665" i="4"/>
  <c r="A5382" i="4"/>
  <c r="A10988" i="4"/>
  <c r="A10987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21664" i="4"/>
  <c r="A9606" i="4"/>
  <c r="A21663" i="4"/>
  <c r="A21662" i="4"/>
  <c r="A21661" i="4"/>
  <c r="A21660" i="4"/>
  <c r="A21659" i="4"/>
  <c r="A7498" i="4"/>
  <c r="A21658" i="4"/>
  <c r="A14130" i="4"/>
  <c r="A14129" i="4"/>
  <c r="A14128" i="4"/>
  <c r="A14127" i="4"/>
  <c r="A21657" i="4"/>
  <c r="A14126" i="4"/>
  <c r="A14125" i="4"/>
  <c r="A14124" i="4"/>
  <c r="A14123" i="4"/>
  <c r="A2047" i="4"/>
  <c r="A14122" i="4"/>
  <c r="A21656" i="4"/>
  <c r="A14121" i="4"/>
  <c r="A14120" i="4"/>
  <c r="A21655" i="4"/>
  <c r="A21654" i="4"/>
  <c r="A21653" i="4"/>
  <c r="A14119" i="4"/>
  <c r="A14118" i="4"/>
  <c r="A14117" i="4"/>
  <c r="A21652" i="4"/>
  <c r="A14116" i="4"/>
  <c r="A14115" i="4"/>
  <c r="A14114" i="4"/>
  <c r="A21651" i="4"/>
  <c r="A14113" i="4"/>
  <c r="A21650" i="4"/>
  <c r="A21649" i="4"/>
  <c r="A2046" i="4"/>
  <c r="A10986" i="4"/>
  <c r="A10985" i="4"/>
  <c r="A21648" i="4"/>
  <c r="A21647" i="4"/>
  <c r="A21646" i="4"/>
  <c r="A21645" i="4"/>
  <c r="A12309" i="4"/>
  <c r="A12308" i="4"/>
  <c r="A11340" i="4"/>
  <c r="A11339" i="4"/>
  <c r="A21644" i="4"/>
  <c r="A21643" i="4"/>
  <c r="A11338" i="4"/>
  <c r="A11337" i="4"/>
  <c r="A11336" i="4"/>
  <c r="A11335" i="4"/>
  <c r="A11334" i="4"/>
  <c r="A21642" i="4"/>
  <c r="A21641" i="4"/>
  <c r="A21640" i="4"/>
  <c r="A21639" i="4"/>
  <c r="A15785" i="4"/>
  <c r="A15784" i="4"/>
  <c r="A15783" i="4"/>
  <c r="A15782" i="4"/>
  <c r="A21638" i="4"/>
  <c r="A10824" i="4"/>
  <c r="A21637" i="4"/>
  <c r="A13155" i="4"/>
  <c r="A21636" i="4"/>
  <c r="A7497" i="4"/>
  <c r="A13366" i="4"/>
  <c r="A3081" i="4"/>
  <c r="A3080" i="4"/>
  <c r="A5381" i="4"/>
  <c r="A15590" i="4"/>
  <c r="A6503" i="4"/>
  <c r="A6502" i="4"/>
  <c r="A3079" i="4"/>
  <c r="A20519" i="4"/>
  <c r="A21635" i="4"/>
  <c r="A18465" i="4"/>
  <c r="A18464" i="4"/>
  <c r="A542" i="4"/>
  <c r="A21634" i="4"/>
  <c r="A21633" i="4"/>
  <c r="A21632" i="4"/>
  <c r="A541" i="4"/>
  <c r="A21631" i="4"/>
  <c r="A3078" i="4"/>
  <c r="A13365" i="4"/>
  <c r="A13364" i="4"/>
  <c r="A3077" i="4"/>
  <c r="A3076" i="4"/>
  <c r="A3075" i="4"/>
  <c r="A6501" i="4"/>
  <c r="A3074" i="4"/>
  <c r="A3073" i="4"/>
  <c r="A6500" i="4"/>
  <c r="A6499" i="4"/>
  <c r="A21630" i="4"/>
  <c r="A21629" i="4"/>
  <c r="A21628" i="4"/>
  <c r="A9605" i="4"/>
  <c r="A9604" i="4"/>
  <c r="A9603" i="4"/>
  <c r="A21627" i="4"/>
  <c r="A9602" i="4"/>
  <c r="A21626" i="4"/>
  <c r="A9601" i="4"/>
  <c r="A9600" i="4"/>
  <c r="A57" i="4"/>
  <c r="A56" i="4"/>
  <c r="A55" i="4"/>
  <c r="A18463" i="4"/>
  <c r="A21625" i="4"/>
  <c r="A18462" i="4"/>
  <c r="A18461" i="4"/>
  <c r="A21624" i="4"/>
  <c r="A21623" i="4"/>
  <c r="A9599" i="4"/>
  <c r="A9598" i="4"/>
  <c r="A21622" i="4"/>
  <c r="A18460" i="4"/>
  <c r="A15781" i="4"/>
  <c r="A21621" i="4"/>
  <c r="A15780" i="4"/>
  <c r="A15779" i="4"/>
  <c r="A15778" i="4"/>
  <c r="A21620" i="4"/>
  <c r="A15777" i="4"/>
  <c r="A15776" i="4"/>
  <c r="A8469" i="4"/>
  <c r="A2045" i="4"/>
  <c r="A21619" i="4"/>
  <c r="A14112" i="4"/>
  <c r="A14111" i="4"/>
  <c r="A21618" i="4"/>
  <c r="A8355" i="4"/>
  <c r="A21617" i="4"/>
  <c r="A11333" i="4"/>
  <c r="A13587" i="4"/>
  <c r="A21616" i="4"/>
  <c r="A13586" i="4"/>
  <c r="A13363" i="4"/>
  <c r="A13362" i="4"/>
  <c r="A21615" i="4"/>
  <c r="A13361" i="4"/>
  <c r="A13360" i="4"/>
  <c r="A21614" i="4"/>
  <c r="A21613" i="4"/>
  <c r="A21612" i="4"/>
  <c r="A21611" i="4"/>
  <c r="A21610" i="4"/>
  <c r="A21609" i="4"/>
  <c r="A15775" i="4"/>
  <c r="A18459" i="4"/>
  <c r="A21608" i="4"/>
  <c r="A18458" i="4"/>
  <c r="A18457" i="4"/>
  <c r="A18456" i="4"/>
  <c r="A18455" i="4"/>
  <c r="A18454" i="4"/>
  <c r="A18453" i="4"/>
  <c r="A17714" i="4"/>
  <c r="A21607" i="4"/>
  <c r="A21606" i="4"/>
  <c r="A21605" i="4"/>
  <c r="A21604" i="4"/>
  <c r="A15774" i="4"/>
  <c r="A15773" i="4"/>
  <c r="A14110" i="4"/>
  <c r="A21603" i="4"/>
  <c r="A21602" i="4"/>
  <c r="A2044" i="4"/>
  <c r="A5123" i="4"/>
  <c r="A21601" i="4"/>
  <c r="A8499" i="4"/>
  <c r="A21600" i="4"/>
  <c r="A3072" i="4"/>
  <c r="A3071" i="4"/>
  <c r="A1707" i="4"/>
  <c r="A11332" i="4"/>
  <c r="A11331" i="4"/>
  <c r="A21599" i="4"/>
  <c r="A14109" i="4"/>
  <c r="A14108" i="4"/>
  <c r="A2043" i="4"/>
  <c r="A14107" i="4"/>
  <c r="A14106" i="4"/>
  <c r="A21598" i="4"/>
  <c r="A21597" i="4"/>
  <c r="A20775" i="4"/>
  <c r="A20774" i="4"/>
  <c r="A20773" i="4"/>
  <c r="A21596" i="4"/>
  <c r="A21595" i="4"/>
  <c r="A21594" i="4"/>
  <c r="A228" i="4"/>
  <c r="A21593" i="4"/>
  <c r="A2042" i="4"/>
  <c r="A2041" i="4"/>
  <c r="A2040" i="4"/>
  <c r="A21592" i="4"/>
  <c r="A14105" i="4"/>
  <c r="A540" i="4"/>
  <c r="A15379" i="4"/>
  <c r="A6213" i="4"/>
  <c r="A54" i="4"/>
  <c r="A9597" i="4"/>
  <c r="A9596" i="4"/>
  <c r="A9595" i="4"/>
  <c r="A5577" i="4"/>
  <c r="A2039" i="4"/>
  <c r="A2038" i="4"/>
  <c r="A14104" i="4"/>
  <c r="A11330" i="4"/>
  <c r="A21591" i="4"/>
  <c r="A13013" i="4"/>
  <c r="A8354" i="4"/>
  <c r="A15378" i="4"/>
  <c r="A8498" i="4"/>
  <c r="A13359" i="4"/>
  <c r="A21590" i="4"/>
  <c r="A6498" i="4"/>
  <c r="A3070" i="4"/>
  <c r="A13358" i="4"/>
  <c r="A21589" i="4"/>
  <c r="A3069" i="4"/>
  <c r="A3068" i="4"/>
  <c r="A3067" i="4"/>
  <c r="A2037" i="4"/>
  <c r="A2036" i="4"/>
  <c r="A21588" i="4"/>
  <c r="A21587" i="4"/>
  <c r="A21586" i="4"/>
  <c r="A18452" i="4"/>
  <c r="A15367" i="4"/>
  <c r="A15772" i="4"/>
  <c r="A18451" i="4"/>
  <c r="A18450" i="4"/>
  <c r="A18449" i="4"/>
  <c r="A227" i="4"/>
  <c r="A226" i="4"/>
  <c r="A1926" i="4"/>
  <c r="A2035" i="4"/>
  <c r="A17268" i="4"/>
  <c r="A17267" i="4"/>
  <c r="A17266" i="4"/>
  <c r="A21585" i="4"/>
  <c r="A21584" i="4"/>
  <c r="A11329" i="4"/>
  <c r="A21583" i="4"/>
  <c r="A21582" i="4"/>
  <c r="A21581" i="4"/>
  <c r="A11328" i="4"/>
  <c r="A21580" i="4"/>
  <c r="A21579" i="4"/>
  <c r="A18448" i="4"/>
  <c r="A18447" i="4"/>
  <c r="A18446" i="4"/>
  <c r="A21578" i="4"/>
  <c r="A21577" i="4"/>
  <c r="A21576" i="4"/>
  <c r="A5666" i="4"/>
  <c r="A5665" i="4"/>
  <c r="A5664" i="4"/>
  <c r="A5663" i="4"/>
  <c r="A5662" i="4"/>
  <c r="A5661" i="4"/>
  <c r="A21575" i="4"/>
  <c r="A21574" i="4"/>
  <c r="A11327" i="4"/>
  <c r="A3066" i="4"/>
  <c r="A3065" i="4"/>
  <c r="A3064" i="4"/>
  <c r="A3063" i="4"/>
  <c r="A3062" i="4"/>
  <c r="A1706" i="4"/>
  <c r="A11326" i="4"/>
  <c r="A21573" i="4"/>
  <c r="A21572" i="4"/>
  <c r="A7496" i="4"/>
  <c r="A7495" i="4"/>
  <c r="A21571" i="4"/>
  <c r="A13012" i="4"/>
  <c r="A21570" i="4"/>
  <c r="A13011" i="4"/>
  <c r="A13010" i="4"/>
  <c r="A13009" i="4"/>
  <c r="A18445" i="4"/>
  <c r="A18444" i="4"/>
  <c r="A21569" i="4"/>
  <c r="A21568" i="4"/>
  <c r="A21567" i="4"/>
  <c r="A21566" i="4"/>
  <c r="A13008" i="4"/>
  <c r="A13007" i="4"/>
  <c r="A13006" i="4"/>
  <c r="A13005" i="4"/>
  <c r="A21565" i="4"/>
  <c r="A13004" i="4"/>
  <c r="A13003" i="4"/>
  <c r="A13002" i="4"/>
  <c r="A13001" i="4"/>
  <c r="A21564" i="4"/>
  <c r="A13000" i="4"/>
  <c r="A18443" i="4"/>
  <c r="A18442" i="4"/>
  <c r="A18441" i="4"/>
  <c r="A18440" i="4"/>
  <c r="A18439" i="4"/>
  <c r="A11325" i="4"/>
  <c r="A11324" i="4"/>
  <c r="A21563" i="4"/>
  <c r="A21562" i="4"/>
  <c r="A11323" i="4"/>
  <c r="A11322" i="4"/>
  <c r="A11321" i="4"/>
  <c r="A11320" i="4"/>
  <c r="A11319" i="4"/>
  <c r="A11318" i="4"/>
  <c r="A11317" i="4"/>
  <c r="A21561" i="4"/>
  <c r="A21560" i="4"/>
  <c r="A18438" i="4"/>
  <c r="A18437" i="4"/>
  <c r="A8353" i="4"/>
  <c r="A12999" i="4"/>
  <c r="A15771" i="4"/>
  <c r="A15770" i="4"/>
  <c r="A15769" i="4"/>
  <c r="A15768" i="4"/>
  <c r="A21559" i="4"/>
  <c r="A21558" i="4"/>
  <c r="A15767" i="4"/>
  <c r="A21557" i="4"/>
  <c r="A2034" i="4"/>
  <c r="A21556" i="4"/>
  <c r="A14103" i="4"/>
  <c r="A9594" i="4"/>
  <c r="A9593" i="4"/>
  <c r="A9592" i="4"/>
  <c r="A18436" i="4"/>
  <c r="A18435" i="4"/>
  <c r="A18434" i="4"/>
  <c r="A18433" i="4"/>
  <c r="A18432" i="4"/>
  <c r="A20772" i="4"/>
  <c r="A20771" i="4"/>
  <c r="A20770" i="4"/>
  <c r="A21555" i="4"/>
  <c r="A11316" i="4"/>
  <c r="A20769" i="4"/>
  <c r="A21554" i="4"/>
  <c r="A14102" i="4"/>
  <c r="A14101" i="4"/>
  <c r="A21553" i="4"/>
  <c r="A11315" i="4"/>
  <c r="A11314" i="4"/>
  <c r="A11313" i="4"/>
  <c r="A1131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21552" i="4"/>
  <c r="A21551" i="4"/>
  <c r="A21550" i="4"/>
  <c r="A3048" i="4"/>
  <c r="A3047" i="4"/>
  <c r="A3046" i="4"/>
  <c r="A3045" i="4"/>
  <c r="A21549" i="4"/>
  <c r="A21548" i="4"/>
  <c r="A3044" i="4"/>
  <c r="A3043" i="4"/>
  <c r="A3042" i="4"/>
  <c r="A3041" i="4"/>
  <c r="A3040" i="4"/>
  <c r="A3039" i="4"/>
  <c r="A21547" i="4"/>
  <c r="A3038" i="4"/>
  <c r="A3037" i="4"/>
  <c r="A21546" i="4"/>
  <c r="A21545" i="4"/>
  <c r="A3036" i="4"/>
  <c r="A3035" i="4"/>
  <c r="A3034" i="4"/>
  <c r="A3033" i="4"/>
  <c r="A3032" i="4"/>
  <c r="A3031" i="4"/>
  <c r="A3030" i="4"/>
  <c r="A3029" i="4"/>
  <c r="A3028" i="4"/>
  <c r="A21544" i="4"/>
  <c r="A3027" i="4"/>
  <c r="A8497" i="4"/>
  <c r="A18038" i="4"/>
  <c r="A3026" i="4"/>
  <c r="A6497" i="4"/>
  <c r="A6496" i="4"/>
  <c r="A8496" i="4"/>
  <c r="A6495" i="4"/>
  <c r="A6494" i="4"/>
  <c r="A6212" i="4"/>
  <c r="A21543" i="4"/>
  <c r="A10028" i="4"/>
  <c r="A10027" i="4"/>
  <c r="A21542" i="4"/>
  <c r="A3025" i="4"/>
  <c r="A3024" i="4"/>
  <c r="A3023" i="4"/>
  <c r="A3022" i="4"/>
  <c r="A3021" i="4"/>
  <c r="A3020" i="4"/>
  <c r="A3019" i="4"/>
  <c r="A3018" i="4"/>
  <c r="A3017" i="4"/>
  <c r="A21541" i="4"/>
  <c r="A3016" i="4"/>
  <c r="A3015" i="4"/>
  <c r="A3014" i="4"/>
  <c r="A3013" i="4"/>
  <c r="A3012" i="4"/>
  <c r="A13357" i="4"/>
  <c r="A13356" i="4"/>
  <c r="A10026" i="4"/>
  <c r="A3011" i="4"/>
  <c r="A3010" i="4"/>
  <c r="A3009" i="4"/>
  <c r="A3008" i="4"/>
  <c r="A3007" i="4"/>
  <c r="A3006" i="4"/>
  <c r="A1705" i="4"/>
  <c r="A13355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1540" i="4"/>
  <c r="A2984" i="4"/>
  <c r="A2983" i="4"/>
  <c r="A2982" i="4"/>
  <c r="A2981" i="4"/>
  <c r="A2980" i="4"/>
  <c r="A2979" i="4"/>
  <c r="A2978" i="4"/>
  <c r="A2977" i="4"/>
  <c r="A10025" i="4"/>
  <c r="A10024" i="4"/>
  <c r="A10023" i="4"/>
  <c r="A10022" i="4"/>
  <c r="A10021" i="4"/>
  <c r="A10020" i="4"/>
  <c r="A21539" i="4"/>
  <c r="A11311" i="4"/>
  <c r="A11310" i="4"/>
  <c r="A21538" i="4"/>
  <c r="A21537" i="4"/>
  <c r="A15433" i="4"/>
  <c r="A15432" i="4"/>
  <c r="A21536" i="4"/>
  <c r="A15431" i="4"/>
  <c r="A15430" i="4"/>
  <c r="A15429" i="4"/>
  <c r="A15428" i="4"/>
  <c r="A15427" i="4"/>
  <c r="A15426" i="4"/>
  <c r="A15425" i="4"/>
  <c r="A21535" i="4"/>
  <c r="A15424" i="4"/>
  <c r="A15423" i="4"/>
  <c r="A15422" i="4"/>
  <c r="A15421" i="4"/>
  <c r="A15420" i="4"/>
  <c r="A10984" i="4"/>
  <c r="A10983" i="4"/>
  <c r="A11309" i="4"/>
  <c r="A11308" i="4"/>
  <c r="A11307" i="4"/>
  <c r="A11306" i="4"/>
  <c r="A11305" i="4"/>
  <c r="A11304" i="4"/>
  <c r="A11303" i="4"/>
  <c r="A11302" i="4"/>
  <c r="A11301" i="4"/>
  <c r="A21534" i="4"/>
  <c r="A20768" i="4"/>
  <c r="A14100" i="4"/>
  <c r="A5815" i="4"/>
  <c r="A21533" i="4"/>
  <c r="A21532" i="4"/>
  <c r="A14099" i="4"/>
  <c r="A14098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6493" i="4"/>
  <c r="A2964" i="4"/>
  <c r="A6211" i="4"/>
  <c r="A1704" i="4"/>
  <c r="A18037" i="4"/>
  <c r="A2963" i="4"/>
  <c r="A21531" i="4"/>
  <c r="A11300" i="4"/>
  <c r="A2962" i="4"/>
  <c r="A2961" i="4"/>
  <c r="A2960" i="4"/>
  <c r="A2959" i="4"/>
  <c r="A2958" i="4"/>
  <c r="A2957" i="4"/>
  <c r="A2956" i="4"/>
  <c r="A6492" i="4"/>
  <c r="A8495" i="4"/>
  <c r="A8494" i="4"/>
  <c r="A21530" i="4"/>
  <c r="A12998" i="4"/>
  <c r="A5122" i="4"/>
  <c r="A21529" i="4"/>
  <c r="A18431" i="4"/>
  <c r="A21528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21527" i="4"/>
  <c r="A21526" i="4"/>
  <c r="A21525" i="4"/>
  <c r="A9591" i="4"/>
  <c r="A9590" i="4"/>
  <c r="A9589" i="4"/>
  <c r="A9588" i="4"/>
  <c r="A53" i="4"/>
  <c r="A21524" i="4"/>
  <c r="A21523" i="4"/>
  <c r="A9383" i="4"/>
  <c r="A9382" i="4"/>
  <c r="A9381" i="4"/>
  <c r="A18414" i="4"/>
  <c r="A21522" i="4"/>
  <c r="A21521" i="4"/>
  <c r="A18413" i="4"/>
  <c r="A18412" i="4"/>
  <c r="A21520" i="4"/>
  <c r="A21519" i="4"/>
  <c r="A21518" i="4"/>
  <c r="A18411" i="4"/>
  <c r="A225" i="4"/>
  <c r="A224" i="4"/>
  <c r="A223" i="4"/>
  <c r="A222" i="4"/>
  <c r="A221" i="4"/>
  <c r="A21517" i="4"/>
  <c r="A21516" i="4"/>
  <c r="A15766" i="4"/>
  <c r="A15765" i="4"/>
  <c r="A15764" i="4"/>
  <c r="A15763" i="4"/>
  <c r="A21515" i="4"/>
  <c r="A9948" i="4"/>
  <c r="A15477" i="4"/>
  <c r="A220" i="4"/>
  <c r="A219" i="4"/>
  <c r="A5911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21514" i="4"/>
  <c r="A14086" i="4"/>
  <c r="A14085" i="4"/>
  <c r="A14084" i="4"/>
  <c r="A14083" i="4"/>
  <c r="A5814" i="4"/>
  <c r="A5813" i="4"/>
  <c r="A14082" i="4"/>
  <c r="A14081" i="4"/>
  <c r="A14080" i="4"/>
  <c r="A539" i="4"/>
  <c r="A538" i="4"/>
  <c r="A14079" i="4"/>
  <c r="A21513" i="4"/>
  <c r="A8352" i="4"/>
  <c r="A14078" i="4"/>
  <c r="A14077" i="4"/>
  <c r="A14076" i="4"/>
  <c r="A2033" i="4"/>
  <c r="A2032" i="4"/>
  <c r="A14075" i="4"/>
  <c r="A21512" i="4"/>
  <c r="A11299" i="4"/>
  <c r="A5380" i="4"/>
  <c r="A5379" i="4"/>
  <c r="A21511" i="4"/>
  <c r="A5378" i="4"/>
  <c r="A11298" i="4"/>
  <c r="A11297" i="4"/>
  <c r="A11296" i="4"/>
  <c r="A21510" i="4"/>
  <c r="A21509" i="4"/>
  <c r="A11295" i="4"/>
  <c r="A11294" i="4"/>
  <c r="A11293" i="4"/>
  <c r="A13585" i="4"/>
  <c r="A5377" i="4"/>
  <c r="A5376" i="4"/>
  <c r="A5375" i="4"/>
  <c r="A11292" i="4"/>
  <c r="A21508" i="4"/>
  <c r="A5374" i="4"/>
  <c r="A9587" i="4"/>
  <c r="A9586" i="4"/>
  <c r="A9585" i="4"/>
  <c r="A20767" i="4"/>
  <c r="A7494" i="4"/>
  <c r="A15419" i="4"/>
  <c r="A14074" i="4"/>
  <c r="A21507" i="4"/>
  <c r="A14073" i="4"/>
  <c r="A21506" i="4"/>
  <c r="A21505" i="4"/>
  <c r="A2031" i="4"/>
  <c r="A2030" i="4"/>
  <c r="A14072" i="4"/>
  <c r="A14071" i="4"/>
  <c r="A14070" i="4"/>
  <c r="A14069" i="4"/>
  <c r="A21504" i="4"/>
  <c r="A21503" i="4"/>
  <c r="A14068" i="4"/>
  <c r="A10982" i="4"/>
  <c r="A12307" i="4"/>
  <c r="A12306" i="4"/>
  <c r="A12305" i="4"/>
  <c r="A21502" i="4"/>
  <c r="A218" i="4"/>
  <c r="A21501" i="4"/>
  <c r="A21500" i="4"/>
  <c r="A217" i="4"/>
  <c r="A13154" i="4"/>
  <c r="A21499" i="4"/>
  <c r="A7493" i="4"/>
  <c r="A2955" i="4"/>
  <c r="A5373" i="4"/>
  <c r="A5372" i="4"/>
  <c r="A5371" i="4"/>
  <c r="A5370" i="4"/>
  <c r="A5369" i="4"/>
  <c r="A5368" i="4"/>
  <c r="A21498" i="4"/>
  <c r="A21497" i="4"/>
  <c r="A15762" i="4"/>
  <c r="A15761" i="4"/>
  <c r="A21496" i="4"/>
  <c r="A21495" i="4"/>
  <c r="A21494" i="4"/>
  <c r="A12997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2996" i="4"/>
  <c r="A18396" i="4"/>
  <c r="A18395" i="4"/>
  <c r="A18394" i="4"/>
  <c r="A9943" i="4"/>
  <c r="A5910" i="4"/>
  <c r="A9584" i="4"/>
  <c r="A9583" i="4"/>
  <c r="A52" i="4"/>
  <c r="A9582" i="4"/>
  <c r="A9581" i="4"/>
  <c r="A51" i="4"/>
  <c r="A21493" i="4"/>
  <c r="A9580" i="4"/>
  <c r="A9579" i="4"/>
  <c r="A50" i="4"/>
  <c r="A9578" i="4"/>
  <c r="A9577" i="4"/>
  <c r="A9576" i="4"/>
  <c r="A9575" i="4"/>
  <c r="A21492" i="4"/>
  <c r="A9574" i="4"/>
  <c r="A49" i="4"/>
  <c r="A9573" i="4"/>
  <c r="A21491" i="4"/>
  <c r="A9572" i="4"/>
  <c r="A9571" i="4"/>
  <c r="A9570" i="4"/>
  <c r="A9569" i="4"/>
  <c r="A9568" i="4"/>
  <c r="A48" i="4"/>
  <c r="A15760" i="4"/>
  <c r="A21490" i="4"/>
  <c r="A18393" i="4"/>
  <c r="A18392" i="4"/>
  <c r="A18391" i="4"/>
  <c r="A21489" i="4"/>
  <c r="A18390" i="4"/>
  <c r="A21488" i="4"/>
  <c r="A18389" i="4"/>
  <c r="A18388" i="4"/>
  <c r="A18387" i="4"/>
  <c r="A18386" i="4"/>
  <c r="A21487" i="4"/>
  <c r="A18385" i="4"/>
  <c r="A21486" i="4"/>
  <c r="A15759" i="4"/>
  <c r="A15758" i="4"/>
  <c r="A15757" i="4"/>
  <c r="A15756" i="4"/>
  <c r="A21485" i="4"/>
  <c r="A15755" i="4"/>
  <c r="A15754" i="4"/>
  <c r="A21484" i="4"/>
  <c r="A21483" i="4"/>
  <c r="A15753" i="4"/>
  <c r="A21482" i="4"/>
  <c r="A15752" i="4"/>
  <c r="A15751" i="4"/>
  <c r="A21481" i="4"/>
  <c r="A21480" i="4"/>
  <c r="A21479" i="4"/>
  <c r="A15750" i="4"/>
  <c r="A15749" i="4"/>
  <c r="A15748" i="4"/>
  <c r="A15747" i="4"/>
  <c r="A12995" i="4"/>
  <c r="A21478" i="4"/>
  <c r="A15746" i="4"/>
  <c r="A15745" i="4"/>
  <c r="A21477" i="4"/>
  <c r="A21476" i="4"/>
  <c r="A15476" i="4"/>
  <c r="A15744" i="4"/>
  <c r="A15743" i="4"/>
  <c r="A6637" i="4"/>
  <c r="A1925" i="4"/>
  <c r="A2029" i="4"/>
  <c r="A2028" i="4"/>
  <c r="A21475" i="4"/>
  <c r="A21474" i="4"/>
  <c r="A2027" i="4"/>
  <c r="A18115" i="4"/>
  <c r="A18114" i="4"/>
  <c r="A14067" i="4"/>
  <c r="A14066" i="4"/>
  <c r="A14065" i="4"/>
  <c r="A14064" i="4"/>
  <c r="A14063" i="4"/>
  <c r="A14062" i="4"/>
  <c r="A14061" i="4"/>
  <c r="A14060" i="4"/>
  <c r="A14059" i="4"/>
  <c r="A21473" i="4"/>
  <c r="A14058" i="4"/>
  <c r="A14057" i="4"/>
  <c r="A14056" i="4"/>
  <c r="A14055" i="4"/>
  <c r="A21472" i="4"/>
  <c r="A21471" i="4"/>
  <c r="A14054" i="4"/>
  <c r="A21470" i="4"/>
  <c r="A21469" i="4"/>
  <c r="A14053" i="4"/>
  <c r="A14052" i="4"/>
  <c r="A21468" i="4"/>
  <c r="A14051" i="4"/>
  <c r="A14050" i="4"/>
  <c r="A21467" i="4"/>
  <c r="A14049" i="4"/>
  <c r="A14048" i="4"/>
  <c r="A21466" i="4"/>
  <c r="A14047" i="4"/>
  <c r="A2026" i="4"/>
  <c r="A2025" i="4"/>
  <c r="A14046" i="4"/>
  <c r="A14045" i="4"/>
  <c r="A21465" i="4"/>
  <c r="A14044" i="4"/>
  <c r="A21464" i="4"/>
  <c r="A14043" i="4"/>
  <c r="A21463" i="4"/>
  <c r="A11291" i="4"/>
  <c r="A11290" i="4"/>
  <c r="A21462" i="4"/>
  <c r="A5812" i="4"/>
  <c r="A14042" i="4"/>
  <c r="A14041" i="4"/>
  <c r="A14040" i="4"/>
  <c r="A21461" i="4"/>
  <c r="A14039" i="4"/>
  <c r="A14038" i="4"/>
  <c r="A21460" i="4"/>
  <c r="A14037" i="4"/>
  <c r="A14036" i="4"/>
  <c r="A14035" i="4"/>
  <c r="A14034" i="4"/>
  <c r="A21459" i="4"/>
  <c r="A21458" i="4"/>
  <c r="A14033" i="4"/>
  <c r="A14032" i="4"/>
  <c r="A14031" i="4"/>
  <c r="A14030" i="4"/>
  <c r="A21457" i="4"/>
  <c r="A21456" i="4"/>
  <c r="A21455" i="4"/>
  <c r="A21454" i="4"/>
  <c r="A14029" i="4"/>
  <c r="A14028" i="4"/>
  <c r="A21453" i="4"/>
  <c r="A14027" i="4"/>
  <c r="A14026" i="4"/>
  <c r="A14025" i="4"/>
  <c r="A14024" i="4"/>
  <c r="A14023" i="4"/>
  <c r="A21452" i="4"/>
  <c r="A14022" i="4"/>
  <c r="A21451" i="4"/>
  <c r="A14021" i="4"/>
  <c r="A21450" i="4"/>
  <c r="A14020" i="4"/>
  <c r="A14019" i="4"/>
  <c r="A14018" i="4"/>
  <c r="A14017" i="4"/>
  <c r="A14016" i="4"/>
  <c r="A14015" i="4"/>
  <c r="A14014" i="4"/>
  <c r="A21449" i="4"/>
  <c r="A14013" i="4"/>
  <c r="A21448" i="4"/>
  <c r="A21447" i="4"/>
  <c r="A2024" i="4"/>
  <c r="A21446" i="4"/>
  <c r="A11289" i="4"/>
  <c r="A11288" i="4"/>
  <c r="A11287" i="4"/>
  <c r="A21445" i="4"/>
  <c r="A21444" i="4"/>
  <c r="A2954" i="4"/>
  <c r="A2953" i="4"/>
  <c r="A2952" i="4"/>
  <c r="A2951" i="4"/>
  <c r="A2950" i="4"/>
  <c r="A21443" i="4"/>
  <c r="A1703" i="4"/>
  <c r="A2949" i="4"/>
  <c r="A2948" i="4"/>
  <c r="A2947" i="4"/>
  <c r="A2946" i="4"/>
  <c r="A21442" i="4"/>
  <c r="A21441" i="4"/>
  <c r="A21440" i="4"/>
  <c r="A21439" i="4"/>
  <c r="A21438" i="4"/>
  <c r="A2023" i="4"/>
  <c r="A2022" i="4"/>
  <c r="A2021" i="4"/>
  <c r="A2020" i="4"/>
  <c r="A9567" i="4"/>
  <c r="A47" i="4"/>
  <c r="A20766" i="4"/>
  <c r="A20765" i="4"/>
  <c r="A21437" i="4"/>
  <c r="A20764" i="4"/>
  <c r="A21436" i="4"/>
  <c r="A21435" i="4"/>
  <c r="A14012" i="4"/>
  <c r="A14011" i="4"/>
  <c r="A14010" i="4"/>
  <c r="A14009" i="4"/>
  <c r="A14008" i="4"/>
  <c r="A14007" i="4"/>
  <c r="A14006" i="4"/>
  <c r="A14005" i="4"/>
  <c r="A14004" i="4"/>
  <c r="A14003" i="4"/>
  <c r="A21434" i="4"/>
  <c r="A14002" i="4"/>
  <c r="A14001" i="4"/>
  <c r="A14000" i="4"/>
  <c r="A13999" i="4"/>
  <c r="A21433" i="4"/>
  <c r="A21432" i="4"/>
  <c r="A21431" i="4"/>
  <c r="A12304" i="4"/>
  <c r="A21430" i="4"/>
  <c r="A13998" i="4"/>
  <c r="A13997" i="4"/>
  <c r="A13996" i="4"/>
  <c r="A21429" i="4"/>
  <c r="A21428" i="4"/>
  <c r="A21427" i="4"/>
  <c r="A21426" i="4"/>
  <c r="A21425" i="4"/>
  <c r="A21424" i="4"/>
  <c r="A20763" i="4"/>
  <c r="A21423" i="4"/>
  <c r="A21422" i="4"/>
  <c r="A21421" i="4"/>
  <c r="A21420" i="4"/>
  <c r="A21419" i="4"/>
  <c r="A15742" i="4"/>
  <c r="A15741" i="4"/>
  <c r="A21418" i="4"/>
  <c r="A21417" i="4"/>
  <c r="A8451" i="4"/>
  <c r="A2945" i="4"/>
  <c r="A10019" i="4"/>
  <c r="A2485" i="4"/>
  <c r="A2484" i="4"/>
  <c r="A21416" i="4"/>
  <c r="A15740" i="4"/>
  <c r="A15739" i="4"/>
  <c r="A18384" i="4"/>
  <c r="A18383" i="4"/>
  <c r="A537" i="4"/>
  <c r="A536" i="4"/>
  <c r="A5121" i="4"/>
  <c r="A5120" i="4"/>
  <c r="A21415" i="4"/>
  <c r="A12994" i="4"/>
  <c r="A12993" i="4"/>
  <c r="A12992" i="4"/>
  <c r="A18382" i="4"/>
  <c r="A18381" i="4"/>
  <c r="A18380" i="4"/>
  <c r="A9566" i="4"/>
  <c r="A9565" i="4"/>
  <c r="A9564" i="4"/>
  <c r="A9563" i="4"/>
  <c r="A9562" i="4"/>
  <c r="A46" i="4"/>
  <c r="A21414" i="4"/>
  <c r="A18379" i="4"/>
  <c r="A18378" i="4"/>
  <c r="A18377" i="4"/>
  <c r="A18376" i="4"/>
  <c r="A21413" i="4"/>
  <c r="A18375" i="4"/>
  <c r="A1924" i="4"/>
  <c r="A2019" i="4"/>
  <c r="A2018" i="4"/>
  <c r="A13995" i="4"/>
  <c r="A21412" i="4"/>
  <c r="A13994" i="4"/>
  <c r="A21411" i="4"/>
  <c r="A7492" i="4"/>
  <c r="A7491" i="4"/>
  <c r="A7490" i="4"/>
  <c r="A8351" i="4"/>
  <c r="A535" i="4"/>
  <c r="A9561" i="4"/>
  <c r="A12873" i="4"/>
  <c r="A21410" i="4"/>
  <c r="A11286" i="4"/>
  <c r="A11285" i="4"/>
  <c r="A2944" i="4"/>
  <c r="A17881" i="4"/>
  <c r="A8493" i="4"/>
  <c r="A1702" i="4"/>
  <c r="A21409" i="4"/>
  <c r="A10981" i="4"/>
  <c r="A13993" i="4"/>
  <c r="A13992" i="4"/>
  <c r="A13991" i="4"/>
  <c r="A21408" i="4"/>
  <c r="A21407" i="4"/>
  <c r="A2943" i="4"/>
  <c r="A15738" i="4"/>
  <c r="A15737" i="4"/>
  <c r="A1701" i="4"/>
  <c r="A21406" i="4"/>
  <c r="A9560" i="4"/>
  <c r="A21405" i="4"/>
  <c r="A21404" i="4"/>
  <c r="A11284" i="4"/>
  <c r="A21403" i="4"/>
  <c r="A21402" i="4"/>
  <c r="A11283" i="4"/>
  <c r="A11282" i="4"/>
  <c r="A21401" i="4"/>
  <c r="A13990" i="4"/>
  <c r="A18374" i="4"/>
  <c r="A18373" i="4"/>
  <c r="A13989" i="4"/>
  <c r="A13988" i="4"/>
  <c r="A21400" i="4"/>
  <c r="A21399" i="4"/>
  <c r="A21398" i="4"/>
  <c r="A11281" i="4"/>
  <c r="A11280" i="4"/>
  <c r="A11279" i="4"/>
  <c r="A11278" i="4"/>
  <c r="A12991" i="4"/>
  <c r="A12990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21397" i="4"/>
  <c r="A11262" i="4"/>
  <c r="A1700" i="4"/>
  <c r="A2942" i="4"/>
  <c r="A2941" i="4"/>
  <c r="A2940" i="4"/>
  <c r="A2939" i="4"/>
  <c r="A2938" i="4"/>
  <c r="A2937" i="4"/>
  <c r="A2936" i="4"/>
  <c r="A11261" i="4"/>
  <c r="A2935" i="4"/>
  <c r="A2934" i="4"/>
  <c r="A2933" i="4"/>
  <c r="A6210" i="4"/>
  <c r="A6209" i="4"/>
  <c r="A21396" i="4"/>
  <c r="A2932" i="4"/>
  <c r="A10018" i="4"/>
  <c r="A1699" i="4"/>
  <c r="A2931" i="4"/>
  <c r="A13354" i="4"/>
  <c r="A2930" i="4"/>
  <c r="A2929" i="4"/>
  <c r="A2928" i="4"/>
  <c r="A2927" i="4"/>
  <c r="A21395" i="4"/>
  <c r="A2926" i="4"/>
  <c r="A21394" i="4"/>
  <c r="A2925" i="4"/>
  <c r="A13353" i="4"/>
  <c r="A21393" i="4"/>
  <c r="A8492" i="4"/>
  <c r="A13352" i="4"/>
  <c r="A13351" i="4"/>
  <c r="A13350" i="4"/>
  <c r="A13349" i="4"/>
  <c r="A8491" i="4"/>
  <c r="A10017" i="4"/>
  <c r="A10016" i="4"/>
  <c r="A10015" i="4"/>
  <c r="A10014" i="4"/>
  <c r="A10013" i="4"/>
  <c r="A10012" i="4"/>
  <c r="A2924" i="4"/>
  <c r="A2923" i="4"/>
  <c r="A6208" i="4"/>
  <c r="A10011" i="4"/>
  <c r="A2922" i="4"/>
  <c r="A2921" i="4"/>
  <c r="A2920" i="4"/>
  <c r="A11260" i="4"/>
  <c r="A11259" i="4"/>
  <c r="A11258" i="4"/>
  <c r="A11257" i="4"/>
  <c r="A11256" i="4"/>
  <c r="A11255" i="4"/>
  <c r="A21392" i="4"/>
  <c r="A11254" i="4"/>
  <c r="A11253" i="4"/>
  <c r="A21391" i="4"/>
  <c r="A11252" i="4"/>
  <c r="A11251" i="4"/>
  <c r="A11250" i="4"/>
  <c r="A11249" i="4"/>
  <c r="A11248" i="4"/>
  <c r="A11247" i="4"/>
  <c r="A21390" i="4"/>
  <c r="A11246" i="4"/>
  <c r="A11245" i="4"/>
  <c r="A11244" i="4"/>
  <c r="A11243" i="4"/>
  <c r="A11242" i="4"/>
  <c r="A21389" i="4"/>
  <c r="A21388" i="4"/>
  <c r="A11241" i="4"/>
  <c r="A11240" i="4"/>
  <c r="A21387" i="4"/>
  <c r="A21386" i="4"/>
  <c r="A13348" i="4"/>
  <c r="A13347" i="4"/>
  <c r="A13346" i="4"/>
  <c r="A2919" i="4"/>
  <c r="A2918" i="4"/>
  <c r="A2917" i="4"/>
  <c r="A2916" i="4"/>
  <c r="A2915" i="4"/>
  <c r="A15589" i="4"/>
  <c r="A2914" i="4"/>
  <c r="A2913" i="4"/>
  <c r="A21385" i="4"/>
  <c r="A12235" i="4"/>
  <c r="A21384" i="4"/>
  <c r="A2912" i="4"/>
  <c r="A2911" i="4"/>
  <c r="A21383" i="4"/>
  <c r="A18372" i="4"/>
  <c r="A21382" i="4"/>
  <c r="A18371" i="4"/>
  <c r="A18370" i="4"/>
  <c r="A18369" i="4"/>
  <c r="A18368" i="4"/>
  <c r="A21381" i="4"/>
  <c r="A18367" i="4"/>
  <c r="A18366" i="4"/>
  <c r="A18365" i="4"/>
  <c r="A18364" i="4"/>
  <c r="A18363" i="4"/>
  <c r="A18362" i="4"/>
  <c r="A18361" i="4"/>
  <c r="A18360" i="4"/>
  <c r="A21380" i="4"/>
  <c r="A21379" i="4"/>
  <c r="A15736" i="4"/>
  <c r="A15735" i="4"/>
  <c r="A15734" i="4"/>
  <c r="A21378" i="4"/>
  <c r="A2017" i="4"/>
  <c r="A13987" i="4"/>
  <c r="A13986" i="4"/>
  <c r="A21377" i="4"/>
  <c r="A20762" i="4"/>
  <c r="A20761" i="4"/>
  <c r="A2016" i="4"/>
  <c r="A21376" i="4"/>
  <c r="A21375" i="4"/>
  <c r="A21374" i="4"/>
  <c r="A21373" i="4"/>
  <c r="A21372" i="4"/>
  <c r="A11239" i="4"/>
  <c r="A11238" i="4"/>
  <c r="A13985" i="4"/>
  <c r="A21371" i="4"/>
  <c r="A21370" i="4"/>
  <c r="A21369" i="4"/>
  <c r="A21368" i="4"/>
  <c r="A21367" i="4"/>
  <c r="A21366" i="4"/>
  <c r="A21365" i="4"/>
  <c r="A21364" i="4"/>
  <c r="A21363" i="4"/>
  <c r="A21362" i="4"/>
  <c r="A15733" i="4"/>
  <c r="A15732" i="4"/>
  <c r="A15731" i="4"/>
  <c r="A15730" i="4"/>
  <c r="A15729" i="4"/>
  <c r="A15728" i="4"/>
  <c r="A21361" i="4"/>
  <c r="A21360" i="4"/>
  <c r="A15727" i="4"/>
  <c r="A18359" i="4"/>
  <c r="A18358" i="4"/>
  <c r="A18357" i="4"/>
  <c r="A18356" i="4"/>
  <c r="A18355" i="4"/>
  <c r="A5660" i="4"/>
  <c r="A5659" i="4"/>
  <c r="A21359" i="4"/>
  <c r="A13984" i="4"/>
  <c r="A13983" i="4"/>
  <c r="A10010" i="4"/>
  <c r="A11237" i="4"/>
  <c r="A11236" i="4"/>
  <c r="A11235" i="4"/>
  <c r="A6207" i="4"/>
  <c r="A11234" i="4"/>
  <c r="A13982" i="4"/>
  <c r="A13981" i="4"/>
  <c r="A21358" i="4"/>
  <c r="A21357" i="4"/>
  <c r="A21356" i="4"/>
  <c r="A21355" i="4"/>
  <c r="A18354" i="4"/>
  <c r="A9378" i="4"/>
  <c r="A9377" i="4"/>
  <c r="A21354" i="4"/>
  <c r="A21353" i="4"/>
  <c r="A15726" i="4"/>
  <c r="A15725" i="4"/>
  <c r="A15724" i="4"/>
  <c r="A15723" i="4"/>
  <c r="A21352" i="4"/>
  <c r="A15722" i="4"/>
  <c r="A15721" i="4"/>
  <c r="A15720" i="4"/>
  <c r="A15719" i="4"/>
  <c r="A15718" i="4"/>
  <c r="A21351" i="4"/>
  <c r="A21350" i="4"/>
  <c r="A15717" i="4"/>
  <c r="A21349" i="4"/>
  <c r="A13980" i="4"/>
  <c r="A13979" i="4"/>
  <c r="A21348" i="4"/>
  <c r="A21347" i="4"/>
  <c r="A10009" i="4"/>
  <c r="A2910" i="4"/>
  <c r="A2909" i="4"/>
  <c r="A2908" i="4"/>
  <c r="A2907" i="4"/>
  <c r="A2906" i="4"/>
  <c r="A21346" i="4"/>
  <c r="A21345" i="4"/>
  <c r="A21344" i="4"/>
  <c r="A2905" i="4"/>
  <c r="A15418" i="4"/>
  <c r="A15417" i="4"/>
  <c r="A15416" i="4"/>
  <c r="A15415" i="4"/>
  <c r="A21343" i="4"/>
  <c r="A21342" i="4"/>
  <c r="A21341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6491" i="4"/>
  <c r="A13345" i="4"/>
  <c r="A13344" i="4"/>
  <c r="A13343" i="4"/>
  <c r="A6206" i="4"/>
  <c r="A11233" i="4"/>
  <c r="A11232" i="4"/>
  <c r="A11231" i="4"/>
  <c r="A2015" i="4"/>
  <c r="A13978" i="4"/>
  <c r="A13977" i="4"/>
  <c r="A11230" i="4"/>
  <c r="A11229" i="4"/>
  <c r="A21340" i="4"/>
  <c r="A11228" i="4"/>
  <c r="A11227" i="4"/>
  <c r="A11226" i="4"/>
  <c r="A8490" i="4"/>
  <c r="A8489" i="4"/>
  <c r="A2882" i="4"/>
  <c r="A2881" i="4"/>
  <c r="A21339" i="4"/>
  <c r="A21338" i="4"/>
  <c r="A11225" i="4"/>
  <c r="A1891" i="4"/>
  <c r="A1890" i="4"/>
  <c r="A21337" i="4"/>
  <c r="A21336" i="4"/>
  <c r="A21335" i="4"/>
  <c r="A21334" i="4"/>
  <c r="A6490" i="4"/>
  <c r="A6489" i="4"/>
  <c r="A21333" i="4"/>
  <c r="A21332" i="4"/>
  <c r="A2880" i="4"/>
  <c r="A21331" i="4"/>
  <c r="A5119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21330" i="4"/>
  <c r="A18337" i="4"/>
  <c r="A18336" i="4"/>
  <c r="A21329" i="4"/>
  <c r="A18335" i="4"/>
  <c r="A18334" i="4"/>
  <c r="A18333" i="4"/>
  <c r="A18332" i="4"/>
  <c r="A18331" i="4"/>
  <c r="A18330" i="4"/>
  <c r="A18329" i="4"/>
  <c r="A18328" i="4"/>
  <c r="A18327" i="4"/>
  <c r="A18326" i="4"/>
  <c r="A21328" i="4"/>
  <c r="A12989" i="4"/>
  <c r="A13239" i="4"/>
  <c r="A13238" i="4"/>
  <c r="A13237" i="4"/>
  <c r="A21327" i="4"/>
  <c r="A11224" i="4"/>
  <c r="A11223" i="4"/>
  <c r="A21326" i="4"/>
  <c r="A21325" i="4"/>
  <c r="A9559" i="4"/>
  <c r="A21324" i="4"/>
  <c r="A15716" i="4"/>
  <c r="A21323" i="4"/>
  <c r="A21322" i="4"/>
  <c r="A20518" i="4"/>
  <c r="A10980" i="4"/>
  <c r="A18325" i="4"/>
  <c r="A18324" i="4"/>
  <c r="A21321" i="4"/>
  <c r="A21320" i="4"/>
  <c r="A21319" i="4"/>
  <c r="A18323" i="4"/>
  <c r="A21318" i="4"/>
  <c r="A18322" i="4"/>
  <c r="A18321" i="4"/>
  <c r="A18320" i="4"/>
  <c r="A18319" i="4"/>
  <c r="A18318" i="4"/>
  <c r="A18317" i="4"/>
  <c r="A18316" i="4"/>
  <c r="A18315" i="4"/>
  <c r="A18314" i="4"/>
  <c r="A18313" i="4"/>
  <c r="A21317" i="4"/>
  <c r="A21316" i="4"/>
  <c r="A15715" i="4"/>
  <c r="A15714" i="4"/>
  <c r="A15713" i="4"/>
  <c r="A21315" i="4"/>
  <c r="A15475" i="4"/>
  <c r="A9558" i="4"/>
  <c r="A21314" i="4"/>
  <c r="A12234" i="4"/>
  <c r="A1923" i="4"/>
  <c r="A1922" i="4"/>
  <c r="A7489" i="4"/>
  <c r="A21313" i="4"/>
  <c r="A7488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5811" i="4"/>
  <c r="A13962" i="4"/>
  <c r="A13961" i="4"/>
  <c r="A13960" i="4"/>
  <c r="A534" i="4"/>
  <c r="A21312" i="4"/>
  <c r="A533" i="4"/>
  <c r="A13959" i="4"/>
  <c r="A13958" i="4"/>
  <c r="A2" i="4"/>
  <c r="A17672" i="4"/>
  <c r="A21311" i="4"/>
  <c r="A11222" i="4"/>
  <c r="A11221" i="4"/>
  <c r="A11220" i="4"/>
  <c r="A15414" i="4"/>
  <c r="A15413" i="4"/>
  <c r="A21310" i="4"/>
  <c r="A10008" i="4"/>
  <c r="A11219" i="4"/>
  <c r="A11218" i="4"/>
  <c r="A21309" i="4"/>
  <c r="A11217" i="4"/>
  <c r="A21308" i="4"/>
  <c r="A5909" i="4"/>
  <c r="A21307" i="4"/>
  <c r="A11216" i="4"/>
  <c r="A11215" i="4"/>
  <c r="A21306" i="4"/>
  <c r="A10007" i="4"/>
  <c r="A10006" i="4"/>
  <c r="A8488" i="4"/>
  <c r="A2879" i="4"/>
  <c r="A2878" i="4"/>
  <c r="A2877" i="4"/>
  <c r="A11214" i="4"/>
  <c r="A11213" i="4"/>
  <c r="A11212" i="4"/>
  <c r="A21305" i="4"/>
  <c r="A11211" i="4"/>
  <c r="A21304" i="4"/>
  <c r="A21303" i="4"/>
  <c r="A11210" i="4"/>
  <c r="A11209" i="4"/>
  <c r="A11208" i="4"/>
  <c r="A13584" i="4"/>
  <c r="A21302" i="4"/>
  <c r="A7487" i="4"/>
  <c r="A21301" i="4"/>
  <c r="A13957" i="4"/>
  <c r="A21300" i="4"/>
  <c r="A21299" i="4"/>
  <c r="A13956" i="4"/>
  <c r="A13955" i="4"/>
  <c r="A13954" i="4"/>
  <c r="A2014" i="4"/>
  <c r="A13953" i="4"/>
  <c r="A13952" i="4"/>
  <c r="A13951" i="4"/>
  <c r="A21298" i="4"/>
  <c r="A21297" i="4"/>
  <c r="A21296" i="4"/>
  <c r="A13950" i="4"/>
  <c r="A13949" i="4"/>
  <c r="A12303" i="4"/>
  <c r="A12302" i="4"/>
  <c r="A21295" i="4"/>
  <c r="A12301" i="4"/>
  <c r="A21294" i="4"/>
  <c r="A11207" i="4"/>
  <c r="A11206" i="4"/>
  <c r="A11205" i="4"/>
  <c r="A11204" i="4"/>
  <c r="A11203" i="4"/>
  <c r="A21293" i="4"/>
  <c r="A21292" i="4"/>
  <c r="A21291" i="4"/>
  <c r="A21290" i="4"/>
  <c r="A21289" i="4"/>
  <c r="A10823" i="4"/>
  <c r="A216" i="4"/>
  <c r="A10822" i="4"/>
  <c r="A215" i="4"/>
  <c r="A13948" i="4"/>
  <c r="A13947" i="4"/>
  <c r="A214" i="4"/>
  <c r="A10821" i="4"/>
  <c r="A21288" i="4"/>
  <c r="A21287" i="4"/>
  <c r="A7486" i="4"/>
  <c r="A2876" i="4"/>
  <c r="A2875" i="4"/>
  <c r="A2874" i="4"/>
  <c r="A2873" i="4"/>
  <c r="A20517" i="4"/>
  <c r="A21286" i="4"/>
  <c r="A2872" i="4"/>
  <c r="A18312" i="4"/>
  <c r="A18311" i="4"/>
  <c r="A18310" i="4"/>
  <c r="A18309" i="4"/>
  <c r="A18308" i="4"/>
  <c r="A18307" i="4"/>
  <c r="A18306" i="4"/>
  <c r="A18305" i="4"/>
  <c r="A18304" i="4"/>
  <c r="A5908" i="4"/>
  <c r="A5907" i="4"/>
  <c r="A15474" i="4"/>
  <c r="A2013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21285" i="4"/>
  <c r="A21284" i="4"/>
  <c r="A2871" i="4"/>
  <c r="A21283" i="4"/>
  <c r="A21282" i="4"/>
  <c r="A21281" i="4"/>
  <c r="A9557" i="4"/>
  <c r="A7485" i="4"/>
  <c r="A13946" i="4"/>
  <c r="A13945" i="4"/>
  <c r="A13944" i="4"/>
  <c r="A13943" i="4"/>
  <c r="A21280" i="4"/>
  <c r="A21279" i="4"/>
  <c r="A21278" i="4"/>
  <c r="A21277" i="4"/>
  <c r="A21276" i="4"/>
  <c r="A13942" i="4"/>
  <c r="A21275" i="4"/>
  <c r="A10005" i="4"/>
  <c r="A2870" i="4"/>
  <c r="A6205" i="4"/>
  <c r="A21274" i="4"/>
  <c r="A21273" i="4"/>
  <c r="A21272" i="4"/>
  <c r="A21271" i="4"/>
  <c r="A21270" i="4"/>
  <c r="A21269" i="4"/>
  <c r="A12988" i="4"/>
  <c r="A2500" i="4"/>
  <c r="A2499" i="4"/>
  <c r="A9556" i="4"/>
  <c r="A9555" i="4"/>
  <c r="A9554" i="4"/>
  <c r="A9553" i="4"/>
  <c r="A9552" i="4"/>
  <c r="A9551" i="4"/>
  <c r="A9550" i="4"/>
  <c r="A9549" i="4"/>
  <c r="A9548" i="4"/>
  <c r="A21268" i="4"/>
  <c r="A45" i="4"/>
  <c r="A44" i="4"/>
  <c r="A9547" i="4"/>
  <c r="A9546" i="4"/>
  <c r="A9545" i="4"/>
  <c r="A9544" i="4"/>
  <c r="A9543" i="4"/>
  <c r="A9542" i="4"/>
  <c r="A43" i="4"/>
  <c r="A42" i="4"/>
  <c r="A18303" i="4"/>
  <c r="A18302" i="4"/>
  <c r="A18301" i="4"/>
  <c r="A18300" i="4"/>
  <c r="A18299" i="4"/>
  <c r="A18298" i="4"/>
  <c r="A18297" i="4"/>
  <c r="A21267" i="4"/>
  <c r="A18296" i="4"/>
  <c r="A21266" i="4"/>
  <c r="A18295" i="4"/>
  <c r="A21265" i="4"/>
  <c r="A12987" i="4"/>
  <c r="A2012" i="4"/>
  <c r="A21264" i="4"/>
  <c r="A8350" i="4"/>
  <c r="A21263" i="4"/>
  <c r="A18294" i="4"/>
  <c r="A21262" i="4"/>
  <c r="A18293" i="4"/>
  <c r="A15382" i="4"/>
  <c r="A2011" i="4"/>
  <c r="A2010" i="4"/>
  <c r="A2009" i="4"/>
  <c r="A21261" i="4"/>
  <c r="A21260" i="4"/>
  <c r="A6204" i="4"/>
  <c r="A11202" i="4"/>
  <c r="A5367" i="4"/>
  <c r="A21259" i="4"/>
  <c r="A5366" i="4"/>
  <c r="A9541" i="4"/>
  <c r="A21258" i="4"/>
  <c r="A21257" i="4"/>
  <c r="A13941" i="4"/>
  <c r="A13940" i="4"/>
  <c r="A13939" i="4"/>
  <c r="A13938" i="4"/>
  <c r="A20760" i="4"/>
  <c r="A21256" i="4"/>
  <c r="A21255" i="4"/>
  <c r="A21254" i="4"/>
  <c r="A21253" i="4"/>
  <c r="A5275" i="4"/>
  <c r="A15712" i="4"/>
  <c r="A15711" i="4"/>
  <c r="A15710" i="4"/>
  <c r="A12986" i="4"/>
  <c r="A18292" i="4"/>
  <c r="A18291" i="4"/>
  <c r="A18290" i="4"/>
  <c r="A21252" i="4"/>
  <c r="A18289" i="4"/>
  <c r="A18288" i="4"/>
  <c r="A18287" i="4"/>
  <c r="A18286" i="4"/>
  <c r="A18285" i="4"/>
  <c r="A21251" i="4"/>
  <c r="A18284" i="4"/>
  <c r="A18283" i="4"/>
  <c r="A9540" i="4"/>
  <c r="A9539" i="4"/>
  <c r="A9538" i="4"/>
  <c r="A9537" i="4"/>
  <c r="A9536" i="4"/>
  <c r="A41" i="4"/>
  <c r="A8349" i="4"/>
  <c r="A21250" i="4"/>
  <c r="A18282" i="4"/>
  <c r="A21249" i="4"/>
  <c r="A13937" i="4"/>
  <c r="A15709" i="4"/>
  <c r="A15708" i="4"/>
  <c r="A15707" i="4"/>
  <c r="A15706" i="4"/>
  <c r="A2869" i="4"/>
  <c r="A21248" i="4"/>
  <c r="A2868" i="4"/>
  <c r="A15412" i="4"/>
  <c r="A15411" i="4"/>
  <c r="A15410" i="4"/>
  <c r="A15409" i="4"/>
  <c r="A13936" i="4"/>
  <c r="A21247" i="4"/>
  <c r="A21246" i="4"/>
  <c r="A21245" i="4"/>
  <c r="A21244" i="4"/>
  <c r="A21243" i="4"/>
  <c r="A21242" i="4"/>
  <c r="A15705" i="4"/>
  <c r="A15704" i="4"/>
  <c r="A9535" i="4"/>
  <c r="A9534" i="4"/>
  <c r="A9533" i="4"/>
  <c r="A9532" i="4"/>
  <c r="A9531" i="4"/>
  <c r="A40" i="4"/>
  <c r="A39" i="4"/>
  <c r="A38" i="4"/>
  <c r="A17713" i="4"/>
  <c r="A17712" i="4"/>
  <c r="A17265" i="4"/>
  <c r="A17264" i="4"/>
  <c r="A17263" i="4"/>
  <c r="A17262" i="4"/>
  <c r="A11201" i="4"/>
  <c r="A11200" i="4"/>
  <c r="A2867" i="4"/>
  <c r="A2866" i="4"/>
  <c r="A2865" i="4"/>
  <c r="A2864" i="4"/>
  <c r="A21241" i="4"/>
  <c r="A2863" i="4"/>
  <c r="A2862" i="4"/>
  <c r="A2861" i="4"/>
  <c r="A2860" i="4"/>
  <c r="A2859" i="4"/>
  <c r="A2858" i="4"/>
  <c r="A2857" i="4"/>
  <c r="A11199" i="4"/>
  <c r="A11198" i="4"/>
  <c r="A11197" i="4"/>
  <c r="A11196" i="4"/>
  <c r="A21240" i="4"/>
  <c r="A9530" i="4"/>
  <c r="A9529" i="4"/>
  <c r="A9528" i="4"/>
  <c r="A9527" i="4"/>
  <c r="A2008" i="4"/>
  <c r="A2007" i="4"/>
  <c r="A13935" i="4"/>
  <c r="A11195" i="4"/>
  <c r="A11194" i="4"/>
  <c r="A11193" i="4"/>
  <c r="A21239" i="4"/>
  <c r="A11192" i="4"/>
  <c r="A11191" i="4"/>
  <c r="A21238" i="4"/>
  <c r="A11190" i="4"/>
  <c r="A9526" i="4"/>
  <c r="A9525" i="4"/>
  <c r="A9524" i="4"/>
  <c r="A9523" i="4"/>
  <c r="A9522" i="4"/>
  <c r="A37" i="4"/>
  <c r="A2006" i="4"/>
  <c r="A2005" i="4"/>
  <c r="A21237" i="4"/>
  <c r="A13934" i="4"/>
  <c r="A15703" i="4"/>
  <c r="A213" i="4"/>
  <c r="A212" i="4"/>
  <c r="A211" i="4"/>
  <c r="A210" i="4"/>
  <c r="A13933" i="4"/>
  <c r="A15377" i="4"/>
  <c r="A11189" i="4"/>
  <c r="A11188" i="4"/>
  <c r="A11187" i="4"/>
  <c r="A11186" i="4"/>
  <c r="A10004" i="4"/>
  <c r="A10003" i="4"/>
  <c r="A21236" i="4"/>
  <c r="A10002" i="4"/>
  <c r="A2856" i="4"/>
  <c r="A2855" i="4"/>
  <c r="A1698" i="4"/>
  <c r="A17194" i="4"/>
  <c r="A2854" i="4"/>
  <c r="A2853" i="4"/>
  <c r="A2852" i="4"/>
  <c r="A2851" i="4"/>
  <c r="A2850" i="4"/>
  <c r="A2849" i="4"/>
  <c r="A2848" i="4"/>
  <c r="A10001" i="4"/>
  <c r="A21235" i="4"/>
  <c r="A10000" i="4"/>
  <c r="A2847" i="4"/>
  <c r="A2846" i="4"/>
  <c r="A2845" i="4"/>
  <c r="A2844" i="4"/>
  <c r="A2843" i="4"/>
  <c r="A2842" i="4"/>
  <c r="A2841" i="4"/>
  <c r="A1697" i="4"/>
  <c r="A9999" i="4"/>
  <c r="A21234" i="4"/>
  <c r="A2840" i="4"/>
  <c r="A6488" i="4"/>
  <c r="A1696" i="4"/>
  <c r="A21233" i="4"/>
  <c r="A9998" i="4"/>
  <c r="A11185" i="4"/>
  <c r="A11184" i="4"/>
  <c r="A11183" i="4"/>
  <c r="A11182" i="4"/>
  <c r="A11181" i="4"/>
  <c r="A21232" i="4"/>
  <c r="A11180" i="4"/>
  <c r="A11179" i="4"/>
  <c r="A21231" i="4"/>
  <c r="A11178" i="4"/>
  <c r="A11177" i="4"/>
  <c r="A11176" i="4"/>
  <c r="A11175" i="4"/>
  <c r="A21230" i="4"/>
  <c r="A11174" i="4"/>
  <c r="A15588" i="4"/>
  <c r="A2839" i="4"/>
  <c r="A6487" i="4"/>
  <c r="A2838" i="4"/>
  <c r="A2470" i="4"/>
  <c r="A18281" i="4"/>
  <c r="A18280" i="4"/>
  <c r="A21229" i="4"/>
  <c r="A18279" i="4"/>
  <c r="A18278" i="4"/>
  <c r="A18277" i="4"/>
  <c r="A18276" i="4"/>
  <c r="A21228" i="4"/>
  <c r="A18275" i="4"/>
  <c r="A18274" i="4"/>
  <c r="A21227" i="4"/>
  <c r="A18273" i="4"/>
  <c r="A10979" i="4"/>
  <c r="A21226" i="4"/>
  <c r="A10978" i="4"/>
  <c r="A21225" i="4"/>
  <c r="A10977" i="4"/>
  <c r="A10976" i="4"/>
  <c r="A21224" i="4"/>
  <c r="A11173" i="4"/>
  <c r="A21223" i="4"/>
  <c r="A9521" i="4"/>
  <c r="A9520" i="4"/>
  <c r="A9519" i="4"/>
  <c r="A9518" i="4"/>
  <c r="A9517" i="4"/>
  <c r="A36" i="4"/>
  <c r="A9516" i="4"/>
  <c r="A9515" i="4"/>
  <c r="A9514" i="4"/>
  <c r="A9513" i="4"/>
  <c r="A35" i="4"/>
  <c r="A34" i="4"/>
  <c r="A33" i="4"/>
  <c r="A9512" i="4"/>
  <c r="A9511" i="4"/>
  <c r="A9510" i="4"/>
  <c r="A9509" i="4"/>
  <c r="A21222" i="4"/>
  <c r="A9380" i="4"/>
  <c r="A9379" i="4"/>
  <c r="A9947" i="4"/>
  <c r="A9946" i="4"/>
  <c r="A21221" i="4"/>
  <c r="A10975" i="4"/>
  <c r="A21220" i="4"/>
  <c r="A18272" i="4"/>
  <c r="A21219" i="4"/>
  <c r="A21218" i="4"/>
  <c r="A8348" i="4"/>
  <c r="A8347" i="4"/>
  <c r="A8346" i="4"/>
  <c r="A18271" i="4"/>
  <c r="A18270" i="4"/>
  <c r="A18269" i="4"/>
  <c r="A18268" i="4"/>
  <c r="A21217" i="4"/>
  <c r="A18267" i="4"/>
  <c r="A18266" i="4"/>
  <c r="A18265" i="4"/>
  <c r="A18264" i="4"/>
  <c r="A18263" i="4"/>
  <c r="A18262" i="4"/>
  <c r="A18261" i="4"/>
  <c r="A18260" i="4"/>
  <c r="A18259" i="4"/>
  <c r="A18258" i="4"/>
  <c r="A21216" i="4"/>
  <c r="A21215" i="4"/>
  <c r="A18257" i="4"/>
  <c r="A18256" i="4"/>
  <c r="A18255" i="4"/>
  <c r="A18254" i="4"/>
  <c r="A21214" i="4"/>
  <c r="A21213" i="4"/>
  <c r="A15702" i="4"/>
  <c r="A21212" i="4"/>
  <c r="A21211" i="4"/>
  <c r="A15701" i="4"/>
  <c r="A21210" i="4"/>
  <c r="A21209" i="4"/>
  <c r="A15700" i="4"/>
  <c r="A21208" i="4"/>
  <c r="A15699" i="4"/>
  <c r="A21207" i="4"/>
  <c r="A12985" i="4"/>
  <c r="A21206" i="4"/>
  <c r="A12984" i="4"/>
  <c r="A21205" i="4"/>
  <c r="A15698" i="4"/>
  <c r="A21204" i="4"/>
  <c r="A15473" i="4"/>
  <c r="A15472" i="4"/>
  <c r="A15471" i="4"/>
  <c r="A15470" i="4"/>
  <c r="A21203" i="4"/>
  <c r="A15697" i="4"/>
  <c r="A8487" i="4"/>
  <c r="A12983" i="4"/>
  <c r="A12982" i="4"/>
  <c r="A12981" i="4"/>
  <c r="A18253" i="4"/>
  <c r="A2004" i="4"/>
  <c r="A2003" i="4"/>
  <c r="A1921" i="4"/>
  <c r="A2002" i="4"/>
  <c r="A2001" i="4"/>
  <c r="A17587" i="4"/>
  <c r="A18113" i="4"/>
  <c r="A18112" i="4"/>
  <c r="A5810" i="4"/>
  <c r="A5809" i="4"/>
  <c r="A5808" i="4"/>
  <c r="A5807" i="4"/>
  <c r="A5806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21202" i="4"/>
  <c r="A13920" i="4"/>
  <c r="A13919" i="4"/>
  <c r="A13918" i="4"/>
  <c r="A13917" i="4"/>
  <c r="A13916" i="4"/>
  <c r="A21201" i="4"/>
  <c r="A13915" i="4"/>
  <c r="A13914" i="4"/>
  <c r="A13913" i="4"/>
  <c r="A13912" i="4"/>
  <c r="A13911" i="4"/>
  <c r="A13910" i="4"/>
  <c r="A21200" i="4"/>
  <c r="A13909" i="4"/>
  <c r="A13908" i="4"/>
  <c r="A13907" i="4"/>
  <c r="A13906" i="4"/>
  <c r="A13905" i="4"/>
  <c r="A21199" i="4"/>
  <c r="A13904" i="4"/>
  <c r="A13903" i="4"/>
  <c r="A21198" i="4"/>
  <c r="A13902" i="4"/>
  <c r="A5805" i="4"/>
  <c r="A5804" i="4"/>
  <c r="A13901" i="4"/>
  <c r="A13900" i="4"/>
  <c r="A21197" i="4"/>
  <c r="A21196" i="4"/>
  <c r="A21195" i="4"/>
  <c r="A13899" i="4"/>
  <c r="A21194" i="4"/>
  <c r="A13898" i="4"/>
  <c r="A13897" i="4"/>
  <c r="A13896" i="4"/>
  <c r="A13895" i="4"/>
  <c r="A13894" i="4"/>
  <c r="A13893" i="4"/>
  <c r="A21193" i="4"/>
  <c r="A8345" i="4"/>
  <c r="A5803" i="4"/>
  <c r="A13892" i="4"/>
  <c r="A21192" i="4"/>
  <c r="A21191" i="4"/>
  <c r="A21190" i="4"/>
  <c r="A13891" i="4"/>
  <c r="A13890" i="4"/>
  <c r="A13889" i="4"/>
  <c r="A13888" i="4"/>
  <c r="A13887" i="4"/>
  <c r="A13886" i="4"/>
  <c r="A13885" i="4"/>
  <c r="A13884" i="4"/>
  <c r="A21189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21188" i="4"/>
  <c r="A13867" i="4"/>
  <c r="A13866" i="4"/>
  <c r="A13865" i="4"/>
  <c r="A21187" i="4"/>
  <c r="A13864" i="4"/>
  <c r="A13863" i="4"/>
  <c r="A13862" i="4"/>
  <c r="A13861" i="4"/>
  <c r="A13860" i="4"/>
  <c r="A9508" i="4"/>
  <c r="A2000" i="4"/>
  <c r="A21186" i="4"/>
  <c r="A1999" i="4"/>
  <c r="A21185" i="4"/>
  <c r="A11172" i="4"/>
  <c r="A5906" i="4"/>
  <c r="A17880" i="4"/>
  <c r="A21184" i="4"/>
  <c r="A6203" i="4"/>
  <c r="A8486" i="4"/>
  <c r="A9997" i="4"/>
  <c r="A2837" i="4"/>
  <c r="A2836" i="4"/>
  <c r="A21183" i="4"/>
  <c r="A21182" i="4"/>
  <c r="A13583" i="4"/>
  <c r="A21181" i="4"/>
  <c r="A21180" i="4"/>
  <c r="A21179" i="4"/>
  <c r="A15408" i="4"/>
  <c r="A15407" i="4"/>
  <c r="A15406" i="4"/>
  <c r="A15405" i="4"/>
  <c r="A15404" i="4"/>
  <c r="A13859" i="4"/>
  <c r="A13858" i="4"/>
  <c r="A13857" i="4"/>
  <c r="A21178" i="4"/>
  <c r="A21177" i="4"/>
  <c r="A1998" i="4"/>
  <c r="A1997" i="4"/>
  <c r="A13856" i="4"/>
  <c r="A13855" i="4"/>
  <c r="A21176" i="4"/>
  <c r="A1996" i="4"/>
  <c r="A1995" i="4"/>
  <c r="A13854" i="4"/>
  <c r="A13853" i="4"/>
  <c r="A13852" i="4"/>
  <c r="A13851" i="4"/>
  <c r="A13850" i="4"/>
  <c r="A13849" i="4"/>
  <c r="A21175" i="4"/>
  <c r="A21174" i="4"/>
  <c r="A21173" i="4"/>
  <c r="A21172" i="4"/>
  <c r="A12300" i="4"/>
  <c r="A21171" i="4"/>
  <c r="A21170" i="4"/>
  <c r="A21169" i="4"/>
  <c r="A12299" i="4"/>
  <c r="A12298" i="4"/>
  <c r="A12297" i="4"/>
  <c r="A12296" i="4"/>
  <c r="A12295" i="4"/>
  <c r="A21168" i="4"/>
  <c r="A21167" i="4"/>
  <c r="A21166" i="4"/>
  <c r="A21165" i="4"/>
  <c r="A21164" i="4"/>
  <c r="A21163" i="4"/>
  <c r="A21162" i="4"/>
  <c r="A21161" i="4"/>
  <c r="A21160" i="4"/>
  <c r="A21159" i="4"/>
  <c r="A10820" i="4"/>
  <c r="A15696" i="4"/>
  <c r="A21158" i="4"/>
  <c r="A21157" i="4"/>
  <c r="A15695" i="4"/>
  <c r="A10819" i="4"/>
  <c r="A21156" i="4"/>
  <c r="A15694" i="4"/>
  <c r="A15693" i="4"/>
  <c r="A21155" i="4"/>
  <c r="A2835" i="4"/>
  <c r="A2834" i="4"/>
  <c r="A2833" i="4"/>
  <c r="A21154" i="4"/>
  <c r="A2832" i="4"/>
  <c r="A2483" i="4"/>
  <c r="A21153" i="4"/>
  <c r="A15692" i="4"/>
  <c r="A15691" i="4"/>
  <c r="A15690" i="4"/>
  <c r="A21152" i="4"/>
  <c r="A13342" i="4"/>
  <c r="A9996" i="4"/>
  <c r="A18252" i="4"/>
  <c r="A18251" i="4"/>
  <c r="A211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21150" i="4"/>
  <c r="A18239" i="4"/>
  <c r="A18238" i="4"/>
  <c r="A18237" i="4"/>
  <c r="A18236" i="4"/>
  <c r="A18235" i="4"/>
  <c r="A18234" i="4"/>
  <c r="A18233" i="4"/>
  <c r="A18232" i="4"/>
  <c r="A18231" i="4"/>
  <c r="A18230" i="4"/>
  <c r="A21149" i="4"/>
  <c r="A18229" i="4"/>
  <c r="A18228" i="4"/>
  <c r="A21148" i="4"/>
  <c r="A18227" i="4"/>
  <c r="A21147" i="4"/>
  <c r="A18226" i="4"/>
  <c r="A18225" i="4"/>
  <c r="A9507" i="4"/>
  <c r="A9506" i="4"/>
  <c r="A9505" i="4"/>
  <c r="A9504" i="4"/>
  <c r="A9503" i="4"/>
  <c r="A9502" i="4"/>
  <c r="A9501" i="4"/>
  <c r="A32" i="4"/>
  <c r="A9500" i="4"/>
  <c r="A9499" i="4"/>
  <c r="A9498" i="4"/>
  <c r="A21146" i="4"/>
  <c r="A21145" i="4"/>
  <c r="A9497" i="4"/>
  <c r="A21144" i="4"/>
  <c r="A21143" i="4"/>
  <c r="A9496" i="4"/>
  <c r="A9495" i="4"/>
  <c r="A31" i="4"/>
  <c r="A30" i="4"/>
  <c r="A29" i="4"/>
  <c r="A15689" i="4"/>
  <c r="A18224" i="4"/>
  <c r="A18223" i="4"/>
  <c r="A18222" i="4"/>
  <c r="A18221" i="4"/>
  <c r="A18220" i="4"/>
  <c r="A18219" i="4"/>
  <c r="A18218" i="4"/>
  <c r="A18217" i="4"/>
  <c r="A18216" i="4"/>
  <c r="A15688" i="4"/>
  <c r="A15687" i="4"/>
  <c r="A12980" i="4"/>
  <c r="A15686" i="4"/>
  <c r="A21142" i="4"/>
  <c r="A21141" i="4"/>
  <c r="A21140" i="4"/>
  <c r="A21139" i="4"/>
  <c r="A15685" i="4"/>
  <c r="A15684" i="4"/>
  <c r="A15469" i="4"/>
  <c r="A15468" i="4"/>
  <c r="A15467" i="4"/>
  <c r="A21138" i="4"/>
  <c r="A17879" i="4"/>
  <c r="A17878" i="4"/>
  <c r="A1994" i="4"/>
  <c r="A1993" i="4"/>
  <c r="A21137" i="4"/>
  <c r="A21136" i="4"/>
  <c r="A5802" i="4"/>
  <c r="A5801" i="4"/>
  <c r="A21135" i="4"/>
  <c r="A7484" i="4"/>
  <c r="A13848" i="4"/>
  <c r="A13847" i="4"/>
  <c r="A13846" i="4"/>
  <c r="A13845" i="4"/>
  <c r="A13844" i="4"/>
  <c r="A21134" i="4"/>
  <c r="A13843" i="4"/>
  <c r="A21133" i="4"/>
  <c r="A13842" i="4"/>
  <c r="A13841" i="4"/>
  <c r="A13840" i="4"/>
  <c r="A13839" i="4"/>
  <c r="A13838" i="4"/>
  <c r="A8344" i="4"/>
  <c r="A13837" i="4"/>
  <c r="A13836" i="4"/>
  <c r="A13835" i="4"/>
  <c r="A13834" i="4"/>
  <c r="A13833" i="4"/>
  <c r="A13832" i="4"/>
  <c r="A5800" i="4"/>
  <c r="A5799" i="4"/>
  <c r="A5798" i="4"/>
  <c r="A21132" i="4"/>
  <c r="A21131" i="4"/>
  <c r="A21130" i="4"/>
  <c r="A21129" i="4"/>
  <c r="A13831" i="4"/>
  <c r="A13830" i="4"/>
  <c r="A13829" i="4"/>
  <c r="A21128" i="4"/>
  <c r="A13828" i="4"/>
  <c r="A15403" i="4"/>
  <c r="A11171" i="4"/>
  <c r="A11170" i="4"/>
  <c r="A11169" i="4"/>
  <c r="A2831" i="4"/>
  <c r="A21127" i="4"/>
  <c r="A21126" i="4"/>
  <c r="A2830" i="4"/>
  <c r="A11168" i="4"/>
  <c r="A11167" i="4"/>
  <c r="A11166" i="4"/>
  <c r="A11165" i="4"/>
  <c r="A21125" i="4"/>
  <c r="A21124" i="4"/>
  <c r="A11164" i="4"/>
  <c r="A9494" i="4"/>
  <c r="A20759" i="4"/>
  <c r="A20758" i="4"/>
  <c r="A20757" i="4"/>
  <c r="A20756" i="4"/>
  <c r="A20755" i="4"/>
  <c r="A20754" i="4"/>
  <c r="A21123" i="4"/>
  <c r="A20753" i="4"/>
  <c r="A20752" i="4"/>
  <c r="A21122" i="4"/>
  <c r="A20751" i="4"/>
  <c r="A20750" i="4"/>
  <c r="A20749" i="4"/>
  <c r="A20748" i="4"/>
  <c r="A7483" i="4"/>
  <c r="A7482" i="4"/>
  <c r="A21121" i="4"/>
  <c r="A21120" i="4"/>
  <c r="A13827" i="4"/>
  <c r="A1992" i="4"/>
  <c r="A13826" i="4"/>
  <c r="A21119" i="4"/>
  <c r="A13825" i="4"/>
  <c r="A13824" i="4"/>
  <c r="A13823" i="4"/>
  <c r="A13822" i="4"/>
  <c r="A13821" i="4"/>
  <c r="A20516" i="4"/>
  <c r="A20515" i="4"/>
  <c r="A13820" i="4"/>
  <c r="A21118" i="4"/>
  <c r="A1991" i="4"/>
  <c r="A21117" i="4"/>
  <c r="A21116" i="4"/>
  <c r="A12294" i="4"/>
  <c r="A12293" i="4"/>
  <c r="A12292" i="4"/>
  <c r="A12291" i="4"/>
  <c r="A12290" i="4"/>
  <c r="A12289" i="4"/>
  <c r="A21115" i="4"/>
  <c r="A21114" i="4"/>
  <c r="A10818" i="4"/>
  <c r="A2829" i="4"/>
  <c r="A2828" i="4"/>
  <c r="A2827" i="4"/>
  <c r="A6486" i="4"/>
  <c r="A2826" i="4"/>
  <c r="A15683" i="4"/>
  <c r="A15682" i="4"/>
  <c r="A15681" i="4"/>
  <c r="A532" i="4"/>
  <c r="A21113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2979" i="4"/>
  <c r="A12978" i="4"/>
  <c r="A21112" i="4"/>
  <c r="A9493" i="4"/>
  <c r="A9492" i="4"/>
  <c r="A13819" i="4"/>
  <c r="A13818" i="4"/>
  <c r="A13817" i="4"/>
  <c r="A21111" i="4"/>
  <c r="A13816" i="4"/>
  <c r="A5646" i="4"/>
  <c r="A9995" i="4"/>
  <c r="A9994" i="4"/>
  <c r="A9993" i="4"/>
  <c r="A9992" i="4"/>
  <c r="A21110" i="4"/>
  <c r="A13815" i="4"/>
  <c r="A13814" i="4"/>
  <c r="A21109" i="4"/>
  <c r="A21108" i="4"/>
  <c r="A6485" i="4"/>
  <c r="A2825" i="4"/>
  <c r="A2824" i="4"/>
  <c r="A2823" i="4"/>
  <c r="A13236" i="4"/>
  <c r="A13235" i="4"/>
  <c r="A21107" i="4"/>
  <c r="A13234" i="4"/>
  <c r="A13233" i="4"/>
  <c r="A13232" i="4"/>
  <c r="A21106" i="4"/>
  <c r="A11163" i="4"/>
  <c r="A11162" i="4"/>
  <c r="A11161" i="4"/>
  <c r="A11160" i="4"/>
  <c r="A21105" i="4"/>
  <c r="A21104" i="4"/>
  <c r="A8468" i="4"/>
  <c r="A8467" i="4"/>
  <c r="A5797" i="4"/>
  <c r="A13813" i="4"/>
  <c r="A13812" i="4"/>
  <c r="A8343" i="4"/>
  <c r="A18204" i="4"/>
  <c r="A5796" i="4"/>
  <c r="A5795" i="4"/>
  <c r="A18203" i="4"/>
  <c r="A21103" i="4"/>
  <c r="A1990" i="4"/>
  <c r="A1989" i="4"/>
  <c r="A20747" i="4"/>
  <c r="A20746" i="4"/>
  <c r="A21102" i="4"/>
  <c r="A21101" i="4"/>
  <c r="A20745" i="4"/>
  <c r="A21100" i="4"/>
  <c r="A21099" i="4"/>
  <c r="A20744" i="4"/>
  <c r="A20743" i="4"/>
  <c r="A20742" i="4"/>
  <c r="A11159" i="4"/>
  <c r="A13811" i="4"/>
  <c r="A13810" i="4"/>
  <c r="A13809" i="4"/>
  <c r="A13808" i="4"/>
  <c r="A13807" i="4"/>
  <c r="A15402" i="4"/>
  <c r="A15401" i="4"/>
  <c r="A15400" i="4"/>
  <c r="A11158" i="4"/>
  <c r="A11157" i="4"/>
  <c r="A21098" i="4"/>
  <c r="A21097" i="4"/>
  <c r="A11156" i="4"/>
  <c r="A11155" i="4"/>
  <c r="A11154" i="4"/>
  <c r="A11153" i="4"/>
  <c r="A11152" i="4"/>
  <c r="A209" i="4"/>
  <c r="A8485" i="4"/>
  <c r="A9991" i="4"/>
  <c r="A2822" i="4"/>
  <c r="A2821" i="4"/>
  <c r="A2820" i="4"/>
  <c r="A2819" i="4"/>
  <c r="A2818" i="4"/>
  <c r="A2817" i="4"/>
  <c r="A2816" i="4"/>
  <c r="A2815" i="4"/>
  <c r="A2814" i="4"/>
  <c r="A21096" i="4"/>
  <c r="A21095" i="4"/>
  <c r="A2813" i="4"/>
  <c r="A2812" i="4"/>
  <c r="A2811" i="4"/>
  <c r="A2810" i="4"/>
  <c r="A21094" i="4"/>
  <c r="A2809" i="4"/>
  <c r="A2808" i="4"/>
  <c r="A2807" i="4"/>
  <c r="A2806" i="4"/>
  <c r="A2805" i="4"/>
  <c r="A2804" i="4"/>
  <c r="A2803" i="4"/>
  <c r="A13231" i="4"/>
  <c r="A6202" i="4"/>
  <c r="A2802" i="4"/>
  <c r="A17193" i="4"/>
  <c r="A2801" i="4"/>
  <c r="A6484" i="4"/>
  <c r="A6201" i="4"/>
  <c r="A2800" i="4"/>
  <c r="A9990" i="4"/>
  <c r="A1695" i="4"/>
  <c r="A9989" i="4"/>
  <c r="A9988" i="4"/>
  <c r="A6200" i="4"/>
  <c r="A1694" i="4"/>
  <c r="A2799" i="4"/>
  <c r="A9987" i="4"/>
  <c r="A21093" i="4"/>
  <c r="A2798" i="4"/>
  <c r="A2797" i="4"/>
  <c r="A2796" i="4"/>
  <c r="A13341" i="4"/>
  <c r="A13340" i="4"/>
  <c r="A21092" i="4"/>
  <c r="A13339" i="4"/>
  <c r="A13338" i="4"/>
  <c r="A21091" i="4"/>
  <c r="A2795" i="4"/>
  <c r="A2794" i="4"/>
  <c r="A2793" i="4"/>
  <c r="A13337" i="4"/>
  <c r="A13336" i="4"/>
  <c r="A13335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13334" i="4"/>
  <c r="A2779" i="4"/>
  <c r="A21090" i="4"/>
  <c r="A2778" i="4"/>
  <c r="A2777" i="4"/>
  <c r="A2776" i="4"/>
  <c r="A21089" i="4"/>
  <c r="A2775" i="4"/>
  <c r="A2774" i="4"/>
  <c r="A2773" i="4"/>
  <c r="A21088" i="4"/>
  <c r="A2772" i="4"/>
  <c r="A2771" i="4"/>
  <c r="A2770" i="4"/>
  <c r="A21087" i="4"/>
  <c r="A21086" i="4"/>
  <c r="A21085" i="4"/>
  <c r="A2769" i="4"/>
  <c r="A2768" i="4"/>
  <c r="A21084" i="4"/>
  <c r="A13333" i="4"/>
  <c r="A13332" i="4"/>
  <c r="A2767" i="4"/>
  <c r="A2766" i="4"/>
  <c r="A21083" i="4"/>
  <c r="A2765" i="4"/>
  <c r="A2764" i="4"/>
  <c r="A2763" i="4"/>
  <c r="A21082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9986" i="4"/>
  <c r="A2734" i="4"/>
  <c r="A9985" i="4"/>
  <c r="A9984" i="4"/>
  <c r="A21081" i="4"/>
  <c r="A21080" i="4"/>
  <c r="A13331" i="4"/>
  <c r="A13330" i="4"/>
  <c r="A13329" i="4"/>
  <c r="A21079" i="4"/>
  <c r="A21078" i="4"/>
  <c r="A11151" i="4"/>
  <c r="A21077" i="4"/>
  <c r="A11150" i="4"/>
  <c r="A21076" i="4"/>
  <c r="A20741" i="4"/>
  <c r="A21075" i="4"/>
  <c r="A21074" i="4"/>
  <c r="A21073" i="4"/>
  <c r="A21072" i="4"/>
  <c r="A20740" i="4"/>
  <c r="A13806" i="4"/>
  <c r="A13805" i="4"/>
  <c r="A5794" i="4"/>
  <c r="A21071" i="4"/>
  <c r="A20739" i="4"/>
  <c r="A13804" i="4"/>
  <c r="A13803" i="4"/>
  <c r="A13802" i="4"/>
  <c r="A13801" i="4"/>
  <c r="A13800" i="4"/>
  <c r="A11149" i="4"/>
  <c r="A21070" i="4"/>
  <c r="A2733" i="4"/>
  <c r="A2732" i="4"/>
  <c r="A8484" i="4"/>
  <c r="A8483" i="4"/>
  <c r="A2731" i="4"/>
  <c r="A2730" i="4"/>
  <c r="A6199" i="4"/>
  <c r="A6198" i="4"/>
  <c r="A2729" i="4"/>
  <c r="A2728" i="4"/>
  <c r="A2727" i="4"/>
  <c r="A2726" i="4"/>
  <c r="A2725" i="4"/>
  <c r="A2724" i="4"/>
  <c r="A2723" i="4"/>
  <c r="A2722" i="4"/>
  <c r="A2721" i="4"/>
  <c r="A13328" i="4"/>
  <c r="A13327" i="4"/>
  <c r="A6483" i="4"/>
  <c r="A6482" i="4"/>
  <c r="A2720" i="4"/>
  <c r="A21069" i="4"/>
  <c r="A6197" i="4"/>
  <c r="A9983" i="4"/>
  <c r="A1693" i="4"/>
  <c r="A1692" i="4"/>
  <c r="A1691" i="4"/>
  <c r="A18036" i="4"/>
  <c r="A17877" i="4"/>
  <c r="A17876" i="4"/>
  <c r="A6196" i="4"/>
  <c r="A21068" i="4"/>
  <c r="A2719" i="4"/>
  <c r="A9982" i="4"/>
  <c r="A21067" i="4"/>
  <c r="A9981" i="4"/>
  <c r="A1690" i="4"/>
  <c r="A2482" i="4"/>
  <c r="A2481" i="4"/>
  <c r="A11148" i="4"/>
  <c r="A21066" i="4"/>
  <c r="A2718" i="4"/>
  <c r="A2717" i="4"/>
  <c r="A21065" i="4"/>
  <c r="A21064" i="4"/>
  <c r="A21063" i="4"/>
  <c r="A21062" i="4"/>
  <c r="A2716" i="4"/>
  <c r="A1920" i="4"/>
  <c r="A21061" i="4"/>
  <c r="A1919" i="4"/>
  <c r="A7481" i="4"/>
  <c r="A13799" i="4"/>
  <c r="A13798" i="4"/>
  <c r="A2715" i="4"/>
  <c r="A21060" i="4"/>
  <c r="A2714" i="4"/>
  <c r="A2713" i="4"/>
  <c r="A21059" i="4"/>
  <c r="A11147" i="4"/>
  <c r="A11146" i="4"/>
  <c r="A11145" i="4"/>
  <c r="A11144" i="4"/>
  <c r="A21058" i="4"/>
  <c r="A21057" i="4"/>
  <c r="A21056" i="4"/>
  <c r="A21055" i="4"/>
  <c r="A21054" i="4"/>
  <c r="A5365" i="4"/>
  <c r="A21053" i="4"/>
  <c r="A8342" i="4"/>
  <c r="A18202" i="4"/>
  <c r="A18201" i="4"/>
  <c r="A18200" i="4"/>
  <c r="A18199" i="4"/>
  <c r="A21052" i="4"/>
  <c r="A18198" i="4"/>
  <c r="A18197" i="4"/>
  <c r="A18196" i="4"/>
  <c r="A18195" i="4"/>
  <c r="A21051" i="4"/>
  <c r="A18194" i="4"/>
  <c r="A21050" i="4"/>
  <c r="A21049" i="4"/>
  <c r="A21048" i="4"/>
  <c r="A21047" i="4"/>
  <c r="A15680" i="4"/>
  <c r="A21046" i="4"/>
  <c r="A21045" i="4"/>
  <c r="A15679" i="4"/>
  <c r="A15678" i="4"/>
  <c r="A21044" i="4"/>
  <c r="A21043" i="4"/>
  <c r="A21042" i="4"/>
  <c r="A21041" i="4"/>
  <c r="A21040" i="4"/>
  <c r="A15466" i="4"/>
  <c r="A15677" i="4"/>
  <c r="A208" i="4"/>
  <c r="A13797" i="4"/>
  <c r="A13796" i="4"/>
  <c r="A207" i="4"/>
  <c r="A13795" i="4"/>
  <c r="A18193" i="4"/>
  <c r="A18192" i="4"/>
  <c r="A18191" i="4"/>
  <c r="A21039" i="4"/>
  <c r="A21038" i="4"/>
  <c r="A2712" i="4"/>
  <c r="A21037" i="4"/>
  <c r="A21036" i="4"/>
  <c r="A2711" i="4"/>
  <c r="A2710" i="4"/>
  <c r="A2709" i="4"/>
  <c r="A6195" i="4"/>
  <c r="A9980" i="4"/>
  <c r="A9979" i="4"/>
  <c r="A9978" i="4"/>
  <c r="A2708" i="4"/>
  <c r="A11143" i="4"/>
  <c r="A13326" i="4"/>
  <c r="A15399" i="4"/>
  <c r="A15398" i="4"/>
  <c r="A15397" i="4"/>
  <c r="A15396" i="4"/>
  <c r="A15395" i="4"/>
  <c r="A15394" i="4"/>
  <c r="A15393" i="4"/>
  <c r="A21035" i="4"/>
  <c r="A21034" i="4"/>
  <c r="A21033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1032" i="4"/>
  <c r="A21031" i="4"/>
  <c r="A21030" i="4"/>
  <c r="A21029" i="4"/>
  <c r="A7480" i="4"/>
  <c r="A15366" i="4"/>
  <c r="A7479" i="4"/>
  <c r="A21028" i="4"/>
  <c r="A18190" i="4"/>
  <c r="A21027" i="4"/>
  <c r="A21026" i="4"/>
  <c r="A21025" i="4"/>
  <c r="A21024" i="4"/>
  <c r="A9491" i="4"/>
  <c r="A9490" i="4"/>
  <c r="A9489" i="4"/>
  <c r="A9488" i="4"/>
  <c r="A9487" i="4"/>
  <c r="A9486" i="4"/>
  <c r="A9485" i="4"/>
  <c r="A9484" i="4"/>
  <c r="A28" i="4"/>
  <c r="A21023" i="4"/>
  <c r="A21022" i="4"/>
  <c r="A18189" i="4"/>
  <c r="A21021" i="4"/>
  <c r="A21020" i="4"/>
  <c r="A21019" i="4"/>
  <c r="A21018" i="4"/>
  <c r="A21017" i="4"/>
  <c r="A1988" i="4"/>
  <c r="A9483" i="4"/>
  <c r="A9482" i="4"/>
  <c r="A9481" i="4"/>
  <c r="A9480" i="4"/>
  <c r="A21016" i="4"/>
  <c r="A7478" i="4"/>
  <c r="A1987" i="4"/>
  <c r="A1986" i="4"/>
  <c r="A21015" i="4"/>
  <c r="A21014" i="4"/>
  <c r="A13794" i="4"/>
  <c r="A21013" i="4"/>
  <c r="A21012" i="4"/>
  <c r="A21011" i="4"/>
  <c r="A21010" i="4"/>
  <c r="A21009" i="4"/>
  <c r="A21008" i="4"/>
  <c r="A21007" i="4"/>
  <c r="A206" i="4"/>
  <c r="A15676" i="4"/>
  <c r="A531" i="4"/>
  <c r="A530" i="4"/>
  <c r="A18188" i="4"/>
  <c r="A18187" i="4"/>
  <c r="A18186" i="4"/>
  <c r="A18185" i="4"/>
  <c r="A18184" i="4"/>
  <c r="A18183" i="4"/>
  <c r="A18182" i="4"/>
  <c r="A18181" i="4"/>
  <c r="A18180" i="4"/>
  <c r="A21006" i="4"/>
  <c r="A21005" i="4"/>
  <c r="A5905" i="4"/>
  <c r="A5904" i="4"/>
  <c r="A9479" i="4"/>
  <c r="A9478" i="4"/>
  <c r="A9477" i="4"/>
  <c r="A9476" i="4"/>
  <c r="A9475" i="4"/>
  <c r="A9474" i="4"/>
  <c r="A9473" i="4"/>
  <c r="A27" i="4"/>
  <c r="A9472" i="4"/>
  <c r="A9471" i="4"/>
  <c r="A9470" i="4"/>
  <c r="A9469" i="4"/>
  <c r="A9468" i="4"/>
  <c r="A9467" i="4"/>
  <c r="A9466" i="4"/>
  <c r="A9465" i="4"/>
  <c r="A9464" i="4"/>
  <c r="A26" i="4"/>
  <c r="A25" i="4"/>
  <c r="A9463" i="4"/>
  <c r="A9462" i="4"/>
  <c r="A9461" i="4"/>
  <c r="A18179" i="4"/>
  <c r="A18178" i="4"/>
  <c r="A18177" i="4"/>
  <c r="A18176" i="4"/>
  <c r="A21004" i="4"/>
  <c r="A18175" i="4"/>
  <c r="A18174" i="4"/>
  <c r="A18173" i="4"/>
  <c r="A18172" i="4"/>
  <c r="A18171" i="4"/>
  <c r="A18170" i="4"/>
  <c r="A18169" i="4"/>
  <c r="A18168" i="4"/>
  <c r="A18167" i="4"/>
  <c r="A15675" i="4"/>
  <c r="A15674" i="4"/>
  <c r="A15673" i="4"/>
  <c r="A15672" i="4"/>
  <c r="A15671" i="4"/>
  <c r="A15670" i="4"/>
  <c r="A15669" i="4"/>
  <c r="A1985" i="4"/>
  <c r="A1984" i="4"/>
  <c r="A7477" i="4"/>
  <c r="A13793" i="4"/>
  <c r="A13792" i="4"/>
  <c r="A13791" i="4"/>
  <c r="A13790" i="4"/>
  <c r="A13789" i="4"/>
  <c r="A21003" i="4"/>
  <c r="A21002" i="4"/>
  <c r="A8341" i="4"/>
  <c r="A21001" i="4"/>
  <c r="A5645" i="4"/>
  <c r="A5644" i="4"/>
  <c r="A5643" i="4"/>
  <c r="A5642" i="4"/>
  <c r="A5641" i="4"/>
  <c r="A5640" i="4"/>
  <c r="A5639" i="4"/>
  <c r="A5638" i="4"/>
  <c r="A5637" i="4"/>
  <c r="A5636" i="4"/>
  <c r="A5635" i="4"/>
  <c r="A11142" i="4"/>
  <c r="A11141" i="4"/>
  <c r="A13325" i="4"/>
  <c r="A21000" i="4"/>
  <c r="A11140" i="4"/>
  <c r="A24" i="4"/>
  <c r="A9460" i="4"/>
  <c r="A9459" i="4"/>
  <c r="A9458" i="4"/>
  <c r="A20999" i="4"/>
  <c r="A529" i="4"/>
  <c r="A7476" i="4"/>
  <c r="A7475" i="4"/>
  <c r="A13788" i="4"/>
  <c r="A13787" i="4"/>
  <c r="A13786" i="4"/>
  <c r="A13785" i="4"/>
  <c r="A2480" i="4"/>
  <c r="A20998" i="4"/>
  <c r="A15668" i="4"/>
  <c r="A20997" i="4"/>
  <c r="A15667" i="4"/>
  <c r="A20996" i="4"/>
  <c r="A15666" i="4"/>
  <c r="A15665" i="4"/>
  <c r="A15664" i="4"/>
  <c r="A1983" i="4"/>
  <c r="A1982" i="4"/>
  <c r="A18166" i="4"/>
  <c r="A15465" i="4"/>
  <c r="A20995" i="4"/>
  <c r="A6481" i="4"/>
  <c r="A9977" i="4"/>
  <c r="A13324" i="4"/>
  <c r="A9976" i="4"/>
  <c r="A9457" i="4"/>
  <c r="A20994" i="4"/>
  <c r="A23" i="4"/>
  <c r="A20993" i="4"/>
  <c r="A20992" i="4"/>
  <c r="A20991" i="4"/>
  <c r="A2707" i="4"/>
  <c r="A20990" i="4"/>
  <c r="A15663" i="4"/>
  <c r="A15662" i="4"/>
  <c r="A5118" i="4"/>
  <c r="A5117" i="4"/>
  <c r="A20989" i="4"/>
  <c r="A18165" i="4"/>
  <c r="A12977" i="4"/>
  <c r="A12976" i="4"/>
  <c r="A15661" i="4"/>
  <c r="A18164" i="4"/>
  <c r="A20988" i="4"/>
  <c r="A18163" i="4"/>
  <c r="A20987" i="4"/>
  <c r="A18162" i="4"/>
  <c r="A20986" i="4"/>
  <c r="A20985" i="4"/>
  <c r="A20984" i="4"/>
  <c r="A20983" i="4"/>
  <c r="A20982" i="4"/>
  <c r="A20981" i="4"/>
  <c r="A15464" i="4"/>
  <c r="A15463" i="4"/>
  <c r="A15462" i="4"/>
  <c r="A18161" i="4"/>
  <c r="A18160" i="4"/>
  <c r="A20980" i="4"/>
  <c r="A20979" i="4"/>
  <c r="A10974" i="4"/>
  <c r="A20978" i="4"/>
  <c r="A20977" i="4"/>
  <c r="A13230" i="4"/>
  <c r="A20976" i="4"/>
  <c r="A20975" i="4"/>
  <c r="A9456" i="4"/>
  <c r="A20974" i="4"/>
  <c r="A9455" i="4"/>
  <c r="A9454" i="4"/>
  <c r="A22" i="4"/>
  <c r="A9453" i="4"/>
  <c r="A9452" i="4"/>
  <c r="A9451" i="4"/>
  <c r="A9450" i="4"/>
  <c r="A9449" i="4"/>
  <c r="A18159" i="4"/>
  <c r="A20973" i="4"/>
  <c r="A20972" i="4"/>
  <c r="A20971" i="4"/>
  <c r="A20970" i="4"/>
  <c r="A18158" i="4"/>
  <c r="A20969" i="4"/>
  <c r="A20968" i="4"/>
  <c r="A20967" i="4"/>
  <c r="A20966" i="4"/>
  <c r="A20965" i="4"/>
  <c r="A20964" i="4"/>
  <c r="A18157" i="4"/>
  <c r="A18156" i="4"/>
  <c r="A20963" i="4"/>
  <c r="A15660" i="4"/>
  <c r="A15659" i="4"/>
  <c r="A15658" i="4"/>
  <c r="A12975" i="4"/>
  <c r="A12974" i="4"/>
  <c r="A12973" i="4"/>
  <c r="A12972" i="4"/>
  <c r="A12971" i="4"/>
  <c r="A12970" i="4"/>
  <c r="A12969" i="4"/>
  <c r="A12968" i="4"/>
  <c r="A20962" i="4"/>
  <c r="A15657" i="4"/>
  <c r="A20961" i="4"/>
  <c r="A20960" i="4"/>
  <c r="A20959" i="4"/>
  <c r="A205" i="4"/>
  <c r="A15461" i="4"/>
  <c r="A15460" i="4"/>
  <c r="A15459" i="4"/>
  <c r="A15458" i="4"/>
  <c r="A15656" i="4"/>
  <c r="A1918" i="4"/>
  <c r="A20958" i="4"/>
  <c r="A1981" i="4"/>
  <c r="A1980" i="4"/>
  <c r="A1979" i="4"/>
  <c r="A7474" i="4"/>
  <c r="A5793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20957" i="4"/>
  <c r="A13767" i="4"/>
  <c r="A13766" i="4"/>
  <c r="A20956" i="4"/>
  <c r="A13765" i="4"/>
  <c r="A20955" i="4"/>
  <c r="A13764" i="4"/>
  <c r="A13763" i="4"/>
  <c r="A13762" i="4"/>
  <c r="A13761" i="4"/>
  <c r="A13760" i="4"/>
  <c r="A13759" i="4"/>
  <c r="A13758" i="4"/>
  <c r="A13757" i="4"/>
  <c r="A13756" i="4"/>
  <c r="A13755" i="4"/>
  <c r="A20954" i="4"/>
  <c r="A13754" i="4"/>
  <c r="A20953" i="4"/>
  <c r="A13753" i="4"/>
  <c r="A13752" i="4"/>
  <c r="A20952" i="4"/>
  <c r="A20951" i="4"/>
  <c r="A13751" i="4"/>
  <c r="A13750" i="4"/>
  <c r="A8340" i="4"/>
  <c r="A20950" i="4"/>
  <c r="A528" i="4"/>
  <c r="A20949" i="4"/>
  <c r="A13749" i="4"/>
  <c r="A13748" i="4"/>
  <c r="A13747" i="4"/>
  <c r="A13746" i="4"/>
  <c r="A13745" i="4"/>
  <c r="A13744" i="4"/>
  <c r="A13743" i="4"/>
  <c r="A13742" i="4"/>
  <c r="A13741" i="4"/>
  <c r="A13740" i="4"/>
  <c r="A17671" i="4"/>
  <c r="A1978" i="4"/>
  <c r="A11139" i="4"/>
  <c r="A11138" i="4"/>
  <c r="A11137" i="4"/>
  <c r="A11136" i="4"/>
  <c r="A8482" i="4"/>
  <c r="A8481" i="4"/>
  <c r="A20948" i="4"/>
  <c r="A7473" i="4"/>
  <c r="A13739" i="4"/>
  <c r="A13738" i="4"/>
  <c r="A13737" i="4"/>
  <c r="A13736" i="4"/>
  <c r="A1977" i="4"/>
  <c r="A1976" i="4"/>
  <c r="A13735" i="4"/>
  <c r="A13734" i="4"/>
  <c r="A13733" i="4"/>
  <c r="A13732" i="4"/>
  <c r="A13731" i="4"/>
  <c r="A13730" i="4"/>
  <c r="A1975" i="4"/>
  <c r="A1974" i="4"/>
  <c r="A13729" i="4"/>
  <c r="A13728" i="4"/>
  <c r="A13727" i="4"/>
  <c r="A13726" i="4"/>
  <c r="A13725" i="4"/>
  <c r="A20947" i="4"/>
  <c r="A20946" i="4"/>
  <c r="A20945" i="4"/>
  <c r="A13724" i="4"/>
  <c r="A13723" i="4"/>
  <c r="A20944" i="4"/>
  <c r="A20943" i="4"/>
  <c r="A13722" i="4"/>
  <c r="A1973" i="4"/>
  <c r="A1972" i="4"/>
  <c r="A13721" i="4"/>
  <c r="A10973" i="4"/>
  <c r="A10972" i="4"/>
  <c r="A12288" i="4"/>
  <c r="A12287" i="4"/>
  <c r="A12286" i="4"/>
  <c r="A20942" i="4"/>
  <c r="A12285" i="4"/>
  <c r="A12284" i="4"/>
  <c r="A18155" i="4"/>
  <c r="A20941" i="4"/>
  <c r="A20940" i="4"/>
  <c r="A20939" i="4"/>
  <c r="A20938" i="4"/>
  <c r="A20937" i="4"/>
  <c r="A20724" i="4"/>
  <c r="A20723" i="4"/>
  <c r="A20936" i="4"/>
  <c r="A20722" i="4"/>
  <c r="A20935" i="4"/>
  <c r="A20721" i="4"/>
  <c r="A20720" i="4"/>
  <c r="A20719" i="4"/>
  <c r="A20718" i="4"/>
  <c r="A20717" i="4"/>
  <c r="A20716" i="4"/>
  <c r="A20715" i="4"/>
  <c r="A20934" i="4"/>
  <c r="A20933" i="4"/>
  <c r="A204" i="4"/>
  <c r="A20932" i="4"/>
  <c r="A20931" i="4"/>
  <c r="A203" i="4"/>
  <c r="A13720" i="4"/>
  <c r="A202" i="4"/>
  <c r="A201" i="4"/>
  <c r="A10817" i="4"/>
  <c r="A2706" i="4"/>
  <c r="A2705" i="4"/>
  <c r="A20930" i="4"/>
  <c r="A2479" i="4"/>
  <c r="A2704" i="4"/>
  <c r="A2703" i="4"/>
  <c r="A2702" i="4"/>
  <c r="A20929" i="4"/>
  <c r="A9448" i="4"/>
  <c r="A20928" i="4"/>
  <c r="A20927" i="4"/>
  <c r="A20926" i="4"/>
  <c r="A20925" i="4"/>
  <c r="A20924" i="4"/>
  <c r="A15655" i="4"/>
  <c r="A15654" i="4"/>
  <c r="A15653" i="4"/>
  <c r="A15652" i="4"/>
  <c r="A15651" i="4"/>
  <c r="A15650" i="4"/>
  <c r="A13719" i="4"/>
  <c r="A15649" i="4"/>
  <c r="A15648" i="4"/>
  <c r="A15647" i="4"/>
  <c r="A20923" i="4"/>
  <c r="A15376" i="4"/>
  <c r="A17875" i="4"/>
  <c r="A17874" i="4"/>
  <c r="A20922" i="4"/>
  <c r="A11135" i="4"/>
  <c r="A20921" i="4"/>
  <c r="A13323" i="4"/>
  <c r="A13322" i="4"/>
  <c r="A20920" i="4"/>
  <c r="A11134" i="4"/>
  <c r="A11133" i="4"/>
  <c r="A20919" i="4"/>
  <c r="A15365" i="4"/>
  <c r="A12967" i="4"/>
  <c r="A13229" i="4"/>
  <c r="A11132" i="4"/>
  <c r="A11131" i="4"/>
  <c r="A11130" i="4"/>
  <c r="A11129" i="4"/>
  <c r="A20918" i="4"/>
  <c r="A20917" i="4"/>
  <c r="A20916" i="4"/>
  <c r="A11128" i="4"/>
  <c r="A11127" i="4"/>
  <c r="A11126" i="4"/>
  <c r="A11125" i="4"/>
  <c r="A11124" i="4"/>
  <c r="A20915" i="4"/>
  <c r="A20914" i="4"/>
  <c r="A11123" i="4"/>
  <c r="A11122" i="4"/>
  <c r="A11121" i="4"/>
  <c r="A11120" i="4"/>
  <c r="A11119" i="4"/>
  <c r="A11118" i="4"/>
  <c r="A17682" i="4"/>
  <c r="A8466" i="4"/>
  <c r="A13718" i="4"/>
  <c r="A200" i="4"/>
  <c r="A199" i="4"/>
  <c r="A198" i="4"/>
  <c r="A20913" i="4"/>
  <c r="A13717" i="4"/>
  <c r="A13716" i="4"/>
  <c r="A13715" i="4"/>
  <c r="A11117" i="4"/>
  <c r="A11116" i="4"/>
  <c r="A11115" i="4"/>
  <c r="A11114" i="4"/>
  <c r="A11113" i="4"/>
  <c r="A12966" i="4"/>
  <c r="A20912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20911" i="4"/>
  <c r="A11100" i="4"/>
  <c r="A11099" i="4"/>
  <c r="A11098" i="4"/>
  <c r="A20910" i="4"/>
  <c r="A11097" i="4"/>
  <c r="A20909" i="4"/>
  <c r="A11096" i="4"/>
  <c r="A1689" i="4"/>
  <c r="A8480" i="4"/>
  <c r="A13321" i="4"/>
  <c r="A6480" i="4"/>
  <c r="A2701" i="4"/>
  <c r="A2700" i="4"/>
  <c r="A2699" i="4"/>
  <c r="A2698" i="4"/>
  <c r="A2697" i="4"/>
  <c r="A2696" i="4"/>
  <c r="A2695" i="4"/>
  <c r="A20908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0907" i="4"/>
  <c r="A2681" i="4"/>
  <c r="A2680" i="4"/>
  <c r="A6194" i="4"/>
  <c r="A6193" i="4"/>
  <c r="A6192" i="4"/>
  <c r="A1688" i="4"/>
  <c r="A11039" i="4"/>
  <c r="A11038" i="4"/>
  <c r="A11037" i="4"/>
  <c r="A11036" i="4"/>
  <c r="A11035" i="4"/>
  <c r="A2679" i="4"/>
  <c r="A2678" i="4"/>
  <c r="A2677" i="4"/>
  <c r="A2676" i="4"/>
  <c r="A2675" i="4"/>
  <c r="A2674" i="4"/>
  <c r="A2673" i="4"/>
  <c r="A2672" i="4"/>
  <c r="A20906" i="4"/>
  <c r="A9975" i="4"/>
  <c r="A9974" i="4"/>
  <c r="A9973" i="4"/>
  <c r="A2671" i="4"/>
  <c r="A20905" i="4"/>
  <c r="A2670" i="4"/>
  <c r="A6479" i="4"/>
  <c r="A20904" i="4"/>
  <c r="A11095" i="4"/>
  <c r="A11094" i="4"/>
  <c r="A11093" i="4"/>
  <c r="A11092" i="4"/>
  <c r="A11091" i="4"/>
  <c r="A11090" i="4"/>
  <c r="A11089" i="4"/>
  <c r="A20903" i="4"/>
  <c r="A15392" i="4"/>
  <c r="A20902" i="4"/>
  <c r="A15391" i="4"/>
  <c r="A15390" i="4"/>
  <c r="A15389" i="4"/>
  <c r="A15388" i="4"/>
  <c r="A15387" i="4"/>
  <c r="A15386" i="4"/>
  <c r="A15385" i="4"/>
  <c r="A15384" i="4"/>
  <c r="A13320" i="4"/>
  <c r="A13319" i="4"/>
  <c r="A13318" i="4"/>
  <c r="A15364" i="4"/>
  <c r="A11088" i="4"/>
  <c r="A11087" i="4"/>
  <c r="A11086" i="4"/>
  <c r="A11085" i="4"/>
  <c r="A20901" i="4"/>
  <c r="A11084" i="4"/>
  <c r="A11083" i="4"/>
  <c r="A11082" i="4"/>
  <c r="A20900" i="4"/>
  <c r="A11081" i="4"/>
  <c r="A20899" i="4"/>
  <c r="A11080" i="4"/>
  <c r="A11079" i="4"/>
  <c r="A20898" i="4"/>
  <c r="A20897" i="4"/>
  <c r="A11078" i="4"/>
  <c r="A11077" i="4"/>
  <c r="A20896" i="4"/>
  <c r="A5792" i="4"/>
  <c r="A5791" i="4"/>
  <c r="A20895" i="4"/>
  <c r="A20894" i="4"/>
  <c r="A2669" i="4"/>
  <c r="A15587" i="4"/>
  <c r="A20893" i="4"/>
  <c r="A20892" i="4"/>
  <c r="A2668" i="4"/>
  <c r="A8479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12965" i="4"/>
  <c r="A18154" i="4"/>
  <c r="A18153" i="4"/>
  <c r="A20891" i="4"/>
  <c r="A15646" i="4"/>
  <c r="A13714" i="4"/>
  <c r="A2667" i="4"/>
  <c r="A2666" i="4"/>
  <c r="A20890" i="4"/>
  <c r="A11076" i="4"/>
  <c r="A20889" i="4"/>
  <c r="A20888" i="4"/>
  <c r="A15363" i="4"/>
  <c r="A20887" i="4"/>
  <c r="A197" i="4"/>
  <c r="A18152" i="4"/>
  <c r="A18151" i="4"/>
  <c r="A18150" i="4"/>
  <c r="A12964" i="4"/>
  <c r="A20886" i="4"/>
  <c r="A12963" i="4"/>
  <c r="A12962" i="4"/>
  <c r="A18149" i="4"/>
  <c r="A18148" i="4"/>
  <c r="A18147" i="4"/>
  <c r="A18146" i="4"/>
  <c r="A18145" i="4"/>
  <c r="A18144" i="4"/>
  <c r="A20885" i="4"/>
  <c r="A12961" i="4"/>
  <c r="A12960" i="4"/>
  <c r="A20884" i="4"/>
  <c r="A12959" i="4"/>
  <c r="A12958" i="4"/>
  <c r="A12957" i="4"/>
  <c r="A20883" i="4"/>
  <c r="A12956" i="4"/>
  <c r="A12955" i="4"/>
  <c r="A10971" i="4"/>
  <c r="A10970" i="4"/>
  <c r="A20882" i="4"/>
  <c r="A20881" i="4"/>
  <c r="A13228" i="4"/>
  <c r="A13227" i="4"/>
  <c r="A11075" i="4"/>
  <c r="A11074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20880" i="4"/>
  <c r="A21" i="4"/>
  <c r="A20879" i="4"/>
  <c r="A20" i="4"/>
  <c r="A20878" i="4"/>
  <c r="A9434" i="4"/>
  <c r="A9433" i="4"/>
  <c r="A9432" i="4"/>
  <c r="A9431" i="4"/>
  <c r="A9430" i="4"/>
  <c r="A9429" i="4"/>
  <c r="A9428" i="4"/>
  <c r="A20877" i="4"/>
  <c r="A9427" i="4"/>
  <c r="A9426" i="4"/>
  <c r="A19" i="4"/>
  <c r="A9425" i="4"/>
  <c r="A18143" i="4"/>
  <c r="A20876" i="4"/>
  <c r="A20875" i="4"/>
  <c r="A20874" i="4"/>
  <c r="A20873" i="4"/>
  <c r="A18142" i="4"/>
  <c r="A18141" i="4"/>
  <c r="A18140" i="4"/>
  <c r="A18139" i="4"/>
  <c r="A18138" i="4"/>
  <c r="A18137" i="4"/>
  <c r="A18136" i="4"/>
  <c r="A18135" i="4"/>
  <c r="A20872" i="4"/>
  <c r="A18134" i="4"/>
  <c r="A18133" i="4"/>
  <c r="A20871" i="4"/>
  <c r="A20870" i="4"/>
  <c r="A18132" i="4"/>
  <c r="A20869" i="4"/>
  <c r="A18131" i="4"/>
  <c r="A18130" i="4"/>
  <c r="A18129" i="4"/>
  <c r="A20868" i="4"/>
  <c r="A15645" i="4"/>
  <c r="A20867" i="4"/>
  <c r="A20866" i="4"/>
  <c r="A15644" i="4"/>
  <c r="A20865" i="4"/>
  <c r="A20864" i="4"/>
  <c r="A12954" i="4"/>
  <c r="A12953" i="4"/>
  <c r="A12952" i="4"/>
  <c r="A12951" i="4"/>
  <c r="A20863" i="4"/>
  <c r="A20862" i="4"/>
  <c r="A15643" i="4"/>
  <c r="A15642" i="4"/>
  <c r="A20861" i="4"/>
  <c r="A15641" i="4"/>
  <c r="A15640" i="4"/>
  <c r="A15639" i="4"/>
  <c r="A15638" i="4"/>
  <c r="A15637" i="4"/>
  <c r="A15636" i="4"/>
  <c r="A15635" i="4"/>
  <c r="A20860" i="4"/>
  <c r="A15634" i="4"/>
  <c r="A20859" i="4"/>
  <c r="A15633" i="4"/>
  <c r="A20858" i="4"/>
  <c r="A15632" i="4"/>
  <c r="A18111" i="4"/>
  <c r="A18110" i="4"/>
  <c r="A18109" i="4"/>
  <c r="A18108" i="4"/>
  <c r="A18107" i="4"/>
  <c r="A18106" i="4"/>
  <c r="A18105" i="4"/>
  <c r="A18104" i="4"/>
  <c r="A13713" i="4"/>
  <c r="A13712" i="4"/>
  <c r="A13711" i="4"/>
  <c r="A5790" i="4"/>
  <c r="A5789" i="4"/>
  <c r="A5788" i="4"/>
  <c r="A5787" i="4"/>
  <c r="A20857" i="4"/>
  <c r="A5786" i="4"/>
  <c r="A5785" i="4"/>
  <c r="A5784" i="4"/>
  <c r="A5783" i="4"/>
  <c r="A5782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20856" i="4"/>
  <c r="A20855" i="4"/>
  <c r="A13691" i="4"/>
  <c r="A13690" i="4"/>
  <c r="A13689" i="4"/>
  <c r="A13688" i="4"/>
  <c r="A13687" i="4"/>
  <c r="A13686" i="4"/>
  <c r="A13685" i="4"/>
  <c r="A13684" i="4"/>
  <c r="A13683" i="4"/>
  <c r="A20854" i="4"/>
  <c r="A13682" i="4"/>
  <c r="A196" i="4"/>
  <c r="A195" i="4"/>
  <c r="A194" i="4"/>
  <c r="A193" i="4"/>
  <c r="A192" i="4"/>
  <c r="A13681" i="4"/>
  <c r="A13680" i="4"/>
  <c r="A13679" i="4"/>
  <c r="A13678" i="4"/>
  <c r="A13677" i="4"/>
  <c r="A13676" i="4"/>
  <c r="A20853" i="4"/>
  <c r="A15631" i="4"/>
  <c r="A15630" i="4"/>
  <c r="A15629" i="4"/>
  <c r="A15628" i="4"/>
  <c r="A5781" i="4"/>
  <c r="A13675" i="4"/>
  <c r="A13674" i="4"/>
  <c r="A20852" i="4"/>
  <c r="A20851" i="4"/>
  <c r="A13673" i="4"/>
  <c r="A13672" i="4"/>
  <c r="A13671" i="4"/>
  <c r="A13670" i="4"/>
  <c r="A13669" i="4"/>
  <c r="A13668" i="4"/>
  <c r="A20850" i="4"/>
  <c r="A20849" i="4"/>
  <c r="A13667" i="4"/>
  <c r="A13666" i="4"/>
  <c r="A13665" i="4"/>
  <c r="A13664" i="4"/>
  <c r="A13663" i="4"/>
  <c r="A13662" i="4"/>
  <c r="A13661" i="4"/>
  <c r="A13660" i="4"/>
  <c r="A13659" i="4"/>
  <c r="A13658" i="4"/>
  <c r="A20848" i="4"/>
  <c r="A13657" i="4"/>
  <c r="A13656" i="4"/>
  <c r="A13655" i="4"/>
  <c r="A13654" i="4"/>
  <c r="A13653" i="4"/>
  <c r="A13652" i="4"/>
  <c r="A9424" i="4"/>
  <c r="A20847" i="4"/>
  <c r="A20846" i="4"/>
  <c r="A18128" i="4"/>
  <c r="A18127" i="4"/>
  <c r="A2665" i="4"/>
  <c r="A9959" i="4"/>
  <c r="A9958" i="4"/>
  <c r="A9957" i="4"/>
  <c r="A9956" i="4"/>
  <c r="A2664" i="4"/>
  <c r="A2663" i="4"/>
  <c r="A20845" i="4"/>
  <c r="A20844" i="4"/>
  <c r="A20843" i="4"/>
  <c r="A13317" i="4"/>
  <c r="A13316" i="4"/>
  <c r="A13315" i="4"/>
  <c r="A13314" i="4"/>
  <c r="A10969" i="4"/>
  <c r="A20842" i="4"/>
  <c r="A10968" i="4"/>
  <c r="A20514" i="4"/>
  <c r="A20841" i="4"/>
  <c r="A20840" i="4"/>
  <c r="A13651" i="4"/>
  <c r="A13650" i="4"/>
  <c r="A13649" i="4"/>
  <c r="A13648" i="4"/>
</calcChain>
</file>

<file path=xl/sharedStrings.xml><?xml version="1.0" encoding="utf-8"?>
<sst xmlns="http://schemas.openxmlformats.org/spreadsheetml/2006/main" count="42899" uniqueCount="280">
  <si>
    <t>Part Number-SKU</t>
  </si>
  <si>
    <t>Manufature</t>
  </si>
  <si>
    <t>Qty</t>
  </si>
  <si>
    <t>Description</t>
  </si>
  <si>
    <t>Price</t>
  </si>
  <si>
    <t>Sample and Hold Circuit</t>
  </si>
  <si>
    <t>Switching Regulator or Controller</t>
  </si>
  <si>
    <t>Comparator</t>
  </si>
  <si>
    <t>Display Driver</t>
  </si>
  <si>
    <t>Peripheral Driver</t>
  </si>
  <si>
    <t>Switch/Digital Output Temperature Sensor</t>
  </si>
  <si>
    <t>Operational Amplifier</t>
  </si>
  <si>
    <t>Bus Driver/Transceiver</t>
  </si>
  <si>
    <t>MOSFET Driver</t>
  </si>
  <si>
    <t>Voltage Reference</t>
  </si>
  <si>
    <t>Audio/Video Amplifier</t>
  </si>
  <si>
    <t>Fixed Positive Single Output LDO Regulator</t>
  </si>
  <si>
    <t>Multiplexer/Demultiplexer</t>
  </si>
  <si>
    <t>Line Driver or Receiver</t>
  </si>
  <si>
    <t>Adjustable Positive Single Output Standard Regulator</t>
  </si>
  <si>
    <t>Consumer IC:Other</t>
  </si>
  <si>
    <t>Bus Terminator</t>
  </si>
  <si>
    <t>Adjustable Positive Single Output LDO Regulator</t>
  </si>
  <si>
    <t>Counter</t>
  </si>
  <si>
    <t>Fixed Positive Single Output Standard Regulator</t>
  </si>
  <si>
    <t>Analog Waveform Generation Function</t>
  </si>
  <si>
    <t>Power Management Circuit</t>
  </si>
  <si>
    <t>Gate</t>
  </si>
  <si>
    <t>Shift Register</t>
  </si>
  <si>
    <t>Digital to Analog Converter</t>
  </si>
  <si>
    <t>Clock Driver</t>
  </si>
  <si>
    <t>FF/Latch</t>
  </si>
  <si>
    <t>Decoder/Driver</t>
  </si>
  <si>
    <t>PLL or Frequency Synthesis Circuit</t>
  </si>
  <si>
    <t>Analog to Digital Converter</t>
  </si>
  <si>
    <t>Analog IC:Other</t>
  </si>
  <si>
    <t>Audio Control IC</t>
  </si>
  <si>
    <t>Microprocessor IC:Other</t>
  </si>
  <si>
    <t>Arithmetic Circuit</t>
  </si>
  <si>
    <t>Fixed Positive Multiple Output LDO Regulator</t>
  </si>
  <si>
    <t>Analog Special Function Converter</t>
  </si>
  <si>
    <t>Buffer Amplifier</t>
  </si>
  <si>
    <t>Fixed Negative Single Output LDO Regulator</t>
  </si>
  <si>
    <t>Adjustable Negative Single Output LDO Regulator</t>
  </si>
  <si>
    <t>Programmable Logic Device</t>
  </si>
  <si>
    <t>Microcontroller</t>
  </si>
  <si>
    <t>Prescaler/Multivibrator</t>
  </si>
  <si>
    <t>Network Interface</t>
  </si>
  <si>
    <t>Multiplexer or Switch</t>
  </si>
  <si>
    <t>Active Filter</t>
  </si>
  <si>
    <t>BIP General Purpose Power</t>
  </si>
  <si>
    <t>Motion Control Electronics</t>
  </si>
  <si>
    <t>Fixed/Adjustable Positive Multiple Output LDO Regulator</t>
  </si>
  <si>
    <t>Programmable ROM</t>
  </si>
  <si>
    <t>Fixed Negative Single Output Standard Regulator</t>
  </si>
  <si>
    <t>Codec</t>
  </si>
  <si>
    <t>Telecom IC:Other</t>
  </si>
  <si>
    <t>Bus Controller</t>
  </si>
  <si>
    <t>BIP General Purpose Small Signal</t>
  </si>
  <si>
    <t>Instrumentation Amplifier</t>
  </si>
  <si>
    <t>Serial IO/Communication Controller</t>
  </si>
  <si>
    <t>Multifunction Peripheral</t>
  </si>
  <si>
    <t>Level Translator</t>
  </si>
  <si>
    <t>Interface IC:Other</t>
  </si>
  <si>
    <t>Static RAM</t>
  </si>
  <si>
    <t>Cellular Telephone Circuit</t>
  </si>
  <si>
    <t>Drive Electronics</t>
  </si>
  <si>
    <t>Clock Generator</t>
  </si>
  <si>
    <t>Digital Transmission Interface</t>
  </si>
  <si>
    <t>Microprocessor</t>
  </si>
  <si>
    <t>Timer or RTC</t>
  </si>
  <si>
    <t>Logic IC:Other</t>
  </si>
  <si>
    <t>Bridge Rectifier Diode</t>
  </si>
  <si>
    <t>Secondary Storage Controller</t>
  </si>
  <si>
    <t>Digital Transmission Controller</t>
  </si>
  <si>
    <t>Memory Controller</t>
  </si>
  <si>
    <t>RF/Microwave Up/Down Converter</t>
  </si>
  <si>
    <t>FIFO</t>
  </si>
  <si>
    <t>Parallel IO Port</t>
  </si>
  <si>
    <t>Digital Potentiometer</t>
  </si>
  <si>
    <t>Rectifier Diode</t>
  </si>
  <si>
    <t>FET General Purpose Power</t>
  </si>
  <si>
    <t>FET General Purpose Small Signal</t>
  </si>
  <si>
    <t>Dynamic RAM</t>
  </si>
  <si>
    <t>Adjustable Positive Multiple Output LDO Regulator</t>
  </si>
  <si>
    <t>Analog Computational Function</t>
  </si>
  <si>
    <t>Modem</t>
  </si>
  <si>
    <t>Digital Signal Processor</t>
  </si>
  <si>
    <t>ATM/SONET/SDH IC</t>
  </si>
  <si>
    <t>DSP Peripheral</t>
  </si>
  <si>
    <t>Texas Instruments</t>
  </si>
  <si>
    <t>Power Supply Module</t>
  </si>
  <si>
    <t>Tuner IC</t>
  </si>
  <si>
    <t>Optocoupler - Transistor Output</t>
  </si>
  <si>
    <t>Optocoupler - IC Output</t>
  </si>
  <si>
    <t>Telecom Protection Circuit</t>
  </si>
  <si>
    <t>Telephone Circuit</t>
  </si>
  <si>
    <t>RF/Microwave Amplifier</t>
  </si>
  <si>
    <t>Optoelectronic Device:Other</t>
  </si>
  <si>
    <t>Remote Control IC</t>
  </si>
  <si>
    <t>Photo Transistor</t>
  </si>
  <si>
    <t>Color Signal Converter</t>
  </si>
  <si>
    <t>Photo IC</t>
  </si>
  <si>
    <t>LED Display</t>
  </si>
  <si>
    <t>Display Controller</t>
  </si>
  <si>
    <t>Isolation Amplifier</t>
  </si>
  <si>
    <t>Memory IC:Other</t>
  </si>
  <si>
    <t>CCD Image Sensor</t>
  </si>
  <si>
    <t>Bit-Slice Processor</t>
  </si>
  <si>
    <t>Field Programmable Gate Array</t>
  </si>
  <si>
    <t>Graphics Processor</t>
  </si>
  <si>
    <t>Triscend</t>
  </si>
  <si>
    <t>unitrode</t>
  </si>
  <si>
    <t>Vantis</t>
  </si>
  <si>
    <t>Xicor</t>
  </si>
  <si>
    <t>Xilinx</t>
  </si>
  <si>
    <t>Zarlink</t>
  </si>
  <si>
    <t>Paging Circuit</t>
  </si>
  <si>
    <t>RF/Microwave Splitter/Combiner</t>
  </si>
  <si>
    <t>Teletext IC</t>
  </si>
  <si>
    <t>Telecom Switching Circuit</t>
  </si>
  <si>
    <t>Zilog</t>
  </si>
  <si>
    <t>Low-noise op-amp</t>
  </si>
  <si>
    <t>I2C bus repeater</t>
  </si>
  <si>
    <t>Voltage regulator IC</t>
  </si>
  <si>
    <t>Precision comparator</t>
  </si>
  <si>
    <t>Dual comparator IC</t>
  </si>
  <si>
    <t>PWM controller</t>
  </si>
  <si>
    <t>Quad op-amp</t>
  </si>
  <si>
    <t>Dual op-amp</t>
  </si>
  <si>
    <t>Precision op-amp</t>
  </si>
  <si>
    <t>Low-power op-amp</t>
  </si>
  <si>
    <t>Nano power comparator</t>
  </si>
  <si>
    <t>Power distribution switch</t>
  </si>
  <si>
    <t>Current-limited switch</t>
  </si>
  <si>
    <t>Power switch controller</t>
  </si>
  <si>
    <t>Power distribution controller</t>
  </si>
  <si>
    <t>Voltage supervisor IC</t>
  </si>
  <si>
    <t>Microprocessor supervisor</t>
  </si>
  <si>
    <t>Voltage monitor IC</t>
  </si>
  <si>
    <t>Boost converter IC</t>
  </si>
  <si>
    <t>LED driver</t>
  </si>
  <si>
    <t>Boost converter</t>
  </si>
  <si>
    <t>Step-down converter</t>
  </si>
  <si>
    <t>Buck converter</t>
  </si>
  <si>
    <t>Voltage regulator</t>
  </si>
  <si>
    <t>LDO regulator</t>
  </si>
  <si>
    <t>Linear regulator</t>
  </si>
  <si>
    <t>USB switch IC</t>
  </si>
  <si>
    <t>Dual MOSFET driver</t>
  </si>
  <si>
    <t>Dual driver</t>
  </si>
  <si>
    <t>High-speed driver</t>
  </si>
  <si>
    <t>High-current driver</t>
  </si>
  <si>
    <t>8-bit ADC</t>
  </si>
  <si>
    <t>Negative voltage regulator</t>
  </si>
  <si>
    <t>Differential line driver</t>
  </si>
  <si>
    <t>Bus transceiver</t>
  </si>
  <si>
    <t>Voltage supervisor</t>
  </si>
  <si>
    <t>Battery charger IC</t>
  </si>
  <si>
    <t>Logic IC</t>
  </si>
  <si>
    <t>Differential line receiver</t>
  </si>
  <si>
    <t>Power management IC</t>
  </si>
  <si>
    <t>Switch-mode controller</t>
  </si>
  <si>
    <t>RS232 transceiver</t>
  </si>
  <si>
    <t>I/O expander</t>
  </si>
  <si>
    <t>Interface IC</t>
  </si>
  <si>
    <t>Logic buffer</t>
  </si>
  <si>
    <t>Dual line receiver</t>
  </si>
  <si>
    <t>RS232 line driver</t>
  </si>
  <si>
    <t>Reference voltage IC</t>
  </si>
  <si>
    <t>Line driver IC</t>
  </si>
  <si>
    <t>Amplifier IC</t>
  </si>
  <si>
    <t>Operational amplifier</t>
  </si>
  <si>
    <t>Op-amp IC</t>
  </si>
  <si>
    <t>Digital signal processor</t>
  </si>
  <si>
    <t>LED driver IC</t>
  </si>
  <si>
    <t>Dual operational amplifier</t>
  </si>
  <si>
    <t>Quad operational amplifier</t>
  </si>
  <si>
    <t>Quad op-amp IC</t>
  </si>
  <si>
    <t>Audio amplifier</t>
  </si>
  <si>
    <t>PoE interface</t>
  </si>
  <si>
    <t>Switching regulator</t>
  </si>
  <si>
    <t>DC-DC converter</t>
  </si>
  <si>
    <t>Clock buffer</t>
  </si>
  <si>
    <t>Instrumentation amplifier</t>
  </si>
  <si>
    <t>Digital isolator</t>
  </si>
  <si>
    <t>Voltage reference</t>
  </si>
  <si>
    <t>Voltage monitor</t>
  </si>
  <si>
    <t>Power supply IC</t>
  </si>
  <si>
    <t>Reference voltage</t>
  </si>
  <si>
    <t>Switch-mode driver</t>
  </si>
  <si>
    <t>Differential amplifier</t>
  </si>
  <si>
    <t>PoE controller</t>
  </si>
  <si>
    <t>Step-down regulator</t>
  </si>
  <si>
    <t>Power controller</t>
  </si>
  <si>
    <t>Battery monitor</t>
  </si>
  <si>
    <t>High-speed line receiver</t>
  </si>
  <si>
    <t>Voltage reference IC</t>
  </si>
  <si>
    <t>Battery protector</t>
  </si>
  <si>
    <t>Comparator IC</t>
  </si>
  <si>
    <t>Battery charger</t>
  </si>
  <si>
    <t>RS-232 Transceiver</t>
  </si>
  <si>
    <t>RS-232 Line Driver</t>
  </si>
  <si>
    <t>Enhanced RS-232 Driver</t>
  </si>
  <si>
    <t>Industrial RS-232 Transceiver</t>
  </si>
  <si>
    <t>Dual RS-232 Driver</t>
  </si>
  <si>
    <t>Differential Bus Transceiver</t>
  </si>
  <si>
    <t>Octal Transparent Latch</t>
  </si>
  <si>
    <t>4-Bit Binary Counter</t>
  </si>
  <si>
    <t>Multiplexer</t>
  </si>
  <si>
    <t>Octal Buffer</t>
  </si>
  <si>
    <t>Octal Bus Buffer</t>
  </si>
  <si>
    <t>Flip-Flop with Clear</t>
  </si>
  <si>
    <t>16-Bit Bus Transceiver</t>
  </si>
  <si>
    <t>16-Bit Flip-Flop</t>
  </si>
  <si>
    <t>16-Bit Transceiver</t>
  </si>
  <si>
    <t>16-Bit Bus Switch</t>
  </si>
  <si>
    <t>16-Bit Logic Transceiver</t>
  </si>
  <si>
    <t>Octal Bus Transceiver</t>
  </si>
  <si>
    <t>Quad Buffer</t>
  </si>
  <si>
    <t>Quad Bus Driver</t>
  </si>
  <si>
    <t>Precision Voltage Reference</t>
  </si>
  <si>
    <t>Differential Amplifier</t>
  </si>
  <si>
    <t>Voltage Detector</t>
  </si>
  <si>
    <t>Switching Regulator</t>
  </si>
  <si>
    <t>High-Speed Op-Amp</t>
  </si>
  <si>
    <t>High-Gain Op-Amp</t>
  </si>
  <si>
    <t>Digital Logic Device</t>
  </si>
  <si>
    <t>Quad Op-Amp</t>
  </si>
  <si>
    <t>Light Sensor</t>
  </si>
  <si>
    <t>Analog-to-Digital Converter</t>
  </si>
  <si>
    <t>LED Driver</t>
  </si>
  <si>
    <t>Precision Amplifier</t>
  </si>
  <si>
    <t>Op-Amp</t>
  </si>
  <si>
    <t>Dual Precision Amplifier</t>
  </si>
  <si>
    <t>2-Port I/O Expander</t>
  </si>
  <si>
    <t>16-Bit I/O Expander</t>
  </si>
  <si>
    <t>RS-485 Transceiver</t>
  </si>
  <si>
    <t>16-Bit Latch</t>
  </si>
  <si>
    <t>Differential Line Driver</t>
  </si>
  <si>
    <t>LDO Regulator</t>
  </si>
  <si>
    <t>Low-Dropout Regulator</t>
  </si>
  <si>
    <t>Quad Comparator</t>
  </si>
  <si>
    <t>HDMI Switch</t>
  </si>
  <si>
    <t>Power Amplifier</t>
  </si>
  <si>
    <t>Power Switch</t>
  </si>
  <si>
    <t>Power Controller</t>
  </si>
  <si>
    <t>Voltage Regulator</t>
  </si>
  <si>
    <t>PWM Controller</t>
  </si>
  <si>
    <t>Power Management IC</t>
  </si>
  <si>
    <t>Audio Amplifier</t>
  </si>
  <si>
    <t>Sensor Interface</t>
  </si>
  <si>
    <t>DC-DC Converter</t>
  </si>
  <si>
    <t>Logic Translator</t>
  </si>
  <si>
    <t>Dual Op-Amp</t>
  </si>
  <si>
    <t>Low-Power Op-Amp</t>
  </si>
  <si>
    <t>Low-Power Buffer</t>
  </si>
  <si>
    <t>Power Supply IC</t>
  </si>
  <si>
    <t>Thermal Management IC</t>
  </si>
  <si>
    <t>Audio Power Amplifier</t>
  </si>
  <si>
    <t>8-Port Switch</t>
  </si>
  <si>
    <t>Low-Power Comparator</t>
  </si>
  <si>
    <t>Precision Op-Amp</t>
  </si>
  <si>
    <t>Buffer</t>
  </si>
  <si>
    <t>Digital Audio Transceiver</t>
  </si>
  <si>
    <t>Digital Logic</t>
  </si>
  <si>
    <t>Digital Bus Switch</t>
  </si>
  <si>
    <t>Low-Noise Amplifier</t>
  </si>
  <si>
    <t>Quad Amplifier</t>
  </si>
  <si>
    <t>Hex Buffer</t>
  </si>
  <si>
    <t>RS-232 Driver</t>
  </si>
  <si>
    <t>Digital Bus Driver</t>
  </si>
  <si>
    <t>Logic Buffer</t>
  </si>
  <si>
    <t>Voltage Comparator</t>
  </si>
  <si>
    <t>Digital Comparator</t>
  </si>
  <si>
    <t>Quad Driver</t>
  </si>
  <si>
    <t>Logic Transceiver</t>
  </si>
  <si>
    <t>Digital Bus Transceiver</t>
  </si>
  <si>
    <t>Digital Driver</t>
  </si>
  <si>
    <t>Digital Transceiver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</si>
</sst>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8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  <wetp:taskpane dockstate="right" visibility="0" width="350" row="3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D3E46D3B-C31B-4E0A-87B5-426414B73498}">
  <we:reference id="wa200005502" version="1.0.0.11" store="en-US" storeType="OMEX"/>
  <we:alternateReferences>
    <we:reference id="wa200005502" version="1.0.0.11" store="WA200005502" storeType="OMEX"/>
  </we:alternateReferences>
  <we:properties>
    <we:property name="docId" value="&quot;MSSeYzJJrNeFTKIDVSCdr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DCC1F9EB-FFC7-4130-B6EF-F8F5B4CEFAD5}">
  <we:reference id="wa200006575" version="1.0.0.3" store="en-US" storeType="OMEX"/>
  <we:alternateReferences>
    <we:reference id="wa200006575" version="1.0.0.3" store="WA200006575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2F719-D2B5-482B-9A1E-5EB98C3F2963}">
  <dimension ref="A1:E28248"/>
  <sheetViews>
    <sheetView tabSelected="1" workbookViewId="0">
      <selection activeCell="C2" sqref="C2"/>
    </sheetView>
  </sheetViews>
  <sheetFormatPr defaultRowHeight="15" x14ac:dyDescent="0.25"/>
  <cols>
    <col min="1" max="1" width="22.5703125" customWidth="1"/>
    <col min="2" max="2" width="17.42578125" bestFit="1" customWidth="1"/>
    <col min="4" max="4" width="10.85546875" bestFit="1" customWidth="1"/>
    <col min="5" max="5" width="53" bestFit="1" customWidth="1"/>
  </cols>
  <sheetData>
    <row r="1" spans="1:5" x14ac:dyDescent="0.25">
      <c r="A1" s="1" t="s">
        <v>0</v>
      </c>
      <c r="B1" s="2" t="s">
        <v>1</v>
      </c>
      <c r="C1" s="4" t="s">
        <v>2</v>
      </c>
      <c r="D1" s="4" t="s">
        <v>4</v>
      </c>
      <c r="E1" s="1" t="s">
        <v>3</v>
      </c>
    </row>
    <row r="2" spans="1:5" x14ac:dyDescent="0.25">
      <c r="A2" t="str">
        <f>HYPERLINK("https://www.773grp.com/globalSearch/TLC04ID/page-1", "TLC04ID")</f>
        <v>TLC04ID</v>
      </c>
      <c r="B2" s="3" t="str">
        <f>HYPERLINK("https://www.773grp.com/manufacturer/texas-instruments?pageNo=615", "Texas Instruments")</f>
        <v>Texas Instruments</v>
      </c>
      <c r="C2" s="5">
        <v>9</v>
      </c>
      <c r="D2" s="6">
        <v>3.94</v>
      </c>
      <c r="E2" t="s">
        <v>49</v>
      </c>
    </row>
    <row r="3" spans="1:5" x14ac:dyDescent="0.25">
      <c r="A3" t="str">
        <f>HYPERLINK("https://www.773grp.com/globalSearch/TLC14CDR/page-1", "TLC14CDR")</f>
        <v>TLC14CDR</v>
      </c>
      <c r="B3" s="3" t="s">
        <v>90</v>
      </c>
      <c r="C3" s="5">
        <v>22500</v>
      </c>
      <c r="D3" s="6">
        <v>5.16</v>
      </c>
      <c r="E3" t="s">
        <v>49</v>
      </c>
    </row>
    <row r="4" spans="1:5" x14ac:dyDescent="0.25">
      <c r="A4" t="str">
        <f>HYPERLINK("https://www.773grp.com/globalSearch/TLC20CN/page-1", "TLC20CN")</f>
        <v>TLC20CN</v>
      </c>
      <c r="B4" s="3" t="s">
        <v>90</v>
      </c>
      <c r="C4" s="5">
        <v>18970</v>
      </c>
      <c r="D4" s="6">
        <v>8.14</v>
      </c>
      <c r="E4" t="s">
        <v>49</v>
      </c>
    </row>
    <row r="5" spans="1:5" x14ac:dyDescent="0.25">
      <c r="A5" t="str">
        <f>HYPERLINK("https://www.773grp.com/globalSearch/32F8120-CL/page-1", "32F8120-CL")</f>
        <v>32F8120-CL</v>
      </c>
      <c r="B5" s="3" t="str">
        <f>HYPERLINK("https://www.773grp.com/manufacturer/texas-instruments?pageNo=865", "Texas Instruments")</f>
        <v>Texas Instruments</v>
      </c>
      <c r="C5" s="5">
        <v>1369</v>
      </c>
      <c r="D5" s="6">
        <v>13.75</v>
      </c>
      <c r="E5" t="s">
        <v>49</v>
      </c>
    </row>
    <row r="6" spans="1:5" x14ac:dyDescent="0.25">
      <c r="A6" t="str">
        <f>HYPERLINK("https://www.773grp.com/globalSearch/32F8130-CL/page-1", "32F8130-CL")</f>
        <v>32F8130-CL</v>
      </c>
      <c r="B6" s="3" t="str">
        <f>HYPERLINK("https://www.773grp.com/manufacturer/texas-instruments?pageNo=867", "Texas Instruments")</f>
        <v>Texas Instruments</v>
      </c>
      <c r="C6" s="5">
        <v>1249</v>
      </c>
      <c r="D6" s="6">
        <v>13.75</v>
      </c>
      <c r="E6" t="s">
        <v>49</v>
      </c>
    </row>
    <row r="7" spans="1:5" x14ac:dyDescent="0.25">
      <c r="A7" t="str">
        <f>HYPERLINK("https://www.773grp.com/globalSearch/32F8101-CN/page-1", "32F8101-CN")</f>
        <v>32F8101-CN</v>
      </c>
      <c r="B7" s="3" t="s">
        <v>90</v>
      </c>
      <c r="C7" s="5">
        <v>827</v>
      </c>
      <c r="D7" s="6">
        <v>15.86</v>
      </c>
      <c r="E7" t="s">
        <v>49</v>
      </c>
    </row>
    <row r="8" spans="1:5" x14ac:dyDescent="0.25">
      <c r="A8" t="str">
        <f>HYPERLINK("https://www.773grp.com/globalSearch/32F8103-CN/page-1", "32F8103-CN")</f>
        <v>32F8103-CN</v>
      </c>
      <c r="B8" s="3" t="s">
        <v>90</v>
      </c>
      <c r="C8" s="5">
        <v>2240</v>
      </c>
      <c r="D8" s="6">
        <v>15.86</v>
      </c>
      <c r="E8" t="s">
        <v>49</v>
      </c>
    </row>
    <row r="9" spans="1:5" x14ac:dyDescent="0.25">
      <c r="A9" t="str">
        <f>HYPERLINK("https://www.773grp.com/globalSearch/UAF42AU/page-1", "UAF42AU")</f>
        <v>UAF42AU</v>
      </c>
      <c r="B9" s="3" t="s">
        <v>90</v>
      </c>
      <c r="C9" s="5">
        <v>40</v>
      </c>
      <c r="D9" s="6">
        <v>22.31</v>
      </c>
      <c r="E9" t="s">
        <v>49</v>
      </c>
    </row>
    <row r="10" spans="1:5" x14ac:dyDescent="0.25">
      <c r="A10" t="str">
        <f>HYPERLINK("https://www.773grp.com/globalSearch/UAF42AP/page-1", "UAF42AP")</f>
        <v>UAF42AP</v>
      </c>
      <c r="B10" s="3" t="s">
        <v>90</v>
      </c>
      <c r="C10" s="5">
        <v>29960</v>
      </c>
      <c r="D10" s="6">
        <v>25.49</v>
      </c>
      <c r="E10" t="s">
        <v>49</v>
      </c>
    </row>
    <row r="11" spans="1:5" x14ac:dyDescent="0.25">
      <c r="A11" t="str">
        <f>HYPERLINK("https://www.773grp.com/globalSearch/UCC284DPTR-ADJ/page-1", "UCC284DPTR-ADJ")</f>
        <v>UCC284DPTR-ADJ</v>
      </c>
      <c r="B11" s="3" t="s">
        <v>90</v>
      </c>
      <c r="C11" s="5">
        <v>9340</v>
      </c>
      <c r="D11" s="6">
        <v>8.15</v>
      </c>
      <c r="E11" t="s">
        <v>43</v>
      </c>
    </row>
    <row r="12" spans="1:5" x14ac:dyDescent="0.25">
      <c r="A12" t="str">
        <f>HYPERLINK("https://www.773grp.com/globalSearch/UCC284DP-ADJ/page-1", "UCC284DP-ADJ")</f>
        <v>UCC284DP-ADJ</v>
      </c>
      <c r="B12" s="3" t="s">
        <v>90</v>
      </c>
      <c r="C12" s="5">
        <v>98</v>
      </c>
      <c r="D12" s="6">
        <v>9.25</v>
      </c>
      <c r="E12" t="s">
        <v>43</v>
      </c>
    </row>
    <row r="13" spans="1:5" x14ac:dyDescent="0.25">
      <c r="A13" t="str">
        <f>HYPERLINK("https://www.773grp.com/globalSearch/TPS71202DRCT/page-1", "TPS71202DRCT")</f>
        <v>TPS71202DRCT</v>
      </c>
      <c r="B13" s="3" t="str">
        <f>HYPERLINK("https://www.773grp.com/manufacturer/texas-instruments?pageNo=715", "Texas Instruments")</f>
        <v>Texas Instruments</v>
      </c>
      <c r="C13" s="5">
        <v>500</v>
      </c>
      <c r="D13" s="6">
        <v>5.01</v>
      </c>
      <c r="E13" t="s">
        <v>84</v>
      </c>
    </row>
    <row r="14" spans="1:5" x14ac:dyDescent="0.25">
      <c r="A14" t="str">
        <f>HYPERLINK("https://www.773grp.com/globalSearch/TPS70802PWP/page-1", "TPS70802PWP")</f>
        <v>TPS70802PWP</v>
      </c>
      <c r="B14" s="3" t="s">
        <v>90</v>
      </c>
      <c r="C14" s="5">
        <v>19289</v>
      </c>
      <c r="D14" s="6">
        <v>4.93</v>
      </c>
      <c r="E14" t="s">
        <v>84</v>
      </c>
    </row>
    <row r="15" spans="1:5" x14ac:dyDescent="0.25">
      <c r="A15" t="str">
        <f>HYPERLINK("https://www.773grp.com/globalSearch/TPS70802PWPR/page-1", "TPS70802PWPR")</f>
        <v>TPS70802PWPR</v>
      </c>
      <c r="B15" s="3" t="s">
        <v>90</v>
      </c>
      <c r="C15" s="5">
        <v>20000</v>
      </c>
      <c r="D15" s="6">
        <v>4.93</v>
      </c>
      <c r="E15" t="s">
        <v>84</v>
      </c>
    </row>
    <row r="16" spans="1:5" x14ac:dyDescent="0.25">
      <c r="A16" t="str">
        <f>HYPERLINK("https://www.773grp.com/globalSearch/TPS70202PWP/page-1", "TPS70202PWP")</f>
        <v>TPS70202PWP</v>
      </c>
      <c r="B16" s="3" t="s">
        <v>90</v>
      </c>
      <c r="C16" s="5">
        <v>1911</v>
      </c>
      <c r="D16" s="6">
        <v>6.33</v>
      </c>
      <c r="E16" t="s">
        <v>84</v>
      </c>
    </row>
    <row r="17" spans="1:5" x14ac:dyDescent="0.25">
      <c r="A17" t="str">
        <f>HYPERLINK("https://www.773grp.com/globalSearch/TPS70402PWPR/page-1", "TPS70402PWPR")</f>
        <v>TPS70402PWPR</v>
      </c>
      <c r="B17" s="3" t="str">
        <f>HYPERLINK("https://www.773grp.com/manufacturer/texas-instruments?pageNo=333", "Texas Instruments")</f>
        <v>Texas Instruments</v>
      </c>
      <c r="C17" s="5">
        <v>1691</v>
      </c>
      <c r="D17" s="6">
        <v>6.61</v>
      </c>
      <c r="E17" t="s">
        <v>84</v>
      </c>
    </row>
    <row r="18" spans="1:5" x14ac:dyDescent="0.25">
      <c r="A18" t="str">
        <f>HYPERLINK("https://www.773grp.com/globalSearch/TPS70302PWP/page-1", "TPS70302PWP")</f>
        <v>TPS70302PWP</v>
      </c>
      <c r="B18" s="3" t="s">
        <v>90</v>
      </c>
      <c r="C18" s="5">
        <v>2460</v>
      </c>
      <c r="D18" s="6">
        <v>7.88</v>
      </c>
      <c r="E18" t="s">
        <v>84</v>
      </c>
    </row>
    <row r="19" spans="1:5" x14ac:dyDescent="0.25">
      <c r="A19" t="str">
        <f>HYPERLINK("https://www.773grp.com/globalSearch/TPS73601DBVR/page-1", "TPS73601DBVR")</f>
        <v>TPS73601DBVR</v>
      </c>
      <c r="B19" s="3" t="str">
        <f>HYPERLINK("https://www.773grp.com/manufacturer/texas-instruments?pageNo=182", "Texas Instruments")</f>
        <v>Texas Instruments</v>
      </c>
      <c r="C19" s="5">
        <v>110024</v>
      </c>
      <c r="D19" s="6">
        <v>3.95</v>
      </c>
      <c r="E19" t="s">
        <v>22</v>
      </c>
    </row>
    <row r="20" spans="1:5" x14ac:dyDescent="0.25">
      <c r="A20" t="str">
        <f>HYPERLINK("https://www.773grp.com/globalSearch/TPS74701DRCR/page-1", "TPS74701DRCR")</f>
        <v>TPS74701DRCR</v>
      </c>
      <c r="B20" s="3" t="str">
        <f>HYPERLINK("https://www.773grp.com/manufacturer/texas-instruments?pageNo=194", "Texas Instruments")</f>
        <v>Texas Instruments</v>
      </c>
      <c r="C20" s="5">
        <v>166</v>
      </c>
      <c r="D20" s="6">
        <v>3.95</v>
      </c>
      <c r="E20" t="s">
        <v>22</v>
      </c>
    </row>
    <row r="21" spans="1:5" x14ac:dyDescent="0.25">
      <c r="A21" t="str">
        <f>HYPERLINK("https://www.773grp.com/globalSearch/TPS77101DGK/page-1", "TPS77101DGK")</f>
        <v>TPS77101DGK</v>
      </c>
      <c r="B21" s="3" t="str">
        <f>HYPERLINK("https://www.773grp.com/manufacturer/texas-instruments?pageNo=196", "Texas Instruments")</f>
        <v>Texas Instruments</v>
      </c>
      <c r="C21" s="5">
        <v>1548</v>
      </c>
      <c r="D21" s="6">
        <v>3.95</v>
      </c>
      <c r="E21" t="s">
        <v>22</v>
      </c>
    </row>
    <row r="22" spans="1:5" x14ac:dyDescent="0.25">
      <c r="A22" t="str">
        <f>HYPERLINK("https://www.773grp.com/globalSearch/TPS7A4501DCQR/page-1", "TPS7A4501DCQR")</f>
        <v>TPS7A4501DCQR</v>
      </c>
      <c r="B22" s="3" t="str">
        <f>HYPERLINK("https://www.773grp.com/manufacturer/texas-instruments?pageNo=652", "Texas Instruments")</f>
        <v>Texas Instruments</v>
      </c>
      <c r="C22" s="5">
        <v>4700</v>
      </c>
      <c r="D22" s="6">
        <v>3.66</v>
      </c>
      <c r="E22" t="s">
        <v>22</v>
      </c>
    </row>
    <row r="23" spans="1:5" x14ac:dyDescent="0.25">
      <c r="A23" t="str">
        <f>HYPERLINK("https://www.773grp.com/globalSearch/REG1117-2K5/page-1", "REG1117-2K5")</f>
        <v>REG1117-2K5</v>
      </c>
      <c r="B23" s="3" t="str">
        <f>HYPERLINK("https://www.773grp.com/manufacturer/texas-instruments?pageNo=695", "Texas Instruments")</f>
        <v>Texas Instruments</v>
      </c>
      <c r="C23" s="5">
        <v>9724</v>
      </c>
      <c r="D23" s="6">
        <v>4.0599999999999996</v>
      </c>
      <c r="E23" t="s">
        <v>22</v>
      </c>
    </row>
    <row r="24" spans="1:5" x14ac:dyDescent="0.25">
      <c r="A24" t="str">
        <f>HYPERLINK("https://www.773grp.com/globalSearch/REG102UA-A/page-1", "REG102UA-A")</f>
        <v>REG102UA-A</v>
      </c>
      <c r="B24" s="3" t="str">
        <f>HYPERLINK("https://www.773grp.com/manufacturer/texas-instruments?pageNo=727", "Texas Instruments")</f>
        <v>Texas Instruments</v>
      </c>
      <c r="C24" s="5">
        <v>12229</v>
      </c>
      <c r="D24" s="6">
        <v>3.68</v>
      </c>
      <c r="E24" t="s">
        <v>22</v>
      </c>
    </row>
    <row r="25" spans="1:5" x14ac:dyDescent="0.25">
      <c r="A25" t="str">
        <f>HYPERLINK("https://www.773grp.com/globalSearch/TPS77701D/page-1", "TPS77701D")</f>
        <v>TPS77701D</v>
      </c>
      <c r="B25" s="3" t="str">
        <f>HYPERLINK("https://www.773grp.com/manufacturer/texas-instruments?pageNo=780", "Texas Instruments")</f>
        <v>Texas Instruments</v>
      </c>
      <c r="C25" s="5">
        <v>9789</v>
      </c>
      <c r="D25" s="6">
        <v>3.68</v>
      </c>
      <c r="E25" t="s">
        <v>22</v>
      </c>
    </row>
    <row r="26" spans="1:5" x14ac:dyDescent="0.25">
      <c r="A26" t="str">
        <f>HYPERLINK("https://www.773grp.com/globalSearch/TPS77701PWP/page-1", "TPS77701PWP")</f>
        <v>TPS77701PWP</v>
      </c>
      <c r="B26" s="3" t="str">
        <f>HYPERLINK("https://www.773grp.com/manufacturer/texas-instruments?pageNo=781", "Texas Instruments")</f>
        <v>Texas Instruments</v>
      </c>
      <c r="C26" s="5">
        <v>5408</v>
      </c>
      <c r="D26" s="6">
        <v>3.68</v>
      </c>
      <c r="E26" t="s">
        <v>22</v>
      </c>
    </row>
    <row r="27" spans="1:5" x14ac:dyDescent="0.25">
      <c r="A27" t="str">
        <f>HYPERLINK("https://www.773grp.com/globalSearch/TPS79601DCQ/page-1", "TPS79601DCQ")</f>
        <v>TPS79601DCQ</v>
      </c>
      <c r="B27" s="3" t="str">
        <f>HYPERLINK("https://www.773grp.com/manufacturer/texas-instruments?pageNo=791", "Texas Instruments")</f>
        <v>Texas Instruments</v>
      </c>
      <c r="C27" s="5">
        <v>101</v>
      </c>
      <c r="D27" s="6">
        <v>3.68</v>
      </c>
      <c r="E27" t="s">
        <v>22</v>
      </c>
    </row>
    <row r="28" spans="1:5" x14ac:dyDescent="0.25">
      <c r="A28" t="str">
        <f>HYPERLINK("https://www.773grp.com/globalSearch/TPS72501KTTT/page-1", "TPS72501KTTT")</f>
        <v>TPS72501KTTT</v>
      </c>
      <c r="B28" s="3" t="str">
        <f>HYPERLINK("https://www.773grp.com/manufacturer/texas-instruments?pageNo=843", "Texas Instruments")</f>
        <v>Texas Instruments</v>
      </c>
      <c r="C28" s="5">
        <v>31855</v>
      </c>
      <c r="D28" s="6">
        <v>3.71</v>
      </c>
      <c r="E28" t="s">
        <v>22</v>
      </c>
    </row>
    <row r="29" spans="1:5" x14ac:dyDescent="0.25">
      <c r="A29" t="str">
        <f>HYPERLINK("https://www.773grp.com/globalSearch/TPS71501MDCKREP/page-1", "TPS71501MDCKREP")</f>
        <v>TPS71501MDCKREP</v>
      </c>
      <c r="B29" s="3" t="s">
        <v>90</v>
      </c>
      <c r="C29" s="5">
        <v>3524</v>
      </c>
      <c r="D29" s="6">
        <v>3.8</v>
      </c>
      <c r="E29" t="s">
        <v>22</v>
      </c>
    </row>
    <row r="30" spans="1:5" x14ac:dyDescent="0.25">
      <c r="A30" t="str">
        <f>HYPERLINK("https://www.773grp.com/globalSearch/TPS72501DCQ/page-1", "TPS72501DCQ")</f>
        <v>TPS72501DCQ</v>
      </c>
      <c r="B30" s="3" t="s">
        <v>90</v>
      </c>
      <c r="C30" s="5">
        <v>3740</v>
      </c>
      <c r="D30" s="6">
        <v>3.8</v>
      </c>
      <c r="E30" t="s">
        <v>22</v>
      </c>
    </row>
    <row r="31" spans="1:5" x14ac:dyDescent="0.25">
      <c r="A31" t="str">
        <f>HYPERLINK("https://www.773grp.com/globalSearch/TPS72501DCQG4/page-1", "TPS72501DCQG4")</f>
        <v>TPS72501DCQG4</v>
      </c>
      <c r="B31" s="3" t="s">
        <v>90</v>
      </c>
      <c r="C31" s="5">
        <v>399</v>
      </c>
      <c r="D31" s="6">
        <v>3.8</v>
      </c>
      <c r="E31" t="s">
        <v>22</v>
      </c>
    </row>
    <row r="32" spans="1:5" x14ac:dyDescent="0.25">
      <c r="A32" t="str">
        <f>HYPERLINK("https://www.773grp.com/globalSearch/TPS78601DCQR/page-1", "TPS78601DCQR")</f>
        <v>TPS78601DCQR</v>
      </c>
      <c r="B32" s="3" t="s">
        <v>90</v>
      </c>
      <c r="C32" s="5">
        <v>38724</v>
      </c>
      <c r="D32" s="6">
        <v>3.8</v>
      </c>
      <c r="E32" t="s">
        <v>22</v>
      </c>
    </row>
    <row r="33" spans="1:5" x14ac:dyDescent="0.25">
      <c r="A33" t="str">
        <f>HYPERLINK("https://www.773grp.com/globalSearch/TPS74801DRCR/page-1", "TPS74801DRCR")</f>
        <v>TPS74801DRCR</v>
      </c>
      <c r="B33" s="3" t="str">
        <f>HYPERLINK("https://www.773grp.com/manufacturer/texas-instruments?pageNo=205", "Texas Instruments")</f>
        <v>Texas Instruments</v>
      </c>
      <c r="C33" s="5">
        <v>6705</v>
      </c>
      <c r="D33" s="6">
        <v>4.2300000000000004</v>
      </c>
      <c r="E33" t="s">
        <v>22</v>
      </c>
    </row>
    <row r="34" spans="1:5" x14ac:dyDescent="0.25">
      <c r="A34" t="str">
        <f>HYPERLINK("https://www.773grp.com/globalSearch/TPS74801RGWR/page-1", "TPS74801RGWR")</f>
        <v>TPS74801RGWR</v>
      </c>
      <c r="B34" s="3" t="str">
        <f>HYPERLINK("https://www.773grp.com/manufacturer/texas-instruments?pageNo=206", "Texas Instruments")</f>
        <v>Texas Instruments</v>
      </c>
      <c r="C34" s="5">
        <v>3000</v>
      </c>
      <c r="D34" s="6">
        <v>4.2300000000000004</v>
      </c>
      <c r="E34" t="s">
        <v>22</v>
      </c>
    </row>
    <row r="35" spans="1:5" x14ac:dyDescent="0.25">
      <c r="A35" t="str">
        <f>HYPERLINK("https://www.773grp.com/globalSearch/TPS76501D/page-1", "TPS76501D")</f>
        <v>TPS76501D</v>
      </c>
      <c r="B35" s="3" t="str">
        <f>HYPERLINK("https://www.773grp.com/manufacturer/texas-instruments?pageNo=207", "Texas Instruments")</f>
        <v>Texas Instruments</v>
      </c>
      <c r="C35" s="5">
        <v>525</v>
      </c>
      <c r="D35" s="6">
        <v>4.2300000000000004</v>
      </c>
      <c r="E35" t="s">
        <v>22</v>
      </c>
    </row>
    <row r="36" spans="1:5" x14ac:dyDescent="0.25">
      <c r="A36" t="str">
        <f>HYPERLINK("https://www.773grp.com/globalSearch/TPS79401DCQ/page-1", "TPS79401DCQ")</f>
        <v>TPS79401DCQ</v>
      </c>
      <c r="B36" s="3" t="str">
        <f>HYPERLINK("https://www.773grp.com/manufacturer/texas-instruments?pageNo=212", "Texas Instruments")</f>
        <v>Texas Instruments</v>
      </c>
      <c r="C36" s="5">
        <v>280</v>
      </c>
      <c r="D36" s="6">
        <v>4.2300000000000004</v>
      </c>
      <c r="E36" t="s">
        <v>22</v>
      </c>
    </row>
    <row r="37" spans="1:5" x14ac:dyDescent="0.25">
      <c r="A37" t="str">
        <f>HYPERLINK("https://www.773grp.com/globalSearch/TPS79601KTTT/page-1", "TPS79601KTTT")</f>
        <v>TPS79601KTTT</v>
      </c>
      <c r="B37" s="3" t="str">
        <f>HYPERLINK("https://www.773grp.com/manufacturer/texas-instruments?pageNo=307", "Texas Instruments")</f>
        <v>Texas Instruments</v>
      </c>
      <c r="C37" s="5">
        <v>32050</v>
      </c>
      <c r="D37" s="6">
        <v>3.83</v>
      </c>
      <c r="E37" t="s">
        <v>22</v>
      </c>
    </row>
    <row r="38" spans="1:5" x14ac:dyDescent="0.25">
      <c r="A38" t="str">
        <f>HYPERLINK("https://www.773grp.com/globalSearch/TPS7101QDR/page-1", "TPS7101QDR")</f>
        <v>TPS7101QDR</v>
      </c>
      <c r="B38" s="3" t="str">
        <f>HYPERLINK("https://www.773grp.com/manufacturer/texas-instruments?pageNo=353", "Texas Instruments")</f>
        <v>Texas Instruments</v>
      </c>
      <c r="C38" s="5">
        <v>1176</v>
      </c>
      <c r="D38" s="6">
        <v>3.85</v>
      </c>
      <c r="E38" t="s">
        <v>22</v>
      </c>
    </row>
    <row r="39" spans="1:5" x14ac:dyDescent="0.25">
      <c r="A39" t="str">
        <f>HYPERLINK("https://www.773grp.com/globalSearch/TPS7101QP/page-1", "TPS7101QP")</f>
        <v>TPS7101QP</v>
      </c>
      <c r="B39" s="3" t="str">
        <f>HYPERLINK("https://www.773grp.com/manufacturer/texas-instruments?pageNo=354", "Texas Instruments")</f>
        <v>Texas Instruments</v>
      </c>
      <c r="C39" s="5">
        <v>29874</v>
      </c>
      <c r="D39" s="6">
        <v>3.85</v>
      </c>
      <c r="E39" t="s">
        <v>22</v>
      </c>
    </row>
    <row r="40" spans="1:5" x14ac:dyDescent="0.25">
      <c r="A40" t="str">
        <f>HYPERLINK("https://www.773grp.com/globalSearch/TPS7101QPWR/page-1", "TPS7101QPWR")</f>
        <v>TPS7101QPWR</v>
      </c>
      <c r="B40" s="3" t="str">
        <f>HYPERLINK("https://www.773grp.com/manufacturer/texas-instruments?pageNo=355", "Texas Instruments")</f>
        <v>Texas Instruments</v>
      </c>
      <c r="C40" s="5">
        <v>9225</v>
      </c>
      <c r="D40" s="6">
        <v>3.85</v>
      </c>
      <c r="E40" t="s">
        <v>22</v>
      </c>
    </row>
    <row r="41" spans="1:5" x14ac:dyDescent="0.25">
      <c r="A41" t="str">
        <f>HYPERLINK("https://www.773grp.com/globalSearch/TPS7201QPW/page-1", "TPS7201QPW")</f>
        <v>TPS7201QPW</v>
      </c>
      <c r="B41" s="3" t="str">
        <f>HYPERLINK("https://www.773grp.com/manufacturer/texas-instruments?pageNo=386", "Texas Instruments")</f>
        <v>Texas Instruments</v>
      </c>
      <c r="C41" s="5">
        <v>19376</v>
      </c>
      <c r="D41" s="6">
        <v>4.28</v>
      </c>
      <c r="E41" t="s">
        <v>22</v>
      </c>
    </row>
    <row r="42" spans="1:5" x14ac:dyDescent="0.25">
      <c r="A42" t="str">
        <f>HYPERLINK("https://www.773grp.com/globalSearch/TPS7301QD/page-1", "TPS7301QD")</f>
        <v>TPS7301QD</v>
      </c>
      <c r="B42" s="3" t="str">
        <f>HYPERLINK("https://www.773grp.com/manufacturer/texas-instruments?pageNo=452", "Texas Instruments")</f>
        <v>Texas Instruments</v>
      </c>
      <c r="C42" s="5">
        <v>987</v>
      </c>
      <c r="D42" s="6">
        <v>3.89</v>
      </c>
      <c r="E42" t="s">
        <v>22</v>
      </c>
    </row>
    <row r="43" spans="1:5" x14ac:dyDescent="0.25">
      <c r="A43" t="str">
        <f>HYPERLINK("https://www.773grp.com/globalSearch/TPS7301QPW/page-1", "TPS7301QPW")</f>
        <v>TPS7301QPW</v>
      </c>
      <c r="B43" s="3" t="str">
        <f>HYPERLINK("https://www.773grp.com/manufacturer/texas-instruments?pageNo=453", "Texas Instruments")</f>
        <v>Texas Instruments</v>
      </c>
      <c r="C43" s="5">
        <v>12350</v>
      </c>
      <c r="D43" s="6">
        <v>3.89</v>
      </c>
      <c r="E43" t="s">
        <v>22</v>
      </c>
    </row>
    <row r="44" spans="1:5" x14ac:dyDescent="0.25">
      <c r="A44" t="str">
        <f>HYPERLINK("https://www.773grp.com/globalSearch/TPS76701QD/page-1", "TPS76701QD")</f>
        <v>TPS76701QD</v>
      </c>
      <c r="B44" s="3" t="str">
        <f>HYPERLINK("https://www.773grp.com/manufacturer/texas-instruments?pageNo=460", "Texas Instruments")</f>
        <v>Texas Instruments</v>
      </c>
      <c r="C44" s="5">
        <v>2994</v>
      </c>
      <c r="D44" s="6">
        <v>3.89</v>
      </c>
      <c r="E44" t="s">
        <v>22</v>
      </c>
    </row>
    <row r="45" spans="1:5" x14ac:dyDescent="0.25">
      <c r="A45" t="str">
        <f>HYPERLINK("https://www.773grp.com/globalSearch/TPS76701QPWP/page-1", "TPS76701QPWP")</f>
        <v>TPS76701QPWP</v>
      </c>
      <c r="B45" s="3" t="str">
        <f>HYPERLINK("https://www.773grp.com/manufacturer/texas-instruments?pageNo=461", "Texas Instruments")</f>
        <v>Texas Instruments</v>
      </c>
      <c r="C45" s="5">
        <v>3498</v>
      </c>
      <c r="D45" s="6">
        <v>3.89</v>
      </c>
      <c r="E45" t="s">
        <v>22</v>
      </c>
    </row>
    <row r="46" spans="1:5" x14ac:dyDescent="0.25">
      <c r="A46" t="str">
        <f>HYPERLINK("https://www.773grp.com/globalSearch/TPS78601KTTR/page-1", "TPS78601KTTR")</f>
        <v>TPS78601KTTR</v>
      </c>
      <c r="B46" s="3" t="s">
        <v>90</v>
      </c>
      <c r="C46" s="5">
        <v>18238</v>
      </c>
      <c r="D46" s="6">
        <v>4.05</v>
      </c>
      <c r="E46" t="s">
        <v>22</v>
      </c>
    </row>
    <row r="47" spans="1:5" x14ac:dyDescent="0.25">
      <c r="A47" t="str">
        <f>HYPERLINK("https://www.773grp.com/globalSearch/REG1117A-2K5/page-1", "REG1117A-2K5")</f>
        <v>REG1117A-2K5</v>
      </c>
      <c r="B47" s="3" t="s">
        <v>90</v>
      </c>
      <c r="C47" s="5">
        <v>137500</v>
      </c>
      <c r="D47" s="6">
        <v>4.49</v>
      </c>
      <c r="E47" t="s">
        <v>22</v>
      </c>
    </row>
    <row r="48" spans="1:5" x14ac:dyDescent="0.25">
      <c r="A48" t="str">
        <f>HYPERLINK("https://www.773grp.com/globalSearch/TPS73601DCQR/page-1", "TPS73601DCQR")</f>
        <v>TPS73601DCQR</v>
      </c>
      <c r="B48" s="3" t="s">
        <v>90</v>
      </c>
      <c r="C48" s="5">
        <v>20</v>
      </c>
      <c r="D48" s="6">
        <v>4.49</v>
      </c>
      <c r="E48" t="s">
        <v>22</v>
      </c>
    </row>
    <row r="49" spans="1:5" x14ac:dyDescent="0.25">
      <c r="A49" t="str">
        <f>HYPERLINK("https://www.773grp.com/globalSearch/TPS77201DGK/page-1", "TPS77201DGK")</f>
        <v>TPS77201DGK</v>
      </c>
      <c r="B49" s="3" t="s">
        <v>90</v>
      </c>
      <c r="C49" s="5">
        <v>5865</v>
      </c>
      <c r="D49" s="6">
        <v>4.49</v>
      </c>
      <c r="E49" t="s">
        <v>22</v>
      </c>
    </row>
    <row r="50" spans="1:5" x14ac:dyDescent="0.25">
      <c r="A50" t="str">
        <f>HYPERLINK("https://www.773grp.com/globalSearch/TPS77401DGK/page-1", "TPS77401DGK")</f>
        <v>TPS77401DGK</v>
      </c>
      <c r="B50" s="3" t="s">
        <v>90</v>
      </c>
      <c r="C50" s="5">
        <v>22959</v>
      </c>
      <c r="D50" s="6">
        <v>4.49</v>
      </c>
      <c r="E50" t="s">
        <v>22</v>
      </c>
    </row>
    <row r="51" spans="1:5" x14ac:dyDescent="0.25">
      <c r="A51" t="str">
        <f>HYPERLINK("https://www.773grp.com/globalSearch/TPS77601QPWPRQ1/page-1", "TPS77601QPWPRQ1")</f>
        <v>TPS77601QPWPRQ1</v>
      </c>
      <c r="B51" s="3" t="s">
        <v>90</v>
      </c>
      <c r="C51" s="5">
        <v>62000</v>
      </c>
      <c r="D51" s="6">
        <v>4.49</v>
      </c>
      <c r="E51" t="s">
        <v>22</v>
      </c>
    </row>
    <row r="52" spans="1:5" x14ac:dyDescent="0.25">
      <c r="A52" t="str">
        <f>HYPERLINK("https://www.773grp.com/globalSearch/TPS77901DGKR/page-1", "TPS77901DGKR")</f>
        <v>TPS77901DGKR</v>
      </c>
      <c r="B52" s="3" t="s">
        <v>90</v>
      </c>
      <c r="C52" s="5">
        <v>1000</v>
      </c>
      <c r="D52" s="6">
        <v>4.49</v>
      </c>
      <c r="E52" t="s">
        <v>22</v>
      </c>
    </row>
    <row r="53" spans="1:5" x14ac:dyDescent="0.25">
      <c r="A53" t="str">
        <f>HYPERLINK("https://www.773grp.com/globalSearch/TPS7A4501KTTR/page-1", "TPS7A4501KTTR")</f>
        <v>TPS7A4501KTTR</v>
      </c>
      <c r="B53" s="3" t="s">
        <v>90</v>
      </c>
      <c r="C53" s="5">
        <v>282</v>
      </c>
      <c r="D53" s="6">
        <v>4.09</v>
      </c>
      <c r="E53" t="s">
        <v>22</v>
      </c>
    </row>
    <row r="54" spans="1:5" x14ac:dyDescent="0.25">
      <c r="A54" t="str">
        <f>HYPERLINK("https://www.773grp.com/globalSearch/REG102GA-A/page-1", "REG102GA-A")</f>
        <v>REG102GA-A</v>
      </c>
      <c r="B54" s="3" t="s">
        <v>90</v>
      </c>
      <c r="C54" s="5">
        <v>909</v>
      </c>
      <c r="D54" s="6">
        <v>4.16</v>
      </c>
      <c r="E54" t="s">
        <v>22</v>
      </c>
    </row>
    <row r="55" spans="1:5" x14ac:dyDescent="0.25">
      <c r="A55" t="str">
        <f>HYPERLINK("https://www.773grp.com/globalSearch/TPS77601D/page-1", "TPS77601D")</f>
        <v>TPS77601D</v>
      </c>
      <c r="B55" s="3" t="s">
        <v>90</v>
      </c>
      <c r="C55" s="5">
        <v>1125</v>
      </c>
      <c r="D55" s="6">
        <v>4.6399999999999997</v>
      </c>
      <c r="E55" t="s">
        <v>22</v>
      </c>
    </row>
    <row r="56" spans="1:5" x14ac:dyDescent="0.25">
      <c r="A56" t="str">
        <f>HYPERLINK("https://www.773grp.com/globalSearch/TPS77601PWP/page-1", "TPS77601PWP")</f>
        <v>TPS77601PWP</v>
      </c>
      <c r="B56" s="3" t="s">
        <v>90</v>
      </c>
      <c r="C56" s="5">
        <v>17737</v>
      </c>
      <c r="D56" s="6">
        <v>4.6399999999999997</v>
      </c>
      <c r="E56" t="s">
        <v>22</v>
      </c>
    </row>
    <row r="57" spans="1:5" x14ac:dyDescent="0.25">
      <c r="A57" t="str">
        <f>HYPERLINK("https://www.773grp.com/globalSearch/TPS77601PWPG4/page-1", "TPS77601PWPG4")</f>
        <v>TPS77601PWPG4</v>
      </c>
      <c r="B57" s="3" t="s">
        <v>90</v>
      </c>
      <c r="C57" s="5">
        <v>20</v>
      </c>
      <c r="D57" s="6">
        <v>4.6399999999999997</v>
      </c>
      <c r="E57" t="s">
        <v>22</v>
      </c>
    </row>
    <row r="58" spans="1:5" x14ac:dyDescent="0.25">
      <c r="A58" t="str">
        <f>HYPERLINK("https://www.773grp.com/globalSearch/TPS76701QPWPREP/page-1", "TPS76701QPWPREP")</f>
        <v>TPS76701QPWPREP</v>
      </c>
      <c r="B58" s="3" t="s">
        <v>90</v>
      </c>
      <c r="C58" s="5">
        <v>3150</v>
      </c>
      <c r="D58" s="6">
        <v>4.2300000000000004</v>
      </c>
      <c r="E58" t="s">
        <v>22</v>
      </c>
    </row>
    <row r="59" spans="1:5" x14ac:dyDescent="0.25">
      <c r="A59" t="str">
        <f>HYPERLINK("https://www.773grp.com/globalSearch/TPS73601DBVT/page-1", "TPS73601DBVT")</f>
        <v>TPS73601DBVT</v>
      </c>
      <c r="B59" s="3" t="s">
        <v>90</v>
      </c>
      <c r="C59" s="5">
        <v>4525</v>
      </c>
      <c r="D59" s="6">
        <v>4.74</v>
      </c>
      <c r="E59" t="s">
        <v>22</v>
      </c>
    </row>
    <row r="60" spans="1:5" x14ac:dyDescent="0.25">
      <c r="A60" t="str">
        <f>HYPERLINK("https://www.773grp.com/globalSearch/TPS74801DRCT/page-1", "TPS74801DRCT")</f>
        <v>TPS74801DRCT</v>
      </c>
      <c r="B60" s="3" t="s">
        <v>90</v>
      </c>
      <c r="C60" s="5">
        <v>8850</v>
      </c>
      <c r="D60" s="6">
        <v>4.74</v>
      </c>
      <c r="E60" t="s">
        <v>22</v>
      </c>
    </row>
    <row r="61" spans="1:5" x14ac:dyDescent="0.25">
      <c r="A61" t="str">
        <f>HYPERLINK("https://www.773grp.com/globalSearch/REG1117FA-500/page-1", "REG1117FA-500")</f>
        <v>REG1117FA-500</v>
      </c>
      <c r="B61" s="3" t="s">
        <v>90</v>
      </c>
      <c r="C61" s="5">
        <v>113870</v>
      </c>
      <c r="D61" s="6">
        <v>4.3</v>
      </c>
      <c r="E61" t="s">
        <v>22</v>
      </c>
    </row>
    <row r="62" spans="1:5" x14ac:dyDescent="0.25">
      <c r="A62" t="str">
        <f>HYPERLINK("https://www.773grp.com/globalSearch/REG1117/page-1", "REG1117")</f>
        <v>REG1117</v>
      </c>
      <c r="B62" s="3" t="s">
        <v>90</v>
      </c>
      <c r="C62" s="5">
        <v>4544</v>
      </c>
      <c r="D62" s="6">
        <v>4.8600000000000003</v>
      </c>
      <c r="E62" t="s">
        <v>22</v>
      </c>
    </row>
    <row r="63" spans="1:5" x14ac:dyDescent="0.25">
      <c r="A63" t="str">
        <f>HYPERLINK("https://www.773grp.com/globalSearch/UCC388PW/page-1", "UCC388PW")</f>
        <v>UCC388PW</v>
      </c>
      <c r="B63" s="3" t="str">
        <f>HYPERLINK("https://www.773grp.com/manufacturer/texas-instruments?pageNo=245", "Texas Instruments")</f>
        <v>Texas Instruments</v>
      </c>
      <c r="C63" s="5">
        <v>2</v>
      </c>
      <c r="D63" s="6">
        <v>4.4400000000000004</v>
      </c>
      <c r="E63" t="s">
        <v>22</v>
      </c>
    </row>
    <row r="64" spans="1:5" x14ac:dyDescent="0.25">
      <c r="A64" t="str">
        <f>HYPERLINK("https://www.773grp.com/globalSearch/TPS73201MDBVREP/page-1", "TPS73201MDBVREP")</f>
        <v>TPS73201MDBVREP</v>
      </c>
      <c r="B64" s="3" t="str">
        <f>HYPERLINK("https://www.773grp.com/manufacturer/texas-instruments?pageNo=408", "Texas Instruments")</f>
        <v>Texas Instruments</v>
      </c>
      <c r="C64" s="5">
        <v>5560</v>
      </c>
      <c r="D64" s="6">
        <v>4.5</v>
      </c>
      <c r="E64" t="s">
        <v>22</v>
      </c>
    </row>
    <row r="65" spans="1:5" x14ac:dyDescent="0.25">
      <c r="A65" t="str">
        <f>HYPERLINK("https://www.773grp.com/globalSearch/TPS73601DRBT/page-1", "TPS73601DRBT")</f>
        <v>TPS73601DRBT</v>
      </c>
      <c r="B65" s="3" t="str">
        <f>HYPERLINK("https://www.773grp.com/manufacturer/texas-instruments?pageNo=721", "Texas Instruments")</f>
        <v>Texas Instruments</v>
      </c>
      <c r="C65" s="5">
        <v>1001</v>
      </c>
      <c r="D65" s="6">
        <v>5.01</v>
      </c>
      <c r="E65" t="s">
        <v>22</v>
      </c>
    </row>
    <row r="66" spans="1:5" x14ac:dyDescent="0.25">
      <c r="A66" t="str">
        <f>HYPERLINK("https://www.773grp.com/globalSearch/TPS76801QDR/page-1", "TPS76801QDR")</f>
        <v>TPS76801QDR</v>
      </c>
      <c r="B66" s="3" t="str">
        <f>HYPERLINK("https://www.773grp.com/manufacturer/texas-instruments?pageNo=726", "Texas Instruments")</f>
        <v>Texas Instruments</v>
      </c>
      <c r="C66" s="5">
        <v>7500</v>
      </c>
      <c r="D66" s="6">
        <v>5.01</v>
      </c>
      <c r="E66" t="s">
        <v>22</v>
      </c>
    </row>
    <row r="67" spans="1:5" x14ac:dyDescent="0.25">
      <c r="A67" t="str">
        <f>HYPERLINK("https://www.773grp.com/globalSearch/TPS7101QD/page-1", "TPS7101QD")</f>
        <v>TPS7101QD</v>
      </c>
      <c r="B67" s="3" t="str">
        <f>HYPERLINK("https://www.773grp.com/manufacturer/texas-instruments?pageNo=857", "Texas Instruments")</f>
        <v>Texas Instruments</v>
      </c>
      <c r="C67" s="5">
        <v>5161</v>
      </c>
      <c r="D67" s="6">
        <v>4.59</v>
      </c>
      <c r="E67" t="s">
        <v>22</v>
      </c>
    </row>
    <row r="68" spans="1:5" x14ac:dyDescent="0.25">
      <c r="A68" t="str">
        <f>HYPERLINK("https://www.773grp.com/globalSearch/TPS7101QPW/page-1", "TPS7101QPW")</f>
        <v>TPS7101QPW</v>
      </c>
      <c r="B68" s="3" t="str">
        <f>HYPERLINK("https://www.773grp.com/manufacturer/texas-instruments?pageNo=858", "Texas Instruments")</f>
        <v>Texas Instruments</v>
      </c>
      <c r="C68" s="5">
        <v>14030</v>
      </c>
      <c r="D68" s="6">
        <v>4.59</v>
      </c>
      <c r="E68" t="s">
        <v>22</v>
      </c>
    </row>
    <row r="69" spans="1:5" x14ac:dyDescent="0.25">
      <c r="A69" t="str">
        <f>HYPERLINK("https://www.773grp.com/globalSearch/TPS78601DCQ/page-1", "TPS78601DCQ")</f>
        <v>TPS78601DCQ</v>
      </c>
      <c r="B69" s="3" t="s">
        <v>90</v>
      </c>
      <c r="C69" s="5">
        <v>116</v>
      </c>
      <c r="D69" s="6">
        <v>4.6399999999999997</v>
      </c>
      <c r="E69" t="s">
        <v>22</v>
      </c>
    </row>
    <row r="70" spans="1:5" x14ac:dyDescent="0.25">
      <c r="A70" t="str">
        <f>HYPERLINK("https://www.773grp.com/globalSearch/TPS78601DCQG4/page-1", "TPS78601DCQG4")</f>
        <v>TPS78601DCQG4</v>
      </c>
      <c r="B70" s="3" t="s">
        <v>90</v>
      </c>
      <c r="C70" s="5">
        <v>46</v>
      </c>
      <c r="D70" s="6">
        <v>4.6399999999999997</v>
      </c>
      <c r="E70" t="s">
        <v>22</v>
      </c>
    </row>
    <row r="71" spans="1:5" x14ac:dyDescent="0.25">
      <c r="A71" t="str">
        <f>HYPERLINK("https://www.773grp.com/globalSearch/TPS78601KTTT/page-1", "TPS78601KTTT")</f>
        <v>TPS78601KTTT</v>
      </c>
      <c r="B71" s="3" t="s">
        <v>90</v>
      </c>
      <c r="C71" s="5">
        <v>22750</v>
      </c>
      <c r="D71" s="6">
        <v>4.68</v>
      </c>
      <c r="E71" t="s">
        <v>22</v>
      </c>
    </row>
    <row r="72" spans="1:5" x14ac:dyDescent="0.25">
      <c r="A72" t="str">
        <f>HYPERLINK("https://www.773grp.com/globalSearch/TPS2140IPWP/page-1", "TPS2140IPWP")</f>
        <v>TPS2140IPWP</v>
      </c>
      <c r="B72" s="3" t="s">
        <v>90</v>
      </c>
      <c r="C72" s="5">
        <v>11033</v>
      </c>
      <c r="D72" s="6">
        <v>4.78</v>
      </c>
      <c r="E72" t="s">
        <v>22</v>
      </c>
    </row>
    <row r="73" spans="1:5" x14ac:dyDescent="0.25">
      <c r="A73" t="str">
        <f>HYPERLINK("https://www.773grp.com/globalSearch/TPS2141IPWP/page-1", "TPS2141IPWP")</f>
        <v>TPS2141IPWP</v>
      </c>
      <c r="B73" s="3" t="s">
        <v>90</v>
      </c>
      <c r="C73" s="5">
        <v>3007</v>
      </c>
      <c r="D73" s="6">
        <v>4.78</v>
      </c>
      <c r="E73" t="s">
        <v>22</v>
      </c>
    </row>
    <row r="74" spans="1:5" x14ac:dyDescent="0.25">
      <c r="A74" t="str">
        <f>HYPERLINK("https://www.773grp.com/globalSearch/TPS2150IPWP/page-1", "TPS2150IPWP")</f>
        <v>TPS2150IPWP</v>
      </c>
      <c r="B74" s="3" t="s">
        <v>90</v>
      </c>
      <c r="C74" s="5">
        <v>130</v>
      </c>
      <c r="D74" s="6">
        <v>4.78</v>
      </c>
      <c r="E74" t="s">
        <v>22</v>
      </c>
    </row>
    <row r="75" spans="1:5" x14ac:dyDescent="0.25">
      <c r="A75" t="str">
        <f>HYPERLINK("https://www.773grp.com/globalSearch/TPS74901KTWR/page-1", "TPS74901KTWR")</f>
        <v>TPS74901KTWR</v>
      </c>
      <c r="B75" s="3" t="s">
        <v>90</v>
      </c>
      <c r="C75" s="5">
        <v>1000</v>
      </c>
      <c r="D75" s="6">
        <v>4.93</v>
      </c>
      <c r="E75" t="s">
        <v>22</v>
      </c>
    </row>
    <row r="76" spans="1:5" x14ac:dyDescent="0.25">
      <c r="A76" t="str">
        <f>HYPERLINK("https://www.773grp.com/globalSearch/TPS75301QPWPR/page-1", "TPS75301QPWPR")</f>
        <v>TPS75301QPWPR</v>
      </c>
      <c r="B76" s="3" t="s">
        <v>90</v>
      </c>
      <c r="C76" s="5">
        <v>8000</v>
      </c>
      <c r="D76" s="6">
        <v>4.93</v>
      </c>
      <c r="E76" t="s">
        <v>22</v>
      </c>
    </row>
    <row r="77" spans="1:5" x14ac:dyDescent="0.25">
      <c r="A77" t="str">
        <f>HYPERLINK("https://www.773grp.com/globalSearch/REG1117FAKTTT/page-1", "REG1117FAKTTT")</f>
        <v>REG1117FAKTTT</v>
      </c>
      <c r="B77" s="3" t="s">
        <v>90</v>
      </c>
      <c r="C77" s="5">
        <v>14934</v>
      </c>
      <c r="D77" s="6">
        <v>4.95</v>
      </c>
      <c r="E77" t="s">
        <v>22</v>
      </c>
    </row>
    <row r="78" spans="1:5" x14ac:dyDescent="0.25">
      <c r="A78" t="str">
        <f>HYPERLINK("https://www.773grp.com/globalSearch/TPS75201QPWPR/page-1", "TPS75201QPWPR")</f>
        <v>TPS75201QPWPR</v>
      </c>
      <c r="B78" s="3" t="s">
        <v>90</v>
      </c>
      <c r="C78" s="5">
        <v>7678</v>
      </c>
      <c r="D78" s="6">
        <v>5.0599999999999996</v>
      </c>
      <c r="E78" t="s">
        <v>22</v>
      </c>
    </row>
    <row r="79" spans="1:5" x14ac:dyDescent="0.25">
      <c r="A79" t="str">
        <f>HYPERLINK("https://www.773grp.com/globalSearch/UCC381DPTR-ADJ/page-1", "UCC381DPTR-ADJ")</f>
        <v>UCC381DPTR-ADJ</v>
      </c>
      <c r="B79" s="3" t="s">
        <v>90</v>
      </c>
      <c r="C79" s="5">
        <v>10000</v>
      </c>
      <c r="D79" s="6">
        <v>5.45</v>
      </c>
      <c r="E79" t="s">
        <v>22</v>
      </c>
    </row>
    <row r="80" spans="1:5" x14ac:dyDescent="0.25">
      <c r="A80" t="str">
        <f>HYPERLINK("https://www.773grp.com/globalSearch/TPS74901KTWT/page-1", "TPS74901KTWT")</f>
        <v>TPS74901KTWT</v>
      </c>
      <c r="B80" s="3" t="s">
        <v>90</v>
      </c>
      <c r="C80" s="5">
        <v>19800</v>
      </c>
      <c r="D80" s="6">
        <v>5.63</v>
      </c>
      <c r="E80" t="s">
        <v>22</v>
      </c>
    </row>
    <row r="81" spans="1:5" x14ac:dyDescent="0.25">
      <c r="A81" t="str">
        <f>HYPERLINK("https://www.773grp.com/globalSearch/TPS75301QPWPRQ1/page-1", "TPS75301QPWPRQ1")</f>
        <v>TPS75301QPWPRQ1</v>
      </c>
      <c r="B81" s="3" t="s">
        <v>90</v>
      </c>
      <c r="C81" s="5">
        <v>2000</v>
      </c>
      <c r="D81" s="6">
        <v>5.78</v>
      </c>
      <c r="E81" t="s">
        <v>22</v>
      </c>
    </row>
    <row r="82" spans="1:5" x14ac:dyDescent="0.25">
      <c r="A82" t="str">
        <f>HYPERLINK("https://www.773grp.com/globalSearch/TPS75301QPWP/page-1", "TPS75301QPWP")</f>
        <v>TPS75301QPWP</v>
      </c>
      <c r="B82" s="3" t="s">
        <v>90</v>
      </c>
      <c r="C82" s="5">
        <v>4138</v>
      </c>
      <c r="D82" s="6">
        <v>5.91</v>
      </c>
      <c r="E82" t="s">
        <v>22</v>
      </c>
    </row>
    <row r="83" spans="1:5" x14ac:dyDescent="0.25">
      <c r="A83" t="str">
        <f>HYPERLINK("https://www.773grp.com/globalSearch/TPS75401QPWP/page-1", "TPS75401QPWP")</f>
        <v>TPS75401QPWP</v>
      </c>
      <c r="B83" s="3" t="s">
        <v>90</v>
      </c>
      <c r="C83" s="5">
        <v>47</v>
      </c>
      <c r="D83" s="6">
        <v>5.91</v>
      </c>
      <c r="E83" t="s">
        <v>22</v>
      </c>
    </row>
    <row r="84" spans="1:5" x14ac:dyDescent="0.25">
      <c r="A84" t="str">
        <f>HYPERLINK("https://www.773grp.com/globalSearch/TPS75201QPWP/page-1", "TPS75201QPWP")</f>
        <v>TPS75201QPWP</v>
      </c>
      <c r="B84" s="3" t="s">
        <v>90</v>
      </c>
      <c r="C84" s="5">
        <v>2488</v>
      </c>
      <c r="D84" s="6">
        <v>6.04</v>
      </c>
      <c r="E84" t="s">
        <v>22</v>
      </c>
    </row>
    <row r="85" spans="1:5" x14ac:dyDescent="0.25">
      <c r="A85" t="str">
        <f>HYPERLINK("https://www.773grp.com/globalSearch/TPS71H01QPWPR/page-1", "TPS71H01QPWPR")</f>
        <v>TPS71H01QPWPR</v>
      </c>
      <c r="B85" s="3" t="s">
        <v>90</v>
      </c>
      <c r="C85" s="5">
        <v>79932</v>
      </c>
      <c r="D85" s="6">
        <v>6.19</v>
      </c>
      <c r="E85" t="s">
        <v>22</v>
      </c>
    </row>
    <row r="86" spans="1:5" x14ac:dyDescent="0.25">
      <c r="A86" t="str">
        <f>HYPERLINK("https://www.773grp.com/globalSearch/TPS75801KC/page-1", "TPS75801KC")</f>
        <v>TPS75801KC</v>
      </c>
      <c r="B86" s="3" t="s">
        <v>90</v>
      </c>
      <c r="C86" s="5">
        <v>13248</v>
      </c>
      <c r="D86" s="6">
        <v>6.19</v>
      </c>
      <c r="E86" t="s">
        <v>22</v>
      </c>
    </row>
    <row r="87" spans="1:5" x14ac:dyDescent="0.25">
      <c r="A87" t="str">
        <f>HYPERLINK("https://www.773grp.com/globalSearch/TPS75801KTTR/page-1", "TPS75801KTTR")</f>
        <v>TPS75801KTTR</v>
      </c>
      <c r="B87" s="3" t="s">
        <v>90</v>
      </c>
      <c r="C87" s="5">
        <v>29120</v>
      </c>
      <c r="D87" s="6">
        <v>6.19</v>
      </c>
      <c r="E87" t="s">
        <v>22</v>
      </c>
    </row>
    <row r="88" spans="1:5" x14ac:dyDescent="0.25">
      <c r="A88" t="str">
        <f>HYPERLINK("https://www.773grp.com/globalSearch/REG103UA-A-2K5/page-1", "REG103UA-A-2K5")</f>
        <v>REG103UA-A-2K5</v>
      </c>
      <c r="B88" s="3" t="s">
        <v>90</v>
      </c>
      <c r="C88" s="5">
        <v>2900</v>
      </c>
      <c r="D88" s="6">
        <v>6.3</v>
      </c>
      <c r="E88" t="s">
        <v>22</v>
      </c>
    </row>
    <row r="89" spans="1:5" x14ac:dyDescent="0.25">
      <c r="A89" t="str">
        <f>HYPERLINK("https://www.773grp.com/globalSearch/TPS74201KTWR/page-1", "TPS74201KTWR")</f>
        <v>TPS74201KTWR</v>
      </c>
      <c r="B89" s="3" t="s">
        <v>90</v>
      </c>
      <c r="C89" s="5">
        <v>54000</v>
      </c>
      <c r="D89" s="6">
        <v>6.33</v>
      </c>
      <c r="E89" t="s">
        <v>22</v>
      </c>
    </row>
    <row r="90" spans="1:5" x14ac:dyDescent="0.25">
      <c r="A90" t="str">
        <f>HYPERLINK("https://www.773grp.com/globalSearch/TPS74301KTWR/page-1", "TPS74301KTWR")</f>
        <v>TPS74301KTWR</v>
      </c>
      <c r="B90" s="3" t="s">
        <v>90</v>
      </c>
      <c r="C90" s="5">
        <v>4500</v>
      </c>
      <c r="D90" s="6">
        <v>6.33</v>
      </c>
      <c r="E90" t="s">
        <v>22</v>
      </c>
    </row>
    <row r="91" spans="1:5" x14ac:dyDescent="0.25">
      <c r="A91" t="str">
        <f>HYPERLINK("https://www.773grp.com/globalSearch/UCC281DP-ADJ/page-1", "UCC281DP-ADJ")</f>
        <v>UCC281DP-ADJ</v>
      </c>
      <c r="B91" s="3" t="str">
        <f>HYPERLINK("https://www.773grp.com/manufacturer/texas-instruments?pageNo=195", "Texas Instruments")</f>
        <v>Texas Instruments</v>
      </c>
      <c r="C91" s="5">
        <v>11</v>
      </c>
      <c r="D91" s="6">
        <v>6.5</v>
      </c>
      <c r="E91" t="s">
        <v>22</v>
      </c>
    </row>
    <row r="92" spans="1:5" x14ac:dyDescent="0.25">
      <c r="A92" t="str">
        <f>HYPERLINK("https://www.773grp.com/globalSearch/UCC281DP-ADJ/page-1", "UCC281DP-ADJ")</f>
        <v>UCC281DP-ADJ</v>
      </c>
      <c r="B92" s="3" t="str">
        <f>HYPERLINK("https://www.773grp.com/manufacturer/texas-instruments?pageNo=196", "Texas Instruments")</f>
        <v>Texas Instruments</v>
      </c>
      <c r="C92" s="5">
        <v>11100</v>
      </c>
      <c r="D92" s="6">
        <v>6.5</v>
      </c>
      <c r="E92" t="s">
        <v>22</v>
      </c>
    </row>
    <row r="93" spans="1:5" x14ac:dyDescent="0.25">
      <c r="A93" t="str">
        <f>HYPERLINK("https://www.773grp.com/globalSearch/UCC281DP-ADJ/page-1", "UCC281DP-ADJ")</f>
        <v>UCC281DP-ADJ</v>
      </c>
      <c r="B93" s="3" t="str">
        <f>HYPERLINK("https://www.773grp.com/manufacturer/texas-instruments?pageNo=197", "Texas Instruments")</f>
        <v>Texas Instruments</v>
      </c>
      <c r="C93" s="5">
        <v>2019</v>
      </c>
      <c r="D93" s="6">
        <v>6.5</v>
      </c>
      <c r="E93" t="s">
        <v>22</v>
      </c>
    </row>
    <row r="94" spans="1:5" x14ac:dyDescent="0.25">
      <c r="A94" t="str">
        <f>HYPERLINK("https://www.773grp.com/globalSearch/UCC281DP-ADJ/page-1", "UCC281DP-ADJ")</f>
        <v>UCC281DP-ADJ</v>
      </c>
      <c r="B94" s="3" t="str">
        <f>HYPERLINK("https://www.773grp.com/manufacturer/texas-instruments?pageNo=198", "Texas Instruments")</f>
        <v>Texas Instruments</v>
      </c>
      <c r="C94" s="5">
        <v>6279</v>
      </c>
      <c r="D94" s="6">
        <v>6.5</v>
      </c>
      <c r="E94" t="s">
        <v>22</v>
      </c>
    </row>
    <row r="95" spans="1:5" x14ac:dyDescent="0.25">
      <c r="A95" t="str">
        <f>HYPERLINK("https://www.773grp.com/globalSearch/UCC381DP-ADJ/page-1", "UCC381DP-ADJ")</f>
        <v>UCC381DP-ADJ</v>
      </c>
      <c r="B95" s="3" t="str">
        <f>HYPERLINK("https://www.773grp.com/manufacturer/texas-instruments?pageNo=204", "Texas Instruments")</f>
        <v>Texas Instruments</v>
      </c>
      <c r="C95" s="5">
        <v>1644</v>
      </c>
      <c r="D95" s="6">
        <v>6.5</v>
      </c>
      <c r="E95" t="s">
        <v>22</v>
      </c>
    </row>
    <row r="96" spans="1:5" x14ac:dyDescent="0.25">
      <c r="A96" t="str">
        <f>HYPERLINK("https://www.773grp.com/globalSearch/UCC381DP-ADJ/page-1", "UCC381DP-ADJ")</f>
        <v>UCC381DP-ADJ</v>
      </c>
      <c r="B96" s="3" t="str">
        <f>HYPERLINK("https://www.773grp.com/manufacturer/texas-instruments?pageNo=205", "Texas Instruments")</f>
        <v>Texas Instruments</v>
      </c>
      <c r="C96" s="5">
        <v>8460</v>
      </c>
      <c r="D96" s="6">
        <v>6.5</v>
      </c>
      <c r="E96" t="s">
        <v>22</v>
      </c>
    </row>
    <row r="97" spans="1:5" x14ac:dyDescent="0.25">
      <c r="A97" t="str">
        <f>HYPERLINK("https://www.773grp.com/globalSearch/REG103GA-A-2K5/page-1", "REG103GA-A-2K5")</f>
        <v>REG103GA-A-2K5</v>
      </c>
      <c r="B97" s="3" t="str">
        <f>HYPERLINK("https://www.773grp.com/manufacturer/texas-instruments?pageNo=212", "Texas Instruments")</f>
        <v>Texas Instruments</v>
      </c>
      <c r="C97" s="5">
        <v>9691</v>
      </c>
      <c r="D97" s="6">
        <v>6.53</v>
      </c>
      <c r="E97" t="s">
        <v>22</v>
      </c>
    </row>
    <row r="98" spans="1:5" x14ac:dyDescent="0.25">
      <c r="A98" t="str">
        <f>HYPERLINK("https://www.773grp.com/globalSearch/TPS75301QPWPREP/page-1", "TPS75301QPWPREP")</f>
        <v>TPS75301QPWPREP</v>
      </c>
      <c r="B98" s="3" t="str">
        <f>HYPERLINK("https://www.773grp.com/manufacturer/texas-instruments?pageNo=337", "Texas Instruments")</f>
        <v>Texas Instruments</v>
      </c>
      <c r="C98" s="5">
        <v>1799</v>
      </c>
      <c r="D98" s="6">
        <v>6.61</v>
      </c>
      <c r="E98" t="s">
        <v>22</v>
      </c>
    </row>
    <row r="99" spans="1:5" x14ac:dyDescent="0.25">
      <c r="A99" t="str">
        <f>HYPERLINK("https://www.773grp.com/globalSearch/TPS75101QPWP/page-1", "TPS75101QPWP")</f>
        <v>TPS75101QPWP</v>
      </c>
      <c r="B99" s="3" t="str">
        <f>HYPERLINK("https://www.773grp.com/manufacturer/texas-instruments?pageNo=535", "Texas Instruments")</f>
        <v>Texas Instruments</v>
      </c>
      <c r="C99" s="5">
        <v>3033</v>
      </c>
      <c r="D99" s="6">
        <v>6.75</v>
      </c>
      <c r="E99" t="s">
        <v>22</v>
      </c>
    </row>
    <row r="100" spans="1:5" x14ac:dyDescent="0.25">
      <c r="A100" t="str">
        <f>HYPERLINK("https://www.773grp.com/globalSearch/TPS75501KC/page-1", "TPS75501KC")</f>
        <v>TPS75501KC</v>
      </c>
      <c r="B100" s="3" t="str">
        <f>HYPERLINK("https://www.773grp.com/manufacturer/texas-instruments?pageNo=874", "Texas Instruments")</f>
        <v>Texas Instruments</v>
      </c>
      <c r="C100" s="5">
        <v>9659</v>
      </c>
      <c r="D100" s="6">
        <v>7.04</v>
      </c>
      <c r="E100" t="s">
        <v>22</v>
      </c>
    </row>
    <row r="101" spans="1:5" x14ac:dyDescent="0.25">
      <c r="A101" t="str">
        <f>HYPERLINK("https://www.773grp.com/globalSearch/TPS75501KTTR/page-1", "TPS75501KTTR")</f>
        <v>TPS75501KTTR</v>
      </c>
      <c r="B101" s="3" t="str">
        <f>HYPERLINK("https://www.773grp.com/manufacturer/texas-instruments?pageNo=875", "Texas Instruments")</f>
        <v>Texas Instruments</v>
      </c>
      <c r="C101" s="5">
        <v>46000</v>
      </c>
      <c r="D101" s="6">
        <v>7.04</v>
      </c>
      <c r="E101" t="s">
        <v>22</v>
      </c>
    </row>
    <row r="102" spans="1:5" x14ac:dyDescent="0.25">
      <c r="A102" t="str">
        <f>HYPERLINK("https://www.773grp.com/globalSearch/TPS75601KC/page-1", "TPS75601KC")</f>
        <v>TPS75601KC</v>
      </c>
      <c r="B102" s="3" t="str">
        <f>HYPERLINK("https://www.773grp.com/manufacturer/texas-instruments?pageNo=884", "Texas Instruments")</f>
        <v>Texas Instruments</v>
      </c>
      <c r="C102" s="5">
        <v>8839</v>
      </c>
      <c r="D102" s="6">
        <v>7.04</v>
      </c>
      <c r="E102" t="s">
        <v>22</v>
      </c>
    </row>
    <row r="103" spans="1:5" x14ac:dyDescent="0.25">
      <c r="A103" t="str">
        <f>HYPERLINK("https://www.773grp.com/globalSearch/TPS75601KTTR/page-1", "TPS75601KTTR")</f>
        <v>TPS75601KTTR</v>
      </c>
      <c r="B103" s="3" t="str">
        <f>HYPERLINK("https://www.773grp.com/manufacturer/texas-instruments?pageNo=885", "Texas Instruments")</f>
        <v>Texas Instruments</v>
      </c>
      <c r="C103" s="5">
        <v>16914</v>
      </c>
      <c r="D103" s="6">
        <v>7.04</v>
      </c>
      <c r="E103" t="s">
        <v>22</v>
      </c>
    </row>
    <row r="104" spans="1:5" x14ac:dyDescent="0.25">
      <c r="A104" t="str">
        <f>HYPERLINK("https://www.773grp.com/globalSearch/TPS74201KTWT/page-1", "TPS74201KTWT")</f>
        <v>TPS74201KTWT</v>
      </c>
      <c r="B104" s="3" t="s">
        <v>90</v>
      </c>
      <c r="C104" s="5">
        <v>14110</v>
      </c>
      <c r="D104" s="6">
        <v>7.18</v>
      </c>
      <c r="E104" t="s">
        <v>22</v>
      </c>
    </row>
    <row r="105" spans="1:5" x14ac:dyDescent="0.25">
      <c r="A105" t="str">
        <f>HYPERLINK("https://www.773grp.com/globalSearch/TPS74301KTWT/page-1", "TPS74301KTWT")</f>
        <v>TPS74301KTWT</v>
      </c>
      <c r="B105" s="3" t="s">
        <v>90</v>
      </c>
      <c r="C105" s="5">
        <v>11050</v>
      </c>
      <c r="D105" s="6">
        <v>7.18</v>
      </c>
      <c r="E105" t="s">
        <v>22</v>
      </c>
    </row>
    <row r="106" spans="1:5" x14ac:dyDescent="0.25">
      <c r="A106" t="str">
        <f>HYPERLINK("https://www.773grp.com/globalSearch/TPS75801KTTT/page-1", "TPS75801KTTT")</f>
        <v>TPS75801KTTT</v>
      </c>
      <c r="B106" s="3" t="s">
        <v>90</v>
      </c>
      <c r="C106" s="5">
        <v>950</v>
      </c>
      <c r="D106" s="6">
        <v>7.18</v>
      </c>
      <c r="E106" t="s">
        <v>22</v>
      </c>
    </row>
    <row r="107" spans="1:5" x14ac:dyDescent="0.25">
      <c r="A107" t="str">
        <f>HYPERLINK("https://www.773grp.com/globalSearch/UCC383TD-ADJ/page-1", "UCC383TD-ADJ")</f>
        <v>UCC383TD-ADJ</v>
      </c>
      <c r="B107" s="3" t="s">
        <v>90</v>
      </c>
      <c r="C107" s="5">
        <v>1</v>
      </c>
      <c r="D107" s="6">
        <v>7.23</v>
      </c>
      <c r="E107" t="s">
        <v>22</v>
      </c>
    </row>
    <row r="108" spans="1:5" x14ac:dyDescent="0.25">
      <c r="A108" t="str">
        <f>HYPERLINK("https://www.773grp.com/globalSearch/TPS75901KC/page-1", "TPS75901KC")</f>
        <v>TPS75901KC</v>
      </c>
      <c r="B108" s="3" t="s">
        <v>90</v>
      </c>
      <c r="C108" s="5">
        <v>27865</v>
      </c>
      <c r="D108" s="6">
        <v>7.31</v>
      </c>
      <c r="E108" t="s">
        <v>22</v>
      </c>
    </row>
    <row r="109" spans="1:5" x14ac:dyDescent="0.25">
      <c r="A109" t="str">
        <f>HYPERLINK("https://www.773grp.com/globalSearch/TPS75901KTTR/page-1", "TPS75901KTTR")</f>
        <v>TPS75901KTTR</v>
      </c>
      <c r="B109" s="3" t="s">
        <v>90</v>
      </c>
      <c r="C109" s="5">
        <v>28500</v>
      </c>
      <c r="D109" s="6">
        <v>7.31</v>
      </c>
      <c r="E109" t="s">
        <v>22</v>
      </c>
    </row>
    <row r="110" spans="1:5" x14ac:dyDescent="0.25">
      <c r="A110" t="str">
        <f>HYPERLINK("https://www.773grp.com/globalSearch/REG103UA-A/page-1", "REG103UA-A")</f>
        <v>REG103UA-A</v>
      </c>
      <c r="B110" s="3" t="s">
        <v>90</v>
      </c>
      <c r="C110" s="5">
        <v>3850</v>
      </c>
      <c r="D110" s="6">
        <v>7.56</v>
      </c>
      <c r="E110" t="s">
        <v>22</v>
      </c>
    </row>
    <row r="111" spans="1:5" x14ac:dyDescent="0.25">
      <c r="A111" t="str">
        <f>HYPERLINK("https://www.773grp.com/globalSearch/TPS76801QPWPREP/page-1", "TPS76801QPWPREP")</f>
        <v>TPS76801QPWPREP</v>
      </c>
      <c r="B111" s="3" t="s">
        <v>90</v>
      </c>
      <c r="C111" s="5">
        <v>3400</v>
      </c>
      <c r="D111" s="6">
        <v>7.6</v>
      </c>
      <c r="E111" t="s">
        <v>22</v>
      </c>
    </row>
    <row r="112" spans="1:5" x14ac:dyDescent="0.25">
      <c r="A112" t="str">
        <f>HYPERLINK("https://www.773grp.com/globalSearch/REG103GA-A/page-1", "REG103GA-A")</f>
        <v>REG103GA-A</v>
      </c>
      <c r="B112" s="3" t="s">
        <v>90</v>
      </c>
      <c r="C112" s="5">
        <v>1699</v>
      </c>
      <c r="D112" s="6">
        <v>7.81</v>
      </c>
      <c r="E112" t="s">
        <v>22</v>
      </c>
    </row>
    <row r="113" spans="1:5" x14ac:dyDescent="0.25">
      <c r="A113" t="str">
        <f>HYPERLINK("https://www.773grp.com/globalSearch/UC282TDKTTT-ADJ/page-1", "UC282TDKTTT-ADJ")</f>
        <v>UC282TDKTTT-ADJ</v>
      </c>
      <c r="B113" s="3" t="s">
        <v>90</v>
      </c>
      <c r="C113" s="5">
        <v>7740</v>
      </c>
      <c r="D113" s="6">
        <v>7.81</v>
      </c>
      <c r="E113" t="s">
        <v>22</v>
      </c>
    </row>
    <row r="114" spans="1:5" x14ac:dyDescent="0.25">
      <c r="A114" t="str">
        <f>HYPERLINK("https://www.773grp.com/globalSearch/UCC283TDKTTT-ADJ/page-1", "UCC283TDKTTT-ADJ")</f>
        <v>UCC283TDKTTT-ADJ</v>
      </c>
      <c r="B114" s="3" t="s">
        <v>90</v>
      </c>
      <c r="C114" s="5">
        <v>6520</v>
      </c>
      <c r="D114" s="6">
        <v>7.81</v>
      </c>
      <c r="E114" t="s">
        <v>22</v>
      </c>
    </row>
    <row r="115" spans="1:5" x14ac:dyDescent="0.25">
      <c r="A115" t="str">
        <f>HYPERLINK("https://www.773grp.com/globalSearch/UCC283TDTR-ADJ/page-1", "UCC283TDTR-ADJ")</f>
        <v>UCC283TDTR-ADJ</v>
      </c>
      <c r="B115" s="3" t="s">
        <v>90</v>
      </c>
      <c r="C115" s="5">
        <v>11822</v>
      </c>
      <c r="D115" s="6">
        <v>7.81</v>
      </c>
      <c r="E115" t="s">
        <v>22</v>
      </c>
    </row>
    <row r="116" spans="1:5" x14ac:dyDescent="0.25">
      <c r="A116" t="str">
        <f>HYPERLINK("https://www.773grp.com/globalSearch/UCC383TDKTTT-ADJ/page-1", "UCC383TDKTTT-ADJ")</f>
        <v>UCC383TDKTTT-ADJ</v>
      </c>
      <c r="B116" s="3" t="s">
        <v>90</v>
      </c>
      <c r="C116" s="5">
        <v>5130</v>
      </c>
      <c r="D116" s="6">
        <v>7.81</v>
      </c>
      <c r="E116" t="s">
        <v>22</v>
      </c>
    </row>
    <row r="117" spans="1:5" x14ac:dyDescent="0.25">
      <c r="A117" t="str">
        <f>HYPERLINK("https://www.773grp.com/globalSearch/UCC383TDTR-ADJ/page-1", "UCC383TDTR-ADJ")</f>
        <v>UCC383TDTR-ADJ</v>
      </c>
      <c r="B117" s="3" t="s">
        <v>90</v>
      </c>
      <c r="C117" s="5">
        <v>29500</v>
      </c>
      <c r="D117" s="6">
        <v>7.81</v>
      </c>
      <c r="E117" t="s">
        <v>22</v>
      </c>
    </row>
    <row r="118" spans="1:5" x14ac:dyDescent="0.25">
      <c r="A118" t="str">
        <f>HYPERLINK("https://www.773grp.com/globalSearch/REG104GA-A/page-1", "REG104GA-A")</f>
        <v>REG104GA-A</v>
      </c>
      <c r="B118" s="3" t="s">
        <v>90</v>
      </c>
      <c r="C118" s="5">
        <v>1273</v>
      </c>
      <c r="D118" s="6">
        <v>7.88</v>
      </c>
      <c r="E118" t="s">
        <v>22</v>
      </c>
    </row>
    <row r="119" spans="1:5" x14ac:dyDescent="0.25">
      <c r="A119" t="str">
        <f>HYPERLINK("https://www.773grp.com/globalSearch/TPS75501KTTT/page-1", "TPS75501KTTT")</f>
        <v>TPS75501KTTT</v>
      </c>
      <c r="B119" s="3" t="s">
        <v>90</v>
      </c>
      <c r="C119" s="5">
        <v>31600</v>
      </c>
      <c r="D119" s="6">
        <v>8.01</v>
      </c>
      <c r="E119" t="s">
        <v>22</v>
      </c>
    </row>
    <row r="120" spans="1:5" x14ac:dyDescent="0.25">
      <c r="A120" t="str">
        <f>HYPERLINK("https://www.773grp.com/globalSearch/TPS75601KTTT/page-1", "TPS75601KTTT")</f>
        <v>TPS75601KTTT</v>
      </c>
      <c r="B120" s="3" t="s">
        <v>90</v>
      </c>
      <c r="C120" s="5">
        <v>14625</v>
      </c>
      <c r="D120" s="6">
        <v>8.01</v>
      </c>
      <c r="E120" t="s">
        <v>22</v>
      </c>
    </row>
    <row r="121" spans="1:5" x14ac:dyDescent="0.25">
      <c r="A121" t="str">
        <f>HYPERLINK("https://www.773grp.com/globalSearch/TPS75701KC/page-1", "TPS75701KC")</f>
        <v>TPS75701KC</v>
      </c>
      <c r="B121" s="3" t="s">
        <v>90</v>
      </c>
      <c r="C121" s="5">
        <v>17150</v>
      </c>
      <c r="D121" s="6">
        <v>8.15</v>
      </c>
      <c r="E121" t="s">
        <v>22</v>
      </c>
    </row>
    <row r="122" spans="1:5" x14ac:dyDescent="0.25">
      <c r="A122" t="str">
        <f>HYPERLINK("https://www.773grp.com/globalSearch/TPS74401KTWR/page-1", "TPS74401KTWR")</f>
        <v>TPS74401KTWR</v>
      </c>
      <c r="B122" s="3" t="s">
        <v>90</v>
      </c>
      <c r="C122" s="5">
        <v>4500</v>
      </c>
      <c r="D122" s="6">
        <v>8.3000000000000007</v>
      </c>
      <c r="E122" t="s">
        <v>22</v>
      </c>
    </row>
    <row r="123" spans="1:5" x14ac:dyDescent="0.25">
      <c r="A123" t="str">
        <f>HYPERLINK("https://www.773grp.com/globalSearch/TPS75901KTTT/page-1", "TPS75901KTTT")</f>
        <v>TPS75901KTTT</v>
      </c>
      <c r="B123" s="3" t="s">
        <v>90</v>
      </c>
      <c r="C123" s="5">
        <v>11290</v>
      </c>
      <c r="D123" s="6">
        <v>8.44</v>
      </c>
      <c r="E123" t="s">
        <v>22</v>
      </c>
    </row>
    <row r="124" spans="1:5" x14ac:dyDescent="0.25">
      <c r="A124" t="str">
        <f>HYPERLINK("https://www.773grp.com/globalSearch/TPS76801MPWPREP/page-1", "TPS76801MPWPREP")</f>
        <v>TPS76801MPWPREP</v>
      </c>
      <c r="B124" s="3" t="s">
        <v>90</v>
      </c>
      <c r="C124" s="5">
        <v>1731</v>
      </c>
      <c r="D124" s="6">
        <v>8.74</v>
      </c>
      <c r="E124" t="s">
        <v>22</v>
      </c>
    </row>
    <row r="125" spans="1:5" x14ac:dyDescent="0.25">
      <c r="A125" t="str">
        <f>HYPERLINK("https://www.773grp.com/globalSearch/UC385TD-ADJ/page-1", "UC385TD-ADJ")</f>
        <v>UC385TD-ADJ</v>
      </c>
      <c r="B125" s="3" t="s">
        <v>90</v>
      </c>
      <c r="C125" s="5">
        <v>90</v>
      </c>
      <c r="D125" s="6">
        <v>8.86</v>
      </c>
      <c r="E125" t="s">
        <v>22</v>
      </c>
    </row>
    <row r="126" spans="1:5" x14ac:dyDescent="0.25">
      <c r="A126" t="str">
        <f>HYPERLINK("https://www.773grp.com/globalSearch/TPS74401RGWT/page-1", "TPS74401RGWT")</f>
        <v>TPS74401RGWT</v>
      </c>
      <c r="B126" s="3" t="s">
        <v>90</v>
      </c>
      <c r="C126" s="5">
        <v>1577</v>
      </c>
      <c r="D126" s="6">
        <v>9</v>
      </c>
      <c r="E126" t="s">
        <v>22</v>
      </c>
    </row>
    <row r="127" spans="1:5" x14ac:dyDescent="0.25">
      <c r="A127" t="str">
        <f>HYPERLINK("https://www.773grp.com/globalSearch/REG104FA-AKTTT/page-1", "REG104FA-AKTTT")</f>
        <v>REG104FA-AKTTT</v>
      </c>
      <c r="B127" s="3" t="s">
        <v>90</v>
      </c>
      <c r="C127" s="5">
        <v>19200</v>
      </c>
      <c r="D127" s="6">
        <v>9.31</v>
      </c>
      <c r="E127" t="s">
        <v>22</v>
      </c>
    </row>
    <row r="128" spans="1:5" x14ac:dyDescent="0.25">
      <c r="A128" t="str">
        <f>HYPERLINK("https://www.773grp.com/globalSearch/UC282T-ADJ/page-1", "UC282T-ADJ")</f>
        <v>UC282T-ADJ</v>
      </c>
      <c r="B128" s="3" t="s">
        <v>90</v>
      </c>
      <c r="C128" s="5">
        <v>6095</v>
      </c>
      <c r="D128" s="6">
        <v>9.31</v>
      </c>
      <c r="E128" t="s">
        <v>22</v>
      </c>
    </row>
    <row r="129" spans="1:5" x14ac:dyDescent="0.25">
      <c r="A129" t="str">
        <f>HYPERLINK("https://www.773grp.com/globalSearch/UC382T-ADJ/page-1", "UC382T-ADJ")</f>
        <v>UC382T-ADJ</v>
      </c>
      <c r="B129" s="3" t="s">
        <v>90</v>
      </c>
      <c r="C129" s="5">
        <v>17738</v>
      </c>
      <c r="D129" s="6">
        <v>9.31</v>
      </c>
      <c r="E129" t="s">
        <v>22</v>
      </c>
    </row>
    <row r="130" spans="1:5" x14ac:dyDescent="0.25">
      <c r="A130" t="str">
        <f>HYPERLINK("https://www.773grp.com/globalSearch/UC382T-ADJ/page-1", "UC382T-ADJ")</f>
        <v>UC382T-ADJ</v>
      </c>
      <c r="B130" s="3" t="s">
        <v>90</v>
      </c>
      <c r="C130" s="5">
        <v>3032</v>
      </c>
      <c r="D130" s="6">
        <v>9.31</v>
      </c>
      <c r="E130" t="s">
        <v>22</v>
      </c>
    </row>
    <row r="131" spans="1:5" x14ac:dyDescent="0.25">
      <c r="A131" t="str">
        <f>HYPERLINK("https://www.773grp.com/globalSearch/UC382T-ADJ/page-1", "UC382T-ADJ")</f>
        <v>UC382T-ADJ</v>
      </c>
      <c r="B131" s="3" t="s">
        <v>90</v>
      </c>
      <c r="C131" s="5">
        <v>1478</v>
      </c>
      <c r="D131" s="6">
        <v>9.31</v>
      </c>
      <c r="E131" t="s">
        <v>22</v>
      </c>
    </row>
    <row r="132" spans="1:5" x14ac:dyDescent="0.25">
      <c r="A132" t="str">
        <f>HYPERLINK("https://www.773grp.com/globalSearch/UCC283T-ADJ/page-1", "UCC283T-ADJ")</f>
        <v>UCC283T-ADJ</v>
      </c>
      <c r="B132" s="3" t="s">
        <v>90</v>
      </c>
      <c r="C132" s="5">
        <v>7122</v>
      </c>
      <c r="D132" s="6">
        <v>9.31</v>
      </c>
      <c r="E132" t="s">
        <v>22</v>
      </c>
    </row>
    <row r="133" spans="1:5" x14ac:dyDescent="0.25">
      <c r="A133" t="str">
        <f>HYPERLINK("https://www.773grp.com/globalSearch/UCC283T-ADJ/page-1", "UCC283T-ADJ")</f>
        <v>UCC283T-ADJ</v>
      </c>
      <c r="B133" s="3" t="s">
        <v>90</v>
      </c>
      <c r="C133" s="5">
        <v>200</v>
      </c>
      <c r="D133" s="6">
        <v>9.31</v>
      </c>
      <c r="E133" t="s">
        <v>22</v>
      </c>
    </row>
    <row r="134" spans="1:5" x14ac:dyDescent="0.25">
      <c r="A134" t="str">
        <f>HYPERLINK("https://www.773grp.com/globalSearch/UCC283T-ADJ/page-1", "UCC283T-ADJ")</f>
        <v>UCC283T-ADJ</v>
      </c>
      <c r="B134" s="3" t="s">
        <v>90</v>
      </c>
      <c r="C134" s="5">
        <v>1119</v>
      </c>
      <c r="D134" s="6">
        <v>9.31</v>
      </c>
      <c r="E134" t="s">
        <v>22</v>
      </c>
    </row>
    <row r="135" spans="1:5" x14ac:dyDescent="0.25">
      <c r="A135" t="str">
        <f>HYPERLINK("https://www.773grp.com/globalSearch/UCC383T-ADJ/page-1", "UCC383T-ADJ")</f>
        <v>UCC383T-ADJ</v>
      </c>
      <c r="B135" s="3" t="s">
        <v>90</v>
      </c>
      <c r="C135" s="5">
        <v>19253</v>
      </c>
      <c r="D135" s="6">
        <v>9.31</v>
      </c>
      <c r="E135" t="s">
        <v>22</v>
      </c>
    </row>
    <row r="136" spans="1:5" x14ac:dyDescent="0.25">
      <c r="A136" t="str">
        <f>HYPERLINK("https://www.773grp.com/globalSearch/TPS75701KTTT/page-1", "TPS75701KTTT")</f>
        <v>TPS75701KTTT</v>
      </c>
      <c r="B136" s="3" t="s">
        <v>90</v>
      </c>
      <c r="C136" s="5">
        <v>1590</v>
      </c>
      <c r="D136" s="6">
        <v>9.41</v>
      </c>
      <c r="E136" t="s">
        <v>22</v>
      </c>
    </row>
    <row r="137" spans="1:5" x14ac:dyDescent="0.25">
      <c r="A137" t="str">
        <f>HYPERLINK("https://www.773grp.com/globalSearch/REG103FA-A-500/page-1", "REG103FA-A-500")</f>
        <v>REG103FA-A-500</v>
      </c>
      <c r="B137" s="3" t="s">
        <v>90</v>
      </c>
      <c r="C137" s="5">
        <v>21000</v>
      </c>
      <c r="D137" s="6">
        <v>10.38</v>
      </c>
      <c r="E137" t="s">
        <v>22</v>
      </c>
    </row>
    <row r="138" spans="1:5" x14ac:dyDescent="0.25">
      <c r="A138" t="str">
        <f>HYPERLINK("https://www.773grp.com/globalSearch/REG103FA-A-500E3/page-1", "REG103FA-A-500E3")</f>
        <v>REG103FA-A-500E3</v>
      </c>
      <c r="B138" s="3" t="s">
        <v>90</v>
      </c>
      <c r="C138" s="5">
        <v>10000</v>
      </c>
      <c r="D138" s="6">
        <v>10.38</v>
      </c>
      <c r="E138" t="s">
        <v>22</v>
      </c>
    </row>
    <row r="139" spans="1:5" x14ac:dyDescent="0.25">
      <c r="A139" t="str">
        <f>HYPERLINK("https://www.773grp.com/globalSearch/UC285TDKTTT-ADJ/page-1", "UC285TDKTTT-ADJ")</f>
        <v>UC285TDKTTT-ADJ</v>
      </c>
      <c r="B139" s="3" t="s">
        <v>90</v>
      </c>
      <c r="C139" s="5">
        <v>22458</v>
      </c>
      <c r="D139" s="6">
        <v>10.76</v>
      </c>
      <c r="E139" t="s">
        <v>22</v>
      </c>
    </row>
    <row r="140" spans="1:5" x14ac:dyDescent="0.25">
      <c r="A140" t="str">
        <f>HYPERLINK("https://www.773grp.com/globalSearch/UC385TDKTTT-ADJ/page-1", "UC385TDKTTT-ADJ")</f>
        <v>UC385TDKTTT-ADJ</v>
      </c>
      <c r="B140" s="3" t="s">
        <v>90</v>
      </c>
      <c r="C140" s="5">
        <v>4860</v>
      </c>
      <c r="D140" s="6">
        <v>10.76</v>
      </c>
      <c r="E140" t="s">
        <v>22</v>
      </c>
    </row>
    <row r="141" spans="1:5" x14ac:dyDescent="0.25">
      <c r="A141" t="str">
        <f>HYPERLINK("https://www.773grp.com/globalSearch/UC385TDTR-ADJ/page-1", "UC385TDTR-ADJ")</f>
        <v>UC385TDTR-ADJ</v>
      </c>
      <c r="B141" s="3" t="s">
        <v>90</v>
      </c>
      <c r="C141" s="5">
        <v>8500</v>
      </c>
      <c r="D141" s="6">
        <v>10.76</v>
      </c>
      <c r="E141" t="s">
        <v>22</v>
      </c>
    </row>
    <row r="142" spans="1:5" x14ac:dyDescent="0.25">
      <c r="A142" t="str">
        <f>HYPERLINK("https://www.773grp.com/globalSearch/REG103FA-AKTTT/page-1", "REG103FA-AKTTT")</f>
        <v>REG103FA-AKTTT</v>
      </c>
      <c r="B142" s="3" t="s">
        <v>90</v>
      </c>
      <c r="C142" s="5">
        <v>6449</v>
      </c>
      <c r="D142" s="6">
        <v>11.93</v>
      </c>
      <c r="E142" t="s">
        <v>22</v>
      </c>
    </row>
    <row r="143" spans="1:5" x14ac:dyDescent="0.25">
      <c r="A143" t="str">
        <f>HYPERLINK("https://www.773grp.com/globalSearch/UC285T-ADJ/page-1", "UC285T-ADJ")</f>
        <v>UC285T-ADJ</v>
      </c>
      <c r="B143" s="3" t="str">
        <f>HYPERLINK("https://www.773grp.com/manufacturer/texas-instruments?pageNo=394", "Texas Instruments")</f>
        <v>Texas Instruments</v>
      </c>
      <c r="C143" s="5">
        <v>8802</v>
      </c>
      <c r="D143" s="6">
        <v>12.83</v>
      </c>
      <c r="E143" t="s">
        <v>22</v>
      </c>
    </row>
    <row r="144" spans="1:5" x14ac:dyDescent="0.25">
      <c r="A144" t="str">
        <f>HYPERLINK("https://www.773grp.com/globalSearch/UC285T-ADJ/page-1", "UC285T-ADJ")</f>
        <v>UC285T-ADJ</v>
      </c>
      <c r="B144" s="3" t="str">
        <f>HYPERLINK("https://www.773grp.com/manufacturer/texas-instruments?pageNo=395", "Texas Instruments")</f>
        <v>Texas Instruments</v>
      </c>
      <c r="C144" s="5">
        <v>7111</v>
      </c>
      <c r="D144" s="6">
        <v>12.83</v>
      </c>
      <c r="E144" t="s">
        <v>22</v>
      </c>
    </row>
    <row r="145" spans="1:5" x14ac:dyDescent="0.25">
      <c r="A145" t="str">
        <f>HYPERLINK("https://www.773grp.com/globalSearch/UC385T-ADJ/page-1", "UC385T-ADJ")</f>
        <v>UC385T-ADJ</v>
      </c>
      <c r="B145" s="3" t="str">
        <f>HYPERLINK("https://www.773grp.com/manufacturer/texas-instruments?pageNo=401", "Texas Instruments")</f>
        <v>Texas Instruments</v>
      </c>
      <c r="C145" s="5">
        <v>7250</v>
      </c>
      <c r="D145" s="6">
        <v>12.83</v>
      </c>
      <c r="E145" t="s">
        <v>22</v>
      </c>
    </row>
    <row r="146" spans="1:5" x14ac:dyDescent="0.25">
      <c r="A146" t="str">
        <f>HYPERLINK("https://www.773grp.com/globalSearch/UC385T-ADJ/page-1", "UC385T-ADJ")</f>
        <v>UC385T-ADJ</v>
      </c>
      <c r="B146" s="3" t="str">
        <f>HYPERLINK("https://www.773grp.com/manufacturer/texas-instruments?pageNo=402", "Texas Instruments")</f>
        <v>Texas Instruments</v>
      </c>
      <c r="C146" s="5">
        <v>2249</v>
      </c>
      <c r="D146" s="6">
        <v>12.83</v>
      </c>
      <c r="E146" t="s">
        <v>22</v>
      </c>
    </row>
    <row r="147" spans="1:5" x14ac:dyDescent="0.25">
      <c r="A147" t="str">
        <f>HYPERLINK("https://www.773grp.com/globalSearch/LT1084CKA/page-1", "LT1084CKA")</f>
        <v>LT1084CKA</v>
      </c>
      <c r="B147" s="3" t="s">
        <v>90</v>
      </c>
      <c r="C147" s="5">
        <v>703</v>
      </c>
      <c r="D147" s="6">
        <v>22.16</v>
      </c>
      <c r="E147" t="s">
        <v>22</v>
      </c>
    </row>
    <row r="148" spans="1:5" x14ac:dyDescent="0.25">
      <c r="A148" t="str">
        <f>HYPERLINK("https://www.773grp.com/globalSearch/LT1084CKK/page-1", "LT1084CKK")</f>
        <v>LT1084CKK</v>
      </c>
      <c r="B148" s="3" t="s">
        <v>90</v>
      </c>
      <c r="C148" s="5">
        <v>54737</v>
      </c>
      <c r="D148" s="6">
        <v>22.16</v>
      </c>
      <c r="E148" t="s">
        <v>22</v>
      </c>
    </row>
    <row r="149" spans="1:5" x14ac:dyDescent="0.25">
      <c r="A149" t="str">
        <f>HYPERLINK("https://www.773grp.com/globalSearch/UC185TD-ADJ/page-1", "UC185TD-ADJ")</f>
        <v>UC185TD-ADJ</v>
      </c>
      <c r="B149" s="3" t="str">
        <f>HYPERLINK("https://www.773grp.com/manufacturer/texas-instruments?pageNo=684", "Texas Instruments")</f>
        <v>Texas Instruments</v>
      </c>
      <c r="C149" s="5">
        <v>243</v>
      </c>
      <c r="D149" s="6">
        <v>31.43</v>
      </c>
      <c r="E149" t="s">
        <v>22</v>
      </c>
    </row>
    <row r="150" spans="1:5" x14ac:dyDescent="0.25">
      <c r="A150" t="str">
        <f>HYPERLINK("https://www.773grp.com/globalSearch/TPS79201DBVT/page-1", "TPS79201DBVT")</f>
        <v>TPS79201DBVT</v>
      </c>
      <c r="B150" s="3" t="s">
        <v>112</v>
      </c>
      <c r="C150" s="5">
        <v>500</v>
      </c>
      <c r="D150" s="6">
        <v>2.4300000000000002</v>
      </c>
      <c r="E150" t="s">
        <v>22</v>
      </c>
    </row>
    <row r="151" spans="1:5" x14ac:dyDescent="0.25">
      <c r="A151" t="str">
        <f>HYPERLINK("https://www.773grp.com/globalSearch/UCC388DP/page-1", "UCC388DP")</f>
        <v>UCC388DP</v>
      </c>
      <c r="B151" s="3" t="s">
        <v>112</v>
      </c>
      <c r="C151" s="5">
        <v>448</v>
      </c>
      <c r="D151" s="6">
        <v>4.4400000000000004</v>
      </c>
      <c r="E151" t="s">
        <v>22</v>
      </c>
    </row>
    <row r="152" spans="1:5" x14ac:dyDescent="0.25">
      <c r="A152" t="str">
        <f>HYPERLINK("https://www.773grp.com/globalSearch/UCC388PW/page-1", "UCC388PW")</f>
        <v>UCC388PW</v>
      </c>
      <c r="B152" s="3" t="s">
        <v>112</v>
      </c>
      <c r="C152" s="5">
        <v>200</v>
      </c>
      <c r="D152" s="6">
        <v>4.4400000000000004</v>
      </c>
      <c r="E152" t="s">
        <v>22</v>
      </c>
    </row>
    <row r="153" spans="1:5" x14ac:dyDescent="0.25">
      <c r="A153" t="str">
        <f>HYPERLINK("https://www.773grp.com/globalSearch/UCC281DP-ADJ/page-1", "UCC281DP-ADJ")</f>
        <v>UCC281DP-ADJ</v>
      </c>
      <c r="B153" s="3" t="s">
        <v>112</v>
      </c>
      <c r="C153" s="5">
        <v>220</v>
      </c>
      <c r="D153" s="6">
        <v>6.5</v>
      </c>
      <c r="E153" t="s">
        <v>22</v>
      </c>
    </row>
    <row r="154" spans="1:5" x14ac:dyDescent="0.25">
      <c r="A154" t="str">
        <f>HYPERLINK("https://www.773grp.com/globalSearch/UCC281DP-ADJ/page-1", "UCC281DP-ADJ")</f>
        <v>UCC281DP-ADJ</v>
      </c>
      <c r="B154" s="3" t="s">
        <v>112</v>
      </c>
      <c r="C154" s="5">
        <v>200</v>
      </c>
      <c r="D154" s="6">
        <v>6.5</v>
      </c>
      <c r="E154" t="s">
        <v>22</v>
      </c>
    </row>
    <row r="155" spans="1:5" x14ac:dyDescent="0.25">
      <c r="A155" t="str">
        <f>HYPERLINK("https://www.773grp.com/globalSearch/UCC281DP-ADJ/page-1", "UCC281DP-ADJ")</f>
        <v>UCC281DP-ADJ</v>
      </c>
      <c r="B155" s="3" t="s">
        <v>112</v>
      </c>
      <c r="C155" s="5">
        <v>184</v>
      </c>
      <c r="D155" s="6">
        <v>6.5</v>
      </c>
      <c r="E155" t="s">
        <v>22</v>
      </c>
    </row>
    <row r="156" spans="1:5" x14ac:dyDescent="0.25">
      <c r="A156" t="str">
        <f>HYPERLINK("https://www.773grp.com/globalSearch/UC382T-ADJ/page-1", "UC382T-ADJ")</f>
        <v>UC382T-ADJ</v>
      </c>
      <c r="B156" s="3" t="s">
        <v>112</v>
      </c>
      <c r="C156" s="5">
        <v>18</v>
      </c>
      <c r="D156" s="6">
        <v>9.31</v>
      </c>
      <c r="E156" t="s">
        <v>22</v>
      </c>
    </row>
    <row r="157" spans="1:5" x14ac:dyDescent="0.25">
      <c r="A157" t="str">
        <f>HYPERLINK("https://www.773grp.com/globalSearch/UC382T-ADJ/page-1", "UC382T-ADJ")</f>
        <v>UC382T-ADJ</v>
      </c>
      <c r="B157" s="3" t="s">
        <v>112</v>
      </c>
      <c r="C157" s="5">
        <v>21</v>
      </c>
      <c r="D157" s="6">
        <v>9.31</v>
      </c>
      <c r="E157" t="s">
        <v>22</v>
      </c>
    </row>
    <row r="158" spans="1:5" x14ac:dyDescent="0.25">
      <c r="A158" t="str">
        <f>HYPERLINK("https://www.773grp.com/globalSearch/UCC283T-ADJ/page-1", "UCC283T-ADJ")</f>
        <v>UCC283T-ADJ</v>
      </c>
      <c r="B158" s="3" t="s">
        <v>112</v>
      </c>
      <c r="C158" s="5">
        <v>100</v>
      </c>
      <c r="D158" s="6">
        <v>9.31</v>
      </c>
      <c r="E158" t="s">
        <v>22</v>
      </c>
    </row>
    <row r="159" spans="1:5" x14ac:dyDescent="0.25">
      <c r="A159" t="str">
        <f>HYPERLINK("https://www.773grp.com/globalSearch/TL783CKC/page-1", "TL783CKC")</f>
        <v>TL783CKC</v>
      </c>
      <c r="B159" s="3" t="s">
        <v>90</v>
      </c>
      <c r="C159" s="5">
        <v>11847</v>
      </c>
      <c r="D159" s="6">
        <v>4.79</v>
      </c>
      <c r="E159" t="s">
        <v>19</v>
      </c>
    </row>
    <row r="160" spans="1:5" x14ac:dyDescent="0.25">
      <c r="A160" t="str">
        <f>HYPERLINK("https://www.773grp.com/globalSearch/UC317T/page-1", "UC317T")</f>
        <v>UC317T</v>
      </c>
      <c r="B160" s="3" t="s">
        <v>90</v>
      </c>
      <c r="C160" s="5">
        <v>1049</v>
      </c>
      <c r="D160" s="6">
        <v>8.89</v>
      </c>
      <c r="E160" t="s">
        <v>19</v>
      </c>
    </row>
    <row r="161" spans="1:5" x14ac:dyDescent="0.25">
      <c r="A161" t="str">
        <f>HYPERLINK("https://www.773grp.com/globalSearch/TL441CN/page-1", "TL441CN")</f>
        <v>TL441CN</v>
      </c>
      <c r="B161" s="3" t="s">
        <v>90</v>
      </c>
      <c r="C161" s="5">
        <v>5564</v>
      </c>
      <c r="D161" s="6">
        <v>9.65</v>
      </c>
      <c r="E161" t="s">
        <v>85</v>
      </c>
    </row>
    <row r="162" spans="1:5" x14ac:dyDescent="0.25">
      <c r="A162" t="str">
        <f>HYPERLINK("https://www.773grp.com/globalSearch/LOG114AIRGVT/page-1", "LOG114AIRGVT")</f>
        <v>LOG114AIRGVT</v>
      </c>
      <c r="B162" s="3" t="s">
        <v>90</v>
      </c>
      <c r="C162" s="5">
        <v>608</v>
      </c>
      <c r="D162" s="6">
        <v>14.63</v>
      </c>
      <c r="E162" t="s">
        <v>85</v>
      </c>
    </row>
    <row r="163" spans="1:5" x14ac:dyDescent="0.25">
      <c r="A163" t="str">
        <f>HYPERLINK("https://www.773grp.com/globalSearch/TL441MNSREP/page-1", "TL441MNSREP")</f>
        <v>TL441MNSREP</v>
      </c>
      <c r="B163" s="3" t="s">
        <v>90</v>
      </c>
      <c r="C163" s="5">
        <v>600</v>
      </c>
      <c r="D163" s="6">
        <v>15.61</v>
      </c>
      <c r="E163" t="s">
        <v>85</v>
      </c>
    </row>
    <row r="164" spans="1:5" x14ac:dyDescent="0.25">
      <c r="A164" t="str">
        <f>HYPERLINK("https://www.773grp.com/globalSearch/LOG101AIDR/page-1", "LOG101AIDR")</f>
        <v>LOG101AIDR</v>
      </c>
      <c r="B164" s="3" t="s">
        <v>90</v>
      </c>
      <c r="C164" s="5">
        <v>7500</v>
      </c>
      <c r="D164" s="6">
        <v>19.54</v>
      </c>
      <c r="E164" t="s">
        <v>85</v>
      </c>
    </row>
    <row r="165" spans="1:5" x14ac:dyDescent="0.25">
      <c r="A165" t="str">
        <f>HYPERLINK("https://www.773grp.com/globalSearch/LOG104AIDR/page-1", "LOG104AIDR")</f>
        <v>LOG104AIDR</v>
      </c>
      <c r="B165" s="3" t="s">
        <v>90</v>
      </c>
      <c r="C165" s="5">
        <v>7393</v>
      </c>
      <c r="D165" s="6">
        <v>19.54</v>
      </c>
      <c r="E165" t="s">
        <v>85</v>
      </c>
    </row>
    <row r="166" spans="1:5" x14ac:dyDescent="0.25">
      <c r="A166" t="str">
        <f>HYPERLINK("https://www.773grp.com/globalSearch/LOG112AIDR/page-1", "LOG112AIDR")</f>
        <v>LOG112AIDR</v>
      </c>
      <c r="B166" s="3" t="s">
        <v>90</v>
      </c>
      <c r="C166" s="5">
        <v>840</v>
      </c>
      <c r="D166" s="6">
        <v>22.23</v>
      </c>
      <c r="E166" t="s">
        <v>85</v>
      </c>
    </row>
    <row r="167" spans="1:5" x14ac:dyDescent="0.25">
      <c r="A167" t="str">
        <f>HYPERLINK("https://www.773grp.com/globalSearch/LOG101AID/page-1", "LOG101AID")</f>
        <v>LOG101AID</v>
      </c>
      <c r="B167" s="3" t="s">
        <v>90</v>
      </c>
      <c r="C167" s="5">
        <v>28510</v>
      </c>
      <c r="D167" s="6">
        <v>23.49</v>
      </c>
      <c r="E167" t="s">
        <v>85</v>
      </c>
    </row>
    <row r="168" spans="1:5" x14ac:dyDescent="0.25">
      <c r="A168" t="str">
        <f>HYPERLINK("https://www.773grp.com/globalSearch/LOG104AID/page-1", "LOG104AID")</f>
        <v>LOG104AID</v>
      </c>
      <c r="B168" s="3" t="s">
        <v>90</v>
      </c>
      <c r="C168" s="5">
        <v>26165</v>
      </c>
      <c r="D168" s="6">
        <v>23.49</v>
      </c>
      <c r="E168" t="s">
        <v>85</v>
      </c>
    </row>
    <row r="169" spans="1:5" x14ac:dyDescent="0.25">
      <c r="A169" t="str">
        <f>HYPERLINK("https://www.773grp.com/globalSearch/LOG2112AIDWR/page-1", "LOG2112AIDWR")</f>
        <v>LOG2112AIDWR</v>
      </c>
      <c r="B169" s="3" t="str">
        <f>HYPERLINK("https://www.773grp.com/manufacturer/texas-instruments?pageNo=750", "Texas Instruments")</f>
        <v>Texas Instruments</v>
      </c>
      <c r="C169" s="5">
        <v>1773</v>
      </c>
      <c r="D169" s="6">
        <v>31.93</v>
      </c>
      <c r="E169" t="s">
        <v>85</v>
      </c>
    </row>
    <row r="170" spans="1:5" x14ac:dyDescent="0.25">
      <c r="A170" t="str">
        <f>HYPERLINK("https://www.773grp.com/globalSearch/MPY634KU-1K/page-1", "MPY634KU-1K")</f>
        <v>MPY634KU-1K</v>
      </c>
      <c r="B170" s="3" t="s">
        <v>90</v>
      </c>
      <c r="C170" s="5">
        <v>15386</v>
      </c>
      <c r="D170" s="6">
        <v>36.99</v>
      </c>
      <c r="E170" t="s">
        <v>85</v>
      </c>
    </row>
    <row r="171" spans="1:5" x14ac:dyDescent="0.25">
      <c r="A171" t="str">
        <f>HYPERLINK("https://www.773grp.com/globalSearch/MPY634KP/page-1", "MPY634KP")</f>
        <v>MPY634KP</v>
      </c>
      <c r="B171" s="3" t="s">
        <v>90</v>
      </c>
      <c r="C171" s="5">
        <v>170</v>
      </c>
      <c r="D171" s="6">
        <v>37.26</v>
      </c>
      <c r="E171" t="s">
        <v>85</v>
      </c>
    </row>
    <row r="172" spans="1:5" x14ac:dyDescent="0.25">
      <c r="A172" t="str">
        <f>HYPERLINK("https://www.773grp.com/globalSearch/MPY634KU/page-1", "MPY634KU")</f>
        <v>MPY634KU</v>
      </c>
      <c r="B172" s="3" t="s">
        <v>90</v>
      </c>
      <c r="C172" s="5">
        <v>165</v>
      </c>
      <c r="D172" s="6">
        <v>42.61</v>
      </c>
      <c r="E172" t="s">
        <v>85</v>
      </c>
    </row>
    <row r="173" spans="1:5" x14ac:dyDescent="0.25">
      <c r="A173" t="str">
        <f>HYPERLINK("https://www.773grp.com/globalSearch/5962-9176301QEA/page-1", "5962-9176301QEA")</f>
        <v>5962-9176301QEA</v>
      </c>
      <c r="B173" s="3" t="s">
        <v>90</v>
      </c>
      <c r="C173" s="5">
        <v>24</v>
      </c>
      <c r="D173" s="6">
        <v>51.55</v>
      </c>
      <c r="E173" t="s">
        <v>85</v>
      </c>
    </row>
    <row r="174" spans="1:5" x14ac:dyDescent="0.25">
      <c r="A174" t="str">
        <f>HYPERLINK("https://www.773grp.com/globalSearch/MPY534JD/page-1", "MPY534JD")</f>
        <v>MPY534JD</v>
      </c>
      <c r="B174" s="3" t="s">
        <v>90</v>
      </c>
      <c r="C174" s="5">
        <v>8510</v>
      </c>
      <c r="D174" s="6">
        <v>60.7</v>
      </c>
      <c r="E174" t="s">
        <v>85</v>
      </c>
    </row>
    <row r="175" spans="1:5" x14ac:dyDescent="0.25">
      <c r="A175" t="str">
        <f>HYPERLINK("https://www.773grp.com/globalSearch/MPY534KH/page-1", "MPY534KH")</f>
        <v>MPY534KH</v>
      </c>
      <c r="B175" s="3" t="s">
        <v>90</v>
      </c>
      <c r="C175" s="5">
        <v>15</v>
      </c>
      <c r="D175" s="6">
        <v>103.45</v>
      </c>
      <c r="E175" t="s">
        <v>85</v>
      </c>
    </row>
    <row r="176" spans="1:5" x14ac:dyDescent="0.25">
      <c r="A176" t="str">
        <f>HYPERLINK("https://www.773grp.com/globalSearch/MPY534KH/page-1", "MPY534KH")</f>
        <v>MPY534KH</v>
      </c>
      <c r="B176" s="3" t="s">
        <v>90</v>
      </c>
      <c r="C176" s="5">
        <v>129</v>
      </c>
      <c r="D176" s="6">
        <v>103.45</v>
      </c>
      <c r="E176" t="s">
        <v>85</v>
      </c>
    </row>
    <row r="177" spans="1:5" x14ac:dyDescent="0.25">
      <c r="A177" t="str">
        <f>HYPERLINK("https://www.773grp.com/globalSearch/4213AM/page-1", "4213AM")</f>
        <v>4213AM</v>
      </c>
      <c r="B177" s="3" t="s">
        <v>90</v>
      </c>
      <c r="C177" s="5">
        <v>534</v>
      </c>
      <c r="D177" s="6">
        <v>119.53</v>
      </c>
      <c r="E177" t="s">
        <v>85</v>
      </c>
    </row>
    <row r="178" spans="1:5" x14ac:dyDescent="0.25">
      <c r="A178" t="str">
        <f>HYPERLINK("https://www.773grp.com/globalSearch/4213AM/page-1", "4213AM")</f>
        <v>4213AM</v>
      </c>
      <c r="B178" s="3" t="s">
        <v>90</v>
      </c>
      <c r="C178" s="5">
        <v>30</v>
      </c>
      <c r="D178" s="6">
        <v>119.53</v>
      </c>
      <c r="E178" t="s">
        <v>85</v>
      </c>
    </row>
    <row r="179" spans="1:5" x14ac:dyDescent="0.25">
      <c r="A179" t="str">
        <f>HYPERLINK("https://www.773grp.com/globalSearch/4214AP/page-1", "4214AP")</f>
        <v>4214AP</v>
      </c>
      <c r="B179" s="3" t="s">
        <v>90</v>
      </c>
      <c r="C179" s="5">
        <v>261</v>
      </c>
      <c r="D179" s="6">
        <v>126.28</v>
      </c>
      <c r="E179" t="s">
        <v>85</v>
      </c>
    </row>
    <row r="180" spans="1:5" x14ac:dyDescent="0.25">
      <c r="A180" t="str">
        <f>HYPERLINK("https://www.773grp.com/globalSearch/4214BP/page-1", "4214BP")</f>
        <v>4214BP</v>
      </c>
      <c r="B180" s="3" t="str">
        <f>HYPERLINK("https://www.773grp.com/manufacturer/texas-instruments?pageNo=198", "Texas Instruments")</f>
        <v>Texas Instruments</v>
      </c>
      <c r="C180" s="5">
        <v>38</v>
      </c>
      <c r="D180" s="6">
        <v>155.11000000000001</v>
      </c>
      <c r="E180" t="s">
        <v>85</v>
      </c>
    </row>
    <row r="181" spans="1:5" x14ac:dyDescent="0.25">
      <c r="A181" t="str">
        <f>HYPERLINK("https://www.773grp.com/globalSearch/4214BP/page-1", "4214BP")</f>
        <v>4214BP</v>
      </c>
      <c r="B181" s="3" t="str">
        <f>HYPERLINK("https://www.773grp.com/manufacturer/texas-instruments?pageNo=199", "Texas Instruments")</f>
        <v>Texas Instruments</v>
      </c>
      <c r="C181" s="5">
        <v>97</v>
      </c>
      <c r="D181" s="6">
        <v>155.11000000000001</v>
      </c>
      <c r="E181" t="s">
        <v>85</v>
      </c>
    </row>
    <row r="182" spans="1:5" x14ac:dyDescent="0.25">
      <c r="A182" t="str">
        <f>HYPERLINK("https://www.773grp.com/globalSearch/MPY100AG/page-1", "MPY100AG")</f>
        <v>MPY100AG</v>
      </c>
      <c r="B182" s="3" t="str">
        <f>HYPERLINK("https://www.773grp.com/manufacturer/texas-instruments?pageNo=229", "Texas Instruments")</f>
        <v>Texas Instruments</v>
      </c>
      <c r="C182" s="5">
        <v>316</v>
      </c>
      <c r="D182" s="6">
        <v>162.97999999999999</v>
      </c>
      <c r="E182" t="s">
        <v>85</v>
      </c>
    </row>
    <row r="183" spans="1:5" x14ac:dyDescent="0.25">
      <c r="A183" t="str">
        <f>HYPERLINK("https://www.773grp.com/globalSearch/MPY534LD/page-1", "MPY534LD")</f>
        <v>MPY534LD</v>
      </c>
      <c r="B183" s="3" t="str">
        <f>HYPERLINK("https://www.773grp.com/manufacturer/texas-instruments?pageNo=365", "Texas Instruments")</f>
        <v>Texas Instruments</v>
      </c>
      <c r="C183" s="5">
        <v>28</v>
      </c>
      <c r="D183" s="6">
        <v>185.54</v>
      </c>
      <c r="E183" t="s">
        <v>85</v>
      </c>
    </row>
    <row r="184" spans="1:5" x14ac:dyDescent="0.25">
      <c r="A184" t="str">
        <f>HYPERLINK("https://www.773grp.com/globalSearch/4213BM/page-1", "4213BM")</f>
        <v>4213BM</v>
      </c>
      <c r="B184" s="3" t="str">
        <f>HYPERLINK("https://www.773grp.com/manufacturer/texas-instruments?pageNo=389", "Texas Instruments")</f>
        <v>Texas Instruments</v>
      </c>
      <c r="C184" s="5">
        <v>1751</v>
      </c>
      <c r="D184" s="6">
        <v>190.69</v>
      </c>
      <c r="E184" t="s">
        <v>85</v>
      </c>
    </row>
    <row r="185" spans="1:5" x14ac:dyDescent="0.25">
      <c r="A185" t="str">
        <f>HYPERLINK("https://www.773grp.com/globalSearch/MPY534SH/page-1", "MPY534SH")</f>
        <v>MPY534SH</v>
      </c>
      <c r="B185" s="3" t="str">
        <f>HYPERLINK("https://www.773grp.com/manufacturer/texas-instruments?pageNo=426", "Texas Instruments")</f>
        <v>Texas Instruments</v>
      </c>
      <c r="C185" s="5">
        <v>349</v>
      </c>
      <c r="D185" s="6">
        <v>195.95</v>
      </c>
      <c r="E185" t="s">
        <v>85</v>
      </c>
    </row>
    <row r="186" spans="1:5" x14ac:dyDescent="0.25">
      <c r="A186" t="str">
        <f>HYPERLINK("https://www.773grp.com/globalSearch/MPY100BG/page-1", "MPY100BG")</f>
        <v>MPY100BG</v>
      </c>
      <c r="B186" s="3" t="str">
        <f>HYPERLINK("https://www.773grp.com/manufacturer/texas-instruments?pageNo=428", "Texas Instruments")</f>
        <v>Texas Instruments</v>
      </c>
      <c r="C186" s="5">
        <v>1758</v>
      </c>
      <c r="D186" s="6">
        <v>196.46</v>
      </c>
      <c r="E186" t="s">
        <v>85</v>
      </c>
    </row>
    <row r="187" spans="1:5" x14ac:dyDescent="0.25">
      <c r="A187" t="str">
        <f>HYPERLINK("https://www.773grp.com/globalSearch/MPY100SG/page-1", "MPY100SG")</f>
        <v>MPY100SG</v>
      </c>
      <c r="B187" s="3" t="str">
        <f>HYPERLINK("https://www.773grp.com/manufacturer/texas-instruments?pageNo=465", "Texas Instruments")</f>
        <v>Texas Instruments</v>
      </c>
      <c r="C187" s="5">
        <v>191</v>
      </c>
      <c r="D187" s="6">
        <v>203.9</v>
      </c>
      <c r="E187" t="s">
        <v>85</v>
      </c>
    </row>
    <row r="188" spans="1:5" x14ac:dyDescent="0.25">
      <c r="A188" t="str">
        <f>HYPERLINK("https://www.773grp.com/globalSearch/MPY100CG/page-1", "MPY100CG")</f>
        <v>MPY100CG</v>
      </c>
      <c r="B188" s="3" t="str">
        <f>HYPERLINK("https://www.773grp.com/manufacturer/texas-instruments?pageNo=475", "Texas Instruments")</f>
        <v>Texas Instruments</v>
      </c>
      <c r="C188" s="5">
        <v>834</v>
      </c>
      <c r="D188" s="6">
        <v>208.13</v>
      </c>
      <c r="E188" t="s">
        <v>85</v>
      </c>
    </row>
    <row r="189" spans="1:5" x14ac:dyDescent="0.25">
      <c r="A189" t="str">
        <f>HYPERLINK("https://www.773grp.com/globalSearch/LOG100JP-2/page-1", "LOG100JP-2")</f>
        <v>LOG100JP-2</v>
      </c>
      <c r="B189" s="3" t="str">
        <f>HYPERLINK("https://www.773grp.com/manufacturer/texas-instruments?pageNo=792", "Texas Instruments")</f>
        <v>Texas Instruments</v>
      </c>
      <c r="C189" s="5">
        <v>598</v>
      </c>
      <c r="D189" s="6">
        <v>237.75</v>
      </c>
      <c r="E189" t="s">
        <v>85</v>
      </c>
    </row>
    <row r="190" spans="1:5" x14ac:dyDescent="0.25">
      <c r="A190" t="str">
        <f>HYPERLINK("https://www.773grp.com/globalSearch/4127JG/page-1", "4127JG")</f>
        <v>4127JG</v>
      </c>
      <c r="B190" s="3" t="s">
        <v>90</v>
      </c>
      <c r="C190" s="5">
        <v>229</v>
      </c>
      <c r="D190" s="6">
        <v>253.66</v>
      </c>
      <c r="E190" t="s">
        <v>85</v>
      </c>
    </row>
    <row r="191" spans="1:5" x14ac:dyDescent="0.25">
      <c r="A191" t="str">
        <f>HYPERLINK("https://www.773grp.com/globalSearch/4127JG/page-1", "4127JG")</f>
        <v>4127JG</v>
      </c>
      <c r="B191" s="3" t="s">
        <v>90</v>
      </c>
      <c r="C191" s="5">
        <v>83</v>
      </c>
      <c r="D191" s="6">
        <v>253.66</v>
      </c>
      <c r="E191" t="s">
        <v>85</v>
      </c>
    </row>
    <row r="192" spans="1:5" x14ac:dyDescent="0.25">
      <c r="A192" t="str">
        <f>HYPERLINK("https://www.773grp.com/globalSearch/TLE2425MDR/page-1", "TLE2425MDR")</f>
        <v>TLE2425MDR</v>
      </c>
      <c r="B192" s="3" t="str">
        <f>HYPERLINK("https://www.773grp.com/manufacturer/texas-instruments?pageNo=71", "Texas Instruments")</f>
        <v>Texas Instruments</v>
      </c>
      <c r="C192" s="5">
        <v>12500</v>
      </c>
      <c r="D192" s="6">
        <v>3.95</v>
      </c>
      <c r="E192" t="s">
        <v>35</v>
      </c>
    </row>
    <row r="193" spans="1:5" x14ac:dyDescent="0.25">
      <c r="A193" t="str">
        <f>HYPERLINK("https://www.773grp.com/globalSearch/TLE2426CLP/page-1", "TLE2426CLP")</f>
        <v>TLE2426CLP</v>
      </c>
      <c r="B193" s="3" t="str">
        <f>HYPERLINK("https://www.773grp.com/manufacturer/texas-instruments?pageNo=72", "Texas Instruments")</f>
        <v>Texas Instruments</v>
      </c>
      <c r="C193" s="5">
        <v>7995</v>
      </c>
      <c r="D193" s="6">
        <v>3.95</v>
      </c>
      <c r="E193" t="s">
        <v>35</v>
      </c>
    </row>
    <row r="194" spans="1:5" x14ac:dyDescent="0.25">
      <c r="A194" t="str">
        <f>HYPERLINK("https://www.773grp.com/globalSearch/TLE2426CLP/page-1", "TLE2426CLP")</f>
        <v>TLE2426CLP</v>
      </c>
      <c r="B194" s="3" t="str">
        <f>HYPERLINK("https://www.773grp.com/manufacturer/texas-instruments?pageNo=73", "Texas Instruments")</f>
        <v>Texas Instruments</v>
      </c>
      <c r="C194" s="5">
        <v>2822</v>
      </c>
      <c r="D194" s="6">
        <v>3.95</v>
      </c>
      <c r="E194" t="s">
        <v>35</v>
      </c>
    </row>
    <row r="195" spans="1:5" x14ac:dyDescent="0.25">
      <c r="A195" t="str">
        <f>HYPERLINK("https://www.773grp.com/globalSearch/TLE2426CLPE3/page-1", "TLE2426CLPE3")</f>
        <v>TLE2426CLPE3</v>
      </c>
      <c r="B195" s="3" t="str">
        <f>HYPERLINK("https://www.773grp.com/manufacturer/texas-instruments?pageNo=74", "Texas Instruments")</f>
        <v>Texas Instruments</v>
      </c>
      <c r="C195" s="5">
        <v>195</v>
      </c>
      <c r="D195" s="6">
        <v>3.95</v>
      </c>
      <c r="E195" t="s">
        <v>35</v>
      </c>
    </row>
    <row r="196" spans="1:5" x14ac:dyDescent="0.25">
      <c r="A196" t="str">
        <f>HYPERLINK("https://www.773grp.com/globalSearch/TLE2426ILP/page-1", "TLE2426ILP")</f>
        <v>TLE2426ILP</v>
      </c>
      <c r="B196" s="3" t="str">
        <f>HYPERLINK("https://www.773grp.com/manufacturer/texas-instruments?pageNo=75", "Texas Instruments")</f>
        <v>Texas Instruments</v>
      </c>
      <c r="C196" s="5">
        <v>709</v>
      </c>
      <c r="D196" s="6">
        <v>3.95</v>
      </c>
      <c r="E196" t="s">
        <v>35</v>
      </c>
    </row>
    <row r="197" spans="1:5" x14ac:dyDescent="0.25">
      <c r="A197" t="str">
        <f>HYPERLINK("https://www.773grp.com/globalSearch/XTR111AIDRCT/page-1", "XTR111AIDRCT")</f>
        <v>XTR111AIDRCT</v>
      </c>
      <c r="B197" s="3" t="str">
        <f>HYPERLINK("https://www.773grp.com/manufacturer/texas-instruments?pageNo=242", "Texas Instruments")</f>
        <v>Texas Instruments</v>
      </c>
      <c r="C197" s="5">
        <v>2000</v>
      </c>
      <c r="D197" s="6">
        <v>3.95</v>
      </c>
      <c r="E197" t="s">
        <v>35</v>
      </c>
    </row>
    <row r="198" spans="1:5" x14ac:dyDescent="0.25">
      <c r="A198" t="str">
        <f>HYPERLINK("https://www.773grp.com/globalSearch/TL7726CD/page-1", "TL7726CD")</f>
        <v>TL7726CD</v>
      </c>
      <c r="B198" s="3" t="str">
        <f>HYPERLINK("https://www.773grp.com/manufacturer/texas-instruments?pageNo=405", "Texas Instruments")</f>
        <v>Texas Instruments</v>
      </c>
      <c r="C198" s="5">
        <v>64781</v>
      </c>
      <c r="D198" s="6">
        <v>3.63</v>
      </c>
      <c r="E198" t="s">
        <v>35</v>
      </c>
    </row>
    <row r="199" spans="1:5" x14ac:dyDescent="0.25">
      <c r="A199" t="str">
        <f>HYPERLINK("https://www.773grp.com/globalSearch/TL7726CDG4/page-1", "TL7726CDG4")</f>
        <v>TL7726CDG4</v>
      </c>
      <c r="B199" s="3" t="str">
        <f>HYPERLINK("https://www.773grp.com/manufacturer/texas-instruments?pageNo=406", "Texas Instruments")</f>
        <v>Texas Instruments</v>
      </c>
      <c r="C199" s="5">
        <v>10</v>
      </c>
      <c r="D199" s="6">
        <v>3.63</v>
      </c>
      <c r="E199" t="s">
        <v>35</v>
      </c>
    </row>
    <row r="200" spans="1:5" x14ac:dyDescent="0.25">
      <c r="A200" t="str">
        <f>HYPERLINK("https://www.773grp.com/globalSearch/TL7726ID/page-1", "TL7726ID")</f>
        <v>TL7726ID</v>
      </c>
      <c r="B200" s="3" t="str">
        <f>HYPERLINK("https://www.773grp.com/manufacturer/texas-instruments?pageNo=407", "Texas Instruments")</f>
        <v>Texas Instruments</v>
      </c>
      <c r="C200" s="5">
        <v>1464</v>
      </c>
      <c r="D200" s="6">
        <v>3.63</v>
      </c>
      <c r="E200" t="s">
        <v>35</v>
      </c>
    </row>
    <row r="201" spans="1:5" x14ac:dyDescent="0.25">
      <c r="A201" t="str">
        <f>HYPERLINK("https://www.773grp.com/globalSearch/INA134UA/page-1", "INA134UA")</f>
        <v>INA134UA</v>
      </c>
      <c r="B201" s="3" t="str">
        <f>HYPERLINK("https://www.773grp.com/manufacturer/texas-instruments?pageNo=472", "Texas Instruments")</f>
        <v>Texas Instruments</v>
      </c>
      <c r="C201" s="5">
        <v>1446</v>
      </c>
      <c r="D201" s="6">
        <v>3.66</v>
      </c>
      <c r="E201" t="s">
        <v>35</v>
      </c>
    </row>
    <row r="202" spans="1:5" x14ac:dyDescent="0.25">
      <c r="A202" t="str">
        <f>HYPERLINK("https://www.773grp.com/globalSearch/INA137UA/page-1", "INA137UA")</f>
        <v>INA137UA</v>
      </c>
      <c r="B202" s="3" t="str">
        <f>HYPERLINK("https://www.773grp.com/manufacturer/texas-instruments?pageNo=473", "Texas Instruments")</f>
        <v>Texas Instruments</v>
      </c>
      <c r="C202" s="5">
        <v>30</v>
      </c>
      <c r="D202" s="6">
        <v>3.66</v>
      </c>
      <c r="E202" t="s">
        <v>35</v>
      </c>
    </row>
    <row r="203" spans="1:5" x14ac:dyDescent="0.25">
      <c r="A203" t="str">
        <f>HYPERLINK("https://www.773grp.com/globalSearch/INA157UA/page-1", "INA157UA")</f>
        <v>INA157UA</v>
      </c>
      <c r="B203" s="3" t="str">
        <f>HYPERLINK("https://www.773grp.com/manufacturer/texas-instruments?pageNo=475", "Texas Instruments")</f>
        <v>Texas Instruments</v>
      </c>
      <c r="C203" s="5">
        <v>10</v>
      </c>
      <c r="D203" s="6">
        <v>3.66</v>
      </c>
      <c r="E203" t="s">
        <v>35</v>
      </c>
    </row>
    <row r="204" spans="1:5" x14ac:dyDescent="0.25">
      <c r="A204" t="str">
        <f>HYPERLINK("https://www.773grp.com/globalSearch/ISO722MDR/page-1", "ISO722MDR")</f>
        <v>ISO722MDR</v>
      </c>
      <c r="B204" s="3" t="str">
        <f>HYPERLINK("https://www.773grp.com/manufacturer/texas-instruments?pageNo=478", "Texas Instruments")</f>
        <v>Texas Instruments</v>
      </c>
      <c r="C204" s="5">
        <v>2500</v>
      </c>
      <c r="D204" s="6">
        <v>3.66</v>
      </c>
      <c r="E204" t="s">
        <v>35</v>
      </c>
    </row>
    <row r="205" spans="1:5" x14ac:dyDescent="0.25">
      <c r="A205" t="str">
        <f>HYPERLINK("https://www.773grp.com/globalSearch/TPS2104DBVT/page-1", "TPS2104DBVT")</f>
        <v>TPS2104DBVT</v>
      </c>
      <c r="B205" s="3" t="str">
        <f>HYPERLINK("https://www.773grp.com/manufacturer/texas-instruments?pageNo=615", "Texas Instruments")</f>
        <v>Texas Instruments</v>
      </c>
      <c r="C205" s="5">
        <v>22950</v>
      </c>
      <c r="D205" s="6">
        <v>3.66</v>
      </c>
      <c r="E205" t="s">
        <v>35</v>
      </c>
    </row>
    <row r="206" spans="1:5" x14ac:dyDescent="0.25">
      <c r="A206" t="str">
        <f>HYPERLINK("https://www.773grp.com/globalSearch/BUF01900AIDRCT/page-1", "BUF01900AIDRCT")</f>
        <v>BUF01900AIDRCT</v>
      </c>
      <c r="B206" s="3" t="str">
        <f>HYPERLINK("https://www.773grp.com/manufacturer/texas-instruments?pageNo=815", "Texas Instruments")</f>
        <v>Texas Instruments</v>
      </c>
      <c r="C206" s="5">
        <v>17000</v>
      </c>
      <c r="D206" s="6">
        <v>3.71</v>
      </c>
      <c r="E206" t="s">
        <v>35</v>
      </c>
    </row>
    <row r="207" spans="1:5" x14ac:dyDescent="0.25">
      <c r="A207" t="str">
        <f>HYPERLINK("https://www.773grp.com/globalSearch/TLE2425MD/page-1", "TLE2425MD")</f>
        <v>TLE2425MD</v>
      </c>
      <c r="B207" s="3" t="str">
        <f>HYPERLINK("https://www.773grp.com/manufacturer/texas-instruments?pageNo=908", "Texas Instruments")</f>
        <v>Texas Instruments</v>
      </c>
      <c r="C207" s="5">
        <v>1955</v>
      </c>
      <c r="D207" s="6">
        <v>4.1100000000000003</v>
      </c>
      <c r="E207" t="s">
        <v>35</v>
      </c>
    </row>
    <row r="208" spans="1:5" x14ac:dyDescent="0.25">
      <c r="A208" t="str">
        <f>HYPERLINK("https://www.773grp.com/globalSearch/TPL9201PWP/page-1", "TPL9201PWP")</f>
        <v>TPL9201PWP</v>
      </c>
      <c r="B208" s="3" t="str">
        <f>HYPERLINK("https://www.773grp.com/manufacturer/texas-instruments?pageNo=911", "Texas Instruments")</f>
        <v>Texas Instruments</v>
      </c>
      <c r="C208" s="5">
        <v>19030</v>
      </c>
      <c r="D208" s="6">
        <v>4.1100000000000003</v>
      </c>
      <c r="E208" t="s">
        <v>35</v>
      </c>
    </row>
    <row r="209" spans="1:5" x14ac:dyDescent="0.25">
      <c r="A209" t="str">
        <f>HYPERLINK("https://www.773grp.com/globalSearch/SN74TVC3306DCUR/page-1", "SN74TVC3306DCUR")</f>
        <v>SN74TVC3306DCUR</v>
      </c>
      <c r="B209" s="3" t="s">
        <v>90</v>
      </c>
      <c r="C209" s="5">
        <v>20674</v>
      </c>
      <c r="D209" s="6">
        <v>4.16</v>
      </c>
      <c r="E209" t="s">
        <v>35</v>
      </c>
    </row>
    <row r="210" spans="1:5" x14ac:dyDescent="0.25">
      <c r="A210" t="str">
        <f>HYPERLINK("https://www.773grp.com/globalSearch/TL7726CP/page-1", "TL7726CP")</f>
        <v>TL7726CP</v>
      </c>
      <c r="B210" s="3" t="str">
        <f>HYPERLINK("https://www.773grp.com/manufacturer/texas-instruments?pageNo=298", "Texas Instruments")</f>
        <v>Texas Instruments</v>
      </c>
      <c r="C210" s="5">
        <v>38201</v>
      </c>
      <c r="D210" s="6">
        <v>3.83</v>
      </c>
      <c r="E210" t="s">
        <v>35</v>
      </c>
    </row>
    <row r="211" spans="1:5" x14ac:dyDescent="0.25">
      <c r="A211" t="str">
        <f>HYPERLINK("https://www.773grp.com/globalSearch/TL7726IP/page-1", "TL7726IP")</f>
        <v>TL7726IP</v>
      </c>
      <c r="B211" s="3" t="str">
        <f>HYPERLINK("https://www.773grp.com/manufacturer/texas-instruments?pageNo=299", "Texas Instruments")</f>
        <v>Texas Instruments</v>
      </c>
      <c r="C211" s="5">
        <v>3550</v>
      </c>
      <c r="D211" s="6">
        <v>3.83</v>
      </c>
      <c r="E211" t="s">
        <v>35</v>
      </c>
    </row>
    <row r="212" spans="1:5" x14ac:dyDescent="0.25">
      <c r="A212" t="str">
        <f>HYPERLINK("https://www.773grp.com/globalSearch/TL7726QD/page-1", "TL7726QD")</f>
        <v>TL7726QD</v>
      </c>
      <c r="B212" s="3" t="str">
        <f>HYPERLINK("https://www.773grp.com/manufacturer/texas-instruments?pageNo=300", "Texas Instruments")</f>
        <v>Texas Instruments</v>
      </c>
      <c r="C212" s="5">
        <v>77</v>
      </c>
      <c r="D212" s="6">
        <v>3.83</v>
      </c>
      <c r="E212" t="s">
        <v>35</v>
      </c>
    </row>
    <row r="213" spans="1:5" x14ac:dyDescent="0.25">
      <c r="A213" t="str">
        <f>HYPERLINK("https://www.773grp.com/globalSearch/TL7726QDG4/page-1", "TL7726QDG4")</f>
        <v>TL7726QDG4</v>
      </c>
      <c r="B213" s="3" t="str">
        <f>HYPERLINK("https://www.773grp.com/manufacturer/texas-instruments?pageNo=301", "Texas Instruments")</f>
        <v>Texas Instruments</v>
      </c>
      <c r="C213" s="5">
        <v>5100</v>
      </c>
      <c r="D213" s="6">
        <v>3.83</v>
      </c>
      <c r="E213" t="s">
        <v>35</v>
      </c>
    </row>
    <row r="214" spans="1:5" x14ac:dyDescent="0.25">
      <c r="A214" t="str">
        <f>HYPERLINK("https://www.773grp.com/globalSearch/INA132UA/page-1", "INA132UA")</f>
        <v>INA132UA</v>
      </c>
      <c r="B214" s="3" t="str">
        <f>HYPERLINK("https://www.773grp.com/manufacturer/texas-instruments?pageNo=539", "Texas Instruments")</f>
        <v>Texas Instruments</v>
      </c>
      <c r="C214" s="5">
        <v>1204</v>
      </c>
      <c r="D214" s="6">
        <v>3.94</v>
      </c>
      <c r="E214" t="s">
        <v>35</v>
      </c>
    </row>
    <row r="215" spans="1:5" x14ac:dyDescent="0.25">
      <c r="A215" t="str">
        <f>HYPERLINK("https://www.773grp.com/globalSearch/INA154U-2K5/page-1", "INA154U-2K5")</f>
        <v>INA154U-2K5</v>
      </c>
      <c r="B215" s="3" t="str">
        <f>HYPERLINK("https://www.773grp.com/manufacturer/texas-instruments?pageNo=542", "Texas Instruments")</f>
        <v>Texas Instruments</v>
      </c>
      <c r="C215" s="5">
        <v>2500</v>
      </c>
      <c r="D215" s="6">
        <v>3.94</v>
      </c>
      <c r="E215" t="s">
        <v>35</v>
      </c>
    </row>
    <row r="216" spans="1:5" x14ac:dyDescent="0.25">
      <c r="A216" t="str">
        <f>HYPERLINK("https://www.773grp.com/globalSearch/INA157U-2K5/page-1", "INA157U-2K5")</f>
        <v>INA157U-2K5</v>
      </c>
      <c r="B216" s="3" t="str">
        <f>HYPERLINK("https://www.773grp.com/manufacturer/texas-instruments?pageNo=544", "Texas Instruments")</f>
        <v>Texas Instruments</v>
      </c>
      <c r="C216" s="5">
        <v>5000</v>
      </c>
      <c r="D216" s="6">
        <v>3.94</v>
      </c>
      <c r="E216" t="s">
        <v>35</v>
      </c>
    </row>
    <row r="217" spans="1:5" x14ac:dyDescent="0.25">
      <c r="A217" t="str">
        <f>HYPERLINK("https://www.773grp.com/globalSearch/ISO721D/page-1", "ISO721D")</f>
        <v>ISO721D</v>
      </c>
      <c r="B217" s="3" t="s">
        <v>90</v>
      </c>
      <c r="C217" s="5">
        <v>39</v>
      </c>
      <c r="D217" s="6">
        <v>4.09</v>
      </c>
      <c r="E217" t="s">
        <v>35</v>
      </c>
    </row>
    <row r="218" spans="1:5" x14ac:dyDescent="0.25">
      <c r="A218" t="str">
        <f>HYPERLINK("https://www.773grp.com/globalSearch/ISO722D/page-1", "ISO722D")</f>
        <v>ISO722D</v>
      </c>
      <c r="B218" s="3" t="s">
        <v>90</v>
      </c>
      <c r="C218" s="5">
        <v>107</v>
      </c>
      <c r="D218" s="6">
        <v>4.09</v>
      </c>
      <c r="E218" t="s">
        <v>35</v>
      </c>
    </row>
    <row r="219" spans="1:5" x14ac:dyDescent="0.25">
      <c r="A219" t="str">
        <f>HYPERLINK("https://www.773grp.com/globalSearch/TMP512AIDR/page-1", "TMP512AIDR")</f>
        <v>TMP512AIDR</v>
      </c>
      <c r="B219" s="3" t="s">
        <v>90</v>
      </c>
      <c r="C219" s="5">
        <v>135000</v>
      </c>
      <c r="D219" s="6">
        <v>4.09</v>
      </c>
      <c r="E219" t="s">
        <v>35</v>
      </c>
    </row>
    <row r="220" spans="1:5" x14ac:dyDescent="0.25">
      <c r="A220" t="str">
        <f>HYPERLINK("https://www.773grp.com/globalSearch/TPS2052P/page-1", "TPS2052P")</f>
        <v>TPS2052P</v>
      </c>
      <c r="B220" s="3" t="s">
        <v>90</v>
      </c>
      <c r="C220" s="5">
        <v>5432</v>
      </c>
      <c r="D220" s="6">
        <v>4.09</v>
      </c>
      <c r="E220" t="s">
        <v>35</v>
      </c>
    </row>
    <row r="221" spans="1:5" x14ac:dyDescent="0.25">
      <c r="A221" t="str">
        <f>HYPERLINK("https://www.773grp.com/globalSearch/TPS2412PW/page-1", "TPS2412PW")</f>
        <v>TPS2412PW</v>
      </c>
      <c r="B221" s="3" t="s">
        <v>90</v>
      </c>
      <c r="C221" s="5">
        <v>300</v>
      </c>
      <c r="D221" s="6">
        <v>4.09</v>
      </c>
      <c r="E221" t="s">
        <v>35</v>
      </c>
    </row>
    <row r="222" spans="1:5" x14ac:dyDescent="0.25">
      <c r="A222" t="str">
        <f>HYPERLINK("https://www.773grp.com/globalSearch/TPS2413D/page-1", "TPS2413D")</f>
        <v>TPS2413D</v>
      </c>
      <c r="B222" s="3" t="s">
        <v>90</v>
      </c>
      <c r="C222" s="5">
        <v>15</v>
      </c>
      <c r="D222" s="6">
        <v>4.09</v>
      </c>
      <c r="E222" t="s">
        <v>35</v>
      </c>
    </row>
    <row r="223" spans="1:5" x14ac:dyDescent="0.25">
      <c r="A223" t="str">
        <f>HYPERLINK("https://www.773grp.com/globalSearch/TPS2413PW/page-1", "TPS2413PW")</f>
        <v>TPS2413PW</v>
      </c>
      <c r="B223" s="3" t="s">
        <v>90</v>
      </c>
      <c r="C223" s="5">
        <v>165</v>
      </c>
      <c r="D223" s="6">
        <v>4.09</v>
      </c>
      <c r="E223" t="s">
        <v>35</v>
      </c>
    </row>
    <row r="224" spans="1:5" x14ac:dyDescent="0.25">
      <c r="A224" t="str">
        <f>HYPERLINK("https://www.773grp.com/globalSearch/TPS2419D/page-1", "TPS2419D")</f>
        <v>TPS2419D</v>
      </c>
      <c r="B224" s="3" t="s">
        <v>90</v>
      </c>
      <c r="C224" s="5">
        <v>471</v>
      </c>
      <c r="D224" s="6">
        <v>4.09</v>
      </c>
      <c r="E224" t="s">
        <v>35</v>
      </c>
    </row>
    <row r="225" spans="1:5" x14ac:dyDescent="0.25">
      <c r="A225" t="str">
        <f>HYPERLINK("https://www.773grp.com/globalSearch/TPS2419PW/page-1", "TPS2419PW")</f>
        <v>TPS2419PW</v>
      </c>
      <c r="B225" s="3" t="s">
        <v>90</v>
      </c>
      <c r="C225" s="5">
        <v>405</v>
      </c>
      <c r="D225" s="6">
        <v>4.09</v>
      </c>
      <c r="E225" t="s">
        <v>35</v>
      </c>
    </row>
    <row r="226" spans="1:5" x14ac:dyDescent="0.25">
      <c r="A226" t="str">
        <f>HYPERLINK("https://www.773grp.com/globalSearch/TPS2051DR/page-1", "TPS2051DR")</f>
        <v>TPS2051DR</v>
      </c>
      <c r="B226" s="3" t="s">
        <v>90</v>
      </c>
      <c r="C226" s="5">
        <v>49960</v>
      </c>
      <c r="D226" s="6">
        <v>4.1399999999999997</v>
      </c>
      <c r="E226" t="s">
        <v>35</v>
      </c>
    </row>
    <row r="227" spans="1:5" x14ac:dyDescent="0.25">
      <c r="A227" t="str">
        <f>HYPERLINK("https://www.773grp.com/globalSearch/TPS2051P/page-1", "TPS2051P")</f>
        <v>TPS2051P</v>
      </c>
      <c r="B227" s="3" t="s">
        <v>90</v>
      </c>
      <c r="C227" s="5">
        <v>3455</v>
      </c>
      <c r="D227" s="6">
        <v>4.1399999999999997</v>
      </c>
      <c r="E227" t="s">
        <v>35</v>
      </c>
    </row>
    <row r="228" spans="1:5" x14ac:dyDescent="0.25">
      <c r="A228" t="str">
        <f>HYPERLINK("https://www.773grp.com/globalSearch/BQ27000DRKR/page-1", "BQ27000DRKR")</f>
        <v>BQ27000DRKR</v>
      </c>
      <c r="B228" s="3" t="s">
        <v>90</v>
      </c>
      <c r="C228" s="5">
        <v>111711</v>
      </c>
      <c r="D228" s="6">
        <v>4.1900000000000004</v>
      </c>
      <c r="E228" t="s">
        <v>35</v>
      </c>
    </row>
    <row r="229" spans="1:5" x14ac:dyDescent="0.25">
      <c r="A229" t="str">
        <f>HYPERLINK("https://www.773grp.com/globalSearch/TL7726QP/page-1", "TL7726QP")</f>
        <v>TL7726QP</v>
      </c>
      <c r="B229" s="3" t="s">
        <v>90</v>
      </c>
      <c r="C229" s="5">
        <v>1296</v>
      </c>
      <c r="D229" s="6">
        <v>4.2300000000000004</v>
      </c>
      <c r="E229" t="s">
        <v>35</v>
      </c>
    </row>
    <row r="230" spans="1:5" x14ac:dyDescent="0.25">
      <c r="A230" t="str">
        <f>HYPERLINK("https://www.773grp.com/globalSearch/TPS2411PWR/page-1", "TPS2411PWR")</f>
        <v>TPS2411PWR</v>
      </c>
      <c r="B230" s="3" t="s">
        <v>90</v>
      </c>
      <c r="C230" s="5">
        <v>8000</v>
      </c>
      <c r="D230" s="6">
        <v>4.2300000000000004</v>
      </c>
      <c r="E230" t="s">
        <v>35</v>
      </c>
    </row>
    <row r="231" spans="1:5" x14ac:dyDescent="0.25">
      <c r="A231" t="str">
        <f>HYPERLINK("https://www.773grp.com/globalSearch/XTR116U-2K5/page-1", "XTR116U-2K5")</f>
        <v>XTR116U-2K5</v>
      </c>
      <c r="B231" s="3" t="s">
        <v>90</v>
      </c>
      <c r="C231" s="5">
        <v>12247</v>
      </c>
      <c r="D231" s="6">
        <v>4.2300000000000004</v>
      </c>
      <c r="E231" t="s">
        <v>35</v>
      </c>
    </row>
    <row r="232" spans="1:5" x14ac:dyDescent="0.25">
      <c r="A232" t="str">
        <f>HYPERLINK("https://www.773grp.com/globalSearch/TL026ID/page-1", "TL026ID")</f>
        <v>TL026ID</v>
      </c>
      <c r="B232" s="3" t="s">
        <v>90</v>
      </c>
      <c r="C232" s="5">
        <v>3090</v>
      </c>
      <c r="D232" s="6">
        <v>4.6900000000000004</v>
      </c>
      <c r="E232" t="s">
        <v>35</v>
      </c>
    </row>
    <row r="233" spans="1:5" x14ac:dyDescent="0.25">
      <c r="A233" t="str">
        <f>HYPERLINK("https://www.773grp.com/globalSearch/TPS2041DR/page-1", "TPS2041DR")</f>
        <v>TPS2041DR</v>
      </c>
      <c r="B233" s="3" t="s">
        <v>90</v>
      </c>
      <c r="C233" s="5">
        <v>17500</v>
      </c>
      <c r="D233" s="6">
        <v>4.28</v>
      </c>
      <c r="E233" t="s">
        <v>35</v>
      </c>
    </row>
    <row r="234" spans="1:5" x14ac:dyDescent="0.25">
      <c r="A234" t="str">
        <f>HYPERLINK("https://www.773grp.com/globalSearch/TPS2041P/page-1", "TPS2041P")</f>
        <v>TPS2041P</v>
      </c>
      <c r="B234" s="3" t="s">
        <v>90</v>
      </c>
      <c r="C234" s="5">
        <v>13035</v>
      </c>
      <c r="D234" s="6">
        <v>4.28</v>
      </c>
      <c r="E234" t="s">
        <v>35</v>
      </c>
    </row>
    <row r="235" spans="1:5" x14ac:dyDescent="0.25">
      <c r="A235" t="str">
        <f>HYPERLINK("https://www.773grp.com/globalSearch/TPS2041PE4/page-1", "TPS2041PE4")</f>
        <v>TPS2041PE4</v>
      </c>
      <c r="B235" s="3" t="s">
        <v>90</v>
      </c>
      <c r="C235" s="5">
        <v>245</v>
      </c>
      <c r="D235" s="6">
        <v>4.28</v>
      </c>
      <c r="E235" t="s">
        <v>35</v>
      </c>
    </row>
    <row r="236" spans="1:5" x14ac:dyDescent="0.25">
      <c r="A236" t="str">
        <f>HYPERLINK("https://www.773grp.com/globalSearch/TPS2104D/page-1", "TPS2104D")</f>
        <v>TPS2104D</v>
      </c>
      <c r="B236" s="3" t="s">
        <v>90</v>
      </c>
      <c r="C236" s="5">
        <v>12932</v>
      </c>
      <c r="D236" s="6">
        <v>4.74</v>
      </c>
      <c r="E236" t="s">
        <v>35</v>
      </c>
    </row>
    <row r="237" spans="1:5" x14ac:dyDescent="0.25">
      <c r="A237" t="str">
        <f>HYPERLINK("https://www.773grp.com/globalSearch/XTR117AIDGKR/page-1", "XTR117AIDGKR")</f>
        <v>XTR117AIDGKR</v>
      </c>
      <c r="B237" s="3" t="s">
        <v>90</v>
      </c>
      <c r="C237" s="5">
        <v>2000</v>
      </c>
      <c r="D237" s="6">
        <v>4.74</v>
      </c>
      <c r="E237" t="s">
        <v>35</v>
      </c>
    </row>
    <row r="238" spans="1:5" x14ac:dyDescent="0.25">
      <c r="A238" t="str">
        <f>HYPERLINK("https://www.773grp.com/globalSearch/AMC1210IRHAT/page-1", "AMC1210IRHAT")</f>
        <v>AMC1210IRHAT</v>
      </c>
      <c r="B238" s="3" t="s">
        <v>90</v>
      </c>
      <c r="C238" s="5">
        <v>1000</v>
      </c>
      <c r="D238" s="6">
        <v>4.34</v>
      </c>
      <c r="E238" t="s">
        <v>35</v>
      </c>
    </row>
    <row r="239" spans="1:5" x14ac:dyDescent="0.25">
      <c r="A239" t="str">
        <f>HYPERLINK("https://www.773grp.com/globalSearch/SN74TVC3306DCTR/page-1", "SN74TVC3306DCTR")</f>
        <v>SN74TVC3306DCTR</v>
      </c>
      <c r="B239" s="3" t="str">
        <f>HYPERLINK("https://www.773grp.com/manufacturer/texas-instruments?pageNo=164", "Texas Instruments")</f>
        <v>Texas Instruments</v>
      </c>
      <c r="C239" s="5">
        <v>11756</v>
      </c>
      <c r="D239" s="6">
        <v>4.91</v>
      </c>
      <c r="E239" t="s">
        <v>35</v>
      </c>
    </row>
    <row r="240" spans="1:5" x14ac:dyDescent="0.25">
      <c r="A240" t="str">
        <f>HYPERLINK("https://www.773grp.com/globalSearch/BQ27010DRKR/page-1", "BQ27010DRKR")</f>
        <v>BQ27010DRKR</v>
      </c>
      <c r="B240" s="3" t="str">
        <f>HYPERLINK("https://www.773grp.com/manufacturer/texas-instruments?pageNo=298", "Texas Instruments")</f>
        <v>Texas Instruments</v>
      </c>
      <c r="C240" s="5">
        <v>329964</v>
      </c>
      <c r="D240" s="6">
        <v>4.5</v>
      </c>
      <c r="E240" t="s">
        <v>35</v>
      </c>
    </row>
    <row r="241" spans="1:5" x14ac:dyDescent="0.25">
      <c r="A241" t="str">
        <f>HYPERLINK("https://www.773grp.com/globalSearch/BQ27210DRKR/page-1", "BQ27210DRKR")</f>
        <v>BQ27210DRKR</v>
      </c>
      <c r="B241" s="3" t="str">
        <f>HYPERLINK("https://www.773grp.com/manufacturer/texas-instruments?pageNo=299", "Texas Instruments")</f>
        <v>Texas Instruments</v>
      </c>
      <c r="C241" s="5">
        <v>1021957</v>
      </c>
      <c r="D241" s="6">
        <v>4.5</v>
      </c>
      <c r="E241" t="s">
        <v>35</v>
      </c>
    </row>
    <row r="242" spans="1:5" x14ac:dyDescent="0.25">
      <c r="A242" t="str">
        <f>HYPERLINK("https://www.773grp.com/globalSearch/ISO721MD/page-1", "ISO721MD")</f>
        <v>ISO721MD</v>
      </c>
      <c r="B242" s="3" t="str">
        <f>HYPERLINK("https://www.773grp.com/manufacturer/texas-instruments?pageNo=304", "Texas Instruments")</f>
        <v>Texas Instruments</v>
      </c>
      <c r="C242" s="5">
        <v>6</v>
      </c>
      <c r="D242" s="6">
        <v>4.5</v>
      </c>
      <c r="E242" t="s">
        <v>35</v>
      </c>
    </row>
    <row r="243" spans="1:5" x14ac:dyDescent="0.25">
      <c r="A243" t="str">
        <f>HYPERLINK("https://www.773grp.com/globalSearch/ISO722MD/page-1", "ISO722MD")</f>
        <v>ISO722MD</v>
      </c>
      <c r="B243" s="3" t="str">
        <f>HYPERLINK("https://www.773grp.com/manufacturer/texas-instruments?pageNo=305", "Texas Instruments")</f>
        <v>Texas Instruments</v>
      </c>
      <c r="C243" s="5">
        <v>22</v>
      </c>
      <c r="D243" s="6">
        <v>4.5</v>
      </c>
      <c r="E243" t="s">
        <v>35</v>
      </c>
    </row>
    <row r="244" spans="1:5" x14ac:dyDescent="0.25">
      <c r="A244" t="str">
        <f>HYPERLINK("https://www.773grp.com/globalSearch/BUF01901AIDRCR/page-1", "BUF01901AIDRCR")</f>
        <v>BUF01901AIDRCR</v>
      </c>
      <c r="B244" s="3" t="str">
        <f>HYPERLINK("https://www.773grp.com/manufacturer/texas-instruments?pageNo=474", "Texas Instruments")</f>
        <v>Texas Instruments</v>
      </c>
      <c r="C244" s="5">
        <v>48000</v>
      </c>
      <c r="D244" s="6">
        <v>5.01</v>
      </c>
      <c r="E244" t="s">
        <v>35</v>
      </c>
    </row>
    <row r="245" spans="1:5" x14ac:dyDescent="0.25">
      <c r="A245" t="str">
        <f>HYPERLINK("https://www.773grp.com/globalSearch/INA157U/page-1", "INA157U")</f>
        <v>INA157U</v>
      </c>
      <c r="B245" s="3" t="s">
        <v>90</v>
      </c>
      <c r="C245" s="5">
        <v>2250</v>
      </c>
      <c r="D245" s="6">
        <v>4.6399999999999997</v>
      </c>
      <c r="E245" t="s">
        <v>35</v>
      </c>
    </row>
    <row r="246" spans="1:5" x14ac:dyDescent="0.25">
      <c r="A246" t="str">
        <f>HYPERLINK("https://www.773grp.com/globalSearch/TPS2042P/page-1", "TPS2042P")</f>
        <v>TPS2042P</v>
      </c>
      <c r="B246" s="3" t="s">
        <v>90</v>
      </c>
      <c r="C246" s="5">
        <v>5230</v>
      </c>
      <c r="D246" s="6">
        <v>4.7300000000000004</v>
      </c>
      <c r="E246" t="s">
        <v>35</v>
      </c>
    </row>
    <row r="247" spans="1:5" x14ac:dyDescent="0.25">
      <c r="A247" t="str">
        <f>HYPERLINK("https://www.773grp.com/globalSearch/INA2134UA-2K5/page-1", "INA2134UA-2K5")</f>
        <v>INA2134UA-2K5</v>
      </c>
      <c r="B247" s="3" t="s">
        <v>90</v>
      </c>
      <c r="C247" s="5">
        <v>6983</v>
      </c>
      <c r="D247" s="6">
        <v>4.78</v>
      </c>
      <c r="E247" t="s">
        <v>35</v>
      </c>
    </row>
    <row r="248" spans="1:5" x14ac:dyDescent="0.25">
      <c r="A248" t="str">
        <f>HYPERLINK("https://www.773grp.com/globalSearch/INA2137UA-2K5/page-1", "INA2137UA-2K5")</f>
        <v>INA2137UA-2K5</v>
      </c>
      <c r="B248" s="3" t="s">
        <v>90</v>
      </c>
      <c r="C248" s="5">
        <v>2463</v>
      </c>
      <c r="D248" s="6">
        <v>4.78</v>
      </c>
      <c r="E248" t="s">
        <v>35</v>
      </c>
    </row>
    <row r="249" spans="1:5" x14ac:dyDescent="0.25">
      <c r="A249" t="str">
        <f>HYPERLINK("https://www.773grp.com/globalSearch/ISO7230CDW/page-1", "ISO7230CDW")</f>
        <v>ISO7230CDW</v>
      </c>
      <c r="B249" s="3" t="s">
        <v>90</v>
      </c>
      <c r="C249" s="5">
        <v>8152</v>
      </c>
      <c r="D249" s="6">
        <v>4.78</v>
      </c>
      <c r="E249" t="s">
        <v>35</v>
      </c>
    </row>
    <row r="250" spans="1:5" x14ac:dyDescent="0.25">
      <c r="A250" t="str">
        <f>HYPERLINK("https://www.773grp.com/globalSearch/TPS2051D/page-1", "TPS2051D")</f>
        <v>TPS2051D</v>
      </c>
      <c r="B250" s="3" t="s">
        <v>90</v>
      </c>
      <c r="C250" s="5">
        <v>5731</v>
      </c>
      <c r="D250" s="6">
        <v>4.8099999999999996</v>
      </c>
      <c r="E250" t="s">
        <v>35</v>
      </c>
    </row>
    <row r="251" spans="1:5" x14ac:dyDescent="0.25">
      <c r="A251" t="str">
        <f>HYPERLINK("https://www.773grp.com/globalSearch/ISO7230MDWR/page-1", "ISO7230MDWR")</f>
        <v>ISO7230MDWR</v>
      </c>
      <c r="B251" s="3" t="s">
        <v>90</v>
      </c>
      <c r="C251" s="5">
        <v>6000</v>
      </c>
      <c r="D251" s="6">
        <v>4.93</v>
      </c>
      <c r="E251" t="s">
        <v>35</v>
      </c>
    </row>
    <row r="252" spans="1:5" x14ac:dyDescent="0.25">
      <c r="A252" t="str">
        <f>HYPERLINK("https://www.773grp.com/globalSearch/XTR116U/page-1", "XTR116U")</f>
        <v>XTR116U</v>
      </c>
      <c r="B252" s="3" t="s">
        <v>90</v>
      </c>
      <c r="C252" s="5">
        <v>2497</v>
      </c>
      <c r="D252" s="6">
        <v>4.93</v>
      </c>
      <c r="E252" t="s">
        <v>35</v>
      </c>
    </row>
    <row r="253" spans="1:5" x14ac:dyDescent="0.25">
      <c r="A253" t="str">
        <f>HYPERLINK("https://www.773grp.com/globalSearch/TPS2052DR/page-1", "TPS2052DR")</f>
        <v>TPS2052DR</v>
      </c>
      <c r="B253" s="3" t="s">
        <v>90</v>
      </c>
      <c r="C253" s="5">
        <v>2000</v>
      </c>
      <c r="D253" s="6">
        <v>5.03</v>
      </c>
      <c r="E253" t="s">
        <v>35</v>
      </c>
    </row>
    <row r="254" spans="1:5" x14ac:dyDescent="0.25">
      <c r="A254" t="str">
        <f>HYPERLINK("https://www.773grp.com/globalSearch/ISO7231ADW/page-1", "ISO7231ADW")</f>
        <v>ISO7231ADW</v>
      </c>
      <c r="B254" s="3" t="s">
        <v>90</v>
      </c>
      <c r="C254" s="5">
        <v>1057</v>
      </c>
      <c r="D254" s="6">
        <v>5.0599999999999996</v>
      </c>
      <c r="E254" t="s">
        <v>35</v>
      </c>
    </row>
    <row r="255" spans="1:5" x14ac:dyDescent="0.25">
      <c r="A255" t="str">
        <f>HYPERLINK("https://www.773grp.com/globalSearch/TPS2410PW/page-1", "TPS2410PW")</f>
        <v>TPS2410PW</v>
      </c>
      <c r="B255" s="3" t="s">
        <v>90</v>
      </c>
      <c r="C255" s="5">
        <v>937</v>
      </c>
      <c r="D255" s="6">
        <v>5.0599999999999996</v>
      </c>
      <c r="E255" t="s">
        <v>35</v>
      </c>
    </row>
    <row r="256" spans="1:5" x14ac:dyDescent="0.25">
      <c r="A256" t="str">
        <f>HYPERLINK("https://www.773grp.com/globalSearch/TPS2411PW/page-1", "TPS2411PW")</f>
        <v>TPS2411PW</v>
      </c>
      <c r="B256" s="3" t="s">
        <v>90</v>
      </c>
      <c r="C256" s="5">
        <v>1</v>
      </c>
      <c r="D256" s="6">
        <v>5.0599999999999996</v>
      </c>
      <c r="E256" t="s">
        <v>35</v>
      </c>
    </row>
    <row r="257" spans="1:5" x14ac:dyDescent="0.25">
      <c r="A257" t="str">
        <f>HYPERLINK("https://www.773grp.com/globalSearch/TPS2041D/page-1", "TPS2041D")</f>
        <v>TPS2041D</v>
      </c>
      <c r="B257" s="3" t="s">
        <v>90</v>
      </c>
      <c r="C257" s="5">
        <v>2872</v>
      </c>
      <c r="D257" s="6">
        <v>5.0999999999999996</v>
      </c>
      <c r="E257" t="s">
        <v>35</v>
      </c>
    </row>
    <row r="258" spans="1:5" x14ac:dyDescent="0.25">
      <c r="A258" t="str">
        <f>HYPERLINK("https://www.773grp.com/globalSearch/TPS2042DR/page-1", "TPS2042DR")</f>
        <v>TPS2042DR</v>
      </c>
      <c r="B258" s="3" t="s">
        <v>90</v>
      </c>
      <c r="C258" s="5">
        <v>2500</v>
      </c>
      <c r="D258" s="6">
        <v>5.18</v>
      </c>
      <c r="E258" t="s">
        <v>35</v>
      </c>
    </row>
    <row r="259" spans="1:5" x14ac:dyDescent="0.25">
      <c r="A259" t="str">
        <f>HYPERLINK("https://www.773grp.com/globalSearch/PGA117AIPWR/page-1", "PGA117AIPWR")</f>
        <v>PGA117AIPWR</v>
      </c>
      <c r="B259" s="3" t="s">
        <v>90</v>
      </c>
      <c r="C259" s="5">
        <v>39687</v>
      </c>
      <c r="D259" s="6">
        <v>5.2</v>
      </c>
      <c r="E259" t="s">
        <v>35</v>
      </c>
    </row>
    <row r="260" spans="1:5" x14ac:dyDescent="0.25">
      <c r="A260" t="str">
        <f>HYPERLINK("https://www.773grp.com/globalSearch/BUF08832AIPWPR/page-1", "BUF08832AIPWPR")</f>
        <v>BUF08832AIPWPR</v>
      </c>
      <c r="B260" s="3" t="s">
        <v>90</v>
      </c>
      <c r="C260" s="5">
        <v>1990</v>
      </c>
      <c r="D260" s="6">
        <v>5.35</v>
      </c>
      <c r="E260" t="s">
        <v>35</v>
      </c>
    </row>
    <row r="261" spans="1:5" x14ac:dyDescent="0.25">
      <c r="A261" t="str">
        <f>HYPERLINK("https://www.773grp.com/globalSearch/INA330AIDGSR/page-1", "INA330AIDGSR")</f>
        <v>INA330AIDGSR</v>
      </c>
      <c r="B261" s="3" t="s">
        <v>90</v>
      </c>
      <c r="C261" s="5">
        <v>19750</v>
      </c>
      <c r="D261" s="6">
        <v>5.35</v>
      </c>
      <c r="E261" t="s">
        <v>35</v>
      </c>
    </row>
    <row r="262" spans="1:5" x14ac:dyDescent="0.25">
      <c r="A262" t="str">
        <f>HYPERLINK("https://www.773grp.com/globalSearch/ISO7241ADWR/page-1", "ISO7241ADWR")</f>
        <v>ISO7241ADWR</v>
      </c>
      <c r="B262" s="3" t="s">
        <v>90</v>
      </c>
      <c r="C262" s="5">
        <v>2000</v>
      </c>
      <c r="D262" s="6">
        <v>5.35</v>
      </c>
      <c r="E262" t="s">
        <v>35</v>
      </c>
    </row>
    <row r="263" spans="1:5" x14ac:dyDescent="0.25">
      <c r="A263" t="str">
        <f>HYPERLINK("https://www.773grp.com/globalSearch/INA2134PA/page-1", "INA2134PA")</f>
        <v>INA2134PA</v>
      </c>
      <c r="B263" s="3" t="s">
        <v>90</v>
      </c>
      <c r="C263" s="5">
        <v>1248</v>
      </c>
      <c r="D263" s="6">
        <v>5.51</v>
      </c>
      <c r="E263" t="s">
        <v>35</v>
      </c>
    </row>
    <row r="264" spans="1:5" x14ac:dyDescent="0.25">
      <c r="A264" t="str">
        <f>HYPERLINK("https://www.773grp.com/globalSearch/INA2137PA/page-1", "INA2137PA")</f>
        <v>INA2137PA</v>
      </c>
      <c r="B264" s="3" t="s">
        <v>90</v>
      </c>
      <c r="C264" s="5">
        <v>165</v>
      </c>
      <c r="D264" s="6">
        <v>5.51</v>
      </c>
      <c r="E264" t="s">
        <v>35</v>
      </c>
    </row>
    <row r="265" spans="1:5" x14ac:dyDescent="0.25">
      <c r="A265" t="str">
        <f>HYPERLINK("https://www.773grp.com/globalSearch/INA2137PA/page-1", "INA2137PA")</f>
        <v>INA2137PA</v>
      </c>
      <c r="B265" s="3" t="s">
        <v>90</v>
      </c>
      <c r="C265" s="5">
        <v>9294</v>
      </c>
      <c r="D265" s="6">
        <v>5.51</v>
      </c>
      <c r="E265" t="s">
        <v>35</v>
      </c>
    </row>
    <row r="266" spans="1:5" x14ac:dyDescent="0.25">
      <c r="A266" t="str">
        <f>HYPERLINK("https://www.773grp.com/globalSearch/BQ27200DRKRG4/page-1", "BQ27200DRKRG4")</f>
        <v>BQ27200DRKRG4</v>
      </c>
      <c r="B266" s="3" t="s">
        <v>90</v>
      </c>
      <c r="C266" s="5">
        <v>2596</v>
      </c>
      <c r="D266" s="6">
        <v>5.58</v>
      </c>
      <c r="E266" t="s">
        <v>35</v>
      </c>
    </row>
    <row r="267" spans="1:5" x14ac:dyDescent="0.25">
      <c r="A267" t="str">
        <f>HYPERLINK("https://www.773grp.com/globalSearch/BQ26231PWR/page-1", "BQ26231PWR")</f>
        <v>BQ26231PWR</v>
      </c>
      <c r="B267" s="3" t="s">
        <v>90</v>
      </c>
      <c r="C267" s="5">
        <v>2000</v>
      </c>
      <c r="D267" s="6">
        <v>5.63</v>
      </c>
      <c r="E267" t="s">
        <v>35</v>
      </c>
    </row>
    <row r="268" spans="1:5" x14ac:dyDescent="0.25">
      <c r="A268" t="str">
        <f>HYPERLINK("https://www.773grp.com/globalSearch/INA159AIDGKT/page-1", "INA159AIDGKT")</f>
        <v>INA159AIDGKT</v>
      </c>
      <c r="B268" s="3" t="s">
        <v>90</v>
      </c>
      <c r="C268" s="5">
        <v>750</v>
      </c>
      <c r="D268" s="6">
        <v>5.63</v>
      </c>
      <c r="E268" t="s">
        <v>35</v>
      </c>
    </row>
    <row r="269" spans="1:5" x14ac:dyDescent="0.25">
      <c r="A269" t="str">
        <f>HYPERLINK("https://www.773grp.com/globalSearch/DRV401AIRGWR/page-1", "DRV401AIRGWR")</f>
        <v>DRV401AIRGWR</v>
      </c>
      <c r="B269" s="3" t="s">
        <v>90</v>
      </c>
      <c r="C269" s="5">
        <v>2612</v>
      </c>
      <c r="D269" s="6">
        <v>5.7</v>
      </c>
      <c r="E269" t="s">
        <v>35</v>
      </c>
    </row>
    <row r="270" spans="1:5" x14ac:dyDescent="0.25">
      <c r="A270" t="str">
        <f>HYPERLINK("https://www.773grp.com/globalSearch/THMC10DBQR/page-1", "THMC10DBQR")</f>
        <v>THMC10DBQR</v>
      </c>
      <c r="B270" s="3" t="s">
        <v>90</v>
      </c>
      <c r="C270" s="5">
        <v>2342</v>
      </c>
      <c r="D270" s="6">
        <v>5.74</v>
      </c>
      <c r="E270" t="s">
        <v>35</v>
      </c>
    </row>
    <row r="271" spans="1:5" x14ac:dyDescent="0.25">
      <c r="A271" t="str">
        <f>HYPERLINK("https://www.773grp.com/globalSearch/ADS7846IRGVR/page-1", "ADS7846IRGVR")</f>
        <v>ADS7846IRGVR</v>
      </c>
      <c r="B271" s="3" t="s">
        <v>90</v>
      </c>
      <c r="C271" s="5">
        <v>27500</v>
      </c>
      <c r="D271" s="6">
        <v>5.78</v>
      </c>
      <c r="E271" t="s">
        <v>35</v>
      </c>
    </row>
    <row r="272" spans="1:5" x14ac:dyDescent="0.25">
      <c r="A272" t="str">
        <f>HYPERLINK("https://www.773grp.com/globalSearch/BUF12800AIPWPR/page-1", "BUF12800AIPWPR")</f>
        <v>BUF12800AIPWPR</v>
      </c>
      <c r="B272" s="3" t="s">
        <v>90</v>
      </c>
      <c r="C272" s="5">
        <v>2000</v>
      </c>
      <c r="D272" s="6">
        <v>5.78</v>
      </c>
      <c r="E272" t="s">
        <v>35</v>
      </c>
    </row>
    <row r="273" spans="1:5" x14ac:dyDescent="0.25">
      <c r="A273" t="str">
        <f>HYPERLINK("https://www.773grp.com/globalSearch/INA2134UA/page-1", "INA2134UA")</f>
        <v>INA2134UA</v>
      </c>
      <c r="B273" s="3" t="s">
        <v>90</v>
      </c>
      <c r="C273" s="5">
        <v>4</v>
      </c>
      <c r="D273" s="6">
        <v>5.78</v>
      </c>
      <c r="E273" t="s">
        <v>35</v>
      </c>
    </row>
    <row r="274" spans="1:5" x14ac:dyDescent="0.25">
      <c r="A274" t="str">
        <f>HYPERLINK("https://www.773grp.com/globalSearch/INA2137UA/page-1", "INA2137UA")</f>
        <v>INA2137UA</v>
      </c>
      <c r="B274" s="3" t="s">
        <v>90</v>
      </c>
      <c r="C274" s="5">
        <v>812</v>
      </c>
      <c r="D274" s="6">
        <v>5.78</v>
      </c>
      <c r="E274" t="s">
        <v>35</v>
      </c>
    </row>
    <row r="275" spans="1:5" x14ac:dyDescent="0.25">
      <c r="A275" t="str">
        <f>HYPERLINK("https://www.773grp.com/globalSearch/ISO7230MDW/page-1", "ISO7230MDW")</f>
        <v>ISO7230MDW</v>
      </c>
      <c r="B275" s="3" t="s">
        <v>90</v>
      </c>
      <c r="C275" s="5">
        <v>14614</v>
      </c>
      <c r="D275" s="6">
        <v>5.91</v>
      </c>
      <c r="E275" t="s">
        <v>35</v>
      </c>
    </row>
    <row r="276" spans="1:5" x14ac:dyDescent="0.25">
      <c r="A276" t="str">
        <f>HYPERLINK("https://www.773grp.com/globalSearch/BUF16821AIPWPR/page-1", "BUF16821AIPWPR")</f>
        <v>BUF16821AIPWPR</v>
      </c>
      <c r="B276" s="3" t="s">
        <v>90</v>
      </c>
      <c r="C276" s="5">
        <v>1575</v>
      </c>
      <c r="D276" s="6">
        <v>6.04</v>
      </c>
      <c r="E276" t="s">
        <v>35</v>
      </c>
    </row>
    <row r="277" spans="1:5" x14ac:dyDescent="0.25">
      <c r="A277" t="str">
        <f>HYPERLINK("https://www.773grp.com/globalSearch/UC3901DWTR/page-1", "UC3901DWTR")</f>
        <v>UC3901DWTR</v>
      </c>
      <c r="B277" s="3" t="s">
        <v>90</v>
      </c>
      <c r="C277" s="5">
        <v>12000</v>
      </c>
      <c r="D277" s="6">
        <v>6.04</v>
      </c>
      <c r="E277" t="s">
        <v>35</v>
      </c>
    </row>
    <row r="278" spans="1:5" x14ac:dyDescent="0.25">
      <c r="A278" t="str">
        <f>HYPERLINK("https://www.773grp.com/globalSearch/UC3901QTR/page-1", "UC3901QTR")</f>
        <v>UC3901QTR</v>
      </c>
      <c r="B278" s="3" t="s">
        <v>90</v>
      </c>
      <c r="C278" s="5">
        <v>15000</v>
      </c>
      <c r="D278" s="6">
        <v>6.04</v>
      </c>
      <c r="E278" t="s">
        <v>35</v>
      </c>
    </row>
    <row r="279" spans="1:5" x14ac:dyDescent="0.25">
      <c r="A279" t="str">
        <f>HYPERLINK("https://www.773grp.com/globalSearch/TPS2042D/page-1", "TPS2042D")</f>
        <v>TPS2042D</v>
      </c>
      <c r="B279" s="3" t="s">
        <v>90</v>
      </c>
      <c r="C279" s="5">
        <v>967</v>
      </c>
      <c r="D279" s="6">
        <v>6.16</v>
      </c>
      <c r="E279" t="s">
        <v>35</v>
      </c>
    </row>
    <row r="280" spans="1:5" x14ac:dyDescent="0.25">
      <c r="A280" t="str">
        <f>HYPERLINK("https://www.773grp.com/globalSearch/INA330AIDGST/page-1", "INA330AIDGST")</f>
        <v>INA330AIDGST</v>
      </c>
      <c r="B280" s="3" t="s">
        <v>90</v>
      </c>
      <c r="C280" s="5">
        <v>4992</v>
      </c>
      <c r="D280" s="6">
        <v>6.19</v>
      </c>
      <c r="E280" t="s">
        <v>35</v>
      </c>
    </row>
    <row r="281" spans="1:5" x14ac:dyDescent="0.25">
      <c r="A281" t="str">
        <f>HYPERLINK("https://www.773grp.com/globalSearch/ISO7240CFDW/page-1", "ISO7240CFDW")</f>
        <v>ISO7240CFDW</v>
      </c>
      <c r="B281" s="3" t="s">
        <v>90</v>
      </c>
      <c r="C281" s="5">
        <v>610</v>
      </c>
      <c r="D281" s="6">
        <v>6.19</v>
      </c>
      <c r="E281" t="s">
        <v>35</v>
      </c>
    </row>
    <row r="282" spans="1:5" x14ac:dyDescent="0.25">
      <c r="A282" t="str">
        <f>HYPERLINK("https://www.773grp.com/globalSearch/ISO7241CDW/page-1", "ISO7241CDW")</f>
        <v>ISO7241CDW</v>
      </c>
      <c r="B282" s="3" t="s">
        <v>90</v>
      </c>
      <c r="C282" s="5">
        <v>309</v>
      </c>
      <c r="D282" s="6">
        <v>6.19</v>
      </c>
      <c r="E282" t="s">
        <v>35</v>
      </c>
    </row>
    <row r="283" spans="1:5" x14ac:dyDescent="0.25">
      <c r="A283" t="str">
        <f>HYPERLINK("https://www.773grp.com/globalSearch/ISO7240ADW/page-1", "ISO7240ADW")</f>
        <v>ISO7240ADW</v>
      </c>
      <c r="B283" s="3" t="s">
        <v>90</v>
      </c>
      <c r="C283" s="5">
        <v>1188</v>
      </c>
      <c r="D283" s="6">
        <v>6.33</v>
      </c>
      <c r="E283" t="s">
        <v>35</v>
      </c>
    </row>
    <row r="284" spans="1:5" x14ac:dyDescent="0.25">
      <c r="A284" t="str">
        <f>HYPERLINK("https://www.773grp.com/globalSearch/ISO7241ADW/page-1", "ISO7241ADW")</f>
        <v>ISO7241ADW</v>
      </c>
      <c r="B284" s="3" t="s">
        <v>90</v>
      </c>
      <c r="C284" s="5">
        <v>450</v>
      </c>
      <c r="D284" s="6">
        <v>6.33</v>
      </c>
      <c r="E284" t="s">
        <v>35</v>
      </c>
    </row>
    <row r="285" spans="1:5" x14ac:dyDescent="0.25">
      <c r="A285" t="str">
        <f>HYPERLINK("https://www.773grp.com/globalSearch/PGA116AIPW/page-1", "PGA116AIPW")</f>
        <v>PGA116AIPW</v>
      </c>
      <c r="B285" s="3" t="s">
        <v>90</v>
      </c>
      <c r="C285" s="5">
        <v>1750</v>
      </c>
      <c r="D285" s="6">
        <v>6.33</v>
      </c>
      <c r="E285" t="s">
        <v>35</v>
      </c>
    </row>
    <row r="286" spans="1:5" x14ac:dyDescent="0.25">
      <c r="A286" t="str">
        <f>HYPERLINK("https://www.773grp.com/globalSearch/PGA117AIPW/page-1", "PGA117AIPW")</f>
        <v>PGA117AIPW</v>
      </c>
      <c r="B286" s="3" t="s">
        <v>90</v>
      </c>
      <c r="C286" s="5">
        <v>1210</v>
      </c>
      <c r="D286" s="6">
        <v>6.33</v>
      </c>
      <c r="E286" t="s">
        <v>35</v>
      </c>
    </row>
    <row r="287" spans="1:5" x14ac:dyDescent="0.25">
      <c r="A287" t="str">
        <f>HYPERLINK("https://www.773grp.com/globalSearch/BUF08630RGWT/page-1", "BUF08630RGWT")</f>
        <v>BUF08630RGWT</v>
      </c>
      <c r="B287" s="3" t="str">
        <f>HYPERLINK("https://www.773grp.com/manufacturer/texas-instruments?pageNo=64", "Texas Instruments")</f>
        <v>Texas Instruments</v>
      </c>
      <c r="C287" s="5">
        <v>330</v>
      </c>
      <c r="D287" s="6">
        <v>6.46</v>
      </c>
      <c r="E287" t="s">
        <v>35</v>
      </c>
    </row>
    <row r="288" spans="1:5" x14ac:dyDescent="0.25">
      <c r="A288" t="str">
        <f>HYPERLINK("https://www.773grp.com/globalSearch/DRV401AIRGWT/page-1", "DRV401AIRGWT")</f>
        <v>DRV401AIRGWT</v>
      </c>
      <c r="B288" s="3" t="str">
        <f>HYPERLINK("https://www.773grp.com/manufacturer/texas-instruments?pageNo=227", "Texas Instruments")</f>
        <v>Texas Instruments</v>
      </c>
      <c r="C288" s="5">
        <v>11250</v>
      </c>
      <c r="D288" s="6">
        <v>6.55</v>
      </c>
      <c r="E288" t="s">
        <v>35</v>
      </c>
    </row>
    <row r="289" spans="1:5" x14ac:dyDescent="0.25">
      <c r="A289" t="str">
        <f>HYPERLINK("https://www.773grp.com/globalSearch/ADS7846IRGVT/page-1", "ADS7846IRGVT")</f>
        <v>ADS7846IRGVT</v>
      </c>
      <c r="B289" s="3" t="str">
        <f>HYPERLINK("https://www.773grp.com/manufacturer/texas-instruments?pageNo=268", "Texas Instruments")</f>
        <v>Texas Instruments</v>
      </c>
      <c r="C289" s="5">
        <v>10000</v>
      </c>
      <c r="D289" s="6">
        <v>6.61</v>
      </c>
      <c r="E289" t="s">
        <v>35</v>
      </c>
    </row>
    <row r="290" spans="1:5" x14ac:dyDescent="0.25">
      <c r="A290" t="str">
        <f>HYPERLINK("https://www.773grp.com/globalSearch/BQ26231PW/page-1", "BQ26231PW")</f>
        <v>BQ26231PW</v>
      </c>
      <c r="B290" s="3" t="str">
        <f>HYPERLINK("https://www.773grp.com/manufacturer/texas-instruments?pageNo=419", "Texas Instruments")</f>
        <v>Texas Instruments</v>
      </c>
      <c r="C290" s="5">
        <v>4517</v>
      </c>
      <c r="D290" s="6">
        <v>6.7</v>
      </c>
      <c r="E290" t="s">
        <v>35</v>
      </c>
    </row>
    <row r="291" spans="1:5" x14ac:dyDescent="0.25">
      <c r="A291" t="str">
        <f>HYPERLINK("https://www.773grp.com/globalSearch/BUF12800AIPWP/page-1", "BUF12800AIPWP")</f>
        <v>BUF12800AIPWP</v>
      </c>
      <c r="B291" s="3" t="str">
        <f>HYPERLINK("https://www.773grp.com/manufacturer/texas-instruments?pageNo=616", "Texas Instruments")</f>
        <v>Texas Instruments</v>
      </c>
      <c r="C291" s="5">
        <v>18083</v>
      </c>
      <c r="D291" s="6">
        <v>6.86</v>
      </c>
      <c r="E291" t="s">
        <v>35</v>
      </c>
    </row>
    <row r="292" spans="1:5" x14ac:dyDescent="0.25">
      <c r="A292" t="str">
        <f>HYPERLINK("https://www.773grp.com/globalSearch/DRV401AIDWP/page-1", "DRV401AIDWP")</f>
        <v>DRV401AIDWP</v>
      </c>
      <c r="B292" s="3" t="str">
        <f>HYPERLINK("https://www.773grp.com/manufacturer/texas-instruments?pageNo=617", "Texas Instruments")</f>
        <v>Texas Instruments</v>
      </c>
      <c r="C292" s="5">
        <v>1025</v>
      </c>
      <c r="D292" s="6">
        <v>6.86</v>
      </c>
      <c r="E292" t="s">
        <v>35</v>
      </c>
    </row>
    <row r="293" spans="1:5" x14ac:dyDescent="0.25">
      <c r="A293" t="str">
        <f>HYPERLINK("https://www.773grp.com/globalSearch/UCC3837D/page-1", "UCC3837D")</f>
        <v>UCC3837D</v>
      </c>
      <c r="B293" s="3" t="str">
        <f>HYPERLINK("https://www.773grp.com/manufacturer/texas-instruments?pageNo=629", "Texas Instruments")</f>
        <v>Texas Instruments</v>
      </c>
      <c r="C293" s="5">
        <v>7049</v>
      </c>
      <c r="D293" s="6">
        <v>6.86</v>
      </c>
      <c r="E293" t="s">
        <v>35</v>
      </c>
    </row>
    <row r="294" spans="1:5" x14ac:dyDescent="0.25">
      <c r="A294" t="str">
        <f>HYPERLINK("https://www.773grp.com/globalSearch/UCC3837D/page-1", "UCC3837D")</f>
        <v>UCC3837D</v>
      </c>
      <c r="B294" s="3" t="str">
        <f>HYPERLINK("https://www.773grp.com/manufacturer/texas-instruments?pageNo=630", "Texas Instruments")</f>
        <v>Texas Instruments</v>
      </c>
      <c r="C294" s="5">
        <v>3387</v>
      </c>
      <c r="D294" s="6">
        <v>6.86</v>
      </c>
      <c r="E294" t="s">
        <v>35</v>
      </c>
    </row>
    <row r="295" spans="1:5" x14ac:dyDescent="0.25">
      <c r="A295" t="str">
        <f>HYPERLINK("https://www.773grp.com/globalSearch/UCC3837DG4/page-1", "UCC3837DG4")</f>
        <v>UCC3837DG4</v>
      </c>
      <c r="B295" s="3" t="str">
        <f>HYPERLINK("https://www.773grp.com/manufacturer/texas-instruments?pageNo=631", "Texas Instruments")</f>
        <v>Texas Instruments</v>
      </c>
      <c r="C295" s="5">
        <v>155</v>
      </c>
      <c r="D295" s="6">
        <v>6.86</v>
      </c>
      <c r="E295" t="s">
        <v>35</v>
      </c>
    </row>
    <row r="296" spans="1:5" x14ac:dyDescent="0.25">
      <c r="A296" t="str">
        <f>HYPERLINK("https://www.773grp.com/globalSearch/ADS7846E/page-1", "ADS7846E")</f>
        <v>ADS7846E</v>
      </c>
      <c r="B296" s="3" t="str">
        <f>HYPERLINK("https://www.773grp.com/manufacturer/texas-instruments?pageNo=637", "Texas Instruments")</f>
        <v>Texas Instruments</v>
      </c>
      <c r="C296" s="5">
        <v>255</v>
      </c>
      <c r="D296" s="6">
        <v>6.89</v>
      </c>
      <c r="E296" t="s">
        <v>35</v>
      </c>
    </row>
    <row r="297" spans="1:5" x14ac:dyDescent="0.25">
      <c r="A297" t="str">
        <f>HYPERLINK("https://www.773grp.com/globalSearch/ADS7846EG4/page-1", "ADS7846EG4")</f>
        <v>ADS7846EG4</v>
      </c>
      <c r="B297" s="3" t="str">
        <f>HYPERLINK("https://www.773grp.com/manufacturer/texas-instruments?pageNo=638", "Texas Instruments")</f>
        <v>Texas Instruments</v>
      </c>
      <c r="C297" s="5">
        <v>30</v>
      </c>
      <c r="D297" s="6">
        <v>6.89</v>
      </c>
      <c r="E297" t="s">
        <v>35</v>
      </c>
    </row>
    <row r="298" spans="1:5" x14ac:dyDescent="0.25">
      <c r="A298" t="str">
        <f>HYPERLINK("https://www.773grp.com/globalSearch/ADS7846N/page-1", "ADS7846N")</f>
        <v>ADS7846N</v>
      </c>
      <c r="B298" s="3" t="str">
        <f>HYPERLINK("https://www.773grp.com/manufacturer/texas-instruments?pageNo=639", "Texas Instruments")</f>
        <v>Texas Instruments</v>
      </c>
      <c r="C298" s="5">
        <v>990</v>
      </c>
      <c r="D298" s="6">
        <v>6.89</v>
      </c>
      <c r="E298" t="s">
        <v>35</v>
      </c>
    </row>
    <row r="299" spans="1:5" x14ac:dyDescent="0.25">
      <c r="A299" t="str">
        <f>HYPERLINK("https://www.773grp.com/globalSearch/ADS7846NG4/page-1", "ADS7846NG4")</f>
        <v>ADS7846NG4</v>
      </c>
      <c r="B299" s="3" t="str">
        <f>HYPERLINK("https://www.773grp.com/manufacturer/texas-instruments?pageNo=640", "Texas Instruments")</f>
        <v>Texas Instruments</v>
      </c>
      <c r="C299" s="5">
        <v>162</v>
      </c>
      <c r="D299" s="6">
        <v>6.89</v>
      </c>
      <c r="E299" t="s">
        <v>35</v>
      </c>
    </row>
    <row r="300" spans="1:5" x14ac:dyDescent="0.25">
      <c r="A300" t="str">
        <f>HYPERLINK("https://www.773grp.com/globalSearch/ADS7846IGQCR/page-1", "ADS7846IGQCR")</f>
        <v>ADS7846IGQCR</v>
      </c>
      <c r="B300" s="3" t="str">
        <f>HYPERLINK("https://www.773grp.com/manufacturer/texas-instruments?pageNo=753", "Texas Instruments")</f>
        <v>Texas Instruments</v>
      </c>
      <c r="C300" s="5">
        <v>2500</v>
      </c>
      <c r="D300" s="6">
        <v>7.04</v>
      </c>
      <c r="E300" t="s">
        <v>35</v>
      </c>
    </row>
    <row r="301" spans="1:5" x14ac:dyDescent="0.25">
      <c r="A301" t="str">
        <f>HYPERLINK("https://www.773grp.com/globalSearch/UC39432DTR/page-1", "UC39432DTR")</f>
        <v>UC39432DTR</v>
      </c>
      <c r="B301" s="3" t="s">
        <v>90</v>
      </c>
      <c r="C301" s="5">
        <v>12500</v>
      </c>
      <c r="D301" s="6">
        <v>7.18</v>
      </c>
      <c r="E301" t="s">
        <v>35</v>
      </c>
    </row>
    <row r="302" spans="1:5" x14ac:dyDescent="0.25">
      <c r="A302" t="str">
        <f>HYPERLINK("https://www.773grp.com/globalSearch/UC3901D/page-1", "UC3901D")</f>
        <v>UC3901D</v>
      </c>
      <c r="B302" s="3" t="s">
        <v>90</v>
      </c>
      <c r="C302" s="5">
        <v>24224</v>
      </c>
      <c r="D302" s="6">
        <v>7.2</v>
      </c>
      <c r="E302" t="s">
        <v>35</v>
      </c>
    </row>
    <row r="303" spans="1:5" x14ac:dyDescent="0.25">
      <c r="A303" t="str">
        <f>HYPERLINK("https://www.773grp.com/globalSearch/UC3901DW/page-1", "UC3901DW")</f>
        <v>UC3901DW</v>
      </c>
      <c r="B303" s="3" t="s">
        <v>90</v>
      </c>
      <c r="C303" s="5">
        <v>996</v>
      </c>
      <c r="D303" s="6">
        <v>7.2</v>
      </c>
      <c r="E303" t="s">
        <v>35</v>
      </c>
    </row>
    <row r="304" spans="1:5" x14ac:dyDescent="0.25">
      <c r="A304" t="str">
        <f>HYPERLINK("https://www.773grp.com/globalSearch/UC3901DW/page-1", "UC3901DW")</f>
        <v>UC3901DW</v>
      </c>
      <c r="B304" s="3" t="s">
        <v>90</v>
      </c>
      <c r="C304" s="5">
        <v>7640</v>
      </c>
      <c r="D304" s="6">
        <v>7.2</v>
      </c>
      <c r="E304" t="s">
        <v>35</v>
      </c>
    </row>
    <row r="305" spans="1:5" x14ac:dyDescent="0.25">
      <c r="A305" t="str">
        <f>HYPERLINK("https://www.773grp.com/globalSearch/UC3901Q/page-1", "UC3901Q")</f>
        <v>UC3901Q</v>
      </c>
      <c r="B305" s="3" t="s">
        <v>90</v>
      </c>
      <c r="C305" s="5">
        <v>3159</v>
      </c>
      <c r="D305" s="6">
        <v>7.2</v>
      </c>
      <c r="E305" t="s">
        <v>35</v>
      </c>
    </row>
    <row r="306" spans="1:5" x14ac:dyDescent="0.25">
      <c r="A306" t="str">
        <f>HYPERLINK("https://www.773grp.com/globalSearch/UC3901Q/page-1", "UC3901Q")</f>
        <v>UC3901Q</v>
      </c>
      <c r="B306" s="3" t="s">
        <v>90</v>
      </c>
      <c r="C306" s="5">
        <v>276</v>
      </c>
      <c r="D306" s="6">
        <v>7.2</v>
      </c>
      <c r="E306" t="s">
        <v>35</v>
      </c>
    </row>
    <row r="307" spans="1:5" x14ac:dyDescent="0.25">
      <c r="A307" t="str">
        <f>HYPERLINK("https://www.773grp.com/globalSearch/REF200AU-2K5/page-1", "REF200AU-2K5")</f>
        <v>REF200AU-2K5</v>
      </c>
      <c r="B307" s="3" t="s">
        <v>90</v>
      </c>
      <c r="C307" s="5">
        <v>7475</v>
      </c>
      <c r="D307" s="6">
        <v>7.31</v>
      </c>
      <c r="E307" t="s">
        <v>35</v>
      </c>
    </row>
    <row r="308" spans="1:5" x14ac:dyDescent="0.25">
      <c r="A308" t="str">
        <f>HYPERLINK("https://www.773grp.com/globalSearch/UCC2837N/page-1", "UCC2837N")</f>
        <v>UCC2837N</v>
      </c>
      <c r="B308" s="3" t="s">
        <v>90</v>
      </c>
      <c r="C308" s="5">
        <v>15900</v>
      </c>
      <c r="D308" s="6">
        <v>7.46</v>
      </c>
      <c r="E308" t="s">
        <v>35</v>
      </c>
    </row>
    <row r="309" spans="1:5" x14ac:dyDescent="0.25">
      <c r="A309" t="str">
        <f>HYPERLINK("https://www.773grp.com/globalSearch/UC39432BDTR/page-1", "UC39432BDTR")</f>
        <v>UC39432BDTR</v>
      </c>
      <c r="B309" s="3" t="s">
        <v>90</v>
      </c>
      <c r="C309" s="5">
        <v>5000</v>
      </c>
      <c r="D309" s="6">
        <v>7.73</v>
      </c>
      <c r="E309" t="s">
        <v>35</v>
      </c>
    </row>
    <row r="310" spans="1:5" x14ac:dyDescent="0.25">
      <c r="A310" t="str">
        <f>HYPERLINK("https://www.773grp.com/globalSearch/UC2901DTR/page-1", "UC2901DTR")</f>
        <v>UC2901DTR</v>
      </c>
      <c r="B310" s="3" t="s">
        <v>90</v>
      </c>
      <c r="C310" s="5">
        <v>2500</v>
      </c>
      <c r="D310" s="6">
        <v>8.06</v>
      </c>
      <c r="E310" t="s">
        <v>35</v>
      </c>
    </row>
    <row r="311" spans="1:5" x14ac:dyDescent="0.25">
      <c r="A311" t="str">
        <f>HYPERLINK("https://www.773grp.com/globalSearch/UC3901N/page-1", "UC3901N")</f>
        <v>UC3901N</v>
      </c>
      <c r="B311" s="3" t="s">
        <v>90</v>
      </c>
      <c r="C311" s="5">
        <v>7399</v>
      </c>
      <c r="D311" s="6">
        <v>8.06</v>
      </c>
      <c r="E311" t="s">
        <v>35</v>
      </c>
    </row>
    <row r="312" spans="1:5" x14ac:dyDescent="0.25">
      <c r="A312" t="str">
        <f>HYPERLINK("https://www.773grp.com/globalSearch/BUF20800AIDCPR/page-1", "BUF20800AIDCPR")</f>
        <v>BUF20800AIDCPR</v>
      </c>
      <c r="B312" s="3" t="s">
        <v>90</v>
      </c>
      <c r="C312" s="5">
        <v>83849</v>
      </c>
      <c r="D312" s="6">
        <v>8.3000000000000007</v>
      </c>
      <c r="E312" t="s">
        <v>35</v>
      </c>
    </row>
    <row r="313" spans="1:5" x14ac:dyDescent="0.25">
      <c r="A313" t="str">
        <f>HYPERLINK("https://www.773grp.com/globalSearch/TLV986CPFB/page-1", "TLV986CPFB")</f>
        <v>TLV986CPFB</v>
      </c>
      <c r="B313" s="3" t="s">
        <v>90</v>
      </c>
      <c r="C313" s="5">
        <v>3216</v>
      </c>
      <c r="D313" s="6">
        <v>8.33</v>
      </c>
      <c r="E313" t="s">
        <v>35</v>
      </c>
    </row>
    <row r="314" spans="1:5" x14ac:dyDescent="0.25">
      <c r="A314" t="str">
        <f>HYPERLINK("https://www.773grp.com/globalSearch/THS7001CPWPR/page-1", "THS7001CPWPR")</f>
        <v>THS7001CPWPR</v>
      </c>
      <c r="B314" s="3" t="s">
        <v>90</v>
      </c>
      <c r="C314" s="5">
        <v>3890</v>
      </c>
      <c r="D314" s="6">
        <v>8.39</v>
      </c>
      <c r="E314" t="s">
        <v>35</v>
      </c>
    </row>
    <row r="315" spans="1:5" x14ac:dyDescent="0.25">
      <c r="A315" t="str">
        <f>HYPERLINK("https://www.773grp.com/globalSearch/BUF16820AIDAPR/page-1", "BUF16820AIDAPR")</f>
        <v>BUF16820AIDAPR</v>
      </c>
      <c r="B315" s="3" t="s">
        <v>90</v>
      </c>
      <c r="C315" s="5">
        <v>5900</v>
      </c>
      <c r="D315" s="6">
        <v>8.73</v>
      </c>
      <c r="E315" t="s">
        <v>35</v>
      </c>
    </row>
    <row r="316" spans="1:5" x14ac:dyDescent="0.25">
      <c r="A316" t="str">
        <f>HYPERLINK("https://www.773grp.com/globalSearch/REF200AU/page-1", "REF200AU")</f>
        <v>REF200AU</v>
      </c>
      <c r="B316" s="3" t="s">
        <v>90</v>
      </c>
      <c r="C316" s="5">
        <v>289</v>
      </c>
      <c r="D316" s="6">
        <v>8.73</v>
      </c>
      <c r="E316" t="s">
        <v>35</v>
      </c>
    </row>
    <row r="317" spans="1:5" x14ac:dyDescent="0.25">
      <c r="A317" t="str">
        <f>HYPERLINK("https://www.773grp.com/globalSearch/REF200AUE4/page-1", "REF200AUE4")</f>
        <v>REF200AUE4</v>
      </c>
      <c r="B317" s="3" t="s">
        <v>90</v>
      </c>
      <c r="C317" s="5">
        <v>150</v>
      </c>
      <c r="D317" s="6">
        <v>8.73</v>
      </c>
      <c r="E317" t="s">
        <v>35</v>
      </c>
    </row>
    <row r="318" spans="1:5" x14ac:dyDescent="0.25">
      <c r="A318" t="str">
        <f>HYPERLINK("https://www.773grp.com/globalSearch/BQ2019PW/page-1", "BQ2019PW")</f>
        <v>BQ2019PW</v>
      </c>
      <c r="B318" s="3" t="s">
        <v>90</v>
      </c>
      <c r="C318" s="5">
        <v>12575</v>
      </c>
      <c r="D318" s="6">
        <v>8.81</v>
      </c>
      <c r="E318" t="s">
        <v>35</v>
      </c>
    </row>
    <row r="319" spans="1:5" x14ac:dyDescent="0.25">
      <c r="A319" t="str">
        <f>HYPERLINK("https://www.773grp.com/globalSearch/UCC2837D/page-1", "UCC2837D")</f>
        <v>UCC2837D</v>
      </c>
      <c r="B319" s="3" t="s">
        <v>90</v>
      </c>
      <c r="C319" s="5">
        <v>13640</v>
      </c>
      <c r="D319" s="6">
        <v>8.83</v>
      </c>
      <c r="E319" t="s">
        <v>35</v>
      </c>
    </row>
    <row r="320" spans="1:5" x14ac:dyDescent="0.25">
      <c r="A320" t="str">
        <f>HYPERLINK("https://www.773grp.com/globalSearch/UCC2837DG4/page-1", "UCC2837DG4")</f>
        <v>UCC2837DG4</v>
      </c>
      <c r="B320" s="3" t="s">
        <v>90</v>
      </c>
      <c r="C320" s="5">
        <v>15</v>
      </c>
      <c r="D320" s="6">
        <v>8.83</v>
      </c>
      <c r="E320" t="s">
        <v>35</v>
      </c>
    </row>
    <row r="321" spans="1:5" x14ac:dyDescent="0.25">
      <c r="A321" t="str">
        <f>HYPERLINK("https://www.773grp.com/globalSearch/UC2833J/page-1", "UC2833J")</f>
        <v>UC2833J</v>
      </c>
      <c r="B321" s="3" t="s">
        <v>90</v>
      </c>
      <c r="C321" s="5">
        <v>250</v>
      </c>
      <c r="D321" s="6">
        <v>9</v>
      </c>
      <c r="E321" t="s">
        <v>35</v>
      </c>
    </row>
    <row r="322" spans="1:5" x14ac:dyDescent="0.25">
      <c r="A322" t="str">
        <f>HYPERLINK("https://www.773grp.com/globalSearch/UC3833J/page-1", "UC3833J")</f>
        <v>UC3833J</v>
      </c>
      <c r="B322" s="3" t="s">
        <v>90</v>
      </c>
      <c r="C322" s="5">
        <v>825</v>
      </c>
      <c r="D322" s="6">
        <v>9.0299999999999994</v>
      </c>
      <c r="E322" t="s">
        <v>35</v>
      </c>
    </row>
    <row r="323" spans="1:5" x14ac:dyDescent="0.25">
      <c r="A323" t="str">
        <f>HYPERLINK("https://www.773grp.com/globalSearch/BUF22821AIDCPR/page-1", "BUF22821AIDCPR")</f>
        <v>BUF22821AIDCPR</v>
      </c>
      <c r="B323" s="3" t="s">
        <v>90</v>
      </c>
      <c r="C323" s="5">
        <v>1473</v>
      </c>
      <c r="D323" s="6">
        <v>9.15</v>
      </c>
      <c r="E323" t="s">
        <v>35</v>
      </c>
    </row>
    <row r="324" spans="1:5" x14ac:dyDescent="0.25">
      <c r="A324" t="str">
        <f>HYPERLINK("https://www.773grp.com/globalSearch/VCA822IDGST/page-1", "VCA822IDGST")</f>
        <v>VCA822IDGST</v>
      </c>
      <c r="B324" s="3" t="s">
        <v>90</v>
      </c>
      <c r="C324" s="5">
        <v>2000</v>
      </c>
      <c r="D324" s="6">
        <v>9.15</v>
      </c>
      <c r="E324" t="s">
        <v>35</v>
      </c>
    </row>
    <row r="325" spans="1:5" x14ac:dyDescent="0.25">
      <c r="A325" t="str">
        <f>HYPERLINK("https://www.773grp.com/globalSearch/UC2901D/page-1", "UC2901D")</f>
        <v>UC2901D</v>
      </c>
      <c r="B325" s="3" t="s">
        <v>90</v>
      </c>
      <c r="C325" s="5">
        <v>9814</v>
      </c>
      <c r="D325" s="6">
        <v>9.23</v>
      </c>
      <c r="E325" t="s">
        <v>35</v>
      </c>
    </row>
    <row r="326" spans="1:5" x14ac:dyDescent="0.25">
      <c r="A326" t="str">
        <f>HYPERLINK("https://www.773grp.com/globalSearch/UC2901D/page-1", "UC2901D")</f>
        <v>UC2901D</v>
      </c>
      <c r="B326" s="3" t="s">
        <v>90</v>
      </c>
      <c r="C326" s="5">
        <v>12</v>
      </c>
      <c r="D326" s="6">
        <v>9.23</v>
      </c>
      <c r="E326" t="s">
        <v>35</v>
      </c>
    </row>
    <row r="327" spans="1:5" x14ac:dyDescent="0.25">
      <c r="A327" t="str">
        <f>HYPERLINK("https://www.773grp.com/globalSearch/UC2901Q/page-1", "UC2901Q")</f>
        <v>UC2901Q</v>
      </c>
      <c r="B327" s="3" t="s">
        <v>90</v>
      </c>
      <c r="C327" s="5">
        <v>3369</v>
      </c>
      <c r="D327" s="6">
        <v>9.23</v>
      </c>
      <c r="E327" t="s">
        <v>35</v>
      </c>
    </row>
    <row r="328" spans="1:5" x14ac:dyDescent="0.25">
      <c r="A328" t="str">
        <f>HYPERLINK("https://www.773grp.com/globalSearch/UC2901Q/page-1", "UC2901Q")</f>
        <v>UC2901Q</v>
      </c>
      <c r="B328" s="3" t="s">
        <v>90</v>
      </c>
      <c r="C328" s="5">
        <v>3721</v>
      </c>
      <c r="D328" s="6">
        <v>9.23</v>
      </c>
      <c r="E328" t="s">
        <v>35</v>
      </c>
    </row>
    <row r="329" spans="1:5" x14ac:dyDescent="0.25">
      <c r="A329" t="str">
        <f>HYPERLINK("https://www.773grp.com/globalSearch/ADS1203IPWT/page-1", "ADS1203IPWT")</f>
        <v>ADS1203IPWT</v>
      </c>
      <c r="B329" s="3" t="s">
        <v>90</v>
      </c>
      <c r="C329" s="5">
        <v>10401</v>
      </c>
      <c r="D329" s="6">
        <v>9.2899999999999991</v>
      </c>
      <c r="E329" t="s">
        <v>35</v>
      </c>
    </row>
    <row r="330" spans="1:5" x14ac:dyDescent="0.25">
      <c r="A330" t="str">
        <f>HYPERLINK("https://www.773grp.com/globalSearch/UC39432BD/page-1", "UC39432BD")</f>
        <v>UC39432BD</v>
      </c>
      <c r="B330" s="3" t="s">
        <v>90</v>
      </c>
      <c r="C330" s="5">
        <v>14485</v>
      </c>
      <c r="D330" s="6">
        <v>9.2899999999999991</v>
      </c>
      <c r="E330" t="s">
        <v>35</v>
      </c>
    </row>
    <row r="331" spans="1:5" x14ac:dyDescent="0.25">
      <c r="A331" t="str">
        <f>HYPERLINK("https://www.773grp.com/globalSearch/UC39432BD/page-1", "UC39432BD")</f>
        <v>UC39432BD</v>
      </c>
      <c r="B331" s="3" t="s">
        <v>90</v>
      </c>
      <c r="C331" s="5">
        <v>72</v>
      </c>
      <c r="D331" s="6">
        <v>9.2899999999999991</v>
      </c>
      <c r="E331" t="s">
        <v>35</v>
      </c>
    </row>
    <row r="332" spans="1:5" x14ac:dyDescent="0.25">
      <c r="A332" t="str">
        <f>HYPERLINK("https://www.773grp.com/globalSearch/TPS65072RSLR/page-1", "TPS65072RSLR")</f>
        <v>TPS65072RSLR</v>
      </c>
      <c r="B332" s="3" t="s">
        <v>90</v>
      </c>
      <c r="C332" s="5">
        <v>2500</v>
      </c>
      <c r="D332" s="6">
        <v>9.56</v>
      </c>
      <c r="E332" t="s">
        <v>35</v>
      </c>
    </row>
    <row r="333" spans="1:5" x14ac:dyDescent="0.25">
      <c r="A333" t="str">
        <f>HYPERLINK("https://www.773grp.com/globalSearch/VCA822ID/page-1", "VCA822ID")</f>
        <v>VCA822ID</v>
      </c>
      <c r="B333" s="3" t="s">
        <v>90</v>
      </c>
      <c r="C333" s="5">
        <v>825</v>
      </c>
      <c r="D333" s="6">
        <v>9.56</v>
      </c>
      <c r="E333" t="s">
        <v>35</v>
      </c>
    </row>
    <row r="334" spans="1:5" x14ac:dyDescent="0.25">
      <c r="A334" t="str">
        <f>HYPERLINK("https://www.773grp.com/globalSearch/VCA824IDGSR/page-1", "VCA824IDGSR")</f>
        <v>VCA824IDGSR</v>
      </c>
      <c r="B334" s="3" t="s">
        <v>90</v>
      </c>
      <c r="C334" s="5">
        <v>4950</v>
      </c>
      <c r="D334" s="6">
        <v>9.84</v>
      </c>
      <c r="E334" t="s">
        <v>35</v>
      </c>
    </row>
    <row r="335" spans="1:5" x14ac:dyDescent="0.25">
      <c r="A335" t="str">
        <f>HYPERLINK("https://www.773grp.com/globalSearch/UC2833N/page-1", "UC2833N")</f>
        <v>UC2833N</v>
      </c>
      <c r="B335" s="3" t="s">
        <v>90</v>
      </c>
      <c r="C335" s="5">
        <v>500</v>
      </c>
      <c r="D335" s="6">
        <v>9.9</v>
      </c>
      <c r="E335" t="s">
        <v>35</v>
      </c>
    </row>
    <row r="336" spans="1:5" x14ac:dyDescent="0.25">
      <c r="A336" t="str">
        <f>HYPERLINK("https://www.773grp.com/globalSearch/UC3833N/page-1", "UC3833N")</f>
        <v>UC3833N</v>
      </c>
      <c r="B336" s="3" t="s">
        <v>90</v>
      </c>
      <c r="C336" s="5">
        <v>1755</v>
      </c>
      <c r="D336" s="6">
        <v>9.9</v>
      </c>
      <c r="E336" t="s">
        <v>35</v>
      </c>
    </row>
    <row r="337" spans="1:5" x14ac:dyDescent="0.25">
      <c r="A337" t="str">
        <f>HYPERLINK("https://www.773grp.com/globalSearch/UC3833N/page-1", "UC3833N")</f>
        <v>UC3833N</v>
      </c>
      <c r="B337" s="3" t="s">
        <v>90</v>
      </c>
      <c r="C337" s="5">
        <v>300</v>
      </c>
      <c r="D337" s="6">
        <v>9.9</v>
      </c>
      <c r="E337" t="s">
        <v>35</v>
      </c>
    </row>
    <row r="338" spans="1:5" x14ac:dyDescent="0.25">
      <c r="A338" t="str">
        <f>HYPERLINK("https://www.773grp.com/globalSearch/VCA820ID/page-1", "VCA820ID")</f>
        <v>VCA820ID</v>
      </c>
      <c r="B338" s="3" t="s">
        <v>90</v>
      </c>
      <c r="C338" s="5">
        <v>482</v>
      </c>
      <c r="D338" s="6">
        <v>9.93</v>
      </c>
      <c r="E338" t="s">
        <v>35</v>
      </c>
    </row>
    <row r="339" spans="1:5" x14ac:dyDescent="0.25">
      <c r="A339" t="str">
        <f>HYPERLINK("https://www.773grp.com/globalSearch/THS7001CPWP/page-1", "THS7001CPWP")</f>
        <v>THS7001CPWP</v>
      </c>
      <c r="B339" s="3" t="s">
        <v>90</v>
      </c>
      <c r="C339" s="5">
        <v>288</v>
      </c>
      <c r="D339" s="6">
        <v>9.99</v>
      </c>
      <c r="E339" t="s">
        <v>35</v>
      </c>
    </row>
    <row r="340" spans="1:5" x14ac:dyDescent="0.25">
      <c r="A340" t="str">
        <f>HYPERLINK("https://www.773grp.com/globalSearch/THS7001IPWP/page-1", "THS7001IPWP")</f>
        <v>THS7001IPWP</v>
      </c>
      <c r="B340" s="3" t="s">
        <v>90</v>
      </c>
      <c r="C340" s="5">
        <v>8759</v>
      </c>
      <c r="D340" s="6">
        <v>9.99</v>
      </c>
      <c r="E340" t="s">
        <v>35</v>
      </c>
    </row>
    <row r="341" spans="1:5" x14ac:dyDescent="0.25">
      <c r="A341" t="str">
        <f>HYPERLINK("https://www.773grp.com/globalSearch/TLC320AD52CPT/page-1", "TLC320AD52CPT")</f>
        <v>TLC320AD52CPT</v>
      </c>
      <c r="B341" s="3" t="s">
        <v>90</v>
      </c>
      <c r="C341" s="5">
        <v>1337</v>
      </c>
      <c r="D341" s="6">
        <v>10.09</v>
      </c>
      <c r="E341" t="s">
        <v>35</v>
      </c>
    </row>
    <row r="342" spans="1:5" x14ac:dyDescent="0.25">
      <c r="A342" t="str">
        <f>HYPERLINK("https://www.773grp.com/globalSearch/UC39432BN/page-1", "UC39432BN")</f>
        <v>UC39432BN</v>
      </c>
      <c r="B342" s="3" t="s">
        <v>90</v>
      </c>
      <c r="C342" s="5">
        <v>8700</v>
      </c>
      <c r="D342" s="6">
        <v>10.41</v>
      </c>
      <c r="E342" t="s">
        <v>35</v>
      </c>
    </row>
    <row r="343" spans="1:5" x14ac:dyDescent="0.25">
      <c r="A343" t="str">
        <f>HYPERLINK("https://www.773grp.com/globalSearch/AMC1203PSA/page-1", "AMC1203PSA")</f>
        <v>AMC1203PSA</v>
      </c>
      <c r="B343" s="3" t="s">
        <v>90</v>
      </c>
      <c r="C343" s="5">
        <v>130</v>
      </c>
      <c r="D343" s="6">
        <v>10.84</v>
      </c>
      <c r="E343" t="s">
        <v>35</v>
      </c>
    </row>
    <row r="344" spans="1:5" x14ac:dyDescent="0.25">
      <c r="A344" t="str">
        <f>HYPERLINK("https://www.773grp.com/globalSearch/BUF20820AIDCPR/page-1", "BUF20820AIDCPR")</f>
        <v>BUF20820AIDCPR</v>
      </c>
      <c r="B344" s="3" t="s">
        <v>90</v>
      </c>
      <c r="C344" s="5">
        <v>52000</v>
      </c>
      <c r="D344" s="6">
        <v>10.98</v>
      </c>
      <c r="E344" t="s">
        <v>35</v>
      </c>
    </row>
    <row r="345" spans="1:5" x14ac:dyDescent="0.25">
      <c r="A345" t="str">
        <f>HYPERLINK("https://www.773grp.com/globalSearch/XTR112UA/page-1", "XTR112UA")</f>
        <v>XTR112UA</v>
      </c>
      <c r="B345" s="3" t="s">
        <v>90</v>
      </c>
      <c r="C345" s="5">
        <v>983</v>
      </c>
      <c r="D345" s="6">
        <v>11.25</v>
      </c>
      <c r="E345" t="s">
        <v>35</v>
      </c>
    </row>
    <row r="346" spans="1:5" x14ac:dyDescent="0.25">
      <c r="A346" t="str">
        <f>HYPERLINK("https://www.773grp.com/globalSearch/XTR114UA/page-1", "XTR114UA")</f>
        <v>XTR114UA</v>
      </c>
      <c r="B346" s="3" t="s">
        <v>90</v>
      </c>
      <c r="C346" s="5">
        <v>11979</v>
      </c>
      <c r="D346" s="6">
        <v>11.25</v>
      </c>
      <c r="E346" t="s">
        <v>35</v>
      </c>
    </row>
    <row r="347" spans="1:5" x14ac:dyDescent="0.25">
      <c r="A347" t="str">
        <f>HYPERLINK("https://www.773grp.com/globalSearch/XTR114UA/page-1", "XTR114UA")</f>
        <v>XTR114UA</v>
      </c>
      <c r="B347" s="3" t="s">
        <v>90</v>
      </c>
      <c r="C347" s="5">
        <v>2552</v>
      </c>
      <c r="D347" s="6">
        <v>11.25</v>
      </c>
      <c r="E347" t="s">
        <v>35</v>
      </c>
    </row>
    <row r="348" spans="1:5" x14ac:dyDescent="0.25">
      <c r="A348" t="str">
        <f>HYPERLINK("https://www.773grp.com/globalSearch/AMC1203DUB/page-1", "AMC1203DUB")</f>
        <v>AMC1203DUB</v>
      </c>
      <c r="B348" s="3" t="s">
        <v>90</v>
      </c>
      <c r="C348" s="5">
        <v>700</v>
      </c>
      <c r="D348" s="6">
        <v>11.39</v>
      </c>
      <c r="E348" t="s">
        <v>35</v>
      </c>
    </row>
    <row r="349" spans="1:5" x14ac:dyDescent="0.25">
      <c r="A349" t="str">
        <f>HYPERLINK("https://www.773grp.com/globalSearch/VCA821IDGST/page-1", "VCA821IDGST")</f>
        <v>VCA821IDGST</v>
      </c>
      <c r="B349" s="3" t="s">
        <v>90</v>
      </c>
      <c r="C349" s="5">
        <v>1243</v>
      </c>
      <c r="D349" s="6">
        <v>11.39</v>
      </c>
      <c r="E349" t="s">
        <v>35</v>
      </c>
    </row>
    <row r="350" spans="1:5" x14ac:dyDescent="0.25">
      <c r="A350" t="str">
        <f>HYPERLINK("https://www.773grp.com/globalSearch/VCA824IDGST/page-1", "VCA824IDGST")</f>
        <v>VCA824IDGST</v>
      </c>
      <c r="B350" s="3" t="s">
        <v>90</v>
      </c>
      <c r="C350" s="5">
        <v>9441</v>
      </c>
      <c r="D350" s="6">
        <v>11.39</v>
      </c>
      <c r="E350" t="s">
        <v>35</v>
      </c>
    </row>
    <row r="351" spans="1:5" x14ac:dyDescent="0.25">
      <c r="A351" t="str">
        <f>HYPERLINK("https://www.773grp.com/globalSearch/THS770012IRGER/page-1", "THS770012IRGER")</f>
        <v>THS770012IRGER</v>
      </c>
      <c r="B351" s="3" t="s">
        <v>90</v>
      </c>
      <c r="C351" s="5">
        <v>6000</v>
      </c>
      <c r="D351" s="6">
        <v>11.53</v>
      </c>
      <c r="E351" t="s">
        <v>35</v>
      </c>
    </row>
    <row r="352" spans="1:5" x14ac:dyDescent="0.25">
      <c r="A352" t="str">
        <f>HYPERLINK("https://www.773grp.com/globalSearch/TPS65073RSLT/page-1", "TPS65073RSLT")</f>
        <v>TPS65073RSLT</v>
      </c>
      <c r="B352" s="3" t="s">
        <v>90</v>
      </c>
      <c r="C352" s="5">
        <v>2692</v>
      </c>
      <c r="D352" s="6">
        <v>11.65</v>
      </c>
      <c r="E352" t="s">
        <v>35</v>
      </c>
    </row>
    <row r="353" spans="1:5" x14ac:dyDescent="0.25">
      <c r="A353" t="str">
        <f>HYPERLINK("https://www.773grp.com/globalSearch/UC2838AN/page-1", "UC2838AN")</f>
        <v>UC2838AN</v>
      </c>
      <c r="B353" s="3" t="s">
        <v>90</v>
      </c>
      <c r="C353" s="5">
        <v>225</v>
      </c>
      <c r="D353" s="6">
        <v>11.68</v>
      </c>
      <c r="E353" t="s">
        <v>35</v>
      </c>
    </row>
    <row r="354" spans="1:5" x14ac:dyDescent="0.25">
      <c r="A354" t="str">
        <f>HYPERLINK("https://www.773grp.com/globalSearch/TLC320AD56CFN/page-1", "TLC320AD56CFN")</f>
        <v>TLC320AD56CFN</v>
      </c>
      <c r="B354" s="3" t="s">
        <v>90</v>
      </c>
      <c r="C354" s="5">
        <v>13355</v>
      </c>
      <c r="D354" s="6">
        <v>11.73</v>
      </c>
      <c r="E354" t="s">
        <v>35</v>
      </c>
    </row>
    <row r="355" spans="1:5" x14ac:dyDescent="0.25">
      <c r="A355" t="str">
        <f>HYPERLINK("https://www.773grp.com/globalSearch/UC3833DW/page-1", "UC3833DW")</f>
        <v>UC3833DW</v>
      </c>
      <c r="B355" s="3" t="s">
        <v>90</v>
      </c>
      <c r="C355" s="5">
        <v>6160</v>
      </c>
      <c r="D355" s="6">
        <v>11.78</v>
      </c>
      <c r="E355" t="s">
        <v>35</v>
      </c>
    </row>
    <row r="356" spans="1:5" x14ac:dyDescent="0.25">
      <c r="A356" t="str">
        <f>HYPERLINK("https://www.773grp.com/globalSearch/UC3833DW/page-1", "UC3833DW")</f>
        <v>UC3833DW</v>
      </c>
      <c r="B356" s="3" t="s">
        <v>90</v>
      </c>
      <c r="C356" s="5">
        <v>40</v>
      </c>
      <c r="D356" s="6">
        <v>11.78</v>
      </c>
      <c r="E356" t="s">
        <v>35</v>
      </c>
    </row>
    <row r="357" spans="1:5" x14ac:dyDescent="0.25">
      <c r="A357" t="str">
        <f>HYPERLINK("https://www.773grp.com/globalSearch/UC3833DW/page-1", "UC3833DW")</f>
        <v>UC3833DW</v>
      </c>
      <c r="B357" s="3" t="s">
        <v>90</v>
      </c>
      <c r="C357" s="5">
        <v>5408</v>
      </c>
      <c r="D357" s="6">
        <v>11.78</v>
      </c>
      <c r="E357" t="s">
        <v>35</v>
      </c>
    </row>
    <row r="358" spans="1:5" x14ac:dyDescent="0.25">
      <c r="A358" t="str">
        <f>HYPERLINK("https://www.773grp.com/globalSearch/UC3832DWTR/page-1", "UC3832DWTR")</f>
        <v>UC3832DWTR</v>
      </c>
      <c r="B358" s="3" t="s">
        <v>90</v>
      </c>
      <c r="C358" s="5">
        <v>6000</v>
      </c>
      <c r="D358" s="6">
        <v>11.81</v>
      </c>
      <c r="E358" t="s">
        <v>35</v>
      </c>
    </row>
    <row r="359" spans="1:5" x14ac:dyDescent="0.25">
      <c r="A359" t="str">
        <f>HYPERLINK("https://www.773grp.com/globalSearch/UC3832N/page-1", "UC3832N")</f>
        <v>UC3832N</v>
      </c>
      <c r="B359" s="3" t="s">
        <v>90</v>
      </c>
      <c r="C359" s="5">
        <v>6579</v>
      </c>
      <c r="D359" s="6">
        <v>11.81</v>
      </c>
      <c r="E359" t="s">
        <v>35</v>
      </c>
    </row>
    <row r="360" spans="1:5" x14ac:dyDescent="0.25">
      <c r="A360" t="str">
        <f>HYPERLINK("https://www.773grp.com/globalSearch/UC3832N/page-1", "UC3832N")</f>
        <v>UC3832N</v>
      </c>
      <c r="B360" s="3" t="s">
        <v>90</v>
      </c>
      <c r="C360" s="5">
        <v>5200</v>
      </c>
      <c r="D360" s="6">
        <v>11.81</v>
      </c>
      <c r="E360" t="s">
        <v>35</v>
      </c>
    </row>
    <row r="361" spans="1:5" x14ac:dyDescent="0.25">
      <c r="A361" t="str">
        <f>HYPERLINK("https://www.773grp.com/globalSearch/VCA821ID/page-1", "VCA821ID")</f>
        <v>VCA821ID</v>
      </c>
      <c r="B361" s="3" t="s">
        <v>90</v>
      </c>
      <c r="C361" s="5">
        <v>3767</v>
      </c>
      <c r="D361" s="6">
        <v>11.81</v>
      </c>
      <c r="E361" t="s">
        <v>35</v>
      </c>
    </row>
    <row r="362" spans="1:5" x14ac:dyDescent="0.25">
      <c r="A362" t="str">
        <f>HYPERLINK("https://www.773grp.com/globalSearch/VCA824ID/page-1", "VCA824ID")</f>
        <v>VCA824ID</v>
      </c>
      <c r="B362" s="3" t="s">
        <v>90</v>
      </c>
      <c r="C362" s="5">
        <v>5247</v>
      </c>
      <c r="D362" s="6">
        <v>11.81</v>
      </c>
      <c r="E362" t="s">
        <v>35</v>
      </c>
    </row>
    <row r="363" spans="1:5" x14ac:dyDescent="0.25">
      <c r="A363" t="str">
        <f>HYPERLINK("https://www.773grp.com/globalSearch/VCA824IDG4/page-1", "VCA824IDG4")</f>
        <v>VCA824IDG4</v>
      </c>
      <c r="B363" s="3" t="s">
        <v>90</v>
      </c>
      <c r="C363" s="5">
        <v>20</v>
      </c>
      <c r="D363" s="6">
        <v>11.81</v>
      </c>
      <c r="E363" t="s">
        <v>35</v>
      </c>
    </row>
    <row r="364" spans="1:5" x14ac:dyDescent="0.25">
      <c r="A364" t="str">
        <f>HYPERLINK("https://www.773grp.com/globalSearch/TLC320AC01CFN/page-1", "TLC320AC01CFN")</f>
        <v>TLC320AC01CFN</v>
      </c>
      <c r="B364" s="3" t="s">
        <v>90</v>
      </c>
      <c r="C364" s="5">
        <v>18</v>
      </c>
      <c r="D364" s="6">
        <v>12.1</v>
      </c>
      <c r="E364" t="s">
        <v>35</v>
      </c>
    </row>
    <row r="365" spans="1:5" x14ac:dyDescent="0.25">
      <c r="A365" t="str">
        <f>HYPERLINK("https://www.773grp.com/globalSearch/TLC320AC01CPM/page-1", "TLC320AC01CPM")</f>
        <v>TLC320AC01CPM</v>
      </c>
      <c r="B365" s="3" t="s">
        <v>90</v>
      </c>
      <c r="C365" s="5">
        <v>462</v>
      </c>
      <c r="D365" s="6">
        <v>12.1</v>
      </c>
      <c r="E365" t="s">
        <v>35</v>
      </c>
    </row>
    <row r="366" spans="1:5" x14ac:dyDescent="0.25">
      <c r="A366" t="str">
        <f>HYPERLINK("https://www.773grp.com/globalSearch/TLC320AC01CPMR/page-1", "TLC320AC01CPMR")</f>
        <v>TLC320AC01CPMR</v>
      </c>
      <c r="B366" s="3" t="s">
        <v>90</v>
      </c>
      <c r="C366" s="5">
        <v>21000</v>
      </c>
      <c r="D366" s="6">
        <v>12.1</v>
      </c>
      <c r="E366" t="s">
        <v>35</v>
      </c>
    </row>
    <row r="367" spans="1:5" x14ac:dyDescent="0.25">
      <c r="A367" t="str">
        <f>HYPERLINK("https://www.773grp.com/globalSearch/TLC320AC02CFN/page-1", "TLC320AC02CFN")</f>
        <v>TLC320AC02CFN</v>
      </c>
      <c r="B367" s="3" t="s">
        <v>90</v>
      </c>
      <c r="C367" s="5">
        <v>415</v>
      </c>
      <c r="D367" s="6">
        <v>12.1</v>
      </c>
      <c r="E367" t="s">
        <v>35</v>
      </c>
    </row>
    <row r="368" spans="1:5" x14ac:dyDescent="0.25">
      <c r="A368" t="str">
        <f>HYPERLINK("https://www.773grp.com/globalSearch/TLC320AC02CFNR/page-1", "TLC320AC02CFNR")</f>
        <v>TLC320AC02CFNR</v>
      </c>
      <c r="B368" s="3" t="s">
        <v>90</v>
      </c>
      <c r="C368" s="5">
        <v>1500</v>
      </c>
      <c r="D368" s="6">
        <v>12.1</v>
      </c>
      <c r="E368" t="s">
        <v>35</v>
      </c>
    </row>
    <row r="369" spans="1:5" x14ac:dyDescent="0.25">
      <c r="A369" t="str">
        <f>HYPERLINK("https://www.773grp.com/globalSearch/TLC320AC02CPM/page-1", "TLC320AC02CPM")</f>
        <v>TLC320AC02CPM</v>
      </c>
      <c r="B369" s="3" t="s">
        <v>90</v>
      </c>
      <c r="C369" s="5">
        <v>1154</v>
      </c>
      <c r="D369" s="6">
        <v>12.1</v>
      </c>
      <c r="E369" t="s">
        <v>35</v>
      </c>
    </row>
    <row r="370" spans="1:5" x14ac:dyDescent="0.25">
      <c r="A370" t="str">
        <f>HYPERLINK("https://www.773grp.com/globalSearch/TLC320AC02IFN/page-1", "TLC320AC02IFN")</f>
        <v>TLC320AC02IFN</v>
      </c>
      <c r="B370" s="3" t="s">
        <v>90</v>
      </c>
      <c r="C370" s="5">
        <v>654</v>
      </c>
      <c r="D370" s="6">
        <v>12.1</v>
      </c>
      <c r="E370" t="s">
        <v>35</v>
      </c>
    </row>
    <row r="371" spans="1:5" x14ac:dyDescent="0.25">
      <c r="A371" t="str">
        <f>HYPERLINK("https://www.773grp.com/globalSearch/TLC320AC02IPM/page-1", "TLC320AC02IPM")</f>
        <v>TLC320AC02IPM</v>
      </c>
      <c r="B371" s="3" t="s">
        <v>90</v>
      </c>
      <c r="C371" s="5">
        <v>819</v>
      </c>
      <c r="D371" s="6">
        <v>12.1</v>
      </c>
      <c r="E371" t="s">
        <v>35</v>
      </c>
    </row>
    <row r="372" spans="1:5" x14ac:dyDescent="0.25">
      <c r="A372" t="str">
        <f>HYPERLINK("https://www.773grp.com/globalSearch/UC2832TDWEP/page-1", "UC2832TDWEP")</f>
        <v>UC2832TDWEP</v>
      </c>
      <c r="B372" s="3" t="str">
        <f>HYPERLINK("https://www.773grp.com/manufacturer/texas-instruments?pageNo=65", "Texas Instruments")</f>
        <v>Texas Instruments</v>
      </c>
      <c r="C372" s="5">
        <v>83</v>
      </c>
      <c r="D372" s="6">
        <v>12.24</v>
      </c>
      <c r="E372" t="s">
        <v>35</v>
      </c>
    </row>
    <row r="373" spans="1:5" x14ac:dyDescent="0.25">
      <c r="A373" t="str">
        <f>HYPERLINK("https://www.773grp.com/globalSearch/AMC1203BDW/page-1", "AMC1203BDW")</f>
        <v>AMC1203BDW</v>
      </c>
      <c r="B373" s="3" t="str">
        <f>HYPERLINK("https://www.773grp.com/manufacturer/texas-instruments?pageNo=113", "Texas Instruments")</f>
        <v>Texas Instruments</v>
      </c>
      <c r="C373" s="5">
        <v>320</v>
      </c>
      <c r="D373" s="6">
        <v>12.38</v>
      </c>
      <c r="E373" t="s">
        <v>35</v>
      </c>
    </row>
    <row r="374" spans="1:5" x14ac:dyDescent="0.25">
      <c r="A374" t="str">
        <f>HYPERLINK("https://www.773grp.com/globalSearch/AMC1203BPSA/page-1", "AMC1203BPSA")</f>
        <v>AMC1203BPSA</v>
      </c>
      <c r="B374" s="3" t="str">
        <f>HYPERLINK("https://www.773grp.com/manufacturer/texas-instruments?pageNo=114", "Texas Instruments")</f>
        <v>Texas Instruments</v>
      </c>
      <c r="C374" s="5">
        <v>712</v>
      </c>
      <c r="D374" s="6">
        <v>12.38</v>
      </c>
      <c r="E374" t="s">
        <v>35</v>
      </c>
    </row>
    <row r="375" spans="1:5" x14ac:dyDescent="0.25">
      <c r="A375" t="str">
        <f>HYPERLINK("https://www.773grp.com/globalSearch/UC2835D/page-1", "UC2835D")</f>
        <v>UC2835D</v>
      </c>
      <c r="B375" s="3" t="str">
        <f>HYPERLINK("https://www.773grp.com/manufacturer/texas-instruments?pageNo=340", "Texas Instruments")</f>
        <v>Texas Instruments</v>
      </c>
      <c r="C375" s="5">
        <v>15158</v>
      </c>
      <c r="D375" s="6">
        <v>12.71</v>
      </c>
      <c r="E375" t="s">
        <v>35</v>
      </c>
    </row>
    <row r="376" spans="1:5" x14ac:dyDescent="0.25">
      <c r="A376" t="str">
        <f>HYPERLINK("https://www.773grp.com/globalSearch/UC2835N/page-1", "UC2835N")</f>
        <v>UC2835N</v>
      </c>
      <c r="B376" s="3" t="str">
        <f>HYPERLINK("https://www.773grp.com/manufacturer/texas-instruments?pageNo=341", "Texas Instruments")</f>
        <v>Texas Instruments</v>
      </c>
      <c r="C376" s="5">
        <v>5056</v>
      </c>
      <c r="D376" s="6">
        <v>12.71</v>
      </c>
      <c r="E376" t="s">
        <v>35</v>
      </c>
    </row>
    <row r="377" spans="1:5" x14ac:dyDescent="0.25">
      <c r="A377" t="str">
        <f>HYPERLINK("https://www.773grp.com/globalSearch/UC2835N/page-1", "UC2835N")</f>
        <v>UC2835N</v>
      </c>
      <c r="B377" s="3" t="str">
        <f>HYPERLINK("https://www.773grp.com/manufacturer/texas-instruments?pageNo=342", "Texas Instruments")</f>
        <v>Texas Instruments</v>
      </c>
      <c r="C377" s="5">
        <v>6400</v>
      </c>
      <c r="D377" s="6">
        <v>12.71</v>
      </c>
      <c r="E377" t="s">
        <v>35</v>
      </c>
    </row>
    <row r="378" spans="1:5" x14ac:dyDescent="0.25">
      <c r="A378" t="str">
        <f>HYPERLINK("https://www.773grp.com/globalSearch/UC3835N/page-1", "UC3835N")</f>
        <v>UC3835N</v>
      </c>
      <c r="B378" s="3" t="str">
        <f>HYPERLINK("https://www.773grp.com/manufacturer/texas-instruments?pageNo=343", "Texas Instruments")</f>
        <v>Texas Instruments</v>
      </c>
      <c r="C378" s="5">
        <v>2075</v>
      </c>
      <c r="D378" s="6">
        <v>12.71</v>
      </c>
      <c r="E378" t="s">
        <v>35</v>
      </c>
    </row>
    <row r="379" spans="1:5" x14ac:dyDescent="0.25">
      <c r="A379" t="str">
        <f>HYPERLINK("https://www.773grp.com/globalSearch/UC3835N/page-1", "UC3835N")</f>
        <v>UC3835N</v>
      </c>
      <c r="B379" s="3" t="str">
        <f>HYPERLINK("https://www.773grp.com/manufacturer/texas-instruments?pageNo=344", "Texas Instruments")</f>
        <v>Texas Instruments</v>
      </c>
      <c r="C379" s="5">
        <v>2600</v>
      </c>
      <c r="D379" s="6">
        <v>12.71</v>
      </c>
      <c r="E379" t="s">
        <v>35</v>
      </c>
    </row>
    <row r="380" spans="1:5" x14ac:dyDescent="0.25">
      <c r="A380" t="str">
        <f>HYPERLINK("https://www.773grp.com/globalSearch/IVC102U-2K5/page-1", "IVC102U-2K5")</f>
        <v>IVC102U-2K5</v>
      </c>
      <c r="B380" s="3" t="str">
        <f>HYPERLINK("https://www.773grp.com/manufacturer/texas-instruments?pageNo=368", "Texas Instruments")</f>
        <v>Texas Instruments</v>
      </c>
      <c r="C380" s="5">
        <v>2263</v>
      </c>
      <c r="D380" s="6">
        <v>12.79</v>
      </c>
      <c r="E380" t="s">
        <v>35</v>
      </c>
    </row>
    <row r="381" spans="1:5" x14ac:dyDescent="0.25">
      <c r="A381" t="str">
        <f>HYPERLINK("https://www.773grp.com/globalSearch/AMC1203BDUB/page-1", "AMC1203BDUB")</f>
        <v>AMC1203BDUB</v>
      </c>
      <c r="B381" s="3" t="str">
        <f>HYPERLINK("https://www.773grp.com/manufacturer/texas-instruments?pageNo=431", "Texas Instruments")</f>
        <v>Texas Instruments</v>
      </c>
      <c r="C381" s="5">
        <v>535</v>
      </c>
      <c r="D381" s="6">
        <v>12.94</v>
      </c>
      <c r="E381" t="s">
        <v>35</v>
      </c>
    </row>
    <row r="382" spans="1:5" x14ac:dyDescent="0.25">
      <c r="A382" t="str">
        <f>HYPERLINK("https://www.773grp.com/globalSearch/TPIC83000IPWRQ1/page-1", "TPIC83000IPWRQ1")</f>
        <v>TPIC83000IPWRQ1</v>
      </c>
      <c r="B382" s="3" t="str">
        <f>HYPERLINK("https://www.773grp.com/manufacturer/texas-instruments?pageNo=455", "Texas Instruments")</f>
        <v>Texas Instruments</v>
      </c>
      <c r="C382" s="5">
        <v>1984</v>
      </c>
      <c r="D382" s="6">
        <v>12.94</v>
      </c>
      <c r="E382" t="s">
        <v>35</v>
      </c>
    </row>
    <row r="383" spans="1:5" x14ac:dyDescent="0.25">
      <c r="A383" t="str">
        <f>HYPERLINK("https://www.773grp.com/globalSearch/OPA660AU/page-1", "OPA660AU")</f>
        <v>OPA660AU</v>
      </c>
      <c r="B383" s="3" t="str">
        <f>HYPERLINK("https://www.773grp.com/manufacturer/texas-instruments?pageNo=819", "Texas Instruments")</f>
        <v>Texas Instruments</v>
      </c>
      <c r="C383" s="5">
        <v>1342</v>
      </c>
      <c r="D383" s="6">
        <v>13.64</v>
      </c>
      <c r="E383" t="s">
        <v>35</v>
      </c>
    </row>
    <row r="384" spans="1:5" x14ac:dyDescent="0.25">
      <c r="A384" t="str">
        <f>HYPERLINK("https://www.773grp.com/globalSearch/UC29432DTR/page-1", "UC29432DTR")</f>
        <v>UC29432DTR</v>
      </c>
      <c r="B384" s="3" t="str">
        <f>HYPERLINK("https://www.773grp.com/manufacturer/texas-instruments?pageNo=825", "Texas Instruments")</f>
        <v>Texas Instruments</v>
      </c>
      <c r="C384" s="5">
        <v>17500</v>
      </c>
      <c r="D384" s="6">
        <v>13.64</v>
      </c>
      <c r="E384" t="s">
        <v>35</v>
      </c>
    </row>
    <row r="385" spans="1:5" x14ac:dyDescent="0.25">
      <c r="A385" t="str">
        <f>HYPERLINK("https://www.773grp.com/globalSearch/VSP1021PFB/page-1", "VSP1021PFB")</f>
        <v>VSP1021PFB</v>
      </c>
      <c r="B385" s="3" t="str">
        <f>HYPERLINK("https://www.773grp.com/manufacturer/texas-instruments?pageNo=864", "Texas Instruments")</f>
        <v>Texas Instruments</v>
      </c>
      <c r="C385" s="5">
        <v>5834</v>
      </c>
      <c r="D385" s="6">
        <v>13.73</v>
      </c>
      <c r="E385" t="s">
        <v>35</v>
      </c>
    </row>
    <row r="386" spans="1:5" x14ac:dyDescent="0.25">
      <c r="A386" t="str">
        <f>HYPERLINK("https://www.773grp.com/globalSearch/TLC320AD56CPT/page-1", "TLC320AD56CPT")</f>
        <v>TLC320AD56CPT</v>
      </c>
      <c r="B386" s="3" t="str">
        <f>HYPERLINK("https://www.773grp.com/manufacturer/texas-instruments?pageNo=946", "Texas Instruments")</f>
        <v>Texas Instruments</v>
      </c>
      <c r="C386" s="5">
        <v>2007</v>
      </c>
      <c r="D386" s="6">
        <v>13.89</v>
      </c>
      <c r="E386" t="s">
        <v>35</v>
      </c>
    </row>
    <row r="387" spans="1:5" x14ac:dyDescent="0.25">
      <c r="A387" t="str">
        <f>HYPERLINK("https://www.773grp.com/globalSearch/THS770012IRGET/page-1", "THS770012IRGET")</f>
        <v>THS770012IRGET</v>
      </c>
      <c r="B387" s="3" t="str">
        <f>HYPERLINK("https://www.773grp.com/manufacturer/texas-instruments?pageNo=969", "Texas Instruments")</f>
        <v>Texas Instruments</v>
      </c>
      <c r="C387" s="5">
        <v>739</v>
      </c>
      <c r="D387" s="6">
        <v>13.93</v>
      </c>
      <c r="E387" t="s">
        <v>35</v>
      </c>
    </row>
    <row r="388" spans="1:5" x14ac:dyDescent="0.25">
      <c r="A388" t="str">
        <f>HYPERLINK("https://www.773grp.com/globalSearch/UC2832DW/page-1", "UC2832DW")</f>
        <v>UC2832DW</v>
      </c>
      <c r="B388" s="3" t="s">
        <v>90</v>
      </c>
      <c r="C388" s="5">
        <v>12851</v>
      </c>
      <c r="D388" s="6">
        <v>14.06</v>
      </c>
      <c r="E388" t="s">
        <v>35</v>
      </c>
    </row>
    <row r="389" spans="1:5" x14ac:dyDescent="0.25">
      <c r="A389" t="str">
        <f>HYPERLINK("https://www.773grp.com/globalSearch/UC3832DW/page-1", "UC3832DW")</f>
        <v>UC3832DW</v>
      </c>
      <c r="B389" s="3" t="s">
        <v>90</v>
      </c>
      <c r="C389" s="5">
        <v>201</v>
      </c>
      <c r="D389" s="6">
        <v>14.06</v>
      </c>
      <c r="E389" t="s">
        <v>35</v>
      </c>
    </row>
    <row r="390" spans="1:5" x14ac:dyDescent="0.25">
      <c r="A390" t="str">
        <f>HYPERLINK("https://www.773grp.com/globalSearch/UC3832DW/page-1", "UC3832DW")</f>
        <v>UC3832DW</v>
      </c>
      <c r="B390" s="3" t="s">
        <v>90</v>
      </c>
      <c r="C390" s="5">
        <v>1395</v>
      </c>
      <c r="D390" s="6">
        <v>14.06</v>
      </c>
      <c r="E390" t="s">
        <v>35</v>
      </c>
    </row>
    <row r="391" spans="1:5" x14ac:dyDescent="0.25">
      <c r="A391" t="str">
        <f>HYPERLINK("https://www.773grp.com/globalSearch/TL502CN/page-1", "TL502CN")</f>
        <v>TL502CN</v>
      </c>
      <c r="B391" s="3" t="s">
        <v>90</v>
      </c>
      <c r="C391" s="5">
        <v>3800</v>
      </c>
      <c r="D391" s="6">
        <v>14.81</v>
      </c>
      <c r="E391" t="s">
        <v>35</v>
      </c>
    </row>
    <row r="392" spans="1:5" x14ac:dyDescent="0.25">
      <c r="A392" t="str">
        <f>HYPERLINK("https://www.773grp.com/globalSearch/AMC7820Y-250/page-1", "AMC7820Y-250")</f>
        <v>AMC7820Y-250</v>
      </c>
      <c r="B392" s="3" t="s">
        <v>90</v>
      </c>
      <c r="C392" s="5">
        <v>1145</v>
      </c>
      <c r="D392" s="6">
        <v>15.19</v>
      </c>
      <c r="E392" t="s">
        <v>35</v>
      </c>
    </row>
    <row r="393" spans="1:5" x14ac:dyDescent="0.25">
      <c r="A393" t="str">
        <f>HYPERLINK("https://www.773grp.com/globalSearch/TLV987CPFB/page-1", "TLV987CPFB")</f>
        <v>TLV987CPFB</v>
      </c>
      <c r="B393" s="3" t="s">
        <v>90</v>
      </c>
      <c r="C393" s="5">
        <v>87</v>
      </c>
      <c r="D393" s="6">
        <v>15.19</v>
      </c>
      <c r="E393" t="s">
        <v>35</v>
      </c>
    </row>
    <row r="394" spans="1:5" x14ac:dyDescent="0.25">
      <c r="A394" t="str">
        <f>HYPERLINK("https://www.773grp.com/globalSearch/UC2836DTR/page-1", "UC2836DTR")</f>
        <v>UC2836DTR</v>
      </c>
      <c r="B394" s="3" t="s">
        <v>90</v>
      </c>
      <c r="C394" s="5">
        <v>2500</v>
      </c>
      <c r="D394" s="6">
        <v>15.19</v>
      </c>
      <c r="E394" t="s">
        <v>35</v>
      </c>
    </row>
    <row r="395" spans="1:5" x14ac:dyDescent="0.25">
      <c r="A395" t="str">
        <f>HYPERLINK("https://www.773grp.com/globalSearch/UC2836N/page-1", "UC2836N")</f>
        <v>UC2836N</v>
      </c>
      <c r="B395" s="3" t="s">
        <v>90</v>
      </c>
      <c r="C395" s="5">
        <v>2515</v>
      </c>
      <c r="D395" s="6">
        <v>15.19</v>
      </c>
      <c r="E395" t="s">
        <v>35</v>
      </c>
    </row>
    <row r="396" spans="1:5" x14ac:dyDescent="0.25">
      <c r="A396" t="str">
        <f>HYPERLINK("https://www.773grp.com/globalSearch/IVC102U/page-1", "IVC102U")</f>
        <v>IVC102U</v>
      </c>
      <c r="B396" s="3" t="s">
        <v>90</v>
      </c>
      <c r="C396" s="5">
        <v>2096</v>
      </c>
      <c r="D396" s="6">
        <v>15.33</v>
      </c>
      <c r="E396" t="s">
        <v>35</v>
      </c>
    </row>
    <row r="397" spans="1:5" x14ac:dyDescent="0.25">
      <c r="A397" t="str">
        <f>HYPERLINK("https://www.773grp.com/globalSearch/OPA660AP/page-1", "OPA660AP")</f>
        <v>OPA660AP</v>
      </c>
      <c r="B397" s="3" t="s">
        <v>90</v>
      </c>
      <c r="C397" s="5">
        <v>7127</v>
      </c>
      <c r="D397" s="6">
        <v>15.61</v>
      </c>
      <c r="E397" t="s">
        <v>35</v>
      </c>
    </row>
    <row r="398" spans="1:5" x14ac:dyDescent="0.25">
      <c r="A398" t="str">
        <f>HYPERLINK("https://www.773grp.com/globalSearch/XTR112U/page-1", "XTR112U")</f>
        <v>XTR112U</v>
      </c>
      <c r="B398" s="3" t="s">
        <v>90</v>
      </c>
      <c r="C398" s="5">
        <v>29</v>
      </c>
      <c r="D398" s="6">
        <v>15.75</v>
      </c>
      <c r="E398" t="s">
        <v>35</v>
      </c>
    </row>
    <row r="399" spans="1:5" x14ac:dyDescent="0.25">
      <c r="A399" t="str">
        <f>HYPERLINK("https://www.773grp.com/globalSearch/XTR112U/page-1", "XTR112U")</f>
        <v>XTR112U</v>
      </c>
      <c r="B399" s="3" t="s">
        <v>90</v>
      </c>
      <c r="C399" s="5">
        <v>14862</v>
      </c>
      <c r="D399" s="6">
        <v>15.75</v>
      </c>
      <c r="E399" t="s">
        <v>35</v>
      </c>
    </row>
    <row r="400" spans="1:5" x14ac:dyDescent="0.25">
      <c r="A400" t="str">
        <f>HYPERLINK("https://www.773grp.com/globalSearch/XTR112U/page-1", "XTR112U")</f>
        <v>XTR112U</v>
      </c>
      <c r="B400" s="3" t="s">
        <v>90</v>
      </c>
      <c r="C400" s="5">
        <v>1532</v>
      </c>
      <c r="D400" s="6">
        <v>15.75</v>
      </c>
      <c r="E400" t="s">
        <v>35</v>
      </c>
    </row>
    <row r="401" spans="1:5" x14ac:dyDescent="0.25">
      <c r="A401" t="str">
        <f>HYPERLINK("https://www.773grp.com/globalSearch/XTR114U/page-1", "XTR114U")</f>
        <v>XTR114U</v>
      </c>
      <c r="B401" s="3" t="s">
        <v>90</v>
      </c>
      <c r="C401" s="5">
        <v>15815</v>
      </c>
      <c r="D401" s="6">
        <v>15.75</v>
      </c>
      <c r="E401" t="s">
        <v>35</v>
      </c>
    </row>
    <row r="402" spans="1:5" x14ac:dyDescent="0.25">
      <c r="A402" t="str">
        <f>HYPERLINK("https://www.773grp.com/globalSearch/THS7002CPWP/page-1", "THS7002CPWP")</f>
        <v>THS7002CPWP</v>
      </c>
      <c r="B402" s="3" t="s">
        <v>90</v>
      </c>
      <c r="C402" s="5">
        <v>4638</v>
      </c>
      <c r="D402" s="6">
        <v>15.81</v>
      </c>
      <c r="E402" t="s">
        <v>35</v>
      </c>
    </row>
    <row r="403" spans="1:5" x14ac:dyDescent="0.25">
      <c r="A403" t="str">
        <f>HYPERLINK("https://www.773grp.com/globalSearch/THS7002IPWP/page-1", "THS7002IPWP")</f>
        <v>THS7002IPWP</v>
      </c>
      <c r="B403" s="3" t="s">
        <v>90</v>
      </c>
      <c r="C403" s="5">
        <v>2774</v>
      </c>
      <c r="D403" s="6">
        <v>15.81</v>
      </c>
      <c r="E403" t="s">
        <v>35</v>
      </c>
    </row>
    <row r="404" spans="1:5" x14ac:dyDescent="0.25">
      <c r="A404" t="str">
        <f>HYPERLINK("https://www.773grp.com/globalSearch/UC2836D/page-1", "UC2836D")</f>
        <v>UC2836D</v>
      </c>
      <c r="B404" s="3" t="s">
        <v>90</v>
      </c>
      <c r="C404" s="5">
        <v>3406</v>
      </c>
      <c r="D404" s="6">
        <v>15.95</v>
      </c>
      <c r="E404" t="s">
        <v>35</v>
      </c>
    </row>
    <row r="405" spans="1:5" x14ac:dyDescent="0.25">
      <c r="A405" t="str">
        <f>HYPERLINK("https://www.773grp.com/globalSearch/UC2836D/page-1", "UC2836D")</f>
        <v>UC2836D</v>
      </c>
      <c r="B405" s="3" t="s">
        <v>90</v>
      </c>
      <c r="C405" s="5">
        <v>9825</v>
      </c>
      <c r="D405" s="6">
        <v>15.95</v>
      </c>
      <c r="E405" t="s">
        <v>35</v>
      </c>
    </row>
    <row r="406" spans="1:5" x14ac:dyDescent="0.25">
      <c r="A406" t="str">
        <f>HYPERLINK("https://www.773grp.com/globalSearch/UC2836DG4/page-1", "UC2836DG4")</f>
        <v>UC2836DG4</v>
      </c>
      <c r="B406" s="3" t="s">
        <v>90</v>
      </c>
      <c r="C406" s="5">
        <v>20</v>
      </c>
      <c r="D406" s="6">
        <v>15.95</v>
      </c>
      <c r="E406" t="s">
        <v>35</v>
      </c>
    </row>
    <row r="407" spans="1:5" x14ac:dyDescent="0.25">
      <c r="A407" t="str">
        <f>HYPERLINK("https://www.773grp.com/globalSearch/UC3836DTR/page-1", "UC3836DTR")</f>
        <v>UC3836DTR</v>
      </c>
      <c r="B407" s="3" t="s">
        <v>90</v>
      </c>
      <c r="C407" s="5">
        <v>65000</v>
      </c>
      <c r="D407" s="6">
        <v>15.95</v>
      </c>
      <c r="E407" t="s">
        <v>35</v>
      </c>
    </row>
    <row r="408" spans="1:5" x14ac:dyDescent="0.25">
      <c r="A408" t="str">
        <f>HYPERLINK("https://www.773grp.com/globalSearch/UC3836N/page-1", "UC3836N")</f>
        <v>UC3836N</v>
      </c>
      <c r="B408" s="3" t="s">
        <v>90</v>
      </c>
      <c r="C408" s="5">
        <v>11710</v>
      </c>
      <c r="D408" s="6">
        <v>15.95</v>
      </c>
      <c r="E408" t="s">
        <v>35</v>
      </c>
    </row>
    <row r="409" spans="1:5" x14ac:dyDescent="0.25">
      <c r="A409" t="str">
        <f>HYPERLINK("https://www.773grp.com/globalSearch/UCD9240PFCR/page-1", "UCD9240PFCR")</f>
        <v>UCD9240PFCR</v>
      </c>
      <c r="B409" s="3" t="s">
        <v>90</v>
      </c>
      <c r="C409" s="5">
        <v>2000</v>
      </c>
      <c r="D409" s="6">
        <v>16.25</v>
      </c>
      <c r="E409" t="s">
        <v>35</v>
      </c>
    </row>
    <row r="410" spans="1:5" x14ac:dyDescent="0.25">
      <c r="A410" t="str">
        <f>HYPERLINK("https://www.773grp.com/globalSearch/UC29432D/page-1", "UC29432D")</f>
        <v>UC29432D</v>
      </c>
      <c r="B410" s="3" t="s">
        <v>90</v>
      </c>
      <c r="C410" s="5">
        <v>28427</v>
      </c>
      <c r="D410" s="6">
        <v>16.45</v>
      </c>
      <c r="E410" t="s">
        <v>35</v>
      </c>
    </row>
    <row r="411" spans="1:5" x14ac:dyDescent="0.25">
      <c r="A411" t="str">
        <f>HYPERLINK("https://www.773grp.com/globalSearch/UC39432D/page-1", "UC39432D")</f>
        <v>UC39432D</v>
      </c>
      <c r="B411" s="3" t="s">
        <v>90</v>
      </c>
      <c r="C411" s="5">
        <v>2544</v>
      </c>
      <c r="D411" s="6">
        <v>16.45</v>
      </c>
      <c r="E411" t="s">
        <v>35</v>
      </c>
    </row>
    <row r="412" spans="1:5" x14ac:dyDescent="0.25">
      <c r="A412" t="str">
        <f>HYPERLINK("https://www.773grp.com/globalSearch/ISO721MMDREP/page-1", "ISO721MMDREP")</f>
        <v>ISO721MMDREP</v>
      </c>
      <c r="B412" s="3" t="s">
        <v>90</v>
      </c>
      <c r="C412" s="5">
        <v>4068</v>
      </c>
      <c r="D412" s="6">
        <v>16.59</v>
      </c>
      <c r="E412" t="s">
        <v>35</v>
      </c>
    </row>
    <row r="413" spans="1:5" x14ac:dyDescent="0.25">
      <c r="A413" t="str">
        <f>HYPERLINK("https://www.773grp.com/globalSearch/TLC320AD75CDL/page-1", "TLC320AD75CDL")</f>
        <v>TLC320AD75CDL</v>
      </c>
      <c r="B413" s="3" t="s">
        <v>90</v>
      </c>
      <c r="C413" s="5">
        <v>15</v>
      </c>
      <c r="D413" s="6">
        <v>17.18</v>
      </c>
      <c r="E413" t="s">
        <v>35</v>
      </c>
    </row>
    <row r="414" spans="1:5" x14ac:dyDescent="0.25">
      <c r="A414" t="str">
        <f>HYPERLINK("https://www.773grp.com/globalSearch/ALD1000U/page-1", "ALD1000U")</f>
        <v>ALD1000U</v>
      </c>
      <c r="B414" s="3" t="s">
        <v>90</v>
      </c>
      <c r="C414" s="5">
        <v>4</v>
      </c>
      <c r="D414" s="6">
        <v>17.98</v>
      </c>
      <c r="E414" t="s">
        <v>35</v>
      </c>
    </row>
    <row r="415" spans="1:5" x14ac:dyDescent="0.25">
      <c r="A415" t="str">
        <f>HYPERLINK("https://www.773grp.com/globalSearch/UC29432N/page-1", "UC29432N")</f>
        <v>UC29432N</v>
      </c>
      <c r="B415" s="3" t="s">
        <v>90</v>
      </c>
      <c r="C415" s="5">
        <v>7655</v>
      </c>
      <c r="D415" s="6">
        <v>18.36</v>
      </c>
      <c r="E415" t="s">
        <v>35</v>
      </c>
    </row>
    <row r="416" spans="1:5" x14ac:dyDescent="0.25">
      <c r="A416" t="str">
        <f>HYPERLINK("https://www.773grp.com/globalSearch/UC39432N/page-1", "UC39432N")</f>
        <v>UC39432N</v>
      </c>
      <c r="B416" s="3" t="s">
        <v>90</v>
      </c>
      <c r="C416" s="5">
        <v>13880</v>
      </c>
      <c r="D416" s="6">
        <v>18.36</v>
      </c>
      <c r="E416" t="s">
        <v>35</v>
      </c>
    </row>
    <row r="417" spans="1:5" x14ac:dyDescent="0.25">
      <c r="A417" t="str">
        <f>HYPERLINK("https://www.773grp.com/globalSearch/TX810IRHHT/page-1", "TX810IRHHT")</f>
        <v>TX810IRHHT</v>
      </c>
      <c r="B417" s="3" t="s">
        <v>90</v>
      </c>
      <c r="C417" s="5">
        <v>45</v>
      </c>
      <c r="D417" s="6">
        <v>18.559999999999999</v>
      </c>
      <c r="E417" t="s">
        <v>35</v>
      </c>
    </row>
    <row r="418" spans="1:5" x14ac:dyDescent="0.25">
      <c r="A418" t="str">
        <f>HYPERLINK("https://www.773grp.com/globalSearch/UC3836D/page-1", "UC3836D")</f>
        <v>UC3836D</v>
      </c>
      <c r="B418" s="3" t="s">
        <v>90</v>
      </c>
      <c r="C418" s="5">
        <v>10600</v>
      </c>
      <c r="D418" s="6">
        <v>18.989999999999998</v>
      </c>
      <c r="E418" t="s">
        <v>35</v>
      </c>
    </row>
    <row r="419" spans="1:5" x14ac:dyDescent="0.25">
      <c r="A419" t="str">
        <f>HYPERLINK("https://www.773grp.com/globalSearch/UC3836D/page-1", "UC3836D")</f>
        <v>UC3836D</v>
      </c>
      <c r="B419" s="3" t="s">
        <v>90</v>
      </c>
      <c r="C419" s="5">
        <v>7200</v>
      </c>
      <c r="D419" s="6">
        <v>18.989999999999998</v>
      </c>
      <c r="E419" t="s">
        <v>35</v>
      </c>
    </row>
    <row r="420" spans="1:5" x14ac:dyDescent="0.25">
      <c r="A420" t="str">
        <f>HYPERLINK("https://www.773grp.com/globalSearch/UCD9240PFC/page-1", "UCD9240PFC")</f>
        <v>UCD9240PFC</v>
      </c>
      <c r="B420" s="3" t="s">
        <v>90</v>
      </c>
      <c r="C420" s="5">
        <v>30880</v>
      </c>
      <c r="D420" s="6">
        <v>19.29</v>
      </c>
      <c r="E420" t="s">
        <v>35</v>
      </c>
    </row>
    <row r="421" spans="1:5" x14ac:dyDescent="0.25">
      <c r="A421" t="str">
        <f>HYPERLINK("https://www.773grp.com/globalSearch/AMC7823IRTAT/page-1", "AMC7823IRTAT")</f>
        <v>AMC7823IRTAT</v>
      </c>
      <c r="B421" s="3" t="s">
        <v>90</v>
      </c>
      <c r="C421" s="5">
        <v>6250</v>
      </c>
      <c r="D421" s="6">
        <v>19.41</v>
      </c>
      <c r="E421" t="s">
        <v>35</v>
      </c>
    </row>
    <row r="422" spans="1:5" x14ac:dyDescent="0.25">
      <c r="A422" t="str">
        <f>HYPERLINK("https://www.773grp.com/globalSearch/TL500CDW/page-1", "TL500CDW")</f>
        <v>TL500CDW</v>
      </c>
      <c r="B422" s="3" t="s">
        <v>90</v>
      </c>
      <c r="C422" s="5">
        <v>14055</v>
      </c>
      <c r="D422" s="6">
        <v>21.85</v>
      </c>
      <c r="E422" t="s">
        <v>35</v>
      </c>
    </row>
    <row r="423" spans="1:5" x14ac:dyDescent="0.25">
      <c r="A423" t="str">
        <f>HYPERLINK("https://www.773grp.com/globalSearch/UC2901J/page-1", "UC2901J")</f>
        <v>UC2901J</v>
      </c>
      <c r="B423" s="3" t="s">
        <v>90</v>
      </c>
      <c r="C423" s="5">
        <v>7</v>
      </c>
      <c r="D423" s="6">
        <v>22.41</v>
      </c>
      <c r="E423" t="s">
        <v>35</v>
      </c>
    </row>
    <row r="424" spans="1:5" x14ac:dyDescent="0.25">
      <c r="A424" t="str">
        <f>HYPERLINK("https://www.773grp.com/globalSearch/VCA2615PFBR/page-1", "VCA2615PFBR")</f>
        <v>VCA2615PFBR</v>
      </c>
      <c r="B424" s="3" t="s">
        <v>90</v>
      </c>
      <c r="C424" s="5">
        <v>793</v>
      </c>
      <c r="D424" s="6">
        <v>22.65</v>
      </c>
      <c r="E424" t="s">
        <v>35</v>
      </c>
    </row>
    <row r="425" spans="1:5" x14ac:dyDescent="0.25">
      <c r="A425" t="str">
        <f>HYPERLINK("https://www.773grp.com/globalSearch/XTR110KP/page-1", "XTR110KP")</f>
        <v>XTR110KP</v>
      </c>
      <c r="B425" s="3" t="s">
        <v>90</v>
      </c>
      <c r="C425" s="5">
        <v>10465</v>
      </c>
      <c r="D425" s="6">
        <v>22.91</v>
      </c>
      <c r="E425" t="s">
        <v>35</v>
      </c>
    </row>
    <row r="426" spans="1:5" x14ac:dyDescent="0.25">
      <c r="A426" t="str">
        <f>HYPERLINK("https://www.773grp.com/globalSearch/THS7002IPWPR/page-1", "THS7002IPWPR")</f>
        <v>THS7002IPWPR</v>
      </c>
      <c r="B426" s="3" t="s">
        <v>90</v>
      </c>
      <c r="C426" s="5">
        <v>10000</v>
      </c>
      <c r="D426" s="6">
        <v>23.49</v>
      </c>
      <c r="E426" t="s">
        <v>35</v>
      </c>
    </row>
    <row r="427" spans="1:5" x14ac:dyDescent="0.25">
      <c r="A427" t="str">
        <f>HYPERLINK("https://www.773grp.com/globalSearch/VCA2614Y-2K/page-1", "VCA2614Y-2K")</f>
        <v>VCA2614Y-2K</v>
      </c>
      <c r="B427" s="3" t="s">
        <v>90</v>
      </c>
      <c r="C427" s="5">
        <v>2000</v>
      </c>
      <c r="D427" s="6">
        <v>23.49</v>
      </c>
      <c r="E427" t="s">
        <v>35</v>
      </c>
    </row>
    <row r="428" spans="1:5" x14ac:dyDescent="0.25">
      <c r="A428" t="str">
        <f>HYPERLINK("https://www.773grp.com/globalSearch/VCA2618YR/page-1", "VCA2618YR")</f>
        <v>VCA2618YR</v>
      </c>
      <c r="B428" s="3" t="s">
        <v>90</v>
      </c>
      <c r="C428" s="5">
        <v>2000</v>
      </c>
      <c r="D428" s="6">
        <v>23.63</v>
      </c>
      <c r="E428" t="s">
        <v>35</v>
      </c>
    </row>
    <row r="429" spans="1:5" x14ac:dyDescent="0.25">
      <c r="A429" t="str">
        <f>HYPERLINK("https://www.773grp.com/globalSearch/TPS54900PW/page-1", "TPS54900PW")</f>
        <v>TPS54900PW</v>
      </c>
      <c r="B429" s="3" t="s">
        <v>90</v>
      </c>
      <c r="C429" s="5">
        <v>90</v>
      </c>
      <c r="D429" s="6">
        <v>24.19</v>
      </c>
      <c r="E429" t="s">
        <v>35</v>
      </c>
    </row>
    <row r="430" spans="1:5" x14ac:dyDescent="0.25">
      <c r="A430" t="str">
        <f>HYPERLINK("https://www.773grp.com/globalSearch/VCA2617RHBT/page-1", "VCA2617RHBT")</f>
        <v>VCA2617RHBT</v>
      </c>
      <c r="B430" s="3" t="s">
        <v>90</v>
      </c>
      <c r="C430" s="5">
        <v>4250</v>
      </c>
      <c r="D430" s="6">
        <v>24.6</v>
      </c>
      <c r="E430" t="s">
        <v>35</v>
      </c>
    </row>
    <row r="431" spans="1:5" x14ac:dyDescent="0.25">
      <c r="A431" t="str">
        <f>HYPERLINK("https://www.773grp.com/globalSearch/VCA2615RGZT/page-1", "VCA2615RGZT")</f>
        <v>VCA2615RGZT</v>
      </c>
      <c r="B431" s="3" t="s">
        <v>90</v>
      </c>
      <c r="C431" s="5">
        <v>4000</v>
      </c>
      <c r="D431" s="6">
        <v>25.03</v>
      </c>
      <c r="E431" t="s">
        <v>35</v>
      </c>
    </row>
    <row r="432" spans="1:5" x14ac:dyDescent="0.25">
      <c r="A432" t="str">
        <f>HYPERLINK("https://www.773grp.com/globalSearch/VCA2614Y-250/page-1", "VCA2614Y-250")</f>
        <v>VCA2614Y-250</v>
      </c>
      <c r="B432" s="3" t="s">
        <v>90</v>
      </c>
      <c r="C432" s="5">
        <v>2500</v>
      </c>
      <c r="D432" s="6">
        <v>26.03</v>
      </c>
      <c r="E432" t="s">
        <v>35</v>
      </c>
    </row>
    <row r="433" spans="1:5" x14ac:dyDescent="0.25">
      <c r="A433" t="str">
        <f>HYPERLINK("https://www.773grp.com/globalSearch/VCA2618YT/page-1", "VCA2618YT")</f>
        <v>VCA2618YT</v>
      </c>
      <c r="B433" s="3" t="s">
        <v>90</v>
      </c>
      <c r="C433" s="5">
        <v>6750</v>
      </c>
      <c r="D433" s="6">
        <v>26.03</v>
      </c>
      <c r="E433" t="s">
        <v>35</v>
      </c>
    </row>
    <row r="434" spans="1:5" x14ac:dyDescent="0.25">
      <c r="A434" t="str">
        <f>HYPERLINK("https://www.773grp.com/globalSearch/VCA2619YT/page-1", "VCA2619YT")</f>
        <v>VCA2619YT</v>
      </c>
      <c r="B434" s="3" t="s">
        <v>90</v>
      </c>
      <c r="C434" s="5">
        <v>5250</v>
      </c>
      <c r="D434" s="6">
        <v>26.03</v>
      </c>
      <c r="E434" t="s">
        <v>35</v>
      </c>
    </row>
    <row r="435" spans="1:5" x14ac:dyDescent="0.25">
      <c r="A435" t="str">
        <f>HYPERLINK("https://www.773grp.com/globalSearch/TLE2426MJGB/page-1", "TLE2426MJGB")</f>
        <v>TLE2426MJGB</v>
      </c>
      <c r="B435" s="3" t="s">
        <v>90</v>
      </c>
      <c r="C435" s="5">
        <v>420</v>
      </c>
      <c r="D435" s="6">
        <v>26.58</v>
      </c>
      <c r="E435" t="s">
        <v>35</v>
      </c>
    </row>
    <row r="436" spans="1:5" x14ac:dyDescent="0.25">
      <c r="A436" t="str">
        <f>HYPERLINK("https://www.773grp.com/globalSearch/UC1901J/page-1", "UC1901J")</f>
        <v>UC1901J</v>
      </c>
      <c r="B436" s="3" t="str">
        <f>HYPERLINK("https://www.773grp.com/manufacturer/texas-instruments?pageNo=203", "Texas Instruments")</f>
        <v>Texas Instruments</v>
      </c>
      <c r="C436" s="5">
        <v>32</v>
      </c>
      <c r="D436" s="6">
        <v>28.31</v>
      </c>
      <c r="E436" t="s">
        <v>35</v>
      </c>
    </row>
    <row r="437" spans="1:5" x14ac:dyDescent="0.25">
      <c r="A437" t="str">
        <f>HYPERLINK("https://www.773grp.com/globalSearch/VCA2611Y-2K/page-1", "VCA2611Y-2K")</f>
        <v>VCA2611Y-2K</v>
      </c>
      <c r="B437" s="3" t="str">
        <f>HYPERLINK("https://www.773grp.com/manufacturer/texas-instruments?pageNo=264", "Texas Instruments")</f>
        <v>Texas Instruments</v>
      </c>
      <c r="C437" s="5">
        <v>9870</v>
      </c>
      <c r="D437" s="6">
        <v>28.83</v>
      </c>
      <c r="E437" t="s">
        <v>35</v>
      </c>
    </row>
    <row r="438" spans="1:5" x14ac:dyDescent="0.25">
      <c r="A438" t="str">
        <f>HYPERLINK("https://www.773grp.com/globalSearch/VCA2613Y-2K/page-1", "VCA2613Y-2K")</f>
        <v>VCA2613Y-2K</v>
      </c>
      <c r="B438" s="3" t="str">
        <f>HYPERLINK("https://www.773grp.com/manufacturer/texas-instruments?pageNo=265", "Texas Instruments")</f>
        <v>Texas Instruments</v>
      </c>
      <c r="C438" s="5">
        <v>4000</v>
      </c>
      <c r="D438" s="6">
        <v>28.83</v>
      </c>
      <c r="E438" t="s">
        <v>35</v>
      </c>
    </row>
    <row r="439" spans="1:5" x14ac:dyDescent="0.25">
      <c r="A439" t="str">
        <f>HYPERLINK("https://www.773grp.com/globalSearch/VCA2616YR/page-1", "VCA2616YR")</f>
        <v>VCA2616YR</v>
      </c>
      <c r="B439" s="3" t="str">
        <f>HYPERLINK("https://www.773grp.com/manufacturer/texas-instruments?pageNo=266", "Texas Instruments")</f>
        <v>Texas Instruments</v>
      </c>
      <c r="C439" s="5">
        <v>34000</v>
      </c>
      <c r="D439" s="6">
        <v>28.83</v>
      </c>
      <c r="E439" t="s">
        <v>35</v>
      </c>
    </row>
    <row r="440" spans="1:5" x14ac:dyDescent="0.25">
      <c r="A440" t="str">
        <f>HYPERLINK("https://www.773grp.com/globalSearch/VCA2613Y-250/page-1", "VCA2613Y-250")</f>
        <v>VCA2613Y-250</v>
      </c>
      <c r="B440" s="3" t="str">
        <f>HYPERLINK("https://www.773grp.com/manufacturer/texas-instruments?pageNo=737", "Texas Instruments")</f>
        <v>Texas Instruments</v>
      </c>
      <c r="C440" s="5">
        <v>500</v>
      </c>
      <c r="D440" s="6">
        <v>31.78</v>
      </c>
      <c r="E440" t="s">
        <v>35</v>
      </c>
    </row>
    <row r="441" spans="1:5" x14ac:dyDescent="0.25">
      <c r="A441" t="str">
        <f>HYPERLINK("https://www.773grp.com/globalSearch/VCA2613Y-250/page-1", "VCA2613Y-250")</f>
        <v>VCA2613Y-250</v>
      </c>
      <c r="B441" s="3" t="str">
        <f>HYPERLINK("https://www.773grp.com/manufacturer/texas-instruments?pageNo=738", "Texas Instruments")</f>
        <v>Texas Instruments</v>
      </c>
      <c r="C441" s="5">
        <v>375</v>
      </c>
      <c r="D441" s="6">
        <v>31.78</v>
      </c>
      <c r="E441" t="s">
        <v>35</v>
      </c>
    </row>
    <row r="442" spans="1:5" x14ac:dyDescent="0.25">
      <c r="A442" t="str">
        <f>HYPERLINK("https://www.773grp.com/globalSearch/VCA2611Y-250/page-1", "VCA2611Y-250")</f>
        <v>VCA2611Y-250</v>
      </c>
      <c r="B442" s="3" t="str">
        <f>HYPERLINK("https://www.773grp.com/manufacturer/texas-instruments?pageNo=757", "Texas Instruments")</f>
        <v>Texas Instruments</v>
      </c>
      <c r="C442" s="5">
        <v>3460</v>
      </c>
      <c r="D442" s="6">
        <v>31.93</v>
      </c>
      <c r="E442" t="s">
        <v>35</v>
      </c>
    </row>
    <row r="443" spans="1:5" x14ac:dyDescent="0.25">
      <c r="A443" t="str">
        <f>HYPERLINK("https://www.773grp.com/globalSearch/ADS1294CZXGR/page-1", "ADS1294CZXGR")</f>
        <v>ADS1294CZXGR</v>
      </c>
      <c r="B443" s="3" t="s">
        <v>90</v>
      </c>
      <c r="C443" s="5">
        <v>1000</v>
      </c>
      <c r="D443" s="6">
        <v>33.61</v>
      </c>
      <c r="E443" t="s">
        <v>35</v>
      </c>
    </row>
    <row r="444" spans="1:5" x14ac:dyDescent="0.25">
      <c r="A444" t="str">
        <f>HYPERLINK("https://www.773grp.com/globalSearch/VCA2612Y-2K/page-1", "VCA2612Y-2K")</f>
        <v>VCA2612Y-2K</v>
      </c>
      <c r="B444" s="3" t="s">
        <v>90</v>
      </c>
      <c r="C444" s="5">
        <v>12119</v>
      </c>
      <c r="D444" s="6">
        <v>35.15</v>
      </c>
      <c r="E444" t="s">
        <v>35</v>
      </c>
    </row>
    <row r="445" spans="1:5" x14ac:dyDescent="0.25">
      <c r="A445" t="str">
        <f>HYPERLINK("https://www.773grp.com/globalSearch/VCA2612Y-2KG4/page-1", "VCA2612Y-2KG4")</f>
        <v>VCA2612Y-2KG4</v>
      </c>
      <c r="B445" s="3" t="s">
        <v>90</v>
      </c>
      <c r="C445" s="5">
        <v>106</v>
      </c>
      <c r="D445" s="6">
        <v>35.15</v>
      </c>
      <c r="E445" t="s">
        <v>35</v>
      </c>
    </row>
    <row r="446" spans="1:5" x14ac:dyDescent="0.25">
      <c r="A446" t="str">
        <f>HYPERLINK("https://www.773grp.com/globalSearch/TLE2425MJGB/page-1", "TLE2425MJGB")</f>
        <v>TLE2425MJGB</v>
      </c>
      <c r="B446" s="3" t="s">
        <v>90</v>
      </c>
      <c r="C446" s="5">
        <v>53</v>
      </c>
      <c r="D446" s="6">
        <v>35.44</v>
      </c>
      <c r="E446" t="s">
        <v>35</v>
      </c>
    </row>
    <row r="447" spans="1:5" x14ac:dyDescent="0.25">
      <c r="A447" t="str">
        <f>HYPERLINK("https://www.773grp.com/globalSearch/TLC32046IN/page-1", "TLC32046IN")</f>
        <v>TLC32046IN</v>
      </c>
      <c r="B447" s="3" t="s">
        <v>90</v>
      </c>
      <c r="C447" s="5">
        <v>622</v>
      </c>
      <c r="D447" s="6">
        <v>36.25</v>
      </c>
      <c r="E447" t="s">
        <v>35</v>
      </c>
    </row>
    <row r="448" spans="1:5" x14ac:dyDescent="0.25">
      <c r="A448" t="str">
        <f>HYPERLINK("https://www.773grp.com/globalSearch/UC1836J/page-1", "UC1836J")</f>
        <v>UC1836J</v>
      </c>
      <c r="B448" s="3" t="s">
        <v>90</v>
      </c>
      <c r="C448" s="5">
        <v>35</v>
      </c>
      <c r="D448" s="6">
        <v>36.29</v>
      </c>
      <c r="E448" t="s">
        <v>35</v>
      </c>
    </row>
    <row r="449" spans="1:5" x14ac:dyDescent="0.25">
      <c r="A449" t="str">
        <f>HYPERLINK("https://www.773grp.com/globalSearch/ADS1196CPAG/page-1", "ADS1196CPAG")</f>
        <v>ADS1196CPAG</v>
      </c>
      <c r="B449" s="3" t="s">
        <v>90</v>
      </c>
      <c r="C449" s="5">
        <v>135</v>
      </c>
      <c r="D449" s="6">
        <v>37.549999999999997</v>
      </c>
      <c r="E449" t="s">
        <v>35</v>
      </c>
    </row>
    <row r="450" spans="1:5" x14ac:dyDescent="0.25">
      <c r="A450" t="str">
        <f>HYPERLINK("https://www.773grp.com/globalSearch/ADS1294CZXGT/page-1", "ADS1294CZXGT")</f>
        <v>ADS1294CZXGT</v>
      </c>
      <c r="B450" s="3" t="s">
        <v>90</v>
      </c>
      <c r="C450" s="5">
        <v>1467</v>
      </c>
      <c r="D450" s="6">
        <v>37.840000000000003</v>
      </c>
      <c r="E450" t="s">
        <v>35</v>
      </c>
    </row>
    <row r="451" spans="1:5" x14ac:dyDescent="0.25">
      <c r="A451" t="str">
        <f>HYPERLINK("https://www.773grp.com/globalSearch/VCA2612Y-250/page-1", "VCA2612Y-250")</f>
        <v>VCA2612Y-250</v>
      </c>
      <c r="B451" s="3" t="s">
        <v>90</v>
      </c>
      <c r="C451" s="5">
        <v>2250</v>
      </c>
      <c r="D451" s="6">
        <v>38.68</v>
      </c>
      <c r="E451" t="s">
        <v>35</v>
      </c>
    </row>
    <row r="452" spans="1:5" x14ac:dyDescent="0.25">
      <c r="A452" t="str">
        <f>HYPERLINK("https://www.773grp.com/globalSearch/ADS1198CPAGR/page-1", "ADS1198CPAGR")</f>
        <v>ADS1198CPAGR</v>
      </c>
      <c r="B452" s="3" t="s">
        <v>90</v>
      </c>
      <c r="C452" s="5">
        <v>1280</v>
      </c>
      <c r="D452" s="6">
        <v>40.36</v>
      </c>
      <c r="E452" t="s">
        <v>35</v>
      </c>
    </row>
    <row r="453" spans="1:5" x14ac:dyDescent="0.25">
      <c r="A453" t="str">
        <f>HYPERLINK("https://www.773grp.com/globalSearch/UC2730T/page-1", "UC2730T")</f>
        <v>UC2730T</v>
      </c>
      <c r="B453" s="3" t="s">
        <v>90</v>
      </c>
      <c r="C453" s="5">
        <v>791</v>
      </c>
      <c r="D453" s="6">
        <v>40.61</v>
      </c>
      <c r="E453" t="s">
        <v>35</v>
      </c>
    </row>
    <row r="454" spans="1:5" x14ac:dyDescent="0.25">
      <c r="A454" t="str">
        <f>HYPERLINK("https://www.773grp.com/globalSearch/UC1730J/page-1", "UC1730J")</f>
        <v>UC1730J</v>
      </c>
      <c r="B454" s="3" t="s">
        <v>90</v>
      </c>
      <c r="C454" s="5">
        <v>173</v>
      </c>
      <c r="D454" s="6">
        <v>40.700000000000003</v>
      </c>
      <c r="E454" t="s">
        <v>35</v>
      </c>
    </row>
    <row r="455" spans="1:5" x14ac:dyDescent="0.25">
      <c r="A455" t="str">
        <f>HYPERLINK("https://www.773grp.com/globalSearch/ADS1198CPAG/page-1", "ADS1198CPAG")</f>
        <v>ADS1198CPAG</v>
      </c>
      <c r="B455" s="3" t="s">
        <v>90</v>
      </c>
      <c r="C455" s="5">
        <v>640</v>
      </c>
      <c r="D455" s="6">
        <v>45.99</v>
      </c>
      <c r="E455" t="s">
        <v>35</v>
      </c>
    </row>
    <row r="456" spans="1:5" x14ac:dyDescent="0.25">
      <c r="A456" t="str">
        <f>HYPERLINK("https://www.773grp.com/globalSearch/ADS1296CZXGR/page-1", "ADS1296CZXGR")</f>
        <v>ADS1296CZXGR</v>
      </c>
      <c r="B456" s="3" t="s">
        <v>90</v>
      </c>
      <c r="C456" s="5">
        <v>1000</v>
      </c>
      <c r="D456" s="6">
        <v>50.49</v>
      </c>
      <c r="E456" t="s">
        <v>35</v>
      </c>
    </row>
    <row r="457" spans="1:5" x14ac:dyDescent="0.25">
      <c r="A457" t="str">
        <f>HYPERLINK("https://www.773grp.com/globalSearch/UC1901L/page-1", "UC1901L")</f>
        <v>UC1901L</v>
      </c>
      <c r="B457" s="3" t="s">
        <v>90</v>
      </c>
      <c r="C457" s="5">
        <v>4</v>
      </c>
      <c r="D457" s="6">
        <v>51.35</v>
      </c>
      <c r="E457" t="s">
        <v>35</v>
      </c>
    </row>
    <row r="458" spans="1:5" x14ac:dyDescent="0.25">
      <c r="A458" t="str">
        <f>HYPERLINK("https://www.773grp.com/globalSearch/UC1832J/page-1", "UC1832J")</f>
        <v>UC1832J</v>
      </c>
      <c r="B458" s="3" t="s">
        <v>90</v>
      </c>
      <c r="C458" s="5">
        <v>12</v>
      </c>
      <c r="D458" s="6">
        <v>51.75</v>
      </c>
      <c r="E458" t="s">
        <v>35</v>
      </c>
    </row>
    <row r="459" spans="1:5" x14ac:dyDescent="0.25">
      <c r="A459" t="str">
        <f>HYPERLINK("https://www.773grp.com/globalSearch/TLC8044CFN/page-1", "TLC8044CFN")</f>
        <v>TLC8044CFN</v>
      </c>
      <c r="B459" s="3" t="s">
        <v>90</v>
      </c>
      <c r="C459" s="5">
        <v>2921</v>
      </c>
      <c r="D459" s="6">
        <v>52.36</v>
      </c>
      <c r="E459" t="s">
        <v>35</v>
      </c>
    </row>
    <row r="460" spans="1:5" x14ac:dyDescent="0.25">
      <c r="A460" t="str">
        <f>HYPERLINK("https://www.773grp.com/globalSearch/TLC320AD50CDW/page-1", "TLC320AD50CDW")</f>
        <v>TLC320AD50CDW</v>
      </c>
      <c r="B460" s="3" t="s">
        <v>90</v>
      </c>
      <c r="C460" s="5">
        <v>2038</v>
      </c>
      <c r="D460" s="6">
        <v>54.14</v>
      </c>
      <c r="E460" t="s">
        <v>35</v>
      </c>
    </row>
    <row r="461" spans="1:5" x14ac:dyDescent="0.25">
      <c r="A461" t="str">
        <f>HYPERLINK("https://www.773grp.com/globalSearch/TLC320AD50CDWR/page-1", "TLC320AD50CDWR")</f>
        <v>TLC320AD50CDWR</v>
      </c>
      <c r="B461" s="3" t="s">
        <v>90</v>
      </c>
      <c r="C461" s="5">
        <v>2000</v>
      </c>
      <c r="D461" s="6">
        <v>54.14</v>
      </c>
      <c r="E461" t="s">
        <v>35</v>
      </c>
    </row>
    <row r="462" spans="1:5" x14ac:dyDescent="0.25">
      <c r="A462" t="str">
        <f>HYPERLINK("https://www.773grp.com/globalSearch/TLC320AD50CPT/page-1", "TLC320AD50CPT")</f>
        <v>TLC320AD50CPT</v>
      </c>
      <c r="B462" s="3" t="s">
        <v>90</v>
      </c>
      <c r="C462" s="5">
        <v>9122</v>
      </c>
      <c r="D462" s="6">
        <v>54.14</v>
      </c>
      <c r="E462" t="s">
        <v>35</v>
      </c>
    </row>
    <row r="463" spans="1:5" x14ac:dyDescent="0.25">
      <c r="A463" t="str">
        <f>HYPERLINK("https://www.773grp.com/globalSearch/TLC320AD50CPTR/page-1", "TLC320AD50CPTR")</f>
        <v>TLC320AD50CPTR</v>
      </c>
      <c r="B463" s="3" t="s">
        <v>90</v>
      </c>
      <c r="C463" s="5">
        <v>20000</v>
      </c>
      <c r="D463" s="6">
        <v>54.14</v>
      </c>
      <c r="E463" t="s">
        <v>35</v>
      </c>
    </row>
    <row r="464" spans="1:5" x14ac:dyDescent="0.25">
      <c r="A464" t="str">
        <f>HYPERLINK("https://www.773grp.com/globalSearch/TLC320AD50IDW/page-1", "TLC320AD50IDW")</f>
        <v>TLC320AD50IDW</v>
      </c>
      <c r="B464" s="3" t="s">
        <v>90</v>
      </c>
      <c r="C464" s="5">
        <v>1960</v>
      </c>
      <c r="D464" s="6">
        <v>54.14</v>
      </c>
      <c r="E464" t="s">
        <v>35</v>
      </c>
    </row>
    <row r="465" spans="1:5" x14ac:dyDescent="0.25">
      <c r="A465" t="str">
        <f>HYPERLINK("https://www.773grp.com/globalSearch/ADS1296CZXGT/page-1", "ADS1296CZXGT")</f>
        <v>ADS1296CZXGT</v>
      </c>
      <c r="B465" s="3" t="s">
        <v>90</v>
      </c>
      <c r="C465" s="5">
        <v>1299</v>
      </c>
      <c r="D465" s="6">
        <v>54.71</v>
      </c>
      <c r="E465" t="s">
        <v>35</v>
      </c>
    </row>
    <row r="466" spans="1:5" x14ac:dyDescent="0.25">
      <c r="A466" t="str">
        <f>HYPERLINK("https://www.773grp.com/globalSearch/PADS1298CZXGT/page-1", "PADS1298CZXGT")</f>
        <v>PADS1298CZXGT</v>
      </c>
      <c r="B466" s="3" t="s">
        <v>90</v>
      </c>
      <c r="C466" s="5">
        <v>500</v>
      </c>
      <c r="D466" s="6">
        <v>54.71</v>
      </c>
      <c r="E466" t="s">
        <v>35</v>
      </c>
    </row>
    <row r="467" spans="1:5" x14ac:dyDescent="0.25">
      <c r="A467" t="str">
        <f>HYPERLINK("https://www.773grp.com/globalSearch/ADS1296IPAG/page-1", "ADS1296IPAG")</f>
        <v>ADS1296IPAG</v>
      </c>
      <c r="B467" s="3" t="s">
        <v>90</v>
      </c>
      <c r="C467" s="5">
        <v>610</v>
      </c>
      <c r="D467" s="6">
        <v>56.11</v>
      </c>
      <c r="E467" t="s">
        <v>35</v>
      </c>
    </row>
    <row r="468" spans="1:5" x14ac:dyDescent="0.25">
      <c r="A468" t="str">
        <f>HYPERLINK("https://www.773grp.com/globalSearch/5962-89441012A/page-1", "5962-89441012A")</f>
        <v>5962-89441012A</v>
      </c>
      <c r="B468" s="3" t="s">
        <v>90</v>
      </c>
      <c r="C468" s="5">
        <v>212</v>
      </c>
      <c r="D468" s="6">
        <v>58</v>
      </c>
      <c r="E468" t="s">
        <v>35</v>
      </c>
    </row>
    <row r="469" spans="1:5" x14ac:dyDescent="0.25">
      <c r="A469" t="str">
        <f>HYPERLINK("https://www.773grp.com/globalSearch/UC1901L883B/page-1", "UC1901L883B")</f>
        <v>UC1901L883B</v>
      </c>
      <c r="B469" s="3" t="s">
        <v>90</v>
      </c>
      <c r="C469" s="5">
        <v>28</v>
      </c>
      <c r="D469" s="6">
        <v>58</v>
      </c>
      <c r="E469" t="s">
        <v>35</v>
      </c>
    </row>
    <row r="470" spans="1:5" x14ac:dyDescent="0.25">
      <c r="A470" t="str">
        <f>HYPERLINK("https://www.773grp.com/globalSearch/ADS1298IPAGR/page-1", "ADS1298IPAGR")</f>
        <v>ADS1298IPAGR</v>
      </c>
      <c r="B470" s="3" t="s">
        <v>90</v>
      </c>
      <c r="C470" s="5">
        <v>1500</v>
      </c>
      <c r="D470" s="6">
        <v>67.36</v>
      </c>
      <c r="E470" t="s">
        <v>35</v>
      </c>
    </row>
    <row r="471" spans="1:5" x14ac:dyDescent="0.25">
      <c r="A471" t="str">
        <f>HYPERLINK("https://www.773grp.com/globalSearch/VCA8617PAGT/page-1", "VCA8617PAGT")</f>
        <v>VCA8617PAGT</v>
      </c>
      <c r="B471" s="3" t="s">
        <v>90</v>
      </c>
      <c r="C471" s="5">
        <v>3414</v>
      </c>
      <c r="D471" s="6">
        <v>67.5</v>
      </c>
      <c r="E471" t="s">
        <v>35</v>
      </c>
    </row>
    <row r="472" spans="1:5" x14ac:dyDescent="0.25">
      <c r="A472" t="str">
        <f>HYPERLINK("https://www.773grp.com/globalSearch/TLC32046CN/page-1", "TLC32046CN")</f>
        <v>TLC32046CN</v>
      </c>
      <c r="B472" s="3" t="s">
        <v>90</v>
      </c>
      <c r="C472" s="5">
        <v>210</v>
      </c>
      <c r="D472" s="6">
        <v>67.98</v>
      </c>
      <c r="E472" t="s">
        <v>35</v>
      </c>
    </row>
    <row r="473" spans="1:5" x14ac:dyDescent="0.25">
      <c r="A473" t="str">
        <f>HYPERLINK("https://www.773grp.com/globalSearch/VCA8613YR/page-1", "VCA8613YR")</f>
        <v>VCA8613YR</v>
      </c>
      <c r="B473" s="3" t="s">
        <v>90</v>
      </c>
      <c r="C473" s="5">
        <v>3000</v>
      </c>
      <c r="D473" s="6">
        <v>71.44</v>
      </c>
      <c r="E473" t="s">
        <v>35</v>
      </c>
    </row>
    <row r="474" spans="1:5" x14ac:dyDescent="0.25">
      <c r="A474" t="str">
        <f>HYPERLINK("https://www.773grp.com/globalSearch/ADS1298CZXGT/page-1", "ADS1298CZXGT")</f>
        <v>ADS1298CZXGT</v>
      </c>
      <c r="B474" s="3" t="s">
        <v>90</v>
      </c>
      <c r="C474" s="5">
        <v>1770</v>
      </c>
      <c r="D474" s="6">
        <v>71.59</v>
      </c>
      <c r="E474" t="s">
        <v>35</v>
      </c>
    </row>
    <row r="475" spans="1:5" x14ac:dyDescent="0.25">
      <c r="A475" t="str">
        <f>HYPERLINK("https://www.773grp.com/globalSearch/ADS1298IPAG/page-1", "ADS1298IPAG")</f>
        <v>ADS1298IPAG</v>
      </c>
      <c r="B475" s="3" t="s">
        <v>90</v>
      </c>
      <c r="C475" s="5">
        <v>160</v>
      </c>
      <c r="D475" s="6">
        <v>72.989999999999995</v>
      </c>
      <c r="E475" t="s">
        <v>35</v>
      </c>
    </row>
    <row r="476" spans="1:5" x14ac:dyDescent="0.25">
      <c r="A476" t="str">
        <f>HYPERLINK("https://www.773grp.com/globalSearch/5962-9326501MCA/page-1", "5962-9326501MCA")</f>
        <v>5962-9326501MCA</v>
      </c>
      <c r="B476" s="3" t="s">
        <v>90</v>
      </c>
      <c r="C476" s="5">
        <v>37</v>
      </c>
      <c r="D476" s="6">
        <v>80.33</v>
      </c>
      <c r="E476" t="s">
        <v>35</v>
      </c>
    </row>
    <row r="477" spans="1:5" x14ac:dyDescent="0.25">
      <c r="A477" t="str">
        <f>HYPERLINK("https://www.773grp.com/globalSearch/UC1836L/page-1", "UC1836L")</f>
        <v>UC1836L</v>
      </c>
      <c r="B477" s="3" t="s">
        <v>90</v>
      </c>
      <c r="C477" s="5">
        <v>336</v>
      </c>
      <c r="D477" s="6">
        <v>81.45</v>
      </c>
      <c r="E477" t="s">
        <v>35</v>
      </c>
    </row>
    <row r="478" spans="1:5" x14ac:dyDescent="0.25">
      <c r="A478" t="str">
        <f>HYPERLINK("https://www.773grp.com/globalSearch/ADS7833N/page-1", "ADS7833N")</f>
        <v>ADS7833N</v>
      </c>
      <c r="B478" s="3" t="s">
        <v>90</v>
      </c>
      <c r="C478" s="5">
        <v>43</v>
      </c>
      <c r="D478" s="6">
        <v>88.99</v>
      </c>
      <c r="E478" t="s">
        <v>35</v>
      </c>
    </row>
    <row r="479" spans="1:5" x14ac:dyDescent="0.25">
      <c r="A479" t="str">
        <f>HYPERLINK("https://www.773grp.com/globalSearch/VCA8500IRGCT/page-1", "VCA8500IRGCT")</f>
        <v>VCA8500IRGCT</v>
      </c>
      <c r="B479" s="3" t="s">
        <v>90</v>
      </c>
      <c r="C479" s="5">
        <v>3675</v>
      </c>
      <c r="D479" s="6">
        <v>90</v>
      </c>
      <c r="E479" t="s">
        <v>35</v>
      </c>
    </row>
    <row r="480" spans="1:5" x14ac:dyDescent="0.25">
      <c r="A480" t="str">
        <f>HYPERLINK("https://www.773grp.com/globalSearch/UC1833L/page-1", "UC1833L")</f>
        <v>UC1833L</v>
      </c>
      <c r="B480" s="3" t="s">
        <v>90</v>
      </c>
      <c r="C480" s="5">
        <v>77</v>
      </c>
      <c r="D480" s="6">
        <v>95.21</v>
      </c>
      <c r="E480" t="s">
        <v>35</v>
      </c>
    </row>
    <row r="481" spans="1:5" x14ac:dyDescent="0.25">
      <c r="A481" t="str">
        <f>HYPERLINK("https://www.773grp.com/globalSearch/5962-9326502M2A/page-1", "5962-9326502M2A")</f>
        <v>5962-9326502M2A</v>
      </c>
      <c r="B481" s="3" t="s">
        <v>90</v>
      </c>
      <c r="C481" s="5">
        <v>201</v>
      </c>
      <c r="D481" s="6">
        <v>96.66</v>
      </c>
      <c r="E481" t="s">
        <v>35</v>
      </c>
    </row>
    <row r="482" spans="1:5" x14ac:dyDescent="0.25">
      <c r="A482" t="str">
        <f>HYPERLINK("https://www.773grp.com/globalSearch/5962-9326501M2A/page-1", "5962-9326501M2A")</f>
        <v>5962-9326501M2A</v>
      </c>
      <c r="B482" s="3" t="s">
        <v>90</v>
      </c>
      <c r="C482" s="5">
        <v>3</v>
      </c>
      <c r="D482" s="6">
        <v>98.8</v>
      </c>
      <c r="E482" t="s">
        <v>35</v>
      </c>
    </row>
    <row r="483" spans="1:5" x14ac:dyDescent="0.25">
      <c r="A483" t="str">
        <f>HYPERLINK("https://www.773grp.com/globalSearch/TC254P/page-1", "TC254P")</f>
        <v>TC254P</v>
      </c>
      <c r="B483" s="3" t="s">
        <v>90</v>
      </c>
      <c r="C483" s="5">
        <v>1</v>
      </c>
      <c r="D483" s="6">
        <v>112.5</v>
      </c>
      <c r="E483" t="s">
        <v>35</v>
      </c>
    </row>
    <row r="484" spans="1:5" x14ac:dyDescent="0.25">
      <c r="A484" t="str">
        <f>HYPERLINK("https://www.773grp.com/globalSearch/UC1833L883B/page-1", "UC1833L883B")</f>
        <v>UC1833L883B</v>
      </c>
      <c r="B484" s="3" t="s">
        <v>90</v>
      </c>
      <c r="C484" s="5">
        <v>26</v>
      </c>
      <c r="D484" s="6">
        <v>124.65</v>
      </c>
      <c r="E484" t="s">
        <v>35</v>
      </c>
    </row>
    <row r="485" spans="1:5" x14ac:dyDescent="0.25">
      <c r="A485" t="str">
        <f>HYPERLINK("https://www.773grp.com/globalSearch/AFE5804ZCF/page-1", "AFE5804ZCF")</f>
        <v>AFE5804ZCF</v>
      </c>
      <c r="B485" s="3" t="s">
        <v>90</v>
      </c>
      <c r="C485" s="5">
        <v>2556</v>
      </c>
      <c r="D485" s="6">
        <v>125.73</v>
      </c>
      <c r="E485" t="s">
        <v>35</v>
      </c>
    </row>
    <row r="486" spans="1:5" x14ac:dyDescent="0.25">
      <c r="A486" t="str">
        <f>HYPERLINK("https://www.773grp.com/globalSearch/AFE5805ZCF/page-1", "AFE5805ZCF")</f>
        <v>AFE5805ZCF</v>
      </c>
      <c r="B486" s="3" t="s">
        <v>90</v>
      </c>
      <c r="C486" s="5">
        <v>80</v>
      </c>
      <c r="D486" s="6">
        <v>125.73</v>
      </c>
      <c r="E486" t="s">
        <v>35</v>
      </c>
    </row>
    <row r="487" spans="1:5" x14ac:dyDescent="0.25">
      <c r="A487" t="str">
        <f>HYPERLINK("https://www.773grp.com/globalSearch/PAFE5805ZCF/page-1", "PAFE5805ZCF")</f>
        <v>PAFE5805ZCF</v>
      </c>
      <c r="B487" s="3" t="str">
        <f>HYPERLINK("https://www.773grp.com/manufacturer/texas-instruments?pageNo=102", "Texas Instruments")</f>
        <v>Texas Instruments</v>
      </c>
      <c r="C487" s="5">
        <v>235</v>
      </c>
      <c r="D487" s="6">
        <v>142.6</v>
      </c>
      <c r="E487" t="s">
        <v>35</v>
      </c>
    </row>
    <row r="488" spans="1:5" x14ac:dyDescent="0.25">
      <c r="A488" t="str">
        <f>HYPERLINK("https://www.773grp.com/globalSearch/XTR110AG/page-1", "XTR110AG")</f>
        <v>XTR110AG</v>
      </c>
      <c r="B488" s="3" t="str">
        <f>HYPERLINK("https://www.773grp.com/manufacturer/texas-instruments?pageNo=115", "Texas Instruments")</f>
        <v>Texas Instruments</v>
      </c>
      <c r="C488" s="5">
        <v>295</v>
      </c>
      <c r="D488" s="6">
        <v>145.41</v>
      </c>
      <c r="E488" t="s">
        <v>35</v>
      </c>
    </row>
    <row r="489" spans="1:5" x14ac:dyDescent="0.25">
      <c r="A489" t="str">
        <f>HYPERLINK("https://www.773grp.com/globalSearch/XTR110BG/page-1", "XTR110BG")</f>
        <v>XTR110BG</v>
      </c>
      <c r="B489" s="3" t="str">
        <f>HYPERLINK("https://www.773grp.com/manufacturer/texas-instruments?pageNo=281", "Texas Instruments")</f>
        <v>Texas Instruments</v>
      </c>
      <c r="C489" s="5">
        <v>721</v>
      </c>
      <c r="D489" s="6">
        <v>167.2</v>
      </c>
      <c r="E489" t="s">
        <v>35</v>
      </c>
    </row>
    <row r="490" spans="1:5" x14ac:dyDescent="0.25">
      <c r="A490" t="str">
        <f>HYPERLINK("https://www.773grp.com/globalSearch/5962-8944101VCA/page-1", "5962-8944101VCA")</f>
        <v>5962-8944101VCA</v>
      </c>
      <c r="B490" s="3" t="str">
        <f>HYPERLINK("https://www.773grp.com/manufacturer/texas-instruments?pageNo=785", "Texas Instruments")</f>
        <v>Texas Instruments</v>
      </c>
      <c r="C490" s="5">
        <v>62</v>
      </c>
      <c r="D490" s="6">
        <v>236.03</v>
      </c>
      <c r="E490" t="s">
        <v>35</v>
      </c>
    </row>
    <row r="491" spans="1:5" x14ac:dyDescent="0.25">
      <c r="A491" t="str">
        <f>HYPERLINK("https://www.773grp.com/globalSearch/RI-RFM-008B-30/page-1", "RI-RFM-008B-30")</f>
        <v>RI-RFM-008B-30</v>
      </c>
      <c r="B491" s="3" t="s">
        <v>90</v>
      </c>
      <c r="C491" s="5">
        <v>2</v>
      </c>
      <c r="D491" s="6">
        <v>615.70000000000005</v>
      </c>
      <c r="E491" t="s">
        <v>35</v>
      </c>
    </row>
    <row r="492" spans="1:5" x14ac:dyDescent="0.25">
      <c r="A492" t="str">
        <f>HYPERLINK("https://www.773grp.com/globalSearch/UC3838AN/page-1", "UC3838AN")</f>
        <v>UC3838AN</v>
      </c>
      <c r="B492" s="3" t="s">
        <v>112</v>
      </c>
      <c r="C492" s="5">
        <v>715</v>
      </c>
      <c r="D492" s="6">
        <v>6.5</v>
      </c>
      <c r="E492" t="s">
        <v>35</v>
      </c>
    </row>
    <row r="493" spans="1:5" x14ac:dyDescent="0.25">
      <c r="A493" t="str">
        <f>HYPERLINK("https://www.773grp.com/globalSearch/UC3838N/page-1", "UC3838N")</f>
        <v>UC3838N</v>
      </c>
      <c r="B493" s="3" t="s">
        <v>112</v>
      </c>
      <c r="C493" s="5">
        <v>3502</v>
      </c>
      <c r="D493" s="6">
        <v>6.5</v>
      </c>
      <c r="E493" t="s">
        <v>35</v>
      </c>
    </row>
    <row r="494" spans="1:5" x14ac:dyDescent="0.25">
      <c r="A494" t="str">
        <f>HYPERLINK("https://www.773grp.com/globalSearch/UCC3837D/page-1", "UCC3837D")</f>
        <v>UCC3837D</v>
      </c>
      <c r="B494" s="3" t="s">
        <v>112</v>
      </c>
      <c r="C494" s="5">
        <v>1425</v>
      </c>
      <c r="D494" s="6">
        <v>6.86</v>
      </c>
      <c r="E494" t="s">
        <v>35</v>
      </c>
    </row>
    <row r="495" spans="1:5" x14ac:dyDescent="0.25">
      <c r="A495" t="str">
        <f>HYPERLINK("https://www.773grp.com/globalSearch/UC3901D/page-1", "UC3901D")</f>
        <v>UC3901D</v>
      </c>
      <c r="B495" s="3" t="s">
        <v>112</v>
      </c>
      <c r="C495" s="5">
        <v>2903</v>
      </c>
      <c r="D495" s="6">
        <v>7.2</v>
      </c>
      <c r="E495" t="s">
        <v>35</v>
      </c>
    </row>
    <row r="496" spans="1:5" x14ac:dyDescent="0.25">
      <c r="A496" t="str">
        <f>HYPERLINK("https://www.773grp.com/globalSearch/UC3901DW/page-1", "UC3901DW")</f>
        <v>UC3901DW</v>
      </c>
      <c r="B496" s="3" t="s">
        <v>112</v>
      </c>
      <c r="C496" s="5">
        <v>30</v>
      </c>
      <c r="D496" s="6">
        <v>7.2</v>
      </c>
      <c r="E496" t="s">
        <v>35</v>
      </c>
    </row>
    <row r="497" spans="1:5" x14ac:dyDescent="0.25">
      <c r="A497" t="str">
        <f>HYPERLINK("https://www.773grp.com/globalSearch/UC3901Q/page-1", "UC3901Q")</f>
        <v>UC3901Q</v>
      </c>
      <c r="B497" s="3" t="s">
        <v>112</v>
      </c>
      <c r="C497" s="5">
        <v>2938</v>
      </c>
      <c r="D497" s="6">
        <v>7.2</v>
      </c>
      <c r="E497" t="s">
        <v>35</v>
      </c>
    </row>
    <row r="498" spans="1:5" x14ac:dyDescent="0.25">
      <c r="A498" t="str">
        <f>HYPERLINK("https://www.773grp.com/globalSearch/UCC2837N/page-1", "UCC2837N")</f>
        <v>UCC2837N</v>
      </c>
      <c r="B498" s="3" t="s">
        <v>112</v>
      </c>
      <c r="C498" s="5">
        <v>1000</v>
      </c>
      <c r="D498" s="6">
        <v>7.46</v>
      </c>
      <c r="E498" t="s">
        <v>35</v>
      </c>
    </row>
    <row r="499" spans="1:5" x14ac:dyDescent="0.25">
      <c r="A499" t="str">
        <f>HYPERLINK("https://www.773grp.com/globalSearch/UC2901D/page-1", "UC2901D")</f>
        <v>UC2901D</v>
      </c>
      <c r="B499" s="3" t="s">
        <v>112</v>
      </c>
      <c r="C499" s="5">
        <v>30</v>
      </c>
      <c r="D499" s="6">
        <v>9.23</v>
      </c>
      <c r="E499" t="s">
        <v>35</v>
      </c>
    </row>
    <row r="500" spans="1:5" x14ac:dyDescent="0.25">
      <c r="A500" t="str">
        <f>HYPERLINK("https://www.773grp.com/globalSearch/UC2901Q/page-1", "UC2901Q")</f>
        <v>UC2901Q</v>
      </c>
      <c r="B500" s="3" t="s">
        <v>112</v>
      </c>
      <c r="C500" s="5">
        <v>6136</v>
      </c>
      <c r="D500" s="6">
        <v>9.23</v>
      </c>
      <c r="E500" t="s">
        <v>35</v>
      </c>
    </row>
    <row r="501" spans="1:5" x14ac:dyDescent="0.25">
      <c r="A501" t="str">
        <f>HYPERLINK("https://www.773grp.com/globalSearch/UC3833N/page-1", "UC3833N")</f>
        <v>UC3833N</v>
      </c>
      <c r="B501" s="3" t="s">
        <v>112</v>
      </c>
      <c r="C501" s="5">
        <v>39</v>
      </c>
      <c r="D501" s="6">
        <v>9.9</v>
      </c>
      <c r="E501" t="s">
        <v>35</v>
      </c>
    </row>
    <row r="502" spans="1:5" x14ac:dyDescent="0.25">
      <c r="A502" t="str">
        <f>HYPERLINK("https://www.773grp.com/globalSearch/UC2901N/page-1", "UC2901N")</f>
        <v>UC2901N</v>
      </c>
      <c r="B502" s="3" t="s">
        <v>112</v>
      </c>
      <c r="C502" s="5">
        <v>13</v>
      </c>
      <c r="D502" s="6">
        <v>10.09</v>
      </c>
      <c r="E502" t="s">
        <v>35</v>
      </c>
    </row>
    <row r="503" spans="1:5" x14ac:dyDescent="0.25">
      <c r="A503" t="str">
        <f>HYPERLINK("https://www.773grp.com/globalSearch/UC2838AN/page-1", "UC2838AN")</f>
        <v>UC2838AN</v>
      </c>
      <c r="B503" s="3" t="s">
        <v>112</v>
      </c>
      <c r="C503" s="5">
        <v>5947</v>
      </c>
      <c r="D503" s="6">
        <v>11.68</v>
      </c>
      <c r="E503" t="s">
        <v>35</v>
      </c>
    </row>
    <row r="504" spans="1:5" x14ac:dyDescent="0.25">
      <c r="A504" t="str">
        <f>HYPERLINK("https://www.773grp.com/globalSearch/UC2838N/page-1", "UC2838N")</f>
        <v>UC2838N</v>
      </c>
      <c r="B504" s="3" t="s">
        <v>112</v>
      </c>
      <c r="C504" s="5">
        <v>15</v>
      </c>
      <c r="D504" s="6">
        <v>11.68</v>
      </c>
      <c r="E504" t="s">
        <v>35</v>
      </c>
    </row>
    <row r="505" spans="1:5" x14ac:dyDescent="0.25">
      <c r="A505" t="str">
        <f>HYPERLINK("https://www.773grp.com/globalSearch/UC3833DW/page-1", "UC3833DW")</f>
        <v>UC3833DW</v>
      </c>
      <c r="B505" s="3" t="s">
        <v>112</v>
      </c>
      <c r="C505" s="5">
        <v>20</v>
      </c>
      <c r="D505" s="6">
        <v>11.78</v>
      </c>
      <c r="E505" t="s">
        <v>35</v>
      </c>
    </row>
    <row r="506" spans="1:5" x14ac:dyDescent="0.25">
      <c r="A506" t="str">
        <f>HYPERLINK("https://www.773grp.com/globalSearch/UC3832N/page-1", "UC3832N")</f>
        <v>UC3832N</v>
      </c>
      <c r="B506" s="3" t="s">
        <v>112</v>
      </c>
      <c r="C506" s="5">
        <v>172</v>
      </c>
      <c r="D506" s="6">
        <v>11.81</v>
      </c>
      <c r="E506" t="s">
        <v>35</v>
      </c>
    </row>
    <row r="507" spans="1:5" x14ac:dyDescent="0.25">
      <c r="A507" t="str">
        <f>HYPERLINK("https://www.773grp.com/globalSearch/UC3835N/page-1", "UC3835N")</f>
        <v>UC3835N</v>
      </c>
      <c r="B507" s="3" t="s">
        <v>112</v>
      </c>
      <c r="C507" s="5">
        <v>25</v>
      </c>
      <c r="D507" s="6">
        <v>12.71</v>
      </c>
      <c r="E507" t="s">
        <v>35</v>
      </c>
    </row>
    <row r="508" spans="1:5" x14ac:dyDescent="0.25">
      <c r="A508" t="str">
        <f>HYPERLINK("https://www.773grp.com/globalSearch/UC3901J/page-1", "UC3901J")</f>
        <v>UC3901J</v>
      </c>
      <c r="B508" s="3" t="s">
        <v>112</v>
      </c>
      <c r="C508" s="5">
        <v>717</v>
      </c>
      <c r="D508" s="6">
        <v>12.96</v>
      </c>
      <c r="E508" t="s">
        <v>35</v>
      </c>
    </row>
    <row r="509" spans="1:5" x14ac:dyDescent="0.25">
      <c r="A509" t="str">
        <f>HYPERLINK("https://www.773grp.com/globalSearch/UC3832DW/page-1", "UC3832DW")</f>
        <v>UC3832DW</v>
      </c>
      <c r="B509" s="3" t="s">
        <v>112</v>
      </c>
      <c r="C509" s="5">
        <v>20</v>
      </c>
      <c r="D509" s="6">
        <v>14.06</v>
      </c>
      <c r="E509" t="s">
        <v>35</v>
      </c>
    </row>
    <row r="510" spans="1:5" x14ac:dyDescent="0.25">
      <c r="A510" t="str">
        <f>HYPERLINK("https://www.773grp.com/globalSearch/UC2836DW/page-1", "UC2836DW")</f>
        <v>UC2836DW</v>
      </c>
      <c r="B510" s="3" t="s">
        <v>112</v>
      </c>
      <c r="C510" s="5">
        <v>240</v>
      </c>
      <c r="D510" s="6">
        <v>14.35</v>
      </c>
      <c r="E510" t="s">
        <v>35</v>
      </c>
    </row>
    <row r="511" spans="1:5" x14ac:dyDescent="0.25">
      <c r="A511" t="str">
        <f>HYPERLINK("https://www.773grp.com/globalSearch/UC2838AQ/page-1", "UC2838AQ")</f>
        <v>UC2838AQ</v>
      </c>
      <c r="B511" s="3" t="s">
        <v>112</v>
      </c>
      <c r="C511" s="5">
        <v>2898</v>
      </c>
      <c r="D511" s="6">
        <v>14.63</v>
      </c>
      <c r="E511" t="s">
        <v>35</v>
      </c>
    </row>
    <row r="512" spans="1:5" x14ac:dyDescent="0.25">
      <c r="A512" t="str">
        <f>HYPERLINK("https://www.773grp.com/globalSearch/UC2836D/page-1", "UC2836D")</f>
        <v>UC2836D</v>
      </c>
      <c r="B512" s="3" t="s">
        <v>112</v>
      </c>
      <c r="C512" s="5">
        <v>60</v>
      </c>
      <c r="D512" s="6">
        <v>15.95</v>
      </c>
      <c r="E512" t="s">
        <v>35</v>
      </c>
    </row>
    <row r="513" spans="1:5" x14ac:dyDescent="0.25">
      <c r="A513" t="str">
        <f>HYPERLINK("https://www.773grp.com/globalSearch/UC2836D/page-1", "UC2836D")</f>
        <v>UC2836D</v>
      </c>
      <c r="B513" s="3" t="s">
        <v>112</v>
      </c>
      <c r="C513" s="5">
        <v>3986</v>
      </c>
      <c r="D513" s="6">
        <v>15.95</v>
      </c>
      <c r="E513" t="s">
        <v>35</v>
      </c>
    </row>
    <row r="514" spans="1:5" x14ac:dyDescent="0.25">
      <c r="A514" t="str">
        <f>HYPERLINK("https://www.773grp.com/globalSearch/UC3836D/page-1", "UC3836D")</f>
        <v>UC3836D</v>
      </c>
      <c r="B514" s="3" t="s">
        <v>112</v>
      </c>
      <c r="C514" s="5">
        <v>5915</v>
      </c>
      <c r="D514" s="6">
        <v>18.989999999999998</v>
      </c>
      <c r="E514" t="s">
        <v>35</v>
      </c>
    </row>
    <row r="515" spans="1:5" x14ac:dyDescent="0.25">
      <c r="A515" t="str">
        <f>HYPERLINK("https://www.773grp.com/globalSearch/UC1835J/page-1", "UC1835J")</f>
        <v>UC1835J</v>
      </c>
      <c r="B515" s="3" t="s">
        <v>112</v>
      </c>
      <c r="C515" s="5">
        <v>1631</v>
      </c>
      <c r="D515" s="6">
        <v>28.39</v>
      </c>
      <c r="E515" t="s">
        <v>35</v>
      </c>
    </row>
    <row r="516" spans="1:5" x14ac:dyDescent="0.25">
      <c r="A516" t="str">
        <f>HYPERLINK("https://www.773grp.com/globalSearch/UC1833J/page-1", "UC1833J")</f>
        <v>UC1833J</v>
      </c>
      <c r="B516" s="3" t="s">
        <v>112</v>
      </c>
      <c r="C516" s="5">
        <v>1</v>
      </c>
      <c r="D516" s="6">
        <v>29.54</v>
      </c>
      <c r="E516" t="s">
        <v>35</v>
      </c>
    </row>
    <row r="517" spans="1:5" x14ac:dyDescent="0.25">
      <c r="A517" t="str">
        <f>HYPERLINK("https://www.773grp.com/globalSearch/UC2730T/page-1", "UC2730T")</f>
        <v>UC2730T</v>
      </c>
      <c r="B517" s="3" t="s">
        <v>112</v>
      </c>
      <c r="C517" s="5">
        <v>3500</v>
      </c>
      <c r="D517" s="6">
        <v>40.61</v>
      </c>
      <c r="E517" t="s">
        <v>35</v>
      </c>
    </row>
    <row r="518" spans="1:5" x14ac:dyDescent="0.25">
      <c r="A518" t="str">
        <f>HYPERLINK("https://www.773grp.com/globalSearch/UC1730J/page-1", "UC1730J")</f>
        <v>UC1730J</v>
      </c>
      <c r="B518" s="3" t="s">
        <v>112</v>
      </c>
      <c r="C518" s="5">
        <v>38</v>
      </c>
      <c r="D518" s="6">
        <v>40.700000000000003</v>
      </c>
      <c r="E518" t="s">
        <v>35</v>
      </c>
    </row>
    <row r="519" spans="1:5" x14ac:dyDescent="0.25">
      <c r="A519" t="str">
        <f>HYPERLINK("https://www.773grp.com/globalSearch/UC1832J883B/page-1", "UC1832J883B")</f>
        <v>UC1832J883B</v>
      </c>
      <c r="B519" s="3" t="s">
        <v>112</v>
      </c>
      <c r="C519" s="5">
        <v>776</v>
      </c>
      <c r="D519" s="6">
        <v>80.33</v>
      </c>
      <c r="E519" t="s">
        <v>35</v>
      </c>
    </row>
    <row r="520" spans="1:5" x14ac:dyDescent="0.25">
      <c r="A520" t="str">
        <f>HYPERLINK("https://www.773grp.com/globalSearch/UC1833L/page-1", "UC1833L")</f>
        <v>UC1833L</v>
      </c>
      <c r="B520" s="3" t="s">
        <v>112</v>
      </c>
      <c r="C520" s="5">
        <v>202</v>
      </c>
      <c r="D520" s="6">
        <v>95.21</v>
      </c>
      <c r="E520" t="s">
        <v>35</v>
      </c>
    </row>
    <row r="521" spans="1:5" x14ac:dyDescent="0.25">
      <c r="A521" t="str">
        <f>HYPERLINK("https://www.773grp.com/globalSearch/X96012V14I/page-1", "X96012V14I")</f>
        <v>X96012V14I</v>
      </c>
      <c r="B521" s="3" t="s">
        <v>114</v>
      </c>
      <c r="C521" s="5">
        <v>18</v>
      </c>
      <c r="D521" s="6">
        <v>12.88</v>
      </c>
      <c r="E521" t="s">
        <v>35</v>
      </c>
    </row>
    <row r="522" spans="1:5" x14ac:dyDescent="0.25">
      <c r="A522" t="str">
        <f>HYPERLINK("https://www.773grp.com/globalSearch/X96012V14IZ/page-1", "X96012V14IZ")</f>
        <v>X96012V14IZ</v>
      </c>
      <c r="B522" s="3" t="s">
        <v>114</v>
      </c>
      <c r="C522" s="5">
        <v>160</v>
      </c>
      <c r="D522" s="6">
        <v>12.88</v>
      </c>
      <c r="E522" t="s">
        <v>35</v>
      </c>
    </row>
    <row r="523" spans="1:5" x14ac:dyDescent="0.25">
      <c r="A523" t="str">
        <f>HYPERLINK("https://www.773grp.com/globalSearch/VFC32KP/page-1", "VFC32KP")</f>
        <v>VFC32KP</v>
      </c>
      <c r="B523" s="3" t="s">
        <v>90</v>
      </c>
      <c r="C523" s="5">
        <v>322</v>
      </c>
      <c r="D523" s="6">
        <v>15.53</v>
      </c>
      <c r="E523" t="s">
        <v>40</v>
      </c>
    </row>
    <row r="524" spans="1:5" x14ac:dyDescent="0.25">
      <c r="A524" t="str">
        <f>HYPERLINK("https://www.773grp.com/globalSearch/VFC32KU/page-1", "VFC32KU")</f>
        <v>VFC32KU</v>
      </c>
      <c r="B524" s="3" t="s">
        <v>90</v>
      </c>
      <c r="C524" s="5">
        <v>1022</v>
      </c>
      <c r="D524" s="6">
        <v>16.309999999999999</v>
      </c>
      <c r="E524" t="s">
        <v>40</v>
      </c>
    </row>
    <row r="525" spans="1:5" x14ac:dyDescent="0.25">
      <c r="A525" t="str">
        <f>HYPERLINK("https://www.773grp.com/globalSearch/VFC110AP/page-1", "VFC110AP")</f>
        <v>VFC110AP</v>
      </c>
      <c r="B525" s="3" t="s">
        <v>90</v>
      </c>
      <c r="C525" s="5">
        <v>20380</v>
      </c>
      <c r="D525" s="6">
        <v>39.79</v>
      </c>
      <c r="E525" t="s">
        <v>40</v>
      </c>
    </row>
    <row r="526" spans="1:5" x14ac:dyDescent="0.25">
      <c r="A526" t="str">
        <f>HYPERLINK("https://www.773grp.com/globalSearch/VFC320BP/page-1", "VFC320BP")</f>
        <v>VFC320BP</v>
      </c>
      <c r="B526" s="3" t="s">
        <v>90</v>
      </c>
      <c r="C526" s="5">
        <v>6363</v>
      </c>
      <c r="D526" s="6">
        <v>41.35</v>
      </c>
      <c r="E526" t="s">
        <v>40</v>
      </c>
    </row>
    <row r="527" spans="1:5" x14ac:dyDescent="0.25">
      <c r="A527" t="str">
        <f>HYPERLINK("https://www.773grp.com/globalSearch/VFC320CP/page-1", "VFC320CP")</f>
        <v>VFC320CP</v>
      </c>
      <c r="B527" s="3" t="s">
        <v>90</v>
      </c>
      <c r="C527" s="5">
        <v>1</v>
      </c>
      <c r="D527" s="6">
        <v>45</v>
      </c>
      <c r="E527" t="s">
        <v>40</v>
      </c>
    </row>
    <row r="528" spans="1:5" x14ac:dyDescent="0.25">
      <c r="A528" t="str">
        <f>HYPERLINK("https://www.773grp.com/globalSearch/TLC549IPS/page-1", "TLC549IPS")</f>
        <v>TLC549IPS</v>
      </c>
      <c r="B528" s="3" t="str">
        <f>HYPERLINK("https://www.773grp.com/manufacturer/texas-instruments?pageNo=558", "Texas Instruments")</f>
        <v>Texas Instruments</v>
      </c>
      <c r="C528" s="5">
        <v>1040</v>
      </c>
      <c r="D528" s="6">
        <v>3.66</v>
      </c>
      <c r="E528" t="s">
        <v>34</v>
      </c>
    </row>
    <row r="529" spans="1:5" x14ac:dyDescent="0.25">
      <c r="A529" t="str">
        <f>HYPERLINK("https://www.773grp.com/globalSearch/PCM1803ADB/page-1", "PCM1803ADB")</f>
        <v>PCM1803ADB</v>
      </c>
      <c r="B529" s="3" t="str">
        <f>HYPERLINK("https://www.773grp.com/manufacturer/texas-instruments?pageNo=722", "Texas Instruments")</f>
        <v>Texas Instruments</v>
      </c>
      <c r="C529" s="5">
        <v>1310</v>
      </c>
      <c r="D529" s="6">
        <v>3.68</v>
      </c>
      <c r="E529" t="s">
        <v>34</v>
      </c>
    </row>
    <row r="530" spans="1:5" x14ac:dyDescent="0.25">
      <c r="A530" t="str">
        <f>HYPERLINK("https://www.773grp.com/globalSearch/ADS1015IDGST/page-1", "ADS1015IDGST")</f>
        <v>ADS1015IDGST</v>
      </c>
      <c r="B530" s="3" t="str">
        <f>HYPERLINK("https://www.773grp.com/manufacturer/texas-instruments?pageNo=812", "Texas Instruments")</f>
        <v>Texas Instruments</v>
      </c>
      <c r="C530" s="5">
        <v>503</v>
      </c>
      <c r="D530" s="6">
        <v>3.71</v>
      </c>
      <c r="E530" t="s">
        <v>34</v>
      </c>
    </row>
    <row r="531" spans="1:5" x14ac:dyDescent="0.25">
      <c r="A531" t="str">
        <f>HYPERLINK("https://www.773grp.com/globalSearch/ADS1015IRUGT/page-1", "ADS1015IRUGT")</f>
        <v>ADS1015IRUGT</v>
      </c>
      <c r="B531" s="3" t="str">
        <f>HYPERLINK("https://www.773grp.com/manufacturer/texas-instruments?pageNo=813", "Texas Instruments")</f>
        <v>Texas Instruments</v>
      </c>
      <c r="C531" s="5">
        <v>500</v>
      </c>
      <c r="D531" s="6">
        <v>3.71</v>
      </c>
      <c r="E531" t="s">
        <v>34</v>
      </c>
    </row>
    <row r="532" spans="1:5" x14ac:dyDescent="0.25">
      <c r="A532" t="str">
        <f>HYPERLINK("https://www.773grp.com/globalSearch/ADS7958SRGET/page-1", "ADS7958SRGET")</f>
        <v>ADS7958SRGET</v>
      </c>
      <c r="B532" s="3" t="s">
        <v>90</v>
      </c>
      <c r="C532" s="5">
        <v>2250</v>
      </c>
      <c r="D532" s="6">
        <v>3.8</v>
      </c>
      <c r="E532" t="s">
        <v>34</v>
      </c>
    </row>
    <row r="533" spans="1:5" x14ac:dyDescent="0.25">
      <c r="A533" t="str">
        <f>HYPERLINK("https://www.773grp.com/globalSearch/TLC548CP/page-1", "TLC548CP")</f>
        <v>TLC548CP</v>
      </c>
      <c r="B533" s="3" t="str">
        <f>HYPERLINK("https://www.773grp.com/manufacturer/texas-instruments?pageNo=618", "Texas Instruments")</f>
        <v>Texas Instruments</v>
      </c>
      <c r="C533" s="5">
        <v>1418</v>
      </c>
      <c r="D533" s="6">
        <v>3.94</v>
      </c>
      <c r="E533" t="s">
        <v>34</v>
      </c>
    </row>
    <row r="534" spans="1:5" x14ac:dyDescent="0.25">
      <c r="A534" t="str">
        <f>HYPERLINK("https://www.773grp.com/globalSearch/TLV0832CDR/page-1", "TLV0832CDR")</f>
        <v>TLV0832CDR</v>
      </c>
      <c r="B534" s="3" t="str">
        <f>HYPERLINK("https://www.773grp.com/manufacturer/texas-instruments?pageNo=620", "Texas Instruments")</f>
        <v>Texas Instruments</v>
      </c>
      <c r="C534" s="5">
        <v>10000</v>
      </c>
      <c r="D534" s="6">
        <v>3.94</v>
      </c>
      <c r="E534" t="s">
        <v>34</v>
      </c>
    </row>
    <row r="535" spans="1:5" x14ac:dyDescent="0.25">
      <c r="A535" t="str">
        <f>HYPERLINK("https://www.773grp.com/globalSearch/TLC0838CPWR/page-1", "TLC0838CPWR")</f>
        <v>TLC0838CPWR</v>
      </c>
      <c r="B535" s="3" t="s">
        <v>90</v>
      </c>
      <c r="C535" s="5">
        <v>6000</v>
      </c>
      <c r="D535" s="6">
        <v>4.05</v>
      </c>
      <c r="E535" t="s">
        <v>34</v>
      </c>
    </row>
    <row r="536" spans="1:5" x14ac:dyDescent="0.25">
      <c r="A536" t="str">
        <f>HYPERLINK("https://www.773grp.com/globalSearch/ADS7888SDBVR/page-1", "ADS7888SDBVR")</f>
        <v>ADS7888SDBVR</v>
      </c>
      <c r="B536" s="3" t="s">
        <v>90</v>
      </c>
      <c r="C536" s="5">
        <v>48845</v>
      </c>
      <c r="D536" s="6">
        <v>4.49</v>
      </c>
      <c r="E536" t="s">
        <v>34</v>
      </c>
    </row>
    <row r="537" spans="1:5" x14ac:dyDescent="0.25">
      <c r="A537" t="str">
        <f>HYPERLINK("https://www.773grp.com/globalSearch/ADS7888SDCKR/page-1", "ADS7888SDCKR")</f>
        <v>ADS7888SDCKR</v>
      </c>
      <c r="B537" s="3" t="s">
        <v>90</v>
      </c>
      <c r="C537" s="5">
        <v>186000</v>
      </c>
      <c r="D537" s="6">
        <v>4.49</v>
      </c>
      <c r="E537" t="s">
        <v>34</v>
      </c>
    </row>
    <row r="538" spans="1:5" x14ac:dyDescent="0.25">
      <c r="A538" t="str">
        <f>HYPERLINK("https://www.773grp.com/globalSearch/TLV0834CN/page-1", "TLV0834CN")</f>
        <v>TLV0834CN</v>
      </c>
      <c r="B538" s="3" t="s">
        <v>90</v>
      </c>
      <c r="C538" s="5">
        <v>9434</v>
      </c>
      <c r="D538" s="6">
        <v>4.09</v>
      </c>
      <c r="E538" t="s">
        <v>34</v>
      </c>
    </row>
    <row r="539" spans="1:5" x14ac:dyDescent="0.25">
      <c r="A539" t="str">
        <f>HYPERLINK("https://www.773grp.com/globalSearch/TLV0834CPWR/page-1", "TLV0834CPWR")</f>
        <v>TLV0834CPWR</v>
      </c>
      <c r="B539" s="3" t="s">
        <v>90</v>
      </c>
      <c r="C539" s="5">
        <v>22000</v>
      </c>
      <c r="D539" s="6">
        <v>4.09</v>
      </c>
      <c r="E539" t="s">
        <v>34</v>
      </c>
    </row>
    <row r="540" spans="1:5" x14ac:dyDescent="0.25">
      <c r="A540" t="str">
        <f>HYPERLINK("https://www.773grp.com/globalSearch/TLC548IP/page-1", "TLC548IP")</f>
        <v>TLC548IP</v>
      </c>
      <c r="B540" s="3" t="s">
        <v>90</v>
      </c>
      <c r="C540" s="5">
        <v>4640</v>
      </c>
      <c r="D540" s="6">
        <v>4.16</v>
      </c>
      <c r="E540" t="s">
        <v>34</v>
      </c>
    </row>
    <row r="541" spans="1:5" x14ac:dyDescent="0.25">
      <c r="A541" t="str">
        <f>HYPERLINK("https://www.773grp.com/globalSearch/ADS7829IDRBR/page-1", "ADS7829IDRBR")</f>
        <v>ADS7829IDRBR</v>
      </c>
      <c r="B541" s="3" t="s">
        <v>90</v>
      </c>
      <c r="C541" s="5">
        <v>560000</v>
      </c>
      <c r="D541" s="6">
        <v>4.2300000000000004</v>
      </c>
      <c r="E541" t="s">
        <v>34</v>
      </c>
    </row>
    <row r="542" spans="1:5" x14ac:dyDescent="0.25">
      <c r="A542" t="str">
        <f>HYPERLINK("https://www.773grp.com/globalSearch/ADS7958SDBT/page-1", "ADS7958SDBT")</f>
        <v>ADS7958SDBT</v>
      </c>
      <c r="B542" s="3" t="s">
        <v>90</v>
      </c>
      <c r="C542" s="5">
        <v>540</v>
      </c>
      <c r="D542" s="6">
        <v>4.2300000000000004</v>
      </c>
      <c r="E542" t="s">
        <v>34</v>
      </c>
    </row>
    <row r="543" spans="1:5" x14ac:dyDescent="0.25">
      <c r="A543" t="str">
        <f>HYPERLINK("https://www.773grp.com/globalSearch/TLC0834IPW/page-1", "TLC0834IPW")</f>
        <v>TLC0834IPW</v>
      </c>
      <c r="B543" s="3" t="s">
        <v>90</v>
      </c>
      <c r="C543" s="5">
        <v>450</v>
      </c>
      <c r="D543" s="6">
        <v>4.2300000000000004</v>
      </c>
      <c r="E543" t="s">
        <v>34</v>
      </c>
    </row>
    <row r="544" spans="1:5" x14ac:dyDescent="0.25">
      <c r="A544" t="str">
        <f>HYPERLINK("https://www.773grp.com/globalSearch/TLC541IFNR/page-1", "TLC541IFNR")</f>
        <v>TLC541IFNR</v>
      </c>
      <c r="B544" s="3" t="s">
        <v>90</v>
      </c>
      <c r="C544" s="5">
        <v>25334</v>
      </c>
      <c r="D544" s="6">
        <v>4.2300000000000004</v>
      </c>
      <c r="E544" t="s">
        <v>34</v>
      </c>
    </row>
    <row r="545" spans="1:5" x14ac:dyDescent="0.25">
      <c r="A545" t="str">
        <f>HYPERLINK("https://www.773grp.com/globalSearch/TLC541INS/page-1", "TLC541INS")</f>
        <v>TLC541INS</v>
      </c>
      <c r="B545" s="3" t="s">
        <v>90</v>
      </c>
      <c r="C545" s="5">
        <v>7040</v>
      </c>
      <c r="D545" s="6">
        <v>4.2300000000000004</v>
      </c>
      <c r="E545" t="s">
        <v>34</v>
      </c>
    </row>
    <row r="546" spans="1:5" x14ac:dyDescent="0.25">
      <c r="A546" t="str">
        <f>HYPERLINK("https://www.773grp.com/globalSearch/TLC542CDWR/page-1", "TLC542CDWR")</f>
        <v>TLC542CDWR</v>
      </c>
      <c r="B546" s="3" t="s">
        <v>90</v>
      </c>
      <c r="C546" s="5">
        <v>10000</v>
      </c>
      <c r="D546" s="6">
        <v>4.2300000000000004</v>
      </c>
      <c r="E546" t="s">
        <v>34</v>
      </c>
    </row>
    <row r="547" spans="1:5" x14ac:dyDescent="0.25">
      <c r="A547" t="str">
        <f>HYPERLINK("https://www.773grp.com/globalSearch/TLC548CD/page-1", "TLC548CD")</f>
        <v>TLC548CD</v>
      </c>
      <c r="B547" s="3" t="s">
        <v>90</v>
      </c>
      <c r="C547" s="5">
        <v>1242</v>
      </c>
      <c r="D547" s="6">
        <v>4.2300000000000004</v>
      </c>
      <c r="E547" t="s">
        <v>34</v>
      </c>
    </row>
    <row r="548" spans="1:5" x14ac:dyDescent="0.25">
      <c r="A548" t="str">
        <f>HYPERLINK("https://www.773grp.com/globalSearch/PCM1803DBR/page-1", "PCM1803DBR")</f>
        <v>PCM1803DBR</v>
      </c>
      <c r="B548" s="3" t="s">
        <v>90</v>
      </c>
      <c r="C548" s="5">
        <v>11290</v>
      </c>
      <c r="D548" s="6">
        <v>4.28</v>
      </c>
      <c r="E548" t="s">
        <v>34</v>
      </c>
    </row>
    <row r="549" spans="1:5" x14ac:dyDescent="0.25">
      <c r="A549" t="str">
        <f>HYPERLINK("https://www.773grp.com/globalSearch/ADS7822E-2K5/page-1", "ADS7822E-2K5")</f>
        <v>ADS7822E-2K5</v>
      </c>
      <c r="B549" s="3" t="s">
        <v>90</v>
      </c>
      <c r="C549" s="5">
        <v>195000</v>
      </c>
      <c r="D549" s="6">
        <v>4.3499999999999996</v>
      </c>
      <c r="E549" t="s">
        <v>34</v>
      </c>
    </row>
    <row r="550" spans="1:5" x14ac:dyDescent="0.25">
      <c r="A550" t="str">
        <f>HYPERLINK("https://www.773grp.com/globalSearch/TLC0834IDR/page-1", "TLC0834IDR")</f>
        <v>TLC0834IDR</v>
      </c>
      <c r="B550" s="3" t="s">
        <v>90</v>
      </c>
      <c r="C550" s="5">
        <v>2500</v>
      </c>
      <c r="D550" s="6">
        <v>4.3499999999999996</v>
      </c>
      <c r="E550" t="s">
        <v>34</v>
      </c>
    </row>
    <row r="551" spans="1:5" x14ac:dyDescent="0.25">
      <c r="A551" t="str">
        <f>HYPERLINK("https://www.773grp.com/globalSearch/TLC548ID/page-1", "TLC548ID")</f>
        <v>TLC548ID</v>
      </c>
      <c r="B551" s="3" t="s">
        <v>90</v>
      </c>
      <c r="C551" s="5">
        <v>36678</v>
      </c>
      <c r="D551" s="6">
        <v>4.3499999999999996</v>
      </c>
      <c r="E551" t="s">
        <v>34</v>
      </c>
    </row>
    <row r="552" spans="1:5" x14ac:dyDescent="0.25">
      <c r="A552" t="str">
        <f>HYPERLINK("https://www.773grp.com/globalSearch/TLV0834IDR/page-1", "TLV0834IDR")</f>
        <v>TLV0834IDR</v>
      </c>
      <c r="B552" s="3" t="s">
        <v>90</v>
      </c>
      <c r="C552" s="5">
        <v>17500</v>
      </c>
      <c r="D552" s="6">
        <v>4.3499999999999996</v>
      </c>
      <c r="E552" t="s">
        <v>34</v>
      </c>
    </row>
    <row r="553" spans="1:5" x14ac:dyDescent="0.25">
      <c r="A553" t="str">
        <f>HYPERLINK("https://www.773grp.com/globalSearch/TLV0834IPWR/page-1", "TLV0834IPWR")</f>
        <v>TLV0834IPWR</v>
      </c>
      <c r="B553" s="3" t="s">
        <v>90</v>
      </c>
      <c r="C553" s="5">
        <v>36000</v>
      </c>
      <c r="D553" s="6">
        <v>4.3499999999999996</v>
      </c>
      <c r="E553" t="s">
        <v>34</v>
      </c>
    </row>
    <row r="554" spans="1:5" x14ac:dyDescent="0.25">
      <c r="A554" t="str">
        <f>HYPERLINK("https://www.773grp.com/globalSearch/TLV0838IN/page-1", "TLV0838IN")</f>
        <v>TLV0838IN</v>
      </c>
      <c r="B554" s="3" t="s">
        <v>90</v>
      </c>
      <c r="C554" s="5">
        <v>13857</v>
      </c>
      <c r="D554" s="6">
        <v>4.3499999999999996</v>
      </c>
      <c r="E554" t="s">
        <v>34</v>
      </c>
    </row>
    <row r="555" spans="1:5" x14ac:dyDescent="0.25">
      <c r="A555" t="str">
        <f>HYPERLINK("https://www.773grp.com/globalSearch/PCM1802DBR/page-1", "PCM1802DBR")</f>
        <v>PCM1802DBR</v>
      </c>
      <c r="B555" s="3" t="str">
        <f>HYPERLINK("https://www.773grp.com/manufacturer/texas-instruments?pageNo=218", "Texas Instruments")</f>
        <v>Texas Instruments</v>
      </c>
      <c r="C555" s="5">
        <v>3900</v>
      </c>
      <c r="D555" s="6">
        <v>4.4400000000000004</v>
      </c>
      <c r="E555" t="s">
        <v>34</v>
      </c>
    </row>
    <row r="556" spans="1:5" x14ac:dyDescent="0.25">
      <c r="A556" t="str">
        <f>HYPERLINK("https://www.773grp.com/globalSearch/ADS7826IDRBR/page-1", "ADS7826IDRBR")</f>
        <v>ADS7826IDRBR</v>
      </c>
      <c r="B556" s="3" t="str">
        <f>HYPERLINK("https://www.773grp.com/manufacturer/texas-instruments?pageNo=295", "Texas Instruments")</f>
        <v>Texas Instruments</v>
      </c>
      <c r="C556" s="5">
        <v>10000</v>
      </c>
      <c r="D556" s="6">
        <v>4.5</v>
      </c>
      <c r="E556" t="s">
        <v>34</v>
      </c>
    </row>
    <row r="557" spans="1:5" x14ac:dyDescent="0.25">
      <c r="A557" t="str">
        <f>HYPERLINK("https://www.773grp.com/globalSearch/TLC542IFNR/page-1", "TLC542IFNR")</f>
        <v>TLC542IFNR</v>
      </c>
      <c r="B557" s="3" t="str">
        <f>HYPERLINK("https://www.773grp.com/manufacturer/texas-instruments?pageNo=375", "Texas Instruments")</f>
        <v>Texas Instruments</v>
      </c>
      <c r="C557" s="5">
        <v>25000</v>
      </c>
      <c r="D557" s="6">
        <v>4.5</v>
      </c>
      <c r="E557" t="s">
        <v>34</v>
      </c>
    </row>
    <row r="558" spans="1:5" x14ac:dyDescent="0.25">
      <c r="A558" t="str">
        <f>HYPERLINK("https://www.773grp.com/globalSearch/TLC0831CP/page-1", "TLC0831CP")</f>
        <v>TLC0831CP</v>
      </c>
      <c r="B558" s="3" t="str">
        <f>HYPERLINK("https://www.773grp.com/manufacturer/texas-instruments?pageNo=445", "Texas Instruments")</f>
        <v>Texas Instruments</v>
      </c>
      <c r="C558" s="5">
        <v>207033</v>
      </c>
      <c r="D558" s="6">
        <v>4.53</v>
      </c>
      <c r="E558" t="s">
        <v>34</v>
      </c>
    </row>
    <row r="559" spans="1:5" x14ac:dyDescent="0.25">
      <c r="A559" t="str">
        <f>HYPERLINK("https://www.773grp.com/globalSearch/TLC0832CP/page-1", "TLC0832CP")</f>
        <v>TLC0832CP</v>
      </c>
      <c r="B559" s="3" t="str">
        <f>HYPERLINK("https://www.773grp.com/manufacturer/texas-instruments?pageNo=446", "Texas Instruments")</f>
        <v>Texas Instruments</v>
      </c>
      <c r="C559" s="5">
        <v>639</v>
      </c>
      <c r="D559" s="6">
        <v>4.53</v>
      </c>
      <c r="E559" t="s">
        <v>34</v>
      </c>
    </row>
    <row r="560" spans="1:5" x14ac:dyDescent="0.25">
      <c r="A560" t="str">
        <f>HYPERLINK("https://www.773grp.com/globalSearch/ADS1013IRUGR/page-1", "ADS1013IRUGR")</f>
        <v>ADS1013IRUGR</v>
      </c>
      <c r="B560" s="3" t="str">
        <f>HYPERLINK("https://www.773grp.com/manufacturer/texas-instruments?pageNo=465", "Texas Instruments")</f>
        <v>Texas Instruments</v>
      </c>
      <c r="C560" s="5">
        <v>6000</v>
      </c>
      <c r="D560" s="6">
        <v>5.01</v>
      </c>
      <c r="E560" t="s">
        <v>34</v>
      </c>
    </row>
    <row r="561" spans="1:5" x14ac:dyDescent="0.25">
      <c r="A561" t="str">
        <f>HYPERLINK("https://www.773grp.com/globalSearch/TLC549CDR/page-1", "TLC549CDR")</f>
        <v>TLC549CDR</v>
      </c>
      <c r="B561" s="3" t="str">
        <f>HYPERLINK("https://www.773grp.com/manufacturer/texas-instruments?pageNo=596", "Texas Instruments")</f>
        <v>Texas Instruments</v>
      </c>
      <c r="C561" s="5">
        <v>42421</v>
      </c>
      <c r="D561" s="6">
        <v>5.01</v>
      </c>
      <c r="E561" t="s">
        <v>34</v>
      </c>
    </row>
    <row r="562" spans="1:5" x14ac:dyDescent="0.25">
      <c r="A562" t="str">
        <f>HYPERLINK("https://www.773grp.com/globalSearch/ADS7959SDBTR/page-1", "ADS7959SDBTR")</f>
        <v>ADS7959SDBTR</v>
      </c>
      <c r="B562" s="3" t="str">
        <f>HYPERLINK("https://www.773grp.com/manufacturer/texas-instruments?pageNo=986", "Texas Instruments")</f>
        <v>Texas Instruments</v>
      </c>
      <c r="C562" s="5">
        <v>28000</v>
      </c>
      <c r="D562" s="6">
        <v>4.6399999999999997</v>
      </c>
      <c r="E562" t="s">
        <v>34</v>
      </c>
    </row>
    <row r="563" spans="1:5" x14ac:dyDescent="0.25">
      <c r="A563" t="str">
        <f>HYPERLINK("https://www.773grp.com/globalSearch/TLV0832CP/page-1", "TLV0832CP")</f>
        <v>TLV0832CP</v>
      </c>
      <c r="B563" s="3" t="s">
        <v>90</v>
      </c>
      <c r="C563" s="5">
        <v>15333</v>
      </c>
      <c r="D563" s="6">
        <v>4.6399999999999997</v>
      </c>
      <c r="E563" t="s">
        <v>34</v>
      </c>
    </row>
    <row r="564" spans="1:5" x14ac:dyDescent="0.25">
      <c r="A564" t="str">
        <f>HYPERLINK("https://www.773grp.com/globalSearch/ADS7843E-2K5/page-1", "ADS7843E-2K5")</f>
        <v>ADS7843E-2K5</v>
      </c>
      <c r="B564" s="3" t="s">
        <v>90</v>
      </c>
      <c r="C564" s="5">
        <v>12500</v>
      </c>
      <c r="D564" s="6">
        <v>4.6900000000000004</v>
      </c>
      <c r="E564" t="s">
        <v>34</v>
      </c>
    </row>
    <row r="565" spans="1:5" x14ac:dyDescent="0.25">
      <c r="A565" t="str">
        <f>HYPERLINK("https://www.773grp.com/globalSearch/TLC0834CN/page-1", "TLC0834CN")</f>
        <v>TLC0834CN</v>
      </c>
      <c r="B565" s="3" t="s">
        <v>90</v>
      </c>
      <c r="C565" s="5">
        <v>14367</v>
      </c>
      <c r="D565" s="6">
        <v>4.6900000000000004</v>
      </c>
      <c r="E565" t="s">
        <v>34</v>
      </c>
    </row>
    <row r="566" spans="1:5" x14ac:dyDescent="0.25">
      <c r="A566" t="str">
        <f>HYPERLINK("https://www.773grp.com/globalSearch/TLC0834CNE4/page-1", "TLC0834CNE4")</f>
        <v>TLC0834CNE4</v>
      </c>
      <c r="B566" s="3" t="s">
        <v>90</v>
      </c>
      <c r="C566" s="5">
        <v>39</v>
      </c>
      <c r="D566" s="6">
        <v>4.6900000000000004</v>
      </c>
      <c r="E566" t="s">
        <v>34</v>
      </c>
    </row>
    <row r="567" spans="1:5" x14ac:dyDescent="0.25">
      <c r="A567" t="str">
        <f>HYPERLINK("https://www.773grp.com/globalSearch/TLC0838CN/page-1", "TLC0838CN")</f>
        <v>TLC0838CN</v>
      </c>
      <c r="B567" s="3" t="s">
        <v>90</v>
      </c>
      <c r="C567" s="5">
        <v>3370</v>
      </c>
      <c r="D567" s="6">
        <v>4.6900000000000004</v>
      </c>
      <c r="E567" t="s">
        <v>34</v>
      </c>
    </row>
    <row r="568" spans="1:5" x14ac:dyDescent="0.25">
      <c r="A568" t="str">
        <f>HYPERLINK("https://www.773grp.com/globalSearch/TLC0831CD/page-1", "TLC0831CD")</f>
        <v>TLC0831CD</v>
      </c>
      <c r="B568" s="3" t="s">
        <v>90</v>
      </c>
      <c r="C568" s="5">
        <v>316</v>
      </c>
      <c r="D568" s="6">
        <v>4.7300000000000004</v>
      </c>
      <c r="E568" t="s">
        <v>34</v>
      </c>
    </row>
    <row r="569" spans="1:5" x14ac:dyDescent="0.25">
      <c r="A569" t="str">
        <f>HYPERLINK("https://www.773grp.com/globalSearch/TLC0832CD/page-1", "TLC0832CD")</f>
        <v>TLC0832CD</v>
      </c>
      <c r="B569" s="3" t="s">
        <v>90</v>
      </c>
      <c r="C569" s="5">
        <v>9527</v>
      </c>
      <c r="D569" s="6">
        <v>4.7300000000000004</v>
      </c>
      <c r="E569" t="s">
        <v>34</v>
      </c>
    </row>
    <row r="570" spans="1:5" x14ac:dyDescent="0.25">
      <c r="A570" t="str">
        <f>HYPERLINK("https://www.773grp.com/globalSearch/TLC0832CDG4/page-1", "TLC0832CDG4")</f>
        <v>TLC0832CDG4</v>
      </c>
      <c r="B570" s="3" t="s">
        <v>90</v>
      </c>
      <c r="C570" s="5">
        <v>5150</v>
      </c>
      <c r="D570" s="6">
        <v>4.7300000000000004</v>
      </c>
      <c r="E570" t="s">
        <v>34</v>
      </c>
    </row>
    <row r="571" spans="1:5" x14ac:dyDescent="0.25">
      <c r="A571" t="str">
        <f>HYPERLINK("https://www.773grp.com/globalSearch/ADS7829IDRBT/page-1", "ADS7829IDRBT")</f>
        <v>ADS7829IDRBT</v>
      </c>
      <c r="B571" s="3" t="s">
        <v>90</v>
      </c>
      <c r="C571" s="5">
        <v>8320</v>
      </c>
      <c r="D571" s="6">
        <v>4.78</v>
      </c>
      <c r="E571" t="s">
        <v>34</v>
      </c>
    </row>
    <row r="572" spans="1:5" x14ac:dyDescent="0.25">
      <c r="A572" t="str">
        <f>HYPERLINK("https://www.773grp.com/globalSearch/ADS7829IDRBTG4/page-1", "ADS7829IDRBTG4")</f>
        <v>ADS7829IDRBTG4</v>
      </c>
      <c r="B572" s="3" t="s">
        <v>90</v>
      </c>
      <c r="C572" s="5">
        <v>250</v>
      </c>
      <c r="D572" s="6">
        <v>4.78</v>
      </c>
      <c r="E572" t="s">
        <v>34</v>
      </c>
    </row>
    <row r="573" spans="1:5" x14ac:dyDescent="0.25">
      <c r="A573" t="str">
        <f>HYPERLINK("https://www.773grp.com/globalSearch/ADS7886SDBVR/page-1", "ADS7886SDBVR")</f>
        <v>ADS7886SDBVR</v>
      </c>
      <c r="B573" s="3" t="s">
        <v>90</v>
      </c>
      <c r="C573" s="5">
        <v>72000</v>
      </c>
      <c r="D573" s="6">
        <v>4.78</v>
      </c>
      <c r="E573" t="s">
        <v>34</v>
      </c>
    </row>
    <row r="574" spans="1:5" x14ac:dyDescent="0.25">
      <c r="A574" t="str">
        <f>HYPERLINK("https://www.773grp.com/globalSearch/ADS7886SDCKR/page-1", "ADS7886SDCKR")</f>
        <v>ADS7886SDCKR</v>
      </c>
      <c r="B574" s="3" t="s">
        <v>90</v>
      </c>
      <c r="C574" s="5">
        <v>71650</v>
      </c>
      <c r="D574" s="6">
        <v>4.78</v>
      </c>
      <c r="E574" t="s">
        <v>34</v>
      </c>
    </row>
    <row r="575" spans="1:5" x14ac:dyDescent="0.25">
      <c r="A575" t="str">
        <f>HYPERLINK("https://www.773grp.com/globalSearch/PCM1850APJT/page-1", "PCM1850APJT")</f>
        <v>PCM1850APJT</v>
      </c>
      <c r="B575" s="3" t="s">
        <v>90</v>
      </c>
      <c r="C575" s="5">
        <v>244</v>
      </c>
      <c r="D575" s="6">
        <v>4.78</v>
      </c>
      <c r="E575" t="s">
        <v>34</v>
      </c>
    </row>
    <row r="576" spans="1:5" x14ac:dyDescent="0.25">
      <c r="A576" t="str">
        <f>HYPERLINK("https://www.773grp.com/globalSearch/PCM1870AYZFR/page-1", "PCM1870AYZFR")</f>
        <v>PCM1870AYZFR</v>
      </c>
      <c r="B576" s="3" t="s">
        <v>90</v>
      </c>
      <c r="C576" s="5">
        <v>134000</v>
      </c>
      <c r="D576" s="6">
        <v>4.78</v>
      </c>
      <c r="E576" t="s">
        <v>34</v>
      </c>
    </row>
    <row r="577" spans="1:5" x14ac:dyDescent="0.25">
      <c r="A577" t="str">
        <f>HYPERLINK("https://www.773grp.com/globalSearch/TLC541IN/page-1", "TLC541IN")</f>
        <v>TLC541IN</v>
      </c>
      <c r="B577" s="3" t="s">
        <v>90</v>
      </c>
      <c r="C577" s="5">
        <v>6209</v>
      </c>
      <c r="D577" s="6">
        <v>4.78</v>
      </c>
      <c r="E577" t="s">
        <v>34</v>
      </c>
    </row>
    <row r="578" spans="1:5" x14ac:dyDescent="0.25">
      <c r="A578" t="str">
        <f>HYPERLINK("https://www.773grp.com/globalSearch/TLV0832CD/page-1", "TLV0832CD")</f>
        <v>TLV0832CD</v>
      </c>
      <c r="B578" s="3" t="s">
        <v>90</v>
      </c>
      <c r="C578" s="5">
        <v>13894</v>
      </c>
      <c r="D578" s="6">
        <v>4.78</v>
      </c>
      <c r="E578" t="s">
        <v>34</v>
      </c>
    </row>
    <row r="579" spans="1:5" x14ac:dyDescent="0.25">
      <c r="A579" t="str">
        <f>HYPERLINK("https://www.773grp.com/globalSearch/TLV0838CN/page-1", "TLV0838CN")</f>
        <v>TLV0838CN</v>
      </c>
      <c r="B579" s="3" t="s">
        <v>90</v>
      </c>
      <c r="C579" s="5">
        <v>4060</v>
      </c>
      <c r="D579" s="6">
        <v>4.78</v>
      </c>
      <c r="E579" t="s">
        <v>34</v>
      </c>
    </row>
    <row r="580" spans="1:5" x14ac:dyDescent="0.25">
      <c r="A580" t="str">
        <f>HYPERLINK("https://www.773grp.com/globalSearch/TLV320ADC3001IYZHT/page-1", "TLV320ADC3001IYZHT")</f>
        <v>TLV320ADC3001IYZHT</v>
      </c>
      <c r="B580" s="3" t="s">
        <v>90</v>
      </c>
      <c r="C580" s="5">
        <v>668</v>
      </c>
      <c r="D580" s="6">
        <v>4.78</v>
      </c>
      <c r="E580" t="s">
        <v>34</v>
      </c>
    </row>
    <row r="581" spans="1:5" x14ac:dyDescent="0.25">
      <c r="A581" t="str">
        <f>HYPERLINK("https://www.773grp.com/globalSearch/TLC0831IP/page-1", "TLC0831IP")</f>
        <v>TLC0831IP</v>
      </c>
      <c r="B581" s="3" t="s">
        <v>90</v>
      </c>
      <c r="C581" s="5">
        <v>5254</v>
      </c>
      <c r="D581" s="6">
        <v>4.8099999999999996</v>
      </c>
      <c r="E581" t="s">
        <v>34</v>
      </c>
    </row>
    <row r="582" spans="1:5" x14ac:dyDescent="0.25">
      <c r="A582" t="str">
        <f>HYPERLINK("https://www.773grp.com/globalSearch/TLC0832IP/page-1", "TLC0832IP")</f>
        <v>TLC0832IP</v>
      </c>
      <c r="B582" s="3" t="s">
        <v>90</v>
      </c>
      <c r="C582" s="5">
        <v>7094</v>
      </c>
      <c r="D582" s="6">
        <v>4.8099999999999996</v>
      </c>
      <c r="E582" t="s">
        <v>34</v>
      </c>
    </row>
    <row r="583" spans="1:5" x14ac:dyDescent="0.25">
      <c r="A583" t="str">
        <f>HYPERLINK("https://www.773grp.com/globalSearch/ADS7822EB-2K5/page-1", "ADS7822EB-2K5")</f>
        <v>ADS7822EB-2K5</v>
      </c>
      <c r="B583" s="3" t="s">
        <v>90</v>
      </c>
      <c r="C583" s="5">
        <v>260</v>
      </c>
      <c r="D583" s="6">
        <v>4.93</v>
      </c>
      <c r="E583" t="s">
        <v>34</v>
      </c>
    </row>
    <row r="584" spans="1:5" x14ac:dyDescent="0.25">
      <c r="A584" t="str">
        <f>HYPERLINK("https://www.773grp.com/globalSearch/ADS7830IPWT/page-1", "ADS7830IPWT")</f>
        <v>ADS7830IPWT</v>
      </c>
      <c r="B584" s="3" t="s">
        <v>90</v>
      </c>
      <c r="C584" s="5">
        <v>500</v>
      </c>
      <c r="D584" s="6">
        <v>4.93</v>
      </c>
      <c r="E584" t="s">
        <v>34</v>
      </c>
    </row>
    <row r="585" spans="1:5" x14ac:dyDescent="0.25">
      <c r="A585" t="str">
        <f>HYPERLINK("https://www.773grp.com/globalSearch/ADS7887SDCKT/page-1", "ADS7887SDCKT")</f>
        <v>ADS7887SDCKT</v>
      </c>
      <c r="B585" s="3" t="s">
        <v>90</v>
      </c>
      <c r="C585" s="5">
        <v>34502</v>
      </c>
      <c r="D585" s="6">
        <v>4.93</v>
      </c>
      <c r="E585" t="s">
        <v>34</v>
      </c>
    </row>
    <row r="586" spans="1:5" x14ac:dyDescent="0.25">
      <c r="A586" t="str">
        <f>HYPERLINK("https://www.773grp.com/globalSearch/ADS7959SRGET/page-1", "ADS7959SRGET")</f>
        <v>ADS7959SRGET</v>
      </c>
      <c r="B586" s="3" t="s">
        <v>90</v>
      </c>
      <c r="C586" s="5">
        <v>3250</v>
      </c>
      <c r="D586" s="6">
        <v>4.93</v>
      </c>
      <c r="E586" t="s">
        <v>34</v>
      </c>
    </row>
    <row r="587" spans="1:5" x14ac:dyDescent="0.25">
      <c r="A587" t="str">
        <f>HYPERLINK("https://www.773grp.com/globalSearch/TLC0834CD/page-1", "TLC0834CD")</f>
        <v>TLC0834CD</v>
      </c>
      <c r="B587" s="3" t="s">
        <v>90</v>
      </c>
      <c r="C587" s="5">
        <v>2374</v>
      </c>
      <c r="D587" s="6">
        <v>4.93</v>
      </c>
      <c r="E587" t="s">
        <v>34</v>
      </c>
    </row>
    <row r="588" spans="1:5" x14ac:dyDescent="0.25">
      <c r="A588" t="str">
        <f>HYPERLINK("https://www.773grp.com/globalSearch/TLC0838CDW/page-1", "TLC0838CDW")</f>
        <v>TLC0838CDW</v>
      </c>
      <c r="B588" s="3" t="s">
        <v>90</v>
      </c>
      <c r="C588" s="5">
        <v>500</v>
      </c>
      <c r="D588" s="6">
        <v>4.93</v>
      </c>
      <c r="E588" t="s">
        <v>34</v>
      </c>
    </row>
    <row r="589" spans="1:5" x14ac:dyDescent="0.25">
      <c r="A589" t="str">
        <f>HYPERLINK("https://www.773grp.com/globalSearch/TLC0838CPW/page-1", "TLC0838CPW")</f>
        <v>TLC0838CPW</v>
      </c>
      <c r="B589" s="3" t="s">
        <v>90</v>
      </c>
      <c r="C589" s="5">
        <v>7</v>
      </c>
      <c r="D589" s="6">
        <v>4.93</v>
      </c>
      <c r="E589" t="s">
        <v>34</v>
      </c>
    </row>
    <row r="590" spans="1:5" x14ac:dyDescent="0.25">
      <c r="A590" t="str">
        <f>HYPERLINK("https://www.773grp.com/globalSearch/TLC542CN/page-1", "TLC542CN")</f>
        <v>TLC542CN</v>
      </c>
      <c r="B590" s="3" t="s">
        <v>90</v>
      </c>
      <c r="C590" s="5">
        <v>6427</v>
      </c>
      <c r="D590" s="6">
        <v>4.93</v>
      </c>
      <c r="E590" t="s">
        <v>34</v>
      </c>
    </row>
    <row r="591" spans="1:5" x14ac:dyDescent="0.25">
      <c r="A591" t="str">
        <f>HYPERLINK("https://www.773grp.com/globalSearch/TLV0831CDR/page-1", "TLV0831CDR")</f>
        <v>TLV0831CDR</v>
      </c>
      <c r="B591" s="3" t="s">
        <v>90</v>
      </c>
      <c r="C591" s="5">
        <v>22500</v>
      </c>
      <c r="D591" s="6">
        <v>4.93</v>
      </c>
      <c r="E591" t="s">
        <v>34</v>
      </c>
    </row>
    <row r="592" spans="1:5" x14ac:dyDescent="0.25">
      <c r="A592" t="str">
        <f>HYPERLINK("https://www.773grp.com/globalSearch/TLV0832IP/page-1", "TLV0832IP")</f>
        <v>TLV0832IP</v>
      </c>
      <c r="B592" s="3" t="s">
        <v>90</v>
      </c>
      <c r="C592" s="5">
        <v>3693</v>
      </c>
      <c r="D592" s="6">
        <v>4.93</v>
      </c>
      <c r="E592" t="s">
        <v>34</v>
      </c>
    </row>
    <row r="593" spans="1:5" x14ac:dyDescent="0.25">
      <c r="A593" t="str">
        <f>HYPERLINK("https://www.773grp.com/globalSearch/TLV0834CD/page-1", "TLV0834CD")</f>
        <v>TLV0834CD</v>
      </c>
      <c r="B593" s="3" t="s">
        <v>90</v>
      </c>
      <c r="C593" s="5">
        <v>260</v>
      </c>
      <c r="D593" s="6">
        <v>4.93</v>
      </c>
      <c r="E593" t="s">
        <v>34</v>
      </c>
    </row>
    <row r="594" spans="1:5" x14ac:dyDescent="0.25">
      <c r="A594" t="str">
        <f>HYPERLINK("https://www.773grp.com/globalSearch/TLV0834CPW/page-1", "TLV0834CPW")</f>
        <v>TLV0834CPW</v>
      </c>
      <c r="B594" s="3" t="s">
        <v>90</v>
      </c>
      <c r="C594" s="5">
        <v>5250</v>
      </c>
      <c r="D594" s="6">
        <v>4.93</v>
      </c>
      <c r="E594" t="s">
        <v>34</v>
      </c>
    </row>
    <row r="595" spans="1:5" x14ac:dyDescent="0.25">
      <c r="A595" t="str">
        <f>HYPERLINK("https://www.773grp.com/globalSearch/TLV0838CDW/page-1", "TLV0838CDW")</f>
        <v>TLV0838CDW</v>
      </c>
      <c r="B595" s="3" t="s">
        <v>90</v>
      </c>
      <c r="C595" s="5">
        <v>70</v>
      </c>
      <c r="D595" s="6">
        <v>4.93</v>
      </c>
      <c r="E595" t="s">
        <v>34</v>
      </c>
    </row>
    <row r="596" spans="1:5" x14ac:dyDescent="0.25">
      <c r="A596" t="str">
        <f>HYPERLINK("https://www.773grp.com/globalSearch/TLV0838CPW/page-1", "TLV0838CPW")</f>
        <v>TLV0838CPW</v>
      </c>
      <c r="B596" s="3" t="s">
        <v>90</v>
      </c>
      <c r="C596" s="5">
        <v>560</v>
      </c>
      <c r="D596" s="6">
        <v>4.93</v>
      </c>
      <c r="E596" t="s">
        <v>34</v>
      </c>
    </row>
    <row r="597" spans="1:5" x14ac:dyDescent="0.25">
      <c r="A597" t="str">
        <f>HYPERLINK("https://www.773grp.com/globalSearch/ADS7822P/page-1", "ADS7822P")</f>
        <v>ADS7822P</v>
      </c>
      <c r="B597" s="3" t="s">
        <v>90</v>
      </c>
      <c r="C597" s="5">
        <v>145</v>
      </c>
      <c r="D597" s="6">
        <v>5.01</v>
      </c>
      <c r="E597" t="s">
        <v>34</v>
      </c>
    </row>
    <row r="598" spans="1:5" x14ac:dyDescent="0.25">
      <c r="A598" t="str">
        <f>HYPERLINK("https://www.773grp.com/globalSearch/ADS7822P/page-1", "ADS7822P")</f>
        <v>ADS7822P</v>
      </c>
      <c r="B598" s="3" t="s">
        <v>90</v>
      </c>
      <c r="C598" s="5">
        <v>1919</v>
      </c>
      <c r="D598" s="6">
        <v>5.01</v>
      </c>
      <c r="E598" t="s">
        <v>34</v>
      </c>
    </row>
    <row r="599" spans="1:5" x14ac:dyDescent="0.25">
      <c r="A599" t="str">
        <f>HYPERLINK("https://www.773grp.com/globalSearch/TLC0834IN/page-1", "TLC0834IN")</f>
        <v>TLC0834IN</v>
      </c>
      <c r="B599" s="3" t="s">
        <v>90</v>
      </c>
      <c r="C599" s="5">
        <v>2811</v>
      </c>
      <c r="D599" s="6">
        <v>5.01</v>
      </c>
      <c r="E599" t="s">
        <v>34</v>
      </c>
    </row>
    <row r="600" spans="1:5" x14ac:dyDescent="0.25">
      <c r="A600" t="str">
        <f>HYPERLINK("https://www.773grp.com/globalSearch/TLC0838IN/page-1", "TLC0838IN")</f>
        <v>TLC0838IN</v>
      </c>
      <c r="B600" s="3" t="s">
        <v>90</v>
      </c>
      <c r="C600" s="5">
        <v>413</v>
      </c>
      <c r="D600" s="6">
        <v>5.01</v>
      </c>
      <c r="E600" t="s">
        <v>34</v>
      </c>
    </row>
    <row r="601" spans="1:5" x14ac:dyDescent="0.25">
      <c r="A601" t="str">
        <f>HYPERLINK("https://www.773grp.com/globalSearch/TLV0834IN/page-1", "TLV0834IN")</f>
        <v>TLV0834IN</v>
      </c>
      <c r="B601" s="3" t="s">
        <v>90</v>
      </c>
      <c r="C601" s="5">
        <v>19741</v>
      </c>
      <c r="D601" s="6">
        <v>5.01</v>
      </c>
      <c r="E601" t="s">
        <v>34</v>
      </c>
    </row>
    <row r="602" spans="1:5" x14ac:dyDescent="0.25">
      <c r="A602" t="str">
        <f>HYPERLINK("https://www.773grp.com/globalSearch/TLC0831ID/page-1", "TLC0831ID")</f>
        <v>TLC0831ID</v>
      </c>
      <c r="B602" s="3" t="s">
        <v>90</v>
      </c>
      <c r="C602" s="5">
        <v>5400</v>
      </c>
      <c r="D602" s="6">
        <v>5.03</v>
      </c>
      <c r="E602" t="s">
        <v>34</v>
      </c>
    </row>
    <row r="603" spans="1:5" x14ac:dyDescent="0.25">
      <c r="A603" t="str">
        <f>HYPERLINK("https://www.773grp.com/globalSearch/TLC0832ID/page-1", "TLC0832ID")</f>
        <v>TLC0832ID</v>
      </c>
      <c r="B603" s="3" t="s">
        <v>90</v>
      </c>
      <c r="C603" s="5">
        <v>184</v>
      </c>
      <c r="D603" s="6">
        <v>5.03</v>
      </c>
      <c r="E603" t="s">
        <v>34</v>
      </c>
    </row>
    <row r="604" spans="1:5" x14ac:dyDescent="0.25">
      <c r="A604" t="str">
        <f>HYPERLINK("https://www.773grp.com/globalSearch/ADS1100A6IDBVR/page-1", "ADS1100A6IDBVR")</f>
        <v>ADS1100A6IDBVR</v>
      </c>
      <c r="B604" s="3" t="s">
        <v>90</v>
      </c>
      <c r="C604" s="5">
        <v>9834</v>
      </c>
      <c r="D604" s="6">
        <v>5.0599999999999996</v>
      </c>
      <c r="E604" t="s">
        <v>34</v>
      </c>
    </row>
    <row r="605" spans="1:5" x14ac:dyDescent="0.25">
      <c r="A605" t="str">
        <f>HYPERLINK("https://www.773grp.com/globalSearch/ADS7822E-250/page-1", "ADS7822E-250")</f>
        <v>ADS7822E-250</v>
      </c>
      <c r="B605" s="3" t="s">
        <v>90</v>
      </c>
      <c r="C605" s="5">
        <v>24569</v>
      </c>
      <c r="D605" s="6">
        <v>5.0599999999999996</v>
      </c>
      <c r="E605" t="s">
        <v>34</v>
      </c>
    </row>
    <row r="606" spans="1:5" x14ac:dyDescent="0.25">
      <c r="A606" t="str">
        <f>HYPERLINK("https://www.773grp.com/globalSearch/ADS7826IDRBT/page-1", "ADS7826IDRBT")</f>
        <v>ADS7826IDRBT</v>
      </c>
      <c r="B606" s="3" t="s">
        <v>90</v>
      </c>
      <c r="C606" s="5">
        <v>7750</v>
      </c>
      <c r="D606" s="6">
        <v>5.0599999999999996</v>
      </c>
      <c r="E606" t="s">
        <v>34</v>
      </c>
    </row>
    <row r="607" spans="1:5" x14ac:dyDescent="0.25">
      <c r="A607" t="str">
        <f>HYPERLINK("https://www.773grp.com/globalSearch/TLC541IDW/page-1", "TLC541IDW")</f>
        <v>TLC541IDW</v>
      </c>
      <c r="B607" s="3" t="s">
        <v>90</v>
      </c>
      <c r="C607" s="5">
        <v>720</v>
      </c>
      <c r="D607" s="6">
        <v>5.0599999999999996</v>
      </c>
      <c r="E607" t="s">
        <v>34</v>
      </c>
    </row>
    <row r="608" spans="1:5" x14ac:dyDescent="0.25">
      <c r="A608" t="str">
        <f>HYPERLINK("https://www.773grp.com/globalSearch/TLC541IFN/page-1", "TLC541IFN")</f>
        <v>TLC541IFN</v>
      </c>
      <c r="B608" s="3" t="s">
        <v>90</v>
      </c>
      <c r="C608" s="5">
        <v>35146</v>
      </c>
      <c r="D608" s="6">
        <v>5.0599999999999996</v>
      </c>
      <c r="E608" t="s">
        <v>34</v>
      </c>
    </row>
    <row r="609" spans="1:5" x14ac:dyDescent="0.25">
      <c r="A609" t="str">
        <f>HYPERLINK("https://www.773grp.com/globalSearch/TLV0832ID/page-1", "TLV0832ID")</f>
        <v>TLV0832ID</v>
      </c>
      <c r="B609" s="3" t="s">
        <v>90</v>
      </c>
      <c r="C609" s="5">
        <v>4694</v>
      </c>
      <c r="D609" s="6">
        <v>5.0599999999999996</v>
      </c>
      <c r="E609" t="s">
        <v>34</v>
      </c>
    </row>
    <row r="610" spans="1:5" x14ac:dyDescent="0.25">
      <c r="A610" t="str">
        <f>HYPERLINK("https://www.773grp.com/globalSearch/TLC540IFNR/page-1", "TLC540IFNR")</f>
        <v>TLC540IFNR</v>
      </c>
      <c r="B610" s="3" t="s">
        <v>90</v>
      </c>
      <c r="C610" s="5">
        <v>4000</v>
      </c>
      <c r="D610" s="6">
        <v>5.15</v>
      </c>
      <c r="E610" t="s">
        <v>34</v>
      </c>
    </row>
    <row r="611" spans="1:5" x14ac:dyDescent="0.25">
      <c r="A611" t="str">
        <f>HYPERLINK("https://www.773grp.com/globalSearch/TLC540IFNR/page-1", "TLC540IFNR")</f>
        <v>TLC540IFNR</v>
      </c>
      <c r="B611" s="3" t="s">
        <v>90</v>
      </c>
      <c r="C611" s="5">
        <v>329840</v>
      </c>
      <c r="D611" s="6">
        <v>5.15</v>
      </c>
      <c r="E611" t="s">
        <v>34</v>
      </c>
    </row>
    <row r="612" spans="1:5" x14ac:dyDescent="0.25">
      <c r="A612" t="str">
        <f>HYPERLINK("https://www.773grp.com/globalSearch/ADS7883SDBVR/page-1", "ADS7883SDBVR")</f>
        <v>ADS7883SDBVR</v>
      </c>
      <c r="B612" s="3" t="s">
        <v>90</v>
      </c>
      <c r="C612" s="5">
        <v>3000</v>
      </c>
      <c r="D612" s="6">
        <v>5.2</v>
      </c>
      <c r="E612" t="s">
        <v>34</v>
      </c>
    </row>
    <row r="613" spans="1:5" x14ac:dyDescent="0.25">
      <c r="A613" t="str">
        <f>HYPERLINK("https://www.773grp.com/globalSearch/ADS7884SDBVT/page-1", "ADS7884SDBVT")</f>
        <v>ADS7884SDBVT</v>
      </c>
      <c r="B613" s="3" t="s">
        <v>90</v>
      </c>
      <c r="C613" s="5">
        <v>4250</v>
      </c>
      <c r="D613" s="6">
        <v>5.2</v>
      </c>
      <c r="E613" t="s">
        <v>34</v>
      </c>
    </row>
    <row r="614" spans="1:5" x14ac:dyDescent="0.25">
      <c r="A614" t="str">
        <f>HYPERLINK("https://www.773grp.com/globalSearch/ADS7948SRTET/page-1", "ADS7948SRTET")</f>
        <v>ADS7948SRTET</v>
      </c>
      <c r="B614" s="3" t="s">
        <v>90</v>
      </c>
      <c r="C614" s="5">
        <v>3250</v>
      </c>
      <c r="D614" s="6">
        <v>5.2</v>
      </c>
      <c r="E614" t="s">
        <v>34</v>
      </c>
    </row>
    <row r="615" spans="1:5" x14ac:dyDescent="0.25">
      <c r="A615" t="str">
        <f>HYPERLINK("https://www.773grp.com/globalSearch/TLC542CDW/page-1", "TLC542CDW")</f>
        <v>TLC542CDW</v>
      </c>
      <c r="B615" s="3" t="s">
        <v>90</v>
      </c>
      <c r="C615" s="5">
        <v>10700</v>
      </c>
      <c r="D615" s="6">
        <v>5.2</v>
      </c>
      <c r="E615" t="s">
        <v>34</v>
      </c>
    </row>
    <row r="616" spans="1:5" x14ac:dyDescent="0.25">
      <c r="A616" t="str">
        <f>HYPERLINK("https://www.773grp.com/globalSearch/TLC542IN/page-1", "TLC542IN")</f>
        <v>TLC542IN</v>
      </c>
      <c r="B616" s="3" t="s">
        <v>90</v>
      </c>
      <c r="C616" s="5">
        <v>3550</v>
      </c>
      <c r="D616" s="6">
        <v>5.2</v>
      </c>
      <c r="E616" t="s">
        <v>34</v>
      </c>
    </row>
    <row r="617" spans="1:5" x14ac:dyDescent="0.25">
      <c r="A617" t="str">
        <f>HYPERLINK("https://www.773grp.com/globalSearch/TLC0838IDW/page-1", "TLC0838IDW")</f>
        <v>TLC0838IDW</v>
      </c>
      <c r="B617" s="3" t="s">
        <v>90</v>
      </c>
      <c r="C617" s="5">
        <v>165</v>
      </c>
      <c r="D617" s="6">
        <v>5.24</v>
      </c>
      <c r="E617" t="s">
        <v>34</v>
      </c>
    </row>
    <row r="618" spans="1:5" x14ac:dyDescent="0.25">
      <c r="A618" t="str">
        <f>HYPERLINK("https://www.773grp.com/globalSearch/TLC0838IPW/page-1", "TLC0838IPW")</f>
        <v>TLC0838IPW</v>
      </c>
      <c r="B618" s="3" t="s">
        <v>90</v>
      </c>
      <c r="C618" s="5">
        <v>65</v>
      </c>
      <c r="D618" s="6">
        <v>5.24</v>
      </c>
      <c r="E618" t="s">
        <v>34</v>
      </c>
    </row>
    <row r="619" spans="1:5" x14ac:dyDescent="0.25">
      <c r="A619" t="str">
        <f>HYPERLINK("https://www.773grp.com/globalSearch/TLC0820ACFNR/page-1", "TLC0820ACFNR")</f>
        <v>TLC0820ACFNR</v>
      </c>
      <c r="B619" s="3" t="s">
        <v>90</v>
      </c>
      <c r="C619" s="5">
        <v>1000</v>
      </c>
      <c r="D619" s="6">
        <v>5.35</v>
      </c>
      <c r="E619" t="s">
        <v>34</v>
      </c>
    </row>
    <row r="620" spans="1:5" x14ac:dyDescent="0.25">
      <c r="A620" t="str">
        <f>HYPERLINK("https://www.773grp.com/globalSearch/TLC1543CDBR/page-1", "TLC1543CDBR")</f>
        <v>TLC1543CDBR</v>
      </c>
      <c r="B620" s="3" t="s">
        <v>90</v>
      </c>
      <c r="C620" s="5">
        <v>60</v>
      </c>
      <c r="D620" s="6">
        <v>5.35</v>
      </c>
      <c r="E620" t="s">
        <v>34</v>
      </c>
    </row>
    <row r="621" spans="1:5" x14ac:dyDescent="0.25">
      <c r="A621" t="str">
        <f>HYPERLINK("https://www.773grp.com/globalSearch/TLV0831IDR/page-1", "TLV0831IDR")</f>
        <v>TLV0831IDR</v>
      </c>
      <c r="B621" s="3" t="s">
        <v>90</v>
      </c>
      <c r="C621" s="5">
        <v>20000</v>
      </c>
      <c r="D621" s="6">
        <v>5.35</v>
      </c>
      <c r="E621" t="s">
        <v>34</v>
      </c>
    </row>
    <row r="622" spans="1:5" x14ac:dyDescent="0.25">
      <c r="A622" t="str">
        <f>HYPERLINK("https://www.773grp.com/globalSearch/TLV0834ID/page-1", "TLV0834ID")</f>
        <v>TLV0834ID</v>
      </c>
      <c r="B622" s="3" t="s">
        <v>90</v>
      </c>
      <c r="C622" s="5">
        <v>20817</v>
      </c>
      <c r="D622" s="6">
        <v>5.35</v>
      </c>
      <c r="E622" t="s">
        <v>34</v>
      </c>
    </row>
    <row r="623" spans="1:5" x14ac:dyDescent="0.25">
      <c r="A623" t="str">
        <f>HYPERLINK("https://www.773grp.com/globalSearch/TLV0834IPW/page-1", "TLV0834IPW")</f>
        <v>TLV0834IPW</v>
      </c>
      <c r="B623" s="3" t="s">
        <v>90</v>
      </c>
      <c r="C623" s="5">
        <v>11790</v>
      </c>
      <c r="D623" s="6">
        <v>5.35</v>
      </c>
      <c r="E623" t="s">
        <v>34</v>
      </c>
    </row>
    <row r="624" spans="1:5" x14ac:dyDescent="0.25">
      <c r="A624" t="str">
        <f>HYPERLINK("https://www.773grp.com/globalSearch/TLV0838IDW/page-1", "TLV0838IDW")</f>
        <v>TLV0838IDW</v>
      </c>
      <c r="B624" s="3" t="s">
        <v>90</v>
      </c>
      <c r="C624" s="5">
        <v>1679</v>
      </c>
      <c r="D624" s="6">
        <v>5.35</v>
      </c>
      <c r="E624" t="s">
        <v>34</v>
      </c>
    </row>
    <row r="625" spans="1:5" x14ac:dyDescent="0.25">
      <c r="A625" t="str">
        <f>HYPERLINK("https://www.773grp.com/globalSearch/TLV0838IDWG4/page-1", "TLV0838IDWG4")</f>
        <v>TLV0838IDWG4</v>
      </c>
      <c r="B625" s="3" t="s">
        <v>90</v>
      </c>
      <c r="C625" s="5">
        <v>23</v>
      </c>
      <c r="D625" s="6">
        <v>5.35</v>
      </c>
      <c r="E625" t="s">
        <v>34</v>
      </c>
    </row>
    <row r="626" spans="1:5" x14ac:dyDescent="0.25">
      <c r="A626" t="str">
        <f>HYPERLINK("https://www.773grp.com/globalSearch/ADS1113IRUGR/page-1", "ADS1113IRUGR")</f>
        <v>ADS1113IRUGR</v>
      </c>
      <c r="B626" s="3" t="s">
        <v>90</v>
      </c>
      <c r="C626" s="5">
        <v>3000</v>
      </c>
      <c r="D626" s="6">
        <v>5.49</v>
      </c>
      <c r="E626" t="s">
        <v>34</v>
      </c>
    </row>
    <row r="627" spans="1:5" x14ac:dyDescent="0.25">
      <c r="A627" t="str">
        <f>HYPERLINK("https://www.773grp.com/globalSearch/ADS7816E/page-1", "ADS7816E")</f>
        <v>ADS7816E</v>
      </c>
      <c r="B627" s="3" t="s">
        <v>90</v>
      </c>
      <c r="C627" s="5">
        <v>19</v>
      </c>
      <c r="D627" s="6">
        <v>5.49</v>
      </c>
      <c r="E627" t="s">
        <v>34</v>
      </c>
    </row>
    <row r="628" spans="1:5" x14ac:dyDescent="0.25">
      <c r="A628" t="str">
        <f>HYPERLINK("https://www.773grp.com/globalSearch/ADS7816U-2K5/page-1", "ADS7816U-2K5")</f>
        <v>ADS7816U-2K5</v>
      </c>
      <c r="B628" s="3" t="s">
        <v>90</v>
      </c>
      <c r="C628" s="5">
        <v>45000</v>
      </c>
      <c r="D628" s="6">
        <v>5.49</v>
      </c>
      <c r="E628" t="s">
        <v>34</v>
      </c>
    </row>
    <row r="629" spans="1:5" x14ac:dyDescent="0.25">
      <c r="A629" t="str">
        <f>HYPERLINK("https://www.773grp.com/globalSearch/ADS7817E-2K5/page-1", "ADS7817E-2K5")</f>
        <v>ADS7817E-2K5</v>
      </c>
      <c r="B629" s="3" t="s">
        <v>90</v>
      </c>
      <c r="C629" s="5">
        <v>7000</v>
      </c>
      <c r="D629" s="6">
        <v>5.49</v>
      </c>
      <c r="E629" t="s">
        <v>34</v>
      </c>
    </row>
    <row r="630" spans="1:5" x14ac:dyDescent="0.25">
      <c r="A630" t="str">
        <f>HYPERLINK("https://www.773grp.com/globalSearch/ADS7817E-2K5G4/page-1", "ADS7817E-2K5G4")</f>
        <v>ADS7817E-2K5G4</v>
      </c>
      <c r="B630" s="3" t="s">
        <v>90</v>
      </c>
      <c r="C630" s="5">
        <v>4910</v>
      </c>
      <c r="D630" s="6">
        <v>5.49</v>
      </c>
      <c r="E630" t="s">
        <v>34</v>
      </c>
    </row>
    <row r="631" spans="1:5" x14ac:dyDescent="0.25">
      <c r="A631" t="str">
        <f>HYPERLINK("https://www.773grp.com/globalSearch/ADS7817U-2K5/page-1", "ADS7817U-2K5")</f>
        <v>ADS7817U-2K5</v>
      </c>
      <c r="B631" s="3" t="s">
        <v>90</v>
      </c>
      <c r="C631" s="5">
        <v>2500</v>
      </c>
      <c r="D631" s="6">
        <v>5.49</v>
      </c>
      <c r="E631" t="s">
        <v>34</v>
      </c>
    </row>
    <row r="632" spans="1:5" x14ac:dyDescent="0.25">
      <c r="A632" t="str">
        <f>HYPERLINK("https://www.773grp.com/globalSearch/ADS7822PB/page-1", "ADS7822PB")</f>
        <v>ADS7822PB</v>
      </c>
      <c r="B632" s="3" t="s">
        <v>90</v>
      </c>
      <c r="C632" s="5">
        <v>6500</v>
      </c>
      <c r="D632" s="6">
        <v>5.49</v>
      </c>
      <c r="E632" t="s">
        <v>34</v>
      </c>
    </row>
    <row r="633" spans="1:5" x14ac:dyDescent="0.25">
      <c r="A633" t="str">
        <f>HYPERLINK("https://www.773grp.com/globalSearch/TLC1549IDR/page-1", "TLC1549IDR")</f>
        <v>TLC1549IDR</v>
      </c>
      <c r="B633" s="3" t="s">
        <v>90</v>
      </c>
      <c r="C633" s="5">
        <v>5000</v>
      </c>
      <c r="D633" s="6">
        <v>5.49</v>
      </c>
      <c r="E633" t="s">
        <v>34</v>
      </c>
    </row>
    <row r="634" spans="1:5" x14ac:dyDescent="0.25">
      <c r="A634" t="str">
        <f>HYPERLINK("https://www.773grp.com/globalSearch/TLC542IDW/page-1", "TLC542IDW")</f>
        <v>TLC542IDW</v>
      </c>
      <c r="B634" s="3" t="s">
        <v>90</v>
      </c>
      <c r="C634" s="5">
        <v>512</v>
      </c>
      <c r="D634" s="6">
        <v>5.49</v>
      </c>
      <c r="E634" t="s">
        <v>34</v>
      </c>
    </row>
    <row r="635" spans="1:5" x14ac:dyDescent="0.25">
      <c r="A635" t="str">
        <f>HYPERLINK("https://www.773grp.com/globalSearch/TLC542IFN/page-1", "TLC542IFN")</f>
        <v>TLC542IFN</v>
      </c>
      <c r="B635" s="3" t="s">
        <v>90</v>
      </c>
      <c r="C635" s="5">
        <v>6913</v>
      </c>
      <c r="D635" s="6">
        <v>5.49</v>
      </c>
      <c r="E635" t="s">
        <v>34</v>
      </c>
    </row>
    <row r="636" spans="1:5" x14ac:dyDescent="0.25">
      <c r="A636" t="str">
        <f>HYPERLINK("https://www.773grp.com/globalSearch/TLV1544CDR/page-1", "TLV1544CDR")</f>
        <v>TLV1544CDR</v>
      </c>
      <c r="B636" s="3" t="s">
        <v>90</v>
      </c>
      <c r="C636" s="5">
        <v>17500</v>
      </c>
      <c r="D636" s="6">
        <v>5.49</v>
      </c>
      <c r="E636" t="s">
        <v>34</v>
      </c>
    </row>
    <row r="637" spans="1:5" x14ac:dyDescent="0.25">
      <c r="A637" t="str">
        <f>HYPERLINK("https://www.773grp.com/globalSearch/TLV1544CPWR/page-1", "TLV1544CPWR")</f>
        <v>TLV1544CPWR</v>
      </c>
      <c r="B637" s="3" t="s">
        <v>90</v>
      </c>
      <c r="C637" s="5">
        <v>19690</v>
      </c>
      <c r="D637" s="6">
        <v>5.49</v>
      </c>
      <c r="E637" t="s">
        <v>34</v>
      </c>
    </row>
    <row r="638" spans="1:5" x14ac:dyDescent="0.25">
      <c r="A638" t="str">
        <f>HYPERLINK("https://www.773grp.com/globalSearch/PCM1802DB/page-1", "PCM1802DB")</f>
        <v>PCM1802DB</v>
      </c>
      <c r="B638" s="3" t="s">
        <v>90</v>
      </c>
      <c r="C638" s="5">
        <v>757</v>
      </c>
      <c r="D638" s="6">
        <v>5.58</v>
      </c>
      <c r="E638" t="s">
        <v>34</v>
      </c>
    </row>
    <row r="639" spans="1:5" x14ac:dyDescent="0.25">
      <c r="A639" t="str">
        <f>HYPERLINK("https://www.773grp.com/globalSearch/ADS1100A2IDBVR/page-1", "ADS1100A2IDBVR")</f>
        <v>ADS1100A2IDBVR</v>
      </c>
      <c r="B639" s="3" t="s">
        <v>90</v>
      </c>
      <c r="C639" s="5">
        <v>16335</v>
      </c>
      <c r="D639" s="6">
        <v>5.63</v>
      </c>
      <c r="E639" t="s">
        <v>34</v>
      </c>
    </row>
    <row r="640" spans="1:5" x14ac:dyDescent="0.25">
      <c r="A640" t="str">
        <f>HYPERLINK("https://www.773grp.com/globalSearch/ADS1100A3IDBVR/page-1", "ADS1100A3IDBVR")</f>
        <v>ADS1100A3IDBVR</v>
      </c>
      <c r="B640" s="3" t="s">
        <v>90</v>
      </c>
      <c r="C640" s="5">
        <v>24000</v>
      </c>
      <c r="D640" s="6">
        <v>5.63</v>
      </c>
      <c r="E640" t="s">
        <v>34</v>
      </c>
    </row>
    <row r="641" spans="1:5" x14ac:dyDescent="0.25">
      <c r="A641" t="str">
        <f>HYPERLINK("https://www.773grp.com/globalSearch/ADS7829IBDRBR/page-1", "ADS7829IBDRBR")</f>
        <v>ADS7829IBDRBR</v>
      </c>
      <c r="B641" s="3" t="s">
        <v>90</v>
      </c>
      <c r="C641" s="5">
        <v>22500</v>
      </c>
      <c r="D641" s="6">
        <v>5.63</v>
      </c>
      <c r="E641" t="s">
        <v>34</v>
      </c>
    </row>
    <row r="642" spans="1:5" x14ac:dyDescent="0.25">
      <c r="A642" t="str">
        <f>HYPERLINK("https://www.773grp.com/globalSearch/ADS7843E/page-1", "ADS7843E")</f>
        <v>ADS7843E</v>
      </c>
      <c r="B642" s="3" t="s">
        <v>90</v>
      </c>
      <c r="C642" s="5">
        <v>389</v>
      </c>
      <c r="D642" s="6">
        <v>5.63</v>
      </c>
      <c r="E642" t="s">
        <v>34</v>
      </c>
    </row>
    <row r="643" spans="1:5" x14ac:dyDescent="0.25">
      <c r="A643" t="str">
        <f>HYPERLINK("https://www.773grp.com/globalSearch/ADS7843E/page-1", "ADS7843E")</f>
        <v>ADS7843E</v>
      </c>
      <c r="B643" s="3" t="s">
        <v>90</v>
      </c>
      <c r="C643" s="5">
        <v>126</v>
      </c>
      <c r="D643" s="6">
        <v>5.63</v>
      </c>
      <c r="E643" t="s">
        <v>34</v>
      </c>
    </row>
    <row r="644" spans="1:5" x14ac:dyDescent="0.25">
      <c r="A644" t="str">
        <f>HYPERLINK("https://www.773grp.com/globalSearch/ADS7886SDBVT/page-1", "ADS7886SDBVT")</f>
        <v>ADS7886SDBVT</v>
      </c>
      <c r="B644" s="3" t="s">
        <v>90</v>
      </c>
      <c r="C644" s="5">
        <v>8250</v>
      </c>
      <c r="D644" s="6">
        <v>5.63</v>
      </c>
      <c r="E644" t="s">
        <v>34</v>
      </c>
    </row>
    <row r="645" spans="1:5" x14ac:dyDescent="0.25">
      <c r="A645" t="str">
        <f>HYPERLINK("https://www.773grp.com/globalSearch/ADS7886SDCKT/page-1", "ADS7886SDCKT")</f>
        <v>ADS7886SDCKT</v>
      </c>
      <c r="B645" s="3" t="s">
        <v>90</v>
      </c>
      <c r="C645" s="5">
        <v>36873</v>
      </c>
      <c r="D645" s="6">
        <v>5.63</v>
      </c>
      <c r="E645" t="s">
        <v>34</v>
      </c>
    </row>
    <row r="646" spans="1:5" x14ac:dyDescent="0.25">
      <c r="A646" t="str">
        <f>HYPERLINK("https://www.773grp.com/globalSearch/ADS7959SDBT/page-1", "ADS7959SDBT")</f>
        <v>ADS7959SDBT</v>
      </c>
      <c r="B646" s="3" t="s">
        <v>90</v>
      </c>
      <c r="C646" s="5">
        <v>12814</v>
      </c>
      <c r="D646" s="6">
        <v>5.63</v>
      </c>
      <c r="E646" t="s">
        <v>34</v>
      </c>
    </row>
    <row r="647" spans="1:5" x14ac:dyDescent="0.25">
      <c r="A647" t="str">
        <f>HYPERLINK("https://www.773grp.com/globalSearch/PCM1870AYZFT/page-1", "PCM1870AYZFT")</f>
        <v>PCM1870AYZFT</v>
      </c>
      <c r="B647" s="3" t="s">
        <v>90</v>
      </c>
      <c r="C647" s="5">
        <v>1978</v>
      </c>
      <c r="D647" s="6">
        <v>5.63</v>
      </c>
      <c r="E647" t="s">
        <v>34</v>
      </c>
    </row>
    <row r="648" spans="1:5" x14ac:dyDescent="0.25">
      <c r="A648" t="str">
        <f>HYPERLINK("https://www.773grp.com/globalSearch/PCM1870YZFR/page-1", "PCM1870YZFR")</f>
        <v>PCM1870YZFR</v>
      </c>
      <c r="B648" s="3" t="s">
        <v>90</v>
      </c>
      <c r="C648" s="5">
        <v>16000</v>
      </c>
      <c r="D648" s="6">
        <v>5.63</v>
      </c>
      <c r="E648" t="s">
        <v>34</v>
      </c>
    </row>
    <row r="649" spans="1:5" x14ac:dyDescent="0.25">
      <c r="A649" t="str">
        <f>HYPERLINK("https://www.773grp.com/globalSearch/TLC1543IDBR/page-1", "TLC1543IDBR")</f>
        <v>TLC1543IDBR</v>
      </c>
      <c r="B649" s="3" t="s">
        <v>90</v>
      </c>
      <c r="C649" s="5">
        <v>33000</v>
      </c>
      <c r="D649" s="6">
        <v>5.63</v>
      </c>
      <c r="E649" t="s">
        <v>34</v>
      </c>
    </row>
    <row r="650" spans="1:5" x14ac:dyDescent="0.25">
      <c r="A650" t="str">
        <f>HYPERLINK("https://www.773grp.com/globalSearch/TLC1543IFN/page-1", "TLC1543IFN")</f>
        <v>TLC1543IFN</v>
      </c>
      <c r="B650" s="3" t="s">
        <v>90</v>
      </c>
      <c r="C650" s="5">
        <v>13418</v>
      </c>
      <c r="D650" s="6">
        <v>5.63</v>
      </c>
      <c r="E650" t="s">
        <v>34</v>
      </c>
    </row>
    <row r="651" spans="1:5" x14ac:dyDescent="0.25">
      <c r="A651" t="str">
        <f>HYPERLINK("https://www.773grp.com/globalSearch/TLC0820ACDBR/page-1", "TLC0820ACDBR")</f>
        <v>TLC0820ACDBR</v>
      </c>
      <c r="B651" s="3" t="s">
        <v>90</v>
      </c>
      <c r="C651" s="5">
        <v>19827</v>
      </c>
      <c r="D651" s="6">
        <v>5.7</v>
      </c>
      <c r="E651" t="s">
        <v>34</v>
      </c>
    </row>
    <row r="652" spans="1:5" x14ac:dyDescent="0.25">
      <c r="A652" t="str">
        <f>HYPERLINK("https://www.773grp.com/globalSearch/TLC0820ACFN/page-1", "TLC0820ACFN")</f>
        <v>TLC0820ACFN</v>
      </c>
      <c r="B652" s="3" t="s">
        <v>90</v>
      </c>
      <c r="C652" s="5">
        <v>29853</v>
      </c>
      <c r="D652" s="6">
        <v>5.7</v>
      </c>
      <c r="E652" t="s">
        <v>34</v>
      </c>
    </row>
    <row r="653" spans="1:5" x14ac:dyDescent="0.25">
      <c r="A653" t="str">
        <f>HYPERLINK("https://www.773grp.com/globalSearch/TLC0820AIDWR/page-1", "TLC0820AIDWR")</f>
        <v>TLC0820AIDWR</v>
      </c>
      <c r="B653" s="3" t="s">
        <v>90</v>
      </c>
      <c r="C653" s="5">
        <v>4890</v>
      </c>
      <c r="D653" s="6">
        <v>5.7</v>
      </c>
      <c r="E653" t="s">
        <v>34</v>
      </c>
    </row>
    <row r="654" spans="1:5" x14ac:dyDescent="0.25">
      <c r="A654" t="str">
        <f>HYPERLINK("https://www.773grp.com/globalSearch/TLC0820AIFN/page-1", "TLC0820AIFN")</f>
        <v>TLC0820AIFN</v>
      </c>
      <c r="B654" s="3" t="s">
        <v>90</v>
      </c>
      <c r="C654" s="5">
        <v>41067</v>
      </c>
      <c r="D654" s="6">
        <v>5.7</v>
      </c>
      <c r="E654" t="s">
        <v>34</v>
      </c>
    </row>
    <row r="655" spans="1:5" x14ac:dyDescent="0.25">
      <c r="A655" t="str">
        <f>HYPERLINK("https://www.773grp.com/globalSearch/ADS7846N-2K5/page-1", "ADS7846N-2K5")</f>
        <v>ADS7846N-2K5</v>
      </c>
      <c r="B655" s="3" t="s">
        <v>90</v>
      </c>
      <c r="C655" s="5">
        <v>17300</v>
      </c>
      <c r="D655" s="6">
        <v>5.78</v>
      </c>
      <c r="E655" t="s">
        <v>34</v>
      </c>
    </row>
    <row r="656" spans="1:5" x14ac:dyDescent="0.25">
      <c r="A656" t="str">
        <f>HYPERLINK("https://www.773grp.com/globalSearch/ADS7960SDBTR/page-1", "ADS7960SDBTR")</f>
        <v>ADS7960SDBTR</v>
      </c>
      <c r="B656" s="3" t="s">
        <v>90</v>
      </c>
      <c r="C656" s="5">
        <v>10000</v>
      </c>
      <c r="D656" s="6">
        <v>5.78</v>
      </c>
      <c r="E656" t="s">
        <v>34</v>
      </c>
    </row>
    <row r="657" spans="1:5" x14ac:dyDescent="0.25">
      <c r="A657" t="str">
        <f>HYPERLINK("https://www.773grp.com/globalSearch/TLV0831CP/page-1", "TLV0831CP")</f>
        <v>TLV0831CP</v>
      </c>
      <c r="B657" s="3" t="s">
        <v>90</v>
      </c>
      <c r="C657" s="5">
        <v>10495</v>
      </c>
      <c r="D657" s="6">
        <v>5.78</v>
      </c>
      <c r="E657" t="s">
        <v>34</v>
      </c>
    </row>
    <row r="658" spans="1:5" x14ac:dyDescent="0.25">
      <c r="A658" t="str">
        <f>HYPERLINK("https://www.773grp.com/globalSearch/ADS7822PC/page-1", "ADS7822PC")</f>
        <v>ADS7822PC</v>
      </c>
      <c r="B658" s="3" t="s">
        <v>90</v>
      </c>
      <c r="C658" s="5">
        <v>1038</v>
      </c>
      <c r="D658" s="6">
        <v>5.91</v>
      </c>
      <c r="E658" t="s">
        <v>34</v>
      </c>
    </row>
    <row r="659" spans="1:5" x14ac:dyDescent="0.25">
      <c r="A659" t="str">
        <f>HYPERLINK("https://www.773grp.com/globalSearch/ADS7822PC/page-1", "ADS7822PC")</f>
        <v>ADS7822PC</v>
      </c>
      <c r="B659" s="3" t="s">
        <v>90</v>
      </c>
      <c r="C659" s="5">
        <v>5230</v>
      </c>
      <c r="D659" s="6">
        <v>5.91</v>
      </c>
      <c r="E659" t="s">
        <v>34</v>
      </c>
    </row>
    <row r="660" spans="1:5" x14ac:dyDescent="0.25">
      <c r="A660" t="str">
        <f>HYPERLINK("https://www.773grp.com/globalSearch/ADS7822PC/page-1", "ADS7822PC")</f>
        <v>ADS7822PC</v>
      </c>
      <c r="B660" s="3" t="s">
        <v>90</v>
      </c>
      <c r="C660" s="5">
        <v>227</v>
      </c>
      <c r="D660" s="6">
        <v>5.91</v>
      </c>
      <c r="E660" t="s">
        <v>34</v>
      </c>
    </row>
    <row r="661" spans="1:5" x14ac:dyDescent="0.25">
      <c r="A661" t="str">
        <f>HYPERLINK("https://www.773grp.com/globalSearch/ADS7947SRTET/page-1", "ADS7947SRTET")</f>
        <v>ADS7947SRTET</v>
      </c>
      <c r="B661" s="3" t="s">
        <v>90</v>
      </c>
      <c r="C661" s="5">
        <v>3750</v>
      </c>
      <c r="D661" s="6">
        <v>5.91</v>
      </c>
      <c r="E661" t="s">
        <v>34</v>
      </c>
    </row>
    <row r="662" spans="1:5" x14ac:dyDescent="0.25">
      <c r="A662" t="str">
        <f>HYPERLINK("https://www.773grp.com/globalSearch/TLC1549CP/page-1", "TLC1549CP")</f>
        <v>TLC1549CP</v>
      </c>
      <c r="B662" s="3" t="s">
        <v>90</v>
      </c>
      <c r="C662" s="5">
        <v>198</v>
      </c>
      <c r="D662" s="6">
        <v>5.91</v>
      </c>
      <c r="E662" t="s">
        <v>34</v>
      </c>
    </row>
    <row r="663" spans="1:5" x14ac:dyDescent="0.25">
      <c r="A663" t="str">
        <f>HYPERLINK("https://www.773grp.com/globalSearch/TLC540IN/page-1", "TLC540IN")</f>
        <v>TLC540IN</v>
      </c>
      <c r="B663" s="3" t="s">
        <v>90</v>
      </c>
      <c r="C663" s="5">
        <v>14791</v>
      </c>
      <c r="D663" s="6">
        <v>5.91</v>
      </c>
      <c r="E663" t="s">
        <v>34</v>
      </c>
    </row>
    <row r="664" spans="1:5" x14ac:dyDescent="0.25">
      <c r="A664" t="str">
        <f>HYPERLINK("https://www.773grp.com/globalSearch/TLV0831CD/page-1", "TLV0831CD")</f>
        <v>TLV0831CD</v>
      </c>
      <c r="B664" s="3" t="s">
        <v>90</v>
      </c>
      <c r="C664" s="5">
        <v>5296</v>
      </c>
      <c r="D664" s="6">
        <v>5.91</v>
      </c>
      <c r="E664" t="s">
        <v>34</v>
      </c>
    </row>
    <row r="665" spans="1:5" x14ac:dyDescent="0.25">
      <c r="A665" t="str">
        <f>HYPERLINK("https://www.773grp.com/globalSearch/TLV1544IDR/page-1", "TLV1544IDR")</f>
        <v>TLV1544IDR</v>
      </c>
      <c r="B665" s="3" t="s">
        <v>90</v>
      </c>
      <c r="C665" s="5">
        <v>2500</v>
      </c>
      <c r="D665" s="6">
        <v>5.91</v>
      </c>
      <c r="E665" t="s">
        <v>34</v>
      </c>
    </row>
    <row r="666" spans="1:5" x14ac:dyDescent="0.25">
      <c r="A666" t="str">
        <f>HYPERLINK("https://www.773grp.com/globalSearch/ADS1114IRUGR/page-1", "ADS1114IRUGR")</f>
        <v>ADS1114IRUGR</v>
      </c>
      <c r="B666" s="3" t="s">
        <v>90</v>
      </c>
      <c r="C666" s="5">
        <v>14962</v>
      </c>
      <c r="D666" s="6">
        <v>6.04</v>
      </c>
      <c r="E666" t="s">
        <v>34</v>
      </c>
    </row>
    <row r="667" spans="1:5" x14ac:dyDescent="0.25">
      <c r="A667" t="str">
        <f>HYPERLINK("https://www.773grp.com/globalSearch/ADS7817UB/page-1", "ADS7817UB")</f>
        <v>ADS7817UB</v>
      </c>
      <c r="B667" s="3" t="s">
        <v>90</v>
      </c>
      <c r="C667" s="5">
        <v>4474</v>
      </c>
      <c r="D667" s="6">
        <v>6.04</v>
      </c>
      <c r="E667" t="s">
        <v>34</v>
      </c>
    </row>
    <row r="668" spans="1:5" x14ac:dyDescent="0.25">
      <c r="A668" t="str">
        <f>HYPERLINK("https://www.773grp.com/globalSearch/ADS7817UB/page-1", "ADS7817UB")</f>
        <v>ADS7817UB</v>
      </c>
      <c r="B668" s="3" t="s">
        <v>90</v>
      </c>
      <c r="C668" s="5">
        <v>100</v>
      </c>
      <c r="D668" s="6">
        <v>6.04</v>
      </c>
      <c r="E668" t="s">
        <v>34</v>
      </c>
    </row>
    <row r="669" spans="1:5" x14ac:dyDescent="0.25">
      <c r="A669" t="str">
        <f>HYPERLINK("https://www.773grp.com/globalSearch/ADS7883SDBVT/page-1", "ADS7883SDBVT")</f>
        <v>ADS7883SDBVT</v>
      </c>
      <c r="B669" s="3" t="s">
        <v>90</v>
      </c>
      <c r="C669" s="5">
        <v>183</v>
      </c>
      <c r="D669" s="6">
        <v>6.04</v>
      </c>
      <c r="E669" t="s">
        <v>34</v>
      </c>
    </row>
    <row r="670" spans="1:5" x14ac:dyDescent="0.25">
      <c r="A670" t="str">
        <f>HYPERLINK("https://www.773grp.com/globalSearch/TLC7135CDWR/page-1", "TLC7135CDWR")</f>
        <v>TLC7135CDWR</v>
      </c>
      <c r="B670" s="3" t="s">
        <v>90</v>
      </c>
      <c r="C670" s="5">
        <v>5000</v>
      </c>
      <c r="D670" s="6">
        <v>6.04</v>
      </c>
      <c r="E670" t="s">
        <v>34</v>
      </c>
    </row>
    <row r="671" spans="1:5" x14ac:dyDescent="0.25">
      <c r="A671" t="str">
        <f>HYPERLINK("https://www.773grp.com/globalSearch/TLV0831IP/page-1", "TLV0831IP")</f>
        <v>TLV0831IP</v>
      </c>
      <c r="B671" s="3" t="s">
        <v>90</v>
      </c>
      <c r="C671" s="5">
        <v>17494</v>
      </c>
      <c r="D671" s="6">
        <v>6.04</v>
      </c>
      <c r="E671" t="s">
        <v>34</v>
      </c>
    </row>
    <row r="672" spans="1:5" x14ac:dyDescent="0.25">
      <c r="A672" t="str">
        <f>HYPERLINK("https://www.773grp.com/globalSearch/TLV1543CFN/page-1", "TLV1543CFN")</f>
        <v>TLV1543CFN</v>
      </c>
      <c r="B672" s="3" t="s">
        <v>90</v>
      </c>
      <c r="C672" s="5">
        <v>26135</v>
      </c>
      <c r="D672" s="6">
        <v>6.04</v>
      </c>
      <c r="E672" t="s">
        <v>34</v>
      </c>
    </row>
    <row r="673" spans="1:5" x14ac:dyDescent="0.25">
      <c r="A673" t="str">
        <f>HYPERLINK("https://www.773grp.com/globalSearch/TLV1543CFNR/page-1", "TLV1543CFNR")</f>
        <v>TLV1543CFNR</v>
      </c>
      <c r="B673" s="3" t="s">
        <v>90</v>
      </c>
      <c r="C673" s="5">
        <v>4000</v>
      </c>
      <c r="D673" s="6">
        <v>6.04</v>
      </c>
      <c r="E673" t="s">
        <v>34</v>
      </c>
    </row>
    <row r="674" spans="1:5" x14ac:dyDescent="0.25">
      <c r="A674" t="str">
        <f>HYPERLINK("https://www.773grp.com/globalSearch/ADS7822UC/page-1", "ADS7822UC")</f>
        <v>ADS7822UC</v>
      </c>
      <c r="B674" s="3" t="s">
        <v>90</v>
      </c>
      <c r="C674" s="5">
        <v>154</v>
      </c>
      <c r="D674" s="6">
        <v>6.19</v>
      </c>
      <c r="E674" t="s">
        <v>34</v>
      </c>
    </row>
    <row r="675" spans="1:5" x14ac:dyDescent="0.25">
      <c r="A675" t="str">
        <f>HYPERLINK("https://www.773grp.com/globalSearch/ADS7829IBDRBT/page-1", "ADS7829IBDRBT")</f>
        <v>ADS7829IBDRBT</v>
      </c>
      <c r="B675" s="3" t="s">
        <v>90</v>
      </c>
      <c r="C675" s="5">
        <v>6540</v>
      </c>
      <c r="D675" s="6">
        <v>6.19</v>
      </c>
      <c r="E675" t="s">
        <v>34</v>
      </c>
    </row>
    <row r="676" spans="1:5" x14ac:dyDescent="0.25">
      <c r="A676" t="str">
        <f>HYPERLINK("https://www.773grp.com/globalSearch/PCM4201PW/page-1", "PCM4201PW")</f>
        <v>PCM4201PW</v>
      </c>
      <c r="B676" s="3" t="s">
        <v>90</v>
      </c>
      <c r="C676" s="5">
        <v>160</v>
      </c>
      <c r="D676" s="6">
        <v>6.19</v>
      </c>
      <c r="E676" t="s">
        <v>34</v>
      </c>
    </row>
    <row r="677" spans="1:5" x14ac:dyDescent="0.25">
      <c r="A677" t="str">
        <f>HYPERLINK("https://www.773grp.com/globalSearch/PCM4201PW/page-1", "PCM4201PW")</f>
        <v>PCM4201PW</v>
      </c>
      <c r="B677" s="3" t="s">
        <v>90</v>
      </c>
      <c r="C677" s="5">
        <v>105</v>
      </c>
      <c r="D677" s="6">
        <v>6.19</v>
      </c>
      <c r="E677" t="s">
        <v>34</v>
      </c>
    </row>
    <row r="678" spans="1:5" x14ac:dyDescent="0.25">
      <c r="A678" t="str">
        <f>HYPERLINK("https://www.773grp.com/globalSearch/TLC1543CN/page-1", "TLC1543CN")</f>
        <v>TLC1543CN</v>
      </c>
      <c r="B678" s="3" t="s">
        <v>90</v>
      </c>
      <c r="C678" s="5">
        <v>138</v>
      </c>
      <c r="D678" s="6">
        <v>6.19</v>
      </c>
      <c r="E678" t="s">
        <v>34</v>
      </c>
    </row>
    <row r="679" spans="1:5" x14ac:dyDescent="0.25">
      <c r="A679" t="str">
        <f>HYPERLINK("https://www.773grp.com/globalSearch/TLC1549CD/page-1", "TLC1549CD")</f>
        <v>TLC1549CD</v>
      </c>
      <c r="B679" s="3" t="s">
        <v>90</v>
      </c>
      <c r="C679" s="5">
        <v>158</v>
      </c>
      <c r="D679" s="6">
        <v>6.19</v>
      </c>
      <c r="E679" t="s">
        <v>34</v>
      </c>
    </row>
    <row r="680" spans="1:5" x14ac:dyDescent="0.25">
      <c r="A680" t="str">
        <f>HYPERLINK("https://www.773grp.com/globalSearch/TLC540IDW/page-1", "TLC540IDW")</f>
        <v>TLC540IDW</v>
      </c>
      <c r="B680" s="3" t="s">
        <v>90</v>
      </c>
      <c r="C680" s="5">
        <v>150</v>
      </c>
      <c r="D680" s="6">
        <v>6.19</v>
      </c>
      <c r="E680" t="s">
        <v>34</v>
      </c>
    </row>
    <row r="681" spans="1:5" x14ac:dyDescent="0.25">
      <c r="A681" t="str">
        <f>HYPERLINK("https://www.773grp.com/globalSearch/TLC540IFN/page-1", "TLC540IFN")</f>
        <v>TLC540IFN</v>
      </c>
      <c r="B681" s="3" t="s">
        <v>90</v>
      </c>
      <c r="C681" s="5">
        <v>4799</v>
      </c>
      <c r="D681" s="6">
        <v>6.19</v>
      </c>
      <c r="E681" t="s">
        <v>34</v>
      </c>
    </row>
    <row r="682" spans="1:5" x14ac:dyDescent="0.25">
      <c r="A682" t="str">
        <f>HYPERLINK("https://www.773grp.com/globalSearch/PCM1803DB/page-1", "PCM1803DB")</f>
        <v>PCM1803DB</v>
      </c>
      <c r="B682" s="3" t="s">
        <v>90</v>
      </c>
      <c r="C682" s="5">
        <v>2278</v>
      </c>
      <c r="D682" s="6">
        <v>6.21</v>
      </c>
      <c r="E682" t="s">
        <v>34</v>
      </c>
    </row>
    <row r="683" spans="1:5" x14ac:dyDescent="0.25">
      <c r="A683" t="str">
        <f>HYPERLINK("https://www.773grp.com/globalSearch/ADS1113IDGST/page-1", "ADS1113IDGST")</f>
        <v>ADS1113IDGST</v>
      </c>
      <c r="B683" s="3" t="s">
        <v>90</v>
      </c>
      <c r="C683" s="5">
        <v>946</v>
      </c>
      <c r="D683" s="6">
        <v>6.3</v>
      </c>
      <c r="E683" t="s">
        <v>34</v>
      </c>
    </row>
    <row r="684" spans="1:5" x14ac:dyDescent="0.25">
      <c r="A684" t="str">
        <f>HYPERLINK("https://www.773grp.com/globalSearch/ADS1113IRUGT/page-1", "ADS1113IRUGT")</f>
        <v>ADS1113IRUGT</v>
      </c>
      <c r="B684" s="3" t="s">
        <v>90</v>
      </c>
      <c r="C684" s="5">
        <v>21000</v>
      </c>
      <c r="D684" s="6">
        <v>6.3</v>
      </c>
      <c r="E684" t="s">
        <v>34</v>
      </c>
    </row>
    <row r="685" spans="1:5" x14ac:dyDescent="0.25">
      <c r="A685" t="str">
        <f>HYPERLINK("https://www.773grp.com/globalSearch/ADS7816P/page-1", "ADS7816P")</f>
        <v>ADS7816P</v>
      </c>
      <c r="B685" s="3" t="s">
        <v>90</v>
      </c>
      <c r="C685" s="5">
        <v>312</v>
      </c>
      <c r="D685" s="6">
        <v>6.3</v>
      </c>
      <c r="E685" t="s">
        <v>34</v>
      </c>
    </row>
    <row r="686" spans="1:5" x14ac:dyDescent="0.25">
      <c r="A686" t="str">
        <f>HYPERLINK("https://www.773grp.com/globalSearch/ADS7817E-250/page-1", "ADS7817E-250")</f>
        <v>ADS7817E-250</v>
      </c>
      <c r="B686" s="3" t="s">
        <v>90</v>
      </c>
      <c r="C686" s="5">
        <v>2756</v>
      </c>
      <c r="D686" s="6">
        <v>6.33</v>
      </c>
      <c r="E686" t="s">
        <v>34</v>
      </c>
    </row>
    <row r="687" spans="1:5" x14ac:dyDescent="0.25">
      <c r="A687" t="str">
        <f>HYPERLINK("https://www.773grp.com/globalSearch/ADS7883SBDBVR/page-1", "ADS7883SBDBVR")</f>
        <v>ADS7883SBDBVR</v>
      </c>
      <c r="B687" s="3" t="s">
        <v>90</v>
      </c>
      <c r="C687" s="5">
        <v>8900</v>
      </c>
      <c r="D687" s="6">
        <v>6.33</v>
      </c>
      <c r="E687" t="s">
        <v>34</v>
      </c>
    </row>
    <row r="688" spans="1:5" x14ac:dyDescent="0.25">
      <c r="A688" t="str">
        <f>HYPERLINK("https://www.773grp.com/globalSearch/ADS7886SBDBVT/page-1", "ADS7886SBDBVT")</f>
        <v>ADS7886SBDBVT</v>
      </c>
      <c r="B688" s="3" t="s">
        <v>90</v>
      </c>
      <c r="C688" s="5">
        <v>41198</v>
      </c>
      <c r="D688" s="6">
        <v>6.33</v>
      </c>
      <c r="E688" t="s">
        <v>34</v>
      </c>
    </row>
    <row r="689" spans="1:5" x14ac:dyDescent="0.25">
      <c r="A689" t="str">
        <f>HYPERLINK("https://www.773grp.com/globalSearch/ADS7886SBDCKT/page-1", "ADS7886SBDCKT")</f>
        <v>ADS7886SBDCKT</v>
      </c>
      <c r="B689" s="3" t="s">
        <v>90</v>
      </c>
      <c r="C689" s="5">
        <v>29816</v>
      </c>
      <c r="D689" s="6">
        <v>6.33</v>
      </c>
      <c r="E689" t="s">
        <v>34</v>
      </c>
    </row>
    <row r="690" spans="1:5" x14ac:dyDescent="0.25">
      <c r="A690" t="str">
        <f>HYPERLINK("https://www.773grp.com/globalSearch/ADS7954SRGET/page-1", "ADS7954SRGET")</f>
        <v>ADS7954SRGET</v>
      </c>
      <c r="B690" s="3" t="s">
        <v>90</v>
      </c>
      <c r="C690" s="5">
        <v>1219</v>
      </c>
      <c r="D690" s="6">
        <v>6.33</v>
      </c>
      <c r="E690" t="s">
        <v>34</v>
      </c>
    </row>
    <row r="691" spans="1:5" x14ac:dyDescent="0.25">
      <c r="A691" t="str">
        <f>HYPERLINK("https://www.773grp.com/globalSearch/TLC1549IP/page-1", "TLC1549IP")</f>
        <v>TLC1549IP</v>
      </c>
      <c r="B691" s="3" t="s">
        <v>90</v>
      </c>
      <c r="C691" s="5">
        <v>146</v>
      </c>
      <c r="D691" s="6">
        <v>6.33</v>
      </c>
      <c r="E691" t="s">
        <v>34</v>
      </c>
    </row>
    <row r="692" spans="1:5" x14ac:dyDescent="0.25">
      <c r="A692" t="str">
        <f>HYPERLINK("https://www.773grp.com/globalSearch/TLV0831ID/page-1", "TLV0831ID")</f>
        <v>TLV0831ID</v>
      </c>
      <c r="B692" s="3" t="s">
        <v>90</v>
      </c>
      <c r="C692" s="5">
        <v>17284</v>
      </c>
      <c r="D692" s="6">
        <v>6.33</v>
      </c>
      <c r="E692" t="s">
        <v>34</v>
      </c>
    </row>
    <row r="693" spans="1:5" x14ac:dyDescent="0.25">
      <c r="A693" t="str">
        <f>HYPERLINK("https://www.773grp.com/globalSearch/TSC2003IPWR/page-1", "TSC2003IPWR")</f>
        <v>TSC2003IPWR</v>
      </c>
      <c r="B693" s="3" t="s">
        <v>90</v>
      </c>
      <c r="C693" s="5">
        <v>14756</v>
      </c>
      <c r="D693" s="6">
        <v>6.33</v>
      </c>
      <c r="E693" t="s">
        <v>34</v>
      </c>
    </row>
    <row r="694" spans="1:5" x14ac:dyDescent="0.25">
      <c r="A694" t="str">
        <f>HYPERLINK("https://www.773grp.com/globalSearch/TSC2003IZQCR/page-1", "TSC2003IZQCR")</f>
        <v>TSC2003IZQCR</v>
      </c>
      <c r="B694" s="3" t="s">
        <v>90</v>
      </c>
      <c r="C694" s="5">
        <v>150000</v>
      </c>
      <c r="D694" s="6">
        <v>6.33</v>
      </c>
      <c r="E694" t="s">
        <v>34</v>
      </c>
    </row>
    <row r="695" spans="1:5" x14ac:dyDescent="0.25">
      <c r="A695" t="str">
        <f>HYPERLINK("https://www.773grp.com/globalSearch/ADS1100A1IDBVT/page-1", "ADS1100A1IDBVT")</f>
        <v>ADS1100A1IDBVT</v>
      </c>
      <c r="B695" s="3" t="str">
        <f>HYPERLINK("https://www.773grp.com/manufacturer/texas-instruments?pageNo=41", "Texas Instruments")</f>
        <v>Texas Instruments</v>
      </c>
      <c r="C695" s="5">
        <v>14421</v>
      </c>
      <c r="D695" s="6">
        <v>6.46</v>
      </c>
      <c r="E695" t="s">
        <v>34</v>
      </c>
    </row>
    <row r="696" spans="1:5" x14ac:dyDescent="0.25">
      <c r="A696" t="str">
        <f>HYPERLINK("https://www.773grp.com/globalSearch/ADS1100A2IDBVT/page-1", "ADS1100A2IDBVT")</f>
        <v>ADS1100A2IDBVT</v>
      </c>
      <c r="B696" s="3" t="str">
        <f>HYPERLINK("https://www.773grp.com/manufacturer/texas-instruments?pageNo=42", "Texas Instruments")</f>
        <v>Texas Instruments</v>
      </c>
      <c r="C696" s="5">
        <v>1000</v>
      </c>
      <c r="D696" s="6">
        <v>6.46</v>
      </c>
      <c r="E696" t="s">
        <v>34</v>
      </c>
    </row>
    <row r="697" spans="1:5" x14ac:dyDescent="0.25">
      <c r="A697" t="str">
        <f>HYPERLINK("https://www.773grp.com/globalSearch/ADS1100A3IDBVT/page-1", "ADS1100A3IDBVT")</f>
        <v>ADS1100A3IDBVT</v>
      </c>
      <c r="B697" s="3" t="str">
        <f>HYPERLINK("https://www.773grp.com/manufacturer/texas-instruments?pageNo=43", "Texas Instruments")</f>
        <v>Texas Instruments</v>
      </c>
      <c r="C697" s="5">
        <v>8059</v>
      </c>
      <c r="D697" s="6">
        <v>6.46</v>
      </c>
      <c r="E697" t="s">
        <v>34</v>
      </c>
    </row>
    <row r="698" spans="1:5" x14ac:dyDescent="0.25">
      <c r="A698" t="str">
        <f>HYPERLINK("https://www.773grp.com/globalSearch/ADS1100A4IDBVT/page-1", "ADS1100A4IDBVT")</f>
        <v>ADS1100A4IDBVT</v>
      </c>
      <c r="B698" s="3" t="str">
        <f>HYPERLINK("https://www.773grp.com/manufacturer/texas-instruments?pageNo=44", "Texas Instruments")</f>
        <v>Texas Instruments</v>
      </c>
      <c r="C698" s="5">
        <v>11975</v>
      </c>
      <c r="D698" s="6">
        <v>6.46</v>
      </c>
      <c r="E698" t="s">
        <v>34</v>
      </c>
    </row>
    <row r="699" spans="1:5" x14ac:dyDescent="0.25">
      <c r="A699" t="str">
        <f>HYPERLINK("https://www.773grp.com/globalSearch/ADS1100A5IDBVT/page-1", "ADS1100A5IDBVT")</f>
        <v>ADS1100A5IDBVT</v>
      </c>
      <c r="B699" s="3" t="str">
        <f>HYPERLINK("https://www.773grp.com/manufacturer/texas-instruments?pageNo=45", "Texas Instruments")</f>
        <v>Texas Instruments</v>
      </c>
      <c r="C699" s="5">
        <v>14225</v>
      </c>
      <c r="D699" s="6">
        <v>6.46</v>
      </c>
      <c r="E699" t="s">
        <v>34</v>
      </c>
    </row>
    <row r="700" spans="1:5" x14ac:dyDescent="0.25">
      <c r="A700" t="str">
        <f>HYPERLINK("https://www.773grp.com/globalSearch/ADS1115IDGSR/page-1", "ADS1115IDGSR")</f>
        <v>ADS1115IDGSR</v>
      </c>
      <c r="B700" s="3" t="str">
        <f>HYPERLINK("https://www.773grp.com/manufacturer/texas-instruments?pageNo=47", "Texas Instruments")</f>
        <v>Texas Instruments</v>
      </c>
      <c r="C700" s="5">
        <v>7467</v>
      </c>
      <c r="D700" s="6">
        <v>6.46</v>
      </c>
      <c r="E700" t="s">
        <v>34</v>
      </c>
    </row>
    <row r="701" spans="1:5" x14ac:dyDescent="0.25">
      <c r="A701" t="str">
        <f>HYPERLINK("https://www.773grp.com/globalSearch/ADS1115IRUGR/page-1", "ADS1115IRUGR")</f>
        <v>ADS1115IRUGR</v>
      </c>
      <c r="B701" s="3" t="str">
        <f>HYPERLINK("https://www.773grp.com/manufacturer/texas-instruments?pageNo=48", "Texas Instruments")</f>
        <v>Texas Instruments</v>
      </c>
      <c r="C701" s="5">
        <v>5900</v>
      </c>
      <c r="D701" s="6">
        <v>6.46</v>
      </c>
      <c r="E701" t="s">
        <v>34</v>
      </c>
    </row>
    <row r="702" spans="1:5" x14ac:dyDescent="0.25">
      <c r="A702" t="str">
        <f>HYPERLINK("https://www.773grp.com/globalSearch/ADS7950SDBTR/page-1", "ADS7950SDBTR")</f>
        <v>ADS7950SDBTR</v>
      </c>
      <c r="B702" s="3" t="str">
        <f>HYPERLINK("https://www.773grp.com/manufacturer/texas-instruments?pageNo=49", "Texas Instruments")</f>
        <v>Texas Instruments</v>
      </c>
      <c r="C702" s="5">
        <v>8000</v>
      </c>
      <c r="D702" s="6">
        <v>6.46</v>
      </c>
      <c r="E702" t="s">
        <v>34</v>
      </c>
    </row>
    <row r="703" spans="1:5" x14ac:dyDescent="0.25">
      <c r="A703" t="str">
        <f>HYPERLINK("https://www.773grp.com/globalSearch/PCM1870RHFT/page-1", "PCM1870RHFT")</f>
        <v>PCM1870RHFT</v>
      </c>
      <c r="B703" s="3" t="str">
        <f>HYPERLINK("https://www.773grp.com/manufacturer/texas-instruments?pageNo=93", "Texas Instruments")</f>
        <v>Texas Instruments</v>
      </c>
      <c r="C703" s="5">
        <v>500</v>
      </c>
      <c r="D703" s="6">
        <v>6.46</v>
      </c>
      <c r="E703" t="s">
        <v>34</v>
      </c>
    </row>
    <row r="704" spans="1:5" x14ac:dyDescent="0.25">
      <c r="A704" t="str">
        <f>HYPERLINK("https://www.773grp.com/globalSearch/TLC1543CDB/page-1", "TLC1543CDB")</f>
        <v>TLC1543CDB</v>
      </c>
      <c r="B704" s="3" t="str">
        <f>HYPERLINK("https://www.773grp.com/manufacturer/texas-instruments?pageNo=106", "Texas Instruments")</f>
        <v>Texas Instruments</v>
      </c>
      <c r="C704" s="5">
        <v>988</v>
      </c>
      <c r="D704" s="6">
        <v>6.46</v>
      </c>
      <c r="E704" t="s">
        <v>34</v>
      </c>
    </row>
    <row r="705" spans="1:5" x14ac:dyDescent="0.25">
      <c r="A705" t="str">
        <f>HYPERLINK("https://www.773grp.com/globalSearch/TLC1543CFN/page-1", "TLC1543CFN")</f>
        <v>TLC1543CFN</v>
      </c>
      <c r="B705" s="3" t="str">
        <f>HYPERLINK("https://www.773grp.com/manufacturer/texas-instruments?pageNo=109", "Texas Instruments")</f>
        <v>Texas Instruments</v>
      </c>
      <c r="C705" s="5">
        <v>51005</v>
      </c>
      <c r="D705" s="6">
        <v>6.46</v>
      </c>
      <c r="E705" t="s">
        <v>34</v>
      </c>
    </row>
    <row r="706" spans="1:5" x14ac:dyDescent="0.25">
      <c r="A706" t="str">
        <f>HYPERLINK("https://www.773grp.com/globalSearch/TLC1543CFN/page-1", "TLC1543CFN")</f>
        <v>TLC1543CFN</v>
      </c>
      <c r="B706" s="3" t="str">
        <f>HYPERLINK("https://www.773grp.com/manufacturer/texas-instruments?pageNo=110", "Texas Instruments")</f>
        <v>Texas Instruments</v>
      </c>
      <c r="C706" s="5">
        <v>2699</v>
      </c>
      <c r="D706" s="6">
        <v>6.46</v>
      </c>
      <c r="E706" t="s">
        <v>34</v>
      </c>
    </row>
    <row r="707" spans="1:5" x14ac:dyDescent="0.25">
      <c r="A707" t="str">
        <f>HYPERLINK("https://www.773grp.com/globalSearch/TLC1543QDB/page-1", "TLC1543QDB")</f>
        <v>TLC1543QDB</v>
      </c>
      <c r="B707" s="3" t="str">
        <f>HYPERLINK("https://www.773grp.com/manufacturer/texas-instruments?pageNo=112", "Texas Instruments")</f>
        <v>Texas Instruments</v>
      </c>
      <c r="C707" s="5">
        <v>11410</v>
      </c>
      <c r="D707" s="6">
        <v>6.46</v>
      </c>
      <c r="E707" t="s">
        <v>34</v>
      </c>
    </row>
    <row r="708" spans="1:5" x14ac:dyDescent="0.25">
      <c r="A708" t="str">
        <f>HYPERLINK("https://www.773grp.com/globalSearch/TLC1543QDW/page-1", "TLC1543QDW")</f>
        <v>TLC1543QDW</v>
      </c>
      <c r="B708" s="3" t="str">
        <f>HYPERLINK("https://www.773grp.com/manufacturer/texas-instruments?pageNo=113", "Texas Instruments")</f>
        <v>Texas Instruments</v>
      </c>
      <c r="C708" s="5">
        <v>925</v>
      </c>
      <c r="D708" s="6">
        <v>6.46</v>
      </c>
      <c r="E708" t="s">
        <v>34</v>
      </c>
    </row>
    <row r="709" spans="1:5" x14ac:dyDescent="0.25">
      <c r="A709" t="str">
        <f>HYPERLINK("https://www.773grp.com/globalSearch/TLC1543QFN/page-1", "TLC1543QFN")</f>
        <v>TLC1543QFN</v>
      </c>
      <c r="B709" s="3" t="str">
        <f>HYPERLINK("https://www.773grp.com/manufacturer/texas-instruments?pageNo=116", "Texas Instruments")</f>
        <v>Texas Instruments</v>
      </c>
      <c r="C709" s="5">
        <v>8786</v>
      </c>
      <c r="D709" s="6">
        <v>6.46</v>
      </c>
      <c r="E709" t="s">
        <v>34</v>
      </c>
    </row>
    <row r="710" spans="1:5" x14ac:dyDescent="0.25">
      <c r="A710" t="str">
        <f>HYPERLINK("https://www.773grp.com/globalSearch/TLV1543IDBR/page-1", "TLV1543IDBR")</f>
        <v>TLV1543IDBR</v>
      </c>
      <c r="B710" s="3" t="str">
        <f>HYPERLINK("https://www.773grp.com/manufacturer/texas-instruments?pageNo=124", "Texas Instruments")</f>
        <v>Texas Instruments</v>
      </c>
      <c r="C710" s="5">
        <v>1800</v>
      </c>
      <c r="D710" s="6">
        <v>6.46</v>
      </c>
      <c r="E710" t="s">
        <v>34</v>
      </c>
    </row>
    <row r="711" spans="1:5" x14ac:dyDescent="0.25">
      <c r="A711" t="str">
        <f>HYPERLINK("https://www.773grp.com/globalSearch/TLV1548CDBR/page-1", "TLV1548CDBR")</f>
        <v>TLV1548CDBR</v>
      </c>
      <c r="B711" s="3" t="str">
        <f>HYPERLINK("https://www.773grp.com/manufacturer/texas-instruments?pageNo=125", "Texas Instruments")</f>
        <v>Texas Instruments</v>
      </c>
      <c r="C711" s="5">
        <v>4000</v>
      </c>
      <c r="D711" s="6">
        <v>6.46</v>
      </c>
      <c r="E711" t="s">
        <v>34</v>
      </c>
    </row>
    <row r="712" spans="1:5" x14ac:dyDescent="0.25">
      <c r="A712" t="str">
        <f>HYPERLINK("https://www.773grp.com/globalSearch/TLC0820ACN/page-1", "TLC0820ACN")</f>
        <v>TLC0820ACN</v>
      </c>
      <c r="B712" s="3" t="str">
        <f>HYPERLINK("https://www.773grp.com/manufacturer/texas-instruments?pageNo=241", "Texas Instruments")</f>
        <v>Texas Instruments</v>
      </c>
      <c r="C712" s="5">
        <v>6126</v>
      </c>
      <c r="D712" s="6">
        <v>6.55</v>
      </c>
      <c r="E712" t="s">
        <v>34</v>
      </c>
    </row>
    <row r="713" spans="1:5" x14ac:dyDescent="0.25">
      <c r="A713" t="str">
        <f>HYPERLINK("https://www.773grp.com/globalSearch/TLC0820AIN/page-1", "TLC0820AIN")</f>
        <v>TLC0820AIN</v>
      </c>
      <c r="B713" s="3" t="str">
        <f>HYPERLINK("https://www.773grp.com/manufacturer/texas-instruments?pageNo=242", "Texas Instruments")</f>
        <v>Texas Instruments</v>
      </c>
      <c r="C713" s="5">
        <v>4769</v>
      </c>
      <c r="D713" s="6">
        <v>6.55</v>
      </c>
      <c r="E713" t="s">
        <v>34</v>
      </c>
    </row>
    <row r="714" spans="1:5" x14ac:dyDescent="0.25">
      <c r="A714" t="str">
        <f>HYPERLINK("https://www.773grp.com/globalSearch/ADS1110A7IDBVR/page-1", "ADS1110A7IDBVR")</f>
        <v>ADS1110A7IDBVR</v>
      </c>
      <c r="B714" s="3" t="str">
        <f>HYPERLINK("https://www.773grp.com/manufacturer/texas-instruments?pageNo=252", "Texas Instruments")</f>
        <v>Texas Instruments</v>
      </c>
      <c r="C714" s="5">
        <v>12000</v>
      </c>
      <c r="D714" s="6">
        <v>6.59</v>
      </c>
      <c r="E714" t="s">
        <v>34</v>
      </c>
    </row>
    <row r="715" spans="1:5" x14ac:dyDescent="0.25">
      <c r="A715" t="str">
        <f>HYPERLINK("https://www.773grp.com/globalSearch/ADS7817U/page-1", "ADS7817U")</f>
        <v>ADS7817U</v>
      </c>
      <c r="B715" s="3" t="str">
        <f>HYPERLINK("https://www.773grp.com/manufacturer/texas-instruments?pageNo=267", "Texas Instruments")</f>
        <v>Texas Instruments</v>
      </c>
      <c r="C715" s="5">
        <v>8385</v>
      </c>
      <c r="D715" s="6">
        <v>6.61</v>
      </c>
      <c r="E715" t="s">
        <v>34</v>
      </c>
    </row>
    <row r="716" spans="1:5" x14ac:dyDescent="0.25">
      <c r="A716" t="str">
        <f>HYPERLINK("https://www.773grp.com/globalSearch/TLC1549ID/page-1", "TLC1549ID")</f>
        <v>TLC1549ID</v>
      </c>
      <c r="B716" s="3" t="str">
        <f>HYPERLINK("https://www.773grp.com/manufacturer/texas-instruments?pageNo=313", "Texas Instruments")</f>
        <v>Texas Instruments</v>
      </c>
      <c r="C716" s="5">
        <v>665</v>
      </c>
      <c r="D716" s="6">
        <v>6.61</v>
      </c>
      <c r="E716" t="s">
        <v>34</v>
      </c>
    </row>
    <row r="717" spans="1:5" x14ac:dyDescent="0.25">
      <c r="A717" t="str">
        <f>HYPERLINK("https://www.773grp.com/globalSearch/TLC5510INSLE/page-1", "TLC5510INSLE")</f>
        <v>TLC5510INSLE</v>
      </c>
      <c r="B717" s="3" t="str">
        <f>HYPERLINK("https://www.773grp.com/manufacturer/texas-instruments?pageNo=315", "Texas Instruments")</f>
        <v>Texas Instruments</v>
      </c>
      <c r="C717" s="5">
        <v>29530</v>
      </c>
      <c r="D717" s="6">
        <v>6.61</v>
      </c>
      <c r="E717" t="s">
        <v>34</v>
      </c>
    </row>
    <row r="718" spans="1:5" x14ac:dyDescent="0.25">
      <c r="A718" t="str">
        <f>HYPERLINK("https://www.773grp.com/globalSearch/TLV571IDWR/page-1", "TLV571IDWR")</f>
        <v>TLV571IDWR</v>
      </c>
      <c r="B718" s="3" t="str">
        <f>HYPERLINK("https://www.773grp.com/manufacturer/texas-instruments?pageNo=321", "Texas Instruments")</f>
        <v>Texas Instruments</v>
      </c>
      <c r="C718" s="5">
        <v>2000</v>
      </c>
      <c r="D718" s="6">
        <v>6.61</v>
      </c>
      <c r="E718" t="s">
        <v>34</v>
      </c>
    </row>
    <row r="719" spans="1:5" x14ac:dyDescent="0.25">
      <c r="A719" t="str">
        <f>HYPERLINK("https://www.773grp.com/globalSearch/TLC1543IDB/page-1", "TLC1543IDB")</f>
        <v>TLC1543IDB</v>
      </c>
      <c r="B719" s="3" t="str">
        <f>HYPERLINK("https://www.773grp.com/manufacturer/texas-instruments?pageNo=507", "Texas Instruments")</f>
        <v>Texas Instruments</v>
      </c>
      <c r="C719" s="5">
        <v>11087</v>
      </c>
      <c r="D719" s="6">
        <v>6.75</v>
      </c>
      <c r="E719" t="s">
        <v>34</v>
      </c>
    </row>
    <row r="720" spans="1:5" x14ac:dyDescent="0.25">
      <c r="A720" t="str">
        <f>HYPERLINK("https://www.773grp.com/globalSearch/TLC1543IDW/page-1", "TLC1543IDW")</f>
        <v>TLC1543IDW</v>
      </c>
      <c r="B720" s="3" t="str">
        <f>HYPERLINK("https://www.773grp.com/manufacturer/texas-instruments?pageNo=508", "Texas Instruments")</f>
        <v>Texas Instruments</v>
      </c>
      <c r="C720" s="5">
        <v>34</v>
      </c>
      <c r="D720" s="6">
        <v>6.75</v>
      </c>
      <c r="E720" t="s">
        <v>34</v>
      </c>
    </row>
    <row r="721" spans="1:5" x14ac:dyDescent="0.25">
      <c r="A721" t="str">
        <f>HYPERLINK("https://www.773grp.com/globalSearch/TLC5540CPWR/page-1", "TLC5540CPWR")</f>
        <v>TLC5540CPWR</v>
      </c>
      <c r="B721" s="3" t="str">
        <f>HYPERLINK("https://www.773grp.com/manufacturer/texas-instruments?pageNo=513", "Texas Instruments")</f>
        <v>Texas Instruments</v>
      </c>
      <c r="C721" s="5">
        <v>6000</v>
      </c>
      <c r="D721" s="6">
        <v>6.75</v>
      </c>
      <c r="E721" t="s">
        <v>34</v>
      </c>
    </row>
    <row r="722" spans="1:5" x14ac:dyDescent="0.25">
      <c r="A722" t="str">
        <f>HYPERLINK("https://www.773grp.com/globalSearch/TLV1544CD/page-1", "TLV1544CD")</f>
        <v>TLV1544CD</v>
      </c>
      <c r="B722" s="3" t="str">
        <f>HYPERLINK("https://www.773grp.com/manufacturer/texas-instruments?pageNo=516", "Texas Instruments")</f>
        <v>Texas Instruments</v>
      </c>
      <c r="C722" s="5">
        <v>20</v>
      </c>
      <c r="D722" s="6">
        <v>6.75</v>
      </c>
      <c r="E722" t="s">
        <v>34</v>
      </c>
    </row>
    <row r="723" spans="1:5" x14ac:dyDescent="0.25">
      <c r="A723" t="str">
        <f>HYPERLINK("https://www.773grp.com/globalSearch/TLV1544CPW/page-1", "TLV1544CPW")</f>
        <v>TLV1544CPW</v>
      </c>
      <c r="B723" s="3" t="str">
        <f>HYPERLINK("https://www.773grp.com/manufacturer/texas-instruments?pageNo=517", "Texas Instruments")</f>
        <v>Texas Instruments</v>
      </c>
      <c r="C723" s="5">
        <v>3260</v>
      </c>
      <c r="D723" s="6">
        <v>6.75</v>
      </c>
      <c r="E723" t="s">
        <v>34</v>
      </c>
    </row>
    <row r="724" spans="1:5" x14ac:dyDescent="0.25">
      <c r="A724" t="str">
        <f>HYPERLINK("https://www.773grp.com/globalSearch/TLC0820ACDB/page-1", "TLC0820ACDB")</f>
        <v>TLC0820ACDB</v>
      </c>
      <c r="B724" s="3" t="str">
        <f>HYPERLINK("https://www.773grp.com/manufacturer/texas-instruments?pageNo=621", "Texas Instruments")</f>
        <v>Texas Instruments</v>
      </c>
      <c r="C724" s="5">
        <v>29420</v>
      </c>
      <c r="D724" s="6">
        <v>6.86</v>
      </c>
      <c r="E724" t="s">
        <v>34</v>
      </c>
    </row>
    <row r="725" spans="1:5" x14ac:dyDescent="0.25">
      <c r="A725" t="str">
        <f>HYPERLINK("https://www.773grp.com/globalSearch/TLC0820ACDW/page-1", "TLC0820ACDW")</f>
        <v>TLC0820ACDW</v>
      </c>
      <c r="B725" s="3" t="str">
        <f>HYPERLINK("https://www.773grp.com/manufacturer/texas-instruments?pageNo=622", "Texas Instruments")</f>
        <v>Texas Instruments</v>
      </c>
      <c r="C725" s="5">
        <v>267</v>
      </c>
      <c r="D725" s="6">
        <v>6.86</v>
      </c>
      <c r="E725" t="s">
        <v>34</v>
      </c>
    </row>
    <row r="726" spans="1:5" x14ac:dyDescent="0.25">
      <c r="A726" t="str">
        <f>HYPERLINK("https://www.773grp.com/globalSearch/TLC0820AIDW/page-1", "TLC0820AIDW")</f>
        <v>TLC0820AIDW</v>
      </c>
      <c r="B726" s="3" t="str">
        <f>HYPERLINK("https://www.773grp.com/manufacturer/texas-instruments?pageNo=623", "Texas Instruments")</f>
        <v>Texas Instruments</v>
      </c>
      <c r="C726" s="5">
        <v>8325</v>
      </c>
      <c r="D726" s="6">
        <v>6.86</v>
      </c>
      <c r="E726" t="s">
        <v>34</v>
      </c>
    </row>
    <row r="727" spans="1:5" x14ac:dyDescent="0.25">
      <c r="A727" t="str">
        <f>HYPERLINK("https://www.773grp.com/globalSearch/ADS7834E-2K5/page-1", "ADS7834E-2K5")</f>
        <v>ADS7834E-2K5</v>
      </c>
      <c r="B727" s="3" t="str">
        <f>HYPERLINK("https://www.773grp.com/manufacturer/texas-instruments?pageNo=636", "Texas Instruments")</f>
        <v>Texas Instruments</v>
      </c>
      <c r="C727" s="5">
        <v>47314</v>
      </c>
      <c r="D727" s="6">
        <v>6.89</v>
      </c>
      <c r="E727" t="s">
        <v>34</v>
      </c>
    </row>
    <row r="728" spans="1:5" x14ac:dyDescent="0.25">
      <c r="A728" t="str">
        <f>HYPERLINK("https://www.773grp.com/globalSearch/ADS7950SRGET/page-1", "ADS7950SRGET")</f>
        <v>ADS7950SRGET</v>
      </c>
      <c r="B728" s="3" t="str">
        <f>HYPERLINK("https://www.773grp.com/manufacturer/texas-instruments?pageNo=641", "Texas Instruments")</f>
        <v>Texas Instruments</v>
      </c>
      <c r="C728" s="5">
        <v>250</v>
      </c>
      <c r="D728" s="6">
        <v>6.89</v>
      </c>
      <c r="E728" t="s">
        <v>34</v>
      </c>
    </row>
    <row r="729" spans="1:5" x14ac:dyDescent="0.25">
      <c r="A729" t="str">
        <f>HYPERLINK("https://www.773grp.com/globalSearch/ADS7961SDBTR/page-1", "ADS7961SDBTR")</f>
        <v>ADS7961SDBTR</v>
      </c>
      <c r="B729" s="3" t="str">
        <f>HYPERLINK("https://www.773grp.com/manufacturer/texas-instruments?pageNo=643", "Texas Instruments")</f>
        <v>Texas Instruments</v>
      </c>
      <c r="C729" s="5">
        <v>13900</v>
      </c>
      <c r="D729" s="6">
        <v>6.89</v>
      </c>
      <c r="E729" t="s">
        <v>34</v>
      </c>
    </row>
    <row r="730" spans="1:5" x14ac:dyDescent="0.25">
      <c r="A730" t="str">
        <f>HYPERLINK("https://www.773grp.com/globalSearch/PCM1850PJTR/page-1", "PCM1850PJTR")</f>
        <v>PCM1850PJTR</v>
      </c>
      <c r="B730" s="3" t="str">
        <f>HYPERLINK("https://www.773grp.com/manufacturer/texas-instruments?pageNo=664", "Texas Instruments")</f>
        <v>Texas Instruments</v>
      </c>
      <c r="C730" s="5">
        <v>24000</v>
      </c>
      <c r="D730" s="6">
        <v>6.89</v>
      </c>
      <c r="E730" t="s">
        <v>34</v>
      </c>
    </row>
    <row r="731" spans="1:5" x14ac:dyDescent="0.25">
      <c r="A731" t="str">
        <f>HYPERLINK("https://www.773grp.com/globalSearch/PCM1851PJTR/page-1", "PCM1851PJTR")</f>
        <v>PCM1851PJTR</v>
      </c>
      <c r="B731" s="3" t="str">
        <f>HYPERLINK("https://www.773grp.com/manufacturer/texas-instruments?pageNo=665", "Texas Instruments")</f>
        <v>Texas Instruments</v>
      </c>
      <c r="C731" s="5">
        <v>7000</v>
      </c>
      <c r="D731" s="6">
        <v>6.89</v>
      </c>
      <c r="E731" t="s">
        <v>34</v>
      </c>
    </row>
    <row r="732" spans="1:5" x14ac:dyDescent="0.25">
      <c r="A732" t="str">
        <f>HYPERLINK("https://www.773grp.com/globalSearch/TLV1548IDBR/page-1", "TLV1548IDBR")</f>
        <v>TLV1548IDBR</v>
      </c>
      <c r="B732" s="3" t="str">
        <f>HYPERLINK("https://www.773grp.com/manufacturer/texas-instruments?pageNo=676", "Texas Instruments")</f>
        <v>Texas Instruments</v>
      </c>
      <c r="C732" s="5">
        <v>3692</v>
      </c>
      <c r="D732" s="6">
        <v>6.89</v>
      </c>
      <c r="E732" t="s">
        <v>34</v>
      </c>
    </row>
    <row r="733" spans="1:5" x14ac:dyDescent="0.25">
      <c r="A733" t="str">
        <f>HYPERLINK("https://www.773grp.com/globalSearch/TLV1549IDR/page-1", "TLV1549IDR")</f>
        <v>TLV1549IDR</v>
      </c>
      <c r="B733" s="3" t="str">
        <f>HYPERLINK("https://www.773grp.com/manufacturer/texas-instruments?pageNo=677", "Texas Instruments")</f>
        <v>Texas Instruments</v>
      </c>
      <c r="C733" s="5">
        <v>1999</v>
      </c>
      <c r="D733" s="6">
        <v>6.89</v>
      </c>
      <c r="E733" t="s">
        <v>34</v>
      </c>
    </row>
    <row r="734" spans="1:5" x14ac:dyDescent="0.25">
      <c r="A734" t="str">
        <f>HYPERLINK("https://www.773grp.com/globalSearch/ADS1114IDGST/page-1", "ADS1114IDGST")</f>
        <v>ADS1114IDGST</v>
      </c>
      <c r="B734" s="3" t="str">
        <f>HYPERLINK("https://www.773grp.com/manufacturer/texas-instruments?pageNo=712", "Texas Instruments")</f>
        <v>Texas Instruments</v>
      </c>
      <c r="C734" s="5">
        <v>12175</v>
      </c>
      <c r="D734" s="6">
        <v>6.95</v>
      </c>
      <c r="E734" t="s">
        <v>34</v>
      </c>
    </row>
    <row r="735" spans="1:5" x14ac:dyDescent="0.25">
      <c r="A735" t="str">
        <f>HYPERLINK("https://www.773grp.com/globalSearch/ADS1114IRUGT/page-1", "ADS1114IRUGT")</f>
        <v>ADS1114IRUGT</v>
      </c>
      <c r="B735" s="3" t="str">
        <f>HYPERLINK("https://www.773grp.com/manufacturer/texas-instruments?pageNo=713", "Texas Instruments")</f>
        <v>Texas Instruments</v>
      </c>
      <c r="C735" s="5">
        <v>20945</v>
      </c>
      <c r="D735" s="6">
        <v>6.95</v>
      </c>
      <c r="E735" t="s">
        <v>34</v>
      </c>
    </row>
    <row r="736" spans="1:5" x14ac:dyDescent="0.25">
      <c r="A736" t="str">
        <f>HYPERLINK("https://www.773grp.com/globalSearch/ADS7817EC/page-1", "ADS7817EC")</f>
        <v>ADS7817EC</v>
      </c>
      <c r="B736" s="3" t="str">
        <f>HYPERLINK("https://www.773grp.com/manufacturer/texas-instruments?pageNo=730", "Texas Instruments")</f>
        <v>Texas Instruments</v>
      </c>
      <c r="C736" s="5">
        <v>1210</v>
      </c>
      <c r="D736" s="6">
        <v>6.98</v>
      </c>
      <c r="E736" t="s">
        <v>34</v>
      </c>
    </row>
    <row r="737" spans="1:5" x14ac:dyDescent="0.25">
      <c r="A737" t="str">
        <f>HYPERLINK("https://www.773grp.com/globalSearch/TLV1543CN/page-1", "TLV1543CN")</f>
        <v>TLV1543CN</v>
      </c>
      <c r="B737" s="3" t="str">
        <f>HYPERLINK("https://www.773grp.com/manufacturer/texas-instruments?pageNo=735", "Texas Instruments")</f>
        <v>Texas Instruments</v>
      </c>
      <c r="C737" s="5">
        <v>26780</v>
      </c>
      <c r="D737" s="6">
        <v>6.98</v>
      </c>
      <c r="E737" t="s">
        <v>34</v>
      </c>
    </row>
    <row r="738" spans="1:5" x14ac:dyDescent="0.25">
      <c r="A738" t="str">
        <f>HYPERLINK("https://www.773grp.com/globalSearch/ADS1130IPWR/page-1", "ADS1130IPWR")</f>
        <v>ADS1130IPWR</v>
      </c>
      <c r="B738" s="3" t="str">
        <f>HYPERLINK("https://www.773grp.com/manufacturer/texas-instruments?pageNo=751", "Texas Instruments")</f>
        <v>Texas Instruments</v>
      </c>
      <c r="C738" s="5">
        <v>84000</v>
      </c>
      <c r="D738" s="6">
        <v>7.04</v>
      </c>
      <c r="E738" t="s">
        <v>34</v>
      </c>
    </row>
    <row r="739" spans="1:5" x14ac:dyDescent="0.25">
      <c r="A739" t="str">
        <f>HYPERLINK("https://www.773grp.com/globalSearch/ADS7230IPWR/page-1", "ADS7230IPWR")</f>
        <v>ADS7230IPWR</v>
      </c>
      <c r="B739" s="3" t="str">
        <f>HYPERLINK("https://www.773grp.com/manufacturer/texas-instruments?pageNo=752", "Texas Instruments")</f>
        <v>Texas Instruments</v>
      </c>
      <c r="C739" s="5">
        <v>1860</v>
      </c>
      <c r="D739" s="6">
        <v>7.04</v>
      </c>
      <c r="E739" t="s">
        <v>34</v>
      </c>
    </row>
    <row r="740" spans="1:5" x14ac:dyDescent="0.25">
      <c r="A740" t="str">
        <f>HYPERLINK("https://www.773grp.com/globalSearch/ADS7883SBDBVT/page-1", "ADS7883SBDBVT")</f>
        <v>ADS7883SBDBVT</v>
      </c>
      <c r="B740" s="3" t="str">
        <f>HYPERLINK("https://www.773grp.com/manufacturer/texas-instruments?pageNo=755", "Texas Instruments")</f>
        <v>Texas Instruments</v>
      </c>
      <c r="C740" s="5">
        <v>305</v>
      </c>
      <c r="D740" s="6">
        <v>7.04</v>
      </c>
      <c r="E740" t="s">
        <v>34</v>
      </c>
    </row>
    <row r="741" spans="1:5" x14ac:dyDescent="0.25">
      <c r="A741" t="str">
        <f>HYPERLINK("https://www.773grp.com/globalSearch/ADS7960SDBT/page-1", "ADS7960SDBT")</f>
        <v>ADS7960SDBT</v>
      </c>
      <c r="B741" s="3" t="str">
        <f>HYPERLINK("https://www.773grp.com/manufacturer/texas-instruments?pageNo=756", "Texas Instruments")</f>
        <v>Texas Instruments</v>
      </c>
      <c r="C741" s="5">
        <v>8416</v>
      </c>
      <c r="D741" s="6">
        <v>7.04</v>
      </c>
      <c r="E741" t="s">
        <v>34</v>
      </c>
    </row>
    <row r="742" spans="1:5" x14ac:dyDescent="0.25">
      <c r="A742" t="str">
        <f>HYPERLINK("https://www.773grp.com/globalSearch/ADS931E-1K/page-1", "ADS931E-1K")</f>
        <v>ADS931E-1K</v>
      </c>
      <c r="B742" s="3" t="str">
        <f>HYPERLINK("https://www.773grp.com/manufacturer/texas-instruments?pageNo=909", "Texas Instruments")</f>
        <v>Texas Instruments</v>
      </c>
      <c r="C742" s="5">
        <v>37815</v>
      </c>
      <c r="D742" s="6">
        <v>7.05</v>
      </c>
      <c r="E742" t="s">
        <v>34</v>
      </c>
    </row>
    <row r="743" spans="1:5" x14ac:dyDescent="0.25">
      <c r="A743" t="str">
        <f>HYPERLINK("https://www.773grp.com/globalSearch/ADS7817EB/page-1", "ADS7817EB")</f>
        <v>ADS7817EB</v>
      </c>
      <c r="B743" s="3" t="str">
        <f>HYPERLINK("https://www.773grp.com/manufacturer/texas-instruments?pageNo=964", "Texas Instruments")</f>
        <v>Texas Instruments</v>
      </c>
      <c r="C743" s="5">
        <v>174</v>
      </c>
      <c r="D743" s="6">
        <v>7.18</v>
      </c>
      <c r="E743" t="s">
        <v>34</v>
      </c>
    </row>
    <row r="744" spans="1:5" x14ac:dyDescent="0.25">
      <c r="A744" t="str">
        <f>HYPERLINK("https://www.773grp.com/globalSearch/ADS7954SDBT/page-1", "ADS7954SDBT")</f>
        <v>ADS7954SDBT</v>
      </c>
      <c r="B744" s="3" t="str">
        <f>HYPERLINK("https://www.773grp.com/manufacturer/texas-instruments?pageNo=965", "Texas Instruments")</f>
        <v>Texas Instruments</v>
      </c>
      <c r="C744" s="5">
        <v>4250</v>
      </c>
      <c r="D744" s="6">
        <v>7.18</v>
      </c>
      <c r="E744" t="s">
        <v>34</v>
      </c>
    </row>
    <row r="745" spans="1:5" x14ac:dyDescent="0.25">
      <c r="A745" t="str">
        <f>HYPERLINK("https://www.773grp.com/globalSearch/TLV1544ID/page-1", "TLV1544ID")</f>
        <v>TLV1544ID</v>
      </c>
      <c r="B745" s="3" t="s">
        <v>90</v>
      </c>
      <c r="C745" s="5">
        <v>3462</v>
      </c>
      <c r="D745" s="6">
        <v>7.18</v>
      </c>
      <c r="E745" t="s">
        <v>34</v>
      </c>
    </row>
    <row r="746" spans="1:5" x14ac:dyDescent="0.25">
      <c r="A746" t="str">
        <f>HYPERLINK("https://www.773grp.com/globalSearch/TLV1544IPW/page-1", "TLV1544IPW")</f>
        <v>TLV1544IPW</v>
      </c>
      <c r="B746" s="3" t="s">
        <v>90</v>
      </c>
      <c r="C746" s="5">
        <v>8126</v>
      </c>
      <c r="D746" s="6">
        <v>7.18</v>
      </c>
      <c r="E746" t="s">
        <v>34</v>
      </c>
    </row>
    <row r="747" spans="1:5" x14ac:dyDescent="0.25">
      <c r="A747" t="str">
        <f>HYPERLINK("https://www.773grp.com/globalSearch/TLC5510IPWR/page-1", "TLC5510IPWR")</f>
        <v>TLC5510IPWR</v>
      </c>
      <c r="B747" s="3" t="s">
        <v>90</v>
      </c>
      <c r="C747" s="5">
        <v>152000</v>
      </c>
      <c r="D747" s="6">
        <v>7.29</v>
      </c>
      <c r="E747" t="s">
        <v>34</v>
      </c>
    </row>
    <row r="748" spans="1:5" x14ac:dyDescent="0.25">
      <c r="A748" t="str">
        <f>HYPERLINK("https://www.773grp.com/globalSearch/ADS7961SRHBT/page-1", "ADS7961SRHBT")</f>
        <v>ADS7961SRHBT</v>
      </c>
      <c r="B748" s="3" t="s">
        <v>90</v>
      </c>
      <c r="C748" s="5">
        <v>1059</v>
      </c>
      <c r="D748" s="6">
        <v>7.31</v>
      </c>
      <c r="E748" t="s">
        <v>34</v>
      </c>
    </row>
    <row r="749" spans="1:5" x14ac:dyDescent="0.25">
      <c r="A749" t="str">
        <f>HYPERLINK("https://www.773grp.com/globalSearch/TLV1543CDW/page-1", "TLV1543CDW")</f>
        <v>TLV1543CDW</v>
      </c>
      <c r="B749" s="3" t="s">
        <v>90</v>
      </c>
      <c r="C749" s="5">
        <v>182</v>
      </c>
      <c r="D749" s="6">
        <v>7.31</v>
      </c>
      <c r="E749" t="s">
        <v>34</v>
      </c>
    </row>
    <row r="750" spans="1:5" x14ac:dyDescent="0.25">
      <c r="A750" t="str">
        <f>HYPERLINK("https://www.773grp.com/globalSearch/TLC5540CNSR/page-1", "TLC5540CNSR")</f>
        <v>TLC5540CNSR</v>
      </c>
      <c r="B750" s="3" t="s">
        <v>90</v>
      </c>
      <c r="C750" s="5">
        <v>3850</v>
      </c>
      <c r="D750" s="6">
        <v>7.43</v>
      </c>
      <c r="E750" t="s">
        <v>34</v>
      </c>
    </row>
    <row r="751" spans="1:5" x14ac:dyDescent="0.25">
      <c r="A751" t="str">
        <f>HYPERLINK("https://www.773grp.com/globalSearch/ADS1115IRUGT/page-1", "ADS1115IRUGT")</f>
        <v>ADS1115IRUGT</v>
      </c>
      <c r="B751" s="3" t="s">
        <v>90</v>
      </c>
      <c r="C751" s="5">
        <v>13</v>
      </c>
      <c r="D751" s="6">
        <v>7.46</v>
      </c>
      <c r="E751" t="s">
        <v>34</v>
      </c>
    </row>
    <row r="752" spans="1:5" x14ac:dyDescent="0.25">
      <c r="A752" t="str">
        <f>HYPERLINK("https://www.773grp.com/globalSearch/ADS7229IRSAT/page-1", "ADS7229IRSAT")</f>
        <v>ADS7229IRSAT</v>
      </c>
      <c r="B752" s="3" t="s">
        <v>90</v>
      </c>
      <c r="C752" s="5">
        <v>6928</v>
      </c>
      <c r="D752" s="6">
        <v>7.46</v>
      </c>
      <c r="E752" t="s">
        <v>34</v>
      </c>
    </row>
    <row r="753" spans="1:5" x14ac:dyDescent="0.25">
      <c r="A753" t="str">
        <f>HYPERLINK("https://www.773grp.com/globalSearch/ADS7816PB/page-1", "ADS7816PB")</f>
        <v>ADS7816PB</v>
      </c>
      <c r="B753" s="3" t="s">
        <v>90</v>
      </c>
      <c r="C753" s="5">
        <v>31</v>
      </c>
      <c r="D753" s="6">
        <v>7.46</v>
      </c>
      <c r="E753" t="s">
        <v>34</v>
      </c>
    </row>
    <row r="754" spans="1:5" x14ac:dyDescent="0.25">
      <c r="A754" t="str">
        <f>HYPERLINK("https://www.773grp.com/globalSearch/ADS7817EB-250/page-1", "ADS7817EB-250")</f>
        <v>ADS7817EB-250</v>
      </c>
      <c r="B754" s="3" t="s">
        <v>90</v>
      </c>
      <c r="C754" s="5">
        <v>5408</v>
      </c>
      <c r="D754" s="6">
        <v>7.46</v>
      </c>
      <c r="E754" t="s">
        <v>34</v>
      </c>
    </row>
    <row r="755" spans="1:5" x14ac:dyDescent="0.25">
      <c r="A755" t="str">
        <f>HYPERLINK("https://www.773grp.com/globalSearch/ADS7817EC-2K5/page-1", "ADS7817EC-2K5")</f>
        <v>ADS7817EC-2K5</v>
      </c>
      <c r="B755" s="3" t="s">
        <v>90</v>
      </c>
      <c r="C755" s="5">
        <v>20000</v>
      </c>
      <c r="D755" s="6">
        <v>7.46</v>
      </c>
      <c r="E755" t="s">
        <v>34</v>
      </c>
    </row>
    <row r="756" spans="1:5" x14ac:dyDescent="0.25">
      <c r="A756" t="str">
        <f>HYPERLINK("https://www.773grp.com/globalSearch/ADS7817UC-2K5/page-1", "ADS7817UC-2K5")</f>
        <v>ADS7817UC-2K5</v>
      </c>
      <c r="B756" s="3" t="s">
        <v>90</v>
      </c>
      <c r="C756" s="5">
        <v>4152</v>
      </c>
      <c r="D756" s="6">
        <v>7.46</v>
      </c>
      <c r="E756" t="s">
        <v>34</v>
      </c>
    </row>
    <row r="757" spans="1:5" x14ac:dyDescent="0.25">
      <c r="A757" t="str">
        <f>HYPERLINK("https://www.773grp.com/globalSearch/ADS7950SBRGET/page-1", "ADS7950SBRGET")</f>
        <v>ADS7950SBRGET</v>
      </c>
      <c r="B757" s="3" t="s">
        <v>90</v>
      </c>
      <c r="C757" s="5">
        <v>1500</v>
      </c>
      <c r="D757" s="6">
        <v>7.46</v>
      </c>
      <c r="E757" t="s">
        <v>34</v>
      </c>
    </row>
    <row r="758" spans="1:5" x14ac:dyDescent="0.25">
      <c r="A758" t="str">
        <f>HYPERLINK("https://www.773grp.com/globalSearch/TLC7135CDW/page-1", "TLC7135CDW")</f>
        <v>TLC7135CDW</v>
      </c>
      <c r="B758" s="3" t="s">
        <v>90</v>
      </c>
      <c r="C758" s="5">
        <v>1143</v>
      </c>
      <c r="D758" s="6">
        <v>7.46</v>
      </c>
      <c r="E758" t="s">
        <v>34</v>
      </c>
    </row>
    <row r="759" spans="1:5" x14ac:dyDescent="0.25">
      <c r="A759" t="str">
        <f>HYPERLINK("https://www.773grp.com/globalSearch/TLV1504IDR/page-1", "TLV1504IDR")</f>
        <v>TLV1504IDR</v>
      </c>
      <c r="B759" s="3" t="s">
        <v>90</v>
      </c>
      <c r="C759" s="5">
        <v>2180</v>
      </c>
      <c r="D759" s="6">
        <v>7.46</v>
      </c>
      <c r="E759" t="s">
        <v>34</v>
      </c>
    </row>
    <row r="760" spans="1:5" x14ac:dyDescent="0.25">
      <c r="A760" t="str">
        <f>HYPERLINK("https://www.773grp.com/globalSearch/TLV1549CP/page-1", "TLV1549CP")</f>
        <v>TLV1549CP</v>
      </c>
      <c r="B760" s="3" t="s">
        <v>90</v>
      </c>
      <c r="C760" s="5">
        <v>3347</v>
      </c>
      <c r="D760" s="6">
        <v>7.46</v>
      </c>
      <c r="E760" t="s">
        <v>34</v>
      </c>
    </row>
    <row r="761" spans="1:5" x14ac:dyDescent="0.25">
      <c r="A761" t="str">
        <f>HYPERLINK("https://www.773grp.com/globalSearch/PCM1801U-2K/page-1", "PCM1801U-2K")</f>
        <v>PCM1801U-2K</v>
      </c>
      <c r="B761" s="3" t="s">
        <v>90</v>
      </c>
      <c r="C761" s="5">
        <v>46000</v>
      </c>
      <c r="D761" s="6">
        <v>7.54</v>
      </c>
      <c r="E761" t="s">
        <v>34</v>
      </c>
    </row>
    <row r="762" spans="1:5" x14ac:dyDescent="0.25">
      <c r="A762" t="str">
        <f>HYPERLINK("https://www.773grp.com/globalSearch/TLC876CPW/page-1", "TLC876CPW")</f>
        <v>TLC876CPW</v>
      </c>
      <c r="B762" s="3" t="s">
        <v>90</v>
      </c>
      <c r="C762" s="5">
        <v>376</v>
      </c>
      <c r="D762" s="6">
        <v>7.54</v>
      </c>
      <c r="E762" t="s">
        <v>34</v>
      </c>
    </row>
    <row r="763" spans="1:5" x14ac:dyDescent="0.25">
      <c r="A763" t="str">
        <f>HYPERLINK("https://www.773grp.com/globalSearch/TLC876CPWLE/page-1", "TLC876CPWLE")</f>
        <v>TLC876CPWLE</v>
      </c>
      <c r="B763" s="3" t="s">
        <v>90</v>
      </c>
      <c r="C763" s="5">
        <v>4000</v>
      </c>
      <c r="D763" s="6">
        <v>7.54</v>
      </c>
      <c r="E763" t="s">
        <v>34</v>
      </c>
    </row>
    <row r="764" spans="1:5" x14ac:dyDescent="0.25">
      <c r="A764" t="str">
        <f>HYPERLINK("https://www.773grp.com/globalSearch/ADS1110A2IDBVT/page-1", "ADS1110A2IDBVT")</f>
        <v>ADS1110A2IDBVT</v>
      </c>
      <c r="B764" s="3" t="s">
        <v>90</v>
      </c>
      <c r="C764" s="5">
        <v>250</v>
      </c>
      <c r="D764" s="6">
        <v>7.56</v>
      </c>
      <c r="E764" t="s">
        <v>34</v>
      </c>
    </row>
    <row r="765" spans="1:5" x14ac:dyDescent="0.25">
      <c r="A765" t="str">
        <f>HYPERLINK("https://www.773grp.com/globalSearch/ADS1110A3IDBVT/page-1", "ADS1110A3IDBVT")</f>
        <v>ADS1110A3IDBVT</v>
      </c>
      <c r="B765" s="3" t="s">
        <v>90</v>
      </c>
      <c r="C765" s="5">
        <v>7990</v>
      </c>
      <c r="D765" s="6">
        <v>7.56</v>
      </c>
      <c r="E765" t="s">
        <v>34</v>
      </c>
    </row>
    <row r="766" spans="1:5" x14ac:dyDescent="0.25">
      <c r="A766" t="str">
        <f>HYPERLINK("https://www.773grp.com/globalSearch/ADS1110A6IDBVT/page-1", "ADS1110A6IDBVT")</f>
        <v>ADS1110A6IDBVT</v>
      </c>
      <c r="B766" s="3" t="s">
        <v>90</v>
      </c>
      <c r="C766" s="5">
        <v>5000</v>
      </c>
      <c r="D766" s="6">
        <v>7.56</v>
      </c>
      <c r="E766" t="s">
        <v>34</v>
      </c>
    </row>
    <row r="767" spans="1:5" x14ac:dyDescent="0.25">
      <c r="A767" t="str">
        <f>HYPERLINK("https://www.773grp.com/globalSearch/ADS1110A7IDBVT/page-1", "ADS1110A7IDBVT")</f>
        <v>ADS1110A7IDBVT</v>
      </c>
      <c r="B767" s="3" t="s">
        <v>90</v>
      </c>
      <c r="C767" s="5">
        <v>9076</v>
      </c>
      <c r="D767" s="6">
        <v>7.56</v>
      </c>
      <c r="E767" t="s">
        <v>34</v>
      </c>
    </row>
    <row r="768" spans="1:5" x14ac:dyDescent="0.25">
      <c r="A768" t="str">
        <f>HYPERLINK("https://www.773grp.com/globalSearch/TSC2003IPW/page-1", "TSC2003IPW")</f>
        <v>TSC2003IPW</v>
      </c>
      <c r="B768" s="3" t="s">
        <v>90</v>
      </c>
      <c r="C768" s="5">
        <v>5228</v>
      </c>
      <c r="D768" s="6">
        <v>7.6</v>
      </c>
      <c r="E768" t="s">
        <v>34</v>
      </c>
    </row>
    <row r="769" spans="1:5" x14ac:dyDescent="0.25">
      <c r="A769" t="str">
        <f>HYPERLINK("https://www.773grp.com/globalSearch/TSC2003IPWG4/page-1", "TSC2003IPWG4")</f>
        <v>TSC2003IPWG4</v>
      </c>
      <c r="B769" s="3" t="s">
        <v>90</v>
      </c>
      <c r="C769" s="5">
        <v>12</v>
      </c>
      <c r="D769" s="6">
        <v>7.6</v>
      </c>
      <c r="E769" t="s">
        <v>34</v>
      </c>
    </row>
    <row r="770" spans="1:5" x14ac:dyDescent="0.25">
      <c r="A770" t="str">
        <f>HYPERLINK("https://www.773grp.com/globalSearch/ADS7816UB/page-1", "ADS7816UB")</f>
        <v>ADS7816UB</v>
      </c>
      <c r="B770" s="3" t="s">
        <v>90</v>
      </c>
      <c r="C770" s="5">
        <v>3362</v>
      </c>
      <c r="D770" s="6">
        <v>7.73</v>
      </c>
      <c r="E770" t="s">
        <v>34</v>
      </c>
    </row>
    <row r="771" spans="1:5" x14ac:dyDescent="0.25">
      <c r="A771" t="str">
        <f>HYPERLINK("https://www.773grp.com/globalSearch/ADS7835E-2K5/page-1", "ADS7835E-2K5")</f>
        <v>ADS7835E-2K5</v>
      </c>
      <c r="B771" s="3" t="s">
        <v>90</v>
      </c>
      <c r="C771" s="5">
        <v>85000</v>
      </c>
      <c r="D771" s="6">
        <v>7.73</v>
      </c>
      <c r="E771" t="s">
        <v>34</v>
      </c>
    </row>
    <row r="772" spans="1:5" x14ac:dyDescent="0.25">
      <c r="A772" t="str">
        <f>HYPERLINK("https://www.773grp.com/globalSearch/ADS8201IRGER/page-1", "ADS8201IRGER")</f>
        <v>ADS8201IRGER</v>
      </c>
      <c r="B772" s="3" t="s">
        <v>90</v>
      </c>
      <c r="C772" s="5">
        <v>42000</v>
      </c>
      <c r="D772" s="6">
        <v>7.73</v>
      </c>
      <c r="E772" t="s">
        <v>34</v>
      </c>
    </row>
    <row r="773" spans="1:5" x14ac:dyDescent="0.25">
      <c r="A773" t="str">
        <f>HYPERLINK("https://www.773grp.com/globalSearch/ADS7229IPW/page-1", "ADS7229IPW")</f>
        <v>ADS7229IPW</v>
      </c>
      <c r="B773" s="3" t="s">
        <v>90</v>
      </c>
      <c r="C773" s="5">
        <v>451</v>
      </c>
      <c r="D773" s="6">
        <v>7.88</v>
      </c>
      <c r="E773" t="s">
        <v>34</v>
      </c>
    </row>
    <row r="774" spans="1:5" x14ac:dyDescent="0.25">
      <c r="A774" t="str">
        <f>HYPERLINK("https://www.773grp.com/globalSearch/ADS7950SDBT/page-1", "ADS7950SDBT")</f>
        <v>ADS7950SDBT</v>
      </c>
      <c r="B774" s="3" t="s">
        <v>90</v>
      </c>
      <c r="C774" s="5">
        <v>25</v>
      </c>
      <c r="D774" s="6">
        <v>7.88</v>
      </c>
      <c r="E774" t="s">
        <v>34</v>
      </c>
    </row>
    <row r="775" spans="1:5" x14ac:dyDescent="0.25">
      <c r="A775" t="str">
        <f>HYPERLINK("https://www.773grp.com/globalSearch/TLV1543IDB/page-1", "TLV1543IDB")</f>
        <v>TLV1543IDB</v>
      </c>
      <c r="B775" s="3" t="s">
        <v>90</v>
      </c>
      <c r="C775" s="5">
        <v>1555</v>
      </c>
      <c r="D775" s="6">
        <v>7.88</v>
      </c>
      <c r="E775" t="s">
        <v>34</v>
      </c>
    </row>
    <row r="776" spans="1:5" x14ac:dyDescent="0.25">
      <c r="A776" t="str">
        <f>HYPERLINK("https://www.773grp.com/globalSearch/TLV1548CDB/page-1", "TLV1548CDB")</f>
        <v>TLV1548CDB</v>
      </c>
      <c r="B776" s="3" t="s">
        <v>90</v>
      </c>
      <c r="C776" s="5">
        <v>151</v>
      </c>
      <c r="D776" s="6">
        <v>7.88</v>
      </c>
      <c r="E776" t="s">
        <v>34</v>
      </c>
    </row>
    <row r="777" spans="1:5" x14ac:dyDescent="0.25">
      <c r="A777" t="str">
        <f>HYPERLINK("https://www.773grp.com/globalSearch/TLV1549CD/page-1", "TLV1549CD")</f>
        <v>TLV1549CD</v>
      </c>
      <c r="B777" s="3" t="s">
        <v>90</v>
      </c>
      <c r="C777" s="5">
        <v>13633</v>
      </c>
      <c r="D777" s="6">
        <v>7.88</v>
      </c>
      <c r="E777" t="s">
        <v>34</v>
      </c>
    </row>
    <row r="778" spans="1:5" x14ac:dyDescent="0.25">
      <c r="A778" t="str">
        <f>HYPERLINK("https://www.773grp.com/globalSearch/TLC5540INSR/page-1", "TLC5540INSR")</f>
        <v>TLC5540INSR</v>
      </c>
      <c r="B778" s="3" t="s">
        <v>90</v>
      </c>
      <c r="C778" s="5">
        <v>7770</v>
      </c>
      <c r="D778" s="6">
        <v>7.99</v>
      </c>
      <c r="E778" t="s">
        <v>34</v>
      </c>
    </row>
    <row r="779" spans="1:5" x14ac:dyDescent="0.25">
      <c r="A779" t="str">
        <f>HYPERLINK("https://www.773grp.com/globalSearch/TLC5540IPWR/page-1", "TLC5540IPWR")</f>
        <v>TLC5540IPWR</v>
      </c>
      <c r="B779" s="3" t="s">
        <v>90</v>
      </c>
      <c r="C779" s="5">
        <v>29840</v>
      </c>
      <c r="D779" s="6">
        <v>7.99</v>
      </c>
      <c r="E779" t="s">
        <v>34</v>
      </c>
    </row>
    <row r="780" spans="1:5" x14ac:dyDescent="0.25">
      <c r="A780" t="str">
        <f>HYPERLINK("https://www.773grp.com/globalSearch/ADS7818P/page-1", "ADS7818P")</f>
        <v>ADS7818P</v>
      </c>
      <c r="B780" s="3" t="s">
        <v>90</v>
      </c>
      <c r="C780" s="5">
        <v>205</v>
      </c>
      <c r="D780" s="6">
        <v>8.01</v>
      </c>
      <c r="E780" t="s">
        <v>34</v>
      </c>
    </row>
    <row r="781" spans="1:5" x14ac:dyDescent="0.25">
      <c r="A781" t="str">
        <f>HYPERLINK("https://www.773grp.com/globalSearch/ADS7823E-2K5/page-1", "ADS7823E-2K5")</f>
        <v>ADS7823E-2K5</v>
      </c>
      <c r="B781" s="3" t="s">
        <v>90</v>
      </c>
      <c r="C781" s="5">
        <v>4774</v>
      </c>
      <c r="D781" s="6">
        <v>8.01</v>
      </c>
      <c r="E781" t="s">
        <v>34</v>
      </c>
    </row>
    <row r="782" spans="1:5" x14ac:dyDescent="0.25">
      <c r="A782" t="str">
        <f>HYPERLINK("https://www.773grp.com/globalSearch/ADS7834E-250/page-1", "ADS7834E-250")</f>
        <v>ADS7834E-250</v>
      </c>
      <c r="B782" s="3" t="s">
        <v>90</v>
      </c>
      <c r="C782" s="5">
        <v>500</v>
      </c>
      <c r="D782" s="6">
        <v>8.01</v>
      </c>
      <c r="E782" t="s">
        <v>34</v>
      </c>
    </row>
    <row r="783" spans="1:5" x14ac:dyDescent="0.25">
      <c r="A783" t="str">
        <f>HYPERLINK("https://www.773grp.com/globalSearch/ADS7955SRGET/page-1", "ADS7955SRGET")</f>
        <v>ADS7955SRGET</v>
      </c>
      <c r="B783" s="3" t="s">
        <v>90</v>
      </c>
      <c r="C783" s="5">
        <v>2190</v>
      </c>
      <c r="D783" s="6">
        <v>8.01</v>
      </c>
      <c r="E783" t="s">
        <v>34</v>
      </c>
    </row>
    <row r="784" spans="1:5" x14ac:dyDescent="0.25">
      <c r="A784" t="str">
        <f>HYPERLINK("https://www.773grp.com/globalSearch/ADS8634SRGER/page-1", "ADS8634SRGER")</f>
        <v>ADS8634SRGER</v>
      </c>
      <c r="B784" s="3" t="s">
        <v>90</v>
      </c>
      <c r="C784" s="5">
        <v>792</v>
      </c>
      <c r="D784" s="6">
        <v>8.01</v>
      </c>
      <c r="E784" t="s">
        <v>34</v>
      </c>
    </row>
    <row r="785" spans="1:5" x14ac:dyDescent="0.25">
      <c r="A785" t="str">
        <f>HYPERLINK("https://www.773grp.com/globalSearch/TLV1549IP/page-1", "TLV1549IP")</f>
        <v>TLV1549IP</v>
      </c>
      <c r="B785" s="3" t="s">
        <v>90</v>
      </c>
      <c r="C785" s="5">
        <v>7210</v>
      </c>
      <c r="D785" s="6">
        <v>8.01</v>
      </c>
      <c r="E785" t="s">
        <v>34</v>
      </c>
    </row>
    <row r="786" spans="1:5" x14ac:dyDescent="0.25">
      <c r="A786" t="str">
        <f>HYPERLINK("https://www.773grp.com/globalSearch/TLC876IPW/page-1", "TLC876IPW")</f>
        <v>TLC876IPW</v>
      </c>
      <c r="B786" s="3" t="s">
        <v>90</v>
      </c>
      <c r="C786" s="5">
        <v>817</v>
      </c>
      <c r="D786" s="6">
        <v>8.0500000000000007</v>
      </c>
      <c r="E786" t="s">
        <v>34</v>
      </c>
    </row>
    <row r="787" spans="1:5" x14ac:dyDescent="0.25">
      <c r="A787" t="str">
        <f>HYPERLINK("https://www.773grp.com/globalSearch/TLC876IPWLE/page-1", "TLC876IPWLE")</f>
        <v>TLC876IPWLE</v>
      </c>
      <c r="B787" s="3" t="s">
        <v>90</v>
      </c>
      <c r="C787" s="5">
        <v>2000</v>
      </c>
      <c r="D787" s="6">
        <v>8.0500000000000007</v>
      </c>
      <c r="E787" t="s">
        <v>34</v>
      </c>
    </row>
    <row r="788" spans="1:5" x14ac:dyDescent="0.25">
      <c r="A788" t="str">
        <f>HYPERLINK("https://www.773grp.com/globalSearch/ADS7230IRSAT/page-1", "ADS7230IRSAT")</f>
        <v>ADS7230IRSAT</v>
      </c>
      <c r="B788" s="3" t="s">
        <v>90</v>
      </c>
      <c r="C788" s="5">
        <v>750</v>
      </c>
      <c r="D788" s="6">
        <v>8.15</v>
      </c>
      <c r="E788" t="s">
        <v>34</v>
      </c>
    </row>
    <row r="789" spans="1:5" x14ac:dyDescent="0.25">
      <c r="A789" t="str">
        <f>HYPERLINK("https://www.773grp.com/globalSearch/ADS7841P/page-1", "ADS7841P")</f>
        <v>ADS7841P</v>
      </c>
      <c r="B789" s="3" t="s">
        <v>90</v>
      </c>
      <c r="C789" s="5">
        <v>513</v>
      </c>
      <c r="D789" s="6">
        <v>8.15</v>
      </c>
      <c r="E789" t="s">
        <v>34</v>
      </c>
    </row>
    <row r="790" spans="1:5" x14ac:dyDescent="0.25">
      <c r="A790" t="str">
        <f>HYPERLINK("https://www.773grp.com/globalSearch/ADS7844N-1K/page-1", "ADS7844N-1K")</f>
        <v>ADS7844N-1K</v>
      </c>
      <c r="B790" s="3" t="s">
        <v>90</v>
      </c>
      <c r="C790" s="5">
        <v>24</v>
      </c>
      <c r="D790" s="6">
        <v>8.15</v>
      </c>
      <c r="E790" t="s">
        <v>34</v>
      </c>
    </row>
    <row r="791" spans="1:5" x14ac:dyDescent="0.25">
      <c r="A791" t="str">
        <f>HYPERLINK("https://www.773grp.com/globalSearch/ADS7882IPFBT/page-1", "ADS7882IPFBT")</f>
        <v>ADS7882IPFBT</v>
      </c>
      <c r="B791" s="3" t="s">
        <v>90</v>
      </c>
      <c r="C791" s="5">
        <v>17054</v>
      </c>
      <c r="D791" s="6">
        <v>8.15</v>
      </c>
      <c r="E791" t="s">
        <v>34</v>
      </c>
    </row>
    <row r="792" spans="1:5" x14ac:dyDescent="0.25">
      <c r="A792" t="str">
        <f>HYPERLINK("https://www.773grp.com/globalSearch/TLC1514IDR/page-1", "TLC1514IDR")</f>
        <v>TLC1514IDR</v>
      </c>
      <c r="B792" s="3" t="s">
        <v>90</v>
      </c>
      <c r="C792" s="5">
        <v>2500</v>
      </c>
      <c r="D792" s="6">
        <v>8.15</v>
      </c>
      <c r="E792" t="s">
        <v>34</v>
      </c>
    </row>
    <row r="793" spans="1:5" x14ac:dyDescent="0.25">
      <c r="A793" t="str">
        <f>HYPERLINK("https://www.773grp.com/globalSearch/TLV571IDW/page-1", "TLV571IDW")</f>
        <v>TLV571IDW</v>
      </c>
      <c r="B793" s="3" t="s">
        <v>90</v>
      </c>
      <c r="C793" s="5">
        <v>16265</v>
      </c>
      <c r="D793" s="6">
        <v>8.15</v>
      </c>
      <c r="E793" t="s">
        <v>34</v>
      </c>
    </row>
    <row r="794" spans="1:5" x14ac:dyDescent="0.25">
      <c r="A794" t="str">
        <f>HYPERLINK("https://www.773grp.com/globalSearch/TLV571IPW/page-1", "TLV571IPW")</f>
        <v>TLV571IPW</v>
      </c>
      <c r="B794" s="3" t="s">
        <v>90</v>
      </c>
      <c r="C794" s="5">
        <v>1020</v>
      </c>
      <c r="D794" s="6">
        <v>8.15</v>
      </c>
      <c r="E794" t="s">
        <v>34</v>
      </c>
    </row>
    <row r="795" spans="1:5" x14ac:dyDescent="0.25">
      <c r="A795" t="str">
        <f>HYPERLINK("https://www.773grp.com/globalSearch/ADS1225IRGVR/page-1", "ADS1225IRGVR")</f>
        <v>ADS1225IRGVR</v>
      </c>
      <c r="B795" s="3" t="s">
        <v>90</v>
      </c>
      <c r="C795" s="5">
        <v>400</v>
      </c>
      <c r="D795" s="6">
        <v>8.2799999999999994</v>
      </c>
      <c r="E795" t="s">
        <v>34</v>
      </c>
    </row>
    <row r="796" spans="1:5" x14ac:dyDescent="0.25">
      <c r="A796" t="str">
        <f>HYPERLINK("https://www.773grp.com/globalSearch/ADS7816EC-250/page-1", "ADS7816EC-250")</f>
        <v>ADS7816EC-250</v>
      </c>
      <c r="B796" s="3" t="s">
        <v>90</v>
      </c>
      <c r="C796" s="5">
        <v>482</v>
      </c>
      <c r="D796" s="6">
        <v>8.3000000000000007</v>
      </c>
      <c r="E796" t="s">
        <v>34</v>
      </c>
    </row>
    <row r="797" spans="1:5" x14ac:dyDescent="0.25">
      <c r="A797" t="str">
        <f>HYPERLINK("https://www.773grp.com/globalSearch/ADS7816PC/page-1", "ADS7816PC")</f>
        <v>ADS7816PC</v>
      </c>
      <c r="B797" s="3" t="s">
        <v>90</v>
      </c>
      <c r="C797" s="5">
        <v>9400</v>
      </c>
      <c r="D797" s="6">
        <v>8.3000000000000007</v>
      </c>
      <c r="E797" t="s">
        <v>34</v>
      </c>
    </row>
    <row r="798" spans="1:5" x14ac:dyDescent="0.25">
      <c r="A798" t="str">
        <f>HYPERLINK("https://www.773grp.com/globalSearch/ADS7816PC/page-1", "ADS7816PC")</f>
        <v>ADS7816PC</v>
      </c>
      <c r="B798" s="3" t="s">
        <v>90</v>
      </c>
      <c r="C798" s="5">
        <v>20</v>
      </c>
      <c r="D798" s="6">
        <v>8.3000000000000007</v>
      </c>
      <c r="E798" t="s">
        <v>34</v>
      </c>
    </row>
    <row r="799" spans="1:5" x14ac:dyDescent="0.25">
      <c r="A799" t="str">
        <f>HYPERLINK("https://www.773grp.com/globalSearch/ADS7817EC-250/page-1", "ADS7817EC-250")</f>
        <v>ADS7817EC-250</v>
      </c>
      <c r="B799" s="3" t="s">
        <v>90</v>
      </c>
      <c r="C799" s="5">
        <v>250</v>
      </c>
      <c r="D799" s="6">
        <v>8.3000000000000007</v>
      </c>
      <c r="E799" t="s">
        <v>34</v>
      </c>
    </row>
    <row r="800" spans="1:5" x14ac:dyDescent="0.25">
      <c r="A800" t="str">
        <f>HYPERLINK("https://www.773grp.com/globalSearch/ADS7961SDBT/page-1", "ADS7961SDBT")</f>
        <v>ADS7961SDBT</v>
      </c>
      <c r="B800" s="3" t="s">
        <v>90</v>
      </c>
      <c r="C800" s="5">
        <v>15664</v>
      </c>
      <c r="D800" s="6">
        <v>8.3000000000000007</v>
      </c>
      <c r="E800" t="s">
        <v>34</v>
      </c>
    </row>
    <row r="801" spans="1:5" x14ac:dyDescent="0.25">
      <c r="A801" t="str">
        <f>HYPERLINK("https://www.773grp.com/globalSearch/ADS7961SDBTG4/page-1", "ADS7961SDBTG4")</f>
        <v>ADS7961SDBTG4</v>
      </c>
      <c r="B801" s="3" t="s">
        <v>90</v>
      </c>
      <c r="C801" s="5">
        <v>75</v>
      </c>
      <c r="D801" s="6">
        <v>8.3000000000000007</v>
      </c>
      <c r="E801" t="s">
        <v>34</v>
      </c>
    </row>
    <row r="802" spans="1:5" x14ac:dyDescent="0.25">
      <c r="A802" t="str">
        <f>HYPERLINK("https://www.773grp.com/globalSearch/PCM1804DB/page-1", "PCM1804DB")</f>
        <v>PCM1804DB</v>
      </c>
      <c r="B802" s="3" t="s">
        <v>90</v>
      </c>
      <c r="C802" s="5">
        <v>6</v>
      </c>
      <c r="D802" s="6">
        <v>8.3000000000000007</v>
      </c>
      <c r="E802" t="s">
        <v>34</v>
      </c>
    </row>
    <row r="803" spans="1:5" x14ac:dyDescent="0.25">
      <c r="A803" t="str">
        <f>HYPERLINK("https://www.773grp.com/globalSearch/TLV1548IDB/page-1", "TLV1548IDB")</f>
        <v>TLV1548IDB</v>
      </c>
      <c r="B803" s="3" t="s">
        <v>90</v>
      </c>
      <c r="C803" s="5">
        <v>11451</v>
      </c>
      <c r="D803" s="6">
        <v>8.3000000000000007</v>
      </c>
      <c r="E803" t="s">
        <v>34</v>
      </c>
    </row>
    <row r="804" spans="1:5" x14ac:dyDescent="0.25">
      <c r="A804" t="str">
        <f>HYPERLINK("https://www.773grp.com/globalSearch/TLV1549ID/page-1", "TLV1549ID")</f>
        <v>TLV1549ID</v>
      </c>
      <c r="B804" s="3" t="s">
        <v>90</v>
      </c>
      <c r="C804" s="5">
        <v>11036</v>
      </c>
      <c r="D804" s="6">
        <v>8.3000000000000007</v>
      </c>
      <c r="E804" t="s">
        <v>34</v>
      </c>
    </row>
    <row r="805" spans="1:5" x14ac:dyDescent="0.25">
      <c r="A805" t="str">
        <f>HYPERLINK("https://www.773grp.com/globalSearch/ADS930E-1K/page-1", "ADS930E-1K")</f>
        <v>ADS930E-1K</v>
      </c>
      <c r="B805" s="3" t="s">
        <v>90</v>
      </c>
      <c r="C805" s="5">
        <v>17000</v>
      </c>
      <c r="D805" s="6">
        <v>8.35</v>
      </c>
      <c r="E805" t="s">
        <v>34</v>
      </c>
    </row>
    <row r="806" spans="1:5" x14ac:dyDescent="0.25">
      <c r="A806" t="str">
        <f>HYPERLINK("https://www.773grp.com/globalSearch/ADS1130IPW/page-1", "ADS1130IPW")</f>
        <v>ADS1130IPW</v>
      </c>
      <c r="B806" s="3" t="s">
        <v>90</v>
      </c>
      <c r="C806" s="5">
        <v>3600</v>
      </c>
      <c r="D806" s="6">
        <v>8.44</v>
      </c>
      <c r="E806" t="s">
        <v>34</v>
      </c>
    </row>
    <row r="807" spans="1:5" x14ac:dyDescent="0.25">
      <c r="A807" t="str">
        <f>HYPERLINK("https://www.773grp.com/globalSearch/ADS1231ID/page-1", "ADS1231ID")</f>
        <v>ADS1231ID</v>
      </c>
      <c r="B807" s="3" t="s">
        <v>90</v>
      </c>
      <c r="C807" s="5">
        <v>56</v>
      </c>
      <c r="D807" s="6">
        <v>8.44</v>
      </c>
      <c r="E807" t="s">
        <v>34</v>
      </c>
    </row>
    <row r="808" spans="1:5" x14ac:dyDescent="0.25">
      <c r="A808" t="str">
        <f>HYPERLINK("https://www.773grp.com/globalSearch/ADS7230IPW/page-1", "ADS7230IPW")</f>
        <v>ADS7230IPW</v>
      </c>
      <c r="B808" s="3" t="s">
        <v>90</v>
      </c>
      <c r="C808" s="5">
        <v>110</v>
      </c>
      <c r="D808" s="6">
        <v>8.44</v>
      </c>
      <c r="E808" t="s">
        <v>34</v>
      </c>
    </row>
    <row r="809" spans="1:5" x14ac:dyDescent="0.25">
      <c r="A809" t="str">
        <f>HYPERLINK("https://www.773grp.com/globalSearch/ADS7817UC/page-1", "ADS7817UC")</f>
        <v>ADS7817UC</v>
      </c>
      <c r="B809" s="3" t="s">
        <v>90</v>
      </c>
      <c r="C809" s="5">
        <v>8882</v>
      </c>
      <c r="D809" s="6">
        <v>8.44</v>
      </c>
      <c r="E809" t="s">
        <v>34</v>
      </c>
    </row>
    <row r="810" spans="1:5" x14ac:dyDescent="0.25">
      <c r="A810" t="str">
        <f>HYPERLINK("https://www.773grp.com/globalSearch/ADS7841E/page-1", "ADS7841E")</f>
        <v>ADS7841E</v>
      </c>
      <c r="B810" s="3" t="s">
        <v>90</v>
      </c>
      <c r="C810" s="5">
        <v>3199</v>
      </c>
      <c r="D810" s="6">
        <v>8.44</v>
      </c>
      <c r="E810" t="s">
        <v>34</v>
      </c>
    </row>
    <row r="811" spans="1:5" x14ac:dyDescent="0.25">
      <c r="A811" t="str">
        <f>HYPERLINK("https://www.773grp.com/globalSearch/ADS7841ES/page-1", "ADS7841ES")</f>
        <v>ADS7841ES</v>
      </c>
      <c r="B811" s="3" t="s">
        <v>90</v>
      </c>
      <c r="C811" s="5">
        <v>157</v>
      </c>
      <c r="D811" s="6">
        <v>8.44</v>
      </c>
      <c r="E811" t="s">
        <v>34</v>
      </c>
    </row>
    <row r="812" spans="1:5" x14ac:dyDescent="0.25">
      <c r="A812" t="str">
        <f>HYPERLINK("https://www.773grp.com/globalSearch/ADS7950SBDBT/page-1", "ADS7950SBDBT")</f>
        <v>ADS7950SBDBT</v>
      </c>
      <c r="B812" s="3" t="s">
        <v>90</v>
      </c>
      <c r="C812" s="5">
        <v>1462</v>
      </c>
      <c r="D812" s="6">
        <v>8.44</v>
      </c>
      <c r="E812" t="s">
        <v>34</v>
      </c>
    </row>
    <row r="813" spans="1:5" x14ac:dyDescent="0.25">
      <c r="A813" t="str">
        <f>HYPERLINK("https://www.773grp.com/globalSearch/TLC7135CN/page-1", "TLC7135CN")</f>
        <v>TLC7135CN</v>
      </c>
      <c r="B813" s="3" t="s">
        <v>90</v>
      </c>
      <c r="C813" s="5">
        <v>9248</v>
      </c>
      <c r="D813" s="6">
        <v>8.44</v>
      </c>
      <c r="E813" t="s">
        <v>34</v>
      </c>
    </row>
    <row r="814" spans="1:5" x14ac:dyDescent="0.25">
      <c r="A814" t="str">
        <f>HYPERLINK("https://www.773grp.com/globalSearch/TLV5535IPWR/page-1", "TLV5535IPWR")</f>
        <v>TLV5535IPWR</v>
      </c>
      <c r="B814" s="3" t="s">
        <v>90</v>
      </c>
      <c r="C814" s="5">
        <v>232380</v>
      </c>
      <c r="D814" s="6">
        <v>8.44</v>
      </c>
      <c r="E814" t="s">
        <v>34</v>
      </c>
    </row>
    <row r="815" spans="1:5" x14ac:dyDescent="0.25">
      <c r="A815" t="str">
        <f>HYPERLINK("https://www.773grp.com/globalSearch/ADS931E/page-1", "ADS931E")</f>
        <v>ADS931E</v>
      </c>
      <c r="B815" s="3" t="s">
        <v>90</v>
      </c>
      <c r="C815" s="5">
        <v>150</v>
      </c>
      <c r="D815" s="6">
        <v>8.48</v>
      </c>
      <c r="E815" t="s">
        <v>34</v>
      </c>
    </row>
    <row r="816" spans="1:5" x14ac:dyDescent="0.25">
      <c r="A816" t="str">
        <f>HYPERLINK("https://www.773grp.com/globalSearch/ADS931E/page-1", "ADS931E")</f>
        <v>ADS931E</v>
      </c>
      <c r="B816" s="3" t="s">
        <v>90</v>
      </c>
      <c r="C816" s="5">
        <v>750</v>
      </c>
      <c r="D816" s="6">
        <v>8.48</v>
      </c>
      <c r="E816" t="s">
        <v>34</v>
      </c>
    </row>
    <row r="817" spans="1:5" x14ac:dyDescent="0.25">
      <c r="A817" t="str">
        <f>HYPERLINK("https://www.773grp.com/globalSearch/PCM1851PJT/page-1", "PCM1851PJT")</f>
        <v>PCM1851PJT</v>
      </c>
      <c r="B817" s="3" t="s">
        <v>90</v>
      </c>
      <c r="C817" s="5">
        <v>2757</v>
      </c>
      <c r="D817" s="6">
        <v>8.66</v>
      </c>
      <c r="E817" t="s">
        <v>34</v>
      </c>
    </row>
    <row r="818" spans="1:5" x14ac:dyDescent="0.25">
      <c r="A818" t="str">
        <f>HYPERLINK("https://www.773grp.com/globalSearch/TLC5510AINS/page-1", "TLC5510AINS")</f>
        <v>TLC5510AINS</v>
      </c>
      <c r="B818" s="3" t="s">
        <v>90</v>
      </c>
      <c r="C818" s="5">
        <v>144</v>
      </c>
      <c r="D818" s="6">
        <v>8.73</v>
      </c>
      <c r="E818" t="s">
        <v>34</v>
      </c>
    </row>
    <row r="819" spans="1:5" x14ac:dyDescent="0.25">
      <c r="A819" t="str">
        <f>HYPERLINK("https://www.773grp.com/globalSearch/TLC5510INS/page-1", "TLC5510INS")</f>
        <v>TLC5510INS</v>
      </c>
      <c r="B819" s="3" t="s">
        <v>90</v>
      </c>
      <c r="C819" s="5">
        <v>119</v>
      </c>
      <c r="D819" s="6">
        <v>8.73</v>
      </c>
      <c r="E819" t="s">
        <v>34</v>
      </c>
    </row>
    <row r="820" spans="1:5" x14ac:dyDescent="0.25">
      <c r="A820" t="str">
        <f>HYPERLINK("https://www.773grp.com/globalSearch/TLC5510IPW/page-1", "TLC5510IPW")</f>
        <v>TLC5510IPW</v>
      </c>
      <c r="B820" s="3" t="s">
        <v>90</v>
      </c>
      <c r="C820" s="5">
        <v>22243</v>
      </c>
      <c r="D820" s="6">
        <v>8.73</v>
      </c>
      <c r="E820" t="s">
        <v>34</v>
      </c>
    </row>
    <row r="821" spans="1:5" x14ac:dyDescent="0.25">
      <c r="A821" t="str">
        <f>HYPERLINK("https://www.773grp.com/globalSearch/TLC5510IPWG4/page-1", "TLC5510IPWG4")</f>
        <v>TLC5510IPWG4</v>
      </c>
      <c r="B821" s="3" t="s">
        <v>90</v>
      </c>
      <c r="C821" s="5">
        <v>115</v>
      </c>
      <c r="D821" s="6">
        <v>8.73</v>
      </c>
      <c r="E821" t="s">
        <v>34</v>
      </c>
    </row>
    <row r="822" spans="1:5" x14ac:dyDescent="0.25">
      <c r="A822" t="str">
        <f>HYPERLINK("https://www.773grp.com/globalSearch/ADS1208IPWR/page-1", "ADS1208IPWR")</f>
        <v>ADS1208IPWR</v>
      </c>
      <c r="B822" s="3" t="s">
        <v>90</v>
      </c>
      <c r="C822" s="5">
        <v>2000</v>
      </c>
      <c r="D822" s="6">
        <v>8.86</v>
      </c>
      <c r="E822" t="s">
        <v>34</v>
      </c>
    </row>
    <row r="823" spans="1:5" x14ac:dyDescent="0.25">
      <c r="A823" t="str">
        <f>HYPERLINK("https://www.773grp.com/globalSearch/ADS7951SRGET/page-1", "ADS7951SRGET")</f>
        <v>ADS7951SRGET</v>
      </c>
      <c r="B823" s="3" t="s">
        <v>90</v>
      </c>
      <c r="C823" s="5">
        <v>250</v>
      </c>
      <c r="D823" s="6">
        <v>8.86</v>
      </c>
      <c r="E823" t="s">
        <v>34</v>
      </c>
    </row>
    <row r="824" spans="1:5" x14ac:dyDescent="0.25">
      <c r="A824" t="str">
        <f>HYPERLINK("https://www.773grp.com/globalSearch/PCM1850PJT/page-1", "PCM1850PJT")</f>
        <v>PCM1850PJT</v>
      </c>
      <c r="B824" s="3" t="s">
        <v>90</v>
      </c>
      <c r="C824" s="5">
        <v>1147</v>
      </c>
      <c r="D824" s="6">
        <v>8.86</v>
      </c>
      <c r="E824" t="s">
        <v>34</v>
      </c>
    </row>
    <row r="825" spans="1:5" x14ac:dyDescent="0.25">
      <c r="A825" t="str">
        <f>HYPERLINK("https://www.773grp.com/globalSearch/TLC546IFN/page-1", "TLC546IFN")</f>
        <v>TLC546IFN</v>
      </c>
      <c r="B825" s="3" t="s">
        <v>90</v>
      </c>
      <c r="C825" s="5">
        <v>1583</v>
      </c>
      <c r="D825" s="6">
        <v>8.89</v>
      </c>
      <c r="E825" t="s">
        <v>34</v>
      </c>
    </row>
    <row r="826" spans="1:5" x14ac:dyDescent="0.25">
      <c r="A826" t="str">
        <f>HYPERLINK("https://www.773grp.com/globalSearch/ADS1112IDRCR/page-1", "ADS1112IDRCR")</f>
        <v>ADS1112IDRCR</v>
      </c>
      <c r="B826" s="3" t="s">
        <v>90</v>
      </c>
      <c r="C826" s="5">
        <v>2500</v>
      </c>
      <c r="D826" s="6">
        <v>8.9499999999999993</v>
      </c>
      <c r="E826" t="s">
        <v>34</v>
      </c>
    </row>
    <row r="827" spans="1:5" x14ac:dyDescent="0.25">
      <c r="A827" t="str">
        <f>HYPERLINK("https://www.773grp.com/globalSearch/TLC546IN/page-1", "TLC546IN")</f>
        <v>TLC546IN</v>
      </c>
      <c r="B827" s="3" t="s">
        <v>90</v>
      </c>
      <c r="C827" s="5">
        <v>333</v>
      </c>
      <c r="D827" s="6">
        <v>8.9499999999999993</v>
      </c>
      <c r="E827" t="s">
        <v>34</v>
      </c>
    </row>
    <row r="828" spans="1:5" x14ac:dyDescent="0.25">
      <c r="A828" t="str">
        <f>HYPERLINK("https://www.773grp.com/globalSearch/ADS7835E-250/page-1", "ADS7835E-250")</f>
        <v>ADS7835E-250</v>
      </c>
      <c r="B828" s="3" t="s">
        <v>90</v>
      </c>
      <c r="C828" s="5">
        <v>1842</v>
      </c>
      <c r="D828" s="6">
        <v>9</v>
      </c>
      <c r="E828" t="s">
        <v>34</v>
      </c>
    </row>
    <row r="829" spans="1:5" x14ac:dyDescent="0.25">
      <c r="A829" t="str">
        <f>HYPERLINK("https://www.773grp.com/globalSearch/ADS8201IRGET/page-1", "ADS8201IRGET")</f>
        <v>ADS8201IRGET</v>
      </c>
      <c r="B829" s="3" t="s">
        <v>90</v>
      </c>
      <c r="C829" s="5">
        <v>11751</v>
      </c>
      <c r="D829" s="6">
        <v>9</v>
      </c>
      <c r="E829" t="s">
        <v>34</v>
      </c>
    </row>
    <row r="830" spans="1:5" x14ac:dyDescent="0.25">
      <c r="A830" t="str">
        <f>HYPERLINK("https://www.773grp.com/globalSearch/TLC1541CDWR/page-1", "TLC1541CDWR")</f>
        <v>TLC1541CDWR</v>
      </c>
      <c r="B830" s="3" t="s">
        <v>90</v>
      </c>
      <c r="C830" s="5">
        <v>2000</v>
      </c>
      <c r="D830" s="6">
        <v>9</v>
      </c>
      <c r="E830" t="s">
        <v>34</v>
      </c>
    </row>
    <row r="831" spans="1:5" x14ac:dyDescent="0.25">
      <c r="A831" t="str">
        <f>HYPERLINK("https://www.773grp.com/globalSearch/TLC1541CFN/page-1", "TLC1541CFN")</f>
        <v>TLC1541CFN</v>
      </c>
      <c r="B831" s="3" t="s">
        <v>90</v>
      </c>
      <c r="C831" s="5">
        <v>12113</v>
      </c>
      <c r="D831" s="6">
        <v>9</v>
      </c>
      <c r="E831" t="s">
        <v>34</v>
      </c>
    </row>
    <row r="832" spans="1:5" x14ac:dyDescent="0.25">
      <c r="A832" t="str">
        <f>HYPERLINK("https://www.773grp.com/globalSearch/TLC5540CPW/page-1", "TLC5540CPW")</f>
        <v>TLC5540CPW</v>
      </c>
      <c r="B832" s="3" t="s">
        <v>90</v>
      </c>
      <c r="C832" s="5">
        <v>11036</v>
      </c>
      <c r="D832" s="6">
        <v>9.0299999999999994</v>
      </c>
      <c r="E832" t="s">
        <v>34</v>
      </c>
    </row>
    <row r="833" spans="1:5" x14ac:dyDescent="0.25">
      <c r="A833" t="str">
        <f>HYPERLINK("https://www.773grp.com/globalSearch/PCM1801U/page-1", "PCM1801U")</f>
        <v>PCM1801U</v>
      </c>
      <c r="B833" s="3" t="s">
        <v>90</v>
      </c>
      <c r="C833" s="5">
        <v>2814</v>
      </c>
      <c r="D833" s="6">
        <v>9.06</v>
      </c>
      <c r="E833" t="s">
        <v>34</v>
      </c>
    </row>
    <row r="834" spans="1:5" x14ac:dyDescent="0.25">
      <c r="A834" t="str">
        <f>HYPERLINK("https://www.773grp.com/globalSearch/ADS7834P/page-1", "ADS7834P")</f>
        <v>ADS7834P</v>
      </c>
      <c r="B834" s="3" t="s">
        <v>90</v>
      </c>
      <c r="C834" s="5">
        <v>358</v>
      </c>
      <c r="D834" s="6">
        <v>9.08</v>
      </c>
      <c r="E834" t="s">
        <v>34</v>
      </c>
    </row>
    <row r="835" spans="1:5" x14ac:dyDescent="0.25">
      <c r="A835" t="str">
        <f>HYPERLINK("https://www.773grp.com/globalSearch/ADS7834PB/page-1", "ADS7834PB")</f>
        <v>ADS7834PB</v>
      </c>
      <c r="B835" s="3" t="s">
        <v>90</v>
      </c>
      <c r="C835" s="5">
        <v>4956</v>
      </c>
      <c r="D835" s="6">
        <v>9.08</v>
      </c>
      <c r="E835" t="s">
        <v>34</v>
      </c>
    </row>
    <row r="836" spans="1:5" x14ac:dyDescent="0.25">
      <c r="A836" t="str">
        <f>HYPERLINK("https://www.773grp.com/globalSearch/ADS1146IPW/page-1", "ADS1146IPW")</f>
        <v>ADS1146IPW</v>
      </c>
      <c r="B836" s="3" t="s">
        <v>90</v>
      </c>
      <c r="C836" s="5">
        <v>90</v>
      </c>
      <c r="D836" s="6">
        <v>9.11</v>
      </c>
      <c r="E836" t="s">
        <v>34</v>
      </c>
    </row>
    <row r="837" spans="1:5" x14ac:dyDescent="0.25">
      <c r="A837" t="str">
        <f>HYPERLINK("https://www.773grp.com/globalSearch/PCM1800E-2K/page-1", "PCM1800E-2K")</f>
        <v>PCM1800E-2K</v>
      </c>
      <c r="B837" s="3" t="s">
        <v>90</v>
      </c>
      <c r="C837" s="5">
        <v>6000</v>
      </c>
      <c r="D837" s="6">
        <v>9.11</v>
      </c>
      <c r="E837" t="s">
        <v>34</v>
      </c>
    </row>
    <row r="838" spans="1:5" x14ac:dyDescent="0.25">
      <c r="A838" t="str">
        <f>HYPERLINK("https://www.773grp.com/globalSearch/ADS7955SDBT/page-1", "ADS7955SDBT")</f>
        <v>ADS7955SDBT</v>
      </c>
      <c r="B838" s="3" t="s">
        <v>90</v>
      </c>
      <c r="C838" s="5">
        <v>980</v>
      </c>
      <c r="D838" s="6">
        <v>9.15</v>
      </c>
      <c r="E838" t="s">
        <v>34</v>
      </c>
    </row>
    <row r="839" spans="1:5" x14ac:dyDescent="0.25">
      <c r="A839" t="str">
        <f>HYPERLINK("https://www.773grp.com/globalSearch/ADS830E-2K5/page-1", "ADS830E-2K5")</f>
        <v>ADS830E-2K5</v>
      </c>
      <c r="B839" s="3" t="s">
        <v>90</v>
      </c>
      <c r="C839" s="5">
        <v>17500</v>
      </c>
      <c r="D839" s="6">
        <v>9.23</v>
      </c>
      <c r="E839" t="s">
        <v>34</v>
      </c>
    </row>
    <row r="840" spans="1:5" x14ac:dyDescent="0.25">
      <c r="A840" t="str">
        <f>HYPERLINK("https://www.773grp.com/globalSearch/ADS7823E-250/page-1", "ADS7823E-250")</f>
        <v>ADS7823E-250</v>
      </c>
      <c r="B840" s="3" t="s">
        <v>90</v>
      </c>
      <c r="C840" s="5">
        <v>1000</v>
      </c>
      <c r="D840" s="6">
        <v>9.2899999999999991</v>
      </c>
      <c r="E840" t="s">
        <v>34</v>
      </c>
    </row>
    <row r="841" spans="1:5" x14ac:dyDescent="0.25">
      <c r="A841" t="str">
        <f>HYPERLINK("https://www.773grp.com/globalSearch/ADS7956SDBTR/page-1", "ADS7956SDBTR")</f>
        <v>ADS7956SDBTR</v>
      </c>
      <c r="B841" s="3" t="s">
        <v>90</v>
      </c>
      <c r="C841" s="5">
        <v>15900</v>
      </c>
      <c r="D841" s="6">
        <v>9.2899999999999991</v>
      </c>
      <c r="E841" t="s">
        <v>34</v>
      </c>
    </row>
    <row r="842" spans="1:5" x14ac:dyDescent="0.25">
      <c r="A842" t="str">
        <f>HYPERLINK("https://www.773grp.com/globalSearch/TLV1504ID/page-1", "TLV1504ID")</f>
        <v>TLV1504ID</v>
      </c>
      <c r="B842" s="3" t="s">
        <v>90</v>
      </c>
      <c r="C842" s="5">
        <v>29569</v>
      </c>
      <c r="D842" s="6">
        <v>9.2899999999999991</v>
      </c>
      <c r="E842" t="s">
        <v>34</v>
      </c>
    </row>
    <row r="843" spans="1:5" x14ac:dyDescent="0.25">
      <c r="A843" t="str">
        <f>HYPERLINK("https://www.773grp.com/globalSearch/TLV1504IPWR/page-1", "TLV1504IPWR")</f>
        <v>TLV1504IPWR</v>
      </c>
      <c r="B843" s="3" t="s">
        <v>90</v>
      </c>
      <c r="C843" s="5">
        <v>1600</v>
      </c>
      <c r="D843" s="6">
        <v>9.2899999999999991</v>
      </c>
      <c r="E843" t="s">
        <v>34</v>
      </c>
    </row>
    <row r="844" spans="1:5" x14ac:dyDescent="0.25">
      <c r="A844" t="str">
        <f>HYPERLINK("https://www.773grp.com/globalSearch/ADS7818PB/page-1", "ADS7818PB")</f>
        <v>ADS7818PB</v>
      </c>
      <c r="B844" s="3" t="s">
        <v>90</v>
      </c>
      <c r="C844" s="5">
        <v>15587</v>
      </c>
      <c r="D844" s="6">
        <v>9.41</v>
      </c>
      <c r="E844" t="s">
        <v>34</v>
      </c>
    </row>
    <row r="845" spans="1:5" x14ac:dyDescent="0.25">
      <c r="A845" t="str">
        <f>HYPERLINK("https://www.773grp.com/globalSearch/ADS7818PB/page-1", "ADS7818PB")</f>
        <v>ADS7818PB</v>
      </c>
      <c r="B845" s="3" t="s">
        <v>90</v>
      </c>
      <c r="C845" s="5">
        <v>964</v>
      </c>
      <c r="D845" s="6">
        <v>9.41</v>
      </c>
      <c r="E845" t="s">
        <v>34</v>
      </c>
    </row>
    <row r="846" spans="1:5" x14ac:dyDescent="0.25">
      <c r="A846" t="str">
        <f>HYPERLINK("https://www.773grp.com/globalSearch/ADS7834EB-250/page-1", "ADS7834EB-250")</f>
        <v>ADS7834EB-250</v>
      </c>
      <c r="B846" s="3" t="s">
        <v>90</v>
      </c>
      <c r="C846" s="5">
        <v>96</v>
      </c>
      <c r="D846" s="6">
        <v>9.41</v>
      </c>
      <c r="E846" t="s">
        <v>34</v>
      </c>
    </row>
    <row r="847" spans="1:5" x14ac:dyDescent="0.25">
      <c r="A847" t="str">
        <f>HYPERLINK("https://www.773grp.com/globalSearch/TLC1551INW/page-1", "TLC1551INW")</f>
        <v>TLC1551INW</v>
      </c>
      <c r="B847" s="3" t="s">
        <v>90</v>
      </c>
      <c r="C847" s="5">
        <v>358</v>
      </c>
      <c r="D847" s="6">
        <v>9.41</v>
      </c>
      <c r="E847" t="s">
        <v>34</v>
      </c>
    </row>
    <row r="848" spans="1:5" x14ac:dyDescent="0.25">
      <c r="A848" t="str">
        <f>HYPERLINK("https://www.773grp.com/globalSearch/TLV1548QDBREP/page-1", "TLV1548QDBREP")</f>
        <v>TLV1548QDBREP</v>
      </c>
      <c r="B848" s="3" t="s">
        <v>90</v>
      </c>
      <c r="C848" s="5">
        <v>3800</v>
      </c>
      <c r="D848" s="6">
        <v>9.41</v>
      </c>
      <c r="E848" t="s">
        <v>34</v>
      </c>
    </row>
    <row r="849" spans="1:5" x14ac:dyDescent="0.25">
      <c r="A849" t="str">
        <f>HYPERLINK("https://www.773grp.com/globalSearch/ADS1286U/page-1", "ADS1286U")</f>
        <v>ADS1286U</v>
      </c>
      <c r="B849" s="3" t="s">
        <v>90</v>
      </c>
      <c r="C849" s="5">
        <v>346</v>
      </c>
      <c r="D849" s="6">
        <v>9.4499999999999993</v>
      </c>
      <c r="E849" t="s">
        <v>34</v>
      </c>
    </row>
    <row r="850" spans="1:5" x14ac:dyDescent="0.25">
      <c r="A850" t="str">
        <f>HYPERLINK("https://www.773grp.com/globalSearch/ADS1286U/page-1", "ADS1286U")</f>
        <v>ADS1286U</v>
      </c>
      <c r="B850" s="3" t="s">
        <v>90</v>
      </c>
      <c r="C850" s="5">
        <v>563</v>
      </c>
      <c r="D850" s="6">
        <v>9.4499999999999993</v>
      </c>
      <c r="E850" t="s">
        <v>34</v>
      </c>
    </row>
    <row r="851" spans="1:5" x14ac:dyDescent="0.25">
      <c r="A851" t="str">
        <f>HYPERLINK("https://www.773grp.com/globalSearch/ADS1286UB/page-1", "ADS1286UB")</f>
        <v>ADS1286UB</v>
      </c>
      <c r="B851" s="3" t="s">
        <v>90</v>
      </c>
      <c r="C851" s="5">
        <v>148</v>
      </c>
      <c r="D851" s="6">
        <v>9.4499999999999993</v>
      </c>
      <c r="E851" t="s">
        <v>34</v>
      </c>
    </row>
    <row r="852" spans="1:5" x14ac:dyDescent="0.25">
      <c r="A852" t="str">
        <f>HYPERLINK("https://www.773grp.com/globalSearch/ADS1286UB/page-1", "ADS1286UB")</f>
        <v>ADS1286UB</v>
      </c>
      <c r="B852" s="3" t="s">
        <v>90</v>
      </c>
      <c r="C852" s="5">
        <v>5451</v>
      </c>
      <c r="D852" s="6">
        <v>9.4499999999999993</v>
      </c>
      <c r="E852" t="s">
        <v>34</v>
      </c>
    </row>
    <row r="853" spans="1:5" x14ac:dyDescent="0.25">
      <c r="A853" t="str">
        <f>HYPERLINK("https://www.773grp.com/globalSearch/ADS1225IRGVT/page-1", "ADS1225IRGVT")</f>
        <v>ADS1225IRGVT</v>
      </c>
      <c r="B853" s="3" t="s">
        <v>90</v>
      </c>
      <c r="C853" s="5">
        <v>500</v>
      </c>
      <c r="D853" s="6">
        <v>9.56</v>
      </c>
      <c r="E853" t="s">
        <v>34</v>
      </c>
    </row>
    <row r="854" spans="1:5" x14ac:dyDescent="0.25">
      <c r="A854" t="str">
        <f>HYPERLINK("https://www.773grp.com/globalSearch/ADS1286UK/page-1", "ADS1286UK")</f>
        <v>ADS1286UK</v>
      </c>
      <c r="B854" s="3" t="s">
        <v>90</v>
      </c>
      <c r="C854" s="5">
        <v>100</v>
      </c>
      <c r="D854" s="6">
        <v>9.56</v>
      </c>
      <c r="E854" t="s">
        <v>34</v>
      </c>
    </row>
    <row r="855" spans="1:5" x14ac:dyDescent="0.25">
      <c r="A855" t="str">
        <f>HYPERLINK("https://www.773grp.com/globalSearch/ADS1286UK/page-1", "ADS1286UK")</f>
        <v>ADS1286UK</v>
      </c>
      <c r="B855" s="3" t="s">
        <v>90</v>
      </c>
      <c r="C855" s="5">
        <v>47174</v>
      </c>
      <c r="D855" s="6">
        <v>9.56</v>
      </c>
      <c r="E855" t="s">
        <v>34</v>
      </c>
    </row>
    <row r="856" spans="1:5" x14ac:dyDescent="0.25">
      <c r="A856" t="str">
        <f>HYPERLINK("https://www.773grp.com/globalSearch/ADS1286UK-2K5/page-1", "ADS1286UK-2K5")</f>
        <v>ADS1286UK-2K5</v>
      </c>
      <c r="B856" s="3" t="s">
        <v>90</v>
      </c>
      <c r="C856" s="5">
        <v>140</v>
      </c>
      <c r="D856" s="6">
        <v>9.56</v>
      </c>
      <c r="E856" t="s">
        <v>34</v>
      </c>
    </row>
    <row r="857" spans="1:5" x14ac:dyDescent="0.25">
      <c r="A857" t="str">
        <f>HYPERLINK("https://www.773grp.com/globalSearch/ADS7841PB/page-1", "ADS7841PB")</f>
        <v>ADS7841PB</v>
      </c>
      <c r="B857" s="3" t="s">
        <v>90</v>
      </c>
      <c r="C857" s="5">
        <v>85</v>
      </c>
      <c r="D857" s="6">
        <v>9.56</v>
      </c>
      <c r="E857" t="s">
        <v>34</v>
      </c>
    </row>
    <row r="858" spans="1:5" x14ac:dyDescent="0.25">
      <c r="A858" t="str">
        <f>HYPERLINK("https://www.773grp.com/globalSearch/ADS7841PB/page-1", "ADS7841PB")</f>
        <v>ADS7841PB</v>
      </c>
      <c r="B858" s="3" t="s">
        <v>90</v>
      </c>
      <c r="C858" s="5">
        <v>6727</v>
      </c>
      <c r="D858" s="6">
        <v>9.56</v>
      </c>
      <c r="E858" t="s">
        <v>34</v>
      </c>
    </row>
    <row r="859" spans="1:5" x14ac:dyDescent="0.25">
      <c r="A859" t="str">
        <f>HYPERLINK("https://www.773grp.com/globalSearch/TLV2553IPWR/page-1", "TLV2553IPWR")</f>
        <v>TLV2553IPWR</v>
      </c>
      <c r="B859" s="3" t="s">
        <v>90</v>
      </c>
      <c r="C859" s="5">
        <v>10000</v>
      </c>
      <c r="D859" s="6">
        <v>9.56</v>
      </c>
      <c r="E859" t="s">
        <v>34</v>
      </c>
    </row>
    <row r="860" spans="1:5" x14ac:dyDescent="0.25">
      <c r="A860" t="str">
        <f>HYPERLINK("https://www.773grp.com/globalSearch/TLC5540INS/page-1", "TLC5540INS")</f>
        <v>TLC5540INS</v>
      </c>
      <c r="B860" s="3" t="s">
        <v>90</v>
      </c>
      <c r="C860" s="5">
        <v>1655</v>
      </c>
      <c r="D860" s="6">
        <v>9.59</v>
      </c>
      <c r="E860" t="s">
        <v>34</v>
      </c>
    </row>
    <row r="861" spans="1:5" x14ac:dyDescent="0.25">
      <c r="A861" t="str">
        <f>HYPERLINK("https://www.773grp.com/globalSearch/TLC5540IPW/page-1", "TLC5540IPW")</f>
        <v>TLC5540IPW</v>
      </c>
      <c r="B861" s="3" t="s">
        <v>90</v>
      </c>
      <c r="C861" s="5">
        <v>11225</v>
      </c>
      <c r="D861" s="6">
        <v>9.59</v>
      </c>
      <c r="E861" t="s">
        <v>34</v>
      </c>
    </row>
    <row r="862" spans="1:5" x14ac:dyDescent="0.25">
      <c r="A862" t="str">
        <f>HYPERLINK("https://www.773grp.com/globalSearch/ADS7823EB-2K5/page-1", "ADS7823EB-2K5")</f>
        <v>ADS7823EB-2K5</v>
      </c>
      <c r="B862" s="3" t="s">
        <v>90</v>
      </c>
      <c r="C862" s="5">
        <v>2493</v>
      </c>
      <c r="D862" s="6">
        <v>9.6999999999999993</v>
      </c>
      <c r="E862" t="s">
        <v>34</v>
      </c>
    </row>
    <row r="863" spans="1:5" x14ac:dyDescent="0.25">
      <c r="A863" t="str">
        <f>HYPERLINK("https://www.773grp.com/globalSearch/ADS7951SBRGET/page-1", "ADS7951SBRGET")</f>
        <v>ADS7951SBRGET</v>
      </c>
      <c r="B863" s="3" t="s">
        <v>90</v>
      </c>
      <c r="C863" s="5">
        <v>1500</v>
      </c>
      <c r="D863" s="6">
        <v>9.6999999999999993</v>
      </c>
      <c r="E863" t="s">
        <v>34</v>
      </c>
    </row>
    <row r="864" spans="1:5" x14ac:dyDescent="0.25">
      <c r="A864" t="str">
        <f>HYPERLINK("https://www.773grp.com/globalSearch/TLC1541IDWR/page-1", "TLC1541IDWR")</f>
        <v>TLC1541IDWR</v>
      </c>
      <c r="B864" s="3" t="s">
        <v>90</v>
      </c>
      <c r="C864" s="5">
        <v>10000</v>
      </c>
      <c r="D864" s="6">
        <v>9.6999999999999993</v>
      </c>
      <c r="E864" t="s">
        <v>34</v>
      </c>
    </row>
    <row r="865" spans="1:5" x14ac:dyDescent="0.25">
      <c r="A865" t="str">
        <f>HYPERLINK("https://www.773grp.com/globalSearch/TLC1541IFN/page-1", "TLC1541IFN")</f>
        <v>TLC1541IFN</v>
      </c>
      <c r="B865" s="3" t="s">
        <v>90</v>
      </c>
      <c r="C865" s="5">
        <v>3808</v>
      </c>
      <c r="D865" s="6">
        <v>9.6999999999999993</v>
      </c>
      <c r="E865" t="s">
        <v>34</v>
      </c>
    </row>
    <row r="866" spans="1:5" x14ac:dyDescent="0.25">
      <c r="A866" t="str">
        <f>HYPERLINK("https://www.773grp.com/globalSearch/ADS1224IPWR/page-1", "ADS1224IPWR")</f>
        <v>ADS1224IPWR</v>
      </c>
      <c r="B866" s="3" t="s">
        <v>90</v>
      </c>
      <c r="C866" s="5">
        <v>5948</v>
      </c>
      <c r="D866" s="6">
        <v>9.7899999999999991</v>
      </c>
      <c r="E866" t="s">
        <v>34</v>
      </c>
    </row>
    <row r="867" spans="1:5" x14ac:dyDescent="0.25">
      <c r="A867" t="str">
        <f>HYPERLINK("https://www.773grp.com/globalSearch/ADS1286P/page-1", "ADS1286P")</f>
        <v>ADS1286P</v>
      </c>
      <c r="B867" s="3" t="s">
        <v>90</v>
      </c>
      <c r="C867" s="5">
        <v>2917</v>
      </c>
      <c r="D867" s="6">
        <v>9.84</v>
      </c>
      <c r="E867" t="s">
        <v>34</v>
      </c>
    </row>
    <row r="868" spans="1:5" x14ac:dyDescent="0.25">
      <c r="A868" t="str">
        <f>HYPERLINK("https://www.773grp.com/globalSearch/ADS1286P/page-1", "ADS1286P")</f>
        <v>ADS1286P</v>
      </c>
      <c r="B868" s="3" t="s">
        <v>90</v>
      </c>
      <c r="C868" s="5">
        <v>20</v>
      </c>
      <c r="D868" s="6">
        <v>9.84</v>
      </c>
      <c r="E868" t="s">
        <v>34</v>
      </c>
    </row>
    <row r="869" spans="1:5" x14ac:dyDescent="0.25">
      <c r="A869" t="str">
        <f>HYPERLINK("https://www.773grp.com/globalSearch/ADS7844EB-2K5/page-1", "ADS7844EB-2K5")</f>
        <v>ADS7844EB-2K5</v>
      </c>
      <c r="B869" s="3" t="s">
        <v>90</v>
      </c>
      <c r="C869" s="5">
        <v>33144</v>
      </c>
      <c r="D869" s="6">
        <v>9.84</v>
      </c>
      <c r="E869" t="s">
        <v>34</v>
      </c>
    </row>
    <row r="870" spans="1:5" x14ac:dyDescent="0.25">
      <c r="A870" t="str">
        <f>HYPERLINK("https://www.773grp.com/globalSearch/ADS7956SRHBT/page-1", "ADS7956SRHBT")</f>
        <v>ADS7956SRHBT</v>
      </c>
      <c r="B870" s="3" t="s">
        <v>90</v>
      </c>
      <c r="C870" s="5">
        <v>1250</v>
      </c>
      <c r="D870" s="6">
        <v>9.84</v>
      </c>
      <c r="E870" t="s">
        <v>34</v>
      </c>
    </row>
    <row r="871" spans="1:5" x14ac:dyDescent="0.25">
      <c r="A871" t="str">
        <f>HYPERLINK("https://www.773grp.com/globalSearch/TLC1542CFN/page-1", "TLC1542CFN")</f>
        <v>TLC1542CFN</v>
      </c>
      <c r="B871" s="3" t="s">
        <v>90</v>
      </c>
      <c r="C871" s="5">
        <v>11800</v>
      </c>
      <c r="D871" s="6">
        <v>9.84</v>
      </c>
      <c r="E871" t="s">
        <v>34</v>
      </c>
    </row>
    <row r="872" spans="1:5" x14ac:dyDescent="0.25">
      <c r="A872" t="str">
        <f>HYPERLINK("https://www.773grp.com/globalSearch/ADS1230IPW/page-1", "ADS1230IPW")</f>
        <v>ADS1230IPW</v>
      </c>
      <c r="B872" s="3" t="s">
        <v>90</v>
      </c>
      <c r="C872" s="5">
        <v>2934</v>
      </c>
      <c r="D872" s="6">
        <v>9.9600000000000009</v>
      </c>
      <c r="E872" t="s">
        <v>34</v>
      </c>
    </row>
    <row r="873" spans="1:5" x14ac:dyDescent="0.25">
      <c r="A873" t="str">
        <f>HYPERLINK("https://www.773grp.com/globalSearch/TLV2556IDWR/page-1", "TLV2556IDWR")</f>
        <v>TLV2556IDWR</v>
      </c>
      <c r="B873" s="3" t="s">
        <v>90</v>
      </c>
      <c r="C873" s="5">
        <v>22000</v>
      </c>
      <c r="D873" s="6">
        <v>9.99</v>
      </c>
      <c r="E873" t="s">
        <v>34</v>
      </c>
    </row>
    <row r="874" spans="1:5" x14ac:dyDescent="0.25">
      <c r="A874" t="str">
        <f>HYPERLINK("https://www.773grp.com/globalSearch/ADS930E/page-1", "ADS930E")</f>
        <v>ADS930E</v>
      </c>
      <c r="B874" s="3" t="s">
        <v>90</v>
      </c>
      <c r="C874" s="5">
        <v>2021</v>
      </c>
      <c r="D874" s="6">
        <v>10.01</v>
      </c>
      <c r="E874" t="s">
        <v>34</v>
      </c>
    </row>
    <row r="875" spans="1:5" x14ac:dyDescent="0.25">
      <c r="A875" t="str">
        <f>HYPERLINK("https://www.773grp.com/globalSearch/ADS930E/page-1", "ADS930E")</f>
        <v>ADS930E</v>
      </c>
      <c r="B875" s="3" t="s">
        <v>90</v>
      </c>
      <c r="C875" s="5">
        <v>1050</v>
      </c>
      <c r="D875" s="6">
        <v>10.01</v>
      </c>
      <c r="E875" t="s">
        <v>34</v>
      </c>
    </row>
    <row r="876" spans="1:5" x14ac:dyDescent="0.25">
      <c r="A876" t="str">
        <f>HYPERLINK("https://www.773grp.com/globalSearch/ADS930E/page-1", "ADS930E")</f>
        <v>ADS930E</v>
      </c>
      <c r="B876" s="3" t="s">
        <v>90</v>
      </c>
      <c r="C876" s="5">
        <v>2258</v>
      </c>
      <c r="D876" s="6">
        <v>10.01</v>
      </c>
      <c r="E876" t="s">
        <v>34</v>
      </c>
    </row>
    <row r="877" spans="1:5" x14ac:dyDescent="0.25">
      <c r="A877" t="str">
        <f>HYPERLINK("https://www.773grp.com/globalSearch/ADS7951SDBT/page-1", "ADS7951SDBT")</f>
        <v>ADS7951SDBT</v>
      </c>
      <c r="B877" s="3" t="s">
        <v>90</v>
      </c>
      <c r="C877" s="5">
        <v>1218</v>
      </c>
      <c r="D877" s="6">
        <v>10.130000000000001</v>
      </c>
      <c r="E877" t="s">
        <v>34</v>
      </c>
    </row>
    <row r="878" spans="1:5" x14ac:dyDescent="0.25">
      <c r="A878" t="str">
        <f>HYPERLINK("https://www.773grp.com/globalSearch/TLV5535IPW/page-1", "TLV5535IPW")</f>
        <v>TLV5535IPW</v>
      </c>
      <c r="B878" s="3" t="s">
        <v>90</v>
      </c>
      <c r="C878" s="5">
        <v>9270</v>
      </c>
      <c r="D878" s="6">
        <v>10.130000000000001</v>
      </c>
      <c r="E878" t="s">
        <v>34</v>
      </c>
    </row>
    <row r="879" spans="1:5" x14ac:dyDescent="0.25">
      <c r="A879" t="str">
        <f>HYPERLINK("https://www.773grp.com/globalSearch/ADS1286UA/page-1", "ADS1286UA")</f>
        <v>ADS1286UA</v>
      </c>
      <c r="B879" s="3" t="s">
        <v>90</v>
      </c>
      <c r="C879" s="5">
        <v>1164</v>
      </c>
      <c r="D879" s="6">
        <v>10.24</v>
      </c>
      <c r="E879" t="s">
        <v>34</v>
      </c>
    </row>
    <row r="880" spans="1:5" x14ac:dyDescent="0.25">
      <c r="A880" t="str">
        <f>HYPERLINK("https://www.773grp.com/globalSearch/ADS1286UA/page-1", "ADS1286UA")</f>
        <v>ADS1286UA</v>
      </c>
      <c r="B880" s="3" t="s">
        <v>90</v>
      </c>
      <c r="C880" s="5">
        <v>18</v>
      </c>
      <c r="D880" s="6">
        <v>10.24</v>
      </c>
      <c r="E880" t="s">
        <v>34</v>
      </c>
    </row>
    <row r="881" spans="1:5" x14ac:dyDescent="0.25">
      <c r="A881" t="str">
        <f>HYPERLINK("https://www.773grp.com/globalSearch/ADS1222IPWT/page-1", "ADS1222IPWT")</f>
        <v>ADS1222IPWT</v>
      </c>
      <c r="B881" s="3" t="s">
        <v>90</v>
      </c>
      <c r="C881" s="5">
        <v>1670</v>
      </c>
      <c r="D881" s="6">
        <v>10.26</v>
      </c>
      <c r="E881" t="s">
        <v>34</v>
      </c>
    </row>
    <row r="882" spans="1:5" x14ac:dyDescent="0.25">
      <c r="A882" t="str">
        <f>HYPERLINK("https://www.773grp.com/globalSearch/ADS1226IRGVT/page-1", "ADS1226IRGVT")</f>
        <v>ADS1226IRGVT</v>
      </c>
      <c r="B882" s="3" t="s">
        <v>90</v>
      </c>
      <c r="C882" s="5">
        <v>41624</v>
      </c>
      <c r="D882" s="6">
        <v>10.26</v>
      </c>
      <c r="E882" t="s">
        <v>34</v>
      </c>
    </row>
    <row r="883" spans="1:5" x14ac:dyDescent="0.25">
      <c r="A883" t="str">
        <f>HYPERLINK("https://www.773grp.com/globalSearch/TLC1514ID/page-1", "TLC1514ID")</f>
        <v>TLC1514ID</v>
      </c>
      <c r="B883" s="3" t="s">
        <v>90</v>
      </c>
      <c r="C883" s="5">
        <v>7373</v>
      </c>
      <c r="D883" s="6">
        <v>10.26</v>
      </c>
      <c r="E883" t="s">
        <v>34</v>
      </c>
    </row>
    <row r="884" spans="1:5" x14ac:dyDescent="0.25">
      <c r="A884" t="str">
        <f>HYPERLINK("https://www.773grp.com/globalSearch/TLC1514IPW/page-1", "TLC1514IPW")</f>
        <v>TLC1514IPW</v>
      </c>
      <c r="B884" s="3" t="s">
        <v>90</v>
      </c>
      <c r="C884" s="5">
        <v>12429</v>
      </c>
      <c r="D884" s="6">
        <v>10.26</v>
      </c>
      <c r="E884" t="s">
        <v>34</v>
      </c>
    </row>
    <row r="885" spans="1:5" x14ac:dyDescent="0.25">
      <c r="A885" t="str">
        <f>HYPERLINK("https://www.773grp.com/globalSearch/ADS1112IDGST/page-1", "ADS1112IDGST")</f>
        <v>ADS1112IDGST</v>
      </c>
      <c r="B885" s="3" t="s">
        <v>90</v>
      </c>
      <c r="C885" s="5">
        <v>2000</v>
      </c>
      <c r="D885" s="6">
        <v>10.3</v>
      </c>
      <c r="E885" t="s">
        <v>34</v>
      </c>
    </row>
    <row r="886" spans="1:5" x14ac:dyDescent="0.25">
      <c r="A886" t="str">
        <f>HYPERLINK("https://www.773grp.com/globalSearch/ADS1112IDRCT/page-1", "ADS1112IDRCT")</f>
        <v>ADS1112IDRCT</v>
      </c>
      <c r="B886" s="3" t="s">
        <v>90</v>
      </c>
      <c r="C886" s="5">
        <v>2800</v>
      </c>
      <c r="D886" s="6">
        <v>10.3</v>
      </c>
      <c r="E886" t="s">
        <v>34</v>
      </c>
    </row>
    <row r="887" spans="1:5" x14ac:dyDescent="0.25">
      <c r="A887" t="str">
        <f>HYPERLINK("https://www.773grp.com/globalSearch/THS10082CDA/page-1", "THS10082CDA")</f>
        <v>THS10082CDA</v>
      </c>
      <c r="B887" s="3" t="s">
        <v>90</v>
      </c>
      <c r="C887" s="5">
        <v>12650</v>
      </c>
      <c r="D887" s="6">
        <v>10.41</v>
      </c>
      <c r="E887" t="s">
        <v>34</v>
      </c>
    </row>
    <row r="888" spans="1:5" x14ac:dyDescent="0.25">
      <c r="A888" t="str">
        <f>HYPERLINK("https://www.773grp.com/globalSearch/TLC1542IDWR/page-1", "TLC1542IDWR")</f>
        <v>TLC1542IDWR</v>
      </c>
      <c r="B888" s="3" t="s">
        <v>90</v>
      </c>
      <c r="C888" s="5">
        <v>2000</v>
      </c>
      <c r="D888" s="6">
        <v>10.41</v>
      </c>
      <c r="E888" t="s">
        <v>34</v>
      </c>
    </row>
    <row r="889" spans="1:5" x14ac:dyDescent="0.25">
      <c r="A889" t="str">
        <f>HYPERLINK("https://www.773grp.com/globalSearch/TLV1571CPW/page-1", "TLV1571CPW")</f>
        <v>TLV1571CPW</v>
      </c>
      <c r="B889" s="3" t="s">
        <v>90</v>
      </c>
      <c r="C889" s="5">
        <v>1526</v>
      </c>
      <c r="D889" s="6">
        <v>10.41</v>
      </c>
      <c r="E889" t="s">
        <v>34</v>
      </c>
    </row>
    <row r="890" spans="1:5" x14ac:dyDescent="0.25">
      <c r="A890" t="str">
        <f>HYPERLINK("https://www.773grp.com/globalSearch/ADS1286UC/page-1", "ADS1286UC")</f>
        <v>ADS1286UC</v>
      </c>
      <c r="B890" s="3" t="s">
        <v>90</v>
      </c>
      <c r="C890" s="5">
        <v>446</v>
      </c>
      <c r="D890" s="6">
        <v>10.55</v>
      </c>
      <c r="E890" t="s">
        <v>34</v>
      </c>
    </row>
    <row r="891" spans="1:5" x14ac:dyDescent="0.25">
      <c r="A891" t="str">
        <f>HYPERLINK("https://www.773grp.com/globalSearch/ADS1286UC/page-1", "ADS1286UC")</f>
        <v>ADS1286UC</v>
      </c>
      <c r="B891" s="3" t="s">
        <v>90</v>
      </c>
      <c r="C891" s="5">
        <v>5414</v>
      </c>
      <c r="D891" s="6">
        <v>10.55</v>
      </c>
      <c r="E891" t="s">
        <v>34</v>
      </c>
    </row>
    <row r="892" spans="1:5" x14ac:dyDescent="0.25">
      <c r="A892" t="str">
        <f>HYPERLINK("https://www.773grp.com/globalSearch/ADS1286UC/page-1", "ADS1286UC")</f>
        <v>ADS1286UC</v>
      </c>
      <c r="B892" s="3" t="s">
        <v>90</v>
      </c>
      <c r="C892" s="5">
        <v>10980</v>
      </c>
      <c r="D892" s="6">
        <v>10.55</v>
      </c>
      <c r="E892" t="s">
        <v>34</v>
      </c>
    </row>
    <row r="893" spans="1:5" x14ac:dyDescent="0.25">
      <c r="A893" t="str">
        <f>HYPERLINK("https://www.773grp.com/globalSearch/ADS1286UCG4/page-1", "ADS1286UCG4")</f>
        <v>ADS1286UCG4</v>
      </c>
      <c r="B893" s="3" t="s">
        <v>90</v>
      </c>
      <c r="C893" s="5">
        <v>1</v>
      </c>
      <c r="D893" s="6">
        <v>10.55</v>
      </c>
      <c r="E893" t="s">
        <v>34</v>
      </c>
    </row>
    <row r="894" spans="1:5" x14ac:dyDescent="0.25">
      <c r="A894" t="str">
        <f>HYPERLINK("https://www.773grp.com/globalSearch/ADS1286UL-2K5/page-1", "ADS1286UL-2K5")</f>
        <v>ADS1286UL-2K5</v>
      </c>
      <c r="B894" s="3" t="s">
        <v>90</v>
      </c>
      <c r="C894" s="5">
        <v>12185</v>
      </c>
      <c r="D894" s="6">
        <v>10.55</v>
      </c>
      <c r="E894" t="s">
        <v>34</v>
      </c>
    </row>
    <row r="895" spans="1:5" x14ac:dyDescent="0.25">
      <c r="A895" t="str">
        <f>HYPERLINK("https://www.773grp.com/globalSearch/TLC1541CN/page-1", "TLC1541CN")</f>
        <v>TLC1541CN</v>
      </c>
      <c r="B895" s="3" t="s">
        <v>90</v>
      </c>
      <c r="C895" s="5">
        <v>9482</v>
      </c>
      <c r="D895" s="6">
        <v>10.55</v>
      </c>
      <c r="E895" t="s">
        <v>34</v>
      </c>
    </row>
    <row r="896" spans="1:5" x14ac:dyDescent="0.25">
      <c r="A896" t="str">
        <f>HYPERLINK("https://www.773grp.com/globalSearch/ADS1286PA/page-1", "ADS1286PA")</f>
        <v>ADS1286PA</v>
      </c>
      <c r="B896" s="3" t="s">
        <v>90</v>
      </c>
      <c r="C896" s="5">
        <v>197</v>
      </c>
      <c r="D896" s="6">
        <v>10.64</v>
      </c>
      <c r="E896" t="s">
        <v>34</v>
      </c>
    </row>
    <row r="897" spans="1:5" x14ac:dyDescent="0.25">
      <c r="A897" t="str">
        <f>HYPERLINK("https://www.773grp.com/globalSearch/ADS1208IPW/page-1", "ADS1208IPW")</f>
        <v>ADS1208IPW</v>
      </c>
      <c r="B897" s="3" t="s">
        <v>90</v>
      </c>
      <c r="C897" s="5">
        <v>6401</v>
      </c>
      <c r="D897" s="6">
        <v>10.69</v>
      </c>
      <c r="E897" t="s">
        <v>34</v>
      </c>
    </row>
    <row r="898" spans="1:5" x14ac:dyDescent="0.25">
      <c r="A898" t="str">
        <f>HYPERLINK("https://www.773grp.com/globalSearch/TLV1570CDWR/page-1", "TLV1570CDWR")</f>
        <v>TLV1570CDWR</v>
      </c>
      <c r="B898" s="3" t="s">
        <v>90</v>
      </c>
      <c r="C898" s="5">
        <v>2000</v>
      </c>
      <c r="D898" s="6">
        <v>10.69</v>
      </c>
      <c r="E898" t="s">
        <v>34</v>
      </c>
    </row>
    <row r="899" spans="1:5" x14ac:dyDescent="0.25">
      <c r="A899" t="str">
        <f>HYPERLINK("https://www.773grp.com/globalSearch/TLV1570CPWR/page-1", "TLV1570CPWR")</f>
        <v>TLV1570CPWR</v>
      </c>
      <c r="B899" s="3" t="s">
        <v>90</v>
      </c>
      <c r="C899" s="5">
        <v>2000</v>
      </c>
      <c r="D899" s="6">
        <v>10.69</v>
      </c>
      <c r="E899" t="s">
        <v>34</v>
      </c>
    </row>
    <row r="900" spans="1:5" x14ac:dyDescent="0.25">
      <c r="A900" t="str">
        <f>HYPERLINK("https://www.773grp.com/globalSearch/PCM1800E/page-1", "PCM1800E")</f>
        <v>PCM1800E</v>
      </c>
      <c r="B900" s="3" t="s">
        <v>90</v>
      </c>
      <c r="C900" s="5">
        <v>238</v>
      </c>
      <c r="D900" s="6">
        <v>10.84</v>
      </c>
      <c r="E900" t="s">
        <v>34</v>
      </c>
    </row>
    <row r="901" spans="1:5" x14ac:dyDescent="0.25">
      <c r="A901" t="str">
        <f>HYPERLINK("https://www.773grp.com/globalSearch/PCM1800E/page-1", "PCM1800E")</f>
        <v>PCM1800E</v>
      </c>
      <c r="B901" s="3" t="s">
        <v>90</v>
      </c>
      <c r="C901" s="5">
        <v>4233</v>
      </c>
      <c r="D901" s="6">
        <v>10.84</v>
      </c>
      <c r="E901" t="s">
        <v>34</v>
      </c>
    </row>
    <row r="902" spans="1:5" x14ac:dyDescent="0.25">
      <c r="A902" t="str">
        <f>HYPERLINK("https://www.773grp.com/globalSearch/PCM1800EG4/page-1", "PCM1800EG4")</f>
        <v>PCM1800EG4</v>
      </c>
      <c r="B902" s="3" t="s">
        <v>90</v>
      </c>
      <c r="C902" s="5">
        <v>290</v>
      </c>
      <c r="D902" s="6">
        <v>10.84</v>
      </c>
      <c r="E902" t="s">
        <v>34</v>
      </c>
    </row>
    <row r="903" spans="1:5" x14ac:dyDescent="0.25">
      <c r="A903" t="str">
        <f>HYPERLINK("https://www.773grp.com/globalSearch/TLV1578CDAR/page-1", "TLV1578CDAR")</f>
        <v>TLV1578CDAR</v>
      </c>
      <c r="B903" s="3" t="s">
        <v>90</v>
      </c>
      <c r="C903" s="5">
        <v>2000</v>
      </c>
      <c r="D903" s="6">
        <v>10.84</v>
      </c>
      <c r="E903" t="s">
        <v>34</v>
      </c>
    </row>
    <row r="904" spans="1:5" x14ac:dyDescent="0.25">
      <c r="A904" t="str">
        <f>HYPERLINK("https://www.773grp.com/globalSearch/TLV2541CDGKR/page-1", "TLV2541CDGKR")</f>
        <v>TLV2541CDGKR</v>
      </c>
      <c r="B904" s="3" t="s">
        <v>90</v>
      </c>
      <c r="C904" s="5">
        <v>1889</v>
      </c>
      <c r="D904" s="6">
        <v>10.84</v>
      </c>
      <c r="E904" t="s">
        <v>34</v>
      </c>
    </row>
    <row r="905" spans="1:5" x14ac:dyDescent="0.25">
      <c r="A905" t="str">
        <f>HYPERLINK("https://www.773grp.com/globalSearch/TLV2545CDGK/page-1", "TLV2545CDGK")</f>
        <v>TLV2545CDGK</v>
      </c>
      <c r="B905" s="3" t="s">
        <v>90</v>
      </c>
      <c r="C905" s="5">
        <v>40488</v>
      </c>
      <c r="D905" s="6">
        <v>10.84</v>
      </c>
      <c r="E905" t="s">
        <v>34</v>
      </c>
    </row>
    <row r="906" spans="1:5" x14ac:dyDescent="0.25">
      <c r="A906" t="str">
        <f>HYPERLINK("https://www.773grp.com/globalSearch/ADS1232IPWR/page-1", "ADS1232IPWR")</f>
        <v>ADS1232IPWR</v>
      </c>
      <c r="B906" s="3" t="s">
        <v>90</v>
      </c>
      <c r="C906" s="5">
        <v>12000</v>
      </c>
      <c r="D906" s="6">
        <v>10.98</v>
      </c>
      <c r="E906" t="s">
        <v>34</v>
      </c>
    </row>
    <row r="907" spans="1:5" x14ac:dyDescent="0.25">
      <c r="A907" t="str">
        <f>HYPERLINK("https://www.773grp.com/globalSearch/ADS7951SBDBT/page-1", "ADS7951SBDBT")</f>
        <v>ADS7951SBDBT</v>
      </c>
      <c r="B907" s="3" t="s">
        <v>90</v>
      </c>
      <c r="C907" s="5">
        <v>772</v>
      </c>
      <c r="D907" s="6">
        <v>10.98</v>
      </c>
      <c r="E907" t="s">
        <v>34</v>
      </c>
    </row>
    <row r="908" spans="1:5" x14ac:dyDescent="0.25">
      <c r="A908" t="str">
        <f>HYPERLINK("https://www.773grp.com/globalSearch/ADS7952SRHBT/page-1", "ADS7952SRHBT")</f>
        <v>ADS7952SRHBT</v>
      </c>
      <c r="B908" s="3" t="s">
        <v>90</v>
      </c>
      <c r="C908" s="5">
        <v>500</v>
      </c>
      <c r="D908" s="6">
        <v>10.98</v>
      </c>
      <c r="E908" t="s">
        <v>34</v>
      </c>
    </row>
    <row r="909" spans="1:5" x14ac:dyDescent="0.25">
      <c r="A909" t="str">
        <f>HYPERLINK("https://www.773grp.com/globalSearch/TLC1541CDW/page-1", "TLC1541CDW")</f>
        <v>TLC1541CDW</v>
      </c>
      <c r="B909" s="3" t="s">
        <v>90</v>
      </c>
      <c r="C909" s="5">
        <v>21571</v>
      </c>
      <c r="D909" s="6">
        <v>10.98</v>
      </c>
      <c r="E909" t="s">
        <v>34</v>
      </c>
    </row>
    <row r="910" spans="1:5" x14ac:dyDescent="0.25">
      <c r="A910" t="str">
        <f>HYPERLINK("https://www.773grp.com/globalSearch/TLC1542QFN/page-1", "TLC1542QFN")</f>
        <v>TLC1542QFN</v>
      </c>
      <c r="B910" s="3" t="s">
        <v>90</v>
      </c>
      <c r="C910" s="5">
        <v>12926</v>
      </c>
      <c r="D910" s="6">
        <v>10.98</v>
      </c>
      <c r="E910" t="s">
        <v>34</v>
      </c>
    </row>
    <row r="911" spans="1:5" x14ac:dyDescent="0.25">
      <c r="A911" t="str">
        <f>HYPERLINK("https://www.773grp.com/globalSearch/ADS830E/page-1", "ADS830E")</f>
        <v>ADS830E</v>
      </c>
      <c r="B911" s="3" t="s">
        <v>90</v>
      </c>
      <c r="C911" s="5">
        <v>7004</v>
      </c>
      <c r="D911" s="6">
        <v>11.05</v>
      </c>
      <c r="E911" t="s">
        <v>34</v>
      </c>
    </row>
    <row r="912" spans="1:5" x14ac:dyDescent="0.25">
      <c r="A912" t="str">
        <f>HYPERLINK("https://www.773grp.com/globalSearch/ADS830E/page-1", "ADS830E")</f>
        <v>ADS830E</v>
      </c>
      <c r="B912" s="3" t="s">
        <v>90</v>
      </c>
      <c r="C912" s="5">
        <v>476</v>
      </c>
      <c r="D912" s="6">
        <v>11.05</v>
      </c>
      <c r="E912" t="s">
        <v>34</v>
      </c>
    </row>
    <row r="913" spans="1:5" x14ac:dyDescent="0.25">
      <c r="A913" t="str">
        <f>HYPERLINK("https://www.773grp.com/globalSearch/ADS7842E/page-1", "ADS7842E")</f>
        <v>ADS7842E</v>
      </c>
      <c r="B913" s="3" t="s">
        <v>90</v>
      </c>
      <c r="C913" s="5">
        <v>50073</v>
      </c>
      <c r="D913" s="6">
        <v>11.1</v>
      </c>
      <c r="E913" t="s">
        <v>34</v>
      </c>
    </row>
    <row r="914" spans="1:5" x14ac:dyDescent="0.25">
      <c r="A914" t="str">
        <f>HYPERLINK("https://www.773grp.com/globalSearch/ADS7852Y-250/page-1", "ADS7852Y-250")</f>
        <v>ADS7852Y-250</v>
      </c>
      <c r="B914" s="3" t="s">
        <v>90</v>
      </c>
      <c r="C914" s="5">
        <v>3000</v>
      </c>
      <c r="D914" s="6">
        <v>11.1</v>
      </c>
      <c r="E914" t="s">
        <v>34</v>
      </c>
    </row>
    <row r="915" spans="1:5" x14ac:dyDescent="0.25">
      <c r="A915" t="str">
        <f>HYPERLINK("https://www.773grp.com/globalSearch/TLV1508IDWR/page-1", "TLV1508IDWR")</f>
        <v>TLV1508IDWR</v>
      </c>
      <c r="B915" s="3" t="s">
        <v>90</v>
      </c>
      <c r="C915" s="5">
        <v>2000</v>
      </c>
      <c r="D915" s="6">
        <v>11.1</v>
      </c>
      <c r="E915" t="s">
        <v>34</v>
      </c>
    </row>
    <row r="916" spans="1:5" x14ac:dyDescent="0.25">
      <c r="A916" t="str">
        <f>HYPERLINK("https://www.773grp.com/globalSearch/ADC0820CCN/page-1", "ADC0820CCN")</f>
        <v>ADC0820CCN</v>
      </c>
      <c r="B916" s="3" t="s">
        <v>90</v>
      </c>
      <c r="C916" s="5">
        <v>10402</v>
      </c>
      <c r="D916" s="6">
        <v>11.25</v>
      </c>
      <c r="E916" t="s">
        <v>34</v>
      </c>
    </row>
    <row r="917" spans="1:5" x14ac:dyDescent="0.25">
      <c r="A917" t="str">
        <f>HYPERLINK("https://www.773grp.com/globalSearch/ADS1224IPWT/page-1", "ADS1224IPWT")</f>
        <v>ADS1224IPWT</v>
      </c>
      <c r="B917" s="3" t="s">
        <v>90</v>
      </c>
      <c r="C917" s="5">
        <v>2405</v>
      </c>
      <c r="D917" s="6">
        <v>11.25</v>
      </c>
      <c r="E917" t="s">
        <v>34</v>
      </c>
    </row>
    <row r="918" spans="1:5" x14ac:dyDescent="0.25">
      <c r="A918" t="str">
        <f>HYPERLINK("https://www.773grp.com/globalSearch/ADS7956SDBT/page-1", "ADS7956SDBT")</f>
        <v>ADS7956SDBT</v>
      </c>
      <c r="B918" s="3" t="s">
        <v>90</v>
      </c>
      <c r="C918" s="5">
        <v>5100</v>
      </c>
      <c r="D918" s="6">
        <v>11.25</v>
      </c>
      <c r="E918" t="s">
        <v>34</v>
      </c>
    </row>
    <row r="919" spans="1:5" x14ac:dyDescent="0.25">
      <c r="A919" t="str">
        <f>HYPERLINK("https://www.773grp.com/globalSearch/TLC1541IN/page-1", "TLC1541IN")</f>
        <v>TLC1541IN</v>
      </c>
      <c r="B919" s="3" t="s">
        <v>90</v>
      </c>
      <c r="C919" s="5">
        <v>12679</v>
      </c>
      <c r="D919" s="6">
        <v>11.25</v>
      </c>
      <c r="E919" t="s">
        <v>34</v>
      </c>
    </row>
    <row r="920" spans="1:5" x14ac:dyDescent="0.25">
      <c r="A920" t="str">
        <f>HYPERLINK("https://www.773grp.com/globalSearch/TLV1504IPW/page-1", "TLV1504IPW")</f>
        <v>TLV1504IPW</v>
      </c>
      <c r="B920" s="3" t="s">
        <v>90</v>
      </c>
      <c r="C920" s="5">
        <v>4547</v>
      </c>
      <c r="D920" s="6">
        <v>11.25</v>
      </c>
      <c r="E920" t="s">
        <v>34</v>
      </c>
    </row>
    <row r="921" spans="1:5" x14ac:dyDescent="0.25">
      <c r="A921" t="str">
        <f>HYPERLINK("https://www.773grp.com/globalSearch/TLC1542CN/page-1", "TLC1542CN")</f>
        <v>TLC1542CN</v>
      </c>
      <c r="B921" s="3" t="s">
        <v>90</v>
      </c>
      <c r="C921" s="5">
        <v>34908</v>
      </c>
      <c r="D921" s="6">
        <v>11.34</v>
      </c>
      <c r="E921" t="s">
        <v>34</v>
      </c>
    </row>
    <row r="922" spans="1:5" x14ac:dyDescent="0.25">
      <c r="A922" t="str">
        <f>HYPERLINK("https://www.773grp.com/globalSearch/ADS7861E-2K5/page-1", "ADS7861E-2K5")</f>
        <v>ADS7861E-2K5</v>
      </c>
      <c r="B922" s="3" t="s">
        <v>90</v>
      </c>
      <c r="C922" s="5">
        <v>668748</v>
      </c>
      <c r="D922" s="6">
        <v>11.39</v>
      </c>
      <c r="E922" t="s">
        <v>34</v>
      </c>
    </row>
    <row r="923" spans="1:5" x14ac:dyDescent="0.25">
      <c r="A923" t="str">
        <f>HYPERLINK("https://www.773grp.com/globalSearch/TLV1570IDW/page-1", "TLV1570IDW")</f>
        <v>TLV1570IDW</v>
      </c>
      <c r="B923" s="3" t="s">
        <v>90</v>
      </c>
      <c r="C923" s="5">
        <v>7963</v>
      </c>
      <c r="D923" s="6">
        <v>11.39</v>
      </c>
      <c r="E923" t="s">
        <v>34</v>
      </c>
    </row>
    <row r="924" spans="1:5" x14ac:dyDescent="0.25">
      <c r="A924" t="str">
        <f>HYPERLINK("https://www.773grp.com/globalSearch/TLV1572CD/page-1", "TLV1572CD")</f>
        <v>TLV1572CD</v>
      </c>
      <c r="B924" s="3" t="s">
        <v>90</v>
      </c>
      <c r="C924" s="5">
        <v>2816</v>
      </c>
      <c r="D924" s="6">
        <v>11.39</v>
      </c>
      <c r="E924" t="s">
        <v>34</v>
      </c>
    </row>
    <row r="925" spans="1:5" x14ac:dyDescent="0.25">
      <c r="A925" t="str">
        <f>HYPERLINK("https://www.773grp.com/globalSearch/ADS1286PK/page-1", "ADS1286PK")</f>
        <v>ADS1286PK</v>
      </c>
      <c r="B925" s="3" t="s">
        <v>90</v>
      </c>
      <c r="C925" s="5">
        <v>2862</v>
      </c>
      <c r="D925" s="6">
        <v>11.43</v>
      </c>
      <c r="E925" t="s">
        <v>34</v>
      </c>
    </row>
    <row r="926" spans="1:5" x14ac:dyDescent="0.25">
      <c r="A926" t="str">
        <f>HYPERLINK("https://www.773grp.com/globalSearch/ADS1286PB/page-1", "ADS1286PB")</f>
        <v>ADS1286PB</v>
      </c>
      <c r="B926" s="3" t="s">
        <v>90</v>
      </c>
      <c r="C926" s="5">
        <v>20</v>
      </c>
      <c r="D926" s="6">
        <v>11.53</v>
      </c>
      <c r="E926" t="s">
        <v>34</v>
      </c>
    </row>
    <row r="927" spans="1:5" x14ac:dyDescent="0.25">
      <c r="A927" t="str">
        <f>HYPERLINK("https://www.773grp.com/globalSearch/ADS7957SRHBT/page-1", "ADS7957SRHBT")</f>
        <v>ADS7957SRHBT</v>
      </c>
      <c r="B927" s="3" t="s">
        <v>90</v>
      </c>
      <c r="C927" s="5">
        <v>7420</v>
      </c>
      <c r="D927" s="6">
        <v>11.53</v>
      </c>
      <c r="E927" t="s">
        <v>34</v>
      </c>
    </row>
    <row r="928" spans="1:5" x14ac:dyDescent="0.25">
      <c r="A928" t="str">
        <f>HYPERLINK("https://www.773grp.com/globalSearch/THS1031CDWR/page-1", "THS1031CDWR")</f>
        <v>THS1031CDWR</v>
      </c>
      <c r="B928" s="3" t="s">
        <v>90</v>
      </c>
      <c r="C928" s="5">
        <v>41710</v>
      </c>
      <c r="D928" s="6">
        <v>11.53</v>
      </c>
      <c r="E928" t="s">
        <v>34</v>
      </c>
    </row>
    <row r="929" spans="1:5" x14ac:dyDescent="0.25">
      <c r="A929" t="str">
        <f>HYPERLINK("https://www.773grp.com/globalSearch/TLV1578IDA/page-1", "TLV1578IDA")</f>
        <v>TLV1578IDA</v>
      </c>
      <c r="B929" s="3" t="s">
        <v>90</v>
      </c>
      <c r="C929" s="5">
        <v>1940</v>
      </c>
      <c r="D929" s="6">
        <v>11.53</v>
      </c>
      <c r="E929" t="s">
        <v>34</v>
      </c>
    </row>
    <row r="930" spans="1:5" x14ac:dyDescent="0.25">
      <c r="A930" t="str">
        <f>HYPERLINK("https://www.773grp.com/globalSearch/TLV1578IDAR/page-1", "TLV1578IDAR")</f>
        <v>TLV1578IDAR</v>
      </c>
      <c r="B930" s="3" t="s">
        <v>90</v>
      </c>
      <c r="C930" s="5">
        <v>14710</v>
      </c>
      <c r="D930" s="6">
        <v>11.53</v>
      </c>
      <c r="E930" t="s">
        <v>34</v>
      </c>
    </row>
    <row r="931" spans="1:5" x14ac:dyDescent="0.25">
      <c r="A931" t="str">
        <f>HYPERLINK("https://www.773grp.com/globalSearch/TLV2545ID/page-1", "TLV2545ID")</f>
        <v>TLV2545ID</v>
      </c>
      <c r="B931" s="3" t="s">
        <v>90</v>
      </c>
      <c r="C931" s="5">
        <v>15575</v>
      </c>
      <c r="D931" s="6">
        <v>11.53</v>
      </c>
      <c r="E931" t="s">
        <v>34</v>
      </c>
    </row>
    <row r="932" spans="1:5" x14ac:dyDescent="0.25">
      <c r="A932" t="str">
        <f>HYPERLINK("https://www.773grp.com/globalSearch/TLV2545IDGK/page-1", "TLV2545IDGK")</f>
        <v>TLV2545IDGK</v>
      </c>
      <c r="B932" s="3" t="s">
        <v>90</v>
      </c>
      <c r="C932" s="5">
        <v>57</v>
      </c>
      <c r="D932" s="6">
        <v>11.53</v>
      </c>
      <c r="E932" t="s">
        <v>34</v>
      </c>
    </row>
    <row r="933" spans="1:5" x14ac:dyDescent="0.25">
      <c r="A933" t="str">
        <f>HYPERLINK("https://www.773grp.com/globalSearch/TLV2553IDW/page-1", "TLV2553IDW")</f>
        <v>TLV2553IDW</v>
      </c>
      <c r="B933" s="3" t="s">
        <v>90</v>
      </c>
      <c r="C933" s="5">
        <v>125</v>
      </c>
      <c r="D933" s="6">
        <v>11.53</v>
      </c>
      <c r="E933" t="s">
        <v>34</v>
      </c>
    </row>
    <row r="934" spans="1:5" x14ac:dyDescent="0.25">
      <c r="A934" t="str">
        <f>HYPERLINK("https://www.773grp.com/globalSearch/TLV2553IPW/page-1", "TLV2553IPW")</f>
        <v>TLV2553IPW</v>
      </c>
      <c r="B934" s="3" t="s">
        <v>90</v>
      </c>
      <c r="C934" s="5">
        <v>611</v>
      </c>
      <c r="D934" s="6">
        <v>11.53</v>
      </c>
      <c r="E934" t="s">
        <v>34</v>
      </c>
    </row>
    <row r="935" spans="1:5" x14ac:dyDescent="0.25">
      <c r="A935" t="str">
        <f>HYPERLINK("https://www.773grp.com/globalSearch/TLV2553IPWG4/page-1", "TLV2553IPWG4")</f>
        <v>TLV2553IPWG4</v>
      </c>
      <c r="B935" s="3" t="s">
        <v>90</v>
      </c>
      <c r="C935" s="5">
        <v>490</v>
      </c>
      <c r="D935" s="6">
        <v>11.53</v>
      </c>
      <c r="E935" t="s">
        <v>34</v>
      </c>
    </row>
    <row r="936" spans="1:5" x14ac:dyDescent="0.25">
      <c r="A936" t="str">
        <f>HYPERLINK("https://www.773grp.com/globalSearch/ADS7828E-250/page-1", "ADS7828E-250")</f>
        <v>ADS7828E-250</v>
      </c>
      <c r="B936" s="3" t="s">
        <v>90</v>
      </c>
      <c r="C936" s="5">
        <v>861</v>
      </c>
      <c r="D936" s="6">
        <v>11.59</v>
      </c>
      <c r="E936" t="s">
        <v>34</v>
      </c>
    </row>
    <row r="937" spans="1:5" x14ac:dyDescent="0.25">
      <c r="A937" t="str">
        <f>HYPERLINK("https://www.773grp.com/globalSearch/ADS7817P/page-1", "ADS7817P")</f>
        <v>ADS7817P</v>
      </c>
      <c r="B937" s="3" t="s">
        <v>90</v>
      </c>
      <c r="C937" s="5">
        <v>10979</v>
      </c>
      <c r="D937" s="6">
        <v>11.68</v>
      </c>
      <c r="E937" t="s">
        <v>34</v>
      </c>
    </row>
    <row r="938" spans="1:5" x14ac:dyDescent="0.25">
      <c r="A938" t="str">
        <f>HYPERLINK("https://www.773grp.com/globalSearch/ADS7870EA-1K/page-1", "ADS7870EA-1K")</f>
        <v>ADS7870EA-1K</v>
      </c>
      <c r="B938" s="3" t="s">
        <v>90</v>
      </c>
      <c r="C938" s="5">
        <v>2000</v>
      </c>
      <c r="D938" s="6">
        <v>11.68</v>
      </c>
      <c r="E938" t="s">
        <v>34</v>
      </c>
    </row>
    <row r="939" spans="1:5" x14ac:dyDescent="0.25">
      <c r="A939" t="str">
        <f>HYPERLINK("https://www.773grp.com/globalSearch/ADS8324E-2K5/page-1", "ADS8324E-2K5")</f>
        <v>ADS8324E-2K5</v>
      </c>
      <c r="B939" s="3" t="s">
        <v>90</v>
      </c>
      <c r="C939" s="5">
        <v>140675</v>
      </c>
      <c r="D939" s="6">
        <v>11.68</v>
      </c>
      <c r="E939" t="s">
        <v>34</v>
      </c>
    </row>
    <row r="940" spans="1:5" x14ac:dyDescent="0.25">
      <c r="A940" t="str">
        <f>HYPERLINK("https://www.773grp.com/globalSearch/AMC1204DW/page-1", "AMC1204DW")</f>
        <v>AMC1204DW</v>
      </c>
      <c r="B940" s="3" t="s">
        <v>90</v>
      </c>
      <c r="C940" s="5">
        <v>440</v>
      </c>
      <c r="D940" s="6">
        <v>11.68</v>
      </c>
      <c r="E940" t="s">
        <v>34</v>
      </c>
    </row>
    <row r="941" spans="1:5" x14ac:dyDescent="0.25">
      <c r="A941" t="str">
        <f>HYPERLINK("https://www.773grp.com/globalSearch/TLC1541IDW/page-1", "TLC1541IDW")</f>
        <v>TLC1541IDW</v>
      </c>
      <c r="B941" s="3" t="s">
        <v>90</v>
      </c>
      <c r="C941" s="5">
        <v>1111</v>
      </c>
      <c r="D941" s="6">
        <v>11.68</v>
      </c>
      <c r="E941" t="s">
        <v>34</v>
      </c>
    </row>
    <row r="942" spans="1:5" x14ac:dyDescent="0.25">
      <c r="A942" t="str">
        <f>HYPERLINK("https://www.773grp.com/globalSearch/TLV1562CDW/page-1", "TLV1562CDW")</f>
        <v>TLV1562CDW</v>
      </c>
      <c r="B942" s="3" t="s">
        <v>90</v>
      </c>
      <c r="C942" s="5">
        <v>1470</v>
      </c>
      <c r="D942" s="6">
        <v>11.68</v>
      </c>
      <c r="E942" t="s">
        <v>34</v>
      </c>
    </row>
    <row r="943" spans="1:5" x14ac:dyDescent="0.25">
      <c r="A943" t="str">
        <f>HYPERLINK("https://www.773grp.com/globalSearch/TLV1562CDWR/page-1", "TLV1562CDWR")</f>
        <v>TLV1562CDWR</v>
      </c>
      <c r="B943" s="3" t="s">
        <v>90</v>
      </c>
      <c r="C943" s="5">
        <v>2000</v>
      </c>
      <c r="D943" s="6">
        <v>11.68</v>
      </c>
      <c r="E943" t="s">
        <v>34</v>
      </c>
    </row>
    <row r="944" spans="1:5" x14ac:dyDescent="0.25">
      <c r="A944" t="str">
        <f>HYPERLINK("https://www.773grp.com/globalSearch/TLC1551IFN/page-1", "TLC1551IFN")</f>
        <v>TLC1551IFN</v>
      </c>
      <c r="B944" s="3" t="s">
        <v>90</v>
      </c>
      <c r="C944" s="5">
        <v>11105</v>
      </c>
      <c r="D944" s="6">
        <v>11.81</v>
      </c>
      <c r="E944" t="s">
        <v>34</v>
      </c>
    </row>
    <row r="945" spans="1:5" x14ac:dyDescent="0.25">
      <c r="A945" t="str">
        <f>HYPERLINK("https://www.773grp.com/globalSearch/ADS7828EB-2K5/page-1", "ADS7828EB-2K5")</f>
        <v>ADS7828EB-2K5</v>
      </c>
      <c r="B945" s="3" t="s">
        <v>90</v>
      </c>
      <c r="C945" s="5">
        <v>30000</v>
      </c>
      <c r="D945" s="6">
        <v>12.1</v>
      </c>
      <c r="E945" t="s">
        <v>34</v>
      </c>
    </row>
    <row r="946" spans="1:5" x14ac:dyDescent="0.25">
      <c r="A946" t="str">
        <f>HYPERLINK("https://www.773grp.com/globalSearch/ADS7952SBRHBT/page-1", "ADS7952SBRHBT")</f>
        <v>ADS7952SBRHBT</v>
      </c>
      <c r="B946" s="3" t="s">
        <v>90</v>
      </c>
      <c r="C946" s="5">
        <v>1204</v>
      </c>
      <c r="D946" s="6">
        <v>12.1</v>
      </c>
      <c r="E946" t="s">
        <v>34</v>
      </c>
    </row>
    <row r="947" spans="1:5" x14ac:dyDescent="0.25">
      <c r="A947" t="str">
        <f>HYPERLINK("https://www.773grp.com/globalSearch/TLC1518IDW/page-1", "TLC1518IDW")</f>
        <v>TLC1518IDW</v>
      </c>
      <c r="B947" s="3" t="s">
        <v>90</v>
      </c>
      <c r="C947" s="5">
        <v>7236</v>
      </c>
      <c r="D947" s="6">
        <v>12.1</v>
      </c>
      <c r="E947" t="s">
        <v>34</v>
      </c>
    </row>
    <row r="948" spans="1:5" x14ac:dyDescent="0.25">
      <c r="A948" t="str">
        <f>HYPERLINK("https://www.773grp.com/globalSearch/TLC1518IPW/page-1", "TLC1518IPW")</f>
        <v>TLC1518IPW</v>
      </c>
      <c r="B948" s="3" t="s">
        <v>90</v>
      </c>
      <c r="C948" s="5">
        <v>12042</v>
      </c>
      <c r="D948" s="6">
        <v>12.1</v>
      </c>
      <c r="E948" t="s">
        <v>34</v>
      </c>
    </row>
    <row r="949" spans="1:5" x14ac:dyDescent="0.25">
      <c r="A949" t="str">
        <f>HYPERLINK("https://www.773grp.com/globalSearch/TLV1572ID/page-1", "TLV1572ID")</f>
        <v>TLV1572ID</v>
      </c>
      <c r="B949" s="3" t="s">
        <v>90</v>
      </c>
      <c r="C949" s="5">
        <v>27</v>
      </c>
      <c r="D949" s="6">
        <v>12.1</v>
      </c>
      <c r="E949" t="s">
        <v>34</v>
      </c>
    </row>
    <row r="950" spans="1:5" x14ac:dyDescent="0.25">
      <c r="A950" t="str">
        <f>HYPERLINK("https://www.773grp.com/globalSearch/TLV2556IDW/page-1", "TLV2556IDW")</f>
        <v>TLV2556IDW</v>
      </c>
      <c r="B950" s="3" t="s">
        <v>90</v>
      </c>
      <c r="C950" s="5">
        <v>125</v>
      </c>
      <c r="D950" s="6">
        <v>12.1</v>
      </c>
      <c r="E950" t="s">
        <v>34</v>
      </c>
    </row>
    <row r="951" spans="1:5" x14ac:dyDescent="0.25">
      <c r="A951" t="str">
        <f>HYPERLINK("https://www.773grp.com/globalSearch/ADS1286UL/page-1", "ADS1286UL")</f>
        <v>ADS1286UL</v>
      </c>
      <c r="B951" s="3" t="s">
        <v>90</v>
      </c>
      <c r="C951" s="5">
        <v>2948</v>
      </c>
      <c r="D951" s="6">
        <v>12.11</v>
      </c>
      <c r="E951" t="s">
        <v>34</v>
      </c>
    </row>
    <row r="952" spans="1:5" x14ac:dyDescent="0.25">
      <c r="A952" t="str">
        <f>HYPERLINK("https://www.773grp.com/globalSearch/ADS1286UL/page-1", "ADS1286UL")</f>
        <v>ADS1286UL</v>
      </c>
      <c r="B952" s="3" t="s">
        <v>90</v>
      </c>
      <c r="C952" s="5">
        <v>11677</v>
      </c>
      <c r="D952" s="6">
        <v>12.11</v>
      </c>
      <c r="E952" t="s">
        <v>34</v>
      </c>
    </row>
    <row r="953" spans="1:5" x14ac:dyDescent="0.25">
      <c r="A953" t="str">
        <f>HYPERLINK("https://www.773grp.com/globalSearch/ADS1242IPWT/page-1", "ADS1242IPWT")</f>
        <v>ADS1242IPWT</v>
      </c>
      <c r="B953" s="3" t="str">
        <f>HYPERLINK("https://www.773grp.com/manufacturer/texas-instruments?pageNo=16", "Texas Instruments")</f>
        <v>Texas Instruments</v>
      </c>
      <c r="C953" s="5">
        <v>493</v>
      </c>
      <c r="D953" s="6">
        <v>12.15</v>
      </c>
      <c r="E953" t="s">
        <v>34</v>
      </c>
    </row>
    <row r="954" spans="1:5" x14ac:dyDescent="0.25">
      <c r="A954" t="str">
        <f>HYPERLINK("https://www.773grp.com/globalSearch/TLC1542IDW/page-1", "TLC1542IDW")</f>
        <v>TLC1542IDW</v>
      </c>
      <c r="B954" s="3" t="str">
        <f>HYPERLINK("https://www.773grp.com/manufacturer/texas-instruments?pageNo=148", "Texas Instruments")</f>
        <v>Texas Instruments</v>
      </c>
      <c r="C954" s="5">
        <v>207</v>
      </c>
      <c r="D954" s="6">
        <v>12.38</v>
      </c>
      <c r="E954" t="s">
        <v>34</v>
      </c>
    </row>
    <row r="955" spans="1:5" x14ac:dyDescent="0.25">
      <c r="A955" t="str">
        <f>HYPERLINK("https://www.773grp.com/globalSearch/ADS1244IDGST/page-1", "ADS1244IDGST")</f>
        <v>ADS1244IDGST</v>
      </c>
      <c r="B955" s="3" t="str">
        <f>HYPERLINK("https://www.773grp.com/manufacturer/texas-instruments?pageNo=192", "Texas Instruments")</f>
        <v>Texas Instruments</v>
      </c>
      <c r="C955" s="5">
        <v>7516</v>
      </c>
      <c r="D955" s="6">
        <v>12.49</v>
      </c>
      <c r="E955" t="s">
        <v>34</v>
      </c>
    </row>
    <row r="956" spans="1:5" x14ac:dyDescent="0.25">
      <c r="A956" t="str">
        <f>HYPERLINK("https://www.773grp.com/globalSearch/ADS1286PC/page-1", "ADS1286PC")</f>
        <v>ADS1286PC</v>
      </c>
      <c r="B956" s="3" t="str">
        <f>HYPERLINK("https://www.773grp.com/manufacturer/texas-instruments?pageNo=202", "Texas Instruments")</f>
        <v>Texas Instruments</v>
      </c>
      <c r="C956" s="5">
        <v>1110</v>
      </c>
      <c r="D956" s="6">
        <v>12.53</v>
      </c>
      <c r="E956" t="s">
        <v>34</v>
      </c>
    </row>
    <row r="957" spans="1:5" x14ac:dyDescent="0.25">
      <c r="A957" t="str">
        <f>HYPERLINK("https://www.773grp.com/globalSearch/ADS1286PL/page-1", "ADS1286PL")</f>
        <v>ADS1286PL</v>
      </c>
      <c r="B957" s="3" t="str">
        <f>HYPERLINK("https://www.773grp.com/manufacturer/texas-instruments?pageNo=203", "Texas Instruments")</f>
        <v>Texas Instruments</v>
      </c>
      <c r="C957" s="5">
        <v>31</v>
      </c>
      <c r="D957" s="6">
        <v>12.53</v>
      </c>
      <c r="E957" t="s">
        <v>34</v>
      </c>
    </row>
    <row r="958" spans="1:5" x14ac:dyDescent="0.25">
      <c r="A958" t="str">
        <f>HYPERLINK("https://www.773grp.com/globalSearch/ADS1286PL/page-1", "ADS1286PL")</f>
        <v>ADS1286PL</v>
      </c>
      <c r="B958" s="3" t="str">
        <f>HYPERLINK("https://www.773grp.com/manufacturer/texas-instruments?pageNo=204", "Texas Instruments")</f>
        <v>Texas Instruments</v>
      </c>
      <c r="C958" s="5">
        <v>24308</v>
      </c>
      <c r="D958" s="6">
        <v>12.53</v>
      </c>
      <c r="E958" t="s">
        <v>34</v>
      </c>
    </row>
    <row r="959" spans="1:5" x14ac:dyDescent="0.25">
      <c r="A959" t="str">
        <f>HYPERLINK("https://www.773grp.com/globalSearch/ADS7953SDBTR/page-1", "ADS7953SDBTR")</f>
        <v>ADS7953SDBTR</v>
      </c>
      <c r="B959" s="3" t="str">
        <f>HYPERLINK("https://www.773grp.com/manufacturer/texas-instruments?pageNo=205", "Texas Instruments")</f>
        <v>Texas Instruments</v>
      </c>
      <c r="C959" s="5">
        <v>119770</v>
      </c>
      <c r="D959" s="6">
        <v>12.53</v>
      </c>
      <c r="E959" t="s">
        <v>34</v>
      </c>
    </row>
    <row r="960" spans="1:5" x14ac:dyDescent="0.25">
      <c r="A960" t="str">
        <f>HYPERLINK("https://www.773grp.com/globalSearch/TLC2543CDWR/page-1", "TLC2543CDWR")</f>
        <v>TLC2543CDWR</v>
      </c>
      <c r="B960" s="3" t="str">
        <f>HYPERLINK("https://www.773grp.com/manufacturer/texas-instruments?pageNo=226", "Texas Instruments")</f>
        <v>Texas Instruments</v>
      </c>
      <c r="C960" s="5">
        <v>5900</v>
      </c>
      <c r="D960" s="6">
        <v>12.53</v>
      </c>
      <c r="E960" t="s">
        <v>34</v>
      </c>
    </row>
    <row r="961" spans="1:5" x14ac:dyDescent="0.25">
      <c r="A961" t="str">
        <f>HYPERLINK("https://www.773grp.com/globalSearch/TLC2543CFN/page-1", "TLC2543CFN")</f>
        <v>TLC2543CFN</v>
      </c>
      <c r="B961" s="3" t="str">
        <f>HYPERLINK("https://www.773grp.com/manufacturer/texas-instruments?pageNo=227", "Texas Instruments")</f>
        <v>Texas Instruments</v>
      </c>
      <c r="C961" s="5">
        <v>33855</v>
      </c>
      <c r="D961" s="6">
        <v>12.53</v>
      </c>
      <c r="E961" t="s">
        <v>34</v>
      </c>
    </row>
    <row r="962" spans="1:5" x14ac:dyDescent="0.25">
      <c r="A962" t="str">
        <f>HYPERLINK("https://www.773grp.com/globalSearch/TLC2543CFNR/page-1", "TLC2543CFNR")</f>
        <v>TLC2543CFNR</v>
      </c>
      <c r="B962" s="3" t="str">
        <f>HYPERLINK("https://www.773grp.com/manufacturer/texas-instruments?pageNo=228", "Texas Instruments")</f>
        <v>Texas Instruments</v>
      </c>
      <c r="C962" s="5">
        <v>19590</v>
      </c>
      <c r="D962" s="6">
        <v>12.53</v>
      </c>
      <c r="E962" t="s">
        <v>34</v>
      </c>
    </row>
    <row r="963" spans="1:5" x14ac:dyDescent="0.25">
      <c r="A963" t="str">
        <f>HYPERLINK("https://www.773grp.com/globalSearch/TLV1562IDW/page-1", "TLV1562IDW")</f>
        <v>TLV1562IDW</v>
      </c>
      <c r="B963" s="3" t="str">
        <f>HYPERLINK("https://www.773grp.com/manufacturer/texas-instruments?pageNo=229", "Texas Instruments")</f>
        <v>Texas Instruments</v>
      </c>
      <c r="C963" s="5">
        <v>10680</v>
      </c>
      <c r="D963" s="6">
        <v>12.53</v>
      </c>
      <c r="E963" t="s">
        <v>34</v>
      </c>
    </row>
    <row r="964" spans="1:5" x14ac:dyDescent="0.25">
      <c r="A964" t="str">
        <f>HYPERLINK("https://www.773grp.com/globalSearch/TLV1562IDWR/page-1", "TLV1562IDWR")</f>
        <v>TLV1562IDWR</v>
      </c>
      <c r="B964" s="3" t="str">
        <f>HYPERLINK("https://www.773grp.com/manufacturer/texas-instruments?pageNo=230", "Texas Instruments")</f>
        <v>Texas Instruments</v>
      </c>
      <c r="C964" s="5">
        <v>3000</v>
      </c>
      <c r="D964" s="6">
        <v>12.53</v>
      </c>
      <c r="E964" t="s">
        <v>34</v>
      </c>
    </row>
    <row r="965" spans="1:5" x14ac:dyDescent="0.25">
      <c r="A965" t="str">
        <f>HYPERLINK("https://www.773grp.com/globalSearch/TLV1562IPW/page-1", "TLV1562IPW")</f>
        <v>TLV1562IPW</v>
      </c>
      <c r="B965" s="3" t="str">
        <f>HYPERLINK("https://www.773grp.com/manufacturer/texas-instruments?pageNo=231", "Texas Instruments")</f>
        <v>Texas Instruments</v>
      </c>
      <c r="C965" s="5">
        <v>150</v>
      </c>
      <c r="D965" s="6">
        <v>12.53</v>
      </c>
      <c r="E965" t="s">
        <v>34</v>
      </c>
    </row>
    <row r="966" spans="1:5" x14ac:dyDescent="0.25">
      <c r="A966" t="str">
        <f>HYPERLINK("https://www.773grp.com/globalSearch/THS1031CPWR/page-1", "THS1031CPWR")</f>
        <v>THS1031CPWR</v>
      </c>
      <c r="B966" s="3" t="str">
        <f>HYPERLINK("https://www.773grp.com/manufacturer/texas-instruments?pageNo=329", "Texas Instruments")</f>
        <v>Texas Instruments</v>
      </c>
      <c r="C966" s="5">
        <v>3588</v>
      </c>
      <c r="D966" s="6">
        <v>12.69</v>
      </c>
      <c r="E966" t="s">
        <v>34</v>
      </c>
    </row>
    <row r="967" spans="1:5" x14ac:dyDescent="0.25">
      <c r="A967" t="str">
        <f>HYPERLINK("https://www.773grp.com/globalSearch/ADS7223SRHBT/page-1", "ADS7223SRHBT")</f>
        <v>ADS7223SRHBT</v>
      </c>
      <c r="B967" s="3" t="str">
        <f>HYPERLINK("https://www.773grp.com/manufacturer/texas-instruments?pageNo=365", "Texas Instruments")</f>
        <v>Texas Instruments</v>
      </c>
      <c r="C967" s="5">
        <v>380</v>
      </c>
      <c r="D967" s="6">
        <v>12.79</v>
      </c>
      <c r="E967" t="s">
        <v>34</v>
      </c>
    </row>
    <row r="968" spans="1:5" x14ac:dyDescent="0.25">
      <c r="A968" t="str">
        <f>HYPERLINK("https://www.773grp.com/globalSearch/ADS7852YB-250/page-1", "ADS7852YB-250")</f>
        <v>ADS7852YB-250</v>
      </c>
      <c r="B968" s="3" t="str">
        <f>HYPERLINK("https://www.773grp.com/manufacturer/texas-instruments?pageNo=430", "Texas Instruments")</f>
        <v>Texas Instruments</v>
      </c>
      <c r="C968" s="5">
        <v>3540</v>
      </c>
      <c r="D968" s="6">
        <v>12.94</v>
      </c>
      <c r="E968" t="s">
        <v>34</v>
      </c>
    </row>
    <row r="969" spans="1:5" x14ac:dyDescent="0.25">
      <c r="A969" t="str">
        <f>HYPERLINK("https://www.773grp.com/globalSearch/THS1007CDA/page-1", "THS1007CDA")</f>
        <v>THS1007CDA</v>
      </c>
      <c r="B969" s="3" t="str">
        <f>HYPERLINK("https://www.773grp.com/manufacturer/texas-instruments?pageNo=450", "Texas Instruments")</f>
        <v>Texas Instruments</v>
      </c>
      <c r="C969" s="5">
        <v>9325</v>
      </c>
      <c r="D969" s="6">
        <v>12.94</v>
      </c>
      <c r="E969" t="s">
        <v>34</v>
      </c>
    </row>
    <row r="970" spans="1:5" x14ac:dyDescent="0.25">
      <c r="A970" t="str">
        <f>HYPERLINK("https://www.773grp.com/globalSearch/TLV1570CDW/page-1", "TLV1570CDW")</f>
        <v>TLV1570CDW</v>
      </c>
      <c r="B970" s="3" t="str">
        <f>HYPERLINK("https://www.773grp.com/manufacturer/texas-instruments?pageNo=451", "Texas Instruments")</f>
        <v>Texas Instruments</v>
      </c>
      <c r="C970" s="5">
        <v>452</v>
      </c>
      <c r="D970" s="6">
        <v>12.94</v>
      </c>
      <c r="E970" t="s">
        <v>34</v>
      </c>
    </row>
    <row r="971" spans="1:5" x14ac:dyDescent="0.25">
      <c r="A971" t="str">
        <f>HYPERLINK("https://www.773grp.com/globalSearch/TLV1571CDW/page-1", "TLV1571CDW")</f>
        <v>TLV1571CDW</v>
      </c>
      <c r="B971" s="3" t="str">
        <f>HYPERLINK("https://www.773grp.com/manufacturer/texas-instruments?pageNo=453", "Texas Instruments")</f>
        <v>Texas Instruments</v>
      </c>
      <c r="C971" s="5">
        <v>13926</v>
      </c>
      <c r="D971" s="6">
        <v>12.94</v>
      </c>
      <c r="E971" t="s">
        <v>34</v>
      </c>
    </row>
    <row r="972" spans="1:5" x14ac:dyDescent="0.25">
      <c r="A972" t="str">
        <f>HYPERLINK("https://www.773grp.com/globalSearch/ADS7817PB/page-1", "ADS7817PB")</f>
        <v>ADS7817PB</v>
      </c>
      <c r="B972" s="3" t="str">
        <f>HYPERLINK("https://www.773grp.com/manufacturer/texas-instruments?pageNo=499", "Texas Instruments")</f>
        <v>Texas Instruments</v>
      </c>
      <c r="C972" s="5">
        <v>3481</v>
      </c>
      <c r="D972" s="6">
        <v>13.05</v>
      </c>
      <c r="E972" t="s">
        <v>34</v>
      </c>
    </row>
    <row r="973" spans="1:5" x14ac:dyDescent="0.25">
      <c r="A973" t="str">
        <f>HYPERLINK("https://www.773grp.com/globalSearch/ADS7842EB/page-1", "ADS7842EB")</f>
        <v>ADS7842EB</v>
      </c>
      <c r="B973" s="3" t="str">
        <f>HYPERLINK("https://www.773grp.com/manufacturer/texas-instruments?pageNo=511", "Texas Instruments")</f>
        <v>Texas Instruments</v>
      </c>
      <c r="C973" s="5">
        <v>14</v>
      </c>
      <c r="D973" s="6">
        <v>13.08</v>
      </c>
      <c r="E973" t="s">
        <v>34</v>
      </c>
    </row>
    <row r="974" spans="1:5" x14ac:dyDescent="0.25">
      <c r="A974" t="str">
        <f>HYPERLINK("https://www.773grp.com/globalSearch/TLV1578CDA/page-1", "TLV1578CDA")</f>
        <v>TLV1578CDA</v>
      </c>
      <c r="B974" s="3" t="str">
        <f>HYPERLINK("https://www.773grp.com/manufacturer/texas-instruments?pageNo=532", "Texas Instruments")</f>
        <v>Texas Instruments</v>
      </c>
      <c r="C974" s="5">
        <v>1028</v>
      </c>
      <c r="D974" s="6">
        <v>13.08</v>
      </c>
      <c r="E974" t="s">
        <v>34</v>
      </c>
    </row>
    <row r="975" spans="1:5" x14ac:dyDescent="0.25">
      <c r="A975" t="str">
        <f>HYPERLINK("https://www.773grp.com/globalSearch/TLV2541CDGK/page-1", "TLV2541CDGK")</f>
        <v>TLV2541CDGK</v>
      </c>
      <c r="B975" s="3" t="str">
        <f>HYPERLINK("https://www.773grp.com/manufacturer/texas-instruments?pageNo=533", "Texas Instruments")</f>
        <v>Texas Instruments</v>
      </c>
      <c r="C975" s="5">
        <v>519</v>
      </c>
      <c r="D975" s="6">
        <v>13.08</v>
      </c>
      <c r="E975" t="s">
        <v>34</v>
      </c>
    </row>
    <row r="976" spans="1:5" x14ac:dyDescent="0.25">
      <c r="A976" t="str">
        <f>HYPERLINK("https://www.773grp.com/globalSearch/ADS1245IDGST/page-1", "ADS1245IDGST")</f>
        <v>ADS1245IDGST</v>
      </c>
      <c r="B976" s="3" t="str">
        <f>HYPERLINK("https://www.773grp.com/manufacturer/texas-instruments?pageNo=553", "Texas Instruments")</f>
        <v>Texas Instruments</v>
      </c>
      <c r="C976" s="5">
        <v>15020</v>
      </c>
      <c r="D976" s="6">
        <v>13.16</v>
      </c>
      <c r="E976" t="s">
        <v>34</v>
      </c>
    </row>
    <row r="977" spans="1:5" x14ac:dyDescent="0.25">
      <c r="A977" t="str">
        <f>HYPERLINK("https://www.773grp.com/globalSearch/ADS7861IRHBT/page-1", "ADS7861IRHBT")</f>
        <v>ADS7861IRHBT</v>
      </c>
      <c r="B977" s="3" t="str">
        <f>HYPERLINK("https://www.773grp.com/manufacturer/texas-instruments?pageNo=560", "Texas Instruments")</f>
        <v>Texas Instruments</v>
      </c>
      <c r="C977" s="5">
        <v>2354</v>
      </c>
      <c r="D977" s="6">
        <v>13.21</v>
      </c>
      <c r="E977" t="s">
        <v>34</v>
      </c>
    </row>
    <row r="978" spans="1:5" x14ac:dyDescent="0.25">
      <c r="A978" t="str">
        <f>HYPERLINK("https://www.773grp.com/globalSearch/ADS7957SDBT/page-1", "ADS7957SDBT")</f>
        <v>ADS7957SDBT</v>
      </c>
      <c r="B978" s="3" t="str">
        <f>HYPERLINK("https://www.773grp.com/manufacturer/texas-instruments?pageNo=562", "Texas Instruments")</f>
        <v>Texas Instruments</v>
      </c>
      <c r="C978" s="5">
        <v>65</v>
      </c>
      <c r="D978" s="6">
        <v>13.21</v>
      </c>
      <c r="E978" t="s">
        <v>34</v>
      </c>
    </row>
    <row r="979" spans="1:5" x14ac:dyDescent="0.25">
      <c r="A979" t="str">
        <f>HYPERLINK("https://www.773grp.com/globalSearch/THS1009IDA/page-1", "THS1009IDA")</f>
        <v>THS1009IDA</v>
      </c>
      <c r="B979" s="3" t="str">
        <f>HYPERLINK("https://www.773grp.com/manufacturer/texas-instruments?pageNo=574", "Texas Instruments")</f>
        <v>Texas Instruments</v>
      </c>
      <c r="C979" s="5">
        <v>21387</v>
      </c>
      <c r="D979" s="6">
        <v>13.21</v>
      </c>
      <c r="E979" t="s">
        <v>34</v>
      </c>
    </row>
    <row r="980" spans="1:5" x14ac:dyDescent="0.25">
      <c r="A980" t="str">
        <f>HYPERLINK("https://www.773grp.com/globalSearch/PCM4202DB/page-1", "PCM4202DB")</f>
        <v>PCM4202DB</v>
      </c>
      <c r="B980" s="3" t="str">
        <f>HYPERLINK("https://www.773grp.com/manufacturer/texas-instruments?pageNo=625", "Texas Instruments")</f>
        <v>Texas Instruments</v>
      </c>
      <c r="C980" s="5">
        <v>18</v>
      </c>
      <c r="D980" s="6">
        <v>13.3</v>
      </c>
      <c r="E980" t="s">
        <v>34</v>
      </c>
    </row>
    <row r="981" spans="1:5" x14ac:dyDescent="0.25">
      <c r="A981" t="str">
        <f>HYPERLINK("https://www.773grp.com/globalSearch/ADS1243IPWT/page-1", "ADS1243IPWT")</f>
        <v>ADS1243IPWT</v>
      </c>
      <c r="B981" s="3" t="str">
        <f>HYPERLINK("https://www.773grp.com/manufacturer/texas-instruments?pageNo=643", "Texas Instruments")</f>
        <v>Texas Instruments</v>
      </c>
      <c r="C981" s="5">
        <v>4708</v>
      </c>
      <c r="D981" s="6">
        <v>13.34</v>
      </c>
      <c r="E981" t="s">
        <v>34</v>
      </c>
    </row>
    <row r="982" spans="1:5" x14ac:dyDescent="0.25">
      <c r="A982" t="str">
        <f>HYPERLINK("https://www.773grp.com/globalSearch/ADS1240E/page-1", "ADS1240E")</f>
        <v>ADS1240E</v>
      </c>
      <c r="B982" s="3" t="str">
        <f>HYPERLINK("https://www.773grp.com/manufacturer/texas-instruments?pageNo=654", "Texas Instruments")</f>
        <v>Texas Instruments</v>
      </c>
      <c r="C982" s="5">
        <v>60</v>
      </c>
      <c r="D982" s="6">
        <v>13.36</v>
      </c>
      <c r="E982" t="s">
        <v>34</v>
      </c>
    </row>
    <row r="983" spans="1:5" x14ac:dyDescent="0.25">
      <c r="A983" t="str">
        <f>HYPERLINK("https://www.773grp.com/globalSearch/TLC2543IDWR/page-1", "TLC2543IDWR")</f>
        <v>TLC2543IDWR</v>
      </c>
      <c r="B983" s="3" t="str">
        <f>HYPERLINK("https://www.773grp.com/manufacturer/texas-instruments?pageNo=670", "Texas Instruments")</f>
        <v>Texas Instruments</v>
      </c>
      <c r="C983" s="5">
        <v>4002</v>
      </c>
      <c r="D983" s="6">
        <v>13.36</v>
      </c>
      <c r="E983" t="s">
        <v>34</v>
      </c>
    </row>
    <row r="984" spans="1:5" x14ac:dyDescent="0.25">
      <c r="A984" t="str">
        <f>HYPERLINK("https://www.773grp.com/globalSearch/TLV1508IDW/page-1", "TLV1508IDW")</f>
        <v>TLV1508IDW</v>
      </c>
      <c r="B984" s="3" t="str">
        <f>HYPERLINK("https://www.773grp.com/manufacturer/texas-instruments?pageNo=671", "Texas Instruments")</f>
        <v>Texas Instruments</v>
      </c>
      <c r="C984" s="5">
        <v>2919</v>
      </c>
      <c r="D984" s="6">
        <v>13.36</v>
      </c>
      <c r="E984" t="s">
        <v>34</v>
      </c>
    </row>
    <row r="985" spans="1:5" x14ac:dyDescent="0.25">
      <c r="A985" t="str">
        <f>HYPERLINK("https://www.773grp.com/globalSearch/TLV1508IDWG4/page-1", "TLV1508IDWG4")</f>
        <v>TLV1508IDWG4</v>
      </c>
      <c r="B985" s="3" t="str">
        <f>HYPERLINK("https://www.773grp.com/manufacturer/texas-instruments?pageNo=672", "Texas Instruments")</f>
        <v>Texas Instruments</v>
      </c>
      <c r="C985" s="5">
        <v>1</v>
      </c>
      <c r="D985" s="6">
        <v>13.36</v>
      </c>
      <c r="E985" t="s">
        <v>34</v>
      </c>
    </row>
    <row r="986" spans="1:5" x14ac:dyDescent="0.25">
      <c r="A986" t="str">
        <f>HYPERLINK("https://www.773grp.com/globalSearch/TLV1508IPW/page-1", "TLV1508IPW")</f>
        <v>TLV1508IPW</v>
      </c>
      <c r="B986" s="3" t="str">
        <f>HYPERLINK("https://www.773grp.com/manufacturer/texas-instruments?pageNo=673", "Texas Instruments")</f>
        <v>Texas Instruments</v>
      </c>
      <c r="C986" s="5">
        <v>94</v>
      </c>
      <c r="D986" s="6">
        <v>13.36</v>
      </c>
      <c r="E986" t="s">
        <v>34</v>
      </c>
    </row>
    <row r="987" spans="1:5" x14ac:dyDescent="0.25">
      <c r="A987" t="str">
        <f>HYPERLINK("https://www.773grp.com/globalSearch/ADS7279IRSAT/page-1", "ADS7279IRSAT")</f>
        <v>ADS7279IRSAT</v>
      </c>
      <c r="B987" s="3" t="str">
        <f>HYPERLINK("https://www.773grp.com/manufacturer/texas-instruments?pageNo=804", "Texas Instruments")</f>
        <v>Texas Instruments</v>
      </c>
      <c r="C987" s="5">
        <v>500</v>
      </c>
      <c r="D987" s="6">
        <v>13.64</v>
      </c>
      <c r="E987" t="s">
        <v>34</v>
      </c>
    </row>
    <row r="988" spans="1:5" x14ac:dyDescent="0.25">
      <c r="A988" t="str">
        <f>HYPERLINK("https://www.773grp.com/globalSearch/ADS7952SBDBT/page-1", "ADS7952SBDBT")</f>
        <v>ADS7952SBDBT</v>
      </c>
      <c r="B988" s="3" t="str">
        <f>HYPERLINK("https://www.773grp.com/manufacturer/texas-instruments?pageNo=805", "Texas Instruments")</f>
        <v>Texas Instruments</v>
      </c>
      <c r="C988" s="5">
        <v>637</v>
      </c>
      <c r="D988" s="6">
        <v>13.64</v>
      </c>
      <c r="E988" t="s">
        <v>34</v>
      </c>
    </row>
    <row r="989" spans="1:5" x14ac:dyDescent="0.25">
      <c r="A989" t="str">
        <f>HYPERLINK("https://www.773grp.com/globalSearch/TLV2548CDWR/page-1", "TLV2548CDWR")</f>
        <v>TLV2548CDWR</v>
      </c>
      <c r="B989" s="3" t="str">
        <f>HYPERLINK("https://www.773grp.com/manufacturer/texas-instruments?pageNo=822", "Texas Instruments")</f>
        <v>Texas Instruments</v>
      </c>
      <c r="C989" s="5">
        <v>1349</v>
      </c>
      <c r="D989" s="6">
        <v>13.64</v>
      </c>
      <c r="E989" t="s">
        <v>34</v>
      </c>
    </row>
    <row r="990" spans="1:5" x14ac:dyDescent="0.25">
      <c r="A990" t="str">
        <f>HYPERLINK("https://www.773grp.com/globalSearch/TLV2548CPWR/page-1", "TLV2548CPWR")</f>
        <v>TLV2548CPWR</v>
      </c>
      <c r="B990" s="3" t="str">
        <f>HYPERLINK("https://www.773grp.com/manufacturer/texas-instruments?pageNo=823", "Texas Instruments")</f>
        <v>Texas Instruments</v>
      </c>
      <c r="C990" s="5">
        <v>3900</v>
      </c>
      <c r="D990" s="6">
        <v>13.64</v>
      </c>
      <c r="E990" t="s">
        <v>34</v>
      </c>
    </row>
    <row r="991" spans="1:5" x14ac:dyDescent="0.25">
      <c r="A991" t="str">
        <f>HYPERLINK("https://www.773grp.com/globalSearch/ADS1234IPW/page-1", "ADS1234IPW")</f>
        <v>ADS1234IPW</v>
      </c>
      <c r="B991" s="3" t="str">
        <f>HYPERLINK("https://www.773grp.com/manufacturer/texas-instruments?pageNo=876", "Texas Instruments")</f>
        <v>Texas Instruments</v>
      </c>
      <c r="C991" s="5">
        <v>392</v>
      </c>
      <c r="D991" s="6">
        <v>13.79</v>
      </c>
      <c r="E991" t="s">
        <v>34</v>
      </c>
    </row>
    <row r="992" spans="1:5" x14ac:dyDescent="0.25">
      <c r="A992" t="str">
        <f>HYPERLINK("https://www.773grp.com/globalSearch/ADS7861E/page-1", "ADS7861E")</f>
        <v>ADS7861E</v>
      </c>
      <c r="B992" s="3" t="str">
        <f>HYPERLINK("https://www.773grp.com/manufacturer/texas-instruments?pageNo=878", "Texas Instruments")</f>
        <v>Texas Instruments</v>
      </c>
      <c r="C992" s="5">
        <v>11573</v>
      </c>
      <c r="D992" s="6">
        <v>13.79</v>
      </c>
      <c r="E992" t="s">
        <v>34</v>
      </c>
    </row>
    <row r="993" spans="1:5" x14ac:dyDescent="0.25">
      <c r="A993" t="str">
        <f>HYPERLINK("https://www.773grp.com/globalSearch/ADS7861EB-2K5/page-1", "ADS7861EB-2K5")</f>
        <v>ADS7861EB-2K5</v>
      </c>
      <c r="B993" s="3" t="str">
        <f>HYPERLINK("https://www.773grp.com/manufacturer/texas-instruments?pageNo=879", "Texas Instruments")</f>
        <v>Texas Instruments</v>
      </c>
      <c r="C993" s="5">
        <v>4991</v>
      </c>
      <c r="D993" s="6">
        <v>13.79</v>
      </c>
      <c r="E993" t="s">
        <v>34</v>
      </c>
    </row>
    <row r="994" spans="1:5" x14ac:dyDescent="0.25">
      <c r="A994" t="str">
        <f>HYPERLINK("https://www.773grp.com/globalSearch/ADS7865IPBSR/page-1", "ADS7865IPBSR")</f>
        <v>ADS7865IPBSR</v>
      </c>
      <c r="B994" s="3" t="str">
        <f>HYPERLINK("https://www.773grp.com/manufacturer/texas-instruments?pageNo=880", "Texas Instruments")</f>
        <v>Texas Instruments</v>
      </c>
      <c r="C994" s="5">
        <v>725</v>
      </c>
      <c r="D994" s="6">
        <v>13.79</v>
      </c>
      <c r="E994" t="s">
        <v>34</v>
      </c>
    </row>
    <row r="995" spans="1:5" x14ac:dyDescent="0.25">
      <c r="A995" t="str">
        <f>HYPERLINK("https://www.773grp.com/globalSearch/TLC1550IDWR/page-1", "TLC1550IDWR")</f>
        <v>TLC1550IDWR</v>
      </c>
      <c r="B995" s="3" t="str">
        <f>HYPERLINK("https://www.773grp.com/manufacturer/texas-instruments?pageNo=892", "Texas Instruments")</f>
        <v>Texas Instruments</v>
      </c>
      <c r="C995" s="5">
        <v>1900</v>
      </c>
      <c r="D995" s="6">
        <v>13.79</v>
      </c>
      <c r="E995" t="s">
        <v>34</v>
      </c>
    </row>
    <row r="996" spans="1:5" x14ac:dyDescent="0.25">
      <c r="A996" t="str">
        <f>HYPERLINK("https://www.773grp.com/globalSearch/TLC1550IFNR/page-1", "TLC1550IFNR")</f>
        <v>TLC1550IFNR</v>
      </c>
      <c r="B996" s="3" t="str">
        <f>HYPERLINK("https://www.773grp.com/manufacturer/texas-instruments?pageNo=893", "Texas Instruments")</f>
        <v>Texas Instruments</v>
      </c>
      <c r="C996" s="5">
        <v>6750</v>
      </c>
      <c r="D996" s="6">
        <v>13.79</v>
      </c>
      <c r="E996" t="s">
        <v>34</v>
      </c>
    </row>
    <row r="997" spans="1:5" x14ac:dyDescent="0.25">
      <c r="A997" t="str">
        <f>HYPERLINK("https://www.773grp.com/globalSearch/TLC2552CDGK/page-1", "TLC2552CDGK")</f>
        <v>TLC2552CDGK</v>
      </c>
      <c r="B997" s="3" t="str">
        <f>HYPERLINK("https://www.773grp.com/manufacturer/texas-instruments?pageNo=894", "Texas Instruments")</f>
        <v>Texas Instruments</v>
      </c>
      <c r="C997" s="5">
        <v>55520</v>
      </c>
      <c r="D997" s="6">
        <v>13.79</v>
      </c>
      <c r="E997" t="s">
        <v>34</v>
      </c>
    </row>
    <row r="998" spans="1:5" x14ac:dyDescent="0.25">
      <c r="A998" t="str">
        <f>HYPERLINK("https://www.773grp.com/globalSearch/TLV1570IPW/page-1", "TLV1570IPW")</f>
        <v>TLV1570IPW</v>
      </c>
      <c r="B998" s="3" t="str">
        <f>HYPERLINK("https://www.773grp.com/manufacturer/texas-instruments?pageNo=896", "Texas Instruments")</f>
        <v>Texas Instruments</v>
      </c>
      <c r="C998" s="5">
        <v>558</v>
      </c>
      <c r="D998" s="6">
        <v>13.79</v>
      </c>
      <c r="E998" t="s">
        <v>34</v>
      </c>
    </row>
    <row r="999" spans="1:5" x14ac:dyDescent="0.25">
      <c r="A999" t="str">
        <f>HYPERLINK("https://www.773grp.com/globalSearch/ADS1248IPWR/page-1", "ADS1248IPWR")</f>
        <v>ADS1248IPWR</v>
      </c>
      <c r="B999" s="3" t="str">
        <f>HYPERLINK("https://www.773grp.com/manufacturer/texas-instruments?pageNo=947", "Texas Instruments")</f>
        <v>Texas Instruments</v>
      </c>
      <c r="C999" s="5">
        <v>10000</v>
      </c>
      <c r="D999" s="6">
        <v>13.93</v>
      </c>
      <c r="E999" t="s">
        <v>34</v>
      </c>
    </row>
    <row r="1000" spans="1:5" x14ac:dyDescent="0.25">
      <c r="A1000" t="str">
        <f>HYPERLINK("https://www.773grp.com/globalSearch/TLV1571IDW/page-1", "TLV1571IDW")</f>
        <v>TLV1571IDW</v>
      </c>
      <c r="B1000" s="3" t="str">
        <f>HYPERLINK("https://www.773grp.com/manufacturer/texas-instruments?pageNo=971", "Texas Instruments")</f>
        <v>Texas Instruments</v>
      </c>
      <c r="C1000" s="5">
        <v>11309</v>
      </c>
      <c r="D1000" s="6">
        <v>13.93</v>
      </c>
      <c r="E1000" t="s">
        <v>34</v>
      </c>
    </row>
    <row r="1001" spans="1:5" x14ac:dyDescent="0.25">
      <c r="A1001" t="str">
        <f>HYPERLINK("https://www.773grp.com/globalSearch/TLV1571IPW/page-1", "TLV1571IPW")</f>
        <v>TLV1571IPW</v>
      </c>
      <c r="B1001" s="3" t="str">
        <f>HYPERLINK("https://www.773grp.com/manufacturer/texas-instruments?pageNo=972", "Texas Instruments")</f>
        <v>Texas Instruments</v>
      </c>
      <c r="C1001" s="5">
        <v>18571</v>
      </c>
      <c r="D1001" s="6">
        <v>13.93</v>
      </c>
      <c r="E1001" t="s">
        <v>34</v>
      </c>
    </row>
    <row r="1002" spans="1:5" x14ac:dyDescent="0.25">
      <c r="A1002" t="str">
        <f>HYPERLINK("https://www.773grp.com/globalSearch/TLV2541IDGK/page-1", "TLV2541IDGK")</f>
        <v>TLV2541IDGK</v>
      </c>
      <c r="B1002" s="3" t="str">
        <f>HYPERLINK("https://www.773grp.com/manufacturer/texas-instruments?pageNo=973", "Texas Instruments")</f>
        <v>Texas Instruments</v>
      </c>
      <c r="C1002" s="5">
        <v>16</v>
      </c>
      <c r="D1002" s="6">
        <v>13.93</v>
      </c>
      <c r="E1002" t="s">
        <v>34</v>
      </c>
    </row>
    <row r="1003" spans="1:5" x14ac:dyDescent="0.25">
      <c r="A1003" t="str">
        <f>HYPERLINK("https://www.773grp.com/globalSearch/THS1030CDW/page-1", "THS1030CDW")</f>
        <v>THS1030CDW</v>
      </c>
      <c r="B1003" s="3" t="str">
        <f>HYPERLINK("https://www.773grp.com/manufacturer/texas-instruments?pageNo=986", "Texas Instruments")</f>
        <v>Texas Instruments</v>
      </c>
      <c r="C1003" s="5">
        <v>80</v>
      </c>
      <c r="D1003" s="6">
        <v>13.95</v>
      </c>
      <c r="E1003" t="s">
        <v>34</v>
      </c>
    </row>
    <row r="1004" spans="1:5" x14ac:dyDescent="0.25">
      <c r="A1004" t="str">
        <f>HYPERLINK("https://www.773grp.com/globalSearch/THS1030CPW/page-1", "THS1030CPW")</f>
        <v>THS1030CPW</v>
      </c>
      <c r="B1004" s="3" t="s">
        <v>90</v>
      </c>
      <c r="C1004" s="5">
        <v>13</v>
      </c>
      <c r="D1004" s="6">
        <v>13.95</v>
      </c>
      <c r="E1004" t="s">
        <v>34</v>
      </c>
    </row>
    <row r="1005" spans="1:5" x14ac:dyDescent="0.25">
      <c r="A1005" t="str">
        <f>HYPERLINK("https://www.773grp.com/globalSearch/THS1060CPHP/page-1", "THS1060CPHP")</f>
        <v>THS1060CPHP</v>
      </c>
      <c r="B1005" s="3" t="s">
        <v>90</v>
      </c>
      <c r="C1005" s="5">
        <v>4239</v>
      </c>
      <c r="D1005" s="6">
        <v>14.04</v>
      </c>
      <c r="E1005" t="s">
        <v>34</v>
      </c>
    </row>
    <row r="1006" spans="1:5" x14ac:dyDescent="0.25">
      <c r="A1006" t="str">
        <f>HYPERLINK("https://www.773grp.com/globalSearch/ADS7870EA/page-1", "ADS7870EA")</f>
        <v>ADS7870EA</v>
      </c>
      <c r="B1006" s="3" t="s">
        <v>90</v>
      </c>
      <c r="C1006" s="5">
        <v>3000</v>
      </c>
      <c r="D1006" s="6">
        <v>14.06</v>
      </c>
      <c r="E1006" t="s">
        <v>34</v>
      </c>
    </row>
    <row r="1007" spans="1:5" x14ac:dyDescent="0.25">
      <c r="A1007" t="str">
        <f>HYPERLINK("https://www.773grp.com/globalSearch/ADS7870EAG4/page-1", "ADS7870EAG4")</f>
        <v>ADS7870EAG4</v>
      </c>
      <c r="B1007" s="3" t="s">
        <v>90</v>
      </c>
      <c r="C1007" s="5">
        <v>100</v>
      </c>
      <c r="D1007" s="6">
        <v>14.06</v>
      </c>
      <c r="E1007" t="s">
        <v>34</v>
      </c>
    </row>
    <row r="1008" spans="1:5" x14ac:dyDescent="0.25">
      <c r="A1008" t="str">
        <f>HYPERLINK("https://www.773grp.com/globalSearch/ADS8317IDGKR/page-1", "ADS8317IDGKR")</f>
        <v>ADS8317IDGKR</v>
      </c>
      <c r="B1008" s="3" t="s">
        <v>90</v>
      </c>
      <c r="C1008" s="5">
        <v>42500</v>
      </c>
      <c r="D1008" s="6">
        <v>14.06</v>
      </c>
      <c r="E1008" t="s">
        <v>34</v>
      </c>
    </row>
    <row r="1009" spans="1:5" x14ac:dyDescent="0.25">
      <c r="A1009" t="str">
        <f>HYPERLINK("https://www.773grp.com/globalSearch/ADS8326IDGKR/page-1", "ADS8326IDGKR")</f>
        <v>ADS8326IDGKR</v>
      </c>
      <c r="B1009" s="3" t="s">
        <v>90</v>
      </c>
      <c r="C1009" s="5">
        <v>20384</v>
      </c>
      <c r="D1009" s="6">
        <v>14.06</v>
      </c>
      <c r="E1009" t="s">
        <v>34</v>
      </c>
    </row>
    <row r="1010" spans="1:5" x14ac:dyDescent="0.25">
      <c r="A1010" t="str">
        <f>HYPERLINK("https://www.773grp.com/globalSearch/ICL7135CN/page-1", "ICL7135CN")</f>
        <v>ICL7135CN</v>
      </c>
      <c r="B1010" s="3" t="s">
        <v>90</v>
      </c>
      <c r="C1010" s="5">
        <v>8494</v>
      </c>
      <c r="D1010" s="6">
        <v>14.18</v>
      </c>
      <c r="E1010" t="s">
        <v>34</v>
      </c>
    </row>
    <row r="1011" spans="1:5" x14ac:dyDescent="0.25">
      <c r="A1011" t="str">
        <f>HYPERLINK("https://www.773grp.com/globalSearch/ADS7279IPW/page-1", "ADS7279IPW")</f>
        <v>ADS7279IPW</v>
      </c>
      <c r="B1011" s="3" t="s">
        <v>90</v>
      </c>
      <c r="C1011" s="5">
        <v>101</v>
      </c>
      <c r="D1011" s="6">
        <v>14.21</v>
      </c>
      <c r="E1011" t="s">
        <v>34</v>
      </c>
    </row>
    <row r="1012" spans="1:5" x14ac:dyDescent="0.25">
      <c r="A1012" t="str">
        <f>HYPERLINK("https://www.773grp.com/globalSearch/ADS7845E/page-1", "ADS7845E")</f>
        <v>ADS7845E</v>
      </c>
      <c r="B1012" s="3" t="s">
        <v>90</v>
      </c>
      <c r="C1012" s="5">
        <v>200</v>
      </c>
      <c r="D1012" s="6">
        <v>14.21</v>
      </c>
      <c r="E1012" t="s">
        <v>34</v>
      </c>
    </row>
    <row r="1013" spans="1:5" x14ac:dyDescent="0.25">
      <c r="A1013" t="str">
        <f>HYPERLINK("https://www.773grp.com/globalSearch/ADS7845E/page-1", "ADS7845E")</f>
        <v>ADS7845E</v>
      </c>
      <c r="B1013" s="3" t="s">
        <v>90</v>
      </c>
      <c r="C1013" s="5">
        <v>2704</v>
      </c>
      <c r="D1013" s="6">
        <v>14.21</v>
      </c>
      <c r="E1013" t="s">
        <v>34</v>
      </c>
    </row>
    <row r="1014" spans="1:5" x14ac:dyDescent="0.25">
      <c r="A1014" t="str">
        <f>HYPERLINK("https://www.773grp.com/globalSearch/TLC1551IDW/page-1", "TLC1551IDW")</f>
        <v>TLC1551IDW</v>
      </c>
      <c r="B1014" s="3" t="s">
        <v>90</v>
      </c>
      <c r="C1014" s="5">
        <v>6840</v>
      </c>
      <c r="D1014" s="6">
        <v>14.21</v>
      </c>
      <c r="E1014" t="s">
        <v>34</v>
      </c>
    </row>
    <row r="1015" spans="1:5" x14ac:dyDescent="0.25">
      <c r="A1015" t="str">
        <f>HYPERLINK("https://www.773grp.com/globalSearch/TLV2544CD/page-1", "TLV2544CD")</f>
        <v>TLV2544CD</v>
      </c>
      <c r="B1015" s="3" t="s">
        <v>90</v>
      </c>
      <c r="C1015" s="5">
        <v>13381</v>
      </c>
      <c r="D1015" s="6">
        <v>14.35</v>
      </c>
      <c r="E1015" t="s">
        <v>34</v>
      </c>
    </row>
    <row r="1016" spans="1:5" x14ac:dyDescent="0.25">
      <c r="A1016" t="str">
        <f>HYPERLINK("https://www.773grp.com/globalSearch/TLV2544CDG4/page-1", "TLV2544CDG4")</f>
        <v>TLV2544CDG4</v>
      </c>
      <c r="B1016" s="3" t="s">
        <v>90</v>
      </c>
      <c r="C1016" s="5">
        <v>89</v>
      </c>
      <c r="D1016" s="6">
        <v>14.35</v>
      </c>
      <c r="E1016" t="s">
        <v>34</v>
      </c>
    </row>
    <row r="1017" spans="1:5" x14ac:dyDescent="0.25">
      <c r="A1017" t="str">
        <f>HYPERLINK("https://www.773grp.com/globalSearch/TLV2544CPW/page-1", "TLV2544CPW")</f>
        <v>TLV2544CPW</v>
      </c>
      <c r="B1017" s="3" t="s">
        <v>90</v>
      </c>
      <c r="C1017" s="5">
        <v>9304</v>
      </c>
      <c r="D1017" s="6">
        <v>14.35</v>
      </c>
      <c r="E1017" t="s">
        <v>34</v>
      </c>
    </row>
    <row r="1018" spans="1:5" x14ac:dyDescent="0.25">
      <c r="A1018" t="str">
        <f>HYPERLINK("https://www.773grp.com/globalSearch/TLC5733AIPM/page-1", "TLC5733AIPM")</f>
        <v>TLC5733AIPM</v>
      </c>
      <c r="B1018" s="3" t="s">
        <v>90</v>
      </c>
      <c r="C1018" s="5">
        <v>46172</v>
      </c>
      <c r="D1018" s="6">
        <v>14.4</v>
      </c>
      <c r="E1018" t="s">
        <v>34</v>
      </c>
    </row>
    <row r="1019" spans="1:5" x14ac:dyDescent="0.25">
      <c r="A1019" t="str">
        <f>HYPERLINK("https://www.773grp.com/globalSearch/TLC5733IPM/page-1", "TLC5733IPM")</f>
        <v>TLC5733IPM</v>
      </c>
      <c r="B1019" s="3" t="s">
        <v>90</v>
      </c>
      <c r="C1019" s="5">
        <v>9243</v>
      </c>
      <c r="D1019" s="6">
        <v>14.4</v>
      </c>
      <c r="E1019" t="s">
        <v>34</v>
      </c>
    </row>
    <row r="1020" spans="1:5" x14ac:dyDescent="0.25">
      <c r="A1020" t="str">
        <f>HYPERLINK("https://www.773grp.com/globalSearch/ADS8320E-2K5/page-1", "ADS8320E-2K5")</f>
        <v>ADS8320E-2K5</v>
      </c>
      <c r="B1020" s="3" t="s">
        <v>90</v>
      </c>
      <c r="C1020" s="5">
        <v>11023</v>
      </c>
      <c r="D1020" s="6">
        <v>14.48</v>
      </c>
      <c r="E1020" t="s">
        <v>34</v>
      </c>
    </row>
    <row r="1021" spans="1:5" x14ac:dyDescent="0.25">
      <c r="A1021" t="str">
        <f>HYPERLINK("https://www.773grp.com/globalSearch/TLC2543CN/page-1", "TLC2543CN")</f>
        <v>TLC2543CN</v>
      </c>
      <c r="B1021" s="3" t="s">
        <v>90</v>
      </c>
      <c r="C1021" s="5">
        <v>31</v>
      </c>
      <c r="D1021" s="6">
        <v>14.48</v>
      </c>
      <c r="E1021" t="s">
        <v>34</v>
      </c>
    </row>
    <row r="1022" spans="1:5" x14ac:dyDescent="0.25">
      <c r="A1022" t="str">
        <f>HYPERLINK("https://www.773grp.com/globalSearch/ADS7280IRSAT/page-1", "ADS7280IRSAT")</f>
        <v>ADS7280IRSAT</v>
      </c>
      <c r="B1022" s="3" t="s">
        <v>90</v>
      </c>
      <c r="C1022" s="5">
        <v>3226</v>
      </c>
      <c r="D1022" s="6">
        <v>14.63</v>
      </c>
      <c r="E1022" t="s">
        <v>34</v>
      </c>
    </row>
    <row r="1023" spans="1:5" x14ac:dyDescent="0.25">
      <c r="A1023" t="str">
        <f>HYPERLINK("https://www.773grp.com/globalSearch/ADS7817PC/page-1", "ADS7817PC")</f>
        <v>ADS7817PC</v>
      </c>
      <c r="B1023" s="3" t="s">
        <v>90</v>
      </c>
      <c r="C1023" s="5">
        <v>20</v>
      </c>
      <c r="D1023" s="6">
        <v>14.71</v>
      </c>
      <c r="E1023" t="s">
        <v>34</v>
      </c>
    </row>
    <row r="1024" spans="1:5" x14ac:dyDescent="0.25">
      <c r="A1024" t="str">
        <f>HYPERLINK("https://www.773grp.com/globalSearch/ADS1241E/page-1", "ADS1241E")</f>
        <v>ADS1241E</v>
      </c>
      <c r="B1024" s="3" t="s">
        <v>90</v>
      </c>
      <c r="C1024" s="5">
        <v>14</v>
      </c>
      <c r="D1024" s="6">
        <v>14.76</v>
      </c>
      <c r="E1024" t="s">
        <v>34</v>
      </c>
    </row>
    <row r="1025" spans="1:5" x14ac:dyDescent="0.25">
      <c r="A1025" t="str">
        <f>HYPERLINK("https://www.773grp.com/globalSearch/TLC2551IDGK/page-1", "TLC2551IDGK")</f>
        <v>TLC2551IDGK</v>
      </c>
      <c r="B1025" s="3" t="s">
        <v>90</v>
      </c>
      <c r="C1025" s="5">
        <v>11530</v>
      </c>
      <c r="D1025" s="6">
        <v>14.76</v>
      </c>
      <c r="E1025" t="s">
        <v>34</v>
      </c>
    </row>
    <row r="1026" spans="1:5" x14ac:dyDescent="0.25">
      <c r="A1026" t="str">
        <f>HYPERLINK("https://www.773grp.com/globalSearch/TLC2551IDGKG4/page-1", "TLC2551IDGKG4")</f>
        <v>TLC2551IDGKG4</v>
      </c>
      <c r="B1026" s="3" t="s">
        <v>90</v>
      </c>
      <c r="C1026" s="5">
        <v>80</v>
      </c>
      <c r="D1026" s="6">
        <v>14.76</v>
      </c>
      <c r="E1026" t="s">
        <v>34</v>
      </c>
    </row>
    <row r="1027" spans="1:5" x14ac:dyDescent="0.25">
      <c r="A1027" t="str">
        <f>HYPERLINK("https://www.773grp.com/globalSearch/TLC2552ID/page-1", "TLC2552ID")</f>
        <v>TLC2552ID</v>
      </c>
      <c r="B1027" s="3" t="s">
        <v>90</v>
      </c>
      <c r="C1027" s="5">
        <v>12505</v>
      </c>
      <c r="D1027" s="6">
        <v>14.76</v>
      </c>
      <c r="E1027" t="s">
        <v>34</v>
      </c>
    </row>
    <row r="1028" spans="1:5" x14ac:dyDescent="0.25">
      <c r="A1028" t="str">
        <f>HYPERLINK("https://www.773grp.com/globalSearch/TLC2552IDGK/page-1", "TLC2552IDGK")</f>
        <v>TLC2552IDGK</v>
      </c>
      <c r="B1028" s="3" t="s">
        <v>90</v>
      </c>
      <c r="C1028" s="5">
        <v>8303</v>
      </c>
      <c r="D1028" s="6">
        <v>14.76</v>
      </c>
      <c r="E1028" t="s">
        <v>34</v>
      </c>
    </row>
    <row r="1029" spans="1:5" x14ac:dyDescent="0.25">
      <c r="A1029" t="str">
        <f>HYPERLINK("https://www.773grp.com/globalSearch/TLC2555ID/page-1", "TLC2555ID")</f>
        <v>TLC2555ID</v>
      </c>
      <c r="B1029" s="3" t="s">
        <v>90</v>
      </c>
      <c r="C1029" s="5">
        <v>24480</v>
      </c>
      <c r="D1029" s="6">
        <v>14.76</v>
      </c>
      <c r="E1029" t="s">
        <v>34</v>
      </c>
    </row>
    <row r="1030" spans="1:5" x14ac:dyDescent="0.25">
      <c r="A1030" t="str">
        <f>HYPERLINK("https://www.773grp.com/globalSearch/TLC2555IDGK/page-1", "TLC2555IDGK")</f>
        <v>TLC2555IDGK</v>
      </c>
      <c r="B1030" s="3" t="s">
        <v>90</v>
      </c>
      <c r="C1030" s="5">
        <v>5320</v>
      </c>
      <c r="D1030" s="6">
        <v>14.76</v>
      </c>
      <c r="E1030" t="s">
        <v>34</v>
      </c>
    </row>
    <row r="1031" spans="1:5" x14ac:dyDescent="0.25">
      <c r="A1031" t="str">
        <f>HYPERLINK("https://www.773grp.com/globalSearch/THS1030IDW/page-1", "THS1030IDW")</f>
        <v>THS1030IDW</v>
      </c>
      <c r="B1031" s="3" t="s">
        <v>90</v>
      </c>
      <c r="C1031" s="5">
        <v>933</v>
      </c>
      <c r="D1031" s="6">
        <v>14.81</v>
      </c>
      <c r="E1031" t="s">
        <v>34</v>
      </c>
    </row>
    <row r="1032" spans="1:5" x14ac:dyDescent="0.25">
      <c r="A1032" t="str">
        <f>HYPERLINK("https://www.773grp.com/globalSearch/THS1030IPW/page-1", "THS1030IPW")</f>
        <v>THS1030IPW</v>
      </c>
      <c r="B1032" s="3" t="s">
        <v>90</v>
      </c>
      <c r="C1032" s="5">
        <v>420</v>
      </c>
      <c r="D1032" s="6">
        <v>14.81</v>
      </c>
      <c r="E1032" t="s">
        <v>34</v>
      </c>
    </row>
    <row r="1033" spans="1:5" x14ac:dyDescent="0.25">
      <c r="A1033" t="str">
        <f>HYPERLINK("https://www.773grp.com/globalSearch/TLC2554CPW/page-1", "TLC2554CPW")</f>
        <v>TLC2554CPW</v>
      </c>
      <c r="B1033" s="3" t="s">
        <v>90</v>
      </c>
      <c r="C1033" s="5">
        <v>3818</v>
      </c>
      <c r="D1033" s="6">
        <v>14.9</v>
      </c>
      <c r="E1033" t="s">
        <v>34</v>
      </c>
    </row>
    <row r="1034" spans="1:5" x14ac:dyDescent="0.25">
      <c r="A1034" t="str">
        <f>HYPERLINK("https://www.773grp.com/globalSearch/TLC2558CDW/page-1", "TLC2558CDW")</f>
        <v>TLC2558CDW</v>
      </c>
      <c r="B1034" s="3" t="s">
        <v>90</v>
      </c>
      <c r="C1034" s="5">
        <v>3975</v>
      </c>
      <c r="D1034" s="6">
        <v>14.9</v>
      </c>
      <c r="E1034" t="s">
        <v>34</v>
      </c>
    </row>
    <row r="1035" spans="1:5" x14ac:dyDescent="0.25">
      <c r="A1035" t="str">
        <f>HYPERLINK("https://www.773grp.com/globalSearch/TLC2558CPW/page-1", "TLC2558CPW")</f>
        <v>TLC2558CPW</v>
      </c>
      <c r="B1035" s="3" t="s">
        <v>90</v>
      </c>
      <c r="C1035" s="5">
        <v>12339</v>
      </c>
      <c r="D1035" s="6">
        <v>14.9</v>
      </c>
      <c r="E1035" t="s">
        <v>34</v>
      </c>
    </row>
    <row r="1036" spans="1:5" x14ac:dyDescent="0.25">
      <c r="A1036" t="str">
        <f>HYPERLINK("https://www.773grp.com/globalSearch/TLC2574IN/page-1", "TLC2574IN")</f>
        <v>TLC2574IN</v>
      </c>
      <c r="B1036" s="3" t="s">
        <v>90</v>
      </c>
      <c r="C1036" s="5">
        <v>704</v>
      </c>
      <c r="D1036" s="6">
        <v>14.9</v>
      </c>
      <c r="E1036" t="s">
        <v>34</v>
      </c>
    </row>
    <row r="1037" spans="1:5" x14ac:dyDescent="0.25">
      <c r="A1037" t="str">
        <f>HYPERLINK("https://www.773grp.com/globalSearch/ADS1209SPW/page-1", "ADS1209SPW")</f>
        <v>ADS1209SPW</v>
      </c>
      <c r="B1037" s="3" t="s">
        <v>90</v>
      </c>
      <c r="C1037" s="5">
        <v>2040</v>
      </c>
      <c r="D1037" s="6">
        <v>15.19</v>
      </c>
      <c r="E1037" t="s">
        <v>34</v>
      </c>
    </row>
    <row r="1038" spans="1:5" x14ac:dyDescent="0.25">
      <c r="A1038" t="str">
        <f>HYPERLINK("https://www.773grp.com/globalSearch/ADS7280IPW/page-1", "ADS7280IPW")</f>
        <v>ADS7280IPW</v>
      </c>
      <c r="B1038" s="3" t="s">
        <v>90</v>
      </c>
      <c r="C1038" s="5">
        <v>1245</v>
      </c>
      <c r="D1038" s="6">
        <v>15.19</v>
      </c>
      <c r="E1038" t="s">
        <v>34</v>
      </c>
    </row>
    <row r="1039" spans="1:5" x14ac:dyDescent="0.25">
      <c r="A1039" t="str">
        <f>HYPERLINK("https://www.773grp.com/globalSearch/ADS8324EB-250/page-1", "ADS8324EB-250")</f>
        <v>ADS8324EB-250</v>
      </c>
      <c r="B1039" s="3" t="s">
        <v>90</v>
      </c>
      <c r="C1039" s="5">
        <v>200</v>
      </c>
      <c r="D1039" s="6">
        <v>15.19</v>
      </c>
      <c r="E1039" t="s">
        <v>34</v>
      </c>
    </row>
    <row r="1040" spans="1:5" x14ac:dyDescent="0.25">
      <c r="A1040" t="str">
        <f>HYPERLINK("https://www.773grp.com/globalSearch/TLC2543CDW/page-1", "TLC2543CDW")</f>
        <v>TLC2543CDW</v>
      </c>
      <c r="B1040" s="3" t="s">
        <v>90</v>
      </c>
      <c r="C1040" s="5">
        <v>1240</v>
      </c>
      <c r="D1040" s="6">
        <v>15.19</v>
      </c>
      <c r="E1040" t="s">
        <v>34</v>
      </c>
    </row>
    <row r="1041" spans="1:5" x14ac:dyDescent="0.25">
      <c r="A1041" t="str">
        <f>HYPERLINK("https://www.773grp.com/globalSearch/TLV2544ID/page-1", "TLV2544ID")</f>
        <v>TLV2544ID</v>
      </c>
      <c r="B1041" s="3" t="s">
        <v>90</v>
      </c>
      <c r="C1041" s="5">
        <v>774</v>
      </c>
      <c r="D1041" s="6">
        <v>15.19</v>
      </c>
      <c r="E1041" t="s">
        <v>34</v>
      </c>
    </row>
    <row r="1042" spans="1:5" x14ac:dyDescent="0.25">
      <c r="A1042" t="str">
        <f>HYPERLINK("https://www.773grp.com/globalSearch/TLV2544IPW/page-1", "TLV2544IPW")</f>
        <v>TLV2544IPW</v>
      </c>
      <c r="B1042" s="3" t="s">
        <v>90</v>
      </c>
      <c r="C1042" s="5">
        <v>325</v>
      </c>
      <c r="D1042" s="6">
        <v>15.19</v>
      </c>
      <c r="E1042" t="s">
        <v>34</v>
      </c>
    </row>
    <row r="1043" spans="1:5" x14ac:dyDescent="0.25">
      <c r="A1043" t="str">
        <f>HYPERLINK("https://www.773grp.com/globalSearch/ADS831E/page-1", "ADS831E")</f>
        <v>ADS831E</v>
      </c>
      <c r="B1043" s="3" t="s">
        <v>90</v>
      </c>
      <c r="C1043" s="5">
        <v>1773</v>
      </c>
      <c r="D1043" s="6">
        <v>15.24</v>
      </c>
      <c r="E1043" t="s">
        <v>34</v>
      </c>
    </row>
    <row r="1044" spans="1:5" x14ac:dyDescent="0.25">
      <c r="A1044" t="str">
        <f>HYPERLINK("https://www.773grp.com/globalSearch/THS1050IPHP/page-1", "THS1050IPHP")</f>
        <v>THS1050IPHP</v>
      </c>
      <c r="B1044" s="3" t="s">
        <v>90</v>
      </c>
      <c r="C1044" s="5">
        <v>3962</v>
      </c>
      <c r="D1044" s="6">
        <v>15.24</v>
      </c>
      <c r="E1044" t="s">
        <v>34</v>
      </c>
    </row>
    <row r="1045" spans="1:5" x14ac:dyDescent="0.25">
      <c r="A1045" t="str">
        <f>HYPERLINK("https://www.773grp.com/globalSearch/THS1060IPHP/page-1", "THS1060IPHP")</f>
        <v>THS1060IPHP</v>
      </c>
      <c r="B1045" s="3" t="s">
        <v>90</v>
      </c>
      <c r="C1045" s="5">
        <v>4944</v>
      </c>
      <c r="D1045" s="6">
        <v>15.24</v>
      </c>
      <c r="E1045" t="s">
        <v>34</v>
      </c>
    </row>
    <row r="1046" spans="1:5" x14ac:dyDescent="0.25">
      <c r="A1046" t="str">
        <f>HYPERLINK("https://www.773grp.com/globalSearch/THS1007IDA/page-1", "THS1007IDA")</f>
        <v>THS1007IDA</v>
      </c>
      <c r="B1046" s="3" t="s">
        <v>90</v>
      </c>
      <c r="C1046" s="5">
        <v>5708</v>
      </c>
      <c r="D1046" s="6">
        <v>15.33</v>
      </c>
      <c r="E1046" t="s">
        <v>34</v>
      </c>
    </row>
    <row r="1047" spans="1:5" x14ac:dyDescent="0.25">
      <c r="A1047" t="str">
        <f>HYPERLINK("https://www.773grp.com/globalSearch/THS10082IDA/page-1", "THS10082IDA")</f>
        <v>THS10082IDA</v>
      </c>
      <c r="B1047" s="3" t="s">
        <v>90</v>
      </c>
      <c r="C1047" s="5">
        <v>13512</v>
      </c>
      <c r="D1047" s="6">
        <v>15.33</v>
      </c>
      <c r="E1047" t="s">
        <v>34</v>
      </c>
    </row>
    <row r="1048" spans="1:5" x14ac:dyDescent="0.25">
      <c r="A1048" t="str">
        <f>HYPERLINK("https://www.773grp.com/globalSearch/THS1031CDW/page-1", "THS1031CDW")</f>
        <v>THS1031CDW</v>
      </c>
      <c r="B1048" s="3" t="s">
        <v>90</v>
      </c>
      <c r="C1048" s="5">
        <v>16605</v>
      </c>
      <c r="D1048" s="6">
        <v>15.41</v>
      </c>
      <c r="E1048" t="s">
        <v>34</v>
      </c>
    </row>
    <row r="1049" spans="1:5" x14ac:dyDescent="0.25">
      <c r="A1049" t="str">
        <f>HYPERLINK("https://www.773grp.com/globalSearch/ADS7861IBRHBT/page-1", "ADS7861IBRHBT")</f>
        <v>ADS7861IBRHBT</v>
      </c>
      <c r="B1049" s="3" t="s">
        <v>90</v>
      </c>
      <c r="C1049" s="5">
        <v>161</v>
      </c>
      <c r="D1049" s="6">
        <v>15.48</v>
      </c>
      <c r="E1049" t="s">
        <v>34</v>
      </c>
    </row>
    <row r="1050" spans="1:5" x14ac:dyDescent="0.25">
      <c r="A1050" t="str">
        <f>HYPERLINK("https://www.773grp.com/globalSearch/ADS8331IRGER/page-1", "ADS8331IRGER")</f>
        <v>ADS8331IRGER</v>
      </c>
      <c r="B1050" s="3" t="s">
        <v>90</v>
      </c>
      <c r="C1050" s="5">
        <v>5901</v>
      </c>
      <c r="D1050" s="6">
        <v>15.48</v>
      </c>
      <c r="E1050" t="s">
        <v>34</v>
      </c>
    </row>
    <row r="1051" spans="1:5" x14ac:dyDescent="0.25">
      <c r="A1051" t="str">
        <f>HYPERLINK("https://www.773grp.com/globalSearch/TLV2543CDBR/page-1", "TLV2543CDBR")</f>
        <v>TLV2543CDBR</v>
      </c>
      <c r="B1051" s="3" t="s">
        <v>90</v>
      </c>
      <c r="C1051" s="5">
        <v>6101</v>
      </c>
      <c r="D1051" s="6">
        <v>15.61</v>
      </c>
      <c r="E1051" t="s">
        <v>34</v>
      </c>
    </row>
    <row r="1052" spans="1:5" x14ac:dyDescent="0.25">
      <c r="A1052" t="str">
        <f>HYPERLINK("https://www.773grp.com/globalSearch/TLV2543CDWR/page-1", "TLV2543CDWR")</f>
        <v>TLV2543CDWR</v>
      </c>
      <c r="B1052" s="3" t="s">
        <v>90</v>
      </c>
      <c r="C1052" s="5">
        <v>3800</v>
      </c>
      <c r="D1052" s="6">
        <v>15.61</v>
      </c>
      <c r="E1052" t="s">
        <v>34</v>
      </c>
    </row>
    <row r="1053" spans="1:5" x14ac:dyDescent="0.25">
      <c r="A1053" t="str">
        <f>HYPERLINK("https://www.773grp.com/globalSearch/ADS901E/page-1", "ADS901E")</f>
        <v>ADS901E</v>
      </c>
      <c r="B1053" s="3" t="s">
        <v>90</v>
      </c>
      <c r="C1053" s="5">
        <v>319</v>
      </c>
      <c r="D1053" s="6">
        <v>15.7</v>
      </c>
      <c r="E1053" t="s">
        <v>34</v>
      </c>
    </row>
    <row r="1054" spans="1:5" x14ac:dyDescent="0.25">
      <c r="A1054" t="str">
        <f>HYPERLINK("https://www.773grp.com/globalSearch/ADS901E/page-1", "ADS901E")</f>
        <v>ADS901E</v>
      </c>
      <c r="B1054" s="3" t="s">
        <v>90</v>
      </c>
      <c r="C1054" s="5">
        <v>11160</v>
      </c>
      <c r="D1054" s="6">
        <v>15.7</v>
      </c>
      <c r="E1054" t="s">
        <v>34</v>
      </c>
    </row>
    <row r="1055" spans="1:5" x14ac:dyDescent="0.25">
      <c r="A1055" t="str">
        <f>HYPERLINK("https://www.773grp.com/globalSearch/ADS901E/page-1", "ADS901E")</f>
        <v>ADS901E</v>
      </c>
      <c r="B1055" s="3" t="s">
        <v>90</v>
      </c>
      <c r="C1055" s="5">
        <v>11566</v>
      </c>
      <c r="D1055" s="6">
        <v>15.7</v>
      </c>
      <c r="E1055" t="s">
        <v>34</v>
      </c>
    </row>
    <row r="1056" spans="1:5" x14ac:dyDescent="0.25">
      <c r="A1056" t="str">
        <f>HYPERLINK("https://www.773grp.com/globalSearch/TLC2543IDBRG4Q1/page-1", "TLC2543IDBRG4Q1")</f>
        <v>TLC2543IDBRG4Q1</v>
      </c>
      <c r="B1056" s="3" t="s">
        <v>90</v>
      </c>
      <c r="C1056" s="5">
        <v>55856</v>
      </c>
      <c r="D1056" s="6">
        <v>15.75</v>
      </c>
      <c r="E1056" t="s">
        <v>34</v>
      </c>
    </row>
    <row r="1057" spans="1:5" x14ac:dyDescent="0.25">
      <c r="A1057" t="str">
        <f>HYPERLINK("https://www.773grp.com/globalSearch/ADS825E-1K/page-1", "ADS825E-1K")</f>
        <v>ADS825E-1K</v>
      </c>
      <c r="B1057" s="3" t="s">
        <v>90</v>
      </c>
      <c r="C1057" s="5">
        <v>2000</v>
      </c>
      <c r="D1057" s="6">
        <v>15.98</v>
      </c>
      <c r="E1057" t="s">
        <v>34</v>
      </c>
    </row>
    <row r="1058" spans="1:5" x14ac:dyDescent="0.25">
      <c r="A1058" t="str">
        <f>HYPERLINK("https://www.773grp.com/globalSearch/ADS1205IRGET/page-1", "ADS1205IRGET")</f>
        <v>ADS1205IRGET</v>
      </c>
      <c r="B1058" s="3" t="s">
        <v>90</v>
      </c>
      <c r="C1058" s="5">
        <v>2250</v>
      </c>
      <c r="D1058" s="6">
        <v>16.04</v>
      </c>
      <c r="E1058" t="s">
        <v>34</v>
      </c>
    </row>
    <row r="1059" spans="1:5" x14ac:dyDescent="0.25">
      <c r="A1059" t="str">
        <f>HYPERLINK("https://www.773grp.com/globalSearch/TLC2543IFN/page-1", "TLC2543IFN")</f>
        <v>TLC2543IFN</v>
      </c>
      <c r="B1059" s="3" t="s">
        <v>90</v>
      </c>
      <c r="C1059" s="5">
        <v>18587</v>
      </c>
      <c r="D1059" s="6">
        <v>16.04</v>
      </c>
      <c r="E1059" t="s">
        <v>34</v>
      </c>
    </row>
    <row r="1060" spans="1:5" x14ac:dyDescent="0.25">
      <c r="A1060" t="str">
        <f>HYPERLINK("https://www.773grp.com/globalSearch/TLC2543IFN/page-1", "TLC2543IFN")</f>
        <v>TLC2543IFN</v>
      </c>
      <c r="B1060" s="3" t="s">
        <v>90</v>
      </c>
      <c r="C1060" s="5">
        <v>314</v>
      </c>
      <c r="D1060" s="6">
        <v>16.04</v>
      </c>
      <c r="E1060" t="s">
        <v>34</v>
      </c>
    </row>
    <row r="1061" spans="1:5" x14ac:dyDescent="0.25">
      <c r="A1061" t="str">
        <f>HYPERLINK("https://www.773grp.com/globalSearch/TLC2558IDW/page-1", "TLC2558IDW")</f>
        <v>TLC2558IDW</v>
      </c>
      <c r="B1061" s="3" t="s">
        <v>90</v>
      </c>
      <c r="C1061" s="5">
        <v>12811</v>
      </c>
      <c r="D1061" s="6">
        <v>16.04</v>
      </c>
      <c r="E1061" t="s">
        <v>34</v>
      </c>
    </row>
    <row r="1062" spans="1:5" x14ac:dyDescent="0.25">
      <c r="A1062" t="str">
        <f>HYPERLINK("https://www.773grp.com/globalSearch/ADS7863IDBQR/page-1", "ADS7863IDBQR")</f>
        <v>ADS7863IDBQR</v>
      </c>
      <c r="B1062" s="3" t="s">
        <v>90</v>
      </c>
      <c r="C1062" s="5">
        <v>22500</v>
      </c>
      <c r="D1062" s="6">
        <v>16.09</v>
      </c>
      <c r="E1062" t="s">
        <v>34</v>
      </c>
    </row>
    <row r="1063" spans="1:5" x14ac:dyDescent="0.25">
      <c r="A1063" t="str">
        <f>HYPERLINK("https://www.773grp.com/globalSearch/ADS8317IDRBT/page-1", "ADS8317IDRBT")</f>
        <v>ADS8317IDRBT</v>
      </c>
      <c r="B1063" s="3" t="s">
        <v>90</v>
      </c>
      <c r="C1063" s="5">
        <v>3750</v>
      </c>
      <c r="D1063" s="6">
        <v>16.16</v>
      </c>
      <c r="E1063" t="s">
        <v>34</v>
      </c>
    </row>
    <row r="1064" spans="1:5" x14ac:dyDescent="0.25">
      <c r="A1064" t="str">
        <f>HYPERLINK("https://www.773grp.com/globalSearch/ADS8326IDGKT/page-1", "ADS8326IDGKT")</f>
        <v>ADS8326IDGKT</v>
      </c>
      <c r="B1064" s="3" t="s">
        <v>90</v>
      </c>
      <c r="C1064" s="5">
        <v>235</v>
      </c>
      <c r="D1064" s="6">
        <v>16.16</v>
      </c>
      <c r="E1064" t="s">
        <v>34</v>
      </c>
    </row>
    <row r="1065" spans="1:5" x14ac:dyDescent="0.25">
      <c r="A1065" t="str">
        <f>HYPERLINK("https://www.773grp.com/globalSearch/ADS8326IDRBT/page-1", "ADS8326IDRBT")</f>
        <v>ADS8326IDRBT</v>
      </c>
      <c r="B1065" s="3" t="s">
        <v>90</v>
      </c>
      <c r="C1065" s="5">
        <v>3070</v>
      </c>
      <c r="D1065" s="6">
        <v>16.16</v>
      </c>
      <c r="E1065" t="s">
        <v>34</v>
      </c>
    </row>
    <row r="1066" spans="1:5" x14ac:dyDescent="0.25">
      <c r="A1066" t="str">
        <f>HYPERLINK("https://www.773grp.com/globalSearch/ADS7865IPBS/page-1", "ADS7865IPBS")</f>
        <v>ADS7865IPBS</v>
      </c>
      <c r="B1066" s="3" t="s">
        <v>90</v>
      </c>
      <c r="C1066" s="5">
        <v>710</v>
      </c>
      <c r="D1066" s="6">
        <v>16.309999999999999</v>
      </c>
      <c r="E1066" t="s">
        <v>34</v>
      </c>
    </row>
    <row r="1067" spans="1:5" x14ac:dyDescent="0.25">
      <c r="A1067" t="str">
        <f>HYPERLINK("https://www.773grp.com/globalSearch/ADS7953SBDBT/page-1", "ADS7953SBDBT")</f>
        <v>ADS7953SBDBT</v>
      </c>
      <c r="B1067" s="3" t="s">
        <v>90</v>
      </c>
      <c r="C1067" s="5">
        <v>3626</v>
      </c>
      <c r="D1067" s="6">
        <v>16.309999999999999</v>
      </c>
      <c r="E1067" t="s">
        <v>34</v>
      </c>
    </row>
    <row r="1068" spans="1:5" x14ac:dyDescent="0.25">
      <c r="A1068" t="str">
        <f>HYPERLINK("https://www.773grp.com/globalSearch/TLV2542CDGK/page-1", "TLV2542CDGK")</f>
        <v>TLV2542CDGK</v>
      </c>
      <c r="B1068" s="3" t="s">
        <v>90</v>
      </c>
      <c r="C1068" s="5">
        <v>1953</v>
      </c>
      <c r="D1068" s="6">
        <v>16.309999999999999</v>
      </c>
      <c r="E1068" t="s">
        <v>34</v>
      </c>
    </row>
    <row r="1069" spans="1:5" x14ac:dyDescent="0.25">
      <c r="A1069" t="str">
        <f>HYPERLINK("https://www.773grp.com/globalSearch/THS1031IDW/page-1", "THS1031IDW")</f>
        <v>THS1031IDW</v>
      </c>
      <c r="B1069" s="3" t="s">
        <v>90</v>
      </c>
      <c r="C1069" s="5">
        <v>22567</v>
      </c>
      <c r="D1069" s="6">
        <v>16.38</v>
      </c>
      <c r="E1069" t="s">
        <v>34</v>
      </c>
    </row>
    <row r="1070" spans="1:5" x14ac:dyDescent="0.25">
      <c r="A1070" t="str">
        <f>HYPERLINK("https://www.773grp.com/globalSearch/THS1031IPW/page-1", "THS1031IPW")</f>
        <v>THS1031IPW</v>
      </c>
      <c r="B1070" s="3" t="s">
        <v>90</v>
      </c>
      <c r="C1070" s="5">
        <v>22063</v>
      </c>
      <c r="D1070" s="6">
        <v>16.38</v>
      </c>
      <c r="E1070" t="s">
        <v>34</v>
      </c>
    </row>
    <row r="1071" spans="1:5" x14ac:dyDescent="0.25">
      <c r="A1071" t="str">
        <f>HYPERLINK("https://www.773grp.com/globalSearch/ADS8325IDGKR/page-1", "ADS8325IDGKR")</f>
        <v>ADS8325IDGKR</v>
      </c>
      <c r="B1071" s="3" t="s">
        <v>90</v>
      </c>
      <c r="C1071" s="5">
        <v>28050</v>
      </c>
      <c r="D1071" s="6">
        <v>16.59</v>
      </c>
      <c r="E1071" t="s">
        <v>34</v>
      </c>
    </row>
    <row r="1072" spans="1:5" x14ac:dyDescent="0.25">
      <c r="A1072" t="str">
        <f>HYPERLINK("https://www.773grp.com/globalSearch/ADS8325IDRBR/page-1", "ADS8325IDRBR")</f>
        <v>ADS8325IDRBR</v>
      </c>
      <c r="B1072" s="3" t="s">
        <v>90</v>
      </c>
      <c r="C1072" s="5">
        <v>162472</v>
      </c>
      <c r="D1072" s="6">
        <v>16.59</v>
      </c>
      <c r="E1072" t="s">
        <v>34</v>
      </c>
    </row>
    <row r="1073" spans="1:5" x14ac:dyDescent="0.25">
      <c r="A1073" t="str">
        <f>HYPERLINK("https://www.773grp.com/globalSearch/TLC1550IDW/page-1", "TLC1550IDW")</f>
        <v>TLC1550IDW</v>
      </c>
      <c r="B1073" s="3" t="s">
        <v>90</v>
      </c>
      <c r="C1073" s="5">
        <v>5527</v>
      </c>
      <c r="D1073" s="6">
        <v>16.59</v>
      </c>
      <c r="E1073" t="s">
        <v>34</v>
      </c>
    </row>
    <row r="1074" spans="1:5" x14ac:dyDescent="0.25">
      <c r="A1074" t="str">
        <f>HYPERLINK("https://www.773grp.com/globalSearch/TLC1550IFN/page-1", "TLC1550IFN")</f>
        <v>TLC1550IFN</v>
      </c>
      <c r="B1074" s="3" t="s">
        <v>90</v>
      </c>
      <c r="C1074" s="5">
        <v>11147</v>
      </c>
      <c r="D1074" s="6">
        <v>16.59</v>
      </c>
      <c r="E1074" t="s">
        <v>34</v>
      </c>
    </row>
    <row r="1075" spans="1:5" x14ac:dyDescent="0.25">
      <c r="A1075" t="str">
        <f>HYPERLINK("https://www.773grp.com/globalSearch/TLV2548CDW/page-1", "TLV2548CDW")</f>
        <v>TLV2548CDW</v>
      </c>
      <c r="B1075" s="3" t="s">
        <v>90</v>
      </c>
      <c r="C1075" s="5">
        <v>612</v>
      </c>
      <c r="D1075" s="6">
        <v>16.59</v>
      </c>
      <c r="E1075" t="s">
        <v>34</v>
      </c>
    </row>
    <row r="1076" spans="1:5" x14ac:dyDescent="0.25">
      <c r="A1076" t="str">
        <f>HYPERLINK("https://www.773grp.com/globalSearch/ADS1248IPW/page-1", "ADS1248IPW")</f>
        <v>ADS1248IPW</v>
      </c>
      <c r="B1076" s="3" t="s">
        <v>90</v>
      </c>
      <c r="C1076" s="5">
        <v>78</v>
      </c>
      <c r="D1076" s="6">
        <v>16.71</v>
      </c>
      <c r="E1076" t="s">
        <v>34</v>
      </c>
    </row>
    <row r="1077" spans="1:5" x14ac:dyDescent="0.25">
      <c r="A1077" t="str">
        <f>HYPERLINK("https://www.773grp.com/globalSearch/ADS8320E-250/page-1", "ADS8320E-250")</f>
        <v>ADS8320E-250</v>
      </c>
      <c r="B1077" s="3" t="s">
        <v>90</v>
      </c>
      <c r="C1077" s="5">
        <v>741</v>
      </c>
      <c r="D1077" s="6">
        <v>16.739999999999998</v>
      </c>
      <c r="E1077" t="s">
        <v>34</v>
      </c>
    </row>
    <row r="1078" spans="1:5" x14ac:dyDescent="0.25">
      <c r="A1078" t="str">
        <f>HYPERLINK("https://www.773grp.com/globalSearch/ADS8320EB-2K5/page-1", "ADS8320EB-2K5")</f>
        <v>ADS8320EB-2K5</v>
      </c>
      <c r="B1078" s="3" t="s">
        <v>90</v>
      </c>
      <c r="C1078" s="5">
        <v>7450</v>
      </c>
      <c r="D1078" s="6">
        <v>16.739999999999998</v>
      </c>
      <c r="E1078" t="s">
        <v>34</v>
      </c>
    </row>
    <row r="1079" spans="1:5" x14ac:dyDescent="0.25">
      <c r="A1079" t="str">
        <f>HYPERLINK("https://www.773grp.com/globalSearch/ADS8321E-250/page-1", "ADS8321E-250")</f>
        <v>ADS8321E-250</v>
      </c>
      <c r="B1079" s="3" t="s">
        <v>90</v>
      </c>
      <c r="C1079" s="5">
        <v>1000</v>
      </c>
      <c r="D1079" s="6">
        <v>16.739999999999998</v>
      </c>
      <c r="E1079" t="s">
        <v>34</v>
      </c>
    </row>
    <row r="1080" spans="1:5" x14ac:dyDescent="0.25">
      <c r="A1080" t="str">
        <f>HYPERLINK("https://www.773grp.com/globalSearch/TLC2551CDGK/page-1", "TLC2551CDGK")</f>
        <v>TLC2551CDGK</v>
      </c>
      <c r="B1080" s="3" t="s">
        <v>90</v>
      </c>
      <c r="C1080" s="5">
        <v>416</v>
      </c>
      <c r="D1080" s="6">
        <v>16.739999999999998</v>
      </c>
      <c r="E1080" t="s">
        <v>34</v>
      </c>
    </row>
    <row r="1081" spans="1:5" x14ac:dyDescent="0.25">
      <c r="A1081" t="str">
        <f>HYPERLINK("https://www.773grp.com/globalSearch/TLC2551CDGK/page-1", "TLC2551CDGK")</f>
        <v>TLC2551CDGK</v>
      </c>
      <c r="B1081" s="3" t="s">
        <v>90</v>
      </c>
      <c r="C1081" s="5">
        <v>8790</v>
      </c>
      <c r="D1081" s="6">
        <v>16.739999999999998</v>
      </c>
      <c r="E1081" t="s">
        <v>34</v>
      </c>
    </row>
    <row r="1082" spans="1:5" x14ac:dyDescent="0.25">
      <c r="A1082" t="str">
        <f>HYPERLINK("https://www.773grp.com/globalSearch/ADS822E-1K/page-1", "ADS822E-1K")</f>
        <v>ADS822E-1K</v>
      </c>
      <c r="B1082" s="3" t="s">
        <v>90</v>
      </c>
      <c r="C1082" s="5">
        <v>1000</v>
      </c>
      <c r="D1082" s="6">
        <v>16.84</v>
      </c>
      <c r="E1082" t="s">
        <v>34</v>
      </c>
    </row>
    <row r="1083" spans="1:5" x14ac:dyDescent="0.25">
      <c r="A1083" t="str">
        <f>HYPERLINK("https://www.773grp.com/globalSearch/ADS7871IDB/page-1", "ADS7871IDB")</f>
        <v>ADS7871IDB</v>
      </c>
      <c r="B1083" s="3" t="s">
        <v>90</v>
      </c>
      <c r="C1083" s="5">
        <v>293</v>
      </c>
      <c r="D1083" s="6">
        <v>16.88</v>
      </c>
      <c r="E1083" t="s">
        <v>34</v>
      </c>
    </row>
    <row r="1084" spans="1:5" x14ac:dyDescent="0.25">
      <c r="A1084" t="str">
        <f>HYPERLINK("https://www.773grp.com/globalSearch/ADS8319IDRCR/page-1", "ADS8319IDRCR")</f>
        <v>ADS8319IDRCR</v>
      </c>
      <c r="B1084" s="3" t="s">
        <v>90</v>
      </c>
      <c r="C1084" s="5">
        <v>3000</v>
      </c>
      <c r="D1084" s="6">
        <v>16.88</v>
      </c>
      <c r="E1084" t="s">
        <v>34</v>
      </c>
    </row>
    <row r="1085" spans="1:5" x14ac:dyDescent="0.25">
      <c r="A1085" t="str">
        <f>HYPERLINK("https://www.773grp.com/globalSearch/ADS8328IPWR/page-1", "ADS8328IPWR")</f>
        <v>ADS8328IPWR</v>
      </c>
      <c r="B1085" s="3" t="s">
        <v>90</v>
      </c>
      <c r="C1085" s="5">
        <v>1950</v>
      </c>
      <c r="D1085" s="6">
        <v>16.88</v>
      </c>
      <c r="E1085" t="s">
        <v>34</v>
      </c>
    </row>
    <row r="1086" spans="1:5" x14ac:dyDescent="0.25">
      <c r="A1086" t="str">
        <f>HYPERLINK("https://www.773grp.com/globalSearch/TLV2548QDW/page-1", "TLV2548QDW")</f>
        <v>TLV2548QDW</v>
      </c>
      <c r="B1086" s="3" t="s">
        <v>90</v>
      </c>
      <c r="C1086" s="5">
        <v>10852</v>
      </c>
      <c r="D1086" s="6">
        <v>16.88</v>
      </c>
      <c r="E1086" t="s">
        <v>34</v>
      </c>
    </row>
    <row r="1087" spans="1:5" x14ac:dyDescent="0.25">
      <c r="A1087" t="str">
        <f>HYPERLINK("https://www.773grp.com/globalSearch/TLV2548QDWG4/page-1", "TLV2548QDWG4")</f>
        <v>TLV2548QDWG4</v>
      </c>
      <c r="B1087" s="3" t="s">
        <v>90</v>
      </c>
      <c r="C1087" s="5">
        <v>1350</v>
      </c>
      <c r="D1087" s="6">
        <v>16.88</v>
      </c>
      <c r="E1087" t="s">
        <v>34</v>
      </c>
    </row>
    <row r="1088" spans="1:5" x14ac:dyDescent="0.25">
      <c r="A1088" t="str">
        <f>HYPERLINK("https://www.773grp.com/globalSearch/THS10064IDA/page-1", "THS10064IDA")</f>
        <v>THS10064IDA</v>
      </c>
      <c r="B1088" s="3" t="s">
        <v>90</v>
      </c>
      <c r="C1088" s="5">
        <v>13680</v>
      </c>
      <c r="D1088" s="6">
        <v>17.3</v>
      </c>
      <c r="E1088" t="s">
        <v>34</v>
      </c>
    </row>
    <row r="1089" spans="1:5" x14ac:dyDescent="0.25">
      <c r="A1089" t="str">
        <f>HYPERLINK("https://www.773grp.com/globalSearch/TLV2542IDGK/page-1", "TLV2542IDGK")</f>
        <v>TLV2542IDGK</v>
      </c>
      <c r="B1089" s="3" t="s">
        <v>90</v>
      </c>
      <c r="C1089" s="5">
        <v>290</v>
      </c>
      <c r="D1089" s="6">
        <v>17.440000000000001</v>
      </c>
      <c r="E1089" t="s">
        <v>34</v>
      </c>
    </row>
    <row r="1090" spans="1:5" x14ac:dyDescent="0.25">
      <c r="A1090" t="str">
        <f>HYPERLINK("https://www.773grp.com/globalSearch/TLC3541ID/page-1", "TLC3541ID")</f>
        <v>TLC3541ID</v>
      </c>
      <c r="B1090" s="3" t="s">
        <v>90</v>
      </c>
      <c r="C1090" s="5">
        <v>3698</v>
      </c>
      <c r="D1090" s="6">
        <v>17.59</v>
      </c>
      <c r="E1090" t="s">
        <v>34</v>
      </c>
    </row>
    <row r="1091" spans="1:5" x14ac:dyDescent="0.25">
      <c r="A1091" t="str">
        <f>HYPERLINK("https://www.773grp.com/globalSearch/TLC3545IDGK/page-1", "TLC3545IDGK")</f>
        <v>TLC3545IDGK</v>
      </c>
      <c r="B1091" s="3" t="s">
        <v>90</v>
      </c>
      <c r="C1091" s="5">
        <v>20504</v>
      </c>
      <c r="D1091" s="6">
        <v>17.59</v>
      </c>
      <c r="E1091" t="s">
        <v>34</v>
      </c>
    </row>
    <row r="1092" spans="1:5" x14ac:dyDescent="0.25">
      <c r="A1092" t="str">
        <f>HYPERLINK("https://www.773grp.com/globalSearch/TLC3545IDR/page-1", "TLC3545IDR")</f>
        <v>TLC3545IDR</v>
      </c>
      <c r="B1092" s="3" t="s">
        <v>90</v>
      </c>
      <c r="C1092" s="5">
        <v>7500</v>
      </c>
      <c r="D1092" s="6">
        <v>17.59</v>
      </c>
      <c r="E1092" t="s">
        <v>34</v>
      </c>
    </row>
    <row r="1093" spans="1:5" x14ac:dyDescent="0.25">
      <c r="A1093" t="str">
        <f>HYPERLINK("https://www.773grp.com/globalSearch/TLV2548IPW/page-1", "TLV2548IPW")</f>
        <v>TLV2548IPW</v>
      </c>
      <c r="B1093" s="3" t="s">
        <v>90</v>
      </c>
      <c r="C1093" s="5">
        <v>9</v>
      </c>
      <c r="D1093" s="6">
        <v>17.59</v>
      </c>
      <c r="E1093" t="s">
        <v>34</v>
      </c>
    </row>
    <row r="1094" spans="1:5" x14ac:dyDescent="0.25">
      <c r="A1094" t="str">
        <f>HYPERLINK("https://www.773grp.com/globalSearch/ADS8331IPW/page-1", "ADS8331IPW")</f>
        <v>ADS8331IPW</v>
      </c>
      <c r="B1094" s="3" t="s">
        <v>90</v>
      </c>
      <c r="C1094" s="5">
        <v>575</v>
      </c>
      <c r="D1094" s="6">
        <v>17.73</v>
      </c>
      <c r="E1094" t="s">
        <v>34</v>
      </c>
    </row>
    <row r="1095" spans="1:5" x14ac:dyDescent="0.25">
      <c r="A1095" t="str">
        <f>HYPERLINK("https://www.773grp.com/globalSearch/ADS8331IRGET/page-1", "ADS8331IRGET")</f>
        <v>ADS8331IRGET</v>
      </c>
      <c r="B1095" s="3" t="s">
        <v>90</v>
      </c>
      <c r="C1095" s="5">
        <v>750</v>
      </c>
      <c r="D1095" s="6">
        <v>17.73</v>
      </c>
      <c r="E1095" t="s">
        <v>34</v>
      </c>
    </row>
    <row r="1096" spans="1:5" x14ac:dyDescent="0.25">
      <c r="A1096" t="str">
        <f>HYPERLINK("https://www.773grp.com/globalSearch/THS10064CDA/page-1", "THS10064CDA")</f>
        <v>THS10064CDA</v>
      </c>
      <c r="B1096" s="3" t="s">
        <v>90</v>
      </c>
      <c r="C1096" s="5">
        <v>12096</v>
      </c>
      <c r="D1096" s="6">
        <v>17.73</v>
      </c>
      <c r="E1096" t="s">
        <v>34</v>
      </c>
    </row>
    <row r="1097" spans="1:5" x14ac:dyDescent="0.25">
      <c r="A1097" t="str">
        <f>HYPERLINK("https://www.773grp.com/globalSearch/TLC2551ID/page-1", "TLC2551ID")</f>
        <v>TLC2551ID</v>
      </c>
      <c r="B1097" s="3" t="s">
        <v>90</v>
      </c>
      <c r="C1097" s="5">
        <v>7042</v>
      </c>
      <c r="D1097" s="6">
        <v>17.73</v>
      </c>
      <c r="E1097" t="s">
        <v>34</v>
      </c>
    </row>
    <row r="1098" spans="1:5" x14ac:dyDescent="0.25">
      <c r="A1098" t="str">
        <f>HYPERLINK("https://www.773grp.com/globalSearch/ADS8327IRSAT/page-1", "ADS8327IRSAT")</f>
        <v>ADS8327IRSAT</v>
      </c>
      <c r="B1098" s="3" t="s">
        <v>90</v>
      </c>
      <c r="C1098" s="5">
        <v>500</v>
      </c>
      <c r="D1098" s="6">
        <v>17.850000000000001</v>
      </c>
      <c r="E1098" t="s">
        <v>34</v>
      </c>
    </row>
    <row r="1099" spans="1:5" x14ac:dyDescent="0.25">
      <c r="A1099" t="str">
        <f>HYPERLINK("https://www.773grp.com/globalSearch/ADS900E/page-1", "ADS900E")</f>
        <v>ADS900E</v>
      </c>
      <c r="B1099" s="3" t="s">
        <v>90</v>
      </c>
      <c r="C1099" s="5">
        <v>7152</v>
      </c>
      <c r="D1099" s="6">
        <v>17.940000000000001</v>
      </c>
      <c r="E1099" t="s">
        <v>34</v>
      </c>
    </row>
    <row r="1100" spans="1:5" x14ac:dyDescent="0.25">
      <c r="A1100" t="str">
        <f>HYPERLINK("https://www.773grp.com/globalSearch/ADS900E/page-1", "ADS900E")</f>
        <v>ADS900E</v>
      </c>
      <c r="B1100" s="3" t="s">
        <v>90</v>
      </c>
      <c r="C1100" s="5">
        <v>4034</v>
      </c>
      <c r="D1100" s="6">
        <v>17.940000000000001</v>
      </c>
      <c r="E1100" t="s">
        <v>34</v>
      </c>
    </row>
    <row r="1101" spans="1:5" x14ac:dyDescent="0.25">
      <c r="A1101" t="str">
        <f>HYPERLINK("https://www.773grp.com/globalSearch/THS1040CPWR/page-1", "THS1040CPWR")</f>
        <v>THS1040CPWR</v>
      </c>
      <c r="B1101" s="3" t="s">
        <v>90</v>
      </c>
      <c r="C1101" s="5">
        <v>10000</v>
      </c>
      <c r="D1101" s="6">
        <v>18</v>
      </c>
      <c r="E1101" t="s">
        <v>34</v>
      </c>
    </row>
    <row r="1102" spans="1:5" x14ac:dyDescent="0.25">
      <c r="A1102" t="str">
        <f>HYPERLINK("https://www.773grp.com/globalSearch/TLV2543CN/page-1", "TLV2543CN")</f>
        <v>TLV2543CN</v>
      </c>
      <c r="B1102" s="3" t="s">
        <v>90</v>
      </c>
      <c r="C1102" s="5">
        <v>1600</v>
      </c>
      <c r="D1102" s="6">
        <v>18.14</v>
      </c>
      <c r="E1102" t="s">
        <v>34</v>
      </c>
    </row>
    <row r="1103" spans="1:5" x14ac:dyDescent="0.25">
      <c r="A1103" t="str">
        <f>HYPERLINK("https://www.773grp.com/globalSearch/ADC0820CCIN/page-1", "ADC0820CCIN")</f>
        <v>ADC0820CCIN</v>
      </c>
      <c r="B1103" s="3" t="s">
        <v>90</v>
      </c>
      <c r="C1103" s="5">
        <v>3300</v>
      </c>
      <c r="D1103" s="6">
        <v>18.28</v>
      </c>
      <c r="E1103" t="s">
        <v>34</v>
      </c>
    </row>
    <row r="1104" spans="1:5" x14ac:dyDescent="0.25">
      <c r="A1104" t="str">
        <f>HYPERLINK("https://www.773grp.com/globalSearch/ADS8327IBPWR/page-1", "ADS8327IBPWR")</f>
        <v>ADS8327IBPWR</v>
      </c>
      <c r="B1104" s="3" t="s">
        <v>90</v>
      </c>
      <c r="C1104" s="5">
        <v>10000</v>
      </c>
      <c r="D1104" s="6">
        <v>18.28</v>
      </c>
      <c r="E1104" t="s">
        <v>34</v>
      </c>
    </row>
    <row r="1105" spans="1:5" x14ac:dyDescent="0.25">
      <c r="A1105" t="str">
        <f>HYPERLINK("https://www.773grp.com/globalSearch/ADS8327IBRSAR/page-1", "ADS8327IBRSAR")</f>
        <v>ADS8327IBRSAR</v>
      </c>
      <c r="B1105" s="3" t="s">
        <v>90</v>
      </c>
      <c r="C1105" s="5">
        <v>9000</v>
      </c>
      <c r="D1105" s="6">
        <v>18.28</v>
      </c>
      <c r="E1105" t="s">
        <v>34</v>
      </c>
    </row>
    <row r="1106" spans="1:5" x14ac:dyDescent="0.25">
      <c r="A1106" t="str">
        <f>HYPERLINK("https://www.773grp.com/globalSearch/ADS8332IRGER/page-1", "ADS8332IRGER")</f>
        <v>ADS8332IRGER</v>
      </c>
      <c r="B1106" s="3" t="s">
        <v>90</v>
      </c>
      <c r="C1106" s="5">
        <v>3319</v>
      </c>
      <c r="D1106" s="6">
        <v>18.28</v>
      </c>
      <c r="E1106" t="s">
        <v>34</v>
      </c>
    </row>
    <row r="1107" spans="1:5" x14ac:dyDescent="0.25">
      <c r="A1107" t="str">
        <f>HYPERLINK("https://www.773grp.com/globalSearch/ADS7863IRGET/page-1", "ADS7863IRGET")</f>
        <v>ADS7863IRGET</v>
      </c>
      <c r="B1107" s="3" t="s">
        <v>90</v>
      </c>
      <c r="C1107" s="5">
        <v>1233</v>
      </c>
      <c r="D1107" s="6">
        <v>18.36</v>
      </c>
      <c r="E1107" t="s">
        <v>34</v>
      </c>
    </row>
    <row r="1108" spans="1:5" x14ac:dyDescent="0.25">
      <c r="A1108" t="str">
        <f>HYPERLINK("https://www.773grp.com/globalSearch/ADS7862Y-250/page-1", "ADS7862Y-250")</f>
        <v>ADS7862Y-250</v>
      </c>
      <c r="B1108" s="3" t="s">
        <v>90</v>
      </c>
      <c r="C1108" s="5">
        <v>5507</v>
      </c>
      <c r="D1108" s="6">
        <v>18.559999999999999</v>
      </c>
      <c r="E1108" t="s">
        <v>34</v>
      </c>
    </row>
    <row r="1109" spans="1:5" x14ac:dyDescent="0.25">
      <c r="A1109" t="str">
        <f>HYPERLINK("https://www.773grp.com/globalSearch/ADS8327IPW/page-1", "ADS8327IPW")</f>
        <v>ADS8327IPW</v>
      </c>
      <c r="B1109" s="3" t="s">
        <v>90</v>
      </c>
      <c r="C1109" s="5">
        <v>23</v>
      </c>
      <c r="D1109" s="6">
        <v>18.559999999999999</v>
      </c>
      <c r="E1109" t="s">
        <v>34</v>
      </c>
    </row>
    <row r="1110" spans="1:5" x14ac:dyDescent="0.25">
      <c r="A1110" t="str">
        <f>HYPERLINK("https://www.773grp.com/globalSearch/TLC2554CD/page-1", "TLC2554CD")</f>
        <v>TLC2554CD</v>
      </c>
      <c r="B1110" s="3" t="s">
        <v>90</v>
      </c>
      <c r="C1110" s="5">
        <v>4748</v>
      </c>
      <c r="D1110" s="6">
        <v>18.7</v>
      </c>
      <c r="E1110" t="s">
        <v>34</v>
      </c>
    </row>
    <row r="1111" spans="1:5" x14ac:dyDescent="0.25">
      <c r="A1111" t="str">
        <f>HYPERLINK("https://www.773grp.com/globalSearch/TLC2574IDW/page-1", "TLC2574IDW")</f>
        <v>TLC2574IDW</v>
      </c>
      <c r="B1111" s="3" t="s">
        <v>90</v>
      </c>
      <c r="C1111" s="5">
        <v>5925</v>
      </c>
      <c r="D1111" s="6">
        <v>18.7</v>
      </c>
      <c r="E1111" t="s">
        <v>34</v>
      </c>
    </row>
    <row r="1112" spans="1:5" x14ac:dyDescent="0.25">
      <c r="A1112" t="str">
        <f>HYPERLINK("https://www.773grp.com/globalSearch/TLC2574IPW/page-1", "TLC2574IPW")</f>
        <v>TLC2574IPW</v>
      </c>
      <c r="B1112" s="3" t="s">
        <v>90</v>
      </c>
      <c r="C1112" s="5">
        <v>10327</v>
      </c>
      <c r="D1112" s="6">
        <v>18.7</v>
      </c>
      <c r="E1112" t="s">
        <v>34</v>
      </c>
    </row>
    <row r="1113" spans="1:5" x14ac:dyDescent="0.25">
      <c r="A1113" t="str">
        <f>HYPERLINK("https://www.773grp.com/globalSearch/ADS8321EB-250/page-1", "ADS8321EB-250")</f>
        <v>ADS8321EB-250</v>
      </c>
      <c r="B1113" s="3" t="s">
        <v>90</v>
      </c>
      <c r="C1113" s="5">
        <v>411</v>
      </c>
      <c r="D1113" s="6">
        <v>18.850000000000001</v>
      </c>
      <c r="E1113" t="s">
        <v>34</v>
      </c>
    </row>
    <row r="1114" spans="1:5" x14ac:dyDescent="0.25">
      <c r="A1114" t="str">
        <f>HYPERLINK("https://www.773grp.com/globalSearch/TLV2543CDB/page-1", "TLV2543CDB")</f>
        <v>TLV2543CDB</v>
      </c>
      <c r="B1114" s="3" t="s">
        <v>90</v>
      </c>
      <c r="C1114" s="5">
        <v>4948</v>
      </c>
      <c r="D1114" s="6">
        <v>18.989999999999998</v>
      </c>
      <c r="E1114" t="s">
        <v>34</v>
      </c>
    </row>
    <row r="1115" spans="1:5" x14ac:dyDescent="0.25">
      <c r="A1115" t="str">
        <f>HYPERLINK("https://www.773grp.com/globalSearch/TLV2543CDW/page-1", "TLV2543CDW")</f>
        <v>TLV2543CDW</v>
      </c>
      <c r="B1115" s="3" t="s">
        <v>90</v>
      </c>
      <c r="C1115" s="5">
        <v>11734</v>
      </c>
      <c r="D1115" s="6">
        <v>18.989999999999998</v>
      </c>
      <c r="E1115" t="s">
        <v>34</v>
      </c>
    </row>
    <row r="1116" spans="1:5" x14ac:dyDescent="0.25">
      <c r="A1116" t="str">
        <f>HYPERLINK("https://www.773grp.com/globalSearch/ADS7863IDBQ/page-1", "ADS7863IDBQ")</f>
        <v>ADS7863IDBQ</v>
      </c>
      <c r="B1116" s="3" t="s">
        <v>90</v>
      </c>
      <c r="C1116" s="5">
        <v>342</v>
      </c>
      <c r="D1116" s="6">
        <v>19.100000000000001</v>
      </c>
      <c r="E1116" t="s">
        <v>34</v>
      </c>
    </row>
    <row r="1117" spans="1:5" x14ac:dyDescent="0.25">
      <c r="A1117" t="str">
        <f>HYPERLINK("https://www.773grp.com/globalSearch/ADS8325IBDGKR/page-1", "ADS8325IBDGKR")</f>
        <v>ADS8325IBDGKR</v>
      </c>
      <c r="B1117" s="3" t="s">
        <v>90</v>
      </c>
      <c r="C1117" s="5">
        <v>5000</v>
      </c>
      <c r="D1117" s="6">
        <v>19.13</v>
      </c>
      <c r="E1117" t="s">
        <v>34</v>
      </c>
    </row>
    <row r="1118" spans="1:5" x14ac:dyDescent="0.25">
      <c r="A1118" t="str">
        <f>HYPERLINK("https://www.773grp.com/globalSearch/ADS8325IBDRBR/page-1", "ADS8325IBDRBR")</f>
        <v>ADS8325IBDRBR</v>
      </c>
      <c r="B1118" s="3" t="s">
        <v>90</v>
      </c>
      <c r="C1118" s="5">
        <v>185900</v>
      </c>
      <c r="D1118" s="6">
        <v>19.13</v>
      </c>
      <c r="E1118" t="s">
        <v>34</v>
      </c>
    </row>
    <row r="1119" spans="1:5" x14ac:dyDescent="0.25">
      <c r="A1119" t="str">
        <f>HYPERLINK("https://www.773grp.com/globalSearch/ADS8325IDGKT/page-1", "ADS8325IDGKT")</f>
        <v>ADS8325IDGKT</v>
      </c>
      <c r="B1119" s="3" t="s">
        <v>90</v>
      </c>
      <c r="C1119" s="5">
        <v>10310</v>
      </c>
      <c r="D1119" s="6">
        <v>19.13</v>
      </c>
      <c r="E1119" t="s">
        <v>34</v>
      </c>
    </row>
    <row r="1120" spans="1:5" x14ac:dyDescent="0.25">
      <c r="A1120" t="str">
        <f>HYPERLINK("https://www.773grp.com/globalSearch/ADS8325IDRBT/page-1", "ADS8325IDRBT")</f>
        <v>ADS8325IDRBT</v>
      </c>
      <c r="B1120" s="3" t="s">
        <v>90</v>
      </c>
      <c r="C1120" s="5">
        <v>22200</v>
      </c>
      <c r="D1120" s="6">
        <v>19.13</v>
      </c>
      <c r="E1120" t="s">
        <v>34</v>
      </c>
    </row>
    <row r="1121" spans="1:5" x14ac:dyDescent="0.25">
      <c r="A1121" t="str">
        <f>HYPERLINK("https://www.773grp.com/globalSearch/ADS825E/page-1", "ADS825E")</f>
        <v>ADS825E</v>
      </c>
      <c r="B1121" s="3" t="s">
        <v>90</v>
      </c>
      <c r="C1121" s="5">
        <v>4594</v>
      </c>
      <c r="D1121" s="6">
        <v>19.190000000000001</v>
      </c>
      <c r="E1121" t="s">
        <v>34</v>
      </c>
    </row>
    <row r="1122" spans="1:5" x14ac:dyDescent="0.25">
      <c r="A1122" t="str">
        <f>HYPERLINK("https://www.773grp.com/globalSearch/ADS825E/page-1", "ADS825E")</f>
        <v>ADS825E</v>
      </c>
      <c r="B1122" s="3" t="s">
        <v>90</v>
      </c>
      <c r="C1122" s="5">
        <v>180</v>
      </c>
      <c r="D1122" s="6">
        <v>19.190000000000001</v>
      </c>
      <c r="E1122" t="s">
        <v>34</v>
      </c>
    </row>
    <row r="1123" spans="1:5" x14ac:dyDescent="0.25">
      <c r="A1123" t="str">
        <f>HYPERLINK("https://www.773grp.com/globalSearch/ADS1158IRTCT/page-1", "ADS1158IRTCT")</f>
        <v>ADS1158IRTCT</v>
      </c>
      <c r="B1123" s="3" t="s">
        <v>90</v>
      </c>
      <c r="C1123" s="5">
        <v>750</v>
      </c>
      <c r="D1123" s="6">
        <v>19.28</v>
      </c>
      <c r="E1123" t="s">
        <v>34</v>
      </c>
    </row>
    <row r="1124" spans="1:5" x14ac:dyDescent="0.25">
      <c r="A1124" t="str">
        <f>HYPERLINK("https://www.773grp.com/globalSearch/TLC2558IPW/page-1", "TLC2558IPW")</f>
        <v>TLC2558IPW</v>
      </c>
      <c r="B1124" s="3" t="s">
        <v>90</v>
      </c>
      <c r="C1124" s="5">
        <v>27</v>
      </c>
      <c r="D1124" s="6">
        <v>19.28</v>
      </c>
      <c r="E1124" t="s">
        <v>34</v>
      </c>
    </row>
    <row r="1125" spans="1:5" x14ac:dyDescent="0.25">
      <c r="A1125" t="str">
        <f>HYPERLINK("https://www.773grp.com/globalSearch/TLC3574IN/page-1", "TLC3574IN")</f>
        <v>TLC3574IN</v>
      </c>
      <c r="B1125" s="3" t="s">
        <v>90</v>
      </c>
      <c r="C1125" s="5">
        <v>2474</v>
      </c>
      <c r="D1125" s="6">
        <v>19.28</v>
      </c>
      <c r="E1125" t="s">
        <v>34</v>
      </c>
    </row>
    <row r="1126" spans="1:5" x14ac:dyDescent="0.25">
      <c r="A1126" t="str">
        <f>HYPERLINK("https://www.773grp.com/globalSearch/TLV2543IN/page-1", "TLV2543IN")</f>
        <v>TLV2543IN</v>
      </c>
      <c r="B1126" s="3" t="s">
        <v>90</v>
      </c>
      <c r="C1126" s="5">
        <v>6506</v>
      </c>
      <c r="D1126" s="6">
        <v>19.28</v>
      </c>
      <c r="E1126" t="s">
        <v>34</v>
      </c>
    </row>
    <row r="1127" spans="1:5" x14ac:dyDescent="0.25">
      <c r="A1127" t="str">
        <f>HYPERLINK("https://www.773grp.com/globalSearch/ADS1174IPAPT/page-1", "ADS1174IPAPT")</f>
        <v>ADS1174IPAPT</v>
      </c>
      <c r="B1127" s="3" t="s">
        <v>90</v>
      </c>
      <c r="C1127" s="5">
        <v>1485</v>
      </c>
      <c r="D1127" s="6">
        <v>19.41</v>
      </c>
      <c r="E1127" t="s">
        <v>34</v>
      </c>
    </row>
    <row r="1128" spans="1:5" x14ac:dyDescent="0.25">
      <c r="A1128" t="str">
        <f>HYPERLINK("https://www.773grp.com/globalSearch/ADS8319IDGST/page-1", "ADS8319IDGST")</f>
        <v>ADS8319IDGST</v>
      </c>
      <c r="B1128" s="3" t="s">
        <v>90</v>
      </c>
      <c r="C1128" s="5">
        <v>1425</v>
      </c>
      <c r="D1128" s="6">
        <v>19.41</v>
      </c>
      <c r="E1128" t="s">
        <v>34</v>
      </c>
    </row>
    <row r="1129" spans="1:5" x14ac:dyDescent="0.25">
      <c r="A1129" t="str">
        <f>HYPERLINK("https://www.773grp.com/globalSearch/ADS8319IDRCT/page-1", "ADS8319IDRCT")</f>
        <v>ADS8319IDRCT</v>
      </c>
      <c r="B1129" s="3" t="s">
        <v>90</v>
      </c>
      <c r="C1129" s="5">
        <v>746</v>
      </c>
      <c r="D1129" s="6">
        <v>19.41</v>
      </c>
      <c r="E1129" t="s">
        <v>34</v>
      </c>
    </row>
    <row r="1130" spans="1:5" x14ac:dyDescent="0.25">
      <c r="A1130" t="str">
        <f>HYPERLINK("https://www.773grp.com/globalSearch/ADS8328IRSAT/page-1", "ADS8328IRSAT")</f>
        <v>ADS8328IRSAT</v>
      </c>
      <c r="B1130" s="3" t="s">
        <v>90</v>
      </c>
      <c r="C1130" s="5">
        <v>250</v>
      </c>
      <c r="D1130" s="6">
        <v>19.41</v>
      </c>
      <c r="E1130" t="s">
        <v>34</v>
      </c>
    </row>
    <row r="1131" spans="1:5" x14ac:dyDescent="0.25">
      <c r="A1131" t="str">
        <f>HYPERLINK("https://www.773grp.com/globalSearch/ADS8317IBDGKR/page-1", "ADS8317IBDGKR")</f>
        <v>ADS8317IBDGKR</v>
      </c>
      <c r="B1131" s="3" t="s">
        <v>90</v>
      </c>
      <c r="C1131" s="5">
        <v>27500</v>
      </c>
      <c r="D1131" s="6">
        <v>19.54</v>
      </c>
      <c r="E1131" t="s">
        <v>34</v>
      </c>
    </row>
    <row r="1132" spans="1:5" x14ac:dyDescent="0.25">
      <c r="A1132" t="str">
        <f>HYPERLINK("https://www.773grp.com/globalSearch/ADS8317IBDRBR/page-1", "ADS8317IBDRBR")</f>
        <v>ADS8317IBDRBR</v>
      </c>
      <c r="B1132" s="3" t="s">
        <v>90</v>
      </c>
      <c r="C1132" s="5">
        <v>15000</v>
      </c>
      <c r="D1132" s="6">
        <v>19.54</v>
      </c>
      <c r="E1132" t="s">
        <v>34</v>
      </c>
    </row>
    <row r="1133" spans="1:5" x14ac:dyDescent="0.25">
      <c r="A1133" t="str">
        <f>HYPERLINK("https://www.773grp.com/globalSearch/ADS8326IBDGKR/page-1", "ADS8326IBDGKR")</f>
        <v>ADS8326IBDGKR</v>
      </c>
      <c r="B1133" s="3" t="s">
        <v>90</v>
      </c>
      <c r="C1133" s="5">
        <v>13925</v>
      </c>
      <c r="D1133" s="6">
        <v>19.54</v>
      </c>
      <c r="E1133" t="s">
        <v>34</v>
      </c>
    </row>
    <row r="1134" spans="1:5" x14ac:dyDescent="0.25">
      <c r="A1134" t="str">
        <f>HYPERLINK("https://www.773grp.com/globalSearch/ADS1255IDBR/page-1", "ADS1255IDBR")</f>
        <v>ADS1255IDBR</v>
      </c>
      <c r="B1134" s="3" t="s">
        <v>90</v>
      </c>
      <c r="C1134" s="5">
        <v>800</v>
      </c>
      <c r="D1134" s="6">
        <v>19.579999999999998</v>
      </c>
      <c r="E1134" t="s">
        <v>34</v>
      </c>
    </row>
    <row r="1135" spans="1:5" x14ac:dyDescent="0.25">
      <c r="A1135" t="str">
        <f>HYPERLINK("https://www.773grp.com/globalSearch/ADS8328IBPWR/page-1", "ADS8328IBPWR")</f>
        <v>ADS8328IBPWR</v>
      </c>
      <c r="B1135" s="3" t="s">
        <v>90</v>
      </c>
      <c r="C1135" s="5">
        <v>1945</v>
      </c>
      <c r="D1135" s="6">
        <v>19.690000000000001</v>
      </c>
      <c r="E1135" t="s">
        <v>34</v>
      </c>
    </row>
    <row r="1136" spans="1:5" x14ac:dyDescent="0.25">
      <c r="A1136" t="str">
        <f>HYPERLINK("https://www.773grp.com/globalSearch/ADS8328IBRSAR/page-1", "ADS8328IBRSAR")</f>
        <v>ADS8328IBRSAR</v>
      </c>
      <c r="B1136" s="3" t="s">
        <v>90</v>
      </c>
      <c r="C1136" s="5">
        <v>15000</v>
      </c>
      <c r="D1136" s="6">
        <v>19.690000000000001</v>
      </c>
      <c r="E1136" t="s">
        <v>34</v>
      </c>
    </row>
    <row r="1137" spans="1:5" x14ac:dyDescent="0.25">
      <c r="A1137" t="str">
        <f>HYPERLINK("https://www.773grp.com/globalSearch/ADS8506IDWR/page-1", "ADS8506IDWR")</f>
        <v>ADS8506IDWR</v>
      </c>
      <c r="B1137" s="3" t="s">
        <v>90</v>
      </c>
      <c r="C1137" s="5">
        <v>2000</v>
      </c>
      <c r="D1137" s="6">
        <v>19.690000000000001</v>
      </c>
      <c r="E1137" t="s">
        <v>34</v>
      </c>
    </row>
    <row r="1138" spans="1:5" x14ac:dyDescent="0.25">
      <c r="A1138" t="str">
        <f>HYPERLINK("https://www.773grp.com/globalSearch/ADS8512IDWR/page-1", "ADS8512IDWR")</f>
        <v>ADS8512IDWR</v>
      </c>
      <c r="B1138" s="3" t="s">
        <v>90</v>
      </c>
      <c r="C1138" s="5">
        <v>1990</v>
      </c>
      <c r="D1138" s="6">
        <v>19.690000000000001</v>
      </c>
      <c r="E1138" t="s">
        <v>34</v>
      </c>
    </row>
    <row r="1139" spans="1:5" x14ac:dyDescent="0.25">
      <c r="A1139" t="str">
        <f>HYPERLINK("https://www.773grp.com/globalSearch/ADS8323Y-2K/page-1", "ADS8323Y-2K")</f>
        <v>ADS8323Y-2K</v>
      </c>
      <c r="B1139" s="3" t="s">
        <v>90</v>
      </c>
      <c r="C1139" s="5">
        <v>2000</v>
      </c>
      <c r="D1139" s="6">
        <v>19.96</v>
      </c>
      <c r="E1139" t="s">
        <v>34</v>
      </c>
    </row>
    <row r="1140" spans="1:5" x14ac:dyDescent="0.25">
      <c r="A1140" t="str">
        <f>HYPERLINK("https://www.773grp.com/globalSearch/TLC2554IPW/page-1", "TLC2554IPW")</f>
        <v>TLC2554IPW</v>
      </c>
      <c r="B1140" s="3" t="s">
        <v>90</v>
      </c>
      <c r="C1140" s="5">
        <v>6023</v>
      </c>
      <c r="D1140" s="6">
        <v>20.11</v>
      </c>
      <c r="E1140" t="s">
        <v>34</v>
      </c>
    </row>
    <row r="1141" spans="1:5" x14ac:dyDescent="0.25">
      <c r="A1141" t="str">
        <f>HYPERLINK("https://www.773grp.com/globalSearch/TLV2543IDB/page-1", "TLV2543IDB")</f>
        <v>TLV2543IDB</v>
      </c>
      <c r="B1141" s="3" t="s">
        <v>90</v>
      </c>
      <c r="C1141" s="5">
        <v>577</v>
      </c>
      <c r="D1141" s="6">
        <v>20.11</v>
      </c>
      <c r="E1141" t="s">
        <v>34</v>
      </c>
    </row>
    <row r="1142" spans="1:5" x14ac:dyDescent="0.25">
      <c r="A1142" t="str">
        <f>HYPERLINK("https://www.773grp.com/globalSearch/TLV2543IDW/page-1", "TLV2543IDW")</f>
        <v>TLV2543IDW</v>
      </c>
      <c r="B1142" s="3" t="s">
        <v>90</v>
      </c>
      <c r="C1142" s="5">
        <v>13823</v>
      </c>
      <c r="D1142" s="6">
        <v>20.11</v>
      </c>
      <c r="E1142" t="s">
        <v>34</v>
      </c>
    </row>
    <row r="1143" spans="1:5" x14ac:dyDescent="0.25">
      <c r="A1143" t="str">
        <f>HYPERLINK("https://www.773grp.com/globalSearch/ADS1254E-2K5/page-1", "ADS1254E-2K5")</f>
        <v>ADS1254E-2K5</v>
      </c>
      <c r="B1143" s="3" t="s">
        <v>90</v>
      </c>
      <c r="C1143" s="5">
        <v>5000</v>
      </c>
      <c r="D1143" s="6">
        <v>20.16</v>
      </c>
      <c r="E1143" t="s">
        <v>34</v>
      </c>
    </row>
    <row r="1144" spans="1:5" x14ac:dyDescent="0.25">
      <c r="A1144" t="str">
        <f>HYPERLINK("https://www.773grp.com/globalSearch/ADS822E/page-1", "ADS822E")</f>
        <v>ADS822E</v>
      </c>
      <c r="B1144" s="3" t="s">
        <v>90</v>
      </c>
      <c r="C1144" s="5">
        <v>136</v>
      </c>
      <c r="D1144" s="6">
        <v>20.21</v>
      </c>
      <c r="E1144" t="s">
        <v>34</v>
      </c>
    </row>
    <row r="1145" spans="1:5" x14ac:dyDescent="0.25">
      <c r="A1145" t="str">
        <f>HYPERLINK("https://www.773grp.com/globalSearch/ADS1251U/page-1", "ADS1251U")</f>
        <v>ADS1251U</v>
      </c>
      <c r="B1145" s="3" t="s">
        <v>90</v>
      </c>
      <c r="C1145" s="5">
        <v>550</v>
      </c>
      <c r="D1145" s="6">
        <v>20.25</v>
      </c>
      <c r="E1145" t="s">
        <v>34</v>
      </c>
    </row>
    <row r="1146" spans="1:5" x14ac:dyDescent="0.25">
      <c r="A1146" t="str">
        <f>HYPERLINK("https://www.773grp.com/globalSearch/ADS8328IPW/page-1", "ADS8328IPW")</f>
        <v>ADS8328IPW</v>
      </c>
      <c r="B1146" s="3" t="s">
        <v>90</v>
      </c>
      <c r="C1146" s="5">
        <v>6555</v>
      </c>
      <c r="D1146" s="6">
        <v>20.25</v>
      </c>
      <c r="E1146" t="s">
        <v>34</v>
      </c>
    </row>
    <row r="1147" spans="1:5" x14ac:dyDescent="0.25">
      <c r="A1147" t="str">
        <f>HYPERLINK("https://www.773grp.com/globalSearch/ADS8329IRSAR/page-1", "ADS8329IRSAR")</f>
        <v>ADS8329IRSAR</v>
      </c>
      <c r="B1147" s="3" t="s">
        <v>90</v>
      </c>
      <c r="C1147" s="5">
        <v>15848</v>
      </c>
      <c r="D1147" s="6">
        <v>20.25</v>
      </c>
      <c r="E1147" t="s">
        <v>34</v>
      </c>
    </row>
    <row r="1148" spans="1:5" x14ac:dyDescent="0.25">
      <c r="A1148" t="str">
        <f>HYPERLINK("https://www.773grp.com/globalSearch/TLC2578IDW/page-1", "TLC2578IDW")</f>
        <v>TLC2578IDW</v>
      </c>
      <c r="B1148" s="3" t="s">
        <v>90</v>
      </c>
      <c r="C1148" s="5">
        <v>14054</v>
      </c>
      <c r="D1148" s="6">
        <v>20.39</v>
      </c>
      <c r="E1148" t="s">
        <v>34</v>
      </c>
    </row>
    <row r="1149" spans="1:5" x14ac:dyDescent="0.25">
      <c r="A1149" t="str">
        <f>HYPERLINK("https://www.773grp.com/globalSearch/ADS8331IBPW/page-1", "ADS8331IBPW")</f>
        <v>ADS8331IBPW</v>
      </c>
      <c r="B1149" s="3" t="s">
        <v>90</v>
      </c>
      <c r="C1149" s="5">
        <v>696</v>
      </c>
      <c r="D1149" s="6">
        <v>20.54</v>
      </c>
      <c r="E1149" t="s">
        <v>34</v>
      </c>
    </row>
    <row r="1150" spans="1:5" x14ac:dyDescent="0.25">
      <c r="A1150" t="str">
        <f>HYPERLINK("https://www.773grp.com/globalSearch/ADS8331IBRGET/page-1", "ADS8331IBRGET")</f>
        <v>ADS8331IBRGET</v>
      </c>
      <c r="B1150" s="3" t="s">
        <v>90</v>
      </c>
      <c r="C1150" s="5">
        <v>1028</v>
      </c>
      <c r="D1150" s="6">
        <v>20.54</v>
      </c>
      <c r="E1150" t="s">
        <v>34</v>
      </c>
    </row>
    <row r="1151" spans="1:5" x14ac:dyDescent="0.25">
      <c r="A1151" t="str">
        <f>HYPERLINK("https://www.773grp.com/globalSearch/THS1401CPFB/page-1", "THS1401CPFB")</f>
        <v>THS1401CPFB</v>
      </c>
      <c r="B1151" s="3" t="s">
        <v>90</v>
      </c>
      <c r="C1151" s="5">
        <v>4057</v>
      </c>
      <c r="D1151" s="6">
        <v>20.59</v>
      </c>
      <c r="E1151" t="s">
        <v>34</v>
      </c>
    </row>
    <row r="1152" spans="1:5" x14ac:dyDescent="0.25">
      <c r="A1152" t="str">
        <f>HYPERLINK("https://www.773grp.com/globalSearch/ADS8327IBRSAT/page-1", "ADS8327IBRSAT")</f>
        <v>ADS8327IBRSAT</v>
      </c>
      <c r="B1152" s="3" t="s">
        <v>90</v>
      </c>
      <c r="C1152" s="5">
        <v>977</v>
      </c>
      <c r="D1152" s="6">
        <v>20.68</v>
      </c>
      <c r="E1152" t="s">
        <v>34</v>
      </c>
    </row>
    <row r="1153" spans="1:5" x14ac:dyDescent="0.25">
      <c r="A1153" t="str">
        <f>HYPERLINK("https://www.773grp.com/globalSearch/ADS8319IBDRCR/page-1", "ADS8319IBDRCR")</f>
        <v>ADS8319IBDRCR</v>
      </c>
      <c r="B1153" s="3" t="s">
        <v>90</v>
      </c>
      <c r="C1153" s="5">
        <v>3000</v>
      </c>
      <c r="D1153" s="6">
        <v>21.1</v>
      </c>
      <c r="E1153" t="s">
        <v>34</v>
      </c>
    </row>
    <row r="1154" spans="1:5" x14ac:dyDescent="0.25">
      <c r="A1154" t="str">
        <f>HYPERLINK("https://www.773grp.com/globalSearch/ADS8332IBRGER/page-1", "ADS8332IBRGER")</f>
        <v>ADS8332IBRGER</v>
      </c>
      <c r="B1154" s="3" t="s">
        <v>90</v>
      </c>
      <c r="C1154" s="5">
        <v>3000</v>
      </c>
      <c r="D1154" s="6">
        <v>21.1</v>
      </c>
      <c r="E1154" t="s">
        <v>34</v>
      </c>
    </row>
    <row r="1155" spans="1:5" x14ac:dyDescent="0.25">
      <c r="A1155" t="str">
        <f>HYPERLINK("https://www.773grp.com/globalSearch/ADS8332IPW/page-1", "ADS8332IPW")</f>
        <v>ADS8332IPW</v>
      </c>
      <c r="B1155" s="3" t="s">
        <v>90</v>
      </c>
      <c r="C1155" s="5">
        <v>1280</v>
      </c>
      <c r="D1155" s="6">
        <v>21.1</v>
      </c>
      <c r="E1155" t="s">
        <v>34</v>
      </c>
    </row>
    <row r="1156" spans="1:5" x14ac:dyDescent="0.25">
      <c r="A1156" t="str">
        <f>HYPERLINK("https://www.773grp.com/globalSearch/TLC3541IDGK/page-1", "TLC3541IDGK")</f>
        <v>TLC3541IDGK</v>
      </c>
      <c r="B1156" s="3" t="s">
        <v>90</v>
      </c>
      <c r="C1156" s="5">
        <v>118</v>
      </c>
      <c r="D1156" s="6">
        <v>21.1</v>
      </c>
      <c r="E1156" t="s">
        <v>34</v>
      </c>
    </row>
    <row r="1157" spans="1:5" x14ac:dyDescent="0.25">
      <c r="A1157" t="str">
        <f>HYPERLINK("https://www.773grp.com/globalSearch/TLC3544CDW/page-1", "TLC3544CDW")</f>
        <v>TLC3544CDW</v>
      </c>
      <c r="B1157" s="3" t="s">
        <v>90</v>
      </c>
      <c r="C1157" s="5">
        <v>1750</v>
      </c>
      <c r="D1157" s="6">
        <v>21.1</v>
      </c>
      <c r="E1157" t="s">
        <v>34</v>
      </c>
    </row>
    <row r="1158" spans="1:5" x14ac:dyDescent="0.25">
      <c r="A1158" t="str">
        <f>HYPERLINK("https://www.773grp.com/globalSearch/TLC3545ID/page-1", "TLC3545ID")</f>
        <v>TLC3545ID</v>
      </c>
      <c r="B1158" s="3" t="s">
        <v>90</v>
      </c>
      <c r="C1158" s="5">
        <v>1303</v>
      </c>
      <c r="D1158" s="6">
        <v>21.1</v>
      </c>
      <c r="E1158" t="s">
        <v>34</v>
      </c>
    </row>
    <row r="1159" spans="1:5" x14ac:dyDescent="0.25">
      <c r="A1159" t="str">
        <f>HYPERLINK("https://www.773grp.com/globalSearch/ADS8327IBPW/page-1", "ADS8327IBPW")</f>
        <v>ADS8327IBPW</v>
      </c>
      <c r="B1159" s="3" t="s">
        <v>90</v>
      </c>
      <c r="C1159" s="5">
        <v>8117</v>
      </c>
      <c r="D1159" s="6">
        <v>21.38</v>
      </c>
      <c r="E1159" t="s">
        <v>34</v>
      </c>
    </row>
    <row r="1160" spans="1:5" x14ac:dyDescent="0.25">
      <c r="A1160" t="str">
        <f>HYPERLINK("https://www.773grp.com/globalSearch/ADS8330IRSAR/page-1", "ADS8330IRSAR")</f>
        <v>ADS8330IRSAR</v>
      </c>
      <c r="B1160" s="3" t="s">
        <v>90</v>
      </c>
      <c r="C1160" s="5">
        <v>9000</v>
      </c>
      <c r="D1160" s="6">
        <v>21.38</v>
      </c>
      <c r="E1160" t="s">
        <v>34</v>
      </c>
    </row>
    <row r="1161" spans="1:5" x14ac:dyDescent="0.25">
      <c r="A1161" t="str">
        <f>HYPERLINK("https://www.773grp.com/globalSearch/TLC2554ID/page-1", "TLC2554ID")</f>
        <v>TLC2554ID</v>
      </c>
      <c r="B1161" s="3" t="s">
        <v>90</v>
      </c>
      <c r="C1161" s="5">
        <v>12544</v>
      </c>
      <c r="D1161" s="6">
        <v>21.38</v>
      </c>
      <c r="E1161" t="s">
        <v>34</v>
      </c>
    </row>
    <row r="1162" spans="1:5" x14ac:dyDescent="0.25">
      <c r="A1162" t="str">
        <f>HYPERLINK("https://www.773grp.com/globalSearch/ADS7864Y-250/page-1", "ADS7864Y-250")</f>
        <v>ADS7864Y-250</v>
      </c>
      <c r="B1162" s="3" t="s">
        <v>90</v>
      </c>
      <c r="C1162" s="5">
        <v>1244</v>
      </c>
      <c r="D1162" s="6">
        <v>21.51</v>
      </c>
      <c r="E1162" t="s">
        <v>34</v>
      </c>
    </row>
    <row r="1163" spans="1:5" x14ac:dyDescent="0.25">
      <c r="A1163" t="str">
        <f>HYPERLINK("https://www.773grp.com/globalSearch/ADS7864YB-2K/page-1", "ADS7864YB-2K")</f>
        <v>ADS7864YB-2K</v>
      </c>
      <c r="B1163" s="3" t="s">
        <v>90</v>
      </c>
      <c r="C1163" s="5">
        <v>2000</v>
      </c>
      <c r="D1163" s="6">
        <v>21.51</v>
      </c>
      <c r="E1163" t="s">
        <v>34</v>
      </c>
    </row>
    <row r="1164" spans="1:5" x14ac:dyDescent="0.25">
      <c r="A1164" t="str">
        <f>HYPERLINK("https://www.773grp.com/globalSearch/ADS7862YB-250/page-1", "ADS7862YB-250")</f>
        <v>ADS7862YB-250</v>
      </c>
      <c r="B1164" s="3" t="s">
        <v>90</v>
      </c>
      <c r="C1164" s="5">
        <v>8250</v>
      </c>
      <c r="D1164" s="6">
        <v>21.65</v>
      </c>
      <c r="E1164" t="s">
        <v>34</v>
      </c>
    </row>
    <row r="1165" spans="1:5" x14ac:dyDescent="0.25">
      <c r="A1165" t="str">
        <f>HYPERLINK("https://www.773grp.com/globalSearch/ADS8317IBDGKT/page-1", "ADS8317IBDGKT")</f>
        <v>ADS8317IBDGKT</v>
      </c>
      <c r="B1165" s="3" t="s">
        <v>90</v>
      </c>
      <c r="C1165" s="5">
        <v>1750</v>
      </c>
      <c r="D1165" s="6">
        <v>21.65</v>
      </c>
      <c r="E1165" t="s">
        <v>34</v>
      </c>
    </row>
    <row r="1166" spans="1:5" x14ac:dyDescent="0.25">
      <c r="A1166" t="str">
        <f>HYPERLINK("https://www.773grp.com/globalSearch/ADS8317IBDRBT/page-1", "ADS8317IBDRBT")</f>
        <v>ADS8317IBDRBT</v>
      </c>
      <c r="B1166" s="3" t="s">
        <v>90</v>
      </c>
      <c r="C1166" s="5">
        <v>9750</v>
      </c>
      <c r="D1166" s="6">
        <v>21.65</v>
      </c>
      <c r="E1166" t="s">
        <v>34</v>
      </c>
    </row>
    <row r="1167" spans="1:5" x14ac:dyDescent="0.25">
      <c r="A1167" t="str">
        <f>HYPERLINK("https://www.773grp.com/globalSearch/ADS8325IBDGKT/page-1", "ADS8325IBDGKT")</f>
        <v>ADS8325IBDGKT</v>
      </c>
      <c r="B1167" s="3" t="s">
        <v>90</v>
      </c>
      <c r="C1167" s="5">
        <v>4500</v>
      </c>
      <c r="D1167" s="6">
        <v>21.65</v>
      </c>
      <c r="E1167" t="s">
        <v>34</v>
      </c>
    </row>
    <row r="1168" spans="1:5" x14ac:dyDescent="0.25">
      <c r="A1168" t="str">
        <f>HYPERLINK("https://www.773grp.com/globalSearch/ADS8325IBDRBT/page-1", "ADS8325IBDRBT")</f>
        <v>ADS8325IBDRBT</v>
      </c>
      <c r="B1168" s="3" t="s">
        <v>90</v>
      </c>
      <c r="C1168" s="5">
        <v>4381</v>
      </c>
      <c r="D1168" s="6">
        <v>21.65</v>
      </c>
      <c r="E1168" t="s">
        <v>34</v>
      </c>
    </row>
    <row r="1169" spans="1:5" x14ac:dyDescent="0.25">
      <c r="A1169" t="str">
        <f>HYPERLINK("https://www.773grp.com/globalSearch/ADS8326IBDGKT/page-1", "ADS8326IBDGKT")</f>
        <v>ADS8326IBDGKT</v>
      </c>
      <c r="B1169" s="3" t="s">
        <v>90</v>
      </c>
      <c r="C1169" s="5">
        <v>1087</v>
      </c>
      <c r="D1169" s="6">
        <v>21.65</v>
      </c>
      <c r="E1169" t="s">
        <v>34</v>
      </c>
    </row>
    <row r="1170" spans="1:5" x14ac:dyDescent="0.25">
      <c r="A1170" t="str">
        <f>HYPERLINK("https://www.773grp.com/globalSearch/ADS8326IBDRBT/page-1", "ADS8326IBDRBT")</f>
        <v>ADS8326IBDRBT</v>
      </c>
      <c r="B1170" s="3" t="s">
        <v>90</v>
      </c>
      <c r="C1170" s="5">
        <v>250</v>
      </c>
      <c r="D1170" s="6">
        <v>21.65</v>
      </c>
      <c r="E1170" t="s">
        <v>34</v>
      </c>
    </row>
    <row r="1171" spans="1:5" x14ac:dyDescent="0.25">
      <c r="A1171" t="str">
        <f>HYPERLINK("https://www.773grp.com/globalSearch/ADS1252U/page-1", "ADS1252U")</f>
        <v>ADS1252U</v>
      </c>
      <c r="B1171" s="3" t="s">
        <v>90</v>
      </c>
      <c r="C1171" s="5">
        <v>83</v>
      </c>
      <c r="D1171" s="6">
        <v>21.8</v>
      </c>
      <c r="E1171" t="s">
        <v>34</v>
      </c>
    </row>
    <row r="1172" spans="1:5" x14ac:dyDescent="0.25">
      <c r="A1172" t="str">
        <f>HYPERLINK("https://www.773grp.com/globalSearch/THS1040CDW/page-1", "THS1040CDW")</f>
        <v>THS1040CDW</v>
      </c>
      <c r="B1172" s="3" t="s">
        <v>90</v>
      </c>
      <c r="C1172" s="5">
        <v>24460</v>
      </c>
      <c r="D1172" s="6">
        <v>21.8</v>
      </c>
      <c r="E1172" t="s">
        <v>34</v>
      </c>
    </row>
    <row r="1173" spans="1:5" x14ac:dyDescent="0.25">
      <c r="A1173" t="str">
        <f>HYPERLINK("https://www.773grp.com/globalSearch/TLC3548CPW/page-1", "TLC3548CPW")</f>
        <v>TLC3548CPW</v>
      </c>
      <c r="B1173" s="3" t="s">
        <v>90</v>
      </c>
      <c r="C1173" s="5">
        <v>3328</v>
      </c>
      <c r="D1173" s="6">
        <v>21.8</v>
      </c>
      <c r="E1173" t="s">
        <v>34</v>
      </c>
    </row>
    <row r="1174" spans="1:5" x14ac:dyDescent="0.25">
      <c r="A1174" t="str">
        <f>HYPERLINK("https://www.773grp.com/globalSearch/ADS1204IRHBT/page-1", "ADS1204IRHBT")</f>
        <v>ADS1204IRHBT</v>
      </c>
      <c r="B1174" s="3" t="s">
        <v>90</v>
      </c>
      <c r="C1174" s="5">
        <v>9500</v>
      </c>
      <c r="D1174" s="6">
        <v>21.94</v>
      </c>
      <c r="E1174" t="s">
        <v>34</v>
      </c>
    </row>
    <row r="1175" spans="1:5" x14ac:dyDescent="0.25">
      <c r="A1175" t="str">
        <f>HYPERLINK("https://www.773grp.com/globalSearch/ADS1256IDBR/page-1", "ADS1256IDBR")</f>
        <v>ADS1256IDBR</v>
      </c>
      <c r="B1175" s="3" t="s">
        <v>90</v>
      </c>
      <c r="C1175" s="5">
        <v>1000</v>
      </c>
      <c r="D1175" s="6">
        <v>21.98</v>
      </c>
      <c r="E1175" t="s">
        <v>34</v>
      </c>
    </row>
    <row r="1176" spans="1:5" x14ac:dyDescent="0.25">
      <c r="A1176" t="str">
        <f>HYPERLINK("https://www.773grp.com/globalSearch/ADS1217IPFBR/page-1", "ADS1217IPFBR")</f>
        <v>ADS1217IPFBR</v>
      </c>
      <c r="B1176" s="3" t="s">
        <v>90</v>
      </c>
      <c r="C1176" s="5">
        <v>2000</v>
      </c>
      <c r="D1176" s="6">
        <v>22.16</v>
      </c>
      <c r="E1176" t="s">
        <v>34</v>
      </c>
    </row>
    <row r="1177" spans="1:5" x14ac:dyDescent="0.25">
      <c r="A1177" t="str">
        <f>HYPERLINK("https://www.773grp.com/globalSearch/ADS8328IBRSAT/page-1", "ADS8328IBRSAT")</f>
        <v>ADS8328IBRSAT</v>
      </c>
      <c r="B1177" s="3" t="s">
        <v>90</v>
      </c>
      <c r="C1177" s="5">
        <v>250</v>
      </c>
      <c r="D1177" s="6">
        <v>22.23</v>
      </c>
      <c r="E1177" t="s">
        <v>34</v>
      </c>
    </row>
    <row r="1178" spans="1:5" x14ac:dyDescent="0.25">
      <c r="A1178" t="str">
        <f>HYPERLINK("https://www.773grp.com/globalSearch/ADS1259BIPW/page-1", "ADS1259BIPW")</f>
        <v>ADS1259BIPW</v>
      </c>
      <c r="B1178" s="3" t="s">
        <v>90</v>
      </c>
      <c r="C1178" s="5">
        <v>105</v>
      </c>
      <c r="D1178" s="6">
        <v>22.36</v>
      </c>
      <c r="E1178" t="s">
        <v>34</v>
      </c>
    </row>
    <row r="1179" spans="1:5" x14ac:dyDescent="0.25">
      <c r="A1179" t="str">
        <f>HYPERLINK("https://www.773grp.com/globalSearch/THS0842IPFB/page-1", "THS0842IPFB")</f>
        <v>THS0842IPFB</v>
      </c>
      <c r="B1179" s="3" t="s">
        <v>90</v>
      </c>
      <c r="C1179" s="5">
        <v>910</v>
      </c>
      <c r="D1179" s="6">
        <v>22.39</v>
      </c>
      <c r="E1179" t="s">
        <v>34</v>
      </c>
    </row>
    <row r="1180" spans="1:5" x14ac:dyDescent="0.25">
      <c r="A1180" t="str">
        <f>HYPERLINK("https://www.773grp.com/globalSearch/ADS1178IPAPR/page-1", "ADS1178IPAPR")</f>
        <v>ADS1178IPAPR</v>
      </c>
      <c r="B1180" s="3" t="s">
        <v>90</v>
      </c>
      <c r="C1180" s="5">
        <v>5000</v>
      </c>
      <c r="D1180" s="6">
        <v>22.5</v>
      </c>
      <c r="E1180" t="s">
        <v>34</v>
      </c>
    </row>
    <row r="1181" spans="1:5" x14ac:dyDescent="0.25">
      <c r="A1181" t="str">
        <f>HYPERLINK("https://www.773grp.com/globalSearch/ADS8344E-2K5/page-1", "ADS8344E-2K5")</f>
        <v>ADS8344E-2K5</v>
      </c>
      <c r="B1181" s="3" t="s">
        <v>90</v>
      </c>
      <c r="C1181" s="5">
        <v>413910</v>
      </c>
      <c r="D1181" s="6">
        <v>22.5</v>
      </c>
      <c r="E1181" t="s">
        <v>34</v>
      </c>
    </row>
    <row r="1182" spans="1:5" x14ac:dyDescent="0.25">
      <c r="A1182" t="str">
        <f>HYPERLINK("https://www.773grp.com/globalSearch/ADS8345N-1K/page-1", "ADS8345N-1K")</f>
        <v>ADS8345N-1K</v>
      </c>
      <c r="B1182" s="3" t="s">
        <v>90</v>
      </c>
      <c r="C1182" s="5">
        <v>600</v>
      </c>
      <c r="D1182" s="6">
        <v>22.5</v>
      </c>
      <c r="E1182" t="s">
        <v>34</v>
      </c>
    </row>
    <row r="1183" spans="1:5" x14ac:dyDescent="0.25">
      <c r="A1183" t="str">
        <f>HYPERLINK("https://www.773grp.com/globalSearch/ADS8318IDGST/page-1", "ADS8318IDGST")</f>
        <v>ADS8318IDGST</v>
      </c>
      <c r="B1183" s="3" t="s">
        <v>90</v>
      </c>
      <c r="C1183" s="5">
        <v>960</v>
      </c>
      <c r="D1183" s="6">
        <v>22.65</v>
      </c>
      <c r="E1183" t="s">
        <v>34</v>
      </c>
    </row>
    <row r="1184" spans="1:5" x14ac:dyDescent="0.25">
      <c r="A1184" t="str">
        <f>HYPERLINK("https://www.773grp.com/globalSearch/ADS8318IDRCT/page-1", "ADS8318IDRCT")</f>
        <v>ADS8318IDRCT</v>
      </c>
      <c r="B1184" s="3" t="s">
        <v>90</v>
      </c>
      <c r="C1184" s="5">
        <v>2000</v>
      </c>
      <c r="D1184" s="6">
        <v>22.65</v>
      </c>
      <c r="E1184" t="s">
        <v>34</v>
      </c>
    </row>
    <row r="1185" spans="1:5" x14ac:dyDescent="0.25">
      <c r="A1185" t="str">
        <f>HYPERLINK("https://www.773grp.com/globalSearch/ADS5103IPFB/page-1", "ADS5103IPFB")</f>
        <v>ADS5103IPFB</v>
      </c>
      <c r="B1185" s="3" t="s">
        <v>90</v>
      </c>
      <c r="C1185" s="5">
        <v>2000</v>
      </c>
      <c r="D1185" s="6">
        <v>22.79</v>
      </c>
      <c r="E1185" t="s">
        <v>34</v>
      </c>
    </row>
    <row r="1186" spans="1:5" x14ac:dyDescent="0.25">
      <c r="A1186" t="str">
        <f>HYPERLINK("https://www.773grp.com/globalSearch/TLC3544IDW/page-1", "TLC3544IDW")</f>
        <v>TLC3544IDW</v>
      </c>
      <c r="B1186" s="3" t="s">
        <v>90</v>
      </c>
      <c r="C1186" s="5">
        <v>7698</v>
      </c>
      <c r="D1186" s="6">
        <v>22.79</v>
      </c>
      <c r="E1186" t="s">
        <v>34</v>
      </c>
    </row>
    <row r="1187" spans="1:5" x14ac:dyDescent="0.25">
      <c r="A1187" t="str">
        <f>HYPERLINK("https://www.773grp.com/globalSearch/TLC3544IPW/page-1", "TLC3544IPW")</f>
        <v>TLC3544IPW</v>
      </c>
      <c r="B1187" s="3" t="s">
        <v>90</v>
      </c>
      <c r="C1187" s="5">
        <v>4014</v>
      </c>
      <c r="D1187" s="6">
        <v>22.79</v>
      </c>
      <c r="E1187" t="s">
        <v>34</v>
      </c>
    </row>
    <row r="1188" spans="1:5" x14ac:dyDescent="0.25">
      <c r="A1188" t="str">
        <f>HYPERLINK("https://www.773grp.com/globalSearch/THS1215CPWR/page-1", "THS1215CPWR")</f>
        <v>THS1215CPWR</v>
      </c>
      <c r="B1188" s="3" t="s">
        <v>90</v>
      </c>
      <c r="C1188" s="5">
        <v>6000</v>
      </c>
      <c r="D1188" s="6">
        <v>22.91</v>
      </c>
      <c r="E1188" t="s">
        <v>34</v>
      </c>
    </row>
    <row r="1189" spans="1:5" x14ac:dyDescent="0.25">
      <c r="A1189" t="str">
        <f>HYPERLINK("https://www.773grp.com/globalSearch/ADS8328IBPW/page-1", "ADS8328IBPW")</f>
        <v>ADS8328IBPW</v>
      </c>
      <c r="B1189" s="3" t="s">
        <v>90</v>
      </c>
      <c r="C1189" s="5">
        <v>383</v>
      </c>
      <c r="D1189" s="6">
        <v>23.06</v>
      </c>
      <c r="E1189" t="s">
        <v>34</v>
      </c>
    </row>
    <row r="1190" spans="1:5" x14ac:dyDescent="0.25">
      <c r="A1190" t="str">
        <f>HYPERLINK("https://www.773grp.com/globalSearch/TLC3548IPW/page-1", "TLC3548IPW")</f>
        <v>TLC3548IPW</v>
      </c>
      <c r="B1190" s="3" t="s">
        <v>90</v>
      </c>
      <c r="C1190" s="5">
        <v>116</v>
      </c>
      <c r="D1190" s="6">
        <v>23.2</v>
      </c>
      <c r="E1190" t="s">
        <v>34</v>
      </c>
    </row>
    <row r="1191" spans="1:5" x14ac:dyDescent="0.25">
      <c r="A1191" t="str">
        <f>HYPERLINK("https://www.773grp.com/globalSearch/ADS8329IRSAT/page-1", "ADS8329IRSAT")</f>
        <v>ADS8329IRSAT</v>
      </c>
      <c r="B1191" s="3" t="s">
        <v>90</v>
      </c>
      <c r="C1191" s="5">
        <v>1060</v>
      </c>
      <c r="D1191" s="6">
        <v>23.34</v>
      </c>
      <c r="E1191" t="s">
        <v>34</v>
      </c>
    </row>
    <row r="1192" spans="1:5" x14ac:dyDescent="0.25">
      <c r="A1192" t="str">
        <f>HYPERLINK("https://www.773grp.com/globalSearch/ADS1253E-2K5/page-1", "ADS1253E-2K5")</f>
        <v>ADS1253E-2K5</v>
      </c>
      <c r="B1192" s="3" t="s">
        <v>90</v>
      </c>
      <c r="C1192" s="5">
        <v>17850</v>
      </c>
      <c r="D1192" s="6">
        <v>23.63</v>
      </c>
      <c r="E1192" t="s">
        <v>34</v>
      </c>
    </row>
    <row r="1193" spans="1:5" x14ac:dyDescent="0.25">
      <c r="A1193" t="str">
        <f>HYPERLINK("https://www.773grp.com/globalSearch/ADS8319IBDGST/page-1", "ADS8319IBDGST")</f>
        <v>ADS8319IBDGST</v>
      </c>
      <c r="B1193" s="3" t="s">
        <v>90</v>
      </c>
      <c r="C1193" s="5">
        <v>688</v>
      </c>
      <c r="D1193" s="6">
        <v>23.63</v>
      </c>
      <c r="E1193" t="s">
        <v>34</v>
      </c>
    </row>
    <row r="1194" spans="1:5" x14ac:dyDescent="0.25">
      <c r="A1194" t="str">
        <f>HYPERLINK("https://www.773grp.com/globalSearch/ADS8319IBDRCT/page-1", "ADS8319IBDRCT")</f>
        <v>ADS8319IBDRCT</v>
      </c>
      <c r="B1194" s="3" t="s">
        <v>90</v>
      </c>
      <c r="C1194" s="5">
        <v>621</v>
      </c>
      <c r="D1194" s="6">
        <v>23.63</v>
      </c>
      <c r="E1194" t="s">
        <v>34</v>
      </c>
    </row>
    <row r="1195" spans="1:5" x14ac:dyDescent="0.25">
      <c r="A1195" t="str">
        <f>HYPERLINK("https://www.773grp.com/globalSearch/ADS8512IDW/page-1", "ADS8512IDW")</f>
        <v>ADS8512IDW</v>
      </c>
      <c r="B1195" s="3" t="s">
        <v>90</v>
      </c>
      <c r="C1195" s="5">
        <v>5269</v>
      </c>
      <c r="D1195" s="6">
        <v>23.63</v>
      </c>
      <c r="E1195" t="s">
        <v>34</v>
      </c>
    </row>
    <row r="1196" spans="1:5" x14ac:dyDescent="0.25">
      <c r="A1196" t="str">
        <f>HYPERLINK("https://www.773grp.com/globalSearch/ADS7881IPFBT/page-1", "ADS7881IPFBT")</f>
        <v>ADS7881IPFBT</v>
      </c>
      <c r="B1196" s="3" t="s">
        <v>90</v>
      </c>
      <c r="C1196" s="5">
        <v>32</v>
      </c>
      <c r="D1196" s="6">
        <v>23.76</v>
      </c>
      <c r="E1196" t="s">
        <v>34</v>
      </c>
    </row>
    <row r="1197" spans="1:5" x14ac:dyDescent="0.25">
      <c r="A1197" t="str">
        <f>HYPERLINK("https://www.773grp.com/globalSearch/ADS7881IRGZT/page-1", "ADS7881IRGZT")</f>
        <v>ADS7881IRGZT</v>
      </c>
      <c r="B1197" s="3" t="s">
        <v>90</v>
      </c>
      <c r="C1197" s="5">
        <v>1453</v>
      </c>
      <c r="D1197" s="6">
        <v>23.76</v>
      </c>
      <c r="E1197" t="s">
        <v>34</v>
      </c>
    </row>
    <row r="1198" spans="1:5" x14ac:dyDescent="0.25">
      <c r="A1198" t="str">
        <f>HYPERLINK("https://www.773grp.com/globalSearch/ADS8332IBRGET/page-1", "ADS8332IBRGET")</f>
        <v>ADS8332IBRGET</v>
      </c>
      <c r="B1198" s="3" t="s">
        <v>90</v>
      </c>
      <c r="C1198" s="5">
        <v>1476</v>
      </c>
      <c r="D1198" s="6">
        <v>23.76</v>
      </c>
      <c r="E1198" t="s">
        <v>34</v>
      </c>
    </row>
    <row r="1199" spans="1:5" x14ac:dyDescent="0.25">
      <c r="A1199" t="str">
        <f>HYPERLINK("https://www.773grp.com/globalSearch/ADS8332IBPW/page-1", "ADS8332IBPW")</f>
        <v>ADS8332IBPW</v>
      </c>
      <c r="B1199" s="3" t="s">
        <v>90</v>
      </c>
      <c r="C1199" s="5">
        <v>740</v>
      </c>
      <c r="D1199" s="6">
        <v>23.91</v>
      </c>
      <c r="E1199" t="s">
        <v>34</v>
      </c>
    </row>
    <row r="1200" spans="1:5" x14ac:dyDescent="0.25">
      <c r="A1200" t="str">
        <f>HYPERLINK("https://www.773grp.com/globalSearch/ADS8512IBDWR/page-1", "ADS8512IBDWR")</f>
        <v>ADS8512IBDWR</v>
      </c>
      <c r="B1200" s="3" t="s">
        <v>90</v>
      </c>
      <c r="C1200" s="5">
        <v>4000</v>
      </c>
      <c r="D1200" s="6">
        <v>23.91</v>
      </c>
      <c r="E1200" t="s">
        <v>34</v>
      </c>
    </row>
    <row r="1201" spans="1:5" x14ac:dyDescent="0.25">
      <c r="A1201" t="str">
        <f>HYPERLINK("https://www.773grp.com/globalSearch/THS1040CPW/page-1", "THS1040CPW")</f>
        <v>THS1040CPW</v>
      </c>
      <c r="B1201" s="3" t="s">
        <v>90</v>
      </c>
      <c r="C1201" s="5">
        <v>11031</v>
      </c>
      <c r="D1201" s="6">
        <v>23.93</v>
      </c>
      <c r="E1201" t="s">
        <v>34</v>
      </c>
    </row>
    <row r="1202" spans="1:5" x14ac:dyDescent="0.25">
      <c r="A1202" t="str">
        <f>HYPERLINK("https://www.773grp.com/globalSearch/ADS8341EB-2K5/page-1", "ADS8341EB-2K5")</f>
        <v>ADS8341EB-2K5</v>
      </c>
      <c r="B1202" s="3" t="s">
        <v>90</v>
      </c>
      <c r="C1202" s="5">
        <v>2500</v>
      </c>
      <c r="D1202" s="6">
        <v>24.05</v>
      </c>
      <c r="E1202" t="s">
        <v>34</v>
      </c>
    </row>
    <row r="1203" spans="1:5" x14ac:dyDescent="0.25">
      <c r="A1203" t="str">
        <f>HYPERLINK("https://www.773grp.com/globalSearch/ADS1254E/page-1", "ADS1254E")</f>
        <v>ADS1254E</v>
      </c>
      <c r="B1203" s="3" t="s">
        <v>90</v>
      </c>
      <c r="C1203" s="5">
        <v>64850</v>
      </c>
      <c r="D1203" s="6">
        <v>24.19</v>
      </c>
      <c r="E1203" t="s">
        <v>34</v>
      </c>
    </row>
    <row r="1204" spans="1:5" x14ac:dyDescent="0.25">
      <c r="A1204" t="str">
        <f>HYPERLINK("https://www.773grp.com/globalSearch/TLC3574IPW/page-1", "TLC3574IPW")</f>
        <v>TLC3574IPW</v>
      </c>
      <c r="B1204" s="3" t="s">
        <v>90</v>
      </c>
      <c r="C1204" s="5">
        <v>5967</v>
      </c>
      <c r="D1204" s="6">
        <v>24.19</v>
      </c>
      <c r="E1204" t="s">
        <v>34</v>
      </c>
    </row>
    <row r="1205" spans="1:5" x14ac:dyDescent="0.25">
      <c r="A1205" t="str">
        <f>HYPERLINK("https://www.773grp.com/globalSearch/TLC4541ID/page-1", "TLC4541ID")</f>
        <v>TLC4541ID</v>
      </c>
      <c r="B1205" s="3" t="s">
        <v>90</v>
      </c>
      <c r="C1205" s="5">
        <v>1266</v>
      </c>
      <c r="D1205" s="6">
        <v>24.19</v>
      </c>
      <c r="E1205" t="s">
        <v>34</v>
      </c>
    </row>
    <row r="1206" spans="1:5" x14ac:dyDescent="0.25">
      <c r="A1206" t="str">
        <f>HYPERLINK("https://www.773grp.com/globalSearch/TLC4541IDGKR/page-1", "TLC4541IDGKR")</f>
        <v>TLC4541IDGKR</v>
      </c>
      <c r="B1206" s="3" t="s">
        <v>90</v>
      </c>
      <c r="C1206" s="5">
        <v>10000</v>
      </c>
      <c r="D1206" s="6">
        <v>24.19</v>
      </c>
      <c r="E1206" t="s">
        <v>34</v>
      </c>
    </row>
    <row r="1207" spans="1:5" x14ac:dyDescent="0.25">
      <c r="A1207" t="str">
        <f>HYPERLINK("https://www.773grp.com/globalSearch/TLC4545IDGK/page-1", "TLC4545IDGK")</f>
        <v>TLC4545IDGK</v>
      </c>
      <c r="B1207" s="3" t="s">
        <v>90</v>
      </c>
      <c r="C1207" s="5">
        <v>5639</v>
      </c>
      <c r="D1207" s="6">
        <v>24.19</v>
      </c>
      <c r="E1207" t="s">
        <v>34</v>
      </c>
    </row>
    <row r="1208" spans="1:5" x14ac:dyDescent="0.25">
      <c r="A1208" t="str">
        <f>HYPERLINK("https://www.773grp.com/globalSearch/ADS7864YB-250/page-1", "ADS7864YB-250")</f>
        <v>ADS7864YB-250</v>
      </c>
      <c r="B1208" s="3" t="s">
        <v>90</v>
      </c>
      <c r="C1208" s="5">
        <v>49</v>
      </c>
      <c r="D1208" s="6">
        <v>24.34</v>
      </c>
      <c r="E1208" t="s">
        <v>34</v>
      </c>
    </row>
    <row r="1209" spans="1:5" x14ac:dyDescent="0.25">
      <c r="A1209" t="str">
        <f>HYPERLINK("https://www.773grp.com/globalSearch/ADS8329IPW/page-1", "ADS8329IPW")</f>
        <v>ADS8329IPW</v>
      </c>
      <c r="B1209" s="3" t="s">
        <v>90</v>
      </c>
      <c r="C1209" s="5">
        <v>1339</v>
      </c>
      <c r="D1209" s="6">
        <v>24.34</v>
      </c>
      <c r="E1209" t="s">
        <v>34</v>
      </c>
    </row>
    <row r="1210" spans="1:5" x14ac:dyDescent="0.25">
      <c r="A1210" t="str">
        <f>HYPERLINK("https://www.773grp.com/globalSearch/TLC2578IPW/page-1", "TLC2578IPW")</f>
        <v>TLC2578IPW</v>
      </c>
      <c r="B1210" s="3" t="s">
        <v>90</v>
      </c>
      <c r="C1210" s="5">
        <v>1869</v>
      </c>
      <c r="D1210" s="6">
        <v>24.48</v>
      </c>
      <c r="E1210" t="s">
        <v>34</v>
      </c>
    </row>
    <row r="1211" spans="1:5" x14ac:dyDescent="0.25">
      <c r="A1211" t="str">
        <f>HYPERLINK("https://www.773grp.com/globalSearch/ADS8330IRSAT/page-1", "ADS8330IRSAT")</f>
        <v>ADS8330IRSAT</v>
      </c>
      <c r="B1211" s="3" t="s">
        <v>90</v>
      </c>
      <c r="C1211" s="5">
        <v>250</v>
      </c>
      <c r="D1211" s="6">
        <v>24.6</v>
      </c>
      <c r="E1211" t="s">
        <v>34</v>
      </c>
    </row>
    <row r="1212" spans="1:5" x14ac:dyDescent="0.25">
      <c r="A1212" t="str">
        <f>HYPERLINK("https://www.773grp.com/globalSearch/5962-9084501MPA/page-1", "5962-9084501MPA")</f>
        <v>5962-9084501MPA</v>
      </c>
      <c r="B1212" s="3" t="s">
        <v>90</v>
      </c>
      <c r="C1212" s="5">
        <v>52</v>
      </c>
      <c r="D1212" s="6">
        <v>24.64</v>
      </c>
      <c r="E1212" t="s">
        <v>34</v>
      </c>
    </row>
    <row r="1213" spans="1:5" x14ac:dyDescent="0.25">
      <c r="A1213" t="str">
        <f>HYPERLINK("https://www.773grp.com/globalSearch/ADS8322Y-2K/page-1", "ADS8322Y-2K")</f>
        <v>ADS8322Y-2K</v>
      </c>
      <c r="B1213" s="3" t="s">
        <v>90</v>
      </c>
      <c r="C1213" s="5">
        <v>508</v>
      </c>
      <c r="D1213" s="6">
        <v>25.03</v>
      </c>
      <c r="E1213" t="s">
        <v>34</v>
      </c>
    </row>
    <row r="1214" spans="1:5" x14ac:dyDescent="0.25">
      <c r="A1214" t="str">
        <f>HYPERLINK("https://www.773grp.com/globalSearch/ADS8341E/page-1", "ADS8341E")</f>
        <v>ADS8341E</v>
      </c>
      <c r="B1214" s="3" t="s">
        <v>90</v>
      </c>
      <c r="C1214" s="5">
        <v>132</v>
      </c>
      <c r="D1214" s="6">
        <v>25.03</v>
      </c>
      <c r="E1214" t="s">
        <v>34</v>
      </c>
    </row>
    <row r="1215" spans="1:5" x14ac:dyDescent="0.25">
      <c r="A1215" t="str">
        <f>HYPERLINK("https://www.773grp.com/globalSearch/ADS8343E/page-1", "ADS8343E")</f>
        <v>ADS8343E</v>
      </c>
      <c r="B1215" s="3" t="s">
        <v>90</v>
      </c>
      <c r="C1215" s="5">
        <v>381</v>
      </c>
      <c r="D1215" s="6">
        <v>25.18</v>
      </c>
      <c r="E1215" t="s">
        <v>34</v>
      </c>
    </row>
    <row r="1216" spans="1:5" x14ac:dyDescent="0.25">
      <c r="A1216" t="str">
        <f>HYPERLINK("https://www.773grp.com/globalSearch/ADS1256IDBT/page-1", "ADS1256IDBT")</f>
        <v>ADS1256IDBT</v>
      </c>
      <c r="B1216" s="3" t="s">
        <v>90</v>
      </c>
      <c r="C1216" s="5">
        <v>13</v>
      </c>
      <c r="D1216" s="6">
        <v>25.26</v>
      </c>
      <c r="E1216" t="s">
        <v>34</v>
      </c>
    </row>
    <row r="1217" spans="1:5" x14ac:dyDescent="0.25">
      <c r="A1217" t="str">
        <f>HYPERLINK("https://www.773grp.com/globalSearch/THS1040IDW/page-1", "THS1040IDW")</f>
        <v>THS1040IDW</v>
      </c>
      <c r="B1217" s="3" t="s">
        <v>90</v>
      </c>
      <c r="C1217" s="5">
        <v>23645</v>
      </c>
      <c r="D1217" s="6">
        <v>25.43</v>
      </c>
      <c r="E1217" t="s">
        <v>34</v>
      </c>
    </row>
    <row r="1218" spans="1:5" x14ac:dyDescent="0.25">
      <c r="A1218" t="str">
        <f>HYPERLINK("https://www.773grp.com/globalSearch/THS1040IPW/page-1", "THS1040IPW")</f>
        <v>THS1040IPW</v>
      </c>
      <c r="B1218" s="3" t="s">
        <v>90</v>
      </c>
      <c r="C1218" s="5">
        <v>12914</v>
      </c>
      <c r="D1218" s="6">
        <v>25.43</v>
      </c>
      <c r="E1218" t="s">
        <v>34</v>
      </c>
    </row>
    <row r="1219" spans="1:5" x14ac:dyDescent="0.25">
      <c r="A1219" t="str">
        <f>HYPERLINK("https://www.773grp.com/globalSearch/TLC2543MDBREP/page-1", "TLC2543MDBREP")</f>
        <v>TLC2543MDBREP</v>
      </c>
      <c r="B1219" s="3" t="s">
        <v>90</v>
      </c>
      <c r="C1219" s="5">
        <v>2490</v>
      </c>
      <c r="D1219" s="6">
        <v>25.45</v>
      </c>
      <c r="E1219" t="s">
        <v>34</v>
      </c>
    </row>
    <row r="1220" spans="1:5" x14ac:dyDescent="0.25">
      <c r="A1220" t="str">
        <f>HYPERLINK("https://www.773grp.com/globalSearch/TLC2543QDWREP/page-1", "TLC2543QDWREP")</f>
        <v>TLC2543QDWREP</v>
      </c>
      <c r="B1220" s="3" t="s">
        <v>90</v>
      </c>
      <c r="C1220" s="5">
        <v>2745</v>
      </c>
      <c r="D1220" s="6">
        <v>25.45</v>
      </c>
      <c r="E1220" t="s">
        <v>34</v>
      </c>
    </row>
    <row r="1221" spans="1:5" x14ac:dyDescent="0.25">
      <c r="A1221" t="str">
        <f>HYPERLINK("https://www.773grp.com/globalSearch/THS1041CDW/page-1", "THS1041CDW")</f>
        <v>THS1041CDW</v>
      </c>
      <c r="B1221" s="3" t="s">
        <v>90</v>
      </c>
      <c r="C1221" s="5">
        <v>24889</v>
      </c>
      <c r="D1221" s="6">
        <v>25.49</v>
      </c>
      <c r="E1221" t="s">
        <v>34</v>
      </c>
    </row>
    <row r="1222" spans="1:5" x14ac:dyDescent="0.25">
      <c r="A1222" t="str">
        <f>HYPERLINK("https://www.773grp.com/globalSearch/THS1041CPW/page-1", "THS1041CPW")</f>
        <v>THS1041CPW</v>
      </c>
      <c r="B1222" s="3" t="s">
        <v>90</v>
      </c>
      <c r="C1222" s="5">
        <v>2571</v>
      </c>
      <c r="D1222" s="6">
        <v>25.49</v>
      </c>
      <c r="E1222" t="s">
        <v>34</v>
      </c>
    </row>
    <row r="1223" spans="1:5" x14ac:dyDescent="0.25">
      <c r="A1223" t="str">
        <f>HYPERLINK("https://www.773grp.com/globalSearch/THS1041CPWG4/page-1", "THS1041CPWG4")</f>
        <v>THS1041CPWG4</v>
      </c>
      <c r="B1223" s="3" t="s">
        <v>90</v>
      </c>
      <c r="C1223" s="5">
        <v>460</v>
      </c>
      <c r="D1223" s="6">
        <v>25.49</v>
      </c>
      <c r="E1223" t="s">
        <v>34</v>
      </c>
    </row>
    <row r="1224" spans="1:5" x14ac:dyDescent="0.25">
      <c r="A1224" t="str">
        <f>HYPERLINK("https://www.773grp.com/globalSearch/THS1207CDA/page-1", "THS1207CDA")</f>
        <v>THS1207CDA</v>
      </c>
      <c r="B1224" s="3" t="s">
        <v>90</v>
      </c>
      <c r="C1224" s="5">
        <v>6815</v>
      </c>
      <c r="D1224" s="6">
        <v>25.6</v>
      </c>
      <c r="E1224" t="s">
        <v>34</v>
      </c>
    </row>
    <row r="1225" spans="1:5" x14ac:dyDescent="0.25">
      <c r="A1225" t="str">
        <f>HYPERLINK("https://www.773grp.com/globalSearch/ADS8330IPW/page-1", "ADS8330IPW")</f>
        <v>ADS8330IPW</v>
      </c>
      <c r="B1225" s="3" t="s">
        <v>90</v>
      </c>
      <c r="C1225" s="5">
        <v>5386</v>
      </c>
      <c r="D1225" s="6">
        <v>25.74</v>
      </c>
      <c r="E1225" t="s">
        <v>34</v>
      </c>
    </row>
    <row r="1226" spans="1:5" x14ac:dyDescent="0.25">
      <c r="A1226" t="str">
        <f>HYPERLINK("https://www.773grp.com/globalSearch/ADS1216Y-250/page-1", "ADS1216Y-250")</f>
        <v>ADS1216Y-250</v>
      </c>
      <c r="B1226" s="3" t="s">
        <v>90</v>
      </c>
      <c r="C1226" s="5">
        <v>1950</v>
      </c>
      <c r="D1226" s="6">
        <v>26.55</v>
      </c>
      <c r="E1226" t="s">
        <v>34</v>
      </c>
    </row>
    <row r="1227" spans="1:5" x14ac:dyDescent="0.25">
      <c r="A1227" t="str">
        <f>HYPERLINK("https://www.773grp.com/globalSearch/PCM4222PFBR/page-1", "PCM4222PFBR")</f>
        <v>PCM4222PFBR</v>
      </c>
      <c r="B1227" s="3" t="s">
        <v>90</v>
      </c>
      <c r="C1227" s="5">
        <v>1000</v>
      </c>
      <c r="D1227" s="6">
        <v>26.58</v>
      </c>
      <c r="E1227" t="s">
        <v>34</v>
      </c>
    </row>
    <row r="1228" spans="1:5" x14ac:dyDescent="0.25">
      <c r="A1228" t="str">
        <f>HYPERLINK("https://www.773grp.com/globalSearch/ADS8318IBDGST/page-1", "ADS8318IBDGST")</f>
        <v>ADS8318IBDGST</v>
      </c>
      <c r="B1228" s="3" t="s">
        <v>90</v>
      </c>
      <c r="C1228" s="5">
        <v>1098</v>
      </c>
      <c r="D1228" s="6">
        <v>26.86</v>
      </c>
      <c r="E1228" t="s">
        <v>34</v>
      </c>
    </row>
    <row r="1229" spans="1:5" x14ac:dyDescent="0.25">
      <c r="A1229" t="str">
        <f>HYPERLINK("https://www.773grp.com/globalSearch/ADS8318IBDRCT/page-1", "ADS8318IBDRCT")</f>
        <v>ADS8318IBDRCT</v>
      </c>
      <c r="B1229" s="3" t="s">
        <v>90</v>
      </c>
      <c r="C1229" s="5">
        <v>699</v>
      </c>
      <c r="D1229" s="6">
        <v>26.86</v>
      </c>
      <c r="E1229" t="s">
        <v>34</v>
      </c>
    </row>
    <row r="1230" spans="1:5" x14ac:dyDescent="0.25">
      <c r="A1230" t="str">
        <f>HYPERLINK("https://www.773grp.com/globalSearch/ADS8344E/page-1", "ADS8344E")</f>
        <v>ADS8344E</v>
      </c>
      <c r="B1230" s="3" t="s">
        <v>90</v>
      </c>
      <c r="C1230" s="5">
        <v>825</v>
      </c>
      <c r="D1230" s="6">
        <v>27</v>
      </c>
      <c r="E1230" t="s">
        <v>34</v>
      </c>
    </row>
    <row r="1231" spans="1:5" x14ac:dyDescent="0.25">
      <c r="A1231" t="str">
        <f>HYPERLINK("https://www.773grp.com/globalSearch/ADS8344NB-1K/page-1", "ADS8344NB-1K")</f>
        <v>ADS8344NB-1K</v>
      </c>
      <c r="B1231" s="3" t="s">
        <v>90</v>
      </c>
      <c r="C1231" s="5">
        <v>2000</v>
      </c>
      <c r="D1231" s="6">
        <v>27</v>
      </c>
      <c r="E1231" t="s">
        <v>34</v>
      </c>
    </row>
    <row r="1232" spans="1:5" x14ac:dyDescent="0.25">
      <c r="A1232" t="str">
        <f>HYPERLINK("https://www.773grp.com/globalSearch/ADS8345EB/page-1", "ADS8345EB")</f>
        <v>ADS8345EB</v>
      </c>
      <c r="B1232" s="3" t="s">
        <v>90</v>
      </c>
      <c r="C1232" s="5">
        <v>2956</v>
      </c>
      <c r="D1232" s="6">
        <v>27</v>
      </c>
      <c r="E1232" t="s">
        <v>34</v>
      </c>
    </row>
    <row r="1233" spans="1:5" x14ac:dyDescent="0.25">
      <c r="A1233" t="str">
        <f>HYPERLINK("https://www.773grp.com/globalSearch/ADS8345EB-2K5/page-1", "ADS8345EB-2K5")</f>
        <v>ADS8345EB-2K5</v>
      </c>
      <c r="B1233" s="3" t="s">
        <v>90</v>
      </c>
      <c r="C1233" s="5">
        <v>4096</v>
      </c>
      <c r="D1233" s="6">
        <v>27</v>
      </c>
      <c r="E1233" t="s">
        <v>34</v>
      </c>
    </row>
    <row r="1234" spans="1:5" x14ac:dyDescent="0.25">
      <c r="A1234" t="str">
        <f>HYPERLINK("https://www.773grp.com/globalSearch/ADS8345N/page-1", "ADS8345N")</f>
        <v>ADS8345N</v>
      </c>
      <c r="B1234" s="3" t="s">
        <v>90</v>
      </c>
      <c r="C1234" s="5">
        <v>392</v>
      </c>
      <c r="D1234" s="6">
        <v>27</v>
      </c>
      <c r="E1234" t="s">
        <v>34</v>
      </c>
    </row>
    <row r="1235" spans="1:5" x14ac:dyDescent="0.25">
      <c r="A1235" t="str">
        <f>HYPERLINK("https://www.773grp.com/globalSearch/ADS8345NB/page-1", "ADS8345NB")</f>
        <v>ADS8345NB</v>
      </c>
      <c r="B1235" s="3" t="s">
        <v>90</v>
      </c>
      <c r="C1235" s="5">
        <v>206</v>
      </c>
      <c r="D1235" s="6">
        <v>27</v>
      </c>
      <c r="E1235" t="s">
        <v>34</v>
      </c>
    </row>
    <row r="1236" spans="1:5" x14ac:dyDescent="0.25">
      <c r="A1236" t="str">
        <f>HYPERLINK("https://www.773grp.com/globalSearch/THS1041IDW/page-1", "THS1041IDW")</f>
        <v>THS1041IDW</v>
      </c>
      <c r="B1236" s="3" t="s">
        <v>90</v>
      </c>
      <c r="C1236" s="5">
        <v>23380</v>
      </c>
      <c r="D1236" s="6">
        <v>27.05</v>
      </c>
      <c r="E1236" t="s">
        <v>34</v>
      </c>
    </row>
    <row r="1237" spans="1:5" x14ac:dyDescent="0.25">
      <c r="A1237" t="str">
        <f>HYPERLINK("https://www.773grp.com/globalSearch/THS1041IPW/page-1", "THS1041IPW")</f>
        <v>THS1041IPW</v>
      </c>
      <c r="B1237" s="3" t="s">
        <v>90</v>
      </c>
      <c r="C1237" s="5">
        <v>1661</v>
      </c>
      <c r="D1237" s="6">
        <v>27.05</v>
      </c>
      <c r="E1237" t="s">
        <v>34</v>
      </c>
    </row>
    <row r="1238" spans="1:5" x14ac:dyDescent="0.25">
      <c r="A1238" t="str">
        <f>HYPERLINK("https://www.773grp.com/globalSearch/THS1041IPWG4/page-1", "THS1041IPWG4")</f>
        <v>THS1041IPWG4</v>
      </c>
      <c r="B1238" s="3" t="s">
        <v>90</v>
      </c>
      <c r="C1238" s="5">
        <v>1019</v>
      </c>
      <c r="D1238" s="6">
        <v>27.05</v>
      </c>
      <c r="E1238" t="s">
        <v>34</v>
      </c>
    </row>
    <row r="1239" spans="1:5" x14ac:dyDescent="0.25">
      <c r="A1239" t="str">
        <f>HYPERLINK("https://www.773grp.com/globalSearch/THS1206CDAR/page-1", "THS1206CDAR")</f>
        <v>THS1206CDAR</v>
      </c>
      <c r="B1239" s="3" t="str">
        <f>HYPERLINK("https://www.773grp.com/manufacturer/texas-instruments?pageNo=14", "Texas Instruments")</f>
        <v>Texas Instruments</v>
      </c>
      <c r="C1239" s="5">
        <v>2000</v>
      </c>
      <c r="D1239" s="6">
        <v>27.43</v>
      </c>
      <c r="E1239" t="s">
        <v>34</v>
      </c>
    </row>
    <row r="1240" spans="1:5" x14ac:dyDescent="0.25">
      <c r="A1240" t="str">
        <f>HYPERLINK("https://www.773grp.com/globalSearch/THS1403CPFB/page-1", "THS1403CPFB")</f>
        <v>THS1403CPFB</v>
      </c>
      <c r="B1240" s="3" t="str">
        <f>HYPERLINK("https://www.773grp.com/manufacturer/texas-instruments?pageNo=25", "Texas Instruments")</f>
        <v>Texas Instruments</v>
      </c>
      <c r="C1240" s="5">
        <v>1075</v>
      </c>
      <c r="D1240" s="6">
        <v>27.45</v>
      </c>
      <c r="E1240" t="s">
        <v>34</v>
      </c>
    </row>
    <row r="1241" spans="1:5" x14ac:dyDescent="0.25">
      <c r="A1241" t="str">
        <f>HYPERLINK("https://www.773grp.com/globalSearch/THS1209CDA/page-1", "THS1209CDA")</f>
        <v>THS1209CDA</v>
      </c>
      <c r="B1241" s="3" t="str">
        <f>HYPERLINK("https://www.773grp.com/manufacturer/texas-instruments?pageNo=49", "Texas Instruments")</f>
        <v>Texas Instruments</v>
      </c>
      <c r="C1241" s="5">
        <v>3082</v>
      </c>
      <c r="D1241" s="6">
        <v>27.71</v>
      </c>
      <c r="E1241" t="s">
        <v>34</v>
      </c>
    </row>
    <row r="1242" spans="1:5" x14ac:dyDescent="0.25">
      <c r="A1242" t="str">
        <f>HYPERLINK("https://www.773grp.com/globalSearch/ADS5237IPAG/page-1", "ADS5237IPAG")</f>
        <v>ADS5237IPAG</v>
      </c>
      <c r="B1242" s="3" t="str">
        <f>HYPERLINK("https://www.773grp.com/manufacturer/texas-instruments?pageNo=77", "Texas Instruments")</f>
        <v>Texas Instruments</v>
      </c>
      <c r="C1242" s="5">
        <v>189</v>
      </c>
      <c r="D1242" s="6">
        <v>27.85</v>
      </c>
      <c r="E1242" t="s">
        <v>34</v>
      </c>
    </row>
    <row r="1243" spans="1:5" x14ac:dyDescent="0.25">
      <c r="A1243" t="str">
        <f>HYPERLINK("https://www.773grp.com/globalSearch/ADS8506IBDW/page-1", "ADS8506IBDW")</f>
        <v>ADS8506IBDW</v>
      </c>
      <c r="B1243" s="3" t="str">
        <f>HYPERLINK("https://www.773grp.com/manufacturer/texas-instruments?pageNo=78", "Texas Instruments")</f>
        <v>Texas Instruments</v>
      </c>
      <c r="C1243" s="5">
        <v>388</v>
      </c>
      <c r="D1243" s="6">
        <v>27.85</v>
      </c>
      <c r="E1243" t="s">
        <v>34</v>
      </c>
    </row>
    <row r="1244" spans="1:5" x14ac:dyDescent="0.25">
      <c r="A1244" t="str">
        <f>HYPERLINK("https://www.773grp.com/globalSearch/ADS8512IBDW/page-1", "ADS8512IBDW")</f>
        <v>ADS8512IBDW</v>
      </c>
      <c r="B1244" s="3" t="str">
        <f>HYPERLINK("https://www.773grp.com/manufacturer/texas-instruments?pageNo=79", "Texas Instruments")</f>
        <v>Texas Instruments</v>
      </c>
      <c r="C1244" s="5">
        <v>2263</v>
      </c>
      <c r="D1244" s="6">
        <v>27.85</v>
      </c>
      <c r="E1244" t="s">
        <v>34</v>
      </c>
    </row>
    <row r="1245" spans="1:5" x14ac:dyDescent="0.25">
      <c r="A1245" t="str">
        <f>HYPERLINK("https://www.773grp.com/globalSearch/ADS804U/page-1", "ADS804U")</f>
        <v>ADS804U</v>
      </c>
      <c r="B1245" s="3" t="str">
        <f>HYPERLINK("https://www.773grp.com/manufacturer/texas-instruments?pageNo=99", "Texas Instruments")</f>
        <v>Texas Instruments</v>
      </c>
      <c r="C1245" s="5">
        <v>3537</v>
      </c>
      <c r="D1245" s="6">
        <v>27.98</v>
      </c>
      <c r="E1245" t="s">
        <v>34</v>
      </c>
    </row>
    <row r="1246" spans="1:5" x14ac:dyDescent="0.25">
      <c r="A1246" t="str">
        <f>HYPERLINK("https://www.773grp.com/globalSearch/ADS8508IBDWR/page-1", "ADS8508IBDWR")</f>
        <v>ADS8508IBDWR</v>
      </c>
      <c r="B1246" s="3" t="str">
        <f>HYPERLINK("https://www.773grp.com/manufacturer/texas-instruments?pageNo=101", "Texas Instruments")</f>
        <v>Texas Instruments</v>
      </c>
      <c r="C1246" s="5">
        <v>2000</v>
      </c>
      <c r="D1246" s="6">
        <v>27.98</v>
      </c>
      <c r="E1246" t="s">
        <v>34</v>
      </c>
    </row>
    <row r="1247" spans="1:5" x14ac:dyDescent="0.25">
      <c r="A1247" t="str">
        <f>HYPERLINK("https://www.773grp.com/globalSearch/ADS8509IDBR/page-1", "ADS8509IDBR")</f>
        <v>ADS8509IDBR</v>
      </c>
      <c r="B1247" s="3" t="str">
        <f>HYPERLINK("https://www.773grp.com/manufacturer/texas-instruments?pageNo=102", "Texas Instruments")</f>
        <v>Texas Instruments</v>
      </c>
      <c r="C1247" s="5">
        <v>8000</v>
      </c>
      <c r="D1247" s="6">
        <v>27.98</v>
      </c>
      <c r="E1247" t="s">
        <v>34</v>
      </c>
    </row>
    <row r="1248" spans="1:5" x14ac:dyDescent="0.25">
      <c r="A1248" t="str">
        <f>HYPERLINK("https://www.773grp.com/globalSearch/ADS8509IDWR/page-1", "ADS8509IDWR")</f>
        <v>ADS8509IDWR</v>
      </c>
      <c r="B1248" s="3" t="str">
        <f>HYPERLINK("https://www.773grp.com/manufacturer/texas-instruments?pageNo=103", "Texas Instruments")</f>
        <v>Texas Instruments</v>
      </c>
      <c r="C1248" s="5">
        <v>27508</v>
      </c>
      <c r="D1248" s="6">
        <v>27.98</v>
      </c>
      <c r="E1248" t="s">
        <v>34</v>
      </c>
    </row>
    <row r="1249" spans="1:5" x14ac:dyDescent="0.25">
      <c r="A1249" t="str">
        <f>HYPERLINK("https://www.773grp.com/globalSearch/ADS1253E/page-1", "ADS1253E")</f>
        <v>ADS1253E</v>
      </c>
      <c r="B1249" s="3" t="str">
        <f>HYPERLINK("https://www.773grp.com/manufacturer/texas-instruments?pageNo=216", "Texas Instruments")</f>
        <v>Texas Instruments</v>
      </c>
      <c r="C1249" s="5">
        <v>9273</v>
      </c>
      <c r="D1249" s="6">
        <v>28.4</v>
      </c>
      <c r="E1249" t="s">
        <v>34</v>
      </c>
    </row>
    <row r="1250" spans="1:5" x14ac:dyDescent="0.25">
      <c r="A1250" t="str">
        <f>HYPERLINK("https://www.773grp.com/globalSearch/ADS1253EG4/page-1", "ADS1253EG4")</f>
        <v>ADS1253EG4</v>
      </c>
      <c r="B1250" s="3" t="str">
        <f>HYPERLINK("https://www.773grp.com/manufacturer/texas-instruments?pageNo=217", "Texas Instruments")</f>
        <v>Texas Instruments</v>
      </c>
      <c r="C1250" s="5">
        <v>621</v>
      </c>
      <c r="D1250" s="6">
        <v>28.4</v>
      </c>
      <c r="E1250" t="s">
        <v>34</v>
      </c>
    </row>
    <row r="1251" spans="1:5" x14ac:dyDescent="0.25">
      <c r="A1251" t="str">
        <f>HYPERLINK("https://www.773grp.com/globalSearch/ADS820U/page-1", "ADS820U")</f>
        <v>ADS820U</v>
      </c>
      <c r="B1251" s="3" t="str">
        <f>HYPERLINK("https://www.773grp.com/manufacturer/texas-instruments?pageNo=233", "Texas Instruments")</f>
        <v>Texas Instruments</v>
      </c>
      <c r="C1251" s="5">
        <v>71</v>
      </c>
      <c r="D1251" s="6">
        <v>28.55</v>
      </c>
      <c r="E1251" t="s">
        <v>34</v>
      </c>
    </row>
    <row r="1252" spans="1:5" x14ac:dyDescent="0.25">
      <c r="A1252" t="str">
        <f>HYPERLINK("https://www.773grp.com/globalSearch/ADS820U/page-1", "ADS820U")</f>
        <v>ADS820U</v>
      </c>
      <c r="B1252" s="3" t="str">
        <f>HYPERLINK("https://www.773grp.com/manufacturer/texas-instruments?pageNo=234", "Texas Instruments")</f>
        <v>Texas Instruments</v>
      </c>
      <c r="C1252" s="5">
        <v>949</v>
      </c>
      <c r="D1252" s="6">
        <v>28.55</v>
      </c>
      <c r="E1252" t="s">
        <v>34</v>
      </c>
    </row>
    <row r="1253" spans="1:5" x14ac:dyDescent="0.25">
      <c r="A1253" t="str">
        <f>HYPERLINK("https://www.773grp.com/globalSearch/ADS820UG4/page-1", "ADS820UG4")</f>
        <v>ADS820UG4</v>
      </c>
      <c r="B1253" s="3" t="str">
        <f>HYPERLINK("https://www.773grp.com/manufacturer/texas-instruments?pageNo=235", "Texas Instruments")</f>
        <v>Texas Instruments</v>
      </c>
      <c r="C1253" s="5">
        <v>16</v>
      </c>
      <c r="D1253" s="6">
        <v>28.55</v>
      </c>
      <c r="E1253" t="s">
        <v>34</v>
      </c>
    </row>
    <row r="1254" spans="1:5" x14ac:dyDescent="0.25">
      <c r="A1254" t="str">
        <f>HYPERLINK("https://www.773grp.com/globalSearch/ADS8322Y-250/page-1", "ADS8322Y-250")</f>
        <v>ADS8322Y-250</v>
      </c>
      <c r="B1254" s="3" t="str">
        <f>HYPERLINK("https://www.773grp.com/manufacturer/texas-instruments?pageNo=257", "Texas Instruments")</f>
        <v>Texas Instruments</v>
      </c>
      <c r="C1254" s="5">
        <v>313</v>
      </c>
      <c r="D1254" s="6">
        <v>28.83</v>
      </c>
      <c r="E1254" t="s">
        <v>34</v>
      </c>
    </row>
    <row r="1255" spans="1:5" x14ac:dyDescent="0.25">
      <c r="A1255" t="str">
        <f>HYPERLINK("https://www.773grp.com/globalSearch/THS1401QPHP/page-1", "THS1401QPHP")</f>
        <v>THS1401QPHP</v>
      </c>
      <c r="B1255" s="3" t="str">
        <f>HYPERLINK("https://www.773grp.com/manufacturer/texas-instruments?pageNo=262", "Texas Instruments")</f>
        <v>Texas Instruments</v>
      </c>
      <c r="C1255" s="5">
        <v>14</v>
      </c>
      <c r="D1255" s="6">
        <v>28.83</v>
      </c>
      <c r="E1255" t="s">
        <v>34</v>
      </c>
    </row>
    <row r="1256" spans="1:5" x14ac:dyDescent="0.25">
      <c r="A1256" t="str">
        <f>HYPERLINK("https://www.773grp.com/globalSearch/ADS1201U/page-1", "ADS1201U")</f>
        <v>ADS1201U</v>
      </c>
      <c r="B1256" s="3" t="str">
        <f>HYPERLINK("https://www.773grp.com/manufacturer/texas-instruments?pageNo=279", "Texas Instruments")</f>
        <v>Texas Instruments</v>
      </c>
      <c r="C1256" s="5">
        <v>1507</v>
      </c>
      <c r="D1256" s="6">
        <v>28.98</v>
      </c>
      <c r="E1256" t="s">
        <v>34</v>
      </c>
    </row>
    <row r="1257" spans="1:5" x14ac:dyDescent="0.25">
      <c r="A1257" t="str">
        <f>HYPERLINK("https://www.773grp.com/globalSearch/TLC3574IDW/page-1", "TLC3574IDW")</f>
        <v>TLC3574IDW</v>
      </c>
      <c r="B1257" s="3" t="str">
        <f>HYPERLINK("https://www.773grp.com/manufacturer/texas-instruments?pageNo=287", "Texas Instruments")</f>
        <v>Texas Instruments</v>
      </c>
      <c r="C1257" s="5">
        <v>320</v>
      </c>
      <c r="D1257" s="6">
        <v>28.98</v>
      </c>
      <c r="E1257" t="s">
        <v>34</v>
      </c>
    </row>
    <row r="1258" spans="1:5" x14ac:dyDescent="0.25">
      <c r="A1258" t="str">
        <f>HYPERLINK("https://www.773grp.com/globalSearch/TLC4541IDGK/page-1", "TLC4541IDGK")</f>
        <v>TLC4541IDGK</v>
      </c>
      <c r="B1258" s="3" t="str">
        <f>HYPERLINK("https://www.773grp.com/manufacturer/texas-instruments?pageNo=288", "Texas Instruments")</f>
        <v>Texas Instruments</v>
      </c>
      <c r="C1258" s="5">
        <v>12667</v>
      </c>
      <c r="D1258" s="6">
        <v>28.98</v>
      </c>
      <c r="E1258" t="s">
        <v>34</v>
      </c>
    </row>
    <row r="1259" spans="1:5" x14ac:dyDescent="0.25">
      <c r="A1259" t="str">
        <f>HYPERLINK("https://www.773grp.com/globalSearch/TLC4545ID/page-1", "TLC4545ID")</f>
        <v>TLC4545ID</v>
      </c>
      <c r="B1259" s="3" t="str">
        <f>HYPERLINK("https://www.773grp.com/manufacturer/texas-instruments?pageNo=289", "Texas Instruments")</f>
        <v>Texas Instruments</v>
      </c>
      <c r="C1259" s="5">
        <v>2749</v>
      </c>
      <c r="D1259" s="6">
        <v>28.98</v>
      </c>
      <c r="E1259" t="s">
        <v>34</v>
      </c>
    </row>
    <row r="1260" spans="1:5" x14ac:dyDescent="0.25">
      <c r="A1260" t="str">
        <f>HYPERLINK("https://www.773grp.com/globalSearch/TLC4545IDG4/page-1", "TLC4545IDG4")</f>
        <v>TLC4545IDG4</v>
      </c>
      <c r="B1260" s="3" t="str">
        <f>HYPERLINK("https://www.773grp.com/manufacturer/texas-instruments?pageNo=290", "Texas Instruments")</f>
        <v>Texas Instruments</v>
      </c>
      <c r="C1260" s="5">
        <v>24</v>
      </c>
      <c r="D1260" s="6">
        <v>28.98</v>
      </c>
      <c r="E1260" t="s">
        <v>34</v>
      </c>
    </row>
    <row r="1261" spans="1:5" x14ac:dyDescent="0.25">
      <c r="A1261" t="str">
        <f>HYPERLINK("https://www.773grp.com/globalSearch/ADS1258IRTCR/page-1", "ADS1258IRTCR")</f>
        <v>ADS1258IRTCR</v>
      </c>
      <c r="B1261" s="3" t="str">
        <f>HYPERLINK("https://www.773grp.com/manufacturer/texas-instruments?pageNo=333", "Texas Instruments")</f>
        <v>Texas Instruments</v>
      </c>
      <c r="C1261" s="5">
        <v>4943</v>
      </c>
      <c r="D1261" s="6">
        <v>29.36</v>
      </c>
      <c r="E1261" t="s">
        <v>34</v>
      </c>
    </row>
    <row r="1262" spans="1:5" x14ac:dyDescent="0.25">
      <c r="A1262" t="str">
        <f>HYPERLINK("https://www.773grp.com/globalSearch/ADS7808P/page-1", "ADS7808P")</f>
        <v>ADS7808P</v>
      </c>
      <c r="B1262" s="3" t="str">
        <f>HYPERLINK("https://www.773grp.com/manufacturer/texas-instruments?pageNo=350", "Texas Instruments")</f>
        <v>Texas Instruments</v>
      </c>
      <c r="C1262" s="5">
        <v>2</v>
      </c>
      <c r="D1262" s="6">
        <v>29.4</v>
      </c>
      <c r="E1262" t="s">
        <v>34</v>
      </c>
    </row>
    <row r="1263" spans="1:5" x14ac:dyDescent="0.25">
      <c r="A1263" t="str">
        <f>HYPERLINK("https://www.773grp.com/globalSearch/ADS823E-1K/page-1", "ADS823E-1K")</f>
        <v>ADS823E-1K</v>
      </c>
      <c r="B1263" s="3" t="str">
        <f>HYPERLINK("https://www.773grp.com/manufacturer/texas-instruments?pageNo=372", "Texas Instruments")</f>
        <v>Texas Instruments</v>
      </c>
      <c r="C1263" s="5">
        <v>1000</v>
      </c>
      <c r="D1263" s="6">
        <v>29.54</v>
      </c>
      <c r="E1263" t="s">
        <v>34</v>
      </c>
    </row>
    <row r="1264" spans="1:5" x14ac:dyDescent="0.25">
      <c r="A1264" t="str">
        <f>HYPERLINK("https://www.773grp.com/globalSearch/ADS8370IRHPT/page-1", "ADS8370IRHPT")</f>
        <v>ADS8370IRHPT</v>
      </c>
      <c r="B1264" s="3" t="str">
        <f>HYPERLINK("https://www.773grp.com/manufacturer/texas-instruments?pageNo=373", "Texas Instruments")</f>
        <v>Texas Instruments</v>
      </c>
      <c r="C1264" s="5">
        <v>2787</v>
      </c>
      <c r="D1264" s="6">
        <v>29.54</v>
      </c>
      <c r="E1264" t="s">
        <v>34</v>
      </c>
    </row>
    <row r="1265" spans="1:5" x14ac:dyDescent="0.25">
      <c r="A1265" t="str">
        <f>HYPERLINK("https://www.773grp.com/globalSearch/ADS8372IRHPT/page-1", "ADS8372IRHPT")</f>
        <v>ADS8372IRHPT</v>
      </c>
      <c r="B1265" s="3" t="str">
        <f>HYPERLINK("https://www.773grp.com/manufacturer/texas-instruments?pageNo=374", "Texas Instruments")</f>
        <v>Texas Instruments</v>
      </c>
      <c r="C1265" s="5">
        <v>2250</v>
      </c>
      <c r="D1265" s="6">
        <v>29.54</v>
      </c>
      <c r="E1265" t="s">
        <v>34</v>
      </c>
    </row>
    <row r="1266" spans="1:5" x14ac:dyDescent="0.25">
      <c r="A1266" t="str">
        <f>HYPERLINK("https://www.773grp.com/globalSearch/THS12082CDAR/page-1", "THS12082CDAR")</f>
        <v>THS12082CDAR</v>
      </c>
      <c r="B1266" s="3" t="str">
        <f>HYPERLINK("https://www.773grp.com/manufacturer/texas-instruments?pageNo=383", "Texas Instruments")</f>
        <v>Texas Instruments</v>
      </c>
      <c r="C1266" s="5">
        <v>10000</v>
      </c>
      <c r="D1266" s="6">
        <v>29.54</v>
      </c>
      <c r="E1266" t="s">
        <v>34</v>
      </c>
    </row>
    <row r="1267" spans="1:5" x14ac:dyDescent="0.25">
      <c r="A1267" t="str">
        <f>HYPERLINK("https://www.773grp.com/globalSearch/THS1230CPWR/page-1", "THS1230CPWR")</f>
        <v>THS1230CPWR</v>
      </c>
      <c r="B1267" s="3" t="str">
        <f>HYPERLINK("https://www.773grp.com/manufacturer/texas-instruments?pageNo=384", "Texas Instruments")</f>
        <v>Texas Instruments</v>
      </c>
      <c r="C1267" s="5">
        <v>8000</v>
      </c>
      <c r="D1267" s="6">
        <v>29.54</v>
      </c>
      <c r="E1267" t="s">
        <v>34</v>
      </c>
    </row>
    <row r="1268" spans="1:5" x14ac:dyDescent="0.25">
      <c r="A1268" t="str">
        <f>HYPERLINK("https://www.773grp.com/globalSearch/ADS8330IBRSAT/page-1", "ADS8330IBRSAT")</f>
        <v>ADS8330IBRSAT</v>
      </c>
      <c r="B1268" s="3" t="str">
        <f>HYPERLINK("https://www.773grp.com/manufacturer/texas-instruments?pageNo=412", "Texas Instruments")</f>
        <v>Texas Instruments</v>
      </c>
      <c r="C1268" s="5">
        <v>500</v>
      </c>
      <c r="D1268" s="6">
        <v>29.81</v>
      </c>
      <c r="E1268" t="s">
        <v>34</v>
      </c>
    </row>
    <row r="1269" spans="1:5" x14ac:dyDescent="0.25">
      <c r="A1269" t="str">
        <f>HYPERLINK("https://www.773grp.com/globalSearch/ADS8558IPM/page-1", "ADS8558IPM")</f>
        <v>ADS8558IPM</v>
      </c>
      <c r="B1269" s="3" t="str">
        <f>HYPERLINK("https://www.773grp.com/manufacturer/texas-instruments?pageNo=461", "Texas Instruments")</f>
        <v>Texas Instruments</v>
      </c>
      <c r="C1269" s="5">
        <v>374</v>
      </c>
      <c r="D1269" s="6">
        <v>30.24</v>
      </c>
      <c r="E1269" t="s">
        <v>34</v>
      </c>
    </row>
    <row r="1270" spans="1:5" x14ac:dyDescent="0.25">
      <c r="A1270" t="str">
        <f>HYPERLINK("https://www.773grp.com/globalSearch/THS1207IDA/page-1", "THS1207IDA")</f>
        <v>THS1207IDA</v>
      </c>
      <c r="B1270" s="3" t="str">
        <f>HYPERLINK("https://www.773grp.com/manufacturer/texas-instruments?pageNo=466", "Texas Instruments")</f>
        <v>Texas Instruments</v>
      </c>
      <c r="C1270" s="5">
        <v>4293</v>
      </c>
      <c r="D1270" s="6">
        <v>30.24</v>
      </c>
      <c r="E1270" t="s">
        <v>34</v>
      </c>
    </row>
    <row r="1271" spans="1:5" x14ac:dyDescent="0.25">
      <c r="A1271" t="str">
        <f>HYPERLINK("https://www.773grp.com/globalSearch/ADS7820P/page-1", "ADS7820P")</f>
        <v>ADS7820P</v>
      </c>
      <c r="B1271" s="3" t="str">
        <f>HYPERLINK("https://www.773grp.com/manufacturer/texas-instruments?pageNo=469", "Texas Instruments")</f>
        <v>Texas Instruments</v>
      </c>
      <c r="C1271" s="5">
        <v>293</v>
      </c>
      <c r="D1271" s="6">
        <v>30.26</v>
      </c>
      <c r="E1271" t="s">
        <v>34</v>
      </c>
    </row>
    <row r="1272" spans="1:5" x14ac:dyDescent="0.25">
      <c r="A1272" t="str">
        <f>HYPERLINK("https://www.773grp.com/globalSearch/ADS5102IPFB/page-1", "ADS5102IPFB")</f>
        <v>ADS5102IPFB</v>
      </c>
      <c r="B1272" s="3" t="str">
        <f>HYPERLINK("https://www.773grp.com/manufacturer/texas-instruments?pageNo=576", "Texas Instruments")</f>
        <v>Texas Instruments</v>
      </c>
      <c r="C1272" s="5">
        <v>22000</v>
      </c>
      <c r="D1272" s="6">
        <v>30.8</v>
      </c>
      <c r="E1272" t="s">
        <v>34</v>
      </c>
    </row>
    <row r="1273" spans="1:5" x14ac:dyDescent="0.25">
      <c r="A1273" t="str">
        <f>HYPERLINK("https://www.773grp.com/globalSearch/ADS8515IDBR/page-1", "ADS8515IDBR")</f>
        <v>ADS8515IDBR</v>
      </c>
      <c r="B1273" s="3" t="str">
        <f>HYPERLINK("https://www.773grp.com/manufacturer/texas-instruments?pageNo=577", "Texas Instruments")</f>
        <v>Texas Instruments</v>
      </c>
      <c r="C1273" s="5">
        <v>6000</v>
      </c>
      <c r="D1273" s="6">
        <v>30.8</v>
      </c>
      <c r="E1273" t="s">
        <v>34</v>
      </c>
    </row>
    <row r="1274" spans="1:5" x14ac:dyDescent="0.25">
      <c r="A1274" t="str">
        <f>HYPERLINK("https://www.773grp.com/globalSearch/PCM4222PFB/page-1", "PCM4222PFB")</f>
        <v>PCM4222PFB</v>
      </c>
      <c r="B1274" s="3" t="str">
        <f>HYPERLINK("https://www.773grp.com/manufacturer/texas-instruments?pageNo=587", "Texas Instruments")</f>
        <v>Texas Instruments</v>
      </c>
      <c r="C1274" s="5">
        <v>594</v>
      </c>
      <c r="D1274" s="6">
        <v>30.8</v>
      </c>
      <c r="E1274" t="s">
        <v>34</v>
      </c>
    </row>
    <row r="1275" spans="1:5" x14ac:dyDescent="0.25">
      <c r="A1275" t="str">
        <f>HYPERLINK("https://www.773grp.com/globalSearch/ADS8361IDBQ/page-1", "ADS8361IDBQ")</f>
        <v>ADS8361IDBQ</v>
      </c>
      <c r="B1275" s="3" t="str">
        <f>HYPERLINK("https://www.773grp.com/manufacturer/texas-instruments?pageNo=640", "Texas Instruments")</f>
        <v>Texas Instruments</v>
      </c>
      <c r="C1275" s="5">
        <v>2151</v>
      </c>
      <c r="D1275" s="6">
        <v>31.01</v>
      </c>
      <c r="E1275" t="s">
        <v>34</v>
      </c>
    </row>
    <row r="1276" spans="1:5" x14ac:dyDescent="0.25">
      <c r="A1276" t="str">
        <f>HYPERLINK("https://www.773grp.com/globalSearch/ADS4122IRGZT/page-1", "ADS4122IRGZT")</f>
        <v>ADS4122IRGZT</v>
      </c>
      <c r="B1276" s="3" t="str">
        <f>HYPERLINK("https://www.773grp.com/manufacturer/texas-instruments?pageNo=657", "Texas Instruments")</f>
        <v>Texas Instruments</v>
      </c>
      <c r="C1276" s="5">
        <v>750</v>
      </c>
      <c r="D1276" s="6">
        <v>31.23</v>
      </c>
      <c r="E1276" t="s">
        <v>34</v>
      </c>
    </row>
    <row r="1277" spans="1:5" x14ac:dyDescent="0.25">
      <c r="A1277" t="str">
        <f>HYPERLINK("https://www.773grp.com/globalSearch/ADS7890IPFBT/page-1", "ADS7890IPFBT")</f>
        <v>ADS7890IPFBT</v>
      </c>
      <c r="B1277" s="3" t="str">
        <f>HYPERLINK("https://www.773grp.com/manufacturer/texas-instruments?pageNo=826", "Texas Instruments")</f>
        <v>Texas Instruments</v>
      </c>
      <c r="C1277" s="5">
        <v>826</v>
      </c>
      <c r="D1277" s="6">
        <v>32.35</v>
      </c>
      <c r="E1277" t="s">
        <v>34</v>
      </c>
    </row>
    <row r="1278" spans="1:5" x14ac:dyDescent="0.25">
      <c r="A1278" t="str">
        <f>HYPERLINK("https://www.773grp.com/globalSearch/THS1206IDAR/page-1", "THS1206IDAR")</f>
        <v>THS1206IDAR</v>
      </c>
      <c r="B1278" s="3" t="str">
        <f>HYPERLINK("https://www.773grp.com/manufacturer/texas-instruments?pageNo=836", "Texas Instruments")</f>
        <v>Texas Instruments</v>
      </c>
      <c r="C1278" s="5">
        <v>2228</v>
      </c>
      <c r="D1278" s="6">
        <v>32.35</v>
      </c>
      <c r="E1278" t="s">
        <v>34</v>
      </c>
    </row>
    <row r="1279" spans="1:5" x14ac:dyDescent="0.25">
      <c r="A1279" t="str">
        <f>HYPERLINK("https://www.773grp.com/globalSearch/ADS8344EB/page-1", "ADS8344EB")</f>
        <v>ADS8344EB</v>
      </c>
      <c r="B1279" s="3" t="str">
        <f>HYPERLINK("https://www.773grp.com/manufacturer/texas-instruments?pageNo=868", "Texas Instruments")</f>
        <v>Texas Instruments</v>
      </c>
      <c r="C1279" s="5">
        <v>100</v>
      </c>
      <c r="D1279" s="6">
        <v>32.630000000000003</v>
      </c>
      <c r="E1279" t="s">
        <v>34</v>
      </c>
    </row>
    <row r="1280" spans="1:5" x14ac:dyDescent="0.25">
      <c r="A1280" t="str">
        <f>HYPERLINK("https://www.773grp.com/globalSearch/THS1209IDA/page-1", "THS1209IDA")</f>
        <v>THS1209IDA</v>
      </c>
      <c r="B1280" s="3" t="str">
        <f>HYPERLINK("https://www.773grp.com/manufacturer/texas-instruments?pageNo=879", "Texas Instruments")</f>
        <v>Texas Instruments</v>
      </c>
      <c r="C1280" s="5">
        <v>20600</v>
      </c>
      <c r="D1280" s="6">
        <v>32.78</v>
      </c>
      <c r="E1280" t="s">
        <v>34</v>
      </c>
    </row>
    <row r="1281" spans="1:5" x14ac:dyDescent="0.25">
      <c r="A1281" t="str">
        <f>HYPERLINK("https://www.773grp.com/globalSearch/TLC1225IFNR/page-1", "TLC1225IFNR")</f>
        <v>TLC1225IFNR</v>
      </c>
      <c r="B1281" s="3" t="str">
        <f>HYPERLINK("https://www.773grp.com/manufacturer/texas-instruments?pageNo=896", "Texas Instruments")</f>
        <v>Texas Instruments</v>
      </c>
      <c r="C1281" s="5">
        <v>4348</v>
      </c>
      <c r="D1281" s="6">
        <v>32.94</v>
      </c>
      <c r="E1281" t="s">
        <v>34</v>
      </c>
    </row>
    <row r="1282" spans="1:5" x14ac:dyDescent="0.25">
      <c r="A1282" t="str">
        <f>HYPERLINK("https://www.773grp.com/globalSearch/THS1206CDA/page-1", "THS1206CDA")</f>
        <v>THS1206CDA</v>
      </c>
      <c r="B1282" s="3" t="str">
        <f>HYPERLINK("https://www.773grp.com/manufacturer/texas-instruments?pageNo=901", "Texas Instruments")</f>
        <v>Texas Instruments</v>
      </c>
      <c r="C1282" s="5">
        <v>62</v>
      </c>
      <c r="D1282" s="6">
        <v>33.04</v>
      </c>
      <c r="E1282" t="s">
        <v>34</v>
      </c>
    </row>
    <row r="1283" spans="1:5" x14ac:dyDescent="0.25">
      <c r="A1283" t="str">
        <f>HYPERLINK("https://www.773grp.com/globalSearch/ADS8410IRGZR/page-1", "ADS8410IRGZR")</f>
        <v>ADS8410IRGZR</v>
      </c>
      <c r="B1283" s="3" t="str">
        <f>HYPERLINK("https://www.773grp.com/manufacturer/texas-instruments?pageNo=906", "Texas Instruments")</f>
        <v>Texas Instruments</v>
      </c>
      <c r="C1283" s="5">
        <v>171</v>
      </c>
      <c r="D1283" s="6">
        <v>33.11</v>
      </c>
      <c r="E1283" t="s">
        <v>34</v>
      </c>
    </row>
    <row r="1284" spans="1:5" x14ac:dyDescent="0.25">
      <c r="A1284" t="str">
        <f>HYPERLINK("https://www.773grp.com/globalSearch/ADS7820UB/page-1", "ADS7820UB")</f>
        <v>ADS7820UB</v>
      </c>
      <c r="B1284" s="3" t="str">
        <f>HYPERLINK("https://www.773grp.com/manufacturer/texas-instruments?pageNo=910", "Texas Instruments")</f>
        <v>Texas Instruments</v>
      </c>
      <c r="C1284" s="5">
        <v>2</v>
      </c>
      <c r="D1284" s="6">
        <v>33.130000000000003</v>
      </c>
      <c r="E1284" t="s">
        <v>34</v>
      </c>
    </row>
    <row r="1285" spans="1:5" x14ac:dyDescent="0.25">
      <c r="A1285" t="str">
        <f>HYPERLINK("https://www.773grp.com/globalSearch/ADS7820UB/page-1", "ADS7820UB")</f>
        <v>ADS7820UB</v>
      </c>
      <c r="B1285" s="3" t="str">
        <f>HYPERLINK("https://www.773grp.com/manufacturer/texas-instruments?pageNo=911", "Texas Instruments")</f>
        <v>Texas Instruments</v>
      </c>
      <c r="C1285" s="5">
        <v>4764</v>
      </c>
      <c r="D1285" s="6">
        <v>33.130000000000003</v>
      </c>
      <c r="E1285" t="s">
        <v>34</v>
      </c>
    </row>
    <row r="1286" spans="1:5" x14ac:dyDescent="0.25">
      <c r="A1286" t="str">
        <f>HYPERLINK("https://www.773grp.com/globalSearch/ADS7812U/page-1", "ADS7812U")</f>
        <v>ADS7812U</v>
      </c>
      <c r="B1286" s="3" t="str">
        <f>HYPERLINK("https://www.773grp.com/manufacturer/texas-instruments?pageNo=922", "Texas Instruments")</f>
        <v>Texas Instruments</v>
      </c>
      <c r="C1286" s="5">
        <v>54</v>
      </c>
      <c r="D1286" s="6">
        <v>33.19</v>
      </c>
      <c r="E1286" t="s">
        <v>34</v>
      </c>
    </row>
    <row r="1287" spans="1:5" x14ac:dyDescent="0.25">
      <c r="A1287" t="str">
        <f>HYPERLINK("https://www.773grp.com/globalSearch/ADS7812U/page-1", "ADS7812U")</f>
        <v>ADS7812U</v>
      </c>
      <c r="B1287" s="3" t="str">
        <f>HYPERLINK("https://www.773grp.com/manufacturer/texas-instruments?pageNo=923", "Texas Instruments")</f>
        <v>Texas Instruments</v>
      </c>
      <c r="C1287" s="5">
        <v>199</v>
      </c>
      <c r="D1287" s="6">
        <v>33.19</v>
      </c>
      <c r="E1287" t="s">
        <v>34</v>
      </c>
    </row>
    <row r="1288" spans="1:5" x14ac:dyDescent="0.25">
      <c r="A1288" t="str">
        <f>HYPERLINK("https://www.773grp.com/globalSearch/ADS1258IRTCT/page-1", "ADS1258IRTCT")</f>
        <v>ADS1258IRTCT</v>
      </c>
      <c r="B1288" s="3" t="s">
        <v>90</v>
      </c>
      <c r="C1288" s="5">
        <v>1951</v>
      </c>
      <c r="D1288" s="6">
        <v>33.590000000000003</v>
      </c>
      <c r="E1288" t="s">
        <v>34</v>
      </c>
    </row>
    <row r="1289" spans="1:5" x14ac:dyDescent="0.25">
      <c r="A1289" t="str">
        <f>HYPERLINK("https://www.773grp.com/globalSearch/ADS8508IBDW/page-1", "ADS8508IBDW")</f>
        <v>ADS8508IBDW</v>
      </c>
      <c r="B1289" s="3" t="s">
        <v>90</v>
      </c>
      <c r="C1289" s="5">
        <v>1285</v>
      </c>
      <c r="D1289" s="6">
        <v>33.61</v>
      </c>
      <c r="E1289" t="s">
        <v>34</v>
      </c>
    </row>
    <row r="1290" spans="1:5" x14ac:dyDescent="0.25">
      <c r="A1290" t="str">
        <f>HYPERLINK("https://www.773grp.com/globalSearch/ADS8509IDB/page-1", "ADS8509IDB")</f>
        <v>ADS8509IDB</v>
      </c>
      <c r="B1290" s="3" t="s">
        <v>90</v>
      </c>
      <c r="C1290" s="5">
        <v>100</v>
      </c>
      <c r="D1290" s="6">
        <v>33.61</v>
      </c>
      <c r="E1290" t="s">
        <v>34</v>
      </c>
    </row>
    <row r="1291" spans="1:5" x14ac:dyDescent="0.25">
      <c r="A1291" t="str">
        <f>HYPERLINK("https://www.773grp.com/globalSearch/ADS8509IDB/page-1", "ADS8509IDB")</f>
        <v>ADS8509IDB</v>
      </c>
      <c r="B1291" s="3" t="s">
        <v>90</v>
      </c>
      <c r="C1291" s="5">
        <v>3</v>
      </c>
      <c r="D1291" s="6">
        <v>33.61</v>
      </c>
      <c r="E1291" t="s">
        <v>34</v>
      </c>
    </row>
    <row r="1292" spans="1:5" x14ac:dyDescent="0.25">
      <c r="A1292" t="str">
        <f>HYPERLINK("https://www.773grp.com/globalSearch/ADS8509IDW/page-1", "ADS8509IDW")</f>
        <v>ADS8509IDW</v>
      </c>
      <c r="B1292" s="3" t="s">
        <v>90</v>
      </c>
      <c r="C1292" s="5">
        <v>7372</v>
      </c>
      <c r="D1292" s="6">
        <v>33.61</v>
      </c>
      <c r="E1292" t="s">
        <v>34</v>
      </c>
    </row>
    <row r="1293" spans="1:5" x14ac:dyDescent="0.25">
      <c r="A1293" t="str">
        <f>HYPERLINK("https://www.773grp.com/globalSearch/ADS7831P/page-1", "ADS7831P")</f>
        <v>ADS7831P</v>
      </c>
      <c r="B1293" s="3" t="s">
        <v>90</v>
      </c>
      <c r="C1293" s="5">
        <v>1106</v>
      </c>
      <c r="D1293" s="6">
        <v>33.71</v>
      </c>
      <c r="E1293" t="s">
        <v>34</v>
      </c>
    </row>
    <row r="1294" spans="1:5" x14ac:dyDescent="0.25">
      <c r="A1294" t="str">
        <f>HYPERLINK("https://www.773grp.com/globalSearch/ADS8413IRGZR/page-1", "ADS8413IRGZR")</f>
        <v>ADS8413IRGZR</v>
      </c>
      <c r="B1294" s="3" t="s">
        <v>90</v>
      </c>
      <c r="C1294" s="5">
        <v>143</v>
      </c>
      <c r="D1294" s="6">
        <v>33.75</v>
      </c>
      <c r="E1294" t="s">
        <v>34</v>
      </c>
    </row>
    <row r="1295" spans="1:5" x14ac:dyDescent="0.25">
      <c r="A1295" t="str">
        <f>HYPERLINK("https://www.773grp.com/globalSearch/ADS8513IDWR/page-1", "ADS8513IDWR")</f>
        <v>ADS8513IDWR</v>
      </c>
      <c r="B1295" s="3" t="s">
        <v>90</v>
      </c>
      <c r="C1295" s="5">
        <v>38000</v>
      </c>
      <c r="D1295" s="6">
        <v>33.75</v>
      </c>
      <c r="E1295" t="s">
        <v>34</v>
      </c>
    </row>
    <row r="1296" spans="1:5" x14ac:dyDescent="0.25">
      <c r="A1296" t="str">
        <f>HYPERLINK("https://www.773grp.com/globalSearch/THS1206QDA/page-1", "THS1206QDA")</f>
        <v>THS1206QDA</v>
      </c>
      <c r="B1296" s="3" t="s">
        <v>90</v>
      </c>
      <c r="C1296" s="5">
        <v>4369</v>
      </c>
      <c r="D1296" s="6">
        <v>33.89</v>
      </c>
      <c r="E1296" t="s">
        <v>34</v>
      </c>
    </row>
    <row r="1297" spans="1:5" x14ac:dyDescent="0.25">
      <c r="A1297" t="str">
        <f>HYPERLINK("https://www.773grp.com/globalSearch/ADS803E/page-1", "ADS803E")</f>
        <v>ADS803E</v>
      </c>
      <c r="B1297" s="3" t="s">
        <v>90</v>
      </c>
      <c r="C1297" s="5">
        <v>392</v>
      </c>
      <c r="D1297" s="6">
        <v>34.18</v>
      </c>
      <c r="E1297" t="s">
        <v>34</v>
      </c>
    </row>
    <row r="1298" spans="1:5" x14ac:dyDescent="0.25">
      <c r="A1298" t="str">
        <f>HYPERLINK("https://www.773grp.com/globalSearch/THS1408CPFB/page-1", "THS1408CPFB")</f>
        <v>THS1408CPFB</v>
      </c>
      <c r="B1298" s="3" t="s">
        <v>90</v>
      </c>
      <c r="C1298" s="5">
        <v>1705</v>
      </c>
      <c r="D1298" s="6">
        <v>34.31</v>
      </c>
      <c r="E1298" t="s">
        <v>34</v>
      </c>
    </row>
    <row r="1299" spans="1:5" x14ac:dyDescent="0.25">
      <c r="A1299" t="str">
        <f>HYPERLINK("https://www.773grp.com/globalSearch/ADS802E/page-1", "ADS802E")</f>
        <v>ADS802E</v>
      </c>
      <c r="B1299" s="3" t="s">
        <v>90</v>
      </c>
      <c r="C1299" s="5">
        <v>45</v>
      </c>
      <c r="D1299" s="6">
        <v>34.46</v>
      </c>
      <c r="E1299" t="s">
        <v>34</v>
      </c>
    </row>
    <row r="1300" spans="1:5" x14ac:dyDescent="0.25">
      <c r="A1300" t="str">
        <f>HYPERLINK("https://www.773grp.com/globalSearch/ADS802E/page-1", "ADS802E")</f>
        <v>ADS802E</v>
      </c>
      <c r="B1300" s="3" t="s">
        <v>90</v>
      </c>
      <c r="C1300" s="5">
        <v>139</v>
      </c>
      <c r="D1300" s="6">
        <v>34.46</v>
      </c>
      <c r="E1300" t="s">
        <v>34</v>
      </c>
    </row>
    <row r="1301" spans="1:5" x14ac:dyDescent="0.25">
      <c r="A1301" t="str">
        <f>HYPERLINK("https://www.773grp.com/globalSearch/ADS802E/page-1", "ADS802E")</f>
        <v>ADS802E</v>
      </c>
      <c r="B1301" s="3" t="s">
        <v>90</v>
      </c>
      <c r="C1301" s="5">
        <v>16</v>
      </c>
      <c r="D1301" s="6">
        <v>34.46</v>
      </c>
      <c r="E1301" t="s">
        <v>34</v>
      </c>
    </row>
    <row r="1302" spans="1:5" x14ac:dyDescent="0.25">
      <c r="A1302" t="str">
        <f>HYPERLINK("https://www.773grp.com/globalSearch/ADS7820PB/page-1", "ADS7820PB")</f>
        <v>ADS7820PB</v>
      </c>
      <c r="B1302" s="3" t="s">
        <v>90</v>
      </c>
      <c r="C1302" s="5">
        <v>566</v>
      </c>
      <c r="D1302" s="6">
        <v>34.799999999999997</v>
      </c>
      <c r="E1302" t="s">
        <v>34</v>
      </c>
    </row>
    <row r="1303" spans="1:5" x14ac:dyDescent="0.25">
      <c r="A1303" t="str">
        <f>HYPERLINK("https://www.773grp.com/globalSearch/THS12082IDAR/page-1", "THS12082IDAR")</f>
        <v>THS12082IDAR</v>
      </c>
      <c r="B1303" s="3" t="s">
        <v>90</v>
      </c>
      <c r="C1303" s="5">
        <v>9120</v>
      </c>
      <c r="D1303" s="6">
        <v>34.880000000000003</v>
      </c>
      <c r="E1303" t="s">
        <v>34</v>
      </c>
    </row>
    <row r="1304" spans="1:5" x14ac:dyDescent="0.25">
      <c r="A1304" t="str">
        <f>HYPERLINK("https://www.773grp.com/globalSearch/ADS1212U/page-1", "ADS1212U")</f>
        <v>ADS1212U</v>
      </c>
      <c r="B1304" s="3" t="s">
        <v>90</v>
      </c>
      <c r="C1304" s="5">
        <v>200</v>
      </c>
      <c r="D1304" s="6">
        <v>35.15</v>
      </c>
      <c r="E1304" t="s">
        <v>34</v>
      </c>
    </row>
    <row r="1305" spans="1:5" x14ac:dyDescent="0.25">
      <c r="A1305" t="str">
        <f>HYPERLINK("https://www.773grp.com/globalSearch/ADS1212UG4/page-1", "ADS1212UG4")</f>
        <v>ADS1212UG4</v>
      </c>
      <c r="B1305" s="3" t="s">
        <v>90</v>
      </c>
      <c r="C1305" s="5">
        <v>600</v>
      </c>
      <c r="D1305" s="6">
        <v>35.15</v>
      </c>
      <c r="E1305" t="s">
        <v>34</v>
      </c>
    </row>
    <row r="1306" spans="1:5" x14ac:dyDescent="0.25">
      <c r="A1306" t="str">
        <f>HYPERLINK("https://www.773grp.com/globalSearch/ADS823E/page-1", "ADS823E")</f>
        <v>ADS823E</v>
      </c>
      <c r="B1306" s="3" t="s">
        <v>90</v>
      </c>
      <c r="C1306" s="5">
        <v>14</v>
      </c>
      <c r="D1306" s="6">
        <v>35.15</v>
      </c>
      <c r="E1306" t="s">
        <v>34</v>
      </c>
    </row>
    <row r="1307" spans="1:5" x14ac:dyDescent="0.25">
      <c r="A1307" t="str">
        <f>HYPERLINK("https://www.773grp.com/globalSearch/ADS823EG4/page-1", "ADS823EG4")</f>
        <v>ADS823EG4</v>
      </c>
      <c r="B1307" s="3" t="s">
        <v>90</v>
      </c>
      <c r="C1307" s="5">
        <v>32</v>
      </c>
      <c r="D1307" s="6">
        <v>35.15</v>
      </c>
      <c r="E1307" t="s">
        <v>34</v>
      </c>
    </row>
    <row r="1308" spans="1:5" x14ac:dyDescent="0.25">
      <c r="A1308" t="str">
        <f>HYPERLINK("https://www.773grp.com/globalSearch/ADS8504IBDW/page-1", "ADS8504IBDW")</f>
        <v>ADS8504IBDW</v>
      </c>
      <c r="B1308" s="3" t="s">
        <v>90</v>
      </c>
      <c r="C1308" s="5">
        <v>21</v>
      </c>
      <c r="D1308" s="6">
        <v>35.15</v>
      </c>
      <c r="E1308" t="s">
        <v>34</v>
      </c>
    </row>
    <row r="1309" spans="1:5" x14ac:dyDescent="0.25">
      <c r="A1309" t="str">
        <f>HYPERLINK("https://www.773grp.com/globalSearch/THS12082CDA/page-1", "THS12082CDA")</f>
        <v>THS12082CDA</v>
      </c>
      <c r="B1309" s="3" t="s">
        <v>90</v>
      </c>
      <c r="C1309" s="5">
        <v>14008</v>
      </c>
      <c r="D1309" s="6">
        <v>35.15</v>
      </c>
      <c r="E1309" t="s">
        <v>34</v>
      </c>
    </row>
    <row r="1310" spans="1:5" x14ac:dyDescent="0.25">
      <c r="A1310" t="str">
        <f>HYPERLINK("https://www.773grp.com/globalSearch/THS1401IPFB/page-1", "THS1401IPFB")</f>
        <v>THS1401IPFB</v>
      </c>
      <c r="B1310" s="3" t="s">
        <v>90</v>
      </c>
      <c r="C1310" s="5">
        <v>14508</v>
      </c>
      <c r="D1310" s="6">
        <v>35.44</v>
      </c>
      <c r="E1310" t="s">
        <v>34</v>
      </c>
    </row>
    <row r="1311" spans="1:5" x14ac:dyDescent="0.25">
      <c r="A1311" t="str">
        <f>HYPERLINK("https://www.773grp.com/globalSearch/ADS5203IPFBR/page-1", "ADS5203IPFBR")</f>
        <v>ADS5203IPFBR</v>
      </c>
      <c r="B1311" s="3" t="s">
        <v>90</v>
      </c>
      <c r="C1311" s="5">
        <v>6996</v>
      </c>
      <c r="D1311" s="6">
        <v>35.479999999999997</v>
      </c>
      <c r="E1311" t="s">
        <v>34</v>
      </c>
    </row>
    <row r="1312" spans="1:5" x14ac:dyDescent="0.25">
      <c r="A1312" t="str">
        <f>HYPERLINK("https://www.773grp.com/globalSearch/ADS826E-1K/page-1", "ADS826E-1K")</f>
        <v>ADS826E-1K</v>
      </c>
      <c r="B1312" s="3" t="s">
        <v>90</v>
      </c>
      <c r="C1312" s="5">
        <v>1870</v>
      </c>
      <c r="D1312" s="6">
        <v>35.69</v>
      </c>
      <c r="E1312" t="s">
        <v>34</v>
      </c>
    </row>
    <row r="1313" spans="1:5" x14ac:dyDescent="0.25">
      <c r="A1313" t="str">
        <f>HYPERLINK("https://www.773grp.com/globalSearch/ADS826E-1KG4/page-1", "ADS826E-1KG4")</f>
        <v>ADS826E-1KG4</v>
      </c>
      <c r="B1313" s="3" t="s">
        <v>90</v>
      </c>
      <c r="C1313" s="5">
        <v>1527</v>
      </c>
      <c r="D1313" s="6">
        <v>35.69</v>
      </c>
      <c r="E1313" t="s">
        <v>34</v>
      </c>
    </row>
    <row r="1314" spans="1:5" x14ac:dyDescent="0.25">
      <c r="A1314" t="str">
        <f>HYPERLINK("https://www.773grp.com/globalSearch/ADS7819P/page-1", "ADS7819P")</f>
        <v>ADS7819P</v>
      </c>
      <c r="B1314" s="3" t="s">
        <v>90</v>
      </c>
      <c r="C1314" s="5">
        <v>4626</v>
      </c>
      <c r="D1314" s="6">
        <v>36.03</v>
      </c>
      <c r="E1314" t="s">
        <v>34</v>
      </c>
    </row>
    <row r="1315" spans="1:5" x14ac:dyDescent="0.25">
      <c r="A1315" t="str">
        <f>HYPERLINK("https://www.773grp.com/globalSearch/ADS7819U/page-1", "ADS7819U")</f>
        <v>ADS7819U</v>
      </c>
      <c r="B1315" s="3" t="s">
        <v>90</v>
      </c>
      <c r="C1315" s="5">
        <v>2</v>
      </c>
      <c r="D1315" s="6">
        <v>36.03</v>
      </c>
      <c r="E1315" t="s">
        <v>34</v>
      </c>
    </row>
    <row r="1316" spans="1:5" x14ac:dyDescent="0.25">
      <c r="A1316" t="str">
        <f>HYPERLINK("https://www.773grp.com/globalSearch/ADS8471IRGZT/page-1", "ADS8471IRGZT")</f>
        <v>ADS8471IRGZT</v>
      </c>
      <c r="B1316" s="3" t="s">
        <v>90</v>
      </c>
      <c r="C1316" s="5">
        <v>247</v>
      </c>
      <c r="D1316" s="6">
        <v>36.15</v>
      </c>
      <c r="E1316" t="s">
        <v>34</v>
      </c>
    </row>
    <row r="1317" spans="1:5" x14ac:dyDescent="0.25">
      <c r="A1317" t="str">
        <f>HYPERLINK("https://www.773grp.com/globalSearch/TLC3578IPW/page-1", "TLC3578IPW")</f>
        <v>TLC3578IPW</v>
      </c>
      <c r="B1317" s="3" t="s">
        <v>90</v>
      </c>
      <c r="C1317" s="5">
        <v>10</v>
      </c>
      <c r="D1317" s="6">
        <v>36.15</v>
      </c>
      <c r="E1317" t="s">
        <v>34</v>
      </c>
    </row>
    <row r="1318" spans="1:5" x14ac:dyDescent="0.25">
      <c r="A1318" t="str">
        <f>HYPERLINK("https://www.773grp.com/globalSearch/ADS1210U-1K/page-1", "ADS1210U-1K")</f>
        <v>ADS1210U-1K</v>
      </c>
      <c r="B1318" s="3" t="s">
        <v>90</v>
      </c>
      <c r="C1318" s="5">
        <v>2000</v>
      </c>
      <c r="D1318" s="6">
        <v>36.159999999999997</v>
      </c>
      <c r="E1318" t="s">
        <v>34</v>
      </c>
    </row>
    <row r="1319" spans="1:5" x14ac:dyDescent="0.25">
      <c r="A1319" t="str">
        <f>HYPERLINK("https://www.773grp.com/globalSearch/ADS8505IDBR/page-1", "ADS8505IDBR")</f>
        <v>ADS8505IDBR</v>
      </c>
      <c r="B1319" s="3" t="s">
        <v>90</v>
      </c>
      <c r="C1319" s="5">
        <v>78000</v>
      </c>
      <c r="D1319" s="6">
        <v>36.409999999999997</v>
      </c>
      <c r="E1319" t="s">
        <v>34</v>
      </c>
    </row>
    <row r="1320" spans="1:5" x14ac:dyDescent="0.25">
      <c r="A1320" t="str">
        <f>HYPERLINK("https://www.773grp.com/globalSearch/ADS807E-1K/page-1", "ADS807E-1K")</f>
        <v>ADS807E-1K</v>
      </c>
      <c r="B1320" s="3" t="s">
        <v>90</v>
      </c>
      <c r="C1320" s="5">
        <v>3000</v>
      </c>
      <c r="D1320" s="6">
        <v>36.5</v>
      </c>
      <c r="E1320" t="s">
        <v>34</v>
      </c>
    </row>
    <row r="1321" spans="1:5" x14ac:dyDescent="0.25">
      <c r="A1321" t="str">
        <f>HYPERLINK("https://www.773grp.com/globalSearch/ADS807E-1KG4/page-1", "ADS807E-1KG4")</f>
        <v>ADS807E-1KG4</v>
      </c>
      <c r="B1321" s="3" t="s">
        <v>90</v>
      </c>
      <c r="C1321" s="5">
        <v>2000</v>
      </c>
      <c r="D1321" s="6">
        <v>36.5</v>
      </c>
      <c r="E1321" t="s">
        <v>34</v>
      </c>
    </row>
    <row r="1322" spans="1:5" x14ac:dyDescent="0.25">
      <c r="A1322" t="str">
        <f>HYPERLINK("https://www.773grp.com/globalSearch/ADS8517IPWR/page-1", "ADS8517IPWR")</f>
        <v>ADS8517IPWR</v>
      </c>
      <c r="B1322" s="3" t="s">
        <v>90</v>
      </c>
      <c r="C1322" s="5">
        <v>2000</v>
      </c>
      <c r="D1322" s="6">
        <v>36.56</v>
      </c>
      <c r="E1322" t="s">
        <v>34</v>
      </c>
    </row>
    <row r="1323" spans="1:5" x14ac:dyDescent="0.25">
      <c r="A1323" t="str">
        <f>HYPERLINK("https://www.773grp.com/globalSearch/ADS7890IPFBR/page-1", "ADS7890IPFBR")</f>
        <v>ADS7890IPFBR</v>
      </c>
      <c r="B1323" s="3" t="s">
        <v>90</v>
      </c>
      <c r="C1323" s="5">
        <v>1540</v>
      </c>
      <c r="D1323" s="6">
        <v>36.99</v>
      </c>
      <c r="E1323" t="s">
        <v>34</v>
      </c>
    </row>
    <row r="1324" spans="1:5" x14ac:dyDescent="0.25">
      <c r="A1324" t="str">
        <f>HYPERLINK("https://www.773grp.com/globalSearch/THS1215CPW/page-1", "THS1215CPW")</f>
        <v>THS1215CPW</v>
      </c>
      <c r="B1324" s="3" t="s">
        <v>90</v>
      </c>
      <c r="C1324" s="5">
        <v>8466</v>
      </c>
      <c r="D1324" s="6">
        <v>36.99</v>
      </c>
      <c r="E1324" t="s">
        <v>34</v>
      </c>
    </row>
    <row r="1325" spans="1:5" x14ac:dyDescent="0.25">
      <c r="A1325" t="str">
        <f>HYPERLINK("https://www.773grp.com/globalSearch/ADS805EG4/page-1", "ADS805EG4")</f>
        <v>ADS805EG4</v>
      </c>
      <c r="B1325" s="3" t="s">
        <v>90</v>
      </c>
      <c r="C1325" s="5">
        <v>26</v>
      </c>
      <c r="D1325" s="6">
        <v>37.26</v>
      </c>
      <c r="E1325" t="s">
        <v>34</v>
      </c>
    </row>
    <row r="1326" spans="1:5" x14ac:dyDescent="0.25">
      <c r="A1326" t="str">
        <f>HYPERLINK("https://www.773grp.com/globalSearch/ADS8410IRGZT/page-1", "ADS8410IRGZT")</f>
        <v>ADS8410IRGZT</v>
      </c>
      <c r="B1326" s="3" t="s">
        <v>90</v>
      </c>
      <c r="C1326" s="5">
        <v>6500</v>
      </c>
      <c r="D1326" s="6">
        <v>37.64</v>
      </c>
      <c r="E1326" t="s">
        <v>34</v>
      </c>
    </row>
    <row r="1327" spans="1:5" x14ac:dyDescent="0.25">
      <c r="A1327" t="str">
        <f>HYPERLINK("https://www.773grp.com/globalSearch/ADS8413IRGZT/page-1", "ADS8413IRGZT")</f>
        <v>ADS8413IRGZT</v>
      </c>
      <c r="B1327" s="3" t="s">
        <v>90</v>
      </c>
      <c r="C1327" s="5">
        <v>6500</v>
      </c>
      <c r="D1327" s="6">
        <v>37.979999999999997</v>
      </c>
      <c r="E1327" t="s">
        <v>34</v>
      </c>
    </row>
    <row r="1328" spans="1:5" x14ac:dyDescent="0.25">
      <c r="A1328" t="str">
        <f>HYPERLINK("https://www.773grp.com/globalSearch/THS1206IDA/page-1", "THS1206IDA")</f>
        <v>THS1206IDA</v>
      </c>
      <c r="B1328" s="3" t="s">
        <v>90</v>
      </c>
      <c r="C1328" s="5">
        <v>280</v>
      </c>
      <c r="D1328" s="6">
        <v>37.979999999999997</v>
      </c>
      <c r="E1328" t="s">
        <v>34</v>
      </c>
    </row>
    <row r="1329" spans="1:5" x14ac:dyDescent="0.25">
      <c r="A1329" t="str">
        <f>HYPERLINK("https://www.773grp.com/globalSearch/THS14F01IPFB/page-1", "THS14F01IPFB")</f>
        <v>THS14F01IPFB</v>
      </c>
      <c r="B1329" s="3" t="s">
        <v>90</v>
      </c>
      <c r="C1329" s="5">
        <v>4321</v>
      </c>
      <c r="D1329" s="6">
        <v>38.1</v>
      </c>
      <c r="E1329" t="s">
        <v>34</v>
      </c>
    </row>
    <row r="1330" spans="1:5" x14ac:dyDescent="0.25">
      <c r="A1330" t="str">
        <f>HYPERLINK("https://www.773grp.com/globalSearch/ADS1672IPAG/page-1", "ADS1672IPAG")</f>
        <v>ADS1672IPAG</v>
      </c>
      <c r="B1330" s="3" t="s">
        <v>90</v>
      </c>
      <c r="C1330" s="5">
        <v>144</v>
      </c>
      <c r="D1330" s="6">
        <v>38.93</v>
      </c>
      <c r="E1330" t="s">
        <v>34</v>
      </c>
    </row>
    <row r="1331" spans="1:5" x14ac:dyDescent="0.25">
      <c r="A1331" t="str">
        <f>HYPERLINK("https://www.773grp.com/globalSearch/ADS1211E-1KG4/page-1", "ADS1211E-1KG4")</f>
        <v>ADS1211E-1KG4</v>
      </c>
      <c r="B1331" s="3" t="s">
        <v>90</v>
      </c>
      <c r="C1331" s="5">
        <v>3800</v>
      </c>
      <c r="D1331" s="6">
        <v>38.99</v>
      </c>
      <c r="E1331" t="s">
        <v>34</v>
      </c>
    </row>
    <row r="1332" spans="1:5" x14ac:dyDescent="0.25">
      <c r="A1332" t="str">
        <f>HYPERLINK("https://www.773grp.com/globalSearch/ADS804E-1K/page-1", "ADS804E-1K")</f>
        <v>ADS804E-1K</v>
      </c>
      <c r="B1332" s="3" t="s">
        <v>90</v>
      </c>
      <c r="C1332" s="5">
        <v>598</v>
      </c>
      <c r="D1332" s="6">
        <v>39.1</v>
      </c>
      <c r="E1332" t="s">
        <v>34</v>
      </c>
    </row>
    <row r="1333" spans="1:5" x14ac:dyDescent="0.25">
      <c r="A1333" t="str">
        <f>HYPERLINK("https://www.773grp.com/globalSearch/THS1215IPW/page-1", "THS1215IPW")</f>
        <v>THS1215IPW</v>
      </c>
      <c r="B1333" s="3" t="s">
        <v>90</v>
      </c>
      <c r="C1333" s="5">
        <v>15712</v>
      </c>
      <c r="D1333" s="6">
        <v>39.35</v>
      </c>
      <c r="E1333" t="s">
        <v>34</v>
      </c>
    </row>
    <row r="1334" spans="1:5" x14ac:dyDescent="0.25">
      <c r="A1334" t="str">
        <f>HYPERLINK("https://www.773grp.com/globalSearch/ADS8370IBRHPR/page-1", "ADS8370IBRHPR")</f>
        <v>ADS8370IBRHPR</v>
      </c>
      <c r="B1334" s="3" t="s">
        <v>90</v>
      </c>
      <c r="C1334" s="5">
        <v>5000</v>
      </c>
      <c r="D1334" s="6">
        <v>39.380000000000003</v>
      </c>
      <c r="E1334" t="s">
        <v>34</v>
      </c>
    </row>
    <row r="1335" spans="1:5" x14ac:dyDescent="0.25">
      <c r="A1335" t="str">
        <f>HYPERLINK("https://www.773grp.com/globalSearch/ADS8513IDW/page-1", "ADS8513IDW")</f>
        <v>ADS8513IDW</v>
      </c>
      <c r="B1335" s="3" t="s">
        <v>90</v>
      </c>
      <c r="C1335" s="5">
        <v>15545</v>
      </c>
      <c r="D1335" s="6">
        <v>39.380000000000003</v>
      </c>
      <c r="E1335" t="s">
        <v>34</v>
      </c>
    </row>
    <row r="1336" spans="1:5" x14ac:dyDescent="0.25">
      <c r="A1336" t="str">
        <f>HYPERLINK("https://www.773grp.com/globalSearch/ADS5203IPFB/page-1", "ADS5203IPFB")</f>
        <v>ADS5203IPFB</v>
      </c>
      <c r="B1336" s="3" t="s">
        <v>90</v>
      </c>
      <c r="C1336" s="5">
        <v>7820</v>
      </c>
      <c r="D1336" s="6">
        <v>39.450000000000003</v>
      </c>
      <c r="E1336" t="s">
        <v>34</v>
      </c>
    </row>
    <row r="1337" spans="1:5" x14ac:dyDescent="0.25">
      <c r="A1337" t="str">
        <f>HYPERLINK("https://www.773grp.com/globalSearch/TLV5580CDWR/page-1", "TLV5580CDWR")</f>
        <v>TLV5580CDWR</v>
      </c>
      <c r="B1337" s="3" t="s">
        <v>90</v>
      </c>
      <c r="C1337" s="5">
        <v>2000</v>
      </c>
      <c r="D1337" s="6">
        <v>39.53</v>
      </c>
      <c r="E1337" t="s">
        <v>34</v>
      </c>
    </row>
    <row r="1338" spans="1:5" x14ac:dyDescent="0.25">
      <c r="A1338" t="str">
        <f>HYPERLINK("https://www.773grp.com/globalSearch/TLV5580CPWR/page-1", "TLV5580CPWR")</f>
        <v>TLV5580CPWR</v>
      </c>
      <c r="B1338" s="3" t="s">
        <v>90</v>
      </c>
      <c r="C1338" s="5">
        <v>2000</v>
      </c>
      <c r="D1338" s="6">
        <v>39.53</v>
      </c>
      <c r="E1338" t="s">
        <v>34</v>
      </c>
    </row>
    <row r="1339" spans="1:5" x14ac:dyDescent="0.25">
      <c r="A1339" t="str">
        <f>HYPERLINK("https://www.773grp.com/globalSearch/ADS1213E/page-1", "ADS1213E")</f>
        <v>ADS1213E</v>
      </c>
      <c r="B1339" s="3" t="s">
        <v>90</v>
      </c>
      <c r="C1339" s="5">
        <v>4370</v>
      </c>
      <c r="D1339" s="6">
        <v>39.6</v>
      </c>
      <c r="E1339" t="s">
        <v>34</v>
      </c>
    </row>
    <row r="1340" spans="1:5" x14ac:dyDescent="0.25">
      <c r="A1340" t="str">
        <f>HYPERLINK("https://www.773grp.com/globalSearch/ADS1213E/page-1", "ADS1213E")</f>
        <v>ADS1213E</v>
      </c>
      <c r="B1340" s="3" t="s">
        <v>90</v>
      </c>
      <c r="C1340" s="5">
        <v>1350</v>
      </c>
      <c r="D1340" s="6">
        <v>39.6</v>
      </c>
      <c r="E1340" t="s">
        <v>34</v>
      </c>
    </row>
    <row r="1341" spans="1:5" x14ac:dyDescent="0.25">
      <c r="A1341" t="str">
        <f>HYPERLINK("https://www.773grp.com/globalSearch/ADS1213U/page-1", "ADS1213U")</f>
        <v>ADS1213U</v>
      </c>
      <c r="B1341" s="3" t="s">
        <v>90</v>
      </c>
      <c r="C1341" s="5">
        <v>368</v>
      </c>
      <c r="D1341" s="6">
        <v>39.6</v>
      </c>
      <c r="E1341" t="s">
        <v>34</v>
      </c>
    </row>
    <row r="1342" spans="1:5" x14ac:dyDescent="0.25">
      <c r="A1342" t="str">
        <f>HYPERLINK("https://www.773grp.com/globalSearch/ADS1212P/page-1", "ADS1212P")</f>
        <v>ADS1212P</v>
      </c>
      <c r="B1342" s="3" t="s">
        <v>90</v>
      </c>
      <c r="C1342" s="5">
        <v>38</v>
      </c>
      <c r="D1342" s="6">
        <v>39.659999999999997</v>
      </c>
      <c r="E1342" t="s">
        <v>34</v>
      </c>
    </row>
    <row r="1343" spans="1:5" x14ac:dyDescent="0.25">
      <c r="A1343" t="str">
        <f>HYPERLINK("https://www.773grp.com/globalSearch/ADS1212P/page-1", "ADS1212P")</f>
        <v>ADS1212P</v>
      </c>
      <c r="B1343" s="3" t="s">
        <v>90</v>
      </c>
      <c r="C1343" s="5">
        <v>24</v>
      </c>
      <c r="D1343" s="6">
        <v>39.659999999999997</v>
      </c>
      <c r="E1343" t="s">
        <v>34</v>
      </c>
    </row>
    <row r="1344" spans="1:5" x14ac:dyDescent="0.25">
      <c r="A1344" t="str">
        <f>HYPERLINK("https://www.773grp.com/globalSearch/ADS1625IPAPT/page-1", "ADS1625IPAPT")</f>
        <v>ADS1625IPAPT</v>
      </c>
      <c r="B1344" s="3" t="s">
        <v>90</v>
      </c>
      <c r="C1344" s="5">
        <v>7910</v>
      </c>
      <c r="D1344" s="6">
        <v>39.659999999999997</v>
      </c>
      <c r="E1344" t="s">
        <v>34</v>
      </c>
    </row>
    <row r="1345" spans="1:5" x14ac:dyDescent="0.25">
      <c r="A1345" t="str">
        <f>HYPERLINK("https://www.773grp.com/globalSearch/DDC112UK/page-1", "DDC112UK")</f>
        <v>DDC112UK</v>
      </c>
      <c r="B1345" s="3" t="s">
        <v>90</v>
      </c>
      <c r="C1345" s="5">
        <v>1204</v>
      </c>
      <c r="D1345" s="6">
        <v>39.659999999999997</v>
      </c>
      <c r="E1345" t="s">
        <v>34</v>
      </c>
    </row>
    <row r="1346" spans="1:5" x14ac:dyDescent="0.25">
      <c r="A1346" t="str">
        <f>HYPERLINK("https://www.773grp.com/globalSearch/THS1230IPWR/page-1", "THS1230IPWR")</f>
        <v>THS1230IPWR</v>
      </c>
      <c r="B1346" s="3" t="s">
        <v>90</v>
      </c>
      <c r="C1346" s="5">
        <v>8000</v>
      </c>
      <c r="D1346" s="6">
        <v>39.79</v>
      </c>
      <c r="E1346" t="s">
        <v>34</v>
      </c>
    </row>
    <row r="1347" spans="1:5" x14ac:dyDescent="0.25">
      <c r="A1347" t="str">
        <f>HYPERLINK("https://www.773grp.com/globalSearch/ADS7812UB-1K/page-1", "ADS7812UB-1K")</f>
        <v>ADS7812UB-1K</v>
      </c>
      <c r="B1347" s="3" t="s">
        <v>90</v>
      </c>
      <c r="C1347" s="5">
        <v>700</v>
      </c>
      <c r="D1347" s="6">
        <v>39.94</v>
      </c>
      <c r="E1347" t="s">
        <v>34</v>
      </c>
    </row>
    <row r="1348" spans="1:5" x14ac:dyDescent="0.25">
      <c r="A1348" t="str">
        <f>HYPERLINK("https://www.773grp.com/globalSearch/THS1215CDW/page-1", "THS1215CDW")</f>
        <v>THS1215CDW</v>
      </c>
      <c r="B1348" s="3" t="s">
        <v>90</v>
      </c>
      <c r="C1348" s="5">
        <v>6090</v>
      </c>
      <c r="D1348" s="6">
        <v>40.36</v>
      </c>
      <c r="E1348" t="s">
        <v>34</v>
      </c>
    </row>
    <row r="1349" spans="1:5" x14ac:dyDescent="0.25">
      <c r="A1349" t="str">
        <f>HYPERLINK("https://www.773grp.com/globalSearch/THS12082IDA/page-1", "THS12082IDA")</f>
        <v>THS12082IDA</v>
      </c>
      <c r="B1349" s="3" t="s">
        <v>90</v>
      </c>
      <c r="C1349" s="5">
        <v>2</v>
      </c>
      <c r="D1349" s="6">
        <v>40.5</v>
      </c>
      <c r="E1349" t="s">
        <v>34</v>
      </c>
    </row>
    <row r="1350" spans="1:5" x14ac:dyDescent="0.25">
      <c r="A1350" t="str">
        <f>HYPERLINK("https://www.773grp.com/globalSearch/ADS5231IPAGT/page-1", "ADS5231IPAGT")</f>
        <v>ADS5231IPAGT</v>
      </c>
      <c r="B1350" s="3" t="s">
        <v>90</v>
      </c>
      <c r="C1350" s="5">
        <v>1000</v>
      </c>
      <c r="D1350" s="6">
        <v>40.590000000000003</v>
      </c>
      <c r="E1350" t="s">
        <v>34</v>
      </c>
    </row>
    <row r="1351" spans="1:5" x14ac:dyDescent="0.25">
      <c r="A1351" t="str">
        <f>HYPERLINK("https://www.773grp.com/globalSearch/ADS8372IBRHPR/page-1", "ADS8372IBRHPR")</f>
        <v>ADS8372IBRHPR</v>
      </c>
      <c r="B1351" s="3" t="s">
        <v>90</v>
      </c>
      <c r="C1351" s="5">
        <v>5754</v>
      </c>
      <c r="D1351" s="6">
        <v>40.79</v>
      </c>
      <c r="E1351" t="s">
        <v>34</v>
      </c>
    </row>
    <row r="1352" spans="1:5" x14ac:dyDescent="0.25">
      <c r="A1352" t="str">
        <f>HYPERLINK("https://www.773grp.com/globalSearch/ADS1274IPAPR/page-1", "ADS1274IPAPR")</f>
        <v>ADS1274IPAPR</v>
      </c>
      <c r="B1352" s="3" t="s">
        <v>90</v>
      </c>
      <c r="C1352" s="5">
        <v>3000</v>
      </c>
      <c r="D1352" s="6">
        <v>41.21</v>
      </c>
      <c r="E1352" t="s">
        <v>34</v>
      </c>
    </row>
    <row r="1353" spans="1:5" x14ac:dyDescent="0.25">
      <c r="A1353" t="str">
        <f>HYPERLINK("https://www.773grp.com/globalSearch/ADS826E/page-1", "ADS826E")</f>
        <v>ADS826E</v>
      </c>
      <c r="B1353" s="3" t="s">
        <v>90</v>
      </c>
      <c r="C1353" s="5">
        <v>1076</v>
      </c>
      <c r="D1353" s="6">
        <v>41.31</v>
      </c>
      <c r="E1353" t="s">
        <v>34</v>
      </c>
    </row>
    <row r="1354" spans="1:5" x14ac:dyDescent="0.25">
      <c r="A1354" t="str">
        <f>HYPERLINK("https://www.773grp.com/globalSearch/ADS1210U/page-1", "ADS1210U")</f>
        <v>ADS1210U</v>
      </c>
      <c r="B1354" s="3" t="s">
        <v>90</v>
      </c>
      <c r="C1354" s="5">
        <v>79</v>
      </c>
      <c r="D1354" s="6">
        <v>41.8</v>
      </c>
      <c r="E1354" t="s">
        <v>34</v>
      </c>
    </row>
    <row r="1355" spans="1:5" x14ac:dyDescent="0.25">
      <c r="A1355" t="str">
        <f>HYPERLINK("https://www.773grp.com/globalSearch/ADS807E/page-1", "ADS807E")</f>
        <v>ADS807E</v>
      </c>
      <c r="B1355" s="3" t="s">
        <v>90</v>
      </c>
      <c r="C1355" s="5">
        <v>916</v>
      </c>
      <c r="D1355" s="6">
        <v>41.85</v>
      </c>
      <c r="E1355" t="s">
        <v>34</v>
      </c>
    </row>
    <row r="1356" spans="1:5" x14ac:dyDescent="0.25">
      <c r="A1356" t="str">
        <f>HYPERLINK("https://www.773grp.com/globalSearch/ADS5231IPAG/page-1", "ADS5231IPAG")</f>
        <v>ADS5231IPAG</v>
      </c>
      <c r="B1356" s="3" t="s">
        <v>90</v>
      </c>
      <c r="C1356" s="5">
        <v>218</v>
      </c>
      <c r="D1356" s="6">
        <v>41.99</v>
      </c>
      <c r="E1356" t="s">
        <v>34</v>
      </c>
    </row>
    <row r="1357" spans="1:5" x14ac:dyDescent="0.25">
      <c r="A1357" t="str">
        <f>HYPERLINK("https://www.773grp.com/globalSearch/ADS5231IPAGG4/page-1", "ADS5231IPAGG4")</f>
        <v>ADS5231IPAGG4</v>
      </c>
      <c r="B1357" s="3" t="s">
        <v>90</v>
      </c>
      <c r="C1357" s="5">
        <v>120</v>
      </c>
      <c r="D1357" s="6">
        <v>41.99</v>
      </c>
      <c r="E1357" t="s">
        <v>34</v>
      </c>
    </row>
    <row r="1358" spans="1:5" x14ac:dyDescent="0.25">
      <c r="A1358" t="str">
        <f>HYPERLINK("https://www.773grp.com/globalSearch/ADS8472IRGZT/page-1", "ADS8472IRGZT")</f>
        <v>ADS8472IRGZT</v>
      </c>
      <c r="B1358" s="3" t="s">
        <v>90</v>
      </c>
      <c r="C1358" s="5">
        <v>308</v>
      </c>
      <c r="D1358" s="6">
        <v>42.05</v>
      </c>
      <c r="E1358" t="s">
        <v>34</v>
      </c>
    </row>
    <row r="1359" spans="1:5" x14ac:dyDescent="0.25">
      <c r="A1359" t="str">
        <f>HYPERLINK("https://www.773grp.com/globalSearch/ADS8505IDB/page-1", "ADS8505IDB")</f>
        <v>ADS8505IDB</v>
      </c>
      <c r="B1359" s="3" t="s">
        <v>90</v>
      </c>
      <c r="C1359" s="5">
        <v>12820</v>
      </c>
      <c r="D1359" s="6">
        <v>42.05</v>
      </c>
      <c r="E1359" t="s">
        <v>34</v>
      </c>
    </row>
    <row r="1360" spans="1:5" x14ac:dyDescent="0.25">
      <c r="A1360" t="str">
        <f>HYPERLINK("https://www.773grp.com/globalSearch/ADS8505IDW/page-1", "ADS8505IDW")</f>
        <v>ADS8505IDW</v>
      </c>
      <c r="B1360" s="3" t="s">
        <v>90</v>
      </c>
      <c r="C1360" s="5">
        <v>236</v>
      </c>
      <c r="D1360" s="6">
        <v>42.05</v>
      </c>
      <c r="E1360" t="s">
        <v>34</v>
      </c>
    </row>
    <row r="1361" spans="1:5" x14ac:dyDescent="0.25">
      <c r="A1361" t="str">
        <f>HYPERLINK("https://www.773grp.com/globalSearch/ADS8509IBDBR/page-1", "ADS8509IBDBR")</f>
        <v>ADS8509IBDBR</v>
      </c>
      <c r="B1361" s="3" t="s">
        <v>90</v>
      </c>
      <c r="C1361" s="5">
        <v>4000</v>
      </c>
      <c r="D1361" s="6">
        <v>42.05</v>
      </c>
      <c r="E1361" t="s">
        <v>34</v>
      </c>
    </row>
    <row r="1362" spans="1:5" x14ac:dyDescent="0.25">
      <c r="A1362" t="str">
        <f>HYPERLINK("https://www.773grp.com/globalSearch/ADS8519IDB/page-1", "ADS8519IDB")</f>
        <v>ADS8519IDB</v>
      </c>
      <c r="B1362" s="3" t="s">
        <v>90</v>
      </c>
      <c r="C1362" s="5">
        <v>1629</v>
      </c>
      <c r="D1362" s="6">
        <v>42.05</v>
      </c>
      <c r="E1362" t="s">
        <v>34</v>
      </c>
    </row>
    <row r="1363" spans="1:5" x14ac:dyDescent="0.25">
      <c r="A1363" t="str">
        <f>HYPERLINK("https://www.773grp.com/globalSearch/ADS8556IPM/page-1", "ADS8556IPM")</f>
        <v>ADS8556IPM</v>
      </c>
      <c r="B1363" s="3" t="s">
        <v>90</v>
      </c>
      <c r="C1363" s="5">
        <v>55</v>
      </c>
      <c r="D1363" s="6">
        <v>42.05</v>
      </c>
      <c r="E1363" t="s">
        <v>34</v>
      </c>
    </row>
    <row r="1364" spans="1:5" x14ac:dyDescent="0.25">
      <c r="A1364" t="str">
        <f>HYPERLINK("https://www.773grp.com/globalSearch/ADS574JH/page-1", "ADS574JH")</f>
        <v>ADS574JH</v>
      </c>
      <c r="B1364" s="3" t="s">
        <v>90</v>
      </c>
      <c r="C1364" s="5">
        <v>357</v>
      </c>
      <c r="D1364" s="6">
        <v>42.19</v>
      </c>
      <c r="E1364" t="s">
        <v>34</v>
      </c>
    </row>
    <row r="1365" spans="1:5" x14ac:dyDescent="0.25">
      <c r="A1365" t="str">
        <f>HYPERLINK("https://www.773grp.com/globalSearch/ADS8507IDW/page-1", "ADS8507IDW")</f>
        <v>ADS8507IDW</v>
      </c>
      <c r="B1365" s="3" t="s">
        <v>90</v>
      </c>
      <c r="C1365" s="5">
        <v>301</v>
      </c>
      <c r="D1365" s="6">
        <v>42.19</v>
      </c>
      <c r="E1365" t="s">
        <v>34</v>
      </c>
    </row>
    <row r="1366" spans="1:5" x14ac:dyDescent="0.25">
      <c r="A1366" t="str">
        <f>HYPERLINK("https://www.773grp.com/globalSearch/ADS8517IDW/page-1", "ADS8517IDW")</f>
        <v>ADS8517IDW</v>
      </c>
      <c r="B1366" s="3" t="s">
        <v>90</v>
      </c>
      <c r="C1366" s="5">
        <v>59</v>
      </c>
      <c r="D1366" s="6">
        <v>42.19</v>
      </c>
      <c r="E1366" t="s">
        <v>34</v>
      </c>
    </row>
    <row r="1367" spans="1:5" x14ac:dyDescent="0.25">
      <c r="A1367" t="str">
        <f>HYPERLINK("https://www.773grp.com/globalSearch/ADS8517IPW/page-1", "ADS8517IPW")</f>
        <v>ADS8517IPW</v>
      </c>
      <c r="B1367" s="3" t="s">
        <v>90</v>
      </c>
      <c r="C1367" s="5">
        <v>1288</v>
      </c>
      <c r="D1367" s="6">
        <v>42.19</v>
      </c>
      <c r="E1367" t="s">
        <v>34</v>
      </c>
    </row>
    <row r="1368" spans="1:5" x14ac:dyDescent="0.25">
      <c r="A1368" t="str">
        <f>HYPERLINK("https://www.773grp.com/globalSearch/TLV5580IDWR/page-1", "TLV5580IDWR")</f>
        <v>TLV5580IDWR</v>
      </c>
      <c r="B1368" s="3" t="s">
        <v>90</v>
      </c>
      <c r="C1368" s="5">
        <v>2000</v>
      </c>
      <c r="D1368" s="6">
        <v>42.48</v>
      </c>
      <c r="E1368" t="s">
        <v>34</v>
      </c>
    </row>
    <row r="1369" spans="1:5" x14ac:dyDescent="0.25">
      <c r="A1369" t="str">
        <f>HYPERLINK("https://www.773grp.com/globalSearch/TLV5580IPWR/page-1", "TLV5580IPWR")</f>
        <v>TLV5580IPWR</v>
      </c>
      <c r="B1369" s="3" t="s">
        <v>90</v>
      </c>
      <c r="C1369" s="5">
        <v>2000</v>
      </c>
      <c r="D1369" s="6">
        <v>42.48</v>
      </c>
      <c r="E1369" t="s">
        <v>34</v>
      </c>
    </row>
    <row r="1370" spans="1:5" x14ac:dyDescent="0.25">
      <c r="A1370" t="str">
        <f>HYPERLINK("https://www.773grp.com/globalSearch/ADS1626IPAPT/page-1", "ADS1626IPAPT")</f>
        <v>ADS1626IPAPT</v>
      </c>
      <c r="B1370" s="3" t="s">
        <v>90</v>
      </c>
      <c r="C1370" s="5">
        <v>2230</v>
      </c>
      <c r="D1370" s="6">
        <v>42.61</v>
      </c>
      <c r="E1370" t="s">
        <v>34</v>
      </c>
    </row>
    <row r="1371" spans="1:5" x14ac:dyDescent="0.25">
      <c r="A1371" t="str">
        <f>HYPERLINK("https://www.773grp.com/globalSearch/ADS828E/page-1", "ADS828E")</f>
        <v>ADS828E</v>
      </c>
      <c r="B1371" s="3" t="s">
        <v>90</v>
      </c>
      <c r="C1371" s="5">
        <v>1046</v>
      </c>
      <c r="D1371" s="6">
        <v>42.61</v>
      </c>
      <c r="E1371" t="s">
        <v>34</v>
      </c>
    </row>
    <row r="1372" spans="1:5" x14ac:dyDescent="0.25">
      <c r="A1372" t="str">
        <f>HYPERLINK("https://www.773grp.com/globalSearch/THS1230CPW/page-1", "THS1230CPW")</f>
        <v>THS1230CPW</v>
      </c>
      <c r="B1372" s="3" t="s">
        <v>90</v>
      </c>
      <c r="C1372" s="5">
        <v>18662</v>
      </c>
      <c r="D1372" s="6">
        <v>42.61</v>
      </c>
      <c r="E1372" t="s">
        <v>34</v>
      </c>
    </row>
    <row r="1373" spans="1:5" x14ac:dyDescent="0.25">
      <c r="A1373" t="str">
        <f>HYPERLINK("https://www.773grp.com/globalSearch/ADS774HIDW/page-1", "ADS774HIDW")</f>
        <v>ADS774HIDW</v>
      </c>
      <c r="B1373" s="3" t="s">
        <v>90</v>
      </c>
      <c r="C1373" s="5">
        <v>540</v>
      </c>
      <c r="D1373" s="6">
        <v>42.9</v>
      </c>
      <c r="E1373" t="s">
        <v>34</v>
      </c>
    </row>
    <row r="1374" spans="1:5" x14ac:dyDescent="0.25">
      <c r="A1374" t="str">
        <f>HYPERLINK("https://www.773grp.com/globalSearch/ADS5204IPFB/page-1", "ADS5204IPFB")</f>
        <v>ADS5204IPFB</v>
      </c>
      <c r="B1374" s="3" t="s">
        <v>90</v>
      </c>
      <c r="C1374" s="5">
        <v>606</v>
      </c>
      <c r="D1374" s="6">
        <v>43.04</v>
      </c>
      <c r="E1374" t="s">
        <v>34</v>
      </c>
    </row>
    <row r="1375" spans="1:5" x14ac:dyDescent="0.25">
      <c r="A1375" t="str">
        <f>HYPERLINK("https://www.773grp.com/globalSearch/THS1403IPFB/page-1", "THS1403IPFB")</f>
        <v>THS1403IPFB</v>
      </c>
      <c r="B1375" s="3" t="s">
        <v>90</v>
      </c>
      <c r="C1375" s="5">
        <v>2697</v>
      </c>
      <c r="D1375" s="6">
        <v>43.04</v>
      </c>
      <c r="E1375" t="s">
        <v>34</v>
      </c>
    </row>
    <row r="1376" spans="1:5" x14ac:dyDescent="0.25">
      <c r="A1376" t="str">
        <f>HYPERLINK("https://www.773grp.com/globalSearch/TLV1543MFKB/page-1", "TLV1543MFKB")</f>
        <v>TLV1543MFKB</v>
      </c>
      <c r="B1376" s="3" t="s">
        <v>90</v>
      </c>
      <c r="C1376" s="5">
        <v>7</v>
      </c>
      <c r="D1376" s="6">
        <v>43.43</v>
      </c>
      <c r="E1376" t="s">
        <v>34</v>
      </c>
    </row>
    <row r="1377" spans="1:5" x14ac:dyDescent="0.25">
      <c r="A1377" t="str">
        <f>HYPERLINK("https://www.773grp.com/globalSearch/ADS8370IBRHPT/page-1", "ADS8370IBRHPT")</f>
        <v>ADS8370IBRHPT</v>
      </c>
      <c r="B1377" s="3" t="s">
        <v>90</v>
      </c>
      <c r="C1377" s="5">
        <v>507</v>
      </c>
      <c r="D1377" s="6">
        <v>43.59</v>
      </c>
      <c r="E1377" t="s">
        <v>34</v>
      </c>
    </row>
    <row r="1378" spans="1:5" x14ac:dyDescent="0.25">
      <c r="A1378" t="str">
        <f>HYPERLINK("https://www.773grp.com/globalSearch/THS1240IPHP/page-1", "THS1240IPHP")</f>
        <v>THS1240IPHP</v>
      </c>
      <c r="B1378" s="3" t="s">
        <v>90</v>
      </c>
      <c r="C1378" s="5">
        <v>1091</v>
      </c>
      <c r="D1378" s="6">
        <v>43.71</v>
      </c>
      <c r="E1378" t="s">
        <v>34</v>
      </c>
    </row>
    <row r="1379" spans="1:5" x14ac:dyDescent="0.25">
      <c r="A1379" t="str">
        <f>HYPERLINK("https://www.773grp.com/globalSearch/DDC112UK-1K/page-1", "DDC112UK-1K")</f>
        <v>DDC112UK-1K</v>
      </c>
      <c r="B1379" s="3" t="s">
        <v>90</v>
      </c>
      <c r="C1379" s="5">
        <v>4000</v>
      </c>
      <c r="D1379" s="6">
        <v>43.88</v>
      </c>
      <c r="E1379" t="s">
        <v>34</v>
      </c>
    </row>
    <row r="1380" spans="1:5" x14ac:dyDescent="0.25">
      <c r="A1380" t="str">
        <f>HYPERLINK("https://www.773grp.com/globalSearch/ADS5510IPAPR/page-1", "ADS5510IPAPR")</f>
        <v>ADS5510IPAPR</v>
      </c>
      <c r="B1380" s="3" t="s">
        <v>90</v>
      </c>
      <c r="C1380" s="5">
        <v>9000</v>
      </c>
      <c r="D1380" s="6">
        <v>43.93</v>
      </c>
      <c r="E1380" t="s">
        <v>34</v>
      </c>
    </row>
    <row r="1381" spans="1:5" x14ac:dyDescent="0.25">
      <c r="A1381" t="str">
        <f>HYPERLINK("https://www.773grp.com/globalSearch/ADS7812PB/page-1", "ADS7812PB")</f>
        <v>ADS7812PB</v>
      </c>
      <c r="B1381" s="3" t="s">
        <v>90</v>
      </c>
      <c r="C1381" s="5">
        <v>2510</v>
      </c>
      <c r="D1381" s="6">
        <v>44.16</v>
      </c>
      <c r="E1381" t="s">
        <v>34</v>
      </c>
    </row>
    <row r="1382" spans="1:5" x14ac:dyDescent="0.25">
      <c r="A1382" t="str">
        <f>HYPERLINK("https://www.773grp.com/globalSearch/ADS7812PB/page-1", "ADS7812PB")</f>
        <v>ADS7812PB</v>
      </c>
      <c r="B1382" s="3" t="s">
        <v>90</v>
      </c>
      <c r="C1382" s="5">
        <v>494</v>
      </c>
      <c r="D1382" s="6">
        <v>44.16</v>
      </c>
      <c r="E1382" t="s">
        <v>34</v>
      </c>
    </row>
    <row r="1383" spans="1:5" x14ac:dyDescent="0.25">
      <c r="A1383" t="str">
        <f>HYPERLINK("https://www.773grp.com/globalSearch/THS1403QPHP/page-1", "THS1403QPHP")</f>
        <v>THS1403QPHP</v>
      </c>
      <c r="B1383" s="3" t="s">
        <v>90</v>
      </c>
      <c r="C1383" s="5">
        <v>1011</v>
      </c>
      <c r="D1383" s="6">
        <v>44.59</v>
      </c>
      <c r="E1383" t="s">
        <v>34</v>
      </c>
    </row>
    <row r="1384" spans="1:5" x14ac:dyDescent="0.25">
      <c r="A1384" t="str">
        <f>HYPERLINK("https://www.773grp.com/globalSearch/ADS1211E/page-1", "ADS1211E")</f>
        <v>ADS1211E</v>
      </c>
      <c r="B1384" s="3" t="s">
        <v>90</v>
      </c>
      <c r="C1384" s="5">
        <v>908</v>
      </c>
      <c r="D1384" s="6">
        <v>44.6</v>
      </c>
      <c r="E1384" t="s">
        <v>34</v>
      </c>
    </row>
    <row r="1385" spans="1:5" x14ac:dyDescent="0.25">
      <c r="A1385" t="str">
        <f>HYPERLINK("https://www.773grp.com/globalSearch/ADS804E/page-1", "ADS804E")</f>
        <v>ADS804E</v>
      </c>
      <c r="B1385" s="3" t="s">
        <v>90</v>
      </c>
      <c r="C1385" s="5">
        <v>1505</v>
      </c>
      <c r="D1385" s="6">
        <v>44.73</v>
      </c>
      <c r="E1385" t="s">
        <v>34</v>
      </c>
    </row>
    <row r="1386" spans="1:5" x14ac:dyDescent="0.25">
      <c r="A1386" t="str">
        <f>HYPERLINK("https://www.773grp.com/globalSearch/ADS1213P/page-1", "ADS1213P")</f>
        <v>ADS1213P</v>
      </c>
      <c r="B1386" s="3" t="s">
        <v>90</v>
      </c>
      <c r="C1386" s="5">
        <v>34009</v>
      </c>
      <c r="D1386" s="6">
        <v>44.98</v>
      </c>
      <c r="E1386" t="s">
        <v>34</v>
      </c>
    </row>
    <row r="1387" spans="1:5" x14ac:dyDescent="0.25">
      <c r="A1387" t="str">
        <f>HYPERLINK("https://www.773grp.com/globalSearch/ADS1274IPAPT/page-1", "ADS1274IPAPT")</f>
        <v>ADS1274IPAPT</v>
      </c>
      <c r="B1387" s="3" t="s">
        <v>90</v>
      </c>
      <c r="C1387" s="5">
        <v>10</v>
      </c>
      <c r="D1387" s="6">
        <v>45.43</v>
      </c>
      <c r="E1387" t="s">
        <v>34</v>
      </c>
    </row>
    <row r="1388" spans="1:5" x14ac:dyDescent="0.25">
      <c r="A1388" t="str">
        <f>HYPERLINK("https://www.773grp.com/globalSearch/ADS7812UB/page-1", "ADS7812UB")</f>
        <v>ADS7812UB</v>
      </c>
      <c r="B1388" s="3" t="s">
        <v>90</v>
      </c>
      <c r="C1388" s="5">
        <v>8572</v>
      </c>
      <c r="D1388" s="6">
        <v>45.56</v>
      </c>
      <c r="E1388" t="s">
        <v>34</v>
      </c>
    </row>
    <row r="1389" spans="1:5" x14ac:dyDescent="0.25">
      <c r="A1389" t="str">
        <f>HYPERLINK("https://www.773grp.com/globalSearch/ADS7812UB/page-1", "ADS7812UB")</f>
        <v>ADS7812UB</v>
      </c>
      <c r="B1389" s="3" t="s">
        <v>90</v>
      </c>
      <c r="C1389" s="5">
        <v>43</v>
      </c>
      <c r="D1389" s="6">
        <v>45.56</v>
      </c>
      <c r="E1389" t="s">
        <v>34</v>
      </c>
    </row>
    <row r="1390" spans="1:5" x14ac:dyDescent="0.25">
      <c r="A1390" t="str">
        <f>HYPERLINK("https://www.773grp.com/globalSearch/ADS8365IPAGR/page-1", "ADS8365IPAGR")</f>
        <v>ADS8365IPAGR</v>
      </c>
      <c r="B1390" s="3" t="s">
        <v>90</v>
      </c>
      <c r="C1390" s="5">
        <v>10500</v>
      </c>
      <c r="D1390" s="6">
        <v>45.7</v>
      </c>
      <c r="E1390" t="s">
        <v>34</v>
      </c>
    </row>
    <row r="1391" spans="1:5" x14ac:dyDescent="0.25">
      <c r="A1391" t="str">
        <f>HYPERLINK("https://www.773grp.com/globalSearch/THS1215IDW/page-1", "THS1215IDW")</f>
        <v>THS1215IDW</v>
      </c>
      <c r="B1391" s="3" t="s">
        <v>90</v>
      </c>
      <c r="C1391" s="5">
        <v>12270</v>
      </c>
      <c r="D1391" s="6">
        <v>46.1</v>
      </c>
      <c r="E1391" t="s">
        <v>34</v>
      </c>
    </row>
    <row r="1392" spans="1:5" x14ac:dyDescent="0.25">
      <c r="A1392" t="str">
        <f>HYPERLINK("https://www.773grp.com/globalSearch/ADS7824U-1K/page-1", "ADS7824U-1K")</f>
        <v>ADS7824U-1K</v>
      </c>
      <c r="B1392" s="3" t="s">
        <v>90</v>
      </c>
      <c r="C1392" s="5">
        <v>4000</v>
      </c>
      <c r="D1392" s="6">
        <v>46.13</v>
      </c>
      <c r="E1392" t="s">
        <v>34</v>
      </c>
    </row>
    <row r="1393" spans="1:5" x14ac:dyDescent="0.25">
      <c r="A1393" t="str">
        <f>HYPERLINK("https://www.773grp.com/globalSearch/ADS8371IPFBT/page-1", "ADS8371IPFBT")</f>
        <v>ADS8371IPFBT</v>
      </c>
      <c r="B1393" s="3" t="s">
        <v>90</v>
      </c>
      <c r="C1393" s="5">
        <v>639</v>
      </c>
      <c r="D1393" s="6">
        <v>46.41</v>
      </c>
      <c r="E1393" t="s">
        <v>34</v>
      </c>
    </row>
    <row r="1394" spans="1:5" x14ac:dyDescent="0.25">
      <c r="A1394" t="str">
        <f>HYPERLINK("https://www.773grp.com/globalSearch/ADS8382IRHPT/page-1", "ADS8382IRHPT")</f>
        <v>ADS8382IRHPT</v>
      </c>
      <c r="B1394" s="3" t="s">
        <v>90</v>
      </c>
      <c r="C1394" s="5">
        <v>2000</v>
      </c>
      <c r="D1394" s="6">
        <v>46.41</v>
      </c>
      <c r="E1394" t="s">
        <v>34</v>
      </c>
    </row>
    <row r="1395" spans="1:5" x14ac:dyDescent="0.25">
      <c r="A1395" t="str">
        <f>HYPERLINK("https://www.773grp.com/globalSearch/ADS8481IRGZT/page-1", "ADS8481IRGZT")</f>
        <v>ADS8481IRGZT</v>
      </c>
      <c r="B1395" s="3" t="s">
        <v>90</v>
      </c>
      <c r="C1395" s="5">
        <v>3250</v>
      </c>
      <c r="D1395" s="6">
        <v>46.96</v>
      </c>
      <c r="E1395" t="s">
        <v>34</v>
      </c>
    </row>
    <row r="1396" spans="1:5" x14ac:dyDescent="0.25">
      <c r="A1396" t="str">
        <f>HYPERLINK("https://www.773grp.com/globalSearch/DDC112YK-250/page-1", "DDC112YK-250")</f>
        <v>DDC112YK-250</v>
      </c>
      <c r="B1396" s="3" t="s">
        <v>90</v>
      </c>
      <c r="C1396" s="5">
        <v>2874</v>
      </c>
      <c r="D1396" s="6">
        <v>46.96</v>
      </c>
      <c r="E1396" t="s">
        <v>34</v>
      </c>
    </row>
    <row r="1397" spans="1:5" x14ac:dyDescent="0.25">
      <c r="A1397" t="str">
        <f>HYPERLINK("https://www.773grp.com/globalSearch/ADS1210P/page-1", "ADS1210P")</f>
        <v>ADS1210P</v>
      </c>
      <c r="B1397" s="3" t="s">
        <v>90</v>
      </c>
      <c r="C1397" s="5">
        <v>519</v>
      </c>
      <c r="D1397" s="6">
        <v>47.64</v>
      </c>
      <c r="E1397" t="s">
        <v>34</v>
      </c>
    </row>
    <row r="1398" spans="1:5" x14ac:dyDescent="0.25">
      <c r="A1398" t="str">
        <f>HYPERLINK("https://www.773grp.com/globalSearch/ADS1210PG4/page-1", "ADS1210PG4")</f>
        <v>ADS1210PG4</v>
      </c>
      <c r="B1398" s="3" t="s">
        <v>90</v>
      </c>
      <c r="C1398" s="5">
        <v>19</v>
      </c>
      <c r="D1398" s="6">
        <v>47.64</v>
      </c>
      <c r="E1398" t="s">
        <v>34</v>
      </c>
    </row>
    <row r="1399" spans="1:5" x14ac:dyDescent="0.25">
      <c r="A1399" t="str">
        <f>HYPERLINK("https://www.773grp.com/globalSearch/ADS8509IBDB/page-1", "ADS8509IBDB")</f>
        <v>ADS8509IBDB</v>
      </c>
      <c r="B1399" s="3" t="s">
        <v>90</v>
      </c>
      <c r="C1399" s="5">
        <v>1610</v>
      </c>
      <c r="D1399" s="6">
        <v>47.68</v>
      </c>
      <c r="E1399" t="s">
        <v>34</v>
      </c>
    </row>
    <row r="1400" spans="1:5" x14ac:dyDescent="0.25">
      <c r="A1400" t="str">
        <f>HYPERLINK("https://www.773grp.com/globalSearch/ADS8515IBDBR/page-1", "ADS8515IBDBR")</f>
        <v>ADS8515IBDBR</v>
      </c>
      <c r="B1400" s="3" t="s">
        <v>90</v>
      </c>
      <c r="C1400" s="5">
        <v>4000</v>
      </c>
      <c r="D1400" s="6">
        <v>47.68</v>
      </c>
      <c r="E1400" t="s">
        <v>34</v>
      </c>
    </row>
    <row r="1401" spans="1:5" x14ac:dyDescent="0.25">
      <c r="A1401" t="str">
        <f>HYPERLINK("https://www.773grp.com/globalSearch/THS1240CPHP/page-1", "THS1240CPHP")</f>
        <v>THS1240CPHP</v>
      </c>
      <c r="B1401" s="3" t="s">
        <v>90</v>
      </c>
      <c r="C1401" s="5">
        <v>2917</v>
      </c>
      <c r="D1401" s="6">
        <v>47.68</v>
      </c>
      <c r="E1401" t="s">
        <v>34</v>
      </c>
    </row>
    <row r="1402" spans="1:5" x14ac:dyDescent="0.25">
      <c r="A1402" t="str">
        <f>HYPERLINK("https://www.773grp.com/globalSearch/THS1408QPHP/page-1", "THS1408QPHP")</f>
        <v>THS1408QPHP</v>
      </c>
      <c r="B1402" s="3" t="s">
        <v>90</v>
      </c>
      <c r="C1402" s="5">
        <v>826</v>
      </c>
      <c r="D1402" s="6">
        <v>47.96</v>
      </c>
      <c r="E1402" t="s">
        <v>34</v>
      </c>
    </row>
    <row r="1403" spans="1:5" x14ac:dyDescent="0.25">
      <c r="A1403" t="str">
        <f>HYPERLINK("https://www.773grp.com/globalSearch/ADS8482IRGZT/page-1", "ADS8482IRGZT")</f>
        <v>ADS8482IRGZT</v>
      </c>
      <c r="B1403" s="3" t="s">
        <v>90</v>
      </c>
      <c r="C1403" s="5">
        <v>8470</v>
      </c>
      <c r="D1403" s="6">
        <v>48.1</v>
      </c>
      <c r="E1403" t="s">
        <v>34</v>
      </c>
    </row>
    <row r="1404" spans="1:5" x14ac:dyDescent="0.25">
      <c r="A1404" t="str">
        <f>HYPERLINK("https://www.773grp.com/globalSearch/THS14F03IPFB/page-1", "THS14F03IPFB")</f>
        <v>THS14F03IPFB</v>
      </c>
      <c r="B1404" s="3" t="s">
        <v>90</v>
      </c>
      <c r="C1404" s="5">
        <v>10487</v>
      </c>
      <c r="D1404" s="6">
        <v>48.51</v>
      </c>
      <c r="E1404" t="s">
        <v>34</v>
      </c>
    </row>
    <row r="1405" spans="1:5" x14ac:dyDescent="0.25">
      <c r="A1405" t="str">
        <f>HYPERLINK("https://www.773grp.com/globalSearch/ADS5220PFBT/page-1", "ADS5220PFBT")</f>
        <v>ADS5220PFBT</v>
      </c>
      <c r="B1405" s="3" t="s">
        <v>90</v>
      </c>
      <c r="C1405" s="5">
        <v>724</v>
      </c>
      <c r="D1405" s="6">
        <v>48.8</v>
      </c>
      <c r="E1405" t="s">
        <v>34</v>
      </c>
    </row>
    <row r="1406" spans="1:5" x14ac:dyDescent="0.25">
      <c r="A1406" t="str">
        <f>HYPERLINK("https://www.773grp.com/globalSearch/ADS7808U-1K/page-1", "ADS7808U-1K")</f>
        <v>ADS7808U-1K</v>
      </c>
      <c r="B1406" s="3" t="s">
        <v>90</v>
      </c>
      <c r="C1406" s="5">
        <v>2000</v>
      </c>
      <c r="D1406" s="6">
        <v>49.08</v>
      </c>
      <c r="E1406" t="s">
        <v>34</v>
      </c>
    </row>
    <row r="1407" spans="1:5" x14ac:dyDescent="0.25">
      <c r="A1407" t="str">
        <f>HYPERLINK("https://www.773grp.com/globalSearch/ADS5232IPAGT/page-1", "ADS5232IPAGT")</f>
        <v>ADS5232IPAGT</v>
      </c>
      <c r="B1407" s="3" t="s">
        <v>90</v>
      </c>
      <c r="C1407" s="5">
        <v>3250</v>
      </c>
      <c r="D1407" s="6">
        <v>49.23</v>
      </c>
      <c r="E1407" t="s">
        <v>34</v>
      </c>
    </row>
    <row r="1408" spans="1:5" x14ac:dyDescent="0.25">
      <c r="A1408" t="str">
        <f>HYPERLINK("https://www.773grp.com/globalSearch/THS1206MDAREP/page-1", "THS1206MDAREP")</f>
        <v>THS1206MDAREP</v>
      </c>
      <c r="B1408" s="3" t="s">
        <v>90</v>
      </c>
      <c r="C1408" s="5">
        <v>2599</v>
      </c>
      <c r="D1408" s="6">
        <v>49.23</v>
      </c>
      <c r="E1408" t="s">
        <v>34</v>
      </c>
    </row>
    <row r="1409" spans="1:5" x14ac:dyDescent="0.25">
      <c r="A1409" t="str">
        <f>HYPERLINK("https://www.773grp.com/globalSearch/THS1230IPW/page-1", "THS1230IPW")</f>
        <v>THS1230IPW</v>
      </c>
      <c r="B1409" s="3" t="s">
        <v>90</v>
      </c>
      <c r="C1409" s="5">
        <v>9368</v>
      </c>
      <c r="D1409" s="6">
        <v>49.28</v>
      </c>
      <c r="E1409" t="s">
        <v>34</v>
      </c>
    </row>
    <row r="1410" spans="1:5" x14ac:dyDescent="0.25">
      <c r="A1410" t="str">
        <f>HYPERLINK("https://www.773grp.com/globalSearch/ADS5510IPAP/page-1", "ADS5510IPAP")</f>
        <v>ADS5510IPAP</v>
      </c>
      <c r="B1410" s="3" t="s">
        <v>90</v>
      </c>
      <c r="C1410" s="5">
        <v>4597</v>
      </c>
      <c r="D1410" s="6">
        <v>49.56</v>
      </c>
      <c r="E1410" t="s">
        <v>34</v>
      </c>
    </row>
    <row r="1411" spans="1:5" x14ac:dyDescent="0.25">
      <c r="A1411" t="str">
        <f>HYPERLINK("https://www.773grp.com/globalSearch/ADS2806Y-1K5/page-1", "ADS2806Y-1K5")</f>
        <v>ADS2806Y-1K5</v>
      </c>
      <c r="B1411" s="3" t="s">
        <v>90</v>
      </c>
      <c r="C1411" s="5">
        <v>3000</v>
      </c>
      <c r="D1411" s="6">
        <v>49.65</v>
      </c>
      <c r="E1411" t="s">
        <v>34</v>
      </c>
    </row>
    <row r="1412" spans="1:5" x14ac:dyDescent="0.25">
      <c r="A1412" t="str">
        <f>HYPERLINK("https://www.773grp.com/globalSearch/ADS8405IPFBR/page-1", "ADS8405IPFBR")</f>
        <v>ADS8405IPFBR</v>
      </c>
      <c r="B1412" s="3" t="s">
        <v>90</v>
      </c>
      <c r="C1412" s="5">
        <v>3867</v>
      </c>
      <c r="D1412" s="6">
        <v>49.65</v>
      </c>
      <c r="E1412" t="s">
        <v>34</v>
      </c>
    </row>
    <row r="1413" spans="1:5" x14ac:dyDescent="0.25">
      <c r="A1413" t="str">
        <f>HYPERLINK("https://www.773grp.com/globalSearch/ADS8471IBRGZT/page-1", "ADS8471IBRGZT")</f>
        <v>ADS8471IBRGZT</v>
      </c>
      <c r="B1413" s="3" t="s">
        <v>90</v>
      </c>
      <c r="C1413" s="5">
        <v>684</v>
      </c>
      <c r="D1413" s="6">
        <v>49.65</v>
      </c>
      <c r="E1413" t="s">
        <v>34</v>
      </c>
    </row>
    <row r="1414" spans="1:5" x14ac:dyDescent="0.25">
      <c r="A1414" t="str">
        <f>HYPERLINK("https://www.773grp.com/globalSearch/ADS774HIBDW/page-1", "ADS774HIBDW")</f>
        <v>ADS774HIBDW</v>
      </c>
      <c r="B1414" s="3" t="s">
        <v>90</v>
      </c>
      <c r="C1414" s="5">
        <v>140</v>
      </c>
      <c r="D1414" s="6">
        <v>49.91</v>
      </c>
      <c r="E1414" t="s">
        <v>34</v>
      </c>
    </row>
    <row r="1415" spans="1:5" x14ac:dyDescent="0.25">
      <c r="A1415" t="str">
        <f>HYPERLINK("https://www.773grp.com/globalSearch/TLC1225IN/page-1", "TLC1225IN")</f>
        <v>TLC1225IN</v>
      </c>
      <c r="B1415" s="3" t="s">
        <v>90</v>
      </c>
      <c r="C1415" s="5">
        <v>1914</v>
      </c>
      <c r="D1415" s="6">
        <v>49.95</v>
      </c>
      <c r="E1415" t="s">
        <v>34</v>
      </c>
    </row>
    <row r="1416" spans="1:5" x14ac:dyDescent="0.25">
      <c r="A1416" t="str">
        <f>HYPERLINK("https://www.773grp.com/globalSearch/ADS8505IBDBR/page-1", "ADS8505IBDBR")</f>
        <v>ADS8505IBDBR</v>
      </c>
      <c r="B1416" s="3" t="s">
        <v>90</v>
      </c>
      <c r="C1416" s="5">
        <v>6000</v>
      </c>
      <c r="D1416" s="6">
        <v>50.49</v>
      </c>
      <c r="E1416" t="s">
        <v>34</v>
      </c>
    </row>
    <row r="1417" spans="1:5" x14ac:dyDescent="0.25">
      <c r="A1417" t="str">
        <f>HYPERLINK("https://www.773grp.com/globalSearch/THS1230CDW/page-1", "THS1230CDW")</f>
        <v>THS1230CDW</v>
      </c>
      <c r="B1417" s="3" t="s">
        <v>90</v>
      </c>
      <c r="C1417" s="5">
        <v>32940</v>
      </c>
      <c r="D1417" s="6">
        <v>50.49</v>
      </c>
      <c r="E1417" t="s">
        <v>34</v>
      </c>
    </row>
    <row r="1418" spans="1:5" x14ac:dyDescent="0.25">
      <c r="A1418" t="str">
        <f>HYPERLINK("https://www.773grp.com/globalSearch/ADS62P15IRGCR/page-1", "ADS62P15IRGCR")</f>
        <v>ADS62P15IRGCR</v>
      </c>
      <c r="B1418" s="3" t="s">
        <v>90</v>
      </c>
      <c r="C1418" s="5">
        <v>4000</v>
      </c>
      <c r="D1418" s="6">
        <v>50.54</v>
      </c>
      <c r="E1418" t="s">
        <v>34</v>
      </c>
    </row>
    <row r="1419" spans="1:5" x14ac:dyDescent="0.25">
      <c r="A1419" t="str">
        <f>HYPERLINK("https://www.773grp.com/globalSearch/ADS5232IPAG/page-1", "ADS5232IPAG")</f>
        <v>ADS5232IPAG</v>
      </c>
      <c r="B1419" s="3" t="s">
        <v>90</v>
      </c>
      <c r="C1419" s="5">
        <v>3454</v>
      </c>
      <c r="D1419" s="6">
        <v>50.63</v>
      </c>
      <c r="E1419" t="s">
        <v>34</v>
      </c>
    </row>
    <row r="1420" spans="1:5" x14ac:dyDescent="0.25">
      <c r="A1420" t="str">
        <f>HYPERLINK("https://www.773grp.com/globalSearch/ADS6123IRHBT/page-1", "ADS6123IRHBT")</f>
        <v>ADS6123IRHBT</v>
      </c>
      <c r="B1420" s="3" t="s">
        <v>90</v>
      </c>
      <c r="C1420" s="5">
        <v>1953</v>
      </c>
      <c r="D1420" s="6">
        <v>50.63</v>
      </c>
      <c r="E1420" t="s">
        <v>34</v>
      </c>
    </row>
    <row r="1421" spans="1:5" x14ac:dyDescent="0.25">
      <c r="A1421" t="str">
        <f>HYPERLINK("https://www.773grp.com/globalSearch/ADS7804U-1K/page-1", "ADS7804U-1K")</f>
        <v>ADS7804U-1K</v>
      </c>
      <c r="B1421" s="3" t="s">
        <v>90</v>
      </c>
      <c r="C1421" s="5">
        <v>1000</v>
      </c>
      <c r="D1421" s="6">
        <v>50.76</v>
      </c>
      <c r="E1421" t="s">
        <v>34</v>
      </c>
    </row>
    <row r="1422" spans="1:5" x14ac:dyDescent="0.25">
      <c r="A1422" t="str">
        <f>HYPERLINK("https://www.773grp.com/globalSearch/ADS7824UB-1K/page-1", "ADS7824UB-1K")</f>
        <v>ADS7824UB-1K</v>
      </c>
      <c r="B1422" s="3" t="s">
        <v>90</v>
      </c>
      <c r="C1422" s="5">
        <v>12000</v>
      </c>
      <c r="D1422" s="6">
        <v>50.76</v>
      </c>
      <c r="E1422" t="s">
        <v>34</v>
      </c>
    </row>
    <row r="1423" spans="1:5" x14ac:dyDescent="0.25">
      <c r="A1423" t="str">
        <f>HYPERLINK("https://www.773grp.com/globalSearch/ADS6222IRGZR/page-1", "ADS6222IRGZR")</f>
        <v>ADS6222IRGZR</v>
      </c>
      <c r="B1423" s="3" t="s">
        <v>90</v>
      </c>
      <c r="C1423" s="5">
        <v>2500</v>
      </c>
      <c r="D1423" s="6">
        <v>50.91</v>
      </c>
      <c r="E1423" t="s">
        <v>34</v>
      </c>
    </row>
    <row r="1424" spans="1:5" x14ac:dyDescent="0.25">
      <c r="A1424" t="str">
        <f>HYPERLINK("https://www.773grp.com/globalSearch/ADS62P22IRGCR/page-1", "ADS62P22IRGCR")</f>
        <v>ADS62P22IRGCR</v>
      </c>
      <c r="B1424" s="3" t="s">
        <v>90</v>
      </c>
      <c r="C1424" s="5">
        <v>2000</v>
      </c>
      <c r="D1424" s="6">
        <v>50.91</v>
      </c>
      <c r="E1424" t="s">
        <v>34</v>
      </c>
    </row>
    <row r="1425" spans="1:5" x14ac:dyDescent="0.25">
      <c r="A1425" t="str">
        <f>HYPERLINK("https://www.773grp.com/globalSearch/ADS1211P/page-1", "ADS1211P")</f>
        <v>ADS1211P</v>
      </c>
      <c r="B1425" s="3" t="s">
        <v>90</v>
      </c>
      <c r="C1425" s="5">
        <v>5822</v>
      </c>
      <c r="D1425" s="6">
        <v>51</v>
      </c>
      <c r="E1425" t="s">
        <v>34</v>
      </c>
    </row>
    <row r="1426" spans="1:5" x14ac:dyDescent="0.25">
      <c r="A1426" t="str">
        <f>HYPERLINK("https://www.773grp.com/globalSearch/ADS1211P/page-1", "ADS1211P")</f>
        <v>ADS1211P</v>
      </c>
      <c r="B1426" s="3" t="s">
        <v>90</v>
      </c>
      <c r="C1426" s="5">
        <v>22</v>
      </c>
      <c r="D1426" s="6">
        <v>51</v>
      </c>
      <c r="E1426" t="s">
        <v>34</v>
      </c>
    </row>
    <row r="1427" spans="1:5" x14ac:dyDescent="0.25">
      <c r="A1427" t="str">
        <f>HYPERLINK("https://www.773grp.com/globalSearch/ADS8365IPAG/page-1", "ADS8365IPAG")</f>
        <v>ADS8365IPAG</v>
      </c>
      <c r="B1427" s="3" t="s">
        <v>90</v>
      </c>
      <c r="C1427" s="5">
        <v>3542</v>
      </c>
      <c r="D1427" s="6">
        <v>51.34</v>
      </c>
      <c r="E1427" t="s">
        <v>34</v>
      </c>
    </row>
    <row r="1428" spans="1:5" x14ac:dyDescent="0.25">
      <c r="A1428" t="str">
        <f>HYPERLINK("https://www.773grp.com/globalSearch/ADS801U/page-1", "ADS801U")</f>
        <v>ADS801U</v>
      </c>
      <c r="B1428" s="3" t="s">
        <v>90</v>
      </c>
      <c r="C1428" s="5">
        <v>390</v>
      </c>
      <c r="D1428" s="6">
        <v>51.48</v>
      </c>
      <c r="E1428" t="s">
        <v>34</v>
      </c>
    </row>
    <row r="1429" spans="1:5" x14ac:dyDescent="0.25">
      <c r="A1429" t="str">
        <f>HYPERLINK("https://www.773grp.com/globalSearch/ADS7824U/page-1", "ADS7824U")</f>
        <v>ADS7824U</v>
      </c>
      <c r="B1429" s="3" t="s">
        <v>90</v>
      </c>
      <c r="C1429" s="5">
        <v>6717</v>
      </c>
      <c r="D1429" s="6">
        <v>51.75</v>
      </c>
      <c r="E1429" t="s">
        <v>34</v>
      </c>
    </row>
    <row r="1430" spans="1:5" x14ac:dyDescent="0.25">
      <c r="A1430" t="str">
        <f>HYPERLINK("https://www.773grp.com/globalSearch/ADS7824U/page-1", "ADS7824U")</f>
        <v>ADS7824U</v>
      </c>
      <c r="B1430" s="3" t="s">
        <v>90</v>
      </c>
      <c r="C1430" s="5">
        <v>974</v>
      </c>
      <c r="D1430" s="6">
        <v>51.75</v>
      </c>
      <c r="E1430" t="s">
        <v>34</v>
      </c>
    </row>
    <row r="1431" spans="1:5" x14ac:dyDescent="0.25">
      <c r="A1431" t="str">
        <f>HYPERLINK("https://www.773grp.com/globalSearch/ADS8406IPFBR/page-1", "ADS8406IPFBR")</f>
        <v>ADS8406IPFBR</v>
      </c>
      <c r="B1431" s="3" t="s">
        <v>90</v>
      </c>
      <c r="C1431" s="5">
        <v>5987</v>
      </c>
      <c r="D1431" s="6">
        <v>51.75</v>
      </c>
      <c r="E1431" t="s">
        <v>34</v>
      </c>
    </row>
    <row r="1432" spans="1:5" x14ac:dyDescent="0.25">
      <c r="A1432" t="str">
        <f>HYPERLINK("https://www.773grp.com/globalSearch/ADS1625IPAPR/page-1", "ADS1625IPAPR")</f>
        <v>ADS1625IPAPR</v>
      </c>
      <c r="B1432" s="3" t="s">
        <v>90</v>
      </c>
      <c r="C1432" s="5">
        <v>2000</v>
      </c>
      <c r="D1432" s="6">
        <v>52.6</v>
      </c>
      <c r="E1432" t="s">
        <v>34</v>
      </c>
    </row>
    <row r="1433" spans="1:5" x14ac:dyDescent="0.25">
      <c r="A1433" t="str">
        <f>HYPERLINK("https://www.773grp.com/globalSearch/ADS2807Y-1K5/page-1", "ADS2807Y-1K5")</f>
        <v>ADS2807Y-1K5</v>
      </c>
      <c r="B1433" s="3" t="s">
        <v>90</v>
      </c>
      <c r="C1433" s="5">
        <v>11326</v>
      </c>
      <c r="D1433" s="6">
        <v>53.03</v>
      </c>
      <c r="E1433" t="s">
        <v>34</v>
      </c>
    </row>
    <row r="1434" spans="1:5" x14ac:dyDescent="0.25">
      <c r="A1434" t="str">
        <f>HYPERLINK("https://www.773grp.com/globalSearch/ADS8515IBDB/page-1", "ADS8515IBDB")</f>
        <v>ADS8515IBDB</v>
      </c>
      <c r="B1434" s="3" t="s">
        <v>90</v>
      </c>
      <c r="C1434" s="5">
        <v>1329</v>
      </c>
      <c r="D1434" s="6">
        <v>53.29</v>
      </c>
      <c r="E1434" t="s">
        <v>34</v>
      </c>
    </row>
    <row r="1435" spans="1:5" x14ac:dyDescent="0.25">
      <c r="A1435" t="str">
        <f>HYPERLINK("https://www.773grp.com/globalSearch/ADS8519IBDBR/page-1", "ADS8519IBDBR")</f>
        <v>ADS8519IBDBR</v>
      </c>
      <c r="B1435" s="3" t="s">
        <v>90</v>
      </c>
      <c r="C1435" s="5">
        <v>2000</v>
      </c>
      <c r="D1435" s="6">
        <v>53.29</v>
      </c>
      <c r="E1435" t="s">
        <v>34</v>
      </c>
    </row>
    <row r="1436" spans="1:5" x14ac:dyDescent="0.25">
      <c r="A1436" t="str">
        <f>HYPERLINK("https://www.773grp.com/globalSearch/PCM1760P-L/page-1", "PCM1760P-L")</f>
        <v>PCM1760P-L</v>
      </c>
      <c r="B1436" s="3" t="s">
        <v>90</v>
      </c>
      <c r="C1436" s="5">
        <v>10</v>
      </c>
      <c r="D1436" s="6">
        <v>53.29</v>
      </c>
      <c r="E1436" t="s">
        <v>34</v>
      </c>
    </row>
    <row r="1437" spans="1:5" x14ac:dyDescent="0.25">
      <c r="A1437" t="str">
        <f>HYPERLINK("https://www.773grp.com/globalSearch/ADS802U/page-1", "ADS802U")</f>
        <v>ADS802U</v>
      </c>
      <c r="B1437" s="3" t="s">
        <v>90</v>
      </c>
      <c r="C1437" s="5">
        <v>210</v>
      </c>
      <c r="D1437" s="6">
        <v>54.38</v>
      </c>
      <c r="E1437" t="s">
        <v>34</v>
      </c>
    </row>
    <row r="1438" spans="1:5" x14ac:dyDescent="0.25">
      <c r="A1438" t="str">
        <f>HYPERLINK("https://www.773grp.com/globalSearch/ADS802U/page-1", "ADS802U")</f>
        <v>ADS802U</v>
      </c>
      <c r="B1438" s="3" t="s">
        <v>90</v>
      </c>
      <c r="C1438" s="5">
        <v>4322</v>
      </c>
      <c r="D1438" s="6">
        <v>54.38</v>
      </c>
      <c r="E1438" t="s">
        <v>34</v>
      </c>
    </row>
    <row r="1439" spans="1:5" x14ac:dyDescent="0.25">
      <c r="A1439" t="str">
        <f>HYPERLINK("https://www.773grp.com/globalSearch/ADS1606IPAPR/page-1", "ADS1606IPAPR")</f>
        <v>ADS1606IPAPR</v>
      </c>
      <c r="B1439" s="3" t="s">
        <v>90</v>
      </c>
      <c r="C1439" s="5">
        <v>2977</v>
      </c>
      <c r="D1439" s="6">
        <v>54.56</v>
      </c>
      <c r="E1439" t="s">
        <v>34</v>
      </c>
    </row>
    <row r="1440" spans="1:5" x14ac:dyDescent="0.25">
      <c r="A1440" t="str">
        <f>HYPERLINK("https://www.773grp.com/globalSearch/ADS1626IPAPR/page-1", "ADS1626IPAPR")</f>
        <v>ADS1626IPAPR</v>
      </c>
      <c r="B1440" s="3" t="s">
        <v>90</v>
      </c>
      <c r="C1440" s="5">
        <v>1000</v>
      </c>
      <c r="D1440" s="6">
        <v>54.56</v>
      </c>
      <c r="E1440" t="s">
        <v>34</v>
      </c>
    </row>
    <row r="1441" spans="1:5" x14ac:dyDescent="0.25">
      <c r="A1441" t="str">
        <f>HYPERLINK("https://www.773grp.com/globalSearch/ADS7808U/page-1", "ADS7808U")</f>
        <v>ADS7808U</v>
      </c>
      <c r="B1441" s="3" t="s">
        <v>90</v>
      </c>
      <c r="C1441" s="5">
        <v>2200</v>
      </c>
      <c r="D1441" s="6">
        <v>54.71</v>
      </c>
      <c r="E1441" t="s">
        <v>34</v>
      </c>
    </row>
    <row r="1442" spans="1:5" x14ac:dyDescent="0.25">
      <c r="A1442" t="str">
        <f>HYPERLINK("https://www.773grp.com/globalSearch/ADS61B23IRHBR/page-1", "ADS61B23IRHBR")</f>
        <v>ADS61B23IRHBR</v>
      </c>
      <c r="B1442" s="3" t="s">
        <v>90</v>
      </c>
      <c r="C1442" s="5">
        <v>54000</v>
      </c>
      <c r="D1442" s="6">
        <v>54.85</v>
      </c>
      <c r="E1442" t="s">
        <v>34</v>
      </c>
    </row>
    <row r="1443" spans="1:5" x14ac:dyDescent="0.25">
      <c r="A1443" t="str">
        <f>HYPERLINK("https://www.773grp.com/globalSearch/ADS7824PB/page-1", "ADS7824PB")</f>
        <v>ADS7824PB</v>
      </c>
      <c r="B1443" s="3" t="s">
        <v>90</v>
      </c>
      <c r="C1443" s="5">
        <v>1500</v>
      </c>
      <c r="D1443" s="6">
        <v>54.98</v>
      </c>
      <c r="E1443" t="s">
        <v>34</v>
      </c>
    </row>
    <row r="1444" spans="1:5" x14ac:dyDescent="0.25">
      <c r="A1444" t="str">
        <f>HYPERLINK("https://www.773grp.com/globalSearch/ADS62P15IRGCT/page-1", "ADS62P15IRGCT")</f>
        <v>ADS62P15IRGCT</v>
      </c>
      <c r="B1444" s="3" t="s">
        <v>90</v>
      </c>
      <c r="C1444" s="5">
        <v>740</v>
      </c>
      <c r="D1444" s="6">
        <v>55.01</v>
      </c>
      <c r="E1444" t="s">
        <v>34</v>
      </c>
    </row>
    <row r="1445" spans="1:5" x14ac:dyDescent="0.25">
      <c r="A1445" t="str">
        <f>HYPERLINK("https://www.773grp.com/globalSearch/ADS62P22IRGCT/page-1", "ADS62P22IRGCT")</f>
        <v>ADS62P22IRGCT</v>
      </c>
      <c r="B1445" s="3" t="s">
        <v>90</v>
      </c>
      <c r="C1445" s="5">
        <v>2494</v>
      </c>
      <c r="D1445" s="6">
        <v>55.13</v>
      </c>
      <c r="E1445" t="s">
        <v>34</v>
      </c>
    </row>
    <row r="1446" spans="1:5" x14ac:dyDescent="0.25">
      <c r="A1446" t="str">
        <f>HYPERLINK("https://www.773grp.com/globalSearch/ADS8364Y-250/page-1", "ADS8364Y-250")</f>
        <v>ADS8364Y-250</v>
      </c>
      <c r="B1446" s="3" t="s">
        <v>90</v>
      </c>
      <c r="C1446" s="5">
        <v>2752</v>
      </c>
      <c r="D1446" s="6">
        <v>55.13</v>
      </c>
      <c r="E1446" t="s">
        <v>34</v>
      </c>
    </row>
    <row r="1447" spans="1:5" x14ac:dyDescent="0.25">
      <c r="A1447" t="str">
        <f>HYPERLINK("https://www.773grp.com/globalSearch/TLC545CN/page-1", "TLC545CN")</f>
        <v>TLC545CN</v>
      </c>
      <c r="B1447" s="3" t="s">
        <v>90</v>
      </c>
      <c r="C1447" s="5">
        <v>509</v>
      </c>
      <c r="D1447" s="6">
        <v>55.13</v>
      </c>
      <c r="E1447" t="s">
        <v>34</v>
      </c>
    </row>
    <row r="1448" spans="1:5" x14ac:dyDescent="0.25">
      <c r="A1448" t="str">
        <f>HYPERLINK("https://www.773grp.com/globalSearch/ADS8383IPFBT/page-1", "ADS8383IPFBT")</f>
        <v>ADS8383IPFBT</v>
      </c>
      <c r="B1448" s="3" t="s">
        <v>90</v>
      </c>
      <c r="C1448" s="5">
        <v>1374</v>
      </c>
      <c r="D1448" s="6">
        <v>55.4</v>
      </c>
      <c r="E1448" t="s">
        <v>34</v>
      </c>
    </row>
    <row r="1449" spans="1:5" x14ac:dyDescent="0.25">
      <c r="A1449" t="str">
        <f>HYPERLINK("https://www.773grp.com/globalSearch/ADS8382IBRHPR/page-1", "ADS8382IBRHPR")</f>
        <v>ADS8382IBRHPR</v>
      </c>
      <c r="B1449" s="3" t="s">
        <v>90</v>
      </c>
      <c r="C1449" s="5">
        <v>2500</v>
      </c>
      <c r="D1449" s="6">
        <v>55.69</v>
      </c>
      <c r="E1449" t="s">
        <v>34</v>
      </c>
    </row>
    <row r="1450" spans="1:5" x14ac:dyDescent="0.25">
      <c r="A1450" t="str">
        <f>HYPERLINK("https://www.773grp.com/globalSearch/ADS8410IBRGZR/page-1", "ADS8410IBRGZR")</f>
        <v>ADS8410IBRGZR</v>
      </c>
      <c r="B1450" s="3" t="s">
        <v>90</v>
      </c>
      <c r="C1450" s="5">
        <v>3196</v>
      </c>
      <c r="D1450" s="6">
        <v>55.69</v>
      </c>
      <c r="E1450" t="s">
        <v>34</v>
      </c>
    </row>
    <row r="1451" spans="1:5" x14ac:dyDescent="0.25">
      <c r="A1451" t="str">
        <f>HYPERLINK("https://www.773grp.com/globalSearch/ADS8413IBRGZR/page-1", "ADS8413IBRGZR")</f>
        <v>ADS8413IBRGZR</v>
      </c>
      <c r="B1451" s="3" t="s">
        <v>90</v>
      </c>
      <c r="C1451" s="5">
        <v>3056</v>
      </c>
      <c r="D1451" s="6">
        <v>55.83</v>
      </c>
      <c r="E1451" t="s">
        <v>34</v>
      </c>
    </row>
    <row r="1452" spans="1:5" x14ac:dyDescent="0.25">
      <c r="A1452" t="str">
        <f>HYPERLINK("https://www.773grp.com/globalSearch/ADS8406IPFBT/page-1", "ADS8406IPFBT")</f>
        <v>ADS8406IPFBT</v>
      </c>
      <c r="B1452" s="3" t="s">
        <v>90</v>
      </c>
      <c r="C1452" s="5">
        <v>348</v>
      </c>
      <c r="D1452" s="6">
        <v>55.98</v>
      </c>
      <c r="E1452" t="s">
        <v>34</v>
      </c>
    </row>
    <row r="1453" spans="1:5" x14ac:dyDescent="0.25">
      <c r="A1453" t="str">
        <f>HYPERLINK("https://www.773grp.com/globalSearch/ADS821U/page-1", "ADS821U")</f>
        <v>ADS821U</v>
      </c>
      <c r="B1453" s="3" t="s">
        <v>90</v>
      </c>
      <c r="C1453" s="5">
        <v>35</v>
      </c>
      <c r="D1453" s="6">
        <v>55.99</v>
      </c>
      <c r="E1453" t="s">
        <v>34</v>
      </c>
    </row>
    <row r="1454" spans="1:5" x14ac:dyDescent="0.25">
      <c r="A1454" t="str">
        <f>HYPERLINK("https://www.773grp.com/globalSearch/ADS821U/page-1", "ADS821U")</f>
        <v>ADS821U</v>
      </c>
      <c r="B1454" s="3" t="s">
        <v>90</v>
      </c>
      <c r="C1454" s="5">
        <v>1058</v>
      </c>
      <c r="D1454" s="6">
        <v>55.99</v>
      </c>
      <c r="E1454" t="s">
        <v>34</v>
      </c>
    </row>
    <row r="1455" spans="1:5" x14ac:dyDescent="0.25">
      <c r="A1455" t="str">
        <f>HYPERLINK("https://www.773grp.com/globalSearch/ADS5413-11IPHP/page-1", "ADS5413-11IPHP")</f>
        <v>ADS5413-11IPHP</v>
      </c>
      <c r="B1455" s="3" t="s">
        <v>90</v>
      </c>
      <c r="C1455" s="5">
        <v>1750</v>
      </c>
      <c r="D1455" s="6">
        <v>56.11</v>
      </c>
      <c r="E1455" t="s">
        <v>34</v>
      </c>
    </row>
    <row r="1456" spans="1:5" x14ac:dyDescent="0.25">
      <c r="A1456" t="str">
        <f>HYPERLINK("https://www.773grp.com/globalSearch/DDC101P/page-1", "DDC101P")</f>
        <v>DDC101P</v>
      </c>
      <c r="B1456" s="3" t="s">
        <v>90</v>
      </c>
      <c r="C1456" s="5">
        <v>5774</v>
      </c>
      <c r="D1456" s="6">
        <v>56.14</v>
      </c>
      <c r="E1456" t="s">
        <v>34</v>
      </c>
    </row>
    <row r="1457" spans="1:5" x14ac:dyDescent="0.25">
      <c r="A1457" t="str">
        <f>HYPERLINK("https://www.773grp.com/globalSearch/ADS8507IBDW/page-1", "ADS8507IBDW")</f>
        <v>ADS8507IBDW</v>
      </c>
      <c r="B1457" s="3" t="s">
        <v>90</v>
      </c>
      <c r="C1457" s="5">
        <v>870</v>
      </c>
      <c r="D1457" s="6">
        <v>56.25</v>
      </c>
      <c r="E1457" t="s">
        <v>34</v>
      </c>
    </row>
    <row r="1458" spans="1:5" x14ac:dyDescent="0.25">
      <c r="A1458" t="str">
        <f>HYPERLINK("https://www.773grp.com/globalSearch/ADS7804U/page-1", "ADS7804U")</f>
        <v>ADS7804U</v>
      </c>
      <c r="B1458" s="3" t="s">
        <v>90</v>
      </c>
      <c r="C1458" s="5">
        <v>1917</v>
      </c>
      <c r="D1458" s="6">
        <v>56.4</v>
      </c>
      <c r="E1458" t="s">
        <v>34</v>
      </c>
    </row>
    <row r="1459" spans="1:5" x14ac:dyDescent="0.25">
      <c r="A1459" t="str">
        <f>HYPERLINK("https://www.773grp.com/globalSearch/ADS7804UE4/page-1", "ADS7804UE4")</f>
        <v>ADS7804UE4</v>
      </c>
      <c r="B1459" s="3" t="s">
        <v>90</v>
      </c>
      <c r="C1459" s="5">
        <v>6</v>
      </c>
      <c r="D1459" s="6">
        <v>56.4</v>
      </c>
      <c r="E1459" t="s">
        <v>34</v>
      </c>
    </row>
    <row r="1460" spans="1:5" x14ac:dyDescent="0.25">
      <c r="A1460" t="str">
        <f>HYPERLINK("https://www.773grp.com/globalSearch/ADS7824UB/page-1", "ADS7824UB")</f>
        <v>ADS7824UB</v>
      </c>
      <c r="B1460" s="3" t="s">
        <v>90</v>
      </c>
      <c r="C1460" s="5">
        <v>1136</v>
      </c>
      <c r="D1460" s="6">
        <v>56.4</v>
      </c>
      <c r="E1460" t="s">
        <v>34</v>
      </c>
    </row>
    <row r="1461" spans="1:5" x14ac:dyDescent="0.25">
      <c r="A1461" t="str">
        <f>HYPERLINK("https://www.773grp.com/globalSearch/THS1408IPFB/page-1", "THS1408IPFB")</f>
        <v>THS1408IPFB</v>
      </c>
      <c r="B1461" s="3" t="s">
        <v>90</v>
      </c>
      <c r="C1461" s="5">
        <v>1271</v>
      </c>
      <c r="D1461" s="6">
        <v>56.4</v>
      </c>
      <c r="E1461" t="s">
        <v>34</v>
      </c>
    </row>
    <row r="1462" spans="1:5" x14ac:dyDescent="0.25">
      <c r="A1462" t="str">
        <f>HYPERLINK("https://www.773grp.com/globalSearch/ADS574JP/page-1", "ADS574JP")</f>
        <v>ADS574JP</v>
      </c>
      <c r="B1462" s="3" t="s">
        <v>90</v>
      </c>
      <c r="C1462" s="5">
        <v>13730</v>
      </c>
      <c r="D1462" s="6">
        <v>56.54</v>
      </c>
      <c r="E1462" t="s">
        <v>34</v>
      </c>
    </row>
    <row r="1463" spans="1:5" x14ac:dyDescent="0.25">
      <c r="A1463" t="str">
        <f>HYPERLINK("https://www.773grp.com/globalSearch/ADS8371IBPFBR/page-1", "ADS8371IBPFBR")</f>
        <v>ADS8371IBPFBR</v>
      </c>
      <c r="B1463" s="3" t="s">
        <v>90</v>
      </c>
      <c r="C1463" s="5">
        <v>2000</v>
      </c>
      <c r="D1463" s="6">
        <v>56.54</v>
      </c>
      <c r="E1463" t="s">
        <v>34</v>
      </c>
    </row>
    <row r="1464" spans="1:5" x14ac:dyDescent="0.25">
      <c r="A1464" t="str">
        <f>HYPERLINK("https://www.773grp.com/globalSearch/ADS6142IRHBT/page-1", "ADS6142IRHBT")</f>
        <v>ADS6142IRHBT</v>
      </c>
      <c r="B1464" s="3" t="s">
        <v>90</v>
      </c>
      <c r="C1464" s="5">
        <v>609</v>
      </c>
      <c r="D1464" s="6">
        <v>56.66</v>
      </c>
      <c r="E1464" t="s">
        <v>34</v>
      </c>
    </row>
    <row r="1465" spans="1:5" x14ac:dyDescent="0.25">
      <c r="A1465" t="str">
        <f>HYPERLINK("https://www.773grp.com/globalSearch/ADS774JU/page-1", "ADS774JU")</f>
        <v>ADS774JU</v>
      </c>
      <c r="B1465" s="3" t="s">
        <v>90</v>
      </c>
      <c r="C1465" s="5">
        <v>3628</v>
      </c>
      <c r="D1465" s="6">
        <v>56.95</v>
      </c>
      <c r="E1465" t="s">
        <v>34</v>
      </c>
    </row>
    <row r="1466" spans="1:5" x14ac:dyDescent="0.25">
      <c r="A1466" t="str">
        <f>HYPERLINK("https://www.773grp.com/globalSearch/ADS774JU/page-1", "ADS774JU")</f>
        <v>ADS774JU</v>
      </c>
      <c r="B1466" s="3" t="s">
        <v>90</v>
      </c>
      <c r="C1466" s="5">
        <v>1132</v>
      </c>
      <c r="D1466" s="6">
        <v>56.95</v>
      </c>
      <c r="E1466" t="s">
        <v>34</v>
      </c>
    </row>
    <row r="1467" spans="1:5" x14ac:dyDescent="0.25">
      <c r="A1467" t="str">
        <f>HYPERLINK("https://www.773grp.com/globalSearch/ADS2807Y-250/page-1", "ADS2807Y-250")</f>
        <v>ADS2807Y-250</v>
      </c>
      <c r="B1467" s="3" t="s">
        <v>90</v>
      </c>
      <c r="C1467" s="5">
        <v>250</v>
      </c>
      <c r="D1467" s="6">
        <v>57</v>
      </c>
      <c r="E1467" t="s">
        <v>34</v>
      </c>
    </row>
    <row r="1468" spans="1:5" x14ac:dyDescent="0.25">
      <c r="A1468" t="str">
        <f>HYPERLINK("https://www.773grp.com/globalSearch/TLC545CFN/page-1", "TLC545CFN")</f>
        <v>TLC545CFN</v>
      </c>
      <c r="B1468" s="3" t="s">
        <v>90</v>
      </c>
      <c r="C1468" s="5">
        <v>3214</v>
      </c>
      <c r="D1468" s="6">
        <v>57.09</v>
      </c>
      <c r="E1468" t="s">
        <v>34</v>
      </c>
    </row>
    <row r="1469" spans="1:5" x14ac:dyDescent="0.25">
      <c r="A1469" t="str">
        <f>HYPERLINK("https://www.773grp.com/globalSearch/ADS5522IPAP/page-1", "ADS5522IPAP")</f>
        <v>ADS5522IPAP</v>
      </c>
      <c r="B1469" s="3" t="s">
        <v>90</v>
      </c>
      <c r="C1469" s="5">
        <v>417</v>
      </c>
      <c r="D1469" s="6">
        <v>57.29</v>
      </c>
      <c r="E1469" t="s">
        <v>34</v>
      </c>
    </row>
    <row r="1470" spans="1:5" x14ac:dyDescent="0.25">
      <c r="A1470" t="str">
        <f>HYPERLINK("https://www.773grp.com/globalSearch/ADS8472IBRGZT/page-1", "ADS8472IBRGZT")</f>
        <v>ADS8472IBRGZT</v>
      </c>
      <c r="B1470" s="3" t="s">
        <v>90</v>
      </c>
      <c r="C1470" s="5">
        <v>15542</v>
      </c>
      <c r="D1470" s="6">
        <v>57.51</v>
      </c>
      <c r="E1470" t="s">
        <v>34</v>
      </c>
    </row>
    <row r="1471" spans="1:5" x14ac:dyDescent="0.25">
      <c r="A1471" t="str">
        <f>HYPERLINK("https://www.773grp.com/globalSearch/ADS8517IBDW/page-1", "ADS8517IBDW")</f>
        <v>ADS8517IBDW</v>
      </c>
      <c r="B1471" s="3" t="s">
        <v>90</v>
      </c>
      <c r="C1471" s="5">
        <v>35</v>
      </c>
      <c r="D1471" s="6">
        <v>57.66</v>
      </c>
      <c r="E1471" t="s">
        <v>34</v>
      </c>
    </row>
    <row r="1472" spans="1:5" x14ac:dyDescent="0.25">
      <c r="A1472" t="str">
        <f>HYPERLINK("https://www.773grp.com/globalSearch/THS1230IDW/page-1", "THS1230IDW")</f>
        <v>THS1230IDW</v>
      </c>
      <c r="B1472" s="3" t="s">
        <v>90</v>
      </c>
      <c r="C1472" s="5">
        <v>12924</v>
      </c>
      <c r="D1472" s="6">
        <v>58.01</v>
      </c>
      <c r="E1472" t="s">
        <v>34</v>
      </c>
    </row>
    <row r="1473" spans="1:5" x14ac:dyDescent="0.25">
      <c r="A1473" t="str">
        <f>HYPERLINK("https://www.773grp.com/globalSearch/ADS8380IRHPR/page-1", "ADS8380IRHPR")</f>
        <v>ADS8380IRHPR</v>
      </c>
      <c r="B1473" s="3" t="s">
        <v>90</v>
      </c>
      <c r="C1473" s="5">
        <v>2500</v>
      </c>
      <c r="D1473" s="6">
        <v>58.09</v>
      </c>
      <c r="E1473" t="s">
        <v>34</v>
      </c>
    </row>
    <row r="1474" spans="1:5" x14ac:dyDescent="0.25">
      <c r="A1474" t="str">
        <f>HYPERLINK("https://www.773grp.com/globalSearch/ADS850Y-250/page-1", "ADS850Y-250")</f>
        <v>ADS850Y-250</v>
      </c>
      <c r="B1474" s="3" t="s">
        <v>90</v>
      </c>
      <c r="C1474" s="5">
        <v>900</v>
      </c>
      <c r="D1474" s="6">
        <v>58.28</v>
      </c>
      <c r="E1474" t="s">
        <v>34</v>
      </c>
    </row>
    <row r="1475" spans="1:5" x14ac:dyDescent="0.25">
      <c r="A1475" t="str">
        <f>HYPERLINK("https://www.773grp.com/globalSearch/ADS574KE/page-1", "ADS574KE")</f>
        <v>ADS574KE</v>
      </c>
      <c r="B1475" s="3" t="s">
        <v>90</v>
      </c>
      <c r="C1475" s="5">
        <v>10473</v>
      </c>
      <c r="D1475" s="6">
        <v>58.5</v>
      </c>
      <c r="E1475" t="s">
        <v>34</v>
      </c>
    </row>
    <row r="1476" spans="1:5" x14ac:dyDescent="0.25">
      <c r="A1476" t="str">
        <f>HYPERLINK("https://www.773grp.com/globalSearch/ADS574KE/page-1", "ADS574KE")</f>
        <v>ADS574KE</v>
      </c>
      <c r="B1476" s="3" t="s">
        <v>90</v>
      </c>
      <c r="C1476" s="5">
        <v>485</v>
      </c>
      <c r="D1476" s="6">
        <v>58.5</v>
      </c>
      <c r="E1476" t="s">
        <v>34</v>
      </c>
    </row>
    <row r="1477" spans="1:5" x14ac:dyDescent="0.25">
      <c r="A1477" t="str">
        <f>HYPERLINK("https://www.773grp.com/globalSearch/ADS7821P/page-1", "ADS7821P")</f>
        <v>ADS7821P</v>
      </c>
      <c r="B1477" s="3" t="s">
        <v>90</v>
      </c>
      <c r="C1477" s="5">
        <v>530</v>
      </c>
      <c r="D1477" s="6">
        <v>58.73</v>
      </c>
      <c r="E1477" t="s">
        <v>34</v>
      </c>
    </row>
    <row r="1478" spans="1:5" x14ac:dyDescent="0.25">
      <c r="A1478" t="str">
        <f>HYPERLINK("https://www.773grp.com/globalSearch/ADS2806Y-250/page-1", "ADS2806Y-250")</f>
        <v>ADS2806Y-250</v>
      </c>
      <c r="B1478" s="3" t="s">
        <v>90</v>
      </c>
      <c r="C1478" s="5">
        <v>1890</v>
      </c>
      <c r="D1478" s="6">
        <v>58.76</v>
      </c>
      <c r="E1478" t="s">
        <v>34</v>
      </c>
    </row>
    <row r="1479" spans="1:5" x14ac:dyDescent="0.25">
      <c r="A1479" t="str">
        <f>HYPERLINK("https://www.773grp.com/globalSearch/ADS5413IPHP/page-1", "ADS5413IPHP")</f>
        <v>ADS5413IPHP</v>
      </c>
      <c r="B1479" s="3" t="s">
        <v>90</v>
      </c>
      <c r="C1479" s="5">
        <v>593</v>
      </c>
      <c r="D1479" s="6">
        <v>58.78</v>
      </c>
      <c r="E1479" t="s">
        <v>34</v>
      </c>
    </row>
    <row r="1480" spans="1:5" x14ac:dyDescent="0.25">
      <c r="A1480" t="str">
        <f>HYPERLINK("https://www.773grp.com/globalSearch/DDC114IRTCT/page-1", "DDC114IRTCT")</f>
        <v>DDC114IRTCT</v>
      </c>
      <c r="B1480" s="3" t="s">
        <v>90</v>
      </c>
      <c r="C1480" s="5">
        <v>750</v>
      </c>
      <c r="D1480" s="6">
        <v>58.78</v>
      </c>
      <c r="E1480" t="s">
        <v>34</v>
      </c>
    </row>
    <row r="1481" spans="1:5" x14ac:dyDescent="0.25">
      <c r="A1481" t="str">
        <f>HYPERLINK("https://www.773grp.com/globalSearch/TLV5580IPW/page-1", "TLV5580IPW")</f>
        <v>TLV5580IPW</v>
      </c>
      <c r="B1481" s="3" t="s">
        <v>90</v>
      </c>
      <c r="C1481" s="5">
        <v>4555</v>
      </c>
      <c r="D1481" s="6">
        <v>58.78</v>
      </c>
      <c r="E1481" t="s">
        <v>34</v>
      </c>
    </row>
    <row r="1482" spans="1:5" x14ac:dyDescent="0.25">
      <c r="A1482" t="str">
        <f>HYPERLINK("https://www.773grp.com/globalSearch/ADS8519IBDB/page-1", "ADS8519IBDB")</f>
        <v>ADS8519IBDB</v>
      </c>
      <c r="B1482" s="3" t="s">
        <v>90</v>
      </c>
      <c r="C1482" s="5">
        <v>135</v>
      </c>
      <c r="D1482" s="6">
        <v>58.93</v>
      </c>
      <c r="E1482" t="s">
        <v>34</v>
      </c>
    </row>
    <row r="1483" spans="1:5" x14ac:dyDescent="0.25">
      <c r="A1483" t="str">
        <f>HYPERLINK("https://www.773grp.com/globalSearch/ADS61B23IRHBT/page-1", "ADS61B23IRHBT")</f>
        <v>ADS61B23IRHBT</v>
      </c>
      <c r="B1483" s="3" t="s">
        <v>90</v>
      </c>
      <c r="C1483" s="5">
        <v>250</v>
      </c>
      <c r="D1483" s="6">
        <v>59.06</v>
      </c>
      <c r="E1483" t="s">
        <v>34</v>
      </c>
    </row>
    <row r="1484" spans="1:5" x14ac:dyDescent="0.25">
      <c r="A1484" t="str">
        <f>HYPERLINK("https://www.773grp.com/globalSearch/TLC545IN/page-1", "TLC545IN")</f>
        <v>TLC545IN</v>
      </c>
      <c r="B1484" s="3" t="s">
        <v>90</v>
      </c>
      <c r="C1484" s="5">
        <v>491</v>
      </c>
      <c r="D1484" s="6">
        <v>59.06</v>
      </c>
      <c r="E1484" t="s">
        <v>34</v>
      </c>
    </row>
    <row r="1485" spans="1:5" x14ac:dyDescent="0.25">
      <c r="A1485" t="str">
        <f>HYPERLINK("https://www.773grp.com/globalSearch/ADS1605IPAPT/page-1", "ADS1605IPAPT")</f>
        <v>ADS1605IPAPT</v>
      </c>
      <c r="B1485" s="3" t="s">
        <v>90</v>
      </c>
      <c r="C1485" s="5">
        <v>2068</v>
      </c>
      <c r="D1485" s="6">
        <v>59.45</v>
      </c>
      <c r="E1485" t="s">
        <v>34</v>
      </c>
    </row>
    <row r="1486" spans="1:5" x14ac:dyDescent="0.25">
      <c r="A1486" t="str">
        <f>HYPERLINK("https://www.773grp.com/globalSearch/TLV5580CDW/page-1", "TLV5580CDW")</f>
        <v>TLV5580CDW</v>
      </c>
      <c r="B1486" s="3" t="s">
        <v>90</v>
      </c>
      <c r="C1486" s="5">
        <v>2726</v>
      </c>
      <c r="D1486" s="6">
        <v>59.49</v>
      </c>
      <c r="E1486" t="s">
        <v>34</v>
      </c>
    </row>
    <row r="1487" spans="1:5" x14ac:dyDescent="0.25">
      <c r="A1487" t="str">
        <f>HYPERLINK("https://www.773grp.com/globalSearch/TLV5580CPW/page-1", "TLV5580CPW")</f>
        <v>TLV5580CPW</v>
      </c>
      <c r="B1487" s="3" t="s">
        <v>90</v>
      </c>
      <c r="C1487" s="5">
        <v>5505</v>
      </c>
      <c r="D1487" s="6">
        <v>59.49</v>
      </c>
      <c r="E1487" t="s">
        <v>34</v>
      </c>
    </row>
    <row r="1488" spans="1:5" x14ac:dyDescent="0.25">
      <c r="A1488" t="str">
        <f>HYPERLINK("https://www.773grp.com/globalSearch/ADS8484IRGZR/page-1", "ADS8484IRGZR")</f>
        <v>ADS8484IRGZR</v>
      </c>
      <c r="B1488" s="3" t="s">
        <v>90</v>
      </c>
      <c r="C1488" s="5">
        <v>4000</v>
      </c>
      <c r="D1488" s="6">
        <v>59.78</v>
      </c>
      <c r="E1488" t="s">
        <v>34</v>
      </c>
    </row>
    <row r="1489" spans="1:5" x14ac:dyDescent="0.25">
      <c r="A1489" t="str">
        <f>HYPERLINK("https://www.773grp.com/globalSearch/ADS8382IBRHPT/page-1", "ADS8382IBRHPT")</f>
        <v>ADS8382IBRHPT</v>
      </c>
      <c r="B1489" s="3" t="s">
        <v>90</v>
      </c>
      <c r="C1489" s="5">
        <v>250</v>
      </c>
      <c r="D1489" s="6">
        <v>59.91</v>
      </c>
      <c r="E1489" t="s">
        <v>34</v>
      </c>
    </row>
    <row r="1490" spans="1:5" x14ac:dyDescent="0.25">
      <c r="A1490" t="str">
        <f>HYPERLINK("https://www.773grp.com/globalSearch/ADS8413IBRGZT/page-1", "ADS8413IBRGZT")</f>
        <v>ADS8413IBRGZT</v>
      </c>
      <c r="B1490" s="3" t="s">
        <v>90</v>
      </c>
      <c r="C1490" s="5">
        <v>3000</v>
      </c>
      <c r="D1490" s="6">
        <v>60.04</v>
      </c>
      <c r="E1490" t="s">
        <v>34</v>
      </c>
    </row>
    <row r="1491" spans="1:5" x14ac:dyDescent="0.25">
      <c r="A1491" t="str">
        <f>HYPERLINK("https://www.773grp.com/globalSearch/ADS8410IBRGZT/page-1", "ADS8410IBRGZT")</f>
        <v>ADS8410IBRGZT</v>
      </c>
      <c r="B1491" s="3" t="s">
        <v>90</v>
      </c>
      <c r="C1491" s="5">
        <v>3100</v>
      </c>
      <c r="D1491" s="6">
        <v>60.19</v>
      </c>
      <c r="E1491" t="s">
        <v>34</v>
      </c>
    </row>
    <row r="1492" spans="1:5" x14ac:dyDescent="0.25">
      <c r="A1492" t="str">
        <f>HYPERLINK("https://www.773grp.com/globalSearch/ADS7804P/page-1", "ADS7804P")</f>
        <v>ADS7804P</v>
      </c>
      <c r="B1492" s="3" t="s">
        <v>90</v>
      </c>
      <c r="C1492" s="5">
        <v>5</v>
      </c>
      <c r="D1492" s="6">
        <v>60.61</v>
      </c>
      <c r="E1492" t="s">
        <v>34</v>
      </c>
    </row>
    <row r="1493" spans="1:5" x14ac:dyDescent="0.25">
      <c r="A1493" t="str">
        <f>HYPERLINK("https://www.773grp.com/globalSearch/ADS8371IBPFBT/page-1", "ADS8371IBPFBT")</f>
        <v>ADS8371IBPFBT</v>
      </c>
      <c r="B1493" s="3" t="s">
        <v>90</v>
      </c>
      <c r="C1493" s="5">
        <v>517</v>
      </c>
      <c r="D1493" s="6">
        <v>60.75</v>
      </c>
      <c r="E1493" t="s">
        <v>34</v>
      </c>
    </row>
    <row r="1494" spans="1:5" x14ac:dyDescent="0.25">
      <c r="A1494" t="str">
        <f>HYPERLINK("https://www.773grp.com/globalSearch/TLC545IFN/page-1", "TLC545IFN")</f>
        <v>TLC545IFN</v>
      </c>
      <c r="B1494" s="3" t="s">
        <v>90</v>
      </c>
      <c r="C1494" s="5">
        <v>1428</v>
      </c>
      <c r="D1494" s="6">
        <v>61.31</v>
      </c>
      <c r="E1494" t="s">
        <v>34</v>
      </c>
    </row>
    <row r="1495" spans="1:5" x14ac:dyDescent="0.25">
      <c r="A1495" t="str">
        <f>HYPERLINK("https://www.773grp.com/globalSearch/ADS4126IRGZT/page-1", "ADS4126IRGZT")</f>
        <v>ADS4126IRGZT</v>
      </c>
      <c r="B1495" s="3" t="s">
        <v>90</v>
      </c>
      <c r="C1495" s="5">
        <v>520</v>
      </c>
      <c r="D1495" s="6">
        <v>61.46</v>
      </c>
      <c r="E1495" t="s">
        <v>34</v>
      </c>
    </row>
    <row r="1496" spans="1:5" x14ac:dyDescent="0.25">
      <c r="A1496" t="str">
        <f>HYPERLINK("https://www.773grp.com/globalSearch/ADS1606IPAPT/page-1", "ADS1606IPAPT")</f>
        <v>ADS1606IPAPT</v>
      </c>
      <c r="B1496" s="3" t="s">
        <v>90</v>
      </c>
      <c r="C1496" s="5">
        <v>864</v>
      </c>
      <c r="D1496" s="6">
        <v>61.51</v>
      </c>
      <c r="E1496" t="s">
        <v>34</v>
      </c>
    </row>
    <row r="1497" spans="1:5" x14ac:dyDescent="0.25">
      <c r="A1497" t="str">
        <f>HYPERLINK("https://www.773grp.com/globalSearch/ADS5221PFBT/page-1", "ADS5221PFBT")</f>
        <v>ADS5221PFBT</v>
      </c>
      <c r="B1497" s="3" t="s">
        <v>90</v>
      </c>
      <c r="C1497" s="5">
        <v>200</v>
      </c>
      <c r="D1497" s="6">
        <v>62.15</v>
      </c>
      <c r="E1497" t="s">
        <v>34</v>
      </c>
    </row>
    <row r="1498" spans="1:5" x14ac:dyDescent="0.25">
      <c r="A1498" t="str">
        <f>HYPERLINK("https://www.773grp.com/globalSearch/ADS7819PB/page-1", "ADS7819PB")</f>
        <v>ADS7819PB</v>
      </c>
      <c r="B1498" s="3" t="s">
        <v>90</v>
      </c>
      <c r="C1498" s="5">
        <v>13</v>
      </c>
      <c r="D1498" s="6">
        <v>62.28</v>
      </c>
      <c r="E1498" t="s">
        <v>34</v>
      </c>
    </row>
    <row r="1499" spans="1:5" x14ac:dyDescent="0.25">
      <c r="A1499" t="str">
        <f>HYPERLINK("https://www.773grp.com/globalSearch/ADS7819UB/page-1", "ADS7819UB")</f>
        <v>ADS7819UB</v>
      </c>
      <c r="B1499" s="3" t="s">
        <v>90</v>
      </c>
      <c r="C1499" s="5">
        <v>2308</v>
      </c>
      <c r="D1499" s="6">
        <v>62.28</v>
      </c>
      <c r="E1499" t="s">
        <v>34</v>
      </c>
    </row>
    <row r="1500" spans="1:5" x14ac:dyDescent="0.25">
      <c r="A1500" t="str">
        <f>HYPERLINK("https://www.773grp.com/globalSearch/ADS8380IRHPT/page-1", "ADS8380IRHPT")</f>
        <v>ADS8380IRHPT</v>
      </c>
      <c r="B1500" s="3" t="s">
        <v>90</v>
      </c>
      <c r="C1500" s="5">
        <v>1250</v>
      </c>
      <c r="D1500" s="6">
        <v>62.3</v>
      </c>
      <c r="E1500" t="s">
        <v>34</v>
      </c>
    </row>
    <row r="1501" spans="1:5" x14ac:dyDescent="0.25">
      <c r="A1501" t="str">
        <f>HYPERLINK("https://www.773grp.com/globalSearch/ADS8381IPFBT/page-1", "ADS8381IPFBT")</f>
        <v>ADS8381IPFBT</v>
      </c>
      <c r="B1501" s="3" t="s">
        <v>90</v>
      </c>
      <c r="C1501" s="5">
        <v>250</v>
      </c>
      <c r="D1501" s="6">
        <v>62.86</v>
      </c>
      <c r="E1501" t="s">
        <v>34</v>
      </c>
    </row>
    <row r="1502" spans="1:5" x14ac:dyDescent="0.25">
      <c r="A1502" t="str">
        <f>HYPERLINK("https://www.773grp.com/globalSearch/PCM1750P/page-1", "PCM1750P")</f>
        <v>PCM1750P</v>
      </c>
      <c r="B1502" s="3" t="s">
        <v>90</v>
      </c>
      <c r="C1502" s="5">
        <v>1046</v>
      </c>
      <c r="D1502" s="6">
        <v>63.06</v>
      </c>
      <c r="E1502" t="s">
        <v>34</v>
      </c>
    </row>
    <row r="1503" spans="1:5" x14ac:dyDescent="0.25">
      <c r="A1503" t="str">
        <f>HYPERLINK("https://www.773grp.com/globalSearch/ADS7806U/page-1", "ADS7806U")</f>
        <v>ADS7806U</v>
      </c>
      <c r="B1503" s="3" t="s">
        <v>90</v>
      </c>
      <c r="C1503" s="5">
        <v>196</v>
      </c>
      <c r="D1503" s="6">
        <v>63.29</v>
      </c>
      <c r="E1503" t="s">
        <v>34</v>
      </c>
    </row>
    <row r="1504" spans="1:5" x14ac:dyDescent="0.25">
      <c r="A1504" t="str">
        <f>HYPERLINK("https://www.773grp.com/globalSearch/TLV5580IDW/page-1", "TLV5580IDW")</f>
        <v>TLV5580IDW</v>
      </c>
      <c r="B1504" s="3" t="s">
        <v>90</v>
      </c>
      <c r="C1504" s="5">
        <v>6011</v>
      </c>
      <c r="D1504" s="6">
        <v>63.56</v>
      </c>
      <c r="E1504" t="s">
        <v>34</v>
      </c>
    </row>
    <row r="1505" spans="1:5" x14ac:dyDescent="0.25">
      <c r="A1505" t="str">
        <f>HYPERLINK("https://www.773grp.com/globalSearch/ADS8484IRGZT/page-1", "ADS8484IRGZT")</f>
        <v>ADS8484IRGZT</v>
      </c>
      <c r="B1505" s="3" t="s">
        <v>90</v>
      </c>
      <c r="C1505" s="5">
        <v>3500</v>
      </c>
      <c r="D1505" s="6">
        <v>63.99</v>
      </c>
      <c r="E1505" t="s">
        <v>34</v>
      </c>
    </row>
    <row r="1506" spans="1:5" x14ac:dyDescent="0.25">
      <c r="A1506" t="str">
        <f>HYPERLINK("https://www.773grp.com/globalSearch/ADS7813U/page-1", "ADS7813U")</f>
        <v>ADS7813U</v>
      </c>
      <c r="B1506" s="3" t="s">
        <v>90</v>
      </c>
      <c r="C1506" s="5">
        <v>647</v>
      </c>
      <c r="D1506" s="6">
        <v>65.53</v>
      </c>
      <c r="E1506" t="s">
        <v>34</v>
      </c>
    </row>
    <row r="1507" spans="1:5" x14ac:dyDescent="0.25">
      <c r="A1507" t="str">
        <f>HYPERLINK("https://www.773grp.com/globalSearch/ADS7813UG4/page-1", "ADS7813UG4")</f>
        <v>ADS7813UG4</v>
      </c>
      <c r="B1507" s="3" t="s">
        <v>90</v>
      </c>
      <c r="C1507" s="5">
        <v>1</v>
      </c>
      <c r="D1507" s="6">
        <v>65.53</v>
      </c>
      <c r="E1507" t="s">
        <v>34</v>
      </c>
    </row>
    <row r="1508" spans="1:5" x14ac:dyDescent="0.25">
      <c r="A1508" t="str">
        <f>HYPERLINK("https://www.773grp.com/globalSearch/ADS774KE/page-1", "ADS774KE")</f>
        <v>ADS774KE</v>
      </c>
      <c r="B1508" s="3" t="s">
        <v>90</v>
      </c>
      <c r="C1508" s="5">
        <v>7057</v>
      </c>
      <c r="D1508" s="6">
        <v>65.81</v>
      </c>
      <c r="E1508" t="s">
        <v>34</v>
      </c>
    </row>
    <row r="1509" spans="1:5" x14ac:dyDescent="0.25">
      <c r="A1509" t="str">
        <f>HYPERLINK("https://www.773grp.com/globalSearch/ADS8481IBRGZT/page-1", "ADS8481IBRGZT")</f>
        <v>ADS8481IBRGZT</v>
      </c>
      <c r="B1509" s="3" t="s">
        <v>90</v>
      </c>
      <c r="C1509" s="5">
        <v>5410</v>
      </c>
      <c r="D1509" s="6">
        <v>66.099999999999994</v>
      </c>
      <c r="E1509" t="s">
        <v>34</v>
      </c>
    </row>
    <row r="1510" spans="1:5" x14ac:dyDescent="0.25">
      <c r="A1510" t="str">
        <f>HYPERLINK("https://www.773grp.com/globalSearch/PCM1760U/page-1", "PCM1760U")</f>
        <v>PCM1760U</v>
      </c>
      <c r="B1510" s="3" t="s">
        <v>90</v>
      </c>
      <c r="C1510" s="5">
        <v>4577</v>
      </c>
      <c r="D1510" s="6">
        <v>66.66</v>
      </c>
      <c r="E1510" t="s">
        <v>34</v>
      </c>
    </row>
    <row r="1511" spans="1:5" x14ac:dyDescent="0.25">
      <c r="A1511" t="str">
        <f>HYPERLINK("https://www.773grp.com/globalSearch/PCM1760U-L/page-1", "PCM1760U-L")</f>
        <v>PCM1760U-L</v>
      </c>
      <c r="B1511" s="3" t="s">
        <v>90</v>
      </c>
      <c r="C1511" s="5">
        <v>392</v>
      </c>
      <c r="D1511" s="6">
        <v>66.66</v>
      </c>
      <c r="E1511" t="s">
        <v>34</v>
      </c>
    </row>
    <row r="1512" spans="1:5" x14ac:dyDescent="0.25">
      <c r="A1512" t="str">
        <f>HYPERLINK("https://www.773grp.com/globalSearch/ADS774KU/page-1", "ADS774KU")</f>
        <v>ADS774KU</v>
      </c>
      <c r="B1512" s="3" t="s">
        <v>90</v>
      </c>
      <c r="C1512" s="5">
        <v>1858</v>
      </c>
      <c r="D1512" s="6">
        <v>67.209999999999994</v>
      </c>
      <c r="E1512" t="s">
        <v>34</v>
      </c>
    </row>
    <row r="1513" spans="1:5" x14ac:dyDescent="0.25">
      <c r="A1513" t="str">
        <f>HYPERLINK("https://www.773grp.com/globalSearch/ADS774KU/page-1", "ADS774KU")</f>
        <v>ADS774KU</v>
      </c>
      <c r="B1513" s="3" t="s">
        <v>90</v>
      </c>
      <c r="C1513" s="5">
        <v>201</v>
      </c>
      <c r="D1513" s="6">
        <v>67.209999999999994</v>
      </c>
      <c r="E1513" t="s">
        <v>34</v>
      </c>
    </row>
    <row r="1514" spans="1:5" x14ac:dyDescent="0.25">
      <c r="A1514" t="str">
        <f>HYPERLINK("https://www.773grp.com/globalSearch/ADS8482IBRGZT/page-1", "ADS8482IBRGZT")</f>
        <v>ADS8482IBRGZT</v>
      </c>
      <c r="B1514" s="3" t="s">
        <v>90</v>
      </c>
      <c r="C1514" s="5">
        <v>3234</v>
      </c>
      <c r="D1514" s="6">
        <v>67.209999999999994</v>
      </c>
      <c r="E1514" t="s">
        <v>34</v>
      </c>
    </row>
    <row r="1515" spans="1:5" x14ac:dyDescent="0.25">
      <c r="A1515" t="str">
        <f>HYPERLINK("https://www.773grp.com/globalSearch/ADS808Y-250/page-1", "ADS808Y-250")</f>
        <v>ADS808Y-250</v>
      </c>
      <c r="B1515" s="3" t="s">
        <v>90</v>
      </c>
      <c r="C1515" s="5">
        <v>294</v>
      </c>
      <c r="D1515" s="6">
        <v>69.03</v>
      </c>
      <c r="E1515" t="s">
        <v>34</v>
      </c>
    </row>
    <row r="1516" spans="1:5" x14ac:dyDescent="0.25">
      <c r="A1516" t="str">
        <f>HYPERLINK("https://www.773grp.com/globalSearch/ADS6125IRHBR/page-1", "ADS6125IRHBR")</f>
        <v>ADS6125IRHBR</v>
      </c>
      <c r="B1516" s="3" t="s">
        <v>90</v>
      </c>
      <c r="C1516" s="5">
        <v>6000</v>
      </c>
      <c r="D1516" s="6">
        <v>69.05</v>
      </c>
      <c r="E1516" t="s">
        <v>34</v>
      </c>
    </row>
    <row r="1517" spans="1:5" x14ac:dyDescent="0.25">
      <c r="A1517" t="str">
        <f>HYPERLINK("https://www.773grp.com/globalSearch/ADS4125IRGZT/page-1", "ADS4125IRGZT")</f>
        <v>ADS4125IRGZT</v>
      </c>
      <c r="B1517" s="3" t="s">
        <v>90</v>
      </c>
      <c r="C1517" s="5">
        <v>499</v>
      </c>
      <c r="D1517" s="6">
        <v>69.900000000000006</v>
      </c>
      <c r="E1517" t="s">
        <v>34</v>
      </c>
    </row>
    <row r="1518" spans="1:5" x14ac:dyDescent="0.25">
      <c r="A1518" t="str">
        <f>HYPERLINK("https://www.773grp.com/globalSearch/ADS8380IBRHPR/page-1", "ADS8380IBRHPR")</f>
        <v>ADS8380IBRHPR</v>
      </c>
      <c r="B1518" s="3" t="s">
        <v>90</v>
      </c>
      <c r="C1518" s="5">
        <v>2500</v>
      </c>
      <c r="D1518" s="6">
        <v>70.040000000000006</v>
      </c>
      <c r="E1518" t="s">
        <v>34</v>
      </c>
    </row>
    <row r="1519" spans="1:5" x14ac:dyDescent="0.25">
      <c r="A1519" t="str">
        <f>HYPERLINK("https://www.773grp.com/globalSearch/ADS1278IPAPR/page-1", "ADS1278IPAPR")</f>
        <v>ADS1278IPAPR</v>
      </c>
      <c r="B1519" s="3" t="s">
        <v>90</v>
      </c>
      <c r="C1519" s="5">
        <v>4000</v>
      </c>
      <c r="D1519" s="6">
        <v>70.739999999999995</v>
      </c>
      <c r="E1519" t="s">
        <v>34</v>
      </c>
    </row>
    <row r="1520" spans="1:5" x14ac:dyDescent="0.25">
      <c r="A1520" t="str">
        <f>HYPERLINK("https://www.773grp.com/globalSearch/ADS7808UB/page-1", "ADS7808UB")</f>
        <v>ADS7808UB</v>
      </c>
      <c r="B1520" s="3" t="s">
        <v>90</v>
      </c>
      <c r="C1520" s="5">
        <v>107</v>
      </c>
      <c r="D1520" s="6">
        <v>71.44</v>
      </c>
      <c r="E1520" t="s">
        <v>34</v>
      </c>
    </row>
    <row r="1521" spans="1:5" x14ac:dyDescent="0.25">
      <c r="A1521" t="str">
        <f>HYPERLINK("https://www.773grp.com/globalSearch/ADS5411IPJYR/page-1", "ADS5411IPJYR")</f>
        <v>ADS5411IPJYR</v>
      </c>
      <c r="B1521" s="3" t="s">
        <v>90</v>
      </c>
      <c r="C1521" s="5">
        <v>1000</v>
      </c>
      <c r="D1521" s="6">
        <v>71.73</v>
      </c>
      <c r="E1521" t="s">
        <v>34</v>
      </c>
    </row>
    <row r="1522" spans="1:5" x14ac:dyDescent="0.25">
      <c r="A1522" t="str">
        <f>HYPERLINK("https://www.773grp.com/globalSearch/ADS8422IPFBR/page-1", "ADS8422IPFBR")</f>
        <v>ADS8422IPFBR</v>
      </c>
      <c r="B1522" s="3" t="s">
        <v>90</v>
      </c>
      <c r="C1522" s="5">
        <v>1000</v>
      </c>
      <c r="D1522" s="6">
        <v>72.09</v>
      </c>
      <c r="E1522" t="s">
        <v>34</v>
      </c>
    </row>
    <row r="1523" spans="1:5" x14ac:dyDescent="0.25">
      <c r="A1523" t="str">
        <f>HYPERLINK("https://www.773grp.com/globalSearch/ADS6125IRHBT/page-1", "ADS6125IRHBT")</f>
        <v>ADS6125IRHBT</v>
      </c>
      <c r="B1523" s="3" t="s">
        <v>90</v>
      </c>
      <c r="C1523" s="5">
        <v>593</v>
      </c>
      <c r="D1523" s="6">
        <v>73.28</v>
      </c>
      <c r="E1523" t="s">
        <v>34</v>
      </c>
    </row>
    <row r="1524" spans="1:5" x14ac:dyDescent="0.25">
      <c r="A1524" t="str">
        <f>HYPERLINK("https://www.773grp.com/globalSearch/ADS7804UB/page-1", "ADS7804UB")</f>
        <v>ADS7804UB</v>
      </c>
      <c r="B1524" s="3" t="s">
        <v>90</v>
      </c>
      <c r="C1524" s="5">
        <v>1130</v>
      </c>
      <c r="D1524" s="6">
        <v>73.69</v>
      </c>
      <c r="E1524" t="s">
        <v>34</v>
      </c>
    </row>
    <row r="1525" spans="1:5" x14ac:dyDescent="0.25">
      <c r="A1525" t="str">
        <f>HYPERLINK("https://www.773grp.com/globalSearch/ADS8380IBRHPT/page-1", "ADS8380IBRHPT")</f>
        <v>ADS8380IBRHPT</v>
      </c>
      <c r="B1525" s="3" t="s">
        <v>90</v>
      </c>
      <c r="C1525" s="5">
        <v>2740</v>
      </c>
      <c r="D1525" s="6">
        <v>74.25</v>
      </c>
      <c r="E1525" t="s">
        <v>34</v>
      </c>
    </row>
    <row r="1526" spans="1:5" x14ac:dyDescent="0.25">
      <c r="A1526" t="str">
        <f>HYPERLINK("https://www.773grp.com/globalSearch/ADS8383IBPFBT/page-1", "ADS8383IBPFBT")</f>
        <v>ADS8383IBPFBT</v>
      </c>
      <c r="B1526" s="3" t="s">
        <v>90</v>
      </c>
      <c r="C1526" s="5">
        <v>1000</v>
      </c>
      <c r="D1526" s="6">
        <v>74.25</v>
      </c>
      <c r="E1526" t="s">
        <v>34</v>
      </c>
    </row>
    <row r="1527" spans="1:5" x14ac:dyDescent="0.25">
      <c r="A1527" t="str">
        <f>HYPERLINK("https://www.773grp.com/globalSearch/ADS6143IRHBT/page-1", "ADS6143IRHBT")</f>
        <v>ADS6143IRHBT</v>
      </c>
      <c r="B1527" s="3" t="s">
        <v>90</v>
      </c>
      <c r="C1527" s="5">
        <v>1358</v>
      </c>
      <c r="D1527" s="6">
        <v>74.540000000000006</v>
      </c>
      <c r="E1527" t="s">
        <v>34</v>
      </c>
    </row>
    <row r="1528" spans="1:5" x14ac:dyDescent="0.25">
      <c r="A1528" t="str">
        <f>HYPERLINK("https://www.773grp.com/globalSearch/ADS774KP/page-1", "ADS774KP")</f>
        <v>ADS774KP</v>
      </c>
      <c r="B1528" s="3" t="s">
        <v>90</v>
      </c>
      <c r="C1528" s="5">
        <v>12814</v>
      </c>
      <c r="D1528" s="6">
        <v>74.540000000000006</v>
      </c>
      <c r="E1528" t="s">
        <v>34</v>
      </c>
    </row>
    <row r="1529" spans="1:5" x14ac:dyDescent="0.25">
      <c r="A1529" t="str">
        <f>HYPERLINK("https://www.773grp.com/globalSearch/ADS8381IBPFBT/page-1", "ADS8381IBPFBT")</f>
        <v>ADS8381IBPFBT</v>
      </c>
      <c r="B1529" s="3" t="s">
        <v>90</v>
      </c>
      <c r="C1529" s="5">
        <v>497</v>
      </c>
      <c r="D1529" s="6">
        <v>74.540000000000006</v>
      </c>
      <c r="E1529" t="s">
        <v>34</v>
      </c>
    </row>
    <row r="1530" spans="1:5" x14ac:dyDescent="0.25">
      <c r="A1530" t="str">
        <f>HYPERLINK("https://www.773grp.com/globalSearch/ADS6223IRGZT/page-1", "ADS6223IRGZT")</f>
        <v>ADS6223IRGZT</v>
      </c>
      <c r="B1530" s="3" t="s">
        <v>90</v>
      </c>
      <c r="C1530" s="5">
        <v>246</v>
      </c>
      <c r="D1530" s="6">
        <v>74.680000000000007</v>
      </c>
      <c r="E1530" t="s">
        <v>34</v>
      </c>
    </row>
    <row r="1531" spans="1:5" x14ac:dyDescent="0.25">
      <c r="A1531" t="str">
        <f>HYPERLINK("https://www.773grp.com/globalSearch/ADS1278IPAPT/page-1", "ADS1278IPAPT")</f>
        <v>ADS1278IPAPT</v>
      </c>
      <c r="B1531" s="3" t="s">
        <v>90</v>
      </c>
      <c r="C1531" s="5">
        <v>725</v>
      </c>
      <c r="D1531" s="6">
        <v>74.959999999999994</v>
      </c>
      <c r="E1531" t="s">
        <v>34</v>
      </c>
    </row>
    <row r="1532" spans="1:5" x14ac:dyDescent="0.25">
      <c r="A1532" t="str">
        <f>HYPERLINK("https://www.773grp.com/globalSearch/ADS7813PB/page-1", "ADS7813PB")</f>
        <v>ADS7813PB</v>
      </c>
      <c r="B1532" s="3" t="s">
        <v>90</v>
      </c>
      <c r="C1532" s="5">
        <v>94</v>
      </c>
      <c r="D1532" s="6">
        <v>76.23</v>
      </c>
      <c r="E1532" t="s">
        <v>34</v>
      </c>
    </row>
    <row r="1533" spans="1:5" x14ac:dyDescent="0.25">
      <c r="A1533" t="str">
        <f>HYPERLINK("https://www.773grp.com/globalSearch/ADS8422IPFBT/page-1", "ADS8422IPFBT")</f>
        <v>ADS8422IPFBT</v>
      </c>
      <c r="B1533" s="3" t="s">
        <v>90</v>
      </c>
      <c r="C1533" s="5">
        <v>233</v>
      </c>
      <c r="D1533" s="6">
        <v>76.58</v>
      </c>
      <c r="E1533" t="s">
        <v>34</v>
      </c>
    </row>
    <row r="1534" spans="1:5" x14ac:dyDescent="0.25">
      <c r="A1534" t="str">
        <f>HYPERLINK("https://www.773grp.com/globalSearch/ADS5411IPJY/page-1", "ADS5411IPJY")</f>
        <v>ADS5411IPJY</v>
      </c>
      <c r="B1534" s="3" t="s">
        <v>90</v>
      </c>
      <c r="C1534" s="5">
        <v>26590</v>
      </c>
      <c r="D1534" s="6">
        <v>77.34</v>
      </c>
      <c r="E1534" t="s">
        <v>34</v>
      </c>
    </row>
    <row r="1535" spans="1:5" x14ac:dyDescent="0.25">
      <c r="A1535" t="str">
        <f>HYPERLINK("https://www.773grp.com/globalSearch/ADS8411IPFBR/page-1", "ADS8411IPFBR")</f>
        <v>ADS8411IPFBR</v>
      </c>
      <c r="B1535" s="3" t="s">
        <v>90</v>
      </c>
      <c r="C1535" s="5">
        <v>49892</v>
      </c>
      <c r="D1535" s="6">
        <v>77.34</v>
      </c>
      <c r="E1535" t="s">
        <v>34</v>
      </c>
    </row>
    <row r="1536" spans="1:5" x14ac:dyDescent="0.25">
      <c r="A1536" t="str">
        <f>HYPERLINK("https://www.773grp.com/globalSearch/ADS5410IPFB/page-1", "ADS5410IPFB")</f>
        <v>ADS5410IPFB</v>
      </c>
      <c r="B1536" s="3" t="s">
        <v>90</v>
      </c>
      <c r="C1536" s="5">
        <v>9099</v>
      </c>
      <c r="D1536" s="6">
        <v>77.709999999999994</v>
      </c>
      <c r="E1536" t="s">
        <v>34</v>
      </c>
    </row>
    <row r="1537" spans="1:5" x14ac:dyDescent="0.25">
      <c r="A1537" t="str">
        <f>HYPERLINK("https://www.773grp.com/globalSearch/ADS7804PB/page-1", "ADS7804PB")</f>
        <v>ADS7804PB</v>
      </c>
      <c r="B1537" s="3" t="s">
        <v>90</v>
      </c>
      <c r="C1537" s="5">
        <v>377</v>
      </c>
      <c r="D1537" s="6">
        <v>77.91</v>
      </c>
      <c r="E1537" t="s">
        <v>34</v>
      </c>
    </row>
    <row r="1538" spans="1:5" x14ac:dyDescent="0.25">
      <c r="A1538" t="str">
        <f>HYPERLINK("https://www.773grp.com/globalSearch/ADS7810U-1K/page-1", "ADS7810U-1K")</f>
        <v>ADS7810U-1K</v>
      </c>
      <c r="B1538" s="3" t="s">
        <v>90</v>
      </c>
      <c r="C1538" s="5">
        <v>1137</v>
      </c>
      <c r="D1538" s="6">
        <v>78.19</v>
      </c>
      <c r="E1538" t="s">
        <v>34</v>
      </c>
    </row>
    <row r="1539" spans="1:5" x14ac:dyDescent="0.25">
      <c r="A1539" t="str">
        <f>HYPERLINK("https://www.773grp.com/globalSearch/ADS8406IBPFBR/page-1", "ADS8406IBPFBR")</f>
        <v>ADS8406IBPFBR</v>
      </c>
      <c r="B1539" s="3" t="s">
        <v>90</v>
      </c>
      <c r="C1539" s="5">
        <v>1000</v>
      </c>
      <c r="D1539" s="6">
        <v>79.31</v>
      </c>
      <c r="E1539" t="s">
        <v>34</v>
      </c>
    </row>
    <row r="1540" spans="1:5" x14ac:dyDescent="0.25">
      <c r="A1540" t="str">
        <f>HYPERLINK("https://www.773grp.com/globalSearch/ADS1281IPWR/page-1", "ADS1281IPWR")</f>
        <v>ADS1281IPWR</v>
      </c>
      <c r="B1540" s="3" t="s">
        <v>90</v>
      </c>
      <c r="C1540" s="5">
        <v>1461</v>
      </c>
      <c r="D1540" s="6">
        <v>80.86</v>
      </c>
      <c r="E1540" t="s">
        <v>34</v>
      </c>
    </row>
    <row r="1541" spans="1:5" x14ac:dyDescent="0.25">
      <c r="A1541" t="str">
        <f>HYPERLINK("https://www.773grp.com/globalSearch/ADS8412IPFBR/page-1", "ADS8412IPFBR")</f>
        <v>ADS8412IPFBR</v>
      </c>
      <c r="B1541" s="3" t="s">
        <v>90</v>
      </c>
      <c r="C1541" s="5">
        <v>990</v>
      </c>
      <c r="D1541" s="6">
        <v>81.14</v>
      </c>
      <c r="E1541" t="s">
        <v>34</v>
      </c>
    </row>
    <row r="1542" spans="1:5" x14ac:dyDescent="0.25">
      <c r="A1542" t="str">
        <f>HYPERLINK("https://www.773grp.com/globalSearch/ADS58B18IRGZT/page-1", "ADS58B18IRGZT")</f>
        <v>ADS58B18IRGZT</v>
      </c>
      <c r="B1542" s="3" t="s">
        <v>90</v>
      </c>
      <c r="C1542" s="5">
        <v>165</v>
      </c>
      <c r="D1542" s="6">
        <v>81.290000000000006</v>
      </c>
      <c r="E1542" t="s">
        <v>34</v>
      </c>
    </row>
    <row r="1543" spans="1:5" x14ac:dyDescent="0.25">
      <c r="A1543" t="str">
        <f>HYPERLINK("https://www.773grp.com/globalSearch/ADS800E/page-1", "ADS800E")</f>
        <v>ADS800E</v>
      </c>
      <c r="B1543" s="3" t="s">
        <v>90</v>
      </c>
      <c r="C1543" s="5">
        <v>1093</v>
      </c>
      <c r="D1543" s="6">
        <v>81.56</v>
      </c>
      <c r="E1543" t="s">
        <v>34</v>
      </c>
    </row>
    <row r="1544" spans="1:5" x14ac:dyDescent="0.25">
      <c r="A1544" t="str">
        <f>HYPERLINK("https://www.773grp.com/globalSearch/ADS800E-1K/page-1", "ADS800E-1K")</f>
        <v>ADS800E-1K</v>
      </c>
      <c r="B1544" s="3" t="s">
        <v>90</v>
      </c>
      <c r="C1544" s="5">
        <v>1000</v>
      </c>
      <c r="D1544" s="6">
        <v>81.56</v>
      </c>
      <c r="E1544" t="s">
        <v>34</v>
      </c>
    </row>
    <row r="1545" spans="1:5" x14ac:dyDescent="0.25">
      <c r="A1545" t="str">
        <f>HYPERLINK("https://www.773grp.com/globalSearch/THS1408MPHPEP/page-1", "THS1408MPHPEP")</f>
        <v>THS1408MPHPEP</v>
      </c>
      <c r="B1545" s="3" t="s">
        <v>90</v>
      </c>
      <c r="C1545" s="5">
        <v>66</v>
      </c>
      <c r="D1545" s="6">
        <v>81.56</v>
      </c>
      <c r="E1545" t="s">
        <v>34</v>
      </c>
    </row>
    <row r="1546" spans="1:5" x14ac:dyDescent="0.25">
      <c r="A1546" t="str">
        <f>HYPERLINK("https://www.773grp.com/globalSearch/ADS8254IBRGCT/page-1", "ADS8254IBRGCT")</f>
        <v>ADS8254IBRGCT</v>
      </c>
      <c r="B1546" s="3" t="s">
        <v>90</v>
      </c>
      <c r="C1546" s="5">
        <v>746</v>
      </c>
      <c r="D1546" s="6">
        <v>82.4</v>
      </c>
      <c r="E1546" t="s">
        <v>34</v>
      </c>
    </row>
    <row r="1547" spans="1:5" x14ac:dyDescent="0.25">
      <c r="A1547" t="str">
        <f>HYPERLINK("https://www.773grp.com/globalSearch/ADS4242IRGCT/page-1", "ADS4242IRGCT")</f>
        <v>ADS4242IRGCT</v>
      </c>
      <c r="B1547" s="3" t="s">
        <v>90</v>
      </c>
      <c r="C1547" s="5">
        <v>228</v>
      </c>
      <c r="D1547" s="6">
        <v>82.98</v>
      </c>
      <c r="E1547" t="s">
        <v>34</v>
      </c>
    </row>
    <row r="1548" spans="1:5" x14ac:dyDescent="0.25">
      <c r="A1548" t="str">
        <f>HYPERLINK("https://www.773grp.com/globalSearch/ADS5240IPAP/page-1", "ADS5240IPAP")</f>
        <v>ADS5240IPAP</v>
      </c>
      <c r="B1548" s="3" t="s">
        <v>90</v>
      </c>
      <c r="C1548" s="5">
        <v>815</v>
      </c>
      <c r="D1548" s="6">
        <v>82.98</v>
      </c>
      <c r="E1548" t="s">
        <v>34</v>
      </c>
    </row>
    <row r="1549" spans="1:5" x14ac:dyDescent="0.25">
      <c r="A1549" t="str">
        <f>HYPERLINK("https://www.773grp.com/globalSearch/ADS5520IPAP/page-1", "ADS5520IPAP")</f>
        <v>ADS5520IPAP</v>
      </c>
      <c r="B1549" s="3" t="s">
        <v>90</v>
      </c>
      <c r="C1549" s="5">
        <v>1538</v>
      </c>
      <c r="D1549" s="6">
        <v>82.98</v>
      </c>
      <c r="E1549" t="s">
        <v>34</v>
      </c>
    </row>
    <row r="1550" spans="1:5" x14ac:dyDescent="0.25">
      <c r="A1550" t="str">
        <f>HYPERLINK("https://www.773grp.com/globalSearch/ADS7806PB/page-1", "ADS7806PB")</f>
        <v>ADS7806PB</v>
      </c>
      <c r="B1550" s="3" t="s">
        <v>90</v>
      </c>
      <c r="C1550" s="5">
        <v>4</v>
      </c>
      <c r="D1550" s="6">
        <v>83.4</v>
      </c>
      <c r="E1550" t="s">
        <v>34</v>
      </c>
    </row>
    <row r="1551" spans="1:5" x14ac:dyDescent="0.25">
      <c r="A1551" t="str">
        <f>HYPERLINK("https://www.773grp.com/globalSearch/ADS8406IBPFBT/page-1", "ADS8406IBPFBT")</f>
        <v>ADS8406IBPFBT</v>
      </c>
      <c r="B1551" s="3" t="s">
        <v>90</v>
      </c>
      <c r="C1551" s="5">
        <v>1235</v>
      </c>
      <c r="D1551" s="6">
        <v>83.54</v>
      </c>
      <c r="E1551" t="s">
        <v>34</v>
      </c>
    </row>
    <row r="1552" spans="1:5" x14ac:dyDescent="0.25">
      <c r="A1552" t="str">
        <f>HYPERLINK("https://www.773grp.com/globalSearch/ADS8484IBRGZT/page-1", "ADS8484IBRGZT")</f>
        <v>ADS8484IBRGZT</v>
      </c>
      <c r="B1552" s="3" t="s">
        <v>90</v>
      </c>
      <c r="C1552" s="5">
        <v>3510</v>
      </c>
      <c r="D1552" s="6">
        <v>85.09</v>
      </c>
      <c r="E1552" t="s">
        <v>34</v>
      </c>
    </row>
    <row r="1553" spans="1:5" x14ac:dyDescent="0.25">
      <c r="A1553" t="str">
        <f>HYPERLINK("https://www.773grp.com/globalSearch/ADS8412IPFBT/page-1", "ADS8412IPFBT")</f>
        <v>ADS8412IPFBT</v>
      </c>
      <c r="B1553" s="3" t="s">
        <v>90</v>
      </c>
      <c r="C1553" s="5">
        <v>2980</v>
      </c>
      <c r="D1553" s="6">
        <v>85.35</v>
      </c>
      <c r="E1553" t="s">
        <v>34</v>
      </c>
    </row>
    <row r="1554" spans="1:5" x14ac:dyDescent="0.25">
      <c r="A1554" t="str">
        <f>HYPERLINK("https://www.773grp.com/globalSearch/5962-9688601QRA/page-1", "5962-9688601QRA")</f>
        <v>5962-9688601QRA</v>
      </c>
      <c r="B1554" s="3" t="s">
        <v>90</v>
      </c>
      <c r="C1554" s="5">
        <v>6</v>
      </c>
      <c r="D1554" s="6">
        <v>86.65</v>
      </c>
      <c r="E1554" t="s">
        <v>34</v>
      </c>
    </row>
    <row r="1555" spans="1:5" x14ac:dyDescent="0.25">
      <c r="A1555" t="str">
        <f>HYPERLINK("https://www.773grp.com/globalSearch/TLC2543MJB/page-1", "TLC2543MJB")</f>
        <v>TLC2543MJB</v>
      </c>
      <c r="B1555" s="3" t="s">
        <v>90</v>
      </c>
      <c r="C1555" s="5">
        <v>688</v>
      </c>
      <c r="D1555" s="6">
        <v>86.65</v>
      </c>
      <c r="E1555" t="s">
        <v>34</v>
      </c>
    </row>
    <row r="1556" spans="1:5" x14ac:dyDescent="0.25">
      <c r="A1556" t="str">
        <f>HYPERLINK("https://www.773grp.com/globalSearch/ADS5542IPAPR/page-1", "ADS5542IPAPR")</f>
        <v>ADS5542IPAPR</v>
      </c>
      <c r="B1556" s="3" t="s">
        <v>90</v>
      </c>
      <c r="C1556" s="5">
        <v>1000</v>
      </c>
      <c r="D1556" s="6">
        <v>87.89</v>
      </c>
      <c r="E1556" t="s">
        <v>34</v>
      </c>
    </row>
    <row r="1557" spans="1:5" x14ac:dyDescent="0.25">
      <c r="A1557" t="str">
        <f>HYPERLINK("https://www.773grp.com/globalSearch/ADS6223IRGZ25/page-1", "ADS6223IRGZ25")</f>
        <v>ADS6223IRGZ25</v>
      </c>
      <c r="B1557" s="3" t="s">
        <v>90</v>
      </c>
      <c r="C1557" s="5">
        <v>250</v>
      </c>
      <c r="D1557" s="6">
        <v>88.73</v>
      </c>
      <c r="E1557" t="s">
        <v>34</v>
      </c>
    </row>
    <row r="1558" spans="1:5" x14ac:dyDescent="0.25">
      <c r="A1558" t="str">
        <f>HYPERLINK("https://www.773grp.com/globalSearch/ADS7800JP/page-1", "ADS7800JP")</f>
        <v>ADS7800JP</v>
      </c>
      <c r="B1558" s="3" t="s">
        <v>90</v>
      </c>
      <c r="C1558" s="5">
        <v>36775</v>
      </c>
      <c r="D1558" s="6">
        <v>88.73</v>
      </c>
      <c r="E1558" t="s">
        <v>34</v>
      </c>
    </row>
    <row r="1559" spans="1:5" x14ac:dyDescent="0.25">
      <c r="A1559" t="str">
        <f>HYPERLINK("https://www.773grp.com/globalSearch/ADS7800JP/page-1", "ADS7800JP")</f>
        <v>ADS7800JP</v>
      </c>
      <c r="B1559" s="3" t="s">
        <v>90</v>
      </c>
      <c r="C1559" s="5">
        <v>9</v>
      </c>
      <c r="D1559" s="6">
        <v>88.73</v>
      </c>
      <c r="E1559" t="s">
        <v>34</v>
      </c>
    </row>
    <row r="1560" spans="1:5" x14ac:dyDescent="0.25">
      <c r="A1560" t="str">
        <f>HYPERLINK("https://www.773grp.com/globalSearch/ADS5277IPFPT/page-1", "ADS5277IPFPT")</f>
        <v>ADS5277IPFPT</v>
      </c>
      <c r="B1560" s="3" t="s">
        <v>90</v>
      </c>
      <c r="C1560" s="5">
        <v>587</v>
      </c>
      <c r="D1560" s="6">
        <v>89.53</v>
      </c>
      <c r="E1560" t="s">
        <v>34</v>
      </c>
    </row>
    <row r="1561" spans="1:5" x14ac:dyDescent="0.25">
      <c r="A1561" t="str">
        <f>HYPERLINK("https://www.773grp.com/globalSearch/ADS7800JU/page-1", "ADS7800JU")</f>
        <v>ADS7800JU</v>
      </c>
      <c r="B1561" s="3" t="s">
        <v>90</v>
      </c>
      <c r="C1561" s="5">
        <v>49</v>
      </c>
      <c r="D1561" s="6">
        <v>90.15</v>
      </c>
      <c r="E1561" t="s">
        <v>34</v>
      </c>
    </row>
    <row r="1562" spans="1:5" x14ac:dyDescent="0.25">
      <c r="A1562" t="str">
        <f>HYPERLINK("https://www.773grp.com/globalSearch/ADS7805P/page-1", "ADS7805P")</f>
        <v>ADS7805P</v>
      </c>
      <c r="B1562" s="3" t="s">
        <v>90</v>
      </c>
      <c r="C1562" s="5">
        <v>2284</v>
      </c>
      <c r="D1562" s="6">
        <v>90.41</v>
      </c>
      <c r="E1562" t="s">
        <v>34</v>
      </c>
    </row>
    <row r="1563" spans="1:5" x14ac:dyDescent="0.25">
      <c r="A1563" t="str">
        <f>HYPERLINK("https://www.773grp.com/globalSearch/ADS5277IPFP/page-1", "ADS5277IPFP")</f>
        <v>ADS5277IPFP</v>
      </c>
      <c r="B1563" s="3" t="s">
        <v>90</v>
      </c>
      <c r="C1563" s="5">
        <v>72</v>
      </c>
      <c r="D1563" s="6">
        <v>90.84</v>
      </c>
      <c r="E1563" t="s">
        <v>34</v>
      </c>
    </row>
    <row r="1564" spans="1:5" x14ac:dyDescent="0.25">
      <c r="A1564" t="str">
        <f>HYPERLINK("https://www.773grp.com/globalSearch/ADS62P42IRGCT/page-1", "ADS62P42IRGCT")</f>
        <v>ADS62P42IRGCT</v>
      </c>
      <c r="B1564" s="3" t="s">
        <v>90</v>
      </c>
      <c r="C1564" s="5">
        <v>890</v>
      </c>
      <c r="D1564" s="6">
        <v>90.99</v>
      </c>
      <c r="E1564" t="s">
        <v>34</v>
      </c>
    </row>
    <row r="1565" spans="1:5" x14ac:dyDescent="0.25">
      <c r="A1565" t="str">
        <f>HYPERLINK("https://www.773grp.com/globalSearch/ADS5517IRGZR/page-1", "ADS5517IRGZR")</f>
        <v>ADS5517IRGZR</v>
      </c>
      <c r="B1565" s="3" t="s">
        <v>90</v>
      </c>
      <c r="C1565" s="5">
        <v>17500</v>
      </c>
      <c r="D1565" s="6">
        <v>92.68</v>
      </c>
      <c r="E1565" t="s">
        <v>34</v>
      </c>
    </row>
    <row r="1566" spans="1:5" x14ac:dyDescent="0.25">
      <c r="A1566" t="str">
        <f>HYPERLINK("https://www.773grp.com/globalSearch/ADS62P24IRGCT/page-1", "ADS62P24IRGCT")</f>
        <v>ADS62P24IRGCT</v>
      </c>
      <c r="B1566" s="3" t="s">
        <v>90</v>
      </c>
      <c r="C1566" s="5">
        <v>190</v>
      </c>
      <c r="D1566" s="6">
        <v>93.1</v>
      </c>
      <c r="E1566" t="s">
        <v>34</v>
      </c>
    </row>
    <row r="1567" spans="1:5" x14ac:dyDescent="0.25">
      <c r="A1567" t="str">
        <f>HYPERLINK("https://www.773grp.com/globalSearch/ADS6422IRGCT/page-1", "ADS6422IRGCT")</f>
        <v>ADS6422IRGCT</v>
      </c>
      <c r="B1567" s="3" t="s">
        <v>90</v>
      </c>
      <c r="C1567" s="5">
        <v>200</v>
      </c>
      <c r="D1567" s="6">
        <v>93.24</v>
      </c>
      <c r="E1567" t="s">
        <v>34</v>
      </c>
    </row>
    <row r="1568" spans="1:5" x14ac:dyDescent="0.25">
      <c r="A1568" t="str">
        <f>HYPERLINK("https://www.773grp.com/globalSearch/ADS5287IRGCT/page-1", "ADS5287IRGCT")</f>
        <v>ADS5287IRGCT</v>
      </c>
      <c r="B1568" s="3" t="s">
        <v>90</v>
      </c>
      <c r="C1568" s="5">
        <v>748</v>
      </c>
      <c r="D1568" s="6">
        <v>94.21</v>
      </c>
      <c r="E1568" t="s">
        <v>34</v>
      </c>
    </row>
    <row r="1569" spans="1:5" x14ac:dyDescent="0.25">
      <c r="A1569" t="str">
        <f>HYPERLINK("https://www.773grp.com/globalSearch/ADS1281IPW/page-1", "ADS1281IPW")</f>
        <v>ADS1281IPW</v>
      </c>
      <c r="B1569" s="3" t="s">
        <v>90</v>
      </c>
      <c r="C1569" s="5">
        <v>670</v>
      </c>
      <c r="D1569" s="6">
        <v>97.04</v>
      </c>
      <c r="E1569" t="s">
        <v>34</v>
      </c>
    </row>
    <row r="1570" spans="1:5" x14ac:dyDescent="0.25">
      <c r="A1570" t="str">
        <f>HYPERLINK("https://www.773grp.com/globalSearch/ADS1282IPWR/page-1", "ADS1282IPWR")</f>
        <v>ADS1282IPWR</v>
      </c>
      <c r="B1570" s="3" t="s">
        <v>90</v>
      </c>
      <c r="C1570" s="5">
        <v>7685</v>
      </c>
      <c r="D1570" s="6">
        <v>97.04</v>
      </c>
      <c r="E1570" t="s">
        <v>34</v>
      </c>
    </row>
    <row r="1571" spans="1:5" x14ac:dyDescent="0.25">
      <c r="A1571" t="str">
        <f>HYPERLINK("https://www.773grp.com/globalSearch/ADS5517IRGZT/page-1", "ADS5517IRGZT")</f>
        <v>ADS5517IRGZT</v>
      </c>
      <c r="B1571" s="3" t="s">
        <v>90</v>
      </c>
      <c r="C1571" s="5">
        <v>12250</v>
      </c>
      <c r="D1571" s="6">
        <v>97.04</v>
      </c>
      <c r="E1571" t="s">
        <v>34</v>
      </c>
    </row>
    <row r="1572" spans="1:5" x14ac:dyDescent="0.25">
      <c r="A1572" t="str">
        <f>HYPERLINK("https://www.773grp.com/globalSearch/ADS5542IPAP/page-1", "ADS5542IPAP")</f>
        <v>ADS5542IPAP</v>
      </c>
      <c r="B1572" s="3" t="s">
        <v>90</v>
      </c>
      <c r="C1572" s="5">
        <v>1079</v>
      </c>
      <c r="D1572" s="6">
        <v>97.2</v>
      </c>
      <c r="E1572" t="s">
        <v>34</v>
      </c>
    </row>
    <row r="1573" spans="1:5" x14ac:dyDescent="0.25">
      <c r="A1573" t="str">
        <f>HYPERLINK("https://www.773grp.com/globalSearch/DDC118IRTCT/page-1", "DDC118IRTCT")</f>
        <v>DDC118IRTCT</v>
      </c>
      <c r="B1573" s="3" t="s">
        <v>90</v>
      </c>
      <c r="C1573" s="5">
        <v>2</v>
      </c>
      <c r="D1573" s="6">
        <v>100.83</v>
      </c>
      <c r="E1573" t="s">
        <v>34</v>
      </c>
    </row>
    <row r="1574" spans="1:5" x14ac:dyDescent="0.25">
      <c r="A1574" t="str">
        <f>HYPERLINK("https://www.773grp.com/globalSearch/ADS7800KU/page-1", "ADS7800KU")</f>
        <v>ADS7800KU</v>
      </c>
      <c r="B1574" s="3" t="s">
        <v>90</v>
      </c>
      <c r="C1574" s="5">
        <v>20</v>
      </c>
      <c r="D1574" s="6">
        <v>101.54</v>
      </c>
      <c r="E1574" t="s">
        <v>34</v>
      </c>
    </row>
    <row r="1575" spans="1:5" x14ac:dyDescent="0.25">
      <c r="A1575" t="str">
        <f>HYPERLINK("https://www.773grp.com/globalSearch/ADS7800KU-1K/page-1", "ADS7800KU-1K")</f>
        <v>ADS7800KU-1K</v>
      </c>
      <c r="B1575" s="3" t="s">
        <v>90</v>
      </c>
      <c r="C1575" s="5">
        <v>880</v>
      </c>
      <c r="D1575" s="6">
        <v>101.54</v>
      </c>
      <c r="E1575" t="s">
        <v>34</v>
      </c>
    </row>
    <row r="1576" spans="1:5" x14ac:dyDescent="0.25">
      <c r="A1576" t="str">
        <f>HYPERLINK("https://www.773grp.com/globalSearch/ADS5525IRGZT/page-1", "ADS5525IRGZT")</f>
        <v>ADS5525IRGZT</v>
      </c>
      <c r="B1576" s="3" t="s">
        <v>90</v>
      </c>
      <c r="C1576" s="5">
        <v>2000</v>
      </c>
      <c r="D1576" s="6">
        <v>102.65</v>
      </c>
      <c r="E1576" t="s">
        <v>34</v>
      </c>
    </row>
    <row r="1577" spans="1:5" x14ac:dyDescent="0.25">
      <c r="A1577" t="str">
        <f>HYPERLINK("https://www.773grp.com/globalSearch/ADS5560IRGZT/page-1", "ADS5560IRGZT")</f>
        <v>ADS5560IRGZT</v>
      </c>
      <c r="B1577" s="3" t="s">
        <v>90</v>
      </c>
      <c r="C1577" s="5">
        <v>250</v>
      </c>
      <c r="D1577" s="6">
        <v>102.99</v>
      </c>
      <c r="E1577" t="s">
        <v>34</v>
      </c>
    </row>
    <row r="1578" spans="1:5" x14ac:dyDescent="0.25">
      <c r="A1578" t="str">
        <f>HYPERLINK("https://www.773grp.com/globalSearch/ADS8401IPFBR/page-1", "ADS8401IPFBR")</f>
        <v>ADS8401IPFBR</v>
      </c>
      <c r="B1578" s="3" t="s">
        <v>90</v>
      </c>
      <c r="C1578" s="5">
        <v>35950</v>
      </c>
      <c r="D1578" s="6">
        <v>104.91</v>
      </c>
      <c r="E1578" t="s">
        <v>34</v>
      </c>
    </row>
    <row r="1579" spans="1:5" x14ac:dyDescent="0.25">
      <c r="A1579" t="str">
        <f>HYPERLINK("https://www.773grp.com/globalSearch/ADS6242IRGZ25/page-1", "ADS6242IRGZ25")</f>
        <v>ADS6242IRGZ25</v>
      </c>
      <c r="B1579" s="3" t="s">
        <v>90</v>
      </c>
      <c r="C1579" s="5">
        <v>225</v>
      </c>
      <c r="D1579" s="6">
        <v>105.05</v>
      </c>
      <c r="E1579" t="s">
        <v>34</v>
      </c>
    </row>
    <row r="1580" spans="1:5" x14ac:dyDescent="0.25">
      <c r="A1580" t="str">
        <f>HYPERLINK("https://www.773grp.com/globalSearch/ADS7800KP/page-1", "ADS7800KP")</f>
        <v>ADS7800KP</v>
      </c>
      <c r="B1580" s="3" t="s">
        <v>90</v>
      </c>
      <c r="C1580" s="5">
        <v>90</v>
      </c>
      <c r="D1580" s="6">
        <v>105.75</v>
      </c>
      <c r="E1580" t="s">
        <v>34</v>
      </c>
    </row>
    <row r="1581" spans="1:5" x14ac:dyDescent="0.25">
      <c r="A1581" t="str">
        <f>HYPERLINK("https://www.773grp.com/globalSearch/ADS7800KP/page-1", "ADS7800KP")</f>
        <v>ADS7800KP</v>
      </c>
      <c r="B1581" s="3" t="s">
        <v>90</v>
      </c>
      <c r="C1581" s="5">
        <v>378</v>
      </c>
      <c r="D1581" s="6">
        <v>105.75</v>
      </c>
      <c r="E1581" t="s">
        <v>34</v>
      </c>
    </row>
    <row r="1582" spans="1:5" x14ac:dyDescent="0.25">
      <c r="A1582" t="str">
        <f>HYPERLINK("https://www.773grp.com/globalSearch/ADS6225IRGZT/page-1", "ADS6225IRGZT")</f>
        <v>ADS6225IRGZT</v>
      </c>
      <c r="B1582" s="3" t="s">
        <v>90</v>
      </c>
      <c r="C1582" s="5">
        <v>235</v>
      </c>
      <c r="D1582" s="6">
        <v>107.86</v>
      </c>
      <c r="E1582" t="s">
        <v>34</v>
      </c>
    </row>
    <row r="1583" spans="1:5" x14ac:dyDescent="0.25">
      <c r="A1583" t="str">
        <f>HYPERLINK("https://www.773grp.com/globalSearch/ADS6145IRHBT/page-1", "ADS6145IRHBT")</f>
        <v>ADS6145IRHBT</v>
      </c>
      <c r="B1583" s="3" t="s">
        <v>90</v>
      </c>
      <c r="C1583" s="5">
        <v>542</v>
      </c>
      <c r="D1583" s="6">
        <v>108</v>
      </c>
      <c r="E1583" t="s">
        <v>34</v>
      </c>
    </row>
    <row r="1584" spans="1:5" x14ac:dyDescent="0.25">
      <c r="A1584" t="str">
        <f>HYPERLINK("https://www.773grp.com/globalSearch/ADS7825P/page-1", "ADS7825P")</f>
        <v>ADS7825P</v>
      </c>
      <c r="B1584" s="3" t="s">
        <v>90</v>
      </c>
      <c r="C1584" s="5">
        <v>180</v>
      </c>
      <c r="D1584" s="6">
        <v>109.13</v>
      </c>
      <c r="E1584" t="s">
        <v>34</v>
      </c>
    </row>
    <row r="1585" spans="1:5" x14ac:dyDescent="0.25">
      <c r="A1585" t="str">
        <f>HYPERLINK("https://www.773grp.com/globalSearch/ADS8401IPFBT/page-1", "ADS8401IPFBT")</f>
        <v>ADS8401IPFBT</v>
      </c>
      <c r="B1585" s="3" t="s">
        <v>90</v>
      </c>
      <c r="C1585" s="5">
        <v>6644</v>
      </c>
      <c r="D1585" s="6">
        <v>109.13</v>
      </c>
      <c r="E1585" t="s">
        <v>34</v>
      </c>
    </row>
    <row r="1586" spans="1:5" x14ac:dyDescent="0.25">
      <c r="A1586" t="str">
        <f>HYPERLINK("https://www.773grp.com/globalSearch/ADS6243IRGZT/page-1", "ADS6243IRGZT")</f>
        <v>ADS6243IRGZT</v>
      </c>
      <c r="B1586" s="3" t="s">
        <v>90</v>
      </c>
      <c r="C1586" s="5">
        <v>1165</v>
      </c>
      <c r="D1586" s="6">
        <v>109.69</v>
      </c>
      <c r="E1586" t="s">
        <v>34</v>
      </c>
    </row>
    <row r="1587" spans="1:5" x14ac:dyDescent="0.25">
      <c r="A1587" t="str">
        <f>HYPERLINK("https://www.773grp.com/globalSearch/ADS62P43IRGCT/page-1", "ADS62P43IRGCT")</f>
        <v>ADS62P43IRGCT</v>
      </c>
      <c r="B1587" s="3" t="s">
        <v>90</v>
      </c>
      <c r="C1587" s="5">
        <v>7266</v>
      </c>
      <c r="D1587" s="6">
        <v>109.69</v>
      </c>
      <c r="E1587" t="s">
        <v>34</v>
      </c>
    </row>
    <row r="1588" spans="1:5" x14ac:dyDescent="0.25">
      <c r="A1588" t="str">
        <f>HYPERLINK("https://www.773grp.com/globalSearch/ADS7807P/page-1", "ADS7807P")</f>
        <v>ADS7807P</v>
      </c>
      <c r="B1588" s="3" t="s">
        <v>90</v>
      </c>
      <c r="C1588" s="5">
        <v>1336</v>
      </c>
      <c r="D1588" s="6">
        <v>109.69</v>
      </c>
      <c r="E1588" t="s">
        <v>34</v>
      </c>
    </row>
    <row r="1589" spans="1:5" x14ac:dyDescent="0.25">
      <c r="A1589" t="str">
        <f>HYPERLINK("https://www.773grp.com/globalSearch/ADS5553IPFP/page-1", "ADS5553IPFP")</f>
        <v>ADS5553IPFP</v>
      </c>
      <c r="B1589" s="3" t="s">
        <v>90</v>
      </c>
      <c r="C1589" s="5">
        <v>208</v>
      </c>
      <c r="D1589" s="6">
        <v>111.09</v>
      </c>
      <c r="E1589" t="s">
        <v>34</v>
      </c>
    </row>
    <row r="1590" spans="1:5" x14ac:dyDescent="0.25">
      <c r="A1590" t="str">
        <f>HYPERLINK("https://www.773grp.com/globalSearch/ADS5422Y-250/page-1", "ADS5422Y-250")</f>
        <v>ADS5422Y-250</v>
      </c>
      <c r="B1590" s="3" t="s">
        <v>90</v>
      </c>
      <c r="C1590" s="5">
        <v>1093</v>
      </c>
      <c r="D1590" s="6">
        <v>111.24</v>
      </c>
      <c r="E1590" t="s">
        <v>34</v>
      </c>
    </row>
    <row r="1591" spans="1:5" x14ac:dyDescent="0.25">
      <c r="A1591" t="str">
        <f>HYPERLINK("https://www.773grp.com/globalSearch/ADS7805UB/page-1", "ADS7805UB")</f>
        <v>ADS7805UB</v>
      </c>
      <c r="B1591" s="3" t="s">
        <v>90</v>
      </c>
      <c r="C1591" s="5">
        <v>382</v>
      </c>
      <c r="D1591" s="6">
        <v>113.49</v>
      </c>
      <c r="E1591" t="s">
        <v>34</v>
      </c>
    </row>
    <row r="1592" spans="1:5" x14ac:dyDescent="0.25">
      <c r="A1592" t="str">
        <f>HYPERLINK("https://www.773grp.com/globalSearch/ADS8402IPFBT/page-1", "ADS8402IPFBT")</f>
        <v>ADS8402IPFBT</v>
      </c>
      <c r="B1592" s="3" t="s">
        <v>90</v>
      </c>
      <c r="C1592" s="5">
        <v>3370</v>
      </c>
      <c r="D1592" s="6">
        <v>114.19</v>
      </c>
      <c r="E1592" t="s">
        <v>34</v>
      </c>
    </row>
    <row r="1593" spans="1:5" x14ac:dyDescent="0.25">
      <c r="A1593" t="str">
        <f>HYPERLINK("https://www.773grp.com/globalSearch/ADS5121IGHK/page-1", "ADS5121IGHK")</f>
        <v>ADS5121IGHK</v>
      </c>
      <c r="B1593" s="3" t="s">
        <v>90</v>
      </c>
      <c r="C1593" s="5">
        <v>90</v>
      </c>
      <c r="D1593" s="6">
        <v>114.89</v>
      </c>
      <c r="E1593" t="s">
        <v>34</v>
      </c>
    </row>
    <row r="1594" spans="1:5" x14ac:dyDescent="0.25">
      <c r="A1594" t="str">
        <f>HYPERLINK("https://www.773grp.com/globalSearch/ADS1282IPW/page-1", "ADS1282IPW")</f>
        <v>ADS1282IPW</v>
      </c>
      <c r="B1594" s="3" t="s">
        <v>90</v>
      </c>
      <c r="C1594" s="5">
        <v>6271</v>
      </c>
      <c r="D1594" s="6">
        <v>116.44</v>
      </c>
      <c r="E1594" t="s">
        <v>34</v>
      </c>
    </row>
    <row r="1595" spans="1:5" x14ac:dyDescent="0.25">
      <c r="A1595" t="str">
        <f>HYPERLINK("https://www.773grp.com/globalSearch/ADS8284IBRGCT/page-1", "ADS8284IBRGCT")</f>
        <v>ADS8284IBRGCT</v>
      </c>
      <c r="B1595" s="3" t="s">
        <v>90</v>
      </c>
      <c r="C1595" s="5">
        <v>758</v>
      </c>
      <c r="D1595" s="6">
        <v>116.73</v>
      </c>
      <c r="E1595" t="s">
        <v>34</v>
      </c>
    </row>
    <row r="1596" spans="1:5" x14ac:dyDescent="0.25">
      <c r="A1596" t="str">
        <f>HYPERLINK("https://www.773grp.com/globalSearch/ADS7805PB/page-1", "ADS7805PB")</f>
        <v>ADS7805PB</v>
      </c>
      <c r="B1596" s="3" t="s">
        <v>90</v>
      </c>
      <c r="C1596" s="5">
        <v>1</v>
      </c>
      <c r="D1596" s="6">
        <v>117.7</v>
      </c>
      <c r="E1596" t="s">
        <v>34</v>
      </c>
    </row>
    <row r="1597" spans="1:5" x14ac:dyDescent="0.25">
      <c r="A1597" t="str">
        <f>HYPERLINK("https://www.773grp.com/globalSearch/ADS7805PB/page-1", "ADS7805PB")</f>
        <v>ADS7805PB</v>
      </c>
      <c r="B1597" s="3" t="s">
        <v>90</v>
      </c>
      <c r="C1597" s="5">
        <v>494</v>
      </c>
      <c r="D1597" s="6">
        <v>117.7</v>
      </c>
      <c r="E1597" t="s">
        <v>34</v>
      </c>
    </row>
    <row r="1598" spans="1:5" x14ac:dyDescent="0.25">
      <c r="A1598" t="str">
        <f>HYPERLINK("https://www.773grp.com/globalSearch/ADS5423IPJY/page-1", "ADS5423IPJY")</f>
        <v>ADS5423IPJY</v>
      </c>
      <c r="B1598" s="3" t="s">
        <v>90</v>
      </c>
      <c r="C1598" s="5">
        <v>16777</v>
      </c>
      <c r="D1598" s="6">
        <v>118.13</v>
      </c>
      <c r="E1598" t="s">
        <v>34</v>
      </c>
    </row>
    <row r="1599" spans="1:5" x14ac:dyDescent="0.25">
      <c r="A1599" t="str">
        <f>HYPERLINK("https://www.773grp.com/globalSearch/ADS62P25IRGCT/page-1", "ADS62P25IRGCT")</f>
        <v>ADS62P25IRGCT</v>
      </c>
      <c r="B1599" s="3" t="s">
        <v>90</v>
      </c>
      <c r="C1599" s="5">
        <v>1430</v>
      </c>
      <c r="D1599" s="6">
        <v>118.24</v>
      </c>
      <c r="E1599" t="s">
        <v>34</v>
      </c>
    </row>
    <row r="1600" spans="1:5" x14ac:dyDescent="0.25">
      <c r="A1600" t="str">
        <f>HYPERLINK("https://www.773grp.com/globalSearch/5962-0051101NXD/page-1", "5962-0051101NXD")</f>
        <v>5962-0051101NXD</v>
      </c>
      <c r="B1600" s="3" t="s">
        <v>90</v>
      </c>
      <c r="C1600" s="5">
        <v>130</v>
      </c>
      <c r="D1600" s="6">
        <v>119.86</v>
      </c>
      <c r="E1600" t="s">
        <v>34</v>
      </c>
    </row>
    <row r="1601" spans="1:5" x14ac:dyDescent="0.25">
      <c r="A1601" t="str">
        <f>HYPERLINK("https://www.773grp.com/globalSearch/ADS62C15IRGCT/page-1", "ADS62C15IRGCT")</f>
        <v>ADS62C15IRGCT</v>
      </c>
      <c r="B1601" s="3" t="s">
        <v>90</v>
      </c>
      <c r="C1601" s="5">
        <v>1250</v>
      </c>
      <c r="D1601" s="6">
        <v>120.44</v>
      </c>
      <c r="E1601" t="s">
        <v>34</v>
      </c>
    </row>
    <row r="1602" spans="1:5" x14ac:dyDescent="0.25">
      <c r="A1602" t="str">
        <f>HYPERLINK("https://www.773grp.com/globalSearch/ADS6128IRGZT/page-1", "ADS6128IRGZT")</f>
        <v>ADS6128IRGZT</v>
      </c>
      <c r="B1602" s="3" t="s">
        <v>90</v>
      </c>
      <c r="C1602" s="5">
        <v>745</v>
      </c>
      <c r="D1602" s="6">
        <v>120.94</v>
      </c>
      <c r="E1602" t="s">
        <v>34</v>
      </c>
    </row>
    <row r="1603" spans="1:5" x14ac:dyDescent="0.25">
      <c r="A1603" t="str">
        <f>HYPERLINK("https://www.773grp.com/globalSearch/AFE8405IZDQ/page-1", "AFE8405IZDQ")</f>
        <v>AFE8405IZDQ</v>
      </c>
      <c r="B1603" s="3" t="s">
        <v>90</v>
      </c>
      <c r="C1603" s="5">
        <v>27166</v>
      </c>
      <c r="D1603" s="6">
        <v>121.64</v>
      </c>
      <c r="E1603" t="s">
        <v>34</v>
      </c>
    </row>
    <row r="1604" spans="1:5" x14ac:dyDescent="0.25">
      <c r="A1604" t="str">
        <f>HYPERLINK("https://www.773grp.com/globalSearch/ADS6225IRGZ25/page-1", "ADS6225IRGZ25")</f>
        <v>ADS6225IRGZ25</v>
      </c>
      <c r="B1604" s="3" t="s">
        <v>90</v>
      </c>
      <c r="C1604" s="5">
        <v>250</v>
      </c>
      <c r="D1604" s="6">
        <v>121.93</v>
      </c>
      <c r="E1604" t="s">
        <v>34</v>
      </c>
    </row>
    <row r="1605" spans="1:5" x14ac:dyDescent="0.25">
      <c r="A1605" t="str">
        <f>HYPERLINK("https://www.773grp.com/globalSearch/ADS4145IRGZ25/page-1", "ADS4145IRGZ25")</f>
        <v>ADS4145IRGZ25</v>
      </c>
      <c r="B1605" s="3" t="s">
        <v>90</v>
      </c>
      <c r="C1605" s="5">
        <v>25</v>
      </c>
      <c r="D1605" s="6">
        <v>122.06</v>
      </c>
      <c r="E1605" t="s">
        <v>34</v>
      </c>
    </row>
    <row r="1606" spans="1:5" x14ac:dyDescent="0.25">
      <c r="A1606" t="str">
        <f>HYPERLINK("https://www.773grp.com/globalSearch/ADS7807UB/page-1", "ADS7807UB")</f>
        <v>ADS7807UB</v>
      </c>
      <c r="B1606" s="3" t="s">
        <v>90</v>
      </c>
      <c r="C1606" s="5">
        <v>1</v>
      </c>
      <c r="D1606" s="6">
        <v>124.45</v>
      </c>
      <c r="E1606" t="s">
        <v>34</v>
      </c>
    </row>
    <row r="1607" spans="1:5" x14ac:dyDescent="0.25">
      <c r="A1607" t="str">
        <f>HYPERLINK("https://www.773grp.com/globalSearch/ADS7807UB/page-1", "ADS7807UB")</f>
        <v>ADS7807UB</v>
      </c>
      <c r="B1607" s="3" t="s">
        <v>90</v>
      </c>
      <c r="C1607" s="5">
        <v>22</v>
      </c>
      <c r="D1607" s="6">
        <v>124.45</v>
      </c>
      <c r="E1607" t="s">
        <v>34</v>
      </c>
    </row>
    <row r="1608" spans="1:5" x14ac:dyDescent="0.25">
      <c r="A1608" t="str">
        <f>HYPERLINK("https://www.773grp.com/globalSearch/ADS4226IRGC25/page-1", "ADS4226IRGC25")</f>
        <v>ADS4226IRGC25</v>
      </c>
      <c r="B1608" s="3" t="s">
        <v>90</v>
      </c>
      <c r="C1608" s="5">
        <v>38</v>
      </c>
      <c r="D1608" s="6">
        <v>127.96</v>
      </c>
      <c r="E1608" t="s">
        <v>34</v>
      </c>
    </row>
    <row r="1609" spans="1:5" x14ac:dyDescent="0.25">
      <c r="A1609" t="str">
        <f>HYPERLINK("https://www.773grp.com/globalSearch/ADS6423IRGCT/page-1", "ADS6423IRGCT")</f>
        <v>ADS6423IRGCT</v>
      </c>
      <c r="B1609" s="3" t="s">
        <v>90</v>
      </c>
      <c r="C1609" s="5">
        <v>2986</v>
      </c>
      <c r="D1609" s="6">
        <v>128.81</v>
      </c>
      <c r="E1609" t="s">
        <v>34</v>
      </c>
    </row>
    <row r="1610" spans="1:5" x14ac:dyDescent="0.25">
      <c r="A1610" t="str">
        <f>HYPERLINK("https://www.773grp.com/globalSearch/ADS7825UB/page-1", "ADS7825UB")</f>
        <v>ADS7825UB</v>
      </c>
      <c r="B1610" s="3" t="s">
        <v>90</v>
      </c>
      <c r="C1610" s="5">
        <v>7823</v>
      </c>
      <c r="D1610" s="6">
        <v>130.36000000000001</v>
      </c>
      <c r="E1610" t="s">
        <v>34</v>
      </c>
    </row>
    <row r="1611" spans="1:5" x14ac:dyDescent="0.25">
      <c r="A1611" t="str">
        <f>HYPERLINK("https://www.773grp.com/globalSearch/ADS5527IRGZT/page-1", "ADS5527IRGZT")</f>
        <v>ADS5527IRGZT</v>
      </c>
      <c r="B1611" s="3" t="s">
        <v>90</v>
      </c>
      <c r="C1611" s="5">
        <v>250</v>
      </c>
      <c r="D1611" s="6">
        <v>130.79</v>
      </c>
      <c r="E1611" t="s">
        <v>34</v>
      </c>
    </row>
    <row r="1612" spans="1:5" x14ac:dyDescent="0.25">
      <c r="A1612" t="str">
        <f>HYPERLINK("https://www.773grp.com/globalSearch/ADS62C15IRGC25/page-1", "ADS62C15IRGC25")</f>
        <v>ADS62C15IRGC25</v>
      </c>
      <c r="B1612" s="3" t="s">
        <v>90</v>
      </c>
      <c r="C1612" s="5">
        <v>25</v>
      </c>
      <c r="D1612" s="6">
        <v>130.86000000000001</v>
      </c>
      <c r="E1612" t="s">
        <v>34</v>
      </c>
    </row>
    <row r="1613" spans="1:5" x14ac:dyDescent="0.25">
      <c r="A1613" t="str">
        <f>HYPERLINK("https://www.773grp.com/globalSearch/ADS5120CGHK/page-1", "ADS5120CGHK")</f>
        <v>ADS5120CGHK</v>
      </c>
      <c r="B1613" s="3" t="s">
        <v>90</v>
      </c>
      <c r="C1613" s="5">
        <v>4110</v>
      </c>
      <c r="D1613" s="6">
        <v>132.75</v>
      </c>
      <c r="E1613" t="s">
        <v>34</v>
      </c>
    </row>
    <row r="1614" spans="1:5" x14ac:dyDescent="0.25">
      <c r="A1614" t="str">
        <f>HYPERLINK("https://www.773grp.com/globalSearch/ADS5281IPFP/page-1", "ADS5281IPFP")</f>
        <v>ADS5281IPFP</v>
      </c>
      <c r="B1614" s="3" t="s">
        <v>90</v>
      </c>
      <c r="C1614" s="5">
        <v>347</v>
      </c>
      <c r="D1614" s="6">
        <v>135.29</v>
      </c>
      <c r="E1614" t="s">
        <v>34</v>
      </c>
    </row>
    <row r="1615" spans="1:5" x14ac:dyDescent="0.25">
      <c r="A1615" t="str">
        <f>HYPERLINK("https://www.773grp.com/globalSearch/ADS7811U/page-1", "ADS7811U")</f>
        <v>ADS7811U</v>
      </c>
      <c r="B1615" s="3" t="s">
        <v>90</v>
      </c>
      <c r="C1615" s="5">
        <v>597</v>
      </c>
      <c r="D1615" s="6">
        <v>136.55000000000001</v>
      </c>
      <c r="E1615" t="s">
        <v>34</v>
      </c>
    </row>
    <row r="1616" spans="1:5" x14ac:dyDescent="0.25">
      <c r="A1616" t="str">
        <f>HYPERLINK("https://www.773grp.com/globalSearch/ADS800U/page-1", "ADS800U")</f>
        <v>ADS800U</v>
      </c>
      <c r="B1616" s="3" t="s">
        <v>90</v>
      </c>
      <c r="C1616" s="5">
        <v>1600</v>
      </c>
      <c r="D1616" s="6">
        <v>136.74</v>
      </c>
      <c r="E1616" t="s">
        <v>34</v>
      </c>
    </row>
    <row r="1617" spans="1:5" x14ac:dyDescent="0.25">
      <c r="A1617" t="str">
        <f>HYPERLINK("https://www.773grp.com/globalSearch/ADS5122CGHK/page-1", "ADS5122CGHK")</f>
        <v>ADS5122CGHK</v>
      </c>
      <c r="B1617" s="3" t="str">
        <f>HYPERLINK("https://www.773grp.com/manufacturer/texas-instruments?pageNo=58", "Texas Instruments")</f>
        <v>Texas Instruments</v>
      </c>
      <c r="C1617" s="5">
        <v>178</v>
      </c>
      <c r="D1617" s="6">
        <v>138.15</v>
      </c>
      <c r="E1617" t="s">
        <v>34</v>
      </c>
    </row>
    <row r="1618" spans="1:5" x14ac:dyDescent="0.25">
      <c r="A1618" t="str">
        <f>HYPERLINK("https://www.773grp.com/globalSearch/ADS5282IRGCT/page-1", "ADS5282IRGCT")</f>
        <v>ADS5282IRGCT</v>
      </c>
      <c r="B1618" s="3" t="str">
        <f>HYPERLINK("https://www.773grp.com/manufacturer/texas-instruments?pageNo=65", "Texas Instruments")</f>
        <v>Texas Instruments</v>
      </c>
      <c r="C1618" s="5">
        <v>200</v>
      </c>
      <c r="D1618" s="6">
        <v>139.78</v>
      </c>
      <c r="E1618" t="s">
        <v>34</v>
      </c>
    </row>
    <row r="1619" spans="1:5" x14ac:dyDescent="0.25">
      <c r="A1619" t="str">
        <f>HYPERLINK("https://www.773grp.com/globalSearch/ADS5562IRGZT/page-1", "ADS5562IRGZT")</f>
        <v>ADS5562IRGZT</v>
      </c>
      <c r="B1619" s="3" t="str">
        <f>HYPERLINK("https://www.773grp.com/manufacturer/texas-instruments?pageNo=70", "Texas Instruments")</f>
        <v>Texas Instruments</v>
      </c>
      <c r="C1619" s="5">
        <v>515</v>
      </c>
      <c r="D1619" s="6">
        <v>140.19999999999999</v>
      </c>
      <c r="E1619" t="s">
        <v>34</v>
      </c>
    </row>
    <row r="1620" spans="1:5" x14ac:dyDescent="0.25">
      <c r="A1620" t="str">
        <f>HYPERLINK("https://www.773grp.com/globalSearch/ADS5120CZHK/page-1", "ADS5120CZHK")</f>
        <v>ADS5120CZHK</v>
      </c>
      <c r="B1620" s="3" t="str">
        <f>HYPERLINK("https://www.773grp.com/manufacturer/texas-instruments?pageNo=98", "Texas Instruments")</f>
        <v>Texas Instruments</v>
      </c>
      <c r="C1620" s="5">
        <v>540</v>
      </c>
      <c r="D1620" s="6">
        <v>142.31</v>
      </c>
      <c r="E1620" t="s">
        <v>34</v>
      </c>
    </row>
    <row r="1621" spans="1:5" x14ac:dyDescent="0.25">
      <c r="A1621" t="str">
        <f>HYPERLINK("https://www.773grp.com/globalSearch/ADS5440IPFPR/page-1", "ADS5440IPFPR")</f>
        <v>ADS5440IPFPR</v>
      </c>
      <c r="B1621" s="3" t="str">
        <f>HYPERLINK("https://www.773grp.com/manufacturer/texas-instruments?pageNo=122", "Texas Instruments")</f>
        <v>Texas Instruments</v>
      </c>
      <c r="C1621" s="5">
        <v>1000</v>
      </c>
      <c r="D1621" s="6">
        <v>147.66</v>
      </c>
      <c r="E1621" t="s">
        <v>34</v>
      </c>
    </row>
    <row r="1622" spans="1:5" x14ac:dyDescent="0.25">
      <c r="A1622" t="str">
        <f>HYPERLINK("https://www.773grp.com/globalSearch/ADS5122CZHK/page-1", "ADS5122CZHK")</f>
        <v>ADS5122CZHK</v>
      </c>
      <c r="B1622" s="3" t="str">
        <f>HYPERLINK("https://www.773grp.com/manufacturer/texas-instruments?pageNo=125", "Texas Instruments")</f>
        <v>Texas Instruments</v>
      </c>
      <c r="C1622" s="5">
        <v>2040</v>
      </c>
      <c r="D1622" s="6">
        <v>148.13</v>
      </c>
      <c r="E1622" t="s">
        <v>34</v>
      </c>
    </row>
    <row r="1623" spans="1:5" x14ac:dyDescent="0.25">
      <c r="A1623" t="str">
        <f>HYPERLINK("https://www.773grp.com/globalSearch/ADS6129IRGZT/page-1", "ADS6129IRGZT")</f>
        <v>ADS6129IRGZT</v>
      </c>
      <c r="B1623" s="3" t="str">
        <f>HYPERLINK("https://www.773grp.com/manufacturer/texas-instruments?pageNo=181", "Texas Instruments")</f>
        <v>Texas Instruments</v>
      </c>
      <c r="C1623" s="5">
        <v>687</v>
      </c>
      <c r="D1623" s="6">
        <v>152.85</v>
      </c>
      <c r="E1623" t="s">
        <v>34</v>
      </c>
    </row>
    <row r="1624" spans="1:5" x14ac:dyDescent="0.25">
      <c r="A1624" t="str">
        <f>HYPERLINK("https://www.773grp.com/globalSearch/ADS5440IPFP/page-1", "ADS5440IPFP")</f>
        <v>ADS5440IPFP</v>
      </c>
      <c r="B1624" s="3" t="str">
        <f>HYPERLINK("https://www.773grp.com/manufacturer/texas-instruments?pageNo=182", "Texas Instruments")</f>
        <v>Texas Instruments</v>
      </c>
      <c r="C1624" s="5">
        <v>275</v>
      </c>
      <c r="D1624" s="6">
        <v>153.28</v>
      </c>
      <c r="E1624" t="s">
        <v>34</v>
      </c>
    </row>
    <row r="1625" spans="1:5" x14ac:dyDescent="0.25">
      <c r="A1625" t="str">
        <f>HYPERLINK("https://www.773grp.com/globalSearch/ADS5541IPAP/page-1", "ADS5541IPAP")</f>
        <v>ADS5541IPAP</v>
      </c>
      <c r="B1625" s="3" t="str">
        <f>HYPERLINK("https://www.773grp.com/manufacturer/texas-instruments?pageNo=202", "Texas Instruments")</f>
        <v>Texas Instruments</v>
      </c>
      <c r="C1625" s="5">
        <v>1629</v>
      </c>
      <c r="D1625" s="6">
        <v>155.97999999999999</v>
      </c>
      <c r="E1625" t="s">
        <v>34</v>
      </c>
    </row>
    <row r="1626" spans="1:5" x14ac:dyDescent="0.25">
      <c r="A1626" t="str">
        <f>HYPERLINK("https://www.773grp.com/globalSearch/ADS5270IPFP/page-1", "ADS5270IPFP")</f>
        <v>ADS5270IPFP</v>
      </c>
      <c r="B1626" s="3" t="str">
        <f>HYPERLINK("https://www.773grp.com/manufacturer/texas-instruments?pageNo=214", "Texas Instruments")</f>
        <v>Texas Instruments</v>
      </c>
      <c r="C1626" s="5">
        <v>117</v>
      </c>
      <c r="D1626" s="6">
        <v>160.31</v>
      </c>
      <c r="E1626" t="s">
        <v>34</v>
      </c>
    </row>
    <row r="1627" spans="1:5" x14ac:dyDescent="0.25">
      <c r="A1627" t="str">
        <f>HYPERLINK("https://www.773grp.com/globalSearch/ADS62P44IRGCT/page-1", "ADS62P44IRGCT")</f>
        <v>ADS62P44IRGCT</v>
      </c>
      <c r="B1627" s="3" t="str">
        <f>HYPERLINK("https://www.773grp.com/manufacturer/texas-instruments?pageNo=224", "Texas Instruments")</f>
        <v>Texas Instruments</v>
      </c>
      <c r="C1627" s="5">
        <v>1978</v>
      </c>
      <c r="D1627" s="6">
        <v>162.18</v>
      </c>
      <c r="E1627" t="s">
        <v>34</v>
      </c>
    </row>
    <row r="1628" spans="1:5" x14ac:dyDescent="0.25">
      <c r="A1628" t="str">
        <f>HYPERLINK("https://www.773grp.com/globalSearch/ADS61B29IRGZT/page-1", "ADS61B29IRGZT")</f>
        <v>ADS61B29IRGZT</v>
      </c>
      <c r="B1628" s="3" t="str">
        <f>HYPERLINK("https://www.773grp.com/manufacturer/texas-instruments?pageNo=227", "Texas Instruments")</f>
        <v>Texas Instruments</v>
      </c>
      <c r="C1628" s="5">
        <v>250</v>
      </c>
      <c r="D1628" s="6">
        <v>162.56</v>
      </c>
      <c r="E1628" t="s">
        <v>34</v>
      </c>
    </row>
    <row r="1629" spans="1:5" x14ac:dyDescent="0.25">
      <c r="A1629" t="str">
        <f>HYPERLINK("https://www.773grp.com/globalSearch/ADS5424IPJY/page-1", "ADS5424IPJY")</f>
        <v>ADS5424IPJY</v>
      </c>
      <c r="B1629" s="3" t="str">
        <f>HYPERLINK("https://www.773grp.com/manufacturer/texas-instruments?pageNo=231", "Texas Instruments")</f>
        <v>Texas Instruments</v>
      </c>
      <c r="C1629" s="5">
        <v>2439</v>
      </c>
      <c r="D1629" s="6">
        <v>163.13</v>
      </c>
      <c r="E1629" t="s">
        <v>34</v>
      </c>
    </row>
    <row r="1630" spans="1:5" x14ac:dyDescent="0.25">
      <c r="A1630" t="str">
        <f>HYPERLINK("https://www.773grp.com/globalSearch/ADS6442IRGCT/page-1", "ADS6442IRGCT")</f>
        <v>ADS6442IRGCT</v>
      </c>
      <c r="B1630" s="3" t="str">
        <f>HYPERLINK("https://www.773grp.com/manufacturer/texas-instruments?pageNo=260", "Texas Instruments")</f>
        <v>Texas Instruments</v>
      </c>
      <c r="C1630" s="5">
        <v>365</v>
      </c>
      <c r="D1630" s="6">
        <v>164.66</v>
      </c>
      <c r="E1630" t="s">
        <v>34</v>
      </c>
    </row>
    <row r="1631" spans="1:5" x14ac:dyDescent="0.25">
      <c r="A1631" t="str">
        <f>HYPERLINK("https://www.773grp.com/globalSearch/ADS62P45IRGCR/page-1", "ADS62P45IRGCR")</f>
        <v>ADS62P45IRGCR</v>
      </c>
      <c r="B1631" s="3" t="str">
        <f>HYPERLINK("https://www.773grp.com/manufacturer/texas-instruments?pageNo=293", "Texas Instruments")</f>
        <v>Texas Instruments</v>
      </c>
      <c r="C1631" s="5">
        <v>7804</v>
      </c>
      <c r="D1631" s="6">
        <v>168.75</v>
      </c>
      <c r="E1631" t="s">
        <v>34</v>
      </c>
    </row>
    <row r="1632" spans="1:5" x14ac:dyDescent="0.25">
      <c r="A1632" t="str">
        <f>HYPERLINK("https://www.773grp.com/globalSearch/ADS6424IRGCT/page-1", "ADS6424IRGCT")</f>
        <v>ADS6424IRGCT</v>
      </c>
      <c r="B1632" s="3" t="str">
        <f>HYPERLINK("https://www.773grp.com/manufacturer/texas-instruments?pageNo=294", "Texas Instruments")</f>
        <v>Texas Instruments</v>
      </c>
      <c r="C1632" s="5">
        <v>1758</v>
      </c>
      <c r="D1632" s="6">
        <v>168.75</v>
      </c>
      <c r="E1632" t="s">
        <v>34</v>
      </c>
    </row>
    <row r="1633" spans="1:5" x14ac:dyDescent="0.25">
      <c r="A1633" t="str">
        <f>HYPERLINK("https://www.773grp.com/globalSearch/ADS6245IRGZT/page-1", "ADS6245IRGZT")</f>
        <v>ADS6245IRGZT</v>
      </c>
      <c r="B1633" s="3" t="str">
        <f>HYPERLINK("https://www.773grp.com/manufacturer/texas-instruments?pageNo=301", "Texas Instruments")</f>
        <v>Texas Instruments</v>
      </c>
      <c r="C1633" s="5">
        <v>462</v>
      </c>
      <c r="D1633" s="6">
        <v>172.98</v>
      </c>
      <c r="E1633" t="s">
        <v>34</v>
      </c>
    </row>
    <row r="1634" spans="1:5" x14ac:dyDescent="0.25">
      <c r="A1634" t="str">
        <f>HYPERLINK("https://www.773grp.com/globalSearch/ADS62P45IRGCT/page-1", "ADS62P45IRGCT")</f>
        <v>ADS62P45IRGCT</v>
      </c>
      <c r="B1634" s="3" t="str">
        <f>HYPERLINK("https://www.773grp.com/manufacturer/texas-instruments?pageNo=302", "Texas Instruments")</f>
        <v>Texas Instruments</v>
      </c>
      <c r="C1634" s="5">
        <v>881</v>
      </c>
      <c r="D1634" s="6">
        <v>172.98</v>
      </c>
      <c r="E1634" t="s">
        <v>34</v>
      </c>
    </row>
    <row r="1635" spans="1:5" x14ac:dyDescent="0.25">
      <c r="A1635" t="str">
        <f>HYPERLINK("https://www.773grp.com/globalSearch/ADS5271IPFP/page-1", "ADS5271IPFP")</f>
        <v>ADS5271IPFP</v>
      </c>
      <c r="B1635" s="3" t="str">
        <f>HYPERLINK("https://www.773grp.com/manufacturer/texas-instruments?pageNo=305", "Texas Instruments")</f>
        <v>Texas Instruments</v>
      </c>
      <c r="C1635" s="5">
        <v>165</v>
      </c>
      <c r="D1635" s="6">
        <v>174.38</v>
      </c>
      <c r="E1635" t="s">
        <v>34</v>
      </c>
    </row>
    <row r="1636" spans="1:5" x14ac:dyDescent="0.25">
      <c r="A1636" t="str">
        <f>HYPERLINK("https://www.773grp.com/globalSearch/ADS5271IPFPG4/page-1", "ADS5271IPFPG4")</f>
        <v>ADS5271IPFPG4</v>
      </c>
      <c r="B1636" s="3" t="str">
        <f>HYPERLINK("https://www.773grp.com/manufacturer/texas-instruments?pageNo=306", "Texas Instruments")</f>
        <v>Texas Instruments</v>
      </c>
      <c r="C1636" s="5">
        <v>49</v>
      </c>
      <c r="D1636" s="6">
        <v>174.38</v>
      </c>
      <c r="E1636" t="s">
        <v>34</v>
      </c>
    </row>
    <row r="1637" spans="1:5" x14ac:dyDescent="0.25">
      <c r="A1637" t="str">
        <f>HYPERLINK("https://www.773grp.com/globalSearch/ADS5440MPFPEP/page-1", "ADS5440MPFPEP")</f>
        <v>ADS5440MPFPEP</v>
      </c>
      <c r="B1637" s="3" t="str">
        <f>HYPERLINK("https://www.773grp.com/manufacturer/texas-instruments?pageNo=307", "Texas Instruments")</f>
        <v>Texas Instruments</v>
      </c>
      <c r="C1637" s="5">
        <v>96</v>
      </c>
      <c r="D1637" s="6">
        <v>174.38</v>
      </c>
      <c r="E1637" t="s">
        <v>34</v>
      </c>
    </row>
    <row r="1638" spans="1:5" x14ac:dyDescent="0.25">
      <c r="A1638" t="str">
        <f>HYPERLINK("https://www.773grp.com/globalSearch/ADS5482IRGCT/page-1", "ADS5482IRGCT")</f>
        <v>ADS5482IRGCT</v>
      </c>
      <c r="B1638" s="3" t="str">
        <f>HYPERLINK("https://www.773grp.com/manufacturer/texas-instruments?pageNo=338", "Texas Instruments")</f>
        <v>Texas Instruments</v>
      </c>
      <c r="C1638" s="5">
        <v>1270</v>
      </c>
      <c r="D1638" s="6">
        <v>179.5</v>
      </c>
      <c r="E1638" t="s">
        <v>34</v>
      </c>
    </row>
    <row r="1639" spans="1:5" x14ac:dyDescent="0.25">
      <c r="A1639" t="str">
        <f>HYPERLINK("https://www.773grp.com/globalSearch/ADS6443IRGCT/page-1", "ADS6443IRGCT")</f>
        <v>ADS6443IRGCT</v>
      </c>
      <c r="B1639" s="3" t="str">
        <f>HYPERLINK("https://www.773grp.com/manufacturer/texas-instruments?pageNo=345", "Texas Instruments")</f>
        <v>Texas Instruments</v>
      </c>
      <c r="C1639" s="5">
        <v>251</v>
      </c>
      <c r="D1639" s="6">
        <v>181.41</v>
      </c>
      <c r="E1639" t="s">
        <v>34</v>
      </c>
    </row>
    <row r="1640" spans="1:5" x14ac:dyDescent="0.25">
      <c r="A1640" t="str">
        <f>HYPERLINK("https://www.773grp.com/globalSearch/ADS7800AH/page-1", "ADS7800AH")</f>
        <v>ADS7800AH</v>
      </c>
      <c r="B1640" s="3" t="str">
        <f>HYPERLINK("https://www.773grp.com/manufacturer/texas-instruments?pageNo=351", "Texas Instruments")</f>
        <v>Texas Instruments</v>
      </c>
      <c r="C1640" s="5">
        <v>5</v>
      </c>
      <c r="D1640" s="6">
        <v>182.68</v>
      </c>
      <c r="E1640" t="s">
        <v>34</v>
      </c>
    </row>
    <row r="1641" spans="1:5" x14ac:dyDescent="0.25">
      <c r="A1641" t="str">
        <f>HYPERLINK("https://www.773grp.com/globalSearch/ADS5444IPFP/page-1", "ADS5444IPFP")</f>
        <v>ADS5444IPFP</v>
      </c>
      <c r="B1641" s="3" t="str">
        <f>HYPERLINK("https://www.773grp.com/manufacturer/texas-instruments?pageNo=374", "Texas Instruments")</f>
        <v>Texas Instruments</v>
      </c>
      <c r="C1641" s="5">
        <v>248</v>
      </c>
      <c r="D1641" s="6">
        <v>188.16</v>
      </c>
      <c r="E1641" t="s">
        <v>34</v>
      </c>
    </row>
    <row r="1642" spans="1:5" x14ac:dyDescent="0.25">
      <c r="A1642" t="str">
        <f>HYPERLINK("https://www.773grp.com/globalSearch/ADS62C17IRGCT/page-1", "ADS62C17IRGCT")</f>
        <v>ADS62C17IRGCT</v>
      </c>
      <c r="B1642" s="3" t="str">
        <f>HYPERLINK("https://www.773grp.com/manufacturer/texas-instruments?pageNo=384", "Texas Instruments")</f>
        <v>Texas Instruments</v>
      </c>
      <c r="C1642" s="5">
        <v>197</v>
      </c>
      <c r="D1642" s="6">
        <v>189.85</v>
      </c>
      <c r="E1642" t="s">
        <v>34</v>
      </c>
    </row>
    <row r="1643" spans="1:5" x14ac:dyDescent="0.25">
      <c r="A1643" t="str">
        <f>HYPERLINK("https://www.773grp.com/globalSearch/DDC232CGXGR/page-1", "DDC232CGXGR")</f>
        <v>DDC232CGXGR</v>
      </c>
      <c r="B1643" s="3" t="str">
        <f>HYPERLINK("https://www.773grp.com/manufacturer/texas-instruments?pageNo=432", "Texas Instruments")</f>
        <v>Texas Instruments</v>
      </c>
      <c r="C1643" s="5">
        <v>6000</v>
      </c>
      <c r="D1643" s="6">
        <v>196.88</v>
      </c>
      <c r="E1643" t="s">
        <v>34</v>
      </c>
    </row>
    <row r="1644" spans="1:5" x14ac:dyDescent="0.25">
      <c r="A1644" t="str">
        <f>HYPERLINK("https://www.773grp.com/globalSearch/ADS6425IRGCT/page-1", "ADS6425IRGCT")</f>
        <v>ADS6425IRGCT</v>
      </c>
      <c r="B1644" s="3" t="str">
        <f>HYPERLINK("https://www.773grp.com/manufacturer/texas-instruments?pageNo=434", "Texas Instruments")</f>
        <v>Texas Instruments</v>
      </c>
      <c r="C1644" s="5">
        <v>2769</v>
      </c>
      <c r="D1644" s="6">
        <v>197.15</v>
      </c>
      <c r="E1644" t="s">
        <v>34</v>
      </c>
    </row>
    <row r="1645" spans="1:5" x14ac:dyDescent="0.25">
      <c r="A1645" t="str">
        <f>HYPERLINK("https://www.773grp.com/globalSearch/AFE8406IZDQ/page-1", "AFE8406IZDQ")</f>
        <v>AFE8406IZDQ</v>
      </c>
      <c r="B1645" s="3" t="str">
        <f>HYPERLINK("https://www.773grp.com/manufacturer/texas-instruments?pageNo=435", "Texas Instruments")</f>
        <v>Texas Instruments</v>
      </c>
      <c r="C1645" s="5">
        <v>23497</v>
      </c>
      <c r="D1645" s="6">
        <v>198.63</v>
      </c>
      <c r="E1645" t="s">
        <v>34</v>
      </c>
    </row>
    <row r="1646" spans="1:5" x14ac:dyDescent="0.25">
      <c r="A1646" t="str">
        <f>HYPERLINK("https://www.773grp.com/globalSearch/ADS5444MPFPEP/page-1", "ADS5444MPFPEP")</f>
        <v>ADS5444MPFPEP</v>
      </c>
      <c r="B1646" s="3" t="str">
        <f>HYPERLINK("https://www.773grp.com/manufacturer/texas-instruments?pageNo=436", "Texas Instruments")</f>
        <v>Texas Instruments</v>
      </c>
      <c r="C1646" s="5">
        <v>96</v>
      </c>
      <c r="D1646" s="6">
        <v>199.69</v>
      </c>
      <c r="E1646" t="s">
        <v>34</v>
      </c>
    </row>
    <row r="1647" spans="1:5" x14ac:dyDescent="0.25">
      <c r="A1647" t="str">
        <f>HYPERLINK("https://www.773grp.com/globalSearch/V62-06668-01XE/page-1", "V62-06668-01XE")</f>
        <v>V62-06668-01XE</v>
      </c>
      <c r="B1647" s="3" t="str">
        <f>HYPERLINK("https://www.773grp.com/manufacturer/texas-instruments?pageNo=438", "Texas Instruments")</f>
        <v>Texas Instruments</v>
      </c>
      <c r="C1647" s="5">
        <v>36</v>
      </c>
      <c r="D1647" s="6">
        <v>199.69</v>
      </c>
      <c r="E1647" t="s">
        <v>34</v>
      </c>
    </row>
    <row r="1648" spans="1:5" x14ac:dyDescent="0.25">
      <c r="A1648" t="str">
        <f>HYPERLINK("https://www.773grp.com/globalSearch/ADS4149IRGZT/page-1", "ADS4149IRGZT")</f>
        <v>ADS4149IRGZT</v>
      </c>
      <c r="B1648" s="3" t="str">
        <f>HYPERLINK("https://www.773grp.com/manufacturer/texas-instruments?pageNo=440", "Texas Instruments")</f>
        <v>Texas Instruments</v>
      </c>
      <c r="C1648" s="5">
        <v>837</v>
      </c>
      <c r="D1648" s="6">
        <v>200.1</v>
      </c>
      <c r="E1648" t="s">
        <v>34</v>
      </c>
    </row>
    <row r="1649" spans="1:5" x14ac:dyDescent="0.25">
      <c r="A1649" t="str">
        <f>HYPERLINK("https://www.773grp.com/globalSearch/DDC232CGXGT/page-1", "DDC232CGXGT")</f>
        <v>DDC232CGXGT</v>
      </c>
      <c r="B1649" s="3" t="str">
        <f>HYPERLINK("https://www.773grp.com/manufacturer/texas-instruments?pageNo=447", "Texas Instruments")</f>
        <v>Texas Instruments</v>
      </c>
      <c r="C1649" s="5">
        <v>250</v>
      </c>
      <c r="D1649" s="6">
        <v>201.1</v>
      </c>
      <c r="E1649" t="s">
        <v>34</v>
      </c>
    </row>
    <row r="1650" spans="1:5" x14ac:dyDescent="0.25">
      <c r="A1650" t="str">
        <f>HYPERLINK("https://www.773grp.com/globalSearch/DDC232CKZXGT/page-1", "DDC232CKZXGT")</f>
        <v>DDC232CKZXGT</v>
      </c>
      <c r="B1650" s="3" t="str">
        <f>HYPERLINK("https://www.773grp.com/manufacturer/texas-instruments?pageNo=448", "Texas Instruments")</f>
        <v>Texas Instruments</v>
      </c>
      <c r="C1650" s="5">
        <v>330</v>
      </c>
      <c r="D1650" s="6">
        <v>201.1</v>
      </c>
      <c r="E1650" t="s">
        <v>34</v>
      </c>
    </row>
    <row r="1651" spans="1:5" x14ac:dyDescent="0.25">
      <c r="A1651" t="str">
        <f>HYPERLINK("https://www.773grp.com/globalSearch/ADS7810U/page-1", "ADS7810U")</f>
        <v>ADS7810U</v>
      </c>
      <c r="B1651" s="3" t="str">
        <f>HYPERLINK("https://www.773grp.com/manufacturer/texas-instruments?pageNo=449", "Texas Instruments")</f>
        <v>Texas Instruments</v>
      </c>
      <c r="C1651" s="5">
        <v>3791</v>
      </c>
      <c r="D1651" s="6">
        <v>201.79</v>
      </c>
      <c r="E1651" t="s">
        <v>34</v>
      </c>
    </row>
    <row r="1652" spans="1:5" x14ac:dyDescent="0.25">
      <c r="A1652" t="str">
        <f>HYPERLINK("https://www.773grp.com/globalSearch/ADS7810UE4/page-1", "ADS7810UE4")</f>
        <v>ADS7810UE4</v>
      </c>
      <c r="B1652" s="3" t="str">
        <f>HYPERLINK("https://www.773grp.com/manufacturer/texas-instruments?pageNo=450", "Texas Instruments")</f>
        <v>Texas Instruments</v>
      </c>
      <c r="C1652" s="5">
        <v>3</v>
      </c>
      <c r="D1652" s="6">
        <v>201.79</v>
      </c>
      <c r="E1652" t="s">
        <v>34</v>
      </c>
    </row>
    <row r="1653" spans="1:5" x14ac:dyDescent="0.25">
      <c r="A1653" t="str">
        <f>HYPERLINK("https://www.773grp.com/globalSearch/ADS5483IRGCT/page-1", "ADS5483IRGCT")</f>
        <v>ADS5483IRGCT</v>
      </c>
      <c r="B1653" s="3" t="str">
        <f>HYPERLINK("https://www.773grp.com/manufacturer/texas-instruments?pageNo=469", "Texas Instruments")</f>
        <v>Texas Instruments</v>
      </c>
      <c r="C1653" s="5">
        <v>886</v>
      </c>
      <c r="D1653" s="6">
        <v>205.31</v>
      </c>
      <c r="E1653" t="s">
        <v>34</v>
      </c>
    </row>
    <row r="1654" spans="1:5" x14ac:dyDescent="0.25">
      <c r="A1654" t="str">
        <f>HYPERLINK("https://www.773grp.com/globalSearch/ADS5482IRGC25/page-1", "ADS5482IRGC25")</f>
        <v>ADS5482IRGC25</v>
      </c>
      <c r="B1654" s="3" t="str">
        <f>HYPERLINK("https://www.773grp.com/manufacturer/texas-instruments?pageNo=473", "Texas Instruments")</f>
        <v>Texas Instruments</v>
      </c>
      <c r="C1654" s="5">
        <v>25</v>
      </c>
      <c r="D1654" s="6">
        <v>207.61</v>
      </c>
      <c r="E1654" t="s">
        <v>34</v>
      </c>
    </row>
    <row r="1655" spans="1:5" x14ac:dyDescent="0.25">
      <c r="A1655" t="str">
        <f>HYPERLINK("https://www.773grp.com/globalSearch/ADS5500MPAPEP/page-1", "ADS5500MPAPEP")</f>
        <v>ADS5500MPAPEP</v>
      </c>
      <c r="B1655" s="3" t="str">
        <f>HYPERLINK("https://www.773grp.com/manufacturer/texas-instruments?pageNo=474", "Texas Instruments")</f>
        <v>Texas Instruments</v>
      </c>
      <c r="C1655" s="5">
        <v>104</v>
      </c>
      <c r="D1655" s="6">
        <v>208.13</v>
      </c>
      <c r="E1655" t="s">
        <v>34</v>
      </c>
    </row>
    <row r="1656" spans="1:5" x14ac:dyDescent="0.25">
      <c r="A1656" t="str">
        <f>HYPERLINK("https://www.773grp.com/globalSearch/ADS5545IRGZT/page-1", "ADS5545IRGZT")</f>
        <v>ADS5545IRGZT</v>
      </c>
      <c r="B1656" s="3" t="str">
        <f>HYPERLINK("https://www.773grp.com/manufacturer/texas-instruments?pageNo=511", "Texas Instruments")</f>
        <v>Texas Instruments</v>
      </c>
      <c r="C1656" s="5">
        <v>746</v>
      </c>
      <c r="D1656" s="6">
        <v>211.41</v>
      </c>
      <c r="E1656" t="s">
        <v>34</v>
      </c>
    </row>
    <row r="1657" spans="1:5" x14ac:dyDescent="0.25">
      <c r="A1657" t="str">
        <f>HYPERLINK("https://www.773grp.com/globalSearch/ADS6148IRGZT/page-1", "ADS6148IRGZT")</f>
        <v>ADS6148IRGZT</v>
      </c>
      <c r="B1657" s="3" t="str">
        <f>HYPERLINK("https://www.773grp.com/manufacturer/texas-instruments?pageNo=512", "Texas Instruments")</f>
        <v>Texas Instruments</v>
      </c>
      <c r="C1657" s="5">
        <v>1012</v>
      </c>
      <c r="D1657" s="6">
        <v>213.05</v>
      </c>
      <c r="E1657" t="s">
        <v>34</v>
      </c>
    </row>
    <row r="1658" spans="1:5" x14ac:dyDescent="0.25">
      <c r="A1658" t="str">
        <f>HYPERLINK("https://www.773grp.com/globalSearch/ADS5272IPFPT/page-1", "ADS5272IPFPT")</f>
        <v>ADS5272IPFPT</v>
      </c>
      <c r="B1658" s="3" t="str">
        <f>HYPERLINK("https://www.773grp.com/manufacturer/texas-instruments?pageNo=529", "Texas Instruments")</f>
        <v>Texas Instruments</v>
      </c>
      <c r="C1658" s="5">
        <v>192</v>
      </c>
      <c r="D1658" s="6">
        <v>216.34</v>
      </c>
      <c r="E1658" t="s">
        <v>34</v>
      </c>
    </row>
    <row r="1659" spans="1:5" x14ac:dyDescent="0.25">
      <c r="A1659" t="str">
        <f>HYPERLINK("https://www.773grp.com/globalSearch/ADS5546IRGZT/page-1", "ADS5546IRGZT")</f>
        <v>ADS5546IRGZT</v>
      </c>
      <c r="B1659" s="3" t="str">
        <f>HYPERLINK("https://www.773grp.com/manufacturer/texas-instruments?pageNo=555", "Texas Instruments")</f>
        <v>Texas Instruments</v>
      </c>
      <c r="C1659" s="5">
        <v>4625</v>
      </c>
      <c r="D1659" s="6">
        <v>222.7</v>
      </c>
      <c r="E1659" t="s">
        <v>34</v>
      </c>
    </row>
    <row r="1660" spans="1:5" x14ac:dyDescent="0.25">
      <c r="A1660" t="str">
        <f>HYPERLINK("https://www.773grp.com/globalSearch/ADS5500IPAP/page-1", "ADS5500IPAP")</f>
        <v>ADS5500IPAP</v>
      </c>
      <c r="B1660" s="3" t="str">
        <f>HYPERLINK("https://www.773grp.com/manufacturer/texas-instruments?pageNo=558", "Texas Instruments")</f>
        <v>Texas Instruments</v>
      </c>
      <c r="C1660" s="5">
        <v>3290</v>
      </c>
      <c r="D1660" s="6">
        <v>224.48</v>
      </c>
      <c r="E1660" t="s">
        <v>34</v>
      </c>
    </row>
    <row r="1661" spans="1:5" x14ac:dyDescent="0.25">
      <c r="A1661" t="str">
        <f>HYPERLINK("https://www.773grp.com/globalSearch/ADS41B49IRGZ25/page-1", "ADS41B49IRGZ25")</f>
        <v>ADS41B49IRGZ25</v>
      </c>
      <c r="B1661" s="3" t="str">
        <f>HYPERLINK("https://www.773grp.com/manufacturer/texas-instruments?pageNo=607", "Texas Instruments")</f>
        <v>Texas Instruments</v>
      </c>
      <c r="C1661" s="5">
        <v>69</v>
      </c>
      <c r="D1661" s="6">
        <v>236.68</v>
      </c>
      <c r="E1661" t="s">
        <v>34</v>
      </c>
    </row>
    <row r="1662" spans="1:5" x14ac:dyDescent="0.25">
      <c r="A1662" t="str">
        <f>HYPERLINK("https://www.773grp.com/globalSearch/ADS62P29IRGC25/page-1", "ADS62P29IRGC25")</f>
        <v>ADS62P29IRGC25</v>
      </c>
      <c r="B1662" s="3" t="str">
        <f>HYPERLINK("https://www.773grp.com/manufacturer/texas-instruments?pageNo=613", "Texas Instruments")</f>
        <v>Texas Instruments</v>
      </c>
      <c r="C1662" s="5">
        <v>265</v>
      </c>
      <c r="D1662" s="6">
        <v>237.65</v>
      </c>
      <c r="E1662" t="s">
        <v>34</v>
      </c>
    </row>
    <row r="1663" spans="1:5" x14ac:dyDescent="0.25">
      <c r="A1663" t="str">
        <f>HYPERLINK("https://www.773grp.com/globalSearch/ADS6444IRGCT/page-1", "ADS6444IRGCT")</f>
        <v>ADS6444IRGCT</v>
      </c>
      <c r="B1663" s="3" t="str">
        <f>HYPERLINK("https://www.773grp.com/manufacturer/texas-instruments?pageNo=637", "Texas Instruments")</f>
        <v>Texas Instruments</v>
      </c>
      <c r="C1663" s="5">
        <v>731</v>
      </c>
      <c r="D1663" s="6">
        <v>214.69</v>
      </c>
      <c r="E1663" t="s">
        <v>34</v>
      </c>
    </row>
    <row r="1664" spans="1:5" x14ac:dyDescent="0.25">
      <c r="A1664" t="str">
        <f>HYPERLINK("https://www.773grp.com/globalSearch/ADS61B49IRGZT/page-1", "ADS61B49IRGZT")</f>
        <v>ADS61B49IRGZT</v>
      </c>
      <c r="B1664" s="3" t="str">
        <f>HYPERLINK("https://www.773grp.com/manufacturer/texas-instruments?pageNo=656", "Texas Instruments")</f>
        <v>Texas Instruments</v>
      </c>
      <c r="C1664" s="5">
        <v>280</v>
      </c>
      <c r="D1664" s="6">
        <v>216.71</v>
      </c>
      <c r="E1664" t="s">
        <v>34</v>
      </c>
    </row>
    <row r="1665" spans="1:5" x14ac:dyDescent="0.25">
      <c r="A1665" t="str">
        <f>HYPERLINK("https://www.773grp.com/globalSearch/ADS5547IRGZT/page-1", "ADS5547IRGZT")</f>
        <v>ADS5547IRGZT</v>
      </c>
      <c r="B1665" s="3" t="str">
        <f>HYPERLINK("https://www.773grp.com/manufacturer/texas-instruments?pageNo=663", "Texas Instruments")</f>
        <v>Texas Instruments</v>
      </c>
      <c r="C1665" s="5">
        <v>797</v>
      </c>
      <c r="D1665" s="6">
        <v>252.79</v>
      </c>
      <c r="E1665" t="s">
        <v>34</v>
      </c>
    </row>
    <row r="1666" spans="1:5" x14ac:dyDescent="0.25">
      <c r="A1666" t="str">
        <f>HYPERLINK("https://www.773grp.com/globalSearch/ADC700JH/page-1", "ADC700JH")</f>
        <v>ADC700JH</v>
      </c>
      <c r="B1666" s="3" t="str">
        <f>HYPERLINK("https://www.773grp.com/manufacturer/texas-instruments?pageNo=737", "Texas Instruments")</f>
        <v>Texas Instruments</v>
      </c>
      <c r="C1666" s="5">
        <v>6</v>
      </c>
      <c r="D1666" s="6">
        <v>228.04</v>
      </c>
      <c r="E1666" t="s">
        <v>34</v>
      </c>
    </row>
    <row r="1667" spans="1:5" x14ac:dyDescent="0.25">
      <c r="A1667" t="str">
        <f>HYPERLINK("https://www.773grp.com/globalSearch/ADS7810UB/page-1", "ADS7810UB")</f>
        <v>ADS7810UB</v>
      </c>
      <c r="B1667" s="3" t="str">
        <f>HYPERLINK("https://www.773grp.com/manufacturer/texas-instruments?pageNo=748", "Texas Instruments")</f>
        <v>Texas Instruments</v>
      </c>
      <c r="C1667" s="5">
        <v>12</v>
      </c>
      <c r="D1667" s="6">
        <v>229.84</v>
      </c>
      <c r="E1667" t="s">
        <v>34</v>
      </c>
    </row>
    <row r="1668" spans="1:5" x14ac:dyDescent="0.25">
      <c r="A1668" t="str">
        <f>HYPERLINK("https://www.773grp.com/globalSearch/ADS6149IRGZT/page-1", "ADS6149IRGZT")</f>
        <v>ADS6149IRGZT</v>
      </c>
      <c r="B1668" s="3" t="str">
        <f>HYPERLINK("https://www.773grp.com/manufacturer/texas-instruments?pageNo=749", "Texas Instruments")</f>
        <v>Texas Instruments</v>
      </c>
      <c r="C1668" s="5">
        <v>1268</v>
      </c>
      <c r="D1668" s="6">
        <v>229.95</v>
      </c>
      <c r="E1668" t="s">
        <v>34</v>
      </c>
    </row>
    <row r="1669" spans="1:5" x14ac:dyDescent="0.25">
      <c r="A1669" t="str">
        <f>HYPERLINK("https://www.773grp.com/globalSearch/TLV1548MJB/page-1", "TLV1548MJB")</f>
        <v>TLV1548MJB</v>
      </c>
      <c r="B1669" s="3" t="s">
        <v>90</v>
      </c>
      <c r="C1669" s="5">
        <v>368</v>
      </c>
      <c r="D1669" s="6">
        <v>245.01</v>
      </c>
      <c r="E1669" t="s">
        <v>34</v>
      </c>
    </row>
    <row r="1670" spans="1:5" x14ac:dyDescent="0.25">
      <c r="A1670" t="str">
        <f>HYPERLINK("https://www.773grp.com/globalSearch/ADS6445IRGCT/page-1", "ADS6445IRGCT")</f>
        <v>ADS6445IRGCT</v>
      </c>
      <c r="B1670" s="3" t="s">
        <v>90</v>
      </c>
      <c r="C1670" s="5">
        <v>415</v>
      </c>
      <c r="D1670" s="6">
        <v>253.13</v>
      </c>
      <c r="E1670" t="s">
        <v>34</v>
      </c>
    </row>
    <row r="1671" spans="1:5" x14ac:dyDescent="0.25">
      <c r="A1671" t="str">
        <f>HYPERLINK("https://www.773grp.com/globalSearch/ADC700KH/page-1", "ADC700KH")</f>
        <v>ADC700KH</v>
      </c>
      <c r="B1671" s="3" t="s">
        <v>90</v>
      </c>
      <c r="C1671" s="5">
        <v>175</v>
      </c>
      <c r="D1671" s="6">
        <v>298.41000000000003</v>
      </c>
      <c r="E1671" t="s">
        <v>34</v>
      </c>
    </row>
    <row r="1672" spans="1:5" x14ac:dyDescent="0.25">
      <c r="A1672" t="str">
        <f>HYPERLINK("https://www.773grp.com/globalSearch/ADS5463IPFP/page-1", "ADS5463IPFP")</f>
        <v>ADS5463IPFP</v>
      </c>
      <c r="B1672" s="3" t="s">
        <v>90</v>
      </c>
      <c r="C1672" s="5">
        <v>90</v>
      </c>
      <c r="D1672" s="6">
        <v>318.85000000000002</v>
      </c>
      <c r="E1672" t="s">
        <v>34</v>
      </c>
    </row>
    <row r="1673" spans="1:5" x14ac:dyDescent="0.25">
      <c r="A1673" t="str">
        <f>HYPERLINK("https://www.773grp.com/globalSearch/ADS5463IPFPG4/page-1", "ADS5463IPFPG4")</f>
        <v>ADS5463IPFPG4</v>
      </c>
      <c r="B1673" s="3" t="s">
        <v>90</v>
      </c>
      <c r="C1673" s="5">
        <v>1</v>
      </c>
      <c r="D1673" s="6">
        <v>318.85000000000002</v>
      </c>
      <c r="E1673" t="s">
        <v>34</v>
      </c>
    </row>
    <row r="1674" spans="1:5" x14ac:dyDescent="0.25">
      <c r="A1674" t="str">
        <f>HYPERLINK("https://www.773grp.com/globalSearch/ADS5463MPFPEP/page-1", "ADS5463MPFPEP")</f>
        <v>ADS5463MPFPEP</v>
      </c>
      <c r="B1674" s="3" t="s">
        <v>90</v>
      </c>
      <c r="C1674" s="5">
        <v>8</v>
      </c>
      <c r="D1674" s="6">
        <v>320.39999999999998</v>
      </c>
      <c r="E1674" t="s">
        <v>34</v>
      </c>
    </row>
    <row r="1675" spans="1:5" x14ac:dyDescent="0.25">
      <c r="A1675" t="str">
        <f>HYPERLINK("https://www.773grp.com/globalSearch/ADS5273IPFPT/page-1", "ADS5273IPFPT")</f>
        <v>ADS5273IPFPT</v>
      </c>
      <c r="B1675" s="3" t="s">
        <v>90</v>
      </c>
      <c r="C1675" s="5">
        <v>1000</v>
      </c>
      <c r="D1675" s="6">
        <v>358.61</v>
      </c>
      <c r="E1675" t="s">
        <v>34</v>
      </c>
    </row>
    <row r="1676" spans="1:5" x14ac:dyDescent="0.25">
      <c r="A1676" t="str">
        <f>HYPERLINK("https://www.773grp.com/globalSearch/ADS5273IPFP/page-1", "ADS5273IPFP")</f>
        <v>ADS5273IPFP</v>
      </c>
      <c r="B1676" s="3" t="s">
        <v>90</v>
      </c>
      <c r="C1676" s="5">
        <v>259</v>
      </c>
      <c r="D1676" s="6">
        <v>359.68</v>
      </c>
      <c r="E1676" t="s">
        <v>34</v>
      </c>
    </row>
    <row r="1677" spans="1:5" x14ac:dyDescent="0.25">
      <c r="A1677" t="str">
        <f>HYPERLINK("https://www.773grp.com/globalSearch/ADS5474IPFP/page-1", "ADS5474IPFP")</f>
        <v>ADS5474IPFP</v>
      </c>
      <c r="B1677" s="3" t="s">
        <v>90</v>
      </c>
      <c r="C1677" s="5">
        <v>82</v>
      </c>
      <c r="D1677" s="6">
        <v>394.71</v>
      </c>
      <c r="E1677" t="s">
        <v>34</v>
      </c>
    </row>
    <row r="1678" spans="1:5" x14ac:dyDescent="0.25">
      <c r="A1678" t="str">
        <f>HYPERLINK("https://www.773grp.com/globalSearch/ADS54RF63IPFP/page-1", "ADS54RF63IPFP")</f>
        <v>ADS54RF63IPFP</v>
      </c>
      <c r="B1678" s="3" t="s">
        <v>90</v>
      </c>
      <c r="C1678" s="5">
        <v>126</v>
      </c>
      <c r="D1678" s="6">
        <v>415.46</v>
      </c>
      <c r="E1678" t="s">
        <v>34</v>
      </c>
    </row>
    <row r="1679" spans="1:5" x14ac:dyDescent="0.25">
      <c r="A1679" t="str">
        <f>HYPERLINK("https://www.773grp.com/globalSearch/TLV2548MFKB/page-1", "TLV2548MFKB")</f>
        <v>TLV2548MFKB</v>
      </c>
      <c r="B1679" s="3" t="s">
        <v>90</v>
      </c>
      <c r="C1679" s="5">
        <v>431</v>
      </c>
      <c r="D1679" s="6">
        <v>499.88</v>
      </c>
      <c r="E1679" t="s">
        <v>34</v>
      </c>
    </row>
    <row r="1680" spans="1:5" x14ac:dyDescent="0.25">
      <c r="A1680" t="str">
        <f>HYPERLINK("https://www.773grp.com/globalSearch/ADS5433IPJY/page-1", "ADS5433IPJY")</f>
        <v>ADS5433IPJY</v>
      </c>
      <c r="B1680" s="3" t="s">
        <v>90</v>
      </c>
      <c r="C1680" s="5">
        <v>960</v>
      </c>
      <c r="D1680" s="6">
        <v>527.61</v>
      </c>
      <c r="E1680" t="s">
        <v>34</v>
      </c>
    </row>
    <row r="1681" spans="1:5" x14ac:dyDescent="0.25">
      <c r="A1681" t="str">
        <f>HYPERLINK("https://www.773grp.com/globalSearch/ADS7841E/page-1", "ADS7841E")</f>
        <v>ADS7841E</v>
      </c>
      <c r="B1681" s="3" t="s">
        <v>112</v>
      </c>
      <c r="C1681" s="5">
        <v>8</v>
      </c>
      <c r="D1681" s="6">
        <v>8.44</v>
      </c>
      <c r="E1681" t="s">
        <v>34</v>
      </c>
    </row>
    <row r="1682" spans="1:5" x14ac:dyDescent="0.25">
      <c r="A1682" t="str">
        <f>HYPERLINK("https://www.773grp.com/globalSearch/TLC555MJG/page-1", "TLC555MJG")</f>
        <v>TLC555MJG</v>
      </c>
      <c r="B1682" s="3" t="s">
        <v>90</v>
      </c>
      <c r="C1682" s="5">
        <v>9</v>
      </c>
      <c r="D1682" s="6">
        <v>8.49</v>
      </c>
      <c r="E1682" t="s">
        <v>25</v>
      </c>
    </row>
    <row r="1683" spans="1:5" x14ac:dyDescent="0.25">
      <c r="A1683" t="str">
        <f>HYPERLINK("https://www.773grp.com/globalSearch/5962-8950302CA/page-1", "5962-8950302CA")</f>
        <v>5962-8950302CA</v>
      </c>
      <c r="B1683" s="3" t="s">
        <v>90</v>
      </c>
      <c r="C1683" s="5">
        <v>156</v>
      </c>
      <c r="D1683" s="6">
        <v>12.01</v>
      </c>
      <c r="E1683" t="s">
        <v>25</v>
      </c>
    </row>
    <row r="1684" spans="1:5" x14ac:dyDescent="0.25">
      <c r="A1684" t="str">
        <f>HYPERLINK("https://www.773grp.com/globalSearch/5962-89503012A/page-1", "5962-89503012A")</f>
        <v>5962-89503012A</v>
      </c>
      <c r="B1684" s="3" t="str">
        <f>HYPERLINK("https://www.773grp.com/manufacturer/texas-instruments?pageNo=847", "Texas Instruments")</f>
        <v>Texas Instruments</v>
      </c>
      <c r="C1684" s="5">
        <v>729</v>
      </c>
      <c r="D1684" s="6">
        <v>32.44</v>
      </c>
      <c r="E1684" t="s">
        <v>25</v>
      </c>
    </row>
    <row r="1685" spans="1:5" x14ac:dyDescent="0.25">
      <c r="A1685" t="str">
        <f>HYPERLINK("https://www.773grp.com/globalSearch/TLC556MFKB/page-1", "TLC556MFKB")</f>
        <v>TLC556MFKB</v>
      </c>
      <c r="B1685" s="3" t="s">
        <v>90</v>
      </c>
      <c r="C1685" s="5">
        <v>6</v>
      </c>
      <c r="D1685" s="6">
        <v>39.53</v>
      </c>
      <c r="E1685" t="s">
        <v>25</v>
      </c>
    </row>
    <row r="1686" spans="1:5" x14ac:dyDescent="0.25">
      <c r="A1686" t="str">
        <f>HYPERLINK("https://www.773grp.com/globalSearch/JM38510-10901BPA/page-1", "JM38510-10901BPA")</f>
        <v>JM38510-10901BPA</v>
      </c>
      <c r="B1686" s="3" t="s">
        <v>90</v>
      </c>
      <c r="C1686" s="5">
        <v>239</v>
      </c>
      <c r="D1686" s="6">
        <v>63.56</v>
      </c>
      <c r="E1686" t="s">
        <v>25</v>
      </c>
    </row>
    <row r="1687" spans="1:5" x14ac:dyDescent="0.25">
      <c r="A1687" t="str">
        <f>HYPERLINK("https://www.773grp.com/globalSearch/JM38510-10902BCA/page-1", "JM38510-10902BCA")</f>
        <v>JM38510-10902BCA</v>
      </c>
      <c r="B1687" s="3" t="s">
        <v>90</v>
      </c>
      <c r="C1687" s="5">
        <v>26</v>
      </c>
      <c r="D1687" s="6">
        <v>106.9</v>
      </c>
      <c r="E1687" t="s">
        <v>25</v>
      </c>
    </row>
    <row r="1688" spans="1:5" x14ac:dyDescent="0.25">
      <c r="A1688" t="str">
        <f>HYPERLINK("https://www.773grp.com/globalSearch/SN74LS682DW/page-1", "SN74LS682DW")</f>
        <v>SN74LS682DW</v>
      </c>
      <c r="B1688" s="3" t="str">
        <f>HYPERLINK("https://www.773grp.com/manufacturer/texas-instruments?pageNo=342", "Texas Instruments")</f>
        <v>Texas Instruments</v>
      </c>
      <c r="C1688" s="5">
        <v>772</v>
      </c>
      <c r="D1688" s="6">
        <v>3.63</v>
      </c>
      <c r="E1688" t="s">
        <v>38</v>
      </c>
    </row>
    <row r="1689" spans="1:5" x14ac:dyDescent="0.25">
      <c r="A1689" t="str">
        <f>HYPERLINK("https://www.773grp.com/globalSearch/SN74S85N3/page-1", "SN74S85N3")</f>
        <v>SN74S85N3</v>
      </c>
      <c r="B1689" s="3" t="str">
        <f>HYPERLINK("https://www.773grp.com/manufacturer/texas-instruments?pageNo=373", "Texas Instruments")</f>
        <v>Texas Instruments</v>
      </c>
      <c r="C1689" s="5">
        <v>179</v>
      </c>
      <c r="D1689" s="6">
        <v>3.63</v>
      </c>
      <c r="E1689" t="s">
        <v>38</v>
      </c>
    </row>
    <row r="1690" spans="1:5" x14ac:dyDescent="0.25">
      <c r="A1690" t="str">
        <f>HYPERLINK("https://www.773grp.com/globalSearch/CD40147BMT/page-1", "CD40147BMT")</f>
        <v>CD40147BMT</v>
      </c>
      <c r="B1690" s="3" t="str">
        <f>HYPERLINK("https://www.773grp.com/manufacturer/texas-instruments?pageNo=973", "Texas Instruments")</f>
        <v>Texas Instruments</v>
      </c>
      <c r="C1690" s="5">
        <v>250</v>
      </c>
      <c r="D1690" s="6">
        <v>4.16</v>
      </c>
      <c r="E1690" t="s">
        <v>38</v>
      </c>
    </row>
    <row r="1691" spans="1:5" x14ac:dyDescent="0.25">
      <c r="A1691" t="str">
        <f>HYPERLINK("https://www.773grp.com/globalSearch/CD74HC688E/page-1", "CD74HC688E")</f>
        <v>CD74HC688E</v>
      </c>
      <c r="B1691" s="3" t="str">
        <f>HYPERLINK("https://www.773grp.com/manufacturer/texas-instruments?pageNo=983", "Texas Instruments")</f>
        <v>Texas Instruments</v>
      </c>
      <c r="C1691" s="5">
        <v>9323</v>
      </c>
      <c r="D1691" s="6">
        <v>4.16</v>
      </c>
      <c r="E1691" t="s">
        <v>38</v>
      </c>
    </row>
    <row r="1692" spans="1:5" x14ac:dyDescent="0.25">
      <c r="A1692" t="str">
        <f>HYPERLINK("https://www.773grp.com/globalSearch/CD74HC688E/page-1", "CD74HC688E")</f>
        <v>CD74HC688E</v>
      </c>
      <c r="B1692" s="3" t="str">
        <f>HYPERLINK("https://www.773grp.com/manufacturer/texas-instruments?pageNo=984", "Texas Instruments")</f>
        <v>Texas Instruments</v>
      </c>
      <c r="C1692" s="5">
        <v>6657</v>
      </c>
      <c r="D1692" s="6">
        <v>4.16</v>
      </c>
      <c r="E1692" t="s">
        <v>38</v>
      </c>
    </row>
    <row r="1693" spans="1:5" x14ac:dyDescent="0.25">
      <c r="A1693" t="str">
        <f>HYPERLINK("https://www.773grp.com/globalSearch/CD74HC688NSR/page-1", "CD74HC688NSR")</f>
        <v>CD74HC688NSR</v>
      </c>
      <c r="B1693" s="3" t="str">
        <f>HYPERLINK("https://www.773grp.com/manufacturer/texas-instruments?pageNo=985", "Texas Instruments")</f>
        <v>Texas Instruments</v>
      </c>
      <c r="C1693" s="5">
        <v>3738</v>
      </c>
      <c r="D1693" s="6">
        <v>4.16</v>
      </c>
      <c r="E1693" t="s">
        <v>38</v>
      </c>
    </row>
    <row r="1694" spans="1:5" x14ac:dyDescent="0.25">
      <c r="A1694" t="str">
        <f>HYPERLINK("https://www.773grp.com/globalSearch/SN74LS148D/page-1", "SN74LS148D")</f>
        <v>SN74LS148D</v>
      </c>
      <c r="B1694" s="3" t="s">
        <v>90</v>
      </c>
      <c r="C1694" s="5">
        <v>17772</v>
      </c>
      <c r="D1694" s="6">
        <v>4.16</v>
      </c>
      <c r="E1694" t="s">
        <v>38</v>
      </c>
    </row>
    <row r="1695" spans="1:5" x14ac:dyDescent="0.25">
      <c r="A1695" t="str">
        <f>HYPERLINK("https://www.773grp.com/globalSearch/SN74LS283D/page-1", "SN74LS283D")</f>
        <v>SN74LS283D</v>
      </c>
      <c r="B1695" s="3" t="s">
        <v>90</v>
      </c>
      <c r="C1695" s="5">
        <v>10535</v>
      </c>
      <c r="D1695" s="6">
        <v>4.16</v>
      </c>
      <c r="E1695" t="s">
        <v>38</v>
      </c>
    </row>
    <row r="1696" spans="1:5" x14ac:dyDescent="0.25">
      <c r="A1696" t="str">
        <f>HYPERLINK("https://www.773grp.com/globalSearch/SN74180N/page-1", "SN74180N")</f>
        <v>SN74180N</v>
      </c>
      <c r="B1696" s="3" t="str">
        <f>HYPERLINK("https://www.773grp.com/manufacturer/texas-instruments?pageNo=261", "Texas Instruments")</f>
        <v>Texas Instruments</v>
      </c>
      <c r="C1696" s="5">
        <v>177</v>
      </c>
      <c r="D1696" s="6">
        <v>3.83</v>
      </c>
      <c r="E1696" t="s">
        <v>38</v>
      </c>
    </row>
    <row r="1697" spans="1:5" x14ac:dyDescent="0.25">
      <c r="A1697" t="str">
        <f>HYPERLINK("https://www.773grp.com/globalSearch/SN74ALS520DW/page-1", "SN74ALS520DW")</f>
        <v>SN74ALS520DW</v>
      </c>
      <c r="B1697" s="3" t="str">
        <f>HYPERLINK("https://www.773grp.com/manufacturer/texas-instruments?pageNo=266", "Texas Instruments")</f>
        <v>Texas Instruments</v>
      </c>
      <c r="C1697" s="5">
        <v>3700</v>
      </c>
      <c r="D1697" s="6">
        <v>3.83</v>
      </c>
      <c r="E1697" t="s">
        <v>38</v>
      </c>
    </row>
    <row r="1698" spans="1:5" x14ac:dyDescent="0.25">
      <c r="A1698" t="str">
        <f>HYPERLINK("https://www.773grp.com/globalSearch/SN74LS688DW/page-1", "SN74LS688DW")</f>
        <v>SN74LS688DW</v>
      </c>
      <c r="B1698" s="3" t="str">
        <f>HYPERLINK("https://www.773grp.com/manufacturer/texas-instruments?pageNo=285", "Texas Instruments")</f>
        <v>Texas Instruments</v>
      </c>
      <c r="C1698" s="5">
        <v>425</v>
      </c>
      <c r="D1698" s="6">
        <v>3.83</v>
      </c>
      <c r="E1698" t="s">
        <v>38</v>
      </c>
    </row>
    <row r="1699" spans="1:5" x14ac:dyDescent="0.25">
      <c r="A1699" t="str">
        <f>HYPERLINK("https://www.773grp.com/globalSearch/SN74F520DW/page-1", "SN74F520DW")</f>
        <v>SN74F520DW</v>
      </c>
      <c r="B1699" s="3" t="str">
        <f>HYPERLINK("https://www.773grp.com/manufacturer/texas-instruments?pageNo=970", "Texas Instruments")</f>
        <v>Texas Instruments</v>
      </c>
      <c r="C1699" s="5">
        <v>1</v>
      </c>
      <c r="D1699" s="6">
        <v>4.01</v>
      </c>
      <c r="E1699" t="s">
        <v>38</v>
      </c>
    </row>
    <row r="1700" spans="1:5" x14ac:dyDescent="0.25">
      <c r="A1700" t="str">
        <f>HYPERLINK("https://www.773grp.com/globalSearch/SN74S280N3/page-1", "SN74S280N3")</f>
        <v>SN74S280N3</v>
      </c>
      <c r="B1700" s="3" t="s">
        <v>90</v>
      </c>
      <c r="C1700" s="5">
        <v>1875</v>
      </c>
      <c r="D1700" s="6">
        <v>4.01</v>
      </c>
      <c r="E1700" t="s">
        <v>38</v>
      </c>
    </row>
    <row r="1701" spans="1:5" x14ac:dyDescent="0.25">
      <c r="A1701" t="str">
        <f>HYPERLINK("https://www.773grp.com/globalSearch/74ACT11286N/page-1", "74ACT11286N")</f>
        <v>74ACT11286N</v>
      </c>
      <c r="B1701" s="3" t="s">
        <v>90</v>
      </c>
      <c r="C1701" s="5">
        <v>12300</v>
      </c>
      <c r="D1701" s="6">
        <v>4.05</v>
      </c>
      <c r="E1701" t="s">
        <v>38</v>
      </c>
    </row>
    <row r="1702" spans="1:5" x14ac:dyDescent="0.25">
      <c r="A1702" t="str">
        <f>HYPERLINK("https://www.773grp.com/globalSearch/SN74283N/page-1", "SN74283N")</f>
        <v>SN74283N</v>
      </c>
      <c r="B1702" s="3" t="s">
        <v>90</v>
      </c>
      <c r="C1702" s="5">
        <v>3773</v>
      </c>
      <c r="D1702" s="6">
        <v>4.05</v>
      </c>
      <c r="E1702" t="s">
        <v>38</v>
      </c>
    </row>
    <row r="1703" spans="1:5" x14ac:dyDescent="0.25">
      <c r="A1703" t="str">
        <f>HYPERLINK("https://www.773grp.com/globalSearch/SN74LS85NS/page-1", "SN74LS85NS")</f>
        <v>SN74LS85NS</v>
      </c>
      <c r="B1703" s="3" t="s">
        <v>90</v>
      </c>
      <c r="C1703" s="5">
        <v>9000</v>
      </c>
      <c r="D1703" s="6">
        <v>4.49</v>
      </c>
      <c r="E1703" t="s">
        <v>38</v>
      </c>
    </row>
    <row r="1704" spans="1:5" x14ac:dyDescent="0.25">
      <c r="A1704" t="str">
        <f>HYPERLINK("https://www.773grp.com/globalSearch/CD74HC688M/page-1", "CD74HC688M")</f>
        <v>CD74HC688M</v>
      </c>
      <c r="B1704" s="3" t="s">
        <v>90</v>
      </c>
      <c r="C1704" s="5">
        <v>26240</v>
      </c>
      <c r="D1704" s="6">
        <v>4.54</v>
      </c>
      <c r="E1704" t="s">
        <v>38</v>
      </c>
    </row>
    <row r="1705" spans="1:5" x14ac:dyDescent="0.25">
      <c r="A1705" t="str">
        <f>HYPERLINK("https://www.773grp.com/globalSearch/SN74ALS521DWR/page-1", "SN74ALS521DWR")</f>
        <v>SN74ALS521DWR</v>
      </c>
      <c r="B1705" s="3" t="s">
        <v>90</v>
      </c>
      <c r="C1705" s="5">
        <v>1000</v>
      </c>
      <c r="D1705" s="6">
        <v>4.54</v>
      </c>
      <c r="E1705" t="s">
        <v>38</v>
      </c>
    </row>
    <row r="1706" spans="1:5" x14ac:dyDescent="0.25">
      <c r="A1706" t="str">
        <f>HYPERLINK("https://www.773grp.com/globalSearch/SN74AS286NSR/page-1", "SN74AS286NSR")</f>
        <v>SN74AS286NSR</v>
      </c>
      <c r="B1706" s="3" t="s">
        <v>90</v>
      </c>
      <c r="C1706" s="5">
        <v>2000</v>
      </c>
      <c r="D1706" s="6">
        <v>4.0999999999999996</v>
      </c>
      <c r="E1706" t="s">
        <v>38</v>
      </c>
    </row>
    <row r="1707" spans="1:5" x14ac:dyDescent="0.25">
      <c r="A1707" t="str">
        <f>HYPERLINK("https://www.773grp.com/globalSearch/SN74148N/page-1", "SN74148N")</f>
        <v>SN74148N</v>
      </c>
      <c r="B1707" s="3" t="s">
        <v>90</v>
      </c>
      <c r="C1707" s="5">
        <v>4546</v>
      </c>
      <c r="D1707" s="6">
        <v>4.1900000000000004</v>
      </c>
      <c r="E1707" t="s">
        <v>38</v>
      </c>
    </row>
    <row r="1708" spans="1:5" x14ac:dyDescent="0.25">
      <c r="A1708" t="str">
        <f>HYPERLINK("https://www.773grp.com/globalSearch/SN7483AN/page-1", "SN7483AN")</f>
        <v>SN7483AN</v>
      </c>
      <c r="B1708" s="3" t="s">
        <v>90</v>
      </c>
      <c r="C1708" s="5">
        <v>1594</v>
      </c>
      <c r="D1708" s="6">
        <v>4.6900000000000004</v>
      </c>
      <c r="E1708" t="s">
        <v>38</v>
      </c>
    </row>
    <row r="1709" spans="1:5" x14ac:dyDescent="0.25">
      <c r="A1709" t="str">
        <f>HYPERLINK("https://www.773grp.com/globalSearch/SN74ALS521N/page-1", "SN74ALS521N")</f>
        <v>SN74ALS521N</v>
      </c>
      <c r="B1709" s="3" t="str">
        <f>HYPERLINK("https://www.773grp.com/manufacturer/texas-instruments?pageNo=75", "Texas Instruments")</f>
        <v>Texas Instruments</v>
      </c>
      <c r="C1709" s="5">
        <v>125</v>
      </c>
      <c r="D1709" s="6">
        <v>4.91</v>
      </c>
      <c r="E1709" t="s">
        <v>38</v>
      </c>
    </row>
    <row r="1710" spans="1:5" x14ac:dyDescent="0.25">
      <c r="A1710" t="str">
        <f>HYPERLINK("https://www.773grp.com/globalSearch/SN74ALS521NSR/page-1", "SN74ALS521NSR")</f>
        <v>SN74ALS521NSR</v>
      </c>
      <c r="B1710" s="3" t="str">
        <f>HYPERLINK("https://www.773grp.com/manufacturer/texas-instruments?pageNo=76", "Texas Instruments")</f>
        <v>Texas Instruments</v>
      </c>
      <c r="C1710" s="5">
        <v>12000</v>
      </c>
      <c r="D1710" s="6">
        <v>4.91</v>
      </c>
      <c r="E1710" t="s">
        <v>38</v>
      </c>
    </row>
    <row r="1711" spans="1:5" x14ac:dyDescent="0.25">
      <c r="A1711" t="str">
        <f>HYPERLINK("https://www.773grp.com/globalSearch/SN74S280NSR/page-1", "SN74S280NSR")</f>
        <v>SN74S280NSR</v>
      </c>
      <c r="B1711" s="3" t="s">
        <v>90</v>
      </c>
      <c r="C1711" s="5">
        <v>4000</v>
      </c>
      <c r="D1711" s="6">
        <v>4.8099999999999996</v>
      </c>
      <c r="E1711" t="s">
        <v>38</v>
      </c>
    </row>
    <row r="1712" spans="1:5" x14ac:dyDescent="0.25">
      <c r="A1712" t="str">
        <f>HYPERLINK("https://www.773grp.com/globalSearch/74ACT11286DR/page-1", "74ACT11286DR")</f>
        <v>74ACT11286DR</v>
      </c>
      <c r="B1712" s="3" t="s">
        <v>90</v>
      </c>
      <c r="C1712" s="5">
        <v>17500</v>
      </c>
      <c r="D1712" s="6">
        <v>5.03</v>
      </c>
      <c r="E1712" t="s">
        <v>38</v>
      </c>
    </row>
    <row r="1713" spans="1:5" x14ac:dyDescent="0.25">
      <c r="A1713" t="str">
        <f>HYPERLINK("https://www.773grp.com/globalSearch/SN74ALS280D/page-1", "SN74ALS280D")</f>
        <v>SN74ALS280D</v>
      </c>
      <c r="B1713" s="3" t="s">
        <v>90</v>
      </c>
      <c r="C1713" s="5">
        <v>3410</v>
      </c>
      <c r="D1713" s="6">
        <v>5.03</v>
      </c>
      <c r="E1713" t="s">
        <v>38</v>
      </c>
    </row>
    <row r="1714" spans="1:5" x14ac:dyDescent="0.25">
      <c r="A1714" t="str">
        <f>HYPERLINK("https://www.773grp.com/globalSearch/SN74ALS280N3/page-1", "SN74ALS280N3")</f>
        <v>SN74ALS280N3</v>
      </c>
      <c r="B1714" s="3" t="s">
        <v>90</v>
      </c>
      <c r="C1714" s="5">
        <v>1125</v>
      </c>
      <c r="D1714" s="6">
        <v>5.03</v>
      </c>
      <c r="E1714" t="s">
        <v>38</v>
      </c>
    </row>
    <row r="1715" spans="1:5" x14ac:dyDescent="0.25">
      <c r="A1715" t="str">
        <f>HYPERLINK("https://www.773grp.com/globalSearch/SN74AS280N/page-1", "SN74AS280N")</f>
        <v>SN74AS280N</v>
      </c>
      <c r="B1715" s="3" t="s">
        <v>90</v>
      </c>
      <c r="C1715" s="5">
        <v>54619</v>
      </c>
      <c r="D1715" s="6">
        <v>5.03</v>
      </c>
      <c r="E1715" t="s">
        <v>38</v>
      </c>
    </row>
    <row r="1716" spans="1:5" x14ac:dyDescent="0.25">
      <c r="A1716" t="str">
        <f>HYPERLINK("https://www.773grp.com/globalSearch/SN74AS280NSR/page-1", "SN74AS280NSR")</f>
        <v>SN74AS280NSR</v>
      </c>
      <c r="B1716" s="3" t="s">
        <v>90</v>
      </c>
      <c r="C1716" s="5">
        <v>100</v>
      </c>
      <c r="D1716" s="6">
        <v>5.03</v>
      </c>
      <c r="E1716" t="s">
        <v>38</v>
      </c>
    </row>
    <row r="1717" spans="1:5" x14ac:dyDescent="0.25">
      <c r="A1717" t="str">
        <f>HYPERLINK("https://www.773grp.com/globalSearch/SN74AS286N/page-1", "SN74AS286N")</f>
        <v>SN74AS286N</v>
      </c>
      <c r="B1717" s="3" t="s">
        <v>90</v>
      </c>
      <c r="C1717" s="5">
        <v>18700</v>
      </c>
      <c r="D1717" s="6">
        <v>5.03</v>
      </c>
      <c r="E1717" t="s">
        <v>38</v>
      </c>
    </row>
    <row r="1718" spans="1:5" x14ac:dyDescent="0.25">
      <c r="A1718" t="str">
        <f>HYPERLINK("https://www.773grp.com/globalSearch/SN74LS348NS/page-1", "SN74LS348NS")</f>
        <v>SN74LS348NS</v>
      </c>
      <c r="B1718" s="3" t="s">
        <v>90</v>
      </c>
      <c r="C1718" s="5">
        <v>3360</v>
      </c>
      <c r="D1718" s="6">
        <v>5.35</v>
      </c>
      <c r="E1718" t="s">
        <v>38</v>
      </c>
    </row>
    <row r="1719" spans="1:5" x14ac:dyDescent="0.25">
      <c r="A1719" t="str">
        <f>HYPERLINK("https://www.773grp.com/globalSearch/SN74S181N/page-1", "SN74S181N")</f>
        <v>SN74S181N</v>
      </c>
      <c r="B1719" s="3" t="s">
        <v>90</v>
      </c>
      <c r="C1719" s="5">
        <v>6106</v>
      </c>
      <c r="D1719" s="6">
        <v>5.35</v>
      </c>
      <c r="E1719" t="s">
        <v>38</v>
      </c>
    </row>
    <row r="1720" spans="1:5" x14ac:dyDescent="0.25">
      <c r="A1720" t="str">
        <f>HYPERLINK("https://www.773grp.com/globalSearch/SN74S181N3/page-1", "SN74S181N3")</f>
        <v>SN74S181N3</v>
      </c>
      <c r="B1720" s="3" t="s">
        <v>90</v>
      </c>
      <c r="C1720" s="5">
        <v>2150</v>
      </c>
      <c r="D1720" s="6">
        <v>5.35</v>
      </c>
      <c r="E1720" t="s">
        <v>38</v>
      </c>
    </row>
    <row r="1721" spans="1:5" x14ac:dyDescent="0.25">
      <c r="A1721" t="str">
        <f>HYPERLINK("https://www.773grp.com/globalSearch/SN74AS280D/page-1", "SN74AS280D")</f>
        <v>SN74AS280D</v>
      </c>
      <c r="B1721" s="3" t="s">
        <v>90</v>
      </c>
      <c r="C1721" s="5">
        <v>11810</v>
      </c>
      <c r="D1721" s="6">
        <v>5.44</v>
      </c>
      <c r="E1721" t="s">
        <v>38</v>
      </c>
    </row>
    <row r="1722" spans="1:5" x14ac:dyDescent="0.25">
      <c r="A1722" t="str">
        <f>HYPERLINK("https://www.773grp.com/globalSearch/SN74AS280DE4/page-1", "SN74AS280DE4")</f>
        <v>SN74AS280DE4</v>
      </c>
      <c r="B1722" s="3" t="s">
        <v>90</v>
      </c>
      <c r="C1722" s="5">
        <v>178</v>
      </c>
      <c r="D1722" s="6">
        <v>5.44</v>
      </c>
      <c r="E1722" t="s">
        <v>38</v>
      </c>
    </row>
    <row r="1723" spans="1:5" x14ac:dyDescent="0.25">
      <c r="A1723" t="str">
        <f>HYPERLINK("https://www.773grp.com/globalSearch/SN74AS286D/page-1", "SN74AS286D")</f>
        <v>SN74AS286D</v>
      </c>
      <c r="B1723" s="3" t="s">
        <v>90</v>
      </c>
      <c r="C1723" s="5">
        <v>10283</v>
      </c>
      <c r="D1723" s="6">
        <v>5.44</v>
      </c>
      <c r="E1723" t="s">
        <v>38</v>
      </c>
    </row>
    <row r="1724" spans="1:5" x14ac:dyDescent="0.25">
      <c r="A1724" t="str">
        <f>HYPERLINK("https://www.773grp.com/globalSearch/SN74S85D/page-1", "SN74S85D")</f>
        <v>SN74S85D</v>
      </c>
      <c r="B1724" s="3" t="s">
        <v>90</v>
      </c>
      <c r="C1724" s="5">
        <v>8894</v>
      </c>
      <c r="D1724" s="6">
        <v>5.44</v>
      </c>
      <c r="E1724" t="s">
        <v>38</v>
      </c>
    </row>
    <row r="1725" spans="1:5" x14ac:dyDescent="0.25">
      <c r="A1725" t="str">
        <f>HYPERLINK("https://www.773grp.com/globalSearch/SN74S280D/page-1", "SN74S280D")</f>
        <v>SN74S280D</v>
      </c>
      <c r="B1725" s="3" t="s">
        <v>90</v>
      </c>
      <c r="C1725" s="5">
        <v>1525</v>
      </c>
      <c r="D1725" s="6">
        <v>5.49</v>
      </c>
      <c r="E1725" t="s">
        <v>38</v>
      </c>
    </row>
    <row r="1726" spans="1:5" x14ac:dyDescent="0.25">
      <c r="A1726" t="str">
        <f>HYPERLINK("https://www.773grp.com/globalSearch/SN74S85N/page-1", "SN74S85N")</f>
        <v>SN74S85N</v>
      </c>
      <c r="B1726" s="3" t="s">
        <v>90</v>
      </c>
      <c r="C1726" s="5">
        <v>61068</v>
      </c>
      <c r="D1726" s="6">
        <v>5.83</v>
      </c>
      <c r="E1726" t="s">
        <v>38</v>
      </c>
    </row>
    <row r="1727" spans="1:5" x14ac:dyDescent="0.25">
      <c r="A1727" t="str">
        <f>HYPERLINK("https://www.773grp.com/globalSearch/74ACT11286D/page-1", "74ACT11286D")</f>
        <v>74ACT11286D</v>
      </c>
      <c r="B1727" s="3" t="s">
        <v>90</v>
      </c>
      <c r="C1727" s="5">
        <v>11572</v>
      </c>
      <c r="D1727" s="6">
        <v>6.03</v>
      </c>
      <c r="E1727" t="s">
        <v>38</v>
      </c>
    </row>
    <row r="1728" spans="1:5" x14ac:dyDescent="0.25">
      <c r="A1728" t="str">
        <f>HYPERLINK("https://www.773grp.com/globalSearch/SN74ALS280DR/page-1", "SN74ALS280DR")</f>
        <v>SN74ALS280DR</v>
      </c>
      <c r="B1728" s="3" t="s">
        <v>90</v>
      </c>
      <c r="C1728" s="5">
        <v>12500</v>
      </c>
      <c r="D1728" s="6">
        <v>6.03</v>
      </c>
      <c r="E1728" t="s">
        <v>38</v>
      </c>
    </row>
    <row r="1729" spans="1:5" x14ac:dyDescent="0.25">
      <c r="A1729" t="str">
        <f>HYPERLINK("https://www.773grp.com/globalSearch/SN74ALS280N/page-1", "SN74ALS280N")</f>
        <v>SN74ALS280N</v>
      </c>
      <c r="B1729" s="3" t="s">
        <v>90</v>
      </c>
      <c r="C1729" s="5">
        <v>43068</v>
      </c>
      <c r="D1729" s="6">
        <v>6.03</v>
      </c>
      <c r="E1729" t="s">
        <v>38</v>
      </c>
    </row>
    <row r="1730" spans="1:5" x14ac:dyDescent="0.25">
      <c r="A1730" t="str">
        <f>HYPERLINK("https://www.773grp.com/globalSearch/SN74HC682DWR/page-1", "SN74HC682DWR")</f>
        <v>SN74HC682DWR</v>
      </c>
      <c r="B1730" s="3" t="s">
        <v>90</v>
      </c>
      <c r="C1730" s="5">
        <v>10000</v>
      </c>
      <c r="D1730" s="6">
        <v>6.03</v>
      </c>
      <c r="E1730" t="s">
        <v>38</v>
      </c>
    </row>
    <row r="1731" spans="1:5" x14ac:dyDescent="0.25">
      <c r="A1731" t="str">
        <f>HYPERLINK("https://www.773grp.com/globalSearch/SN74HC682N/page-1", "SN74HC682N")</f>
        <v>SN74HC682N</v>
      </c>
      <c r="B1731" s="3" t="str">
        <f>HYPERLINK("https://www.773grp.com/manufacturer/texas-instruments?pageNo=388", "Texas Instruments")</f>
        <v>Texas Instruments</v>
      </c>
      <c r="C1731" s="5">
        <v>1301</v>
      </c>
      <c r="D1731" s="6">
        <v>6.64</v>
      </c>
      <c r="E1731" t="s">
        <v>38</v>
      </c>
    </row>
    <row r="1732" spans="1:5" x14ac:dyDescent="0.25">
      <c r="A1732" t="str">
        <f>HYPERLINK("https://www.773grp.com/globalSearch/SN74S182N/page-1", "SN74S182N")</f>
        <v>SN74S182N</v>
      </c>
      <c r="B1732" s="3" t="str">
        <f>HYPERLINK("https://www.773grp.com/manufacturer/texas-instruments?pageNo=406", "Texas Instruments")</f>
        <v>Texas Instruments</v>
      </c>
      <c r="C1732" s="5">
        <v>1253</v>
      </c>
      <c r="D1732" s="6">
        <v>6.66</v>
      </c>
      <c r="E1732" t="s">
        <v>38</v>
      </c>
    </row>
    <row r="1733" spans="1:5" x14ac:dyDescent="0.25">
      <c r="A1733" t="str">
        <f>HYPERLINK("https://www.773grp.com/globalSearch/SN54F283J/page-1", "SN54F283J")</f>
        <v>SN54F283J</v>
      </c>
      <c r="B1733" s="3" t="str">
        <f>HYPERLINK("https://www.773grp.com/manufacturer/texas-instruments?pageNo=957", "Texas Instruments")</f>
        <v>Texas Instruments</v>
      </c>
      <c r="C1733" s="5">
        <v>305</v>
      </c>
      <c r="D1733" s="6">
        <v>7.14</v>
      </c>
      <c r="E1733" t="s">
        <v>38</v>
      </c>
    </row>
    <row r="1734" spans="1:5" x14ac:dyDescent="0.25">
      <c r="A1734" t="str">
        <f>HYPERLINK("https://www.773grp.com/globalSearch/SN74HC682DW/page-1", "SN74HC682DW")</f>
        <v>SN74HC682DW</v>
      </c>
      <c r="B1734" s="3" t="s">
        <v>90</v>
      </c>
      <c r="C1734" s="5">
        <v>5880</v>
      </c>
      <c r="D1734" s="6">
        <v>7.23</v>
      </c>
      <c r="E1734" t="s">
        <v>38</v>
      </c>
    </row>
    <row r="1735" spans="1:5" x14ac:dyDescent="0.25">
      <c r="A1735" t="str">
        <f>HYPERLINK("https://www.773grp.com/globalSearch/SNJ54F283J/page-1", "SNJ54F283J")</f>
        <v>SNJ54F283J</v>
      </c>
      <c r="B1735" s="3" t="s">
        <v>90</v>
      </c>
      <c r="C1735" s="5">
        <v>1281</v>
      </c>
      <c r="D1735" s="6">
        <v>8.01</v>
      </c>
      <c r="E1735" t="s">
        <v>38</v>
      </c>
    </row>
    <row r="1736" spans="1:5" x14ac:dyDescent="0.25">
      <c r="A1736" t="str">
        <f>HYPERLINK("https://www.773grp.com/globalSearch/SN54F521J/page-1", "SN54F521J")</f>
        <v>SN54F521J</v>
      </c>
      <c r="B1736" s="3" t="s">
        <v>90</v>
      </c>
      <c r="C1736" s="5">
        <v>194</v>
      </c>
      <c r="D1736" s="6">
        <v>8.0500000000000007</v>
      </c>
      <c r="E1736" t="s">
        <v>38</v>
      </c>
    </row>
    <row r="1737" spans="1:5" x14ac:dyDescent="0.25">
      <c r="A1737" t="str">
        <f>HYPERLINK("https://www.773grp.com/globalSearch/SN74LS348N/page-1", "SN74LS348N")</f>
        <v>SN74LS348N</v>
      </c>
      <c r="B1737" s="3" t="s">
        <v>90</v>
      </c>
      <c r="C1737" s="5">
        <v>4192</v>
      </c>
      <c r="D1737" s="6">
        <v>8.24</v>
      </c>
      <c r="E1737" t="s">
        <v>38</v>
      </c>
    </row>
    <row r="1738" spans="1:5" x14ac:dyDescent="0.25">
      <c r="A1738" t="str">
        <f>HYPERLINK("https://www.773grp.com/globalSearch/SN74AS264N/page-1", "SN74AS264N")</f>
        <v>SN74AS264N</v>
      </c>
      <c r="B1738" s="3" t="s">
        <v>90</v>
      </c>
      <c r="C1738" s="5">
        <v>2907</v>
      </c>
      <c r="D1738" s="6">
        <v>8.44</v>
      </c>
      <c r="E1738" t="s">
        <v>38</v>
      </c>
    </row>
    <row r="1739" spans="1:5" x14ac:dyDescent="0.25">
      <c r="A1739" t="str">
        <f>HYPERLINK("https://www.773grp.com/globalSearch/SN5485W/page-1", "SN5485W")</f>
        <v>SN5485W</v>
      </c>
      <c r="B1739" s="3" t="s">
        <v>90</v>
      </c>
      <c r="C1739" s="5">
        <v>201</v>
      </c>
      <c r="D1739" s="6">
        <v>8.64</v>
      </c>
      <c r="E1739" t="s">
        <v>38</v>
      </c>
    </row>
    <row r="1740" spans="1:5" x14ac:dyDescent="0.25">
      <c r="A1740" t="str">
        <f>HYPERLINK("https://www.773grp.com/globalSearch/SN74ALS688DWR/page-1", "SN74ALS688DWR")</f>
        <v>SN74ALS688DWR</v>
      </c>
      <c r="B1740" s="3" t="s">
        <v>90</v>
      </c>
      <c r="C1740" s="5">
        <v>6350</v>
      </c>
      <c r="D1740" s="6">
        <v>8.64</v>
      </c>
      <c r="E1740" t="s">
        <v>38</v>
      </c>
    </row>
    <row r="1741" spans="1:5" x14ac:dyDescent="0.25">
      <c r="A1741" t="str">
        <f>HYPERLINK("https://www.773grp.com/globalSearch/SN74LS348D/page-1", "SN74LS348D")</f>
        <v>SN74LS348D</v>
      </c>
      <c r="B1741" s="3" t="s">
        <v>90</v>
      </c>
      <c r="C1741" s="5">
        <v>1818</v>
      </c>
      <c r="D1741" s="6">
        <v>9.0299999999999994</v>
      </c>
      <c r="E1741" t="s">
        <v>38</v>
      </c>
    </row>
    <row r="1742" spans="1:5" x14ac:dyDescent="0.25">
      <c r="A1742" t="str">
        <f>HYPERLINK("https://www.773grp.com/globalSearch/SN74ALS528N/page-1", "SN74ALS528N")</f>
        <v>SN74ALS528N</v>
      </c>
      <c r="B1742" s="3" t="s">
        <v>90</v>
      </c>
      <c r="C1742" s="5">
        <v>493</v>
      </c>
      <c r="D1742" s="6">
        <v>9.06</v>
      </c>
      <c r="E1742" t="s">
        <v>38</v>
      </c>
    </row>
    <row r="1743" spans="1:5" x14ac:dyDescent="0.25">
      <c r="A1743" t="str">
        <f>HYPERLINK("https://www.773grp.com/globalSearch/SN74LS684DWR/page-1", "SN74LS684DWR")</f>
        <v>SN74LS684DWR</v>
      </c>
      <c r="B1743" s="3" t="s">
        <v>90</v>
      </c>
      <c r="C1743" s="5">
        <v>10000</v>
      </c>
      <c r="D1743" s="6">
        <v>9.25</v>
      </c>
      <c r="E1743" t="s">
        <v>38</v>
      </c>
    </row>
    <row r="1744" spans="1:5" x14ac:dyDescent="0.25">
      <c r="A1744" t="str">
        <f>HYPERLINK("https://www.773grp.com/globalSearch/SN74ALS688N/page-1", "SN74ALS688N")</f>
        <v>SN74ALS688N</v>
      </c>
      <c r="B1744" s="3" t="s">
        <v>90</v>
      </c>
      <c r="C1744" s="5">
        <v>4605</v>
      </c>
      <c r="D1744" s="6">
        <v>9.4499999999999993</v>
      </c>
      <c r="E1744" t="s">
        <v>38</v>
      </c>
    </row>
    <row r="1745" spans="1:5" x14ac:dyDescent="0.25">
      <c r="A1745" t="str">
        <f>HYPERLINK("https://www.773grp.com/globalSearch/JM38510-34701BRA/page-1", "JM38510-34701BRA")</f>
        <v>JM38510-34701BRA</v>
      </c>
      <c r="B1745" s="3" t="s">
        <v>90</v>
      </c>
      <c r="C1745" s="5">
        <v>39</v>
      </c>
      <c r="D1745" s="6">
        <v>9.7899999999999991</v>
      </c>
      <c r="E1745" t="s">
        <v>38</v>
      </c>
    </row>
    <row r="1746" spans="1:5" x14ac:dyDescent="0.25">
      <c r="A1746" t="str">
        <f>HYPERLINK("https://www.773grp.com/globalSearch/SN74278N/page-1", "SN74278N")</f>
        <v>SN74278N</v>
      </c>
      <c r="B1746" s="3" t="s">
        <v>90</v>
      </c>
      <c r="C1746" s="5">
        <v>1286</v>
      </c>
      <c r="D1746" s="6">
        <v>9.99</v>
      </c>
      <c r="E1746" t="s">
        <v>38</v>
      </c>
    </row>
    <row r="1747" spans="1:5" x14ac:dyDescent="0.25">
      <c r="A1747" t="str">
        <f>HYPERLINK("https://www.773grp.com/globalSearch/SN74ALS527DW/page-1", "SN74ALS527DW")</f>
        <v>SN74ALS527DW</v>
      </c>
      <c r="B1747" s="3" t="s">
        <v>90</v>
      </c>
      <c r="C1747" s="5">
        <v>125</v>
      </c>
      <c r="D1747" s="6">
        <v>9.99</v>
      </c>
      <c r="E1747" t="s">
        <v>38</v>
      </c>
    </row>
    <row r="1748" spans="1:5" x14ac:dyDescent="0.25">
      <c r="A1748" t="str">
        <f>HYPERLINK("https://www.773grp.com/globalSearch/SN74ALS527N/page-1", "SN74ALS527N")</f>
        <v>SN74ALS527N</v>
      </c>
      <c r="B1748" s="3" t="s">
        <v>90</v>
      </c>
      <c r="C1748" s="5">
        <v>289</v>
      </c>
      <c r="D1748" s="6">
        <v>9.99</v>
      </c>
      <c r="E1748" t="s">
        <v>38</v>
      </c>
    </row>
    <row r="1749" spans="1:5" x14ac:dyDescent="0.25">
      <c r="A1749" t="str">
        <f>HYPERLINK("https://www.773grp.com/globalSearch/SN74ALS680N/page-1", "SN74ALS680N")</f>
        <v>SN74ALS680N</v>
      </c>
      <c r="B1749" s="3" t="s">
        <v>90</v>
      </c>
      <c r="C1749" s="5">
        <v>1800</v>
      </c>
      <c r="D1749" s="6">
        <v>9.99</v>
      </c>
      <c r="E1749" t="s">
        <v>38</v>
      </c>
    </row>
    <row r="1750" spans="1:5" x14ac:dyDescent="0.25">
      <c r="A1750" t="str">
        <f>HYPERLINK("https://www.773grp.com/globalSearch/SN74ALS688DW/page-1", "SN74ALS688DW")</f>
        <v>SN74ALS688DW</v>
      </c>
      <c r="B1750" s="3" t="s">
        <v>90</v>
      </c>
      <c r="C1750" s="5">
        <v>2369</v>
      </c>
      <c r="D1750" s="6">
        <v>10.24</v>
      </c>
      <c r="E1750" t="s">
        <v>38</v>
      </c>
    </row>
    <row r="1751" spans="1:5" x14ac:dyDescent="0.25">
      <c r="A1751" t="str">
        <f>HYPERLINK("https://www.773grp.com/globalSearch/SN74LS684N/page-1", "SN74LS684N")</f>
        <v>SN74LS684N</v>
      </c>
      <c r="B1751" s="3" t="s">
        <v>90</v>
      </c>
      <c r="C1751" s="5">
        <v>11553</v>
      </c>
      <c r="D1751" s="6">
        <v>10.24</v>
      </c>
      <c r="E1751" t="s">
        <v>38</v>
      </c>
    </row>
    <row r="1752" spans="1:5" x14ac:dyDescent="0.25">
      <c r="A1752" t="str">
        <f>HYPERLINK("https://www.773grp.com/globalSearch/SN74LS684NS/page-1", "SN74LS684NS")</f>
        <v>SN74LS684NS</v>
      </c>
      <c r="B1752" s="3" t="s">
        <v>90</v>
      </c>
      <c r="C1752" s="5">
        <v>2760</v>
      </c>
      <c r="D1752" s="6">
        <v>10.24</v>
      </c>
      <c r="E1752" t="s">
        <v>38</v>
      </c>
    </row>
    <row r="1753" spans="1:5" x14ac:dyDescent="0.25">
      <c r="A1753" t="str">
        <f>HYPERLINK("https://www.773grp.com/globalSearch/SNJ54F518J/page-1", "SNJ54F518J")</f>
        <v>SNJ54F518J</v>
      </c>
      <c r="B1753" s="3" t="s">
        <v>90</v>
      </c>
      <c r="C1753" s="5">
        <v>2250</v>
      </c>
      <c r="D1753" s="6">
        <v>10.41</v>
      </c>
      <c r="E1753" t="s">
        <v>38</v>
      </c>
    </row>
    <row r="1754" spans="1:5" x14ac:dyDescent="0.25">
      <c r="A1754" t="str">
        <f>HYPERLINK("https://www.773grp.com/globalSearch/SNJ54F519J/page-1", "SNJ54F519J")</f>
        <v>SNJ54F519J</v>
      </c>
      <c r="B1754" s="3" t="s">
        <v>90</v>
      </c>
      <c r="C1754" s="5">
        <v>1360</v>
      </c>
      <c r="D1754" s="6">
        <v>10.41</v>
      </c>
      <c r="E1754" t="s">
        <v>38</v>
      </c>
    </row>
    <row r="1755" spans="1:5" x14ac:dyDescent="0.25">
      <c r="A1755" t="str">
        <f>HYPERLINK("https://www.773grp.com/globalSearch/SNJ54F520J/page-1", "SNJ54F520J")</f>
        <v>SNJ54F520J</v>
      </c>
      <c r="B1755" s="3" t="s">
        <v>90</v>
      </c>
      <c r="C1755" s="5">
        <v>1005</v>
      </c>
      <c r="D1755" s="6">
        <v>10.41</v>
      </c>
      <c r="E1755" t="s">
        <v>38</v>
      </c>
    </row>
    <row r="1756" spans="1:5" x14ac:dyDescent="0.25">
      <c r="A1756" t="str">
        <f>HYPERLINK("https://www.773grp.com/globalSearch/JM38510-31101BEA/page-1", "JM38510-31101BEA")</f>
        <v>JM38510-31101BEA</v>
      </c>
      <c r="B1756" s="3" t="s">
        <v>90</v>
      </c>
      <c r="C1756" s="5">
        <v>170</v>
      </c>
      <c r="D1756" s="6">
        <v>10.69</v>
      </c>
      <c r="E1756" t="s">
        <v>38</v>
      </c>
    </row>
    <row r="1757" spans="1:5" x14ac:dyDescent="0.25">
      <c r="A1757" t="str">
        <f>HYPERLINK("https://www.773grp.com/globalSearch/SN54S381J/page-1", "SN54S381J")</f>
        <v>SN54S381J</v>
      </c>
      <c r="B1757" s="3" t="s">
        <v>90</v>
      </c>
      <c r="C1757" s="5">
        <v>1516</v>
      </c>
      <c r="D1757" s="6">
        <v>10.69</v>
      </c>
      <c r="E1757" t="s">
        <v>38</v>
      </c>
    </row>
    <row r="1758" spans="1:5" x14ac:dyDescent="0.25">
      <c r="A1758" t="str">
        <f>HYPERLINK("https://www.773grp.com/globalSearch/SN54180J/page-1", "SN54180J")</f>
        <v>SN54180J</v>
      </c>
      <c r="B1758" s="3" t="s">
        <v>90</v>
      </c>
      <c r="C1758" s="5">
        <v>62</v>
      </c>
      <c r="D1758" s="6">
        <v>10.98</v>
      </c>
      <c r="E1758" t="s">
        <v>38</v>
      </c>
    </row>
    <row r="1759" spans="1:5" x14ac:dyDescent="0.25">
      <c r="A1759" t="str">
        <f>HYPERLINK("https://www.773grp.com/globalSearch/SN74ALS677ANT/page-1", "SN74ALS677ANT")</f>
        <v>SN74ALS677ANT</v>
      </c>
      <c r="B1759" s="3" t="s">
        <v>90</v>
      </c>
      <c r="C1759" s="5">
        <v>76</v>
      </c>
      <c r="D1759" s="6">
        <v>11.03</v>
      </c>
      <c r="E1759" t="s">
        <v>38</v>
      </c>
    </row>
    <row r="1760" spans="1:5" x14ac:dyDescent="0.25">
      <c r="A1760" t="str">
        <f>HYPERLINK("https://www.773grp.com/globalSearch/SN74LS684DW/page-1", "SN74LS684DW")</f>
        <v>SN74LS684DW</v>
      </c>
      <c r="B1760" s="3" t="s">
        <v>90</v>
      </c>
      <c r="C1760" s="5">
        <v>4777</v>
      </c>
      <c r="D1760" s="6">
        <v>11.05</v>
      </c>
      <c r="E1760" t="s">
        <v>38</v>
      </c>
    </row>
    <row r="1761" spans="1:5" x14ac:dyDescent="0.25">
      <c r="A1761" t="str">
        <f>HYPERLINK("https://www.773grp.com/globalSearch/SN74LS261D/page-1", "SN74LS261D")</f>
        <v>SN74LS261D</v>
      </c>
      <c r="B1761" s="3" t="s">
        <v>90</v>
      </c>
      <c r="C1761" s="5">
        <v>800</v>
      </c>
      <c r="D1761" s="6">
        <v>11.14</v>
      </c>
      <c r="E1761" t="s">
        <v>38</v>
      </c>
    </row>
    <row r="1762" spans="1:5" x14ac:dyDescent="0.25">
      <c r="A1762" t="str">
        <f>HYPERLINK("https://www.773grp.com/globalSearch/JM38510-31202BEA/page-1", "JM38510-31202BEA")</f>
        <v>JM38510-31202BEA</v>
      </c>
      <c r="B1762" s="3" t="s">
        <v>90</v>
      </c>
      <c r="C1762" s="5">
        <v>1877</v>
      </c>
      <c r="D1762" s="6">
        <v>11.81</v>
      </c>
      <c r="E1762" t="s">
        <v>38</v>
      </c>
    </row>
    <row r="1763" spans="1:5" x14ac:dyDescent="0.25">
      <c r="A1763" t="str">
        <f>HYPERLINK("https://www.773grp.com/globalSearch/SN54LS85J/page-1", "SN54LS85J")</f>
        <v>SN54LS85J</v>
      </c>
      <c r="B1763" s="3" t="s">
        <v>90</v>
      </c>
      <c r="C1763" s="5">
        <v>1794</v>
      </c>
      <c r="D1763" s="6">
        <v>11.93</v>
      </c>
      <c r="E1763" t="s">
        <v>38</v>
      </c>
    </row>
    <row r="1764" spans="1:5" x14ac:dyDescent="0.25">
      <c r="A1764" t="str">
        <f>HYPERLINK("https://www.773grp.com/globalSearch/SN74S280N/page-1", "SN74S280N")</f>
        <v>SN74S280N</v>
      </c>
      <c r="B1764" s="3" t="s">
        <v>90</v>
      </c>
      <c r="C1764" s="5">
        <v>58000</v>
      </c>
      <c r="D1764" s="6">
        <v>11.99</v>
      </c>
      <c r="E1764" t="s">
        <v>38</v>
      </c>
    </row>
    <row r="1765" spans="1:5" x14ac:dyDescent="0.25">
      <c r="A1765" t="str">
        <f>HYPERLINK("https://www.773grp.com/globalSearch/SN74LS181N/page-1", "SN74LS181N")</f>
        <v>SN74LS181N</v>
      </c>
      <c r="B1765" s="3" t="s">
        <v>90</v>
      </c>
      <c r="C1765" s="5">
        <v>2936</v>
      </c>
      <c r="D1765" s="6">
        <v>12.06</v>
      </c>
      <c r="E1765" t="s">
        <v>38</v>
      </c>
    </row>
    <row r="1766" spans="1:5" x14ac:dyDescent="0.25">
      <c r="A1766" t="str">
        <f>HYPERLINK("https://www.773grp.com/globalSearch/SN54F280BJ/page-1", "SN54F280BJ")</f>
        <v>SN54F280BJ</v>
      </c>
      <c r="B1766" s="3" t="str">
        <f>HYPERLINK("https://www.773grp.com/manufacturer/texas-instruments?pageNo=264", "Texas Instruments")</f>
        <v>Texas Instruments</v>
      </c>
      <c r="C1766" s="5">
        <v>2</v>
      </c>
      <c r="D1766" s="6">
        <v>12.63</v>
      </c>
      <c r="E1766" t="s">
        <v>38</v>
      </c>
    </row>
    <row r="1767" spans="1:5" x14ac:dyDescent="0.25">
      <c r="A1767" t="str">
        <f>HYPERLINK("https://www.773grp.com/globalSearch/SNJ54F280BJ/page-1", "SNJ54F280BJ")</f>
        <v>SNJ54F280BJ</v>
      </c>
      <c r="B1767" s="3" t="str">
        <f>HYPERLINK("https://www.773grp.com/manufacturer/texas-instruments?pageNo=266", "Texas Instruments")</f>
        <v>Texas Instruments</v>
      </c>
      <c r="C1767" s="5">
        <v>1254</v>
      </c>
      <c r="D1767" s="6">
        <v>12.63</v>
      </c>
      <c r="E1767" t="s">
        <v>38</v>
      </c>
    </row>
    <row r="1768" spans="1:5" x14ac:dyDescent="0.25">
      <c r="A1768" t="str">
        <f>HYPERLINK("https://www.773grp.com/globalSearch/SN74ALS679DW/page-1", "SN74ALS679DW")</f>
        <v>SN74ALS679DW</v>
      </c>
      <c r="B1768" s="3" t="str">
        <f>HYPERLINK("https://www.773grp.com/manufacturer/texas-instruments?pageNo=293", "Texas Instruments")</f>
        <v>Texas Instruments</v>
      </c>
      <c r="C1768" s="5">
        <v>13130</v>
      </c>
      <c r="D1768" s="6">
        <v>12.66</v>
      </c>
      <c r="E1768" t="s">
        <v>38</v>
      </c>
    </row>
    <row r="1769" spans="1:5" x14ac:dyDescent="0.25">
      <c r="A1769" t="str">
        <f>HYPERLINK("https://www.773grp.com/globalSearch/SN74HC684N/page-1", "SN74HC684N")</f>
        <v>SN74HC684N</v>
      </c>
      <c r="B1769" s="3" t="str">
        <f>HYPERLINK("https://www.773grp.com/manufacturer/texas-instruments?pageNo=411", "Texas Instruments")</f>
        <v>Texas Instruments</v>
      </c>
      <c r="C1769" s="5">
        <v>18219</v>
      </c>
      <c r="D1769" s="6">
        <v>12.86</v>
      </c>
      <c r="E1769" t="s">
        <v>38</v>
      </c>
    </row>
    <row r="1770" spans="1:5" x14ac:dyDescent="0.25">
      <c r="A1770" t="str">
        <f>HYPERLINK("https://www.773grp.com/globalSearch/SN74LS382AN/page-1", "SN74LS382AN")</f>
        <v>SN74LS382AN</v>
      </c>
      <c r="B1770" s="3" t="str">
        <f>HYPERLINK("https://www.773grp.com/manufacturer/texas-instruments?pageNo=412", "Texas Instruments")</f>
        <v>Texas Instruments</v>
      </c>
      <c r="C1770" s="5">
        <v>553</v>
      </c>
      <c r="D1770" s="6">
        <v>12.86</v>
      </c>
      <c r="E1770" t="s">
        <v>38</v>
      </c>
    </row>
    <row r="1771" spans="1:5" x14ac:dyDescent="0.25">
      <c r="A1771" t="str">
        <f>HYPERLINK("https://www.773grp.com/globalSearch/5962-9754701QEA/page-1", "5962-9754701QEA")</f>
        <v>5962-9754701QEA</v>
      </c>
      <c r="B1771" s="3" t="str">
        <f>HYPERLINK("https://www.773grp.com/manufacturer/texas-instruments?pageNo=544", "Texas Instruments")</f>
        <v>Texas Instruments</v>
      </c>
      <c r="C1771" s="5">
        <v>48</v>
      </c>
      <c r="D1771" s="6">
        <v>13.13</v>
      </c>
      <c r="E1771" t="s">
        <v>38</v>
      </c>
    </row>
    <row r="1772" spans="1:5" x14ac:dyDescent="0.25">
      <c r="A1772" t="str">
        <f>HYPERLINK("https://www.773grp.com/globalSearch/SNJ54LS85J/page-1", "SNJ54LS85J")</f>
        <v>SNJ54LS85J</v>
      </c>
      <c r="B1772" s="3" t="str">
        <f>HYPERLINK("https://www.773grp.com/manufacturer/texas-instruments?pageNo=547", "Texas Instruments")</f>
        <v>Texas Instruments</v>
      </c>
      <c r="C1772" s="5">
        <v>122</v>
      </c>
      <c r="D1772" s="6">
        <v>13.13</v>
      </c>
      <c r="E1772" t="s">
        <v>38</v>
      </c>
    </row>
    <row r="1773" spans="1:5" x14ac:dyDescent="0.25">
      <c r="A1773" t="str">
        <f>HYPERLINK("https://www.773grp.com/globalSearch/SN74S283N/page-1", "SN74S283N")</f>
        <v>SN74S283N</v>
      </c>
      <c r="B1773" s="3" t="str">
        <f>HYPERLINK("https://www.773grp.com/manufacturer/texas-instruments?pageNo=721", "Texas Instruments")</f>
        <v>Texas Instruments</v>
      </c>
      <c r="C1773" s="5">
        <v>22659</v>
      </c>
      <c r="D1773" s="6">
        <v>13.46</v>
      </c>
      <c r="E1773" t="s">
        <v>38</v>
      </c>
    </row>
    <row r="1774" spans="1:5" x14ac:dyDescent="0.25">
      <c r="A1774" t="str">
        <f>HYPERLINK("https://www.773grp.com/globalSearch/SN74ALS518DW/page-1", "SN74ALS518DW")</f>
        <v>SN74ALS518DW</v>
      </c>
      <c r="B1774" s="3" t="str">
        <f>HYPERLINK("https://www.773grp.com/manufacturer/texas-instruments?pageNo=835", "Texas Instruments")</f>
        <v>Texas Instruments</v>
      </c>
      <c r="C1774" s="5">
        <v>19323</v>
      </c>
      <c r="D1774" s="6">
        <v>13.68</v>
      </c>
      <c r="E1774" t="s">
        <v>38</v>
      </c>
    </row>
    <row r="1775" spans="1:5" x14ac:dyDescent="0.25">
      <c r="A1775" t="str">
        <f>HYPERLINK("https://www.773grp.com/globalSearch/SN74AS882ADWR/page-1", "SN74AS882ADWR")</f>
        <v>SN74AS882ADWR</v>
      </c>
      <c r="B1775" s="3" t="str">
        <f>HYPERLINK("https://www.773grp.com/manufacturer/texas-instruments?pageNo=938", "Texas Instruments")</f>
        <v>Texas Instruments</v>
      </c>
      <c r="C1775" s="5">
        <v>1969</v>
      </c>
      <c r="D1775" s="6">
        <v>13.88</v>
      </c>
      <c r="E1775" t="s">
        <v>38</v>
      </c>
    </row>
    <row r="1776" spans="1:5" x14ac:dyDescent="0.25">
      <c r="A1776" t="str">
        <f>HYPERLINK("https://www.773grp.com/globalSearch/SN54LS283J/page-1", "SN54LS283J")</f>
        <v>SN54LS283J</v>
      </c>
      <c r="B1776" s="3" t="s">
        <v>90</v>
      </c>
      <c r="C1776" s="5">
        <v>2518</v>
      </c>
      <c r="D1776" s="6">
        <v>14.04</v>
      </c>
      <c r="E1776" t="s">
        <v>38</v>
      </c>
    </row>
    <row r="1777" spans="1:5" x14ac:dyDescent="0.25">
      <c r="A1777" t="str">
        <f>HYPERLINK("https://www.773grp.com/globalSearch/SN74ALS29806NT/page-1", "SN74ALS29806NT")</f>
        <v>SN74ALS29806NT</v>
      </c>
      <c r="B1777" s="3" t="s">
        <v>90</v>
      </c>
      <c r="C1777" s="5">
        <v>2980</v>
      </c>
      <c r="D1777" s="6">
        <v>14.06</v>
      </c>
      <c r="E1777" t="s">
        <v>38</v>
      </c>
    </row>
    <row r="1778" spans="1:5" x14ac:dyDescent="0.25">
      <c r="A1778" t="str">
        <f>HYPERLINK("https://www.773grp.com/globalSearch/SN74HC684DW/page-1", "SN74HC684DW")</f>
        <v>SN74HC684DW</v>
      </c>
      <c r="B1778" s="3" t="s">
        <v>90</v>
      </c>
      <c r="C1778" s="5">
        <v>32201</v>
      </c>
      <c r="D1778" s="6">
        <v>14.06</v>
      </c>
      <c r="E1778" t="s">
        <v>38</v>
      </c>
    </row>
    <row r="1779" spans="1:5" x14ac:dyDescent="0.25">
      <c r="A1779" t="str">
        <f>HYPERLINK("https://www.773grp.com/globalSearch/JM38510-34701BSA/page-1", "JM38510-34701BSA")</f>
        <v>JM38510-34701BSA</v>
      </c>
      <c r="B1779" s="3" t="s">
        <v>90</v>
      </c>
      <c r="C1779" s="5">
        <v>378</v>
      </c>
      <c r="D1779" s="6">
        <v>14.29</v>
      </c>
      <c r="E1779" t="s">
        <v>38</v>
      </c>
    </row>
    <row r="1780" spans="1:5" x14ac:dyDescent="0.25">
      <c r="A1780" t="str">
        <f>HYPERLINK("https://www.773grp.com/globalSearch/SN54283J/page-1", "SN54283J")</f>
        <v>SN54283J</v>
      </c>
      <c r="B1780" s="3" t="s">
        <v>90</v>
      </c>
      <c r="C1780" s="5">
        <v>155</v>
      </c>
      <c r="D1780" s="6">
        <v>14.76</v>
      </c>
      <c r="E1780" t="s">
        <v>38</v>
      </c>
    </row>
    <row r="1781" spans="1:5" x14ac:dyDescent="0.25">
      <c r="A1781" t="str">
        <f>HYPERLINK("https://www.773grp.com/globalSearch/SN74ALS518N/page-1", "SN74ALS518N")</f>
        <v>SN74ALS518N</v>
      </c>
      <c r="B1781" s="3" t="s">
        <v>90</v>
      </c>
      <c r="C1781" s="5">
        <v>38161</v>
      </c>
      <c r="D1781" s="6">
        <v>14.89</v>
      </c>
      <c r="E1781" t="s">
        <v>38</v>
      </c>
    </row>
    <row r="1782" spans="1:5" x14ac:dyDescent="0.25">
      <c r="A1782" t="str">
        <f>HYPERLINK("https://www.773grp.com/globalSearch/SNJ54F521J/page-1", "SNJ54F521J")</f>
        <v>SNJ54F521J</v>
      </c>
      <c r="B1782" s="3" t="s">
        <v>90</v>
      </c>
      <c r="C1782" s="5">
        <v>32</v>
      </c>
      <c r="D1782" s="6">
        <v>15.24</v>
      </c>
      <c r="E1782" t="s">
        <v>38</v>
      </c>
    </row>
    <row r="1783" spans="1:5" x14ac:dyDescent="0.25">
      <c r="A1783" t="str">
        <f>HYPERLINK("https://www.773grp.com/globalSearch/SNJ54278J/page-1", "SNJ54278J")</f>
        <v>SNJ54278J</v>
      </c>
      <c r="B1783" s="3" t="s">
        <v>90</v>
      </c>
      <c r="C1783" s="5">
        <v>935</v>
      </c>
      <c r="D1783" s="6">
        <v>15.48</v>
      </c>
      <c r="E1783" t="s">
        <v>38</v>
      </c>
    </row>
    <row r="1784" spans="1:5" x14ac:dyDescent="0.25">
      <c r="A1784" t="str">
        <f>HYPERLINK("https://www.773grp.com/globalSearch/SNJ54283J/page-1", "SNJ54283J")</f>
        <v>SNJ54283J</v>
      </c>
      <c r="B1784" s="3" t="s">
        <v>90</v>
      </c>
      <c r="C1784" s="5">
        <v>122</v>
      </c>
      <c r="D1784" s="6">
        <v>15.48</v>
      </c>
      <c r="E1784" t="s">
        <v>38</v>
      </c>
    </row>
    <row r="1785" spans="1:5" x14ac:dyDescent="0.25">
      <c r="A1785" t="str">
        <f>HYPERLINK("https://www.773grp.com/globalSearch/SN74AS885NT3/page-1", "SN74AS885NT3")</f>
        <v>SN74AS885NT3</v>
      </c>
      <c r="B1785" s="3" t="s">
        <v>90</v>
      </c>
      <c r="C1785" s="5">
        <v>869</v>
      </c>
      <c r="D1785" s="6">
        <v>15.66</v>
      </c>
      <c r="E1785" t="s">
        <v>38</v>
      </c>
    </row>
    <row r="1786" spans="1:5" x14ac:dyDescent="0.25">
      <c r="A1786" t="str">
        <f>HYPERLINK("https://www.773grp.com/globalSearch/SNJ54LS381AJ/page-1", "SNJ54LS381AJ")</f>
        <v>SNJ54LS381AJ</v>
      </c>
      <c r="B1786" s="3" t="s">
        <v>90</v>
      </c>
      <c r="C1786" s="5">
        <v>19</v>
      </c>
      <c r="D1786" s="6">
        <v>16.09</v>
      </c>
      <c r="E1786" t="s">
        <v>38</v>
      </c>
    </row>
    <row r="1787" spans="1:5" x14ac:dyDescent="0.25">
      <c r="A1787" t="str">
        <f>HYPERLINK("https://www.773grp.com/globalSearch/SN54HC688J/page-1", "SN54HC688J")</f>
        <v>SN54HC688J</v>
      </c>
      <c r="B1787" s="3" t="s">
        <v>90</v>
      </c>
      <c r="C1787" s="5">
        <v>74</v>
      </c>
      <c r="D1787" s="6">
        <v>16.579999999999998</v>
      </c>
      <c r="E1787" t="s">
        <v>38</v>
      </c>
    </row>
    <row r="1788" spans="1:5" x14ac:dyDescent="0.25">
      <c r="A1788" t="str">
        <f>HYPERLINK("https://www.773grp.com/globalSearch/SNJ54148W/page-1", "SNJ54148W")</f>
        <v>SNJ54148W</v>
      </c>
      <c r="B1788" s="3" t="s">
        <v>90</v>
      </c>
      <c r="C1788" s="5">
        <v>12</v>
      </c>
      <c r="D1788" s="6">
        <v>16.88</v>
      </c>
      <c r="E1788" t="s">
        <v>38</v>
      </c>
    </row>
    <row r="1789" spans="1:5" x14ac:dyDescent="0.25">
      <c r="A1789" t="str">
        <f>HYPERLINK("https://www.773grp.com/globalSearch/8601301EA/page-1", "8601301EA")</f>
        <v>8601301EA</v>
      </c>
      <c r="B1789" s="3" t="s">
        <v>90</v>
      </c>
      <c r="C1789" s="5">
        <v>207</v>
      </c>
      <c r="D1789" s="6">
        <v>16.96</v>
      </c>
      <c r="E1789" t="s">
        <v>38</v>
      </c>
    </row>
    <row r="1790" spans="1:5" x14ac:dyDescent="0.25">
      <c r="A1790" t="str">
        <f>HYPERLINK("https://www.773grp.com/globalSearch/SN54F518J/page-1", "SN54F518J")</f>
        <v>SN54F518J</v>
      </c>
      <c r="B1790" s="3" t="s">
        <v>90</v>
      </c>
      <c r="C1790" s="5">
        <v>257</v>
      </c>
      <c r="D1790" s="6">
        <v>17.59</v>
      </c>
      <c r="E1790" t="s">
        <v>38</v>
      </c>
    </row>
    <row r="1791" spans="1:5" x14ac:dyDescent="0.25">
      <c r="A1791" t="str">
        <f>HYPERLINK("https://www.773grp.com/globalSearch/CD54HCT688F/page-1", "CD54HCT688F")</f>
        <v>CD54HCT688F</v>
      </c>
      <c r="B1791" s="3" t="s">
        <v>90</v>
      </c>
      <c r="C1791" s="5">
        <v>24</v>
      </c>
      <c r="D1791" s="6">
        <v>17.850000000000001</v>
      </c>
      <c r="E1791" t="s">
        <v>38</v>
      </c>
    </row>
    <row r="1792" spans="1:5" x14ac:dyDescent="0.25">
      <c r="A1792" t="str">
        <f>HYPERLINK("https://www.773grp.com/globalSearch/SNJ54S381J/page-1", "SNJ54S381J")</f>
        <v>SNJ54S381J</v>
      </c>
      <c r="B1792" s="3" t="s">
        <v>90</v>
      </c>
      <c r="C1792" s="5">
        <v>36</v>
      </c>
      <c r="D1792" s="6">
        <v>18.03</v>
      </c>
      <c r="E1792" t="s">
        <v>38</v>
      </c>
    </row>
    <row r="1793" spans="1:5" x14ac:dyDescent="0.25">
      <c r="A1793" t="str">
        <f>HYPERLINK("https://www.773grp.com/globalSearch/CD54HCT85F3A/page-1", "CD54HCT85F3A")</f>
        <v>CD54HCT85F3A</v>
      </c>
      <c r="B1793" s="3" t="s">
        <v>90</v>
      </c>
      <c r="C1793" s="5">
        <v>100</v>
      </c>
      <c r="D1793" s="6">
        <v>18.11</v>
      </c>
      <c r="E1793" t="s">
        <v>38</v>
      </c>
    </row>
    <row r="1794" spans="1:5" x14ac:dyDescent="0.25">
      <c r="A1794" t="str">
        <f>HYPERLINK("https://www.773grp.com/globalSearch/74AC11181DW/page-1", "74AC11181DW")</f>
        <v>74AC11181DW</v>
      </c>
      <c r="B1794" s="3" t="s">
        <v>90</v>
      </c>
      <c r="C1794" s="5">
        <v>98</v>
      </c>
      <c r="D1794" s="6">
        <v>18.309999999999999</v>
      </c>
      <c r="E1794" t="s">
        <v>38</v>
      </c>
    </row>
    <row r="1795" spans="1:5" x14ac:dyDescent="0.25">
      <c r="A1795" t="str">
        <f>HYPERLINK("https://www.773grp.com/globalSearch/CY74FCT480ATQCT/page-1", "CY74FCT480ATQCT")</f>
        <v>CY74FCT480ATQCT</v>
      </c>
      <c r="B1795" s="3" t="s">
        <v>90</v>
      </c>
      <c r="C1795" s="5">
        <v>7500</v>
      </c>
      <c r="D1795" s="6">
        <v>18.36</v>
      </c>
      <c r="E1795" t="s">
        <v>38</v>
      </c>
    </row>
    <row r="1796" spans="1:5" x14ac:dyDescent="0.25">
      <c r="A1796" t="str">
        <f>HYPERLINK("https://www.773grp.com/globalSearch/SN54182W/page-1", "SN54182W")</f>
        <v>SN54182W</v>
      </c>
      <c r="B1796" s="3" t="s">
        <v>90</v>
      </c>
      <c r="C1796" s="5">
        <v>205</v>
      </c>
      <c r="D1796" s="6">
        <v>18.989999999999998</v>
      </c>
      <c r="E1796" t="s">
        <v>38</v>
      </c>
    </row>
    <row r="1797" spans="1:5" x14ac:dyDescent="0.25">
      <c r="A1797" t="str">
        <f>HYPERLINK("https://www.773grp.com/globalSearch/SN54283W/page-1", "SN54283W")</f>
        <v>SN54283W</v>
      </c>
      <c r="B1797" s="3" t="s">
        <v>90</v>
      </c>
      <c r="C1797" s="5">
        <v>104</v>
      </c>
      <c r="D1797" s="6">
        <v>18.989999999999998</v>
      </c>
      <c r="E1797" t="s">
        <v>38</v>
      </c>
    </row>
    <row r="1798" spans="1:5" x14ac:dyDescent="0.25">
      <c r="A1798" t="str">
        <f>HYPERLINK("https://www.773grp.com/globalSearch/SN54LS280J/page-1", "SN54LS280J")</f>
        <v>SN54LS280J</v>
      </c>
      <c r="B1798" s="3" t="s">
        <v>90</v>
      </c>
      <c r="C1798" s="5">
        <v>476</v>
      </c>
      <c r="D1798" s="6">
        <v>19.489999999999998</v>
      </c>
      <c r="E1798" t="s">
        <v>38</v>
      </c>
    </row>
    <row r="1799" spans="1:5" x14ac:dyDescent="0.25">
      <c r="A1799" t="str">
        <f>HYPERLINK("https://www.773grp.com/globalSearch/SN5482J/page-1", "SN5482J")</f>
        <v>SN5482J</v>
      </c>
      <c r="B1799" s="3" t="s">
        <v>90</v>
      </c>
      <c r="C1799" s="5">
        <v>174</v>
      </c>
      <c r="D1799" s="6">
        <v>19.54</v>
      </c>
      <c r="E1799" t="s">
        <v>38</v>
      </c>
    </row>
    <row r="1800" spans="1:5" x14ac:dyDescent="0.25">
      <c r="A1800" t="str">
        <f>HYPERLINK("https://www.773grp.com/globalSearch/SN5482W/page-1", "SN5482W")</f>
        <v>SN5482W</v>
      </c>
      <c r="B1800" s="3" t="s">
        <v>90</v>
      </c>
      <c r="C1800" s="5">
        <v>1144</v>
      </c>
      <c r="D1800" s="6">
        <v>19.54</v>
      </c>
      <c r="E1800" t="s">
        <v>38</v>
      </c>
    </row>
    <row r="1801" spans="1:5" x14ac:dyDescent="0.25">
      <c r="A1801" t="str">
        <f>HYPERLINK("https://www.773grp.com/globalSearch/SN74LS183D/page-1", "SN74LS183D")</f>
        <v>SN74LS183D</v>
      </c>
      <c r="B1801" s="3" t="s">
        <v>90</v>
      </c>
      <c r="C1801" s="5">
        <v>1676</v>
      </c>
      <c r="D1801" s="6">
        <v>19.8</v>
      </c>
      <c r="E1801" t="s">
        <v>38</v>
      </c>
    </row>
    <row r="1802" spans="1:5" x14ac:dyDescent="0.25">
      <c r="A1802" t="str">
        <f>HYPERLINK("https://www.773grp.com/globalSearch/SN74LS685N/page-1", "SN74LS685N")</f>
        <v>SN74LS685N</v>
      </c>
      <c r="B1802" s="3" t="s">
        <v>90</v>
      </c>
      <c r="C1802" s="5">
        <v>1485</v>
      </c>
      <c r="D1802" s="6">
        <v>19.8</v>
      </c>
      <c r="E1802" t="s">
        <v>38</v>
      </c>
    </row>
    <row r="1803" spans="1:5" x14ac:dyDescent="0.25">
      <c r="A1803" t="str">
        <f>HYPERLINK("https://www.773grp.com/globalSearch/SNJ54LS689J/page-1", "SNJ54LS689J")</f>
        <v>SNJ54LS689J</v>
      </c>
      <c r="B1803" s="3" t="s">
        <v>90</v>
      </c>
      <c r="C1803" s="5">
        <v>150</v>
      </c>
      <c r="D1803" s="6">
        <v>20.09</v>
      </c>
      <c r="E1803" t="s">
        <v>38</v>
      </c>
    </row>
    <row r="1804" spans="1:5" x14ac:dyDescent="0.25">
      <c r="A1804" t="str">
        <f>HYPERLINK("https://www.773grp.com/globalSearch/SNJ54LS385FK/page-1", "SNJ54LS385FK")</f>
        <v>SNJ54LS385FK</v>
      </c>
      <c r="B1804" s="3" t="s">
        <v>90</v>
      </c>
      <c r="C1804" s="5">
        <v>149</v>
      </c>
      <c r="D1804" s="6">
        <v>20.5</v>
      </c>
      <c r="E1804" t="s">
        <v>38</v>
      </c>
    </row>
    <row r="1805" spans="1:5" x14ac:dyDescent="0.25">
      <c r="A1805" t="str">
        <f>HYPERLINK("https://www.773grp.com/globalSearch/5962-8976501EA/page-1", "5962-8976501EA")</f>
        <v>5962-8976501EA</v>
      </c>
      <c r="B1805" s="3" t="s">
        <v>90</v>
      </c>
      <c r="C1805" s="5">
        <v>222</v>
      </c>
      <c r="D1805" s="6">
        <v>20.68</v>
      </c>
      <c r="E1805" t="s">
        <v>38</v>
      </c>
    </row>
    <row r="1806" spans="1:5" x14ac:dyDescent="0.25">
      <c r="A1806" t="str">
        <f>HYPERLINK("https://www.773grp.com/globalSearch/SNJ54LS280J/page-1", "SNJ54LS280J")</f>
        <v>SNJ54LS280J</v>
      </c>
      <c r="B1806" s="3" t="s">
        <v>90</v>
      </c>
      <c r="C1806" s="5">
        <v>316</v>
      </c>
      <c r="D1806" s="6">
        <v>21.94</v>
      </c>
      <c r="E1806" t="s">
        <v>38</v>
      </c>
    </row>
    <row r="1807" spans="1:5" x14ac:dyDescent="0.25">
      <c r="A1807" t="str">
        <f>HYPERLINK("https://www.773grp.com/globalSearch/CY74FCT480ATPC/page-1", "CY74FCT480ATPC")</f>
        <v>CY74FCT480ATPC</v>
      </c>
      <c r="B1807" s="3" t="s">
        <v>90</v>
      </c>
      <c r="C1807" s="5">
        <v>3572</v>
      </c>
      <c r="D1807" s="6">
        <v>22.11</v>
      </c>
      <c r="E1807" t="s">
        <v>38</v>
      </c>
    </row>
    <row r="1808" spans="1:5" x14ac:dyDescent="0.25">
      <c r="A1808" t="str">
        <f>HYPERLINK("https://www.773grp.com/globalSearch/SN74LS381AN/page-1", "SN74LS381AN")</f>
        <v>SN74LS381AN</v>
      </c>
      <c r="B1808" s="3" t="s">
        <v>90</v>
      </c>
      <c r="C1808" s="5">
        <v>356</v>
      </c>
      <c r="D1808" s="6">
        <v>22.5</v>
      </c>
      <c r="E1808" t="s">
        <v>38</v>
      </c>
    </row>
    <row r="1809" spans="1:5" x14ac:dyDescent="0.25">
      <c r="A1809" t="str">
        <f>HYPERLINK("https://www.773grp.com/globalSearch/CD54ACT283F3A/page-1", "CD54ACT283F3A")</f>
        <v>CD54ACT283F3A</v>
      </c>
      <c r="B1809" s="3" t="s">
        <v>90</v>
      </c>
      <c r="C1809" s="5">
        <v>14</v>
      </c>
      <c r="D1809" s="6">
        <v>23.51</v>
      </c>
      <c r="E1809" t="s">
        <v>38</v>
      </c>
    </row>
    <row r="1810" spans="1:5" x14ac:dyDescent="0.25">
      <c r="A1810" t="str">
        <f>HYPERLINK("https://www.773grp.com/globalSearch/SN74LS685DW/page-1", "SN74LS685DW")</f>
        <v>SN74LS685DW</v>
      </c>
      <c r="B1810" s="3" t="s">
        <v>90</v>
      </c>
      <c r="C1810" s="5">
        <v>773</v>
      </c>
      <c r="D1810" s="6">
        <v>23.91</v>
      </c>
      <c r="E1810" t="s">
        <v>38</v>
      </c>
    </row>
    <row r="1811" spans="1:5" x14ac:dyDescent="0.25">
      <c r="A1811" t="str">
        <f>HYPERLINK("https://www.773grp.com/globalSearch/SNJ54LS148J/page-1", "SNJ54LS148J")</f>
        <v>SNJ54LS148J</v>
      </c>
      <c r="B1811" s="3" t="s">
        <v>90</v>
      </c>
      <c r="C1811" s="5">
        <v>49</v>
      </c>
      <c r="D1811" s="6">
        <v>24</v>
      </c>
      <c r="E1811" t="s">
        <v>38</v>
      </c>
    </row>
    <row r="1812" spans="1:5" x14ac:dyDescent="0.25">
      <c r="A1812" t="str">
        <f>HYPERLINK("https://www.773grp.com/globalSearch/CD4063BF3A/page-1", "CD4063BF3A")</f>
        <v>CD4063BF3A</v>
      </c>
      <c r="B1812" s="3" t="s">
        <v>90</v>
      </c>
      <c r="C1812" s="5">
        <v>6</v>
      </c>
      <c r="D1812" s="6">
        <v>24.3</v>
      </c>
      <c r="E1812" t="s">
        <v>38</v>
      </c>
    </row>
    <row r="1813" spans="1:5" x14ac:dyDescent="0.25">
      <c r="A1813" t="str">
        <f>HYPERLINK("https://www.773grp.com/globalSearch/SN74AS885DWR/page-1", "SN74AS885DWR")</f>
        <v>SN74AS885DWR</v>
      </c>
      <c r="B1813" s="3" t="s">
        <v>90</v>
      </c>
      <c r="C1813" s="5">
        <v>2000</v>
      </c>
      <c r="D1813" s="6">
        <v>24.3</v>
      </c>
      <c r="E1813" t="s">
        <v>38</v>
      </c>
    </row>
    <row r="1814" spans="1:5" x14ac:dyDescent="0.25">
      <c r="A1814" t="str">
        <f>HYPERLINK("https://www.773grp.com/globalSearch/SN54181J/page-1", "SN54181J")</f>
        <v>SN54181J</v>
      </c>
      <c r="B1814" s="3" t="s">
        <v>90</v>
      </c>
      <c r="C1814" s="5">
        <v>8</v>
      </c>
      <c r="D1814" s="6">
        <v>24.6</v>
      </c>
      <c r="E1814" t="s">
        <v>38</v>
      </c>
    </row>
    <row r="1815" spans="1:5" x14ac:dyDescent="0.25">
      <c r="A1815" t="str">
        <f>HYPERLINK("https://www.773grp.com/globalSearch/CD4585BF3A/page-1", "CD4585BF3A")</f>
        <v>CD4585BF3A</v>
      </c>
      <c r="B1815" s="3" t="s">
        <v>90</v>
      </c>
      <c r="C1815" s="5">
        <v>62</v>
      </c>
      <c r="D1815" s="6">
        <v>24.69</v>
      </c>
      <c r="E1815" t="s">
        <v>38</v>
      </c>
    </row>
    <row r="1816" spans="1:5" x14ac:dyDescent="0.25">
      <c r="A1816" t="str">
        <f>HYPERLINK("https://www.773grp.com/globalSearch/SN74ALS677ADW/page-1", "SN74ALS677ADW")</f>
        <v>SN74ALS677ADW</v>
      </c>
      <c r="B1816" s="3" t="s">
        <v>90</v>
      </c>
      <c r="C1816" s="5">
        <v>725</v>
      </c>
      <c r="D1816" s="6">
        <v>24.81</v>
      </c>
      <c r="E1816" t="s">
        <v>38</v>
      </c>
    </row>
    <row r="1817" spans="1:5" x14ac:dyDescent="0.25">
      <c r="A1817" t="str">
        <f>HYPERLINK("https://www.773grp.com/globalSearch/SN74H183N/page-1", "SN74H183N")</f>
        <v>SN74H183N</v>
      </c>
      <c r="B1817" s="3" t="s">
        <v>90</v>
      </c>
      <c r="C1817" s="5">
        <v>887</v>
      </c>
      <c r="D1817" s="6">
        <v>24.98</v>
      </c>
      <c r="E1817" t="s">
        <v>38</v>
      </c>
    </row>
    <row r="1818" spans="1:5" x14ac:dyDescent="0.25">
      <c r="A1818" t="str">
        <f>HYPERLINK("https://www.773grp.com/globalSearch/SN5480J/page-1", "SN5480J")</f>
        <v>SN5480J</v>
      </c>
      <c r="B1818" s="3" t="s">
        <v>90</v>
      </c>
      <c r="C1818" s="5">
        <v>92</v>
      </c>
      <c r="D1818" s="6">
        <v>25.15</v>
      </c>
      <c r="E1818" t="s">
        <v>38</v>
      </c>
    </row>
    <row r="1819" spans="1:5" x14ac:dyDescent="0.25">
      <c r="A1819" t="str">
        <f>HYPERLINK("https://www.773grp.com/globalSearch/SN74AS181ADW/page-1", "SN74AS181ADW")</f>
        <v>SN74AS181ADW</v>
      </c>
      <c r="B1819" s="3" t="s">
        <v>90</v>
      </c>
      <c r="C1819" s="5">
        <v>2465</v>
      </c>
      <c r="D1819" s="6">
        <v>25.31</v>
      </c>
      <c r="E1819" t="s">
        <v>38</v>
      </c>
    </row>
    <row r="1820" spans="1:5" x14ac:dyDescent="0.25">
      <c r="A1820" t="str">
        <f>HYPERLINK("https://www.773grp.com/globalSearch/SN74AS181ANT/page-1", "SN74AS181ANT")</f>
        <v>SN74AS181ANT</v>
      </c>
      <c r="B1820" s="3" t="s">
        <v>90</v>
      </c>
      <c r="C1820" s="5">
        <v>2333</v>
      </c>
      <c r="D1820" s="6">
        <v>25.31</v>
      </c>
      <c r="E1820" t="s">
        <v>38</v>
      </c>
    </row>
    <row r="1821" spans="1:5" x14ac:dyDescent="0.25">
      <c r="A1821" t="str">
        <f>HYPERLINK("https://www.773grp.com/globalSearch/SNJ54F521FK/page-1", "SNJ54F521FK")</f>
        <v>SNJ54F521FK</v>
      </c>
      <c r="B1821" s="3" t="s">
        <v>90</v>
      </c>
      <c r="C1821" s="5">
        <v>8</v>
      </c>
      <c r="D1821" s="6">
        <v>25.99</v>
      </c>
      <c r="E1821" t="s">
        <v>38</v>
      </c>
    </row>
    <row r="1822" spans="1:5" x14ac:dyDescent="0.25">
      <c r="A1822" t="str">
        <f>HYPERLINK("https://www.773grp.com/globalSearch/JM38510-31101B2A/page-1", "JM38510-31101B2A")</f>
        <v>JM38510-31101B2A</v>
      </c>
      <c r="B1822" s="3" t="s">
        <v>90</v>
      </c>
      <c r="C1822" s="5">
        <v>29</v>
      </c>
      <c r="D1822" s="6">
        <v>27</v>
      </c>
      <c r="E1822" t="s">
        <v>38</v>
      </c>
    </row>
    <row r="1823" spans="1:5" x14ac:dyDescent="0.25">
      <c r="A1823" t="str">
        <f>HYPERLINK("https://www.773grp.com/globalSearch/SN74AS885NT/page-1", "SN74AS885NT")</f>
        <v>SN74AS885NT</v>
      </c>
      <c r="B1823" s="3" t="s">
        <v>90</v>
      </c>
      <c r="C1823" s="5">
        <v>6572</v>
      </c>
      <c r="D1823" s="6">
        <v>27.3</v>
      </c>
      <c r="E1823" t="s">
        <v>38</v>
      </c>
    </row>
    <row r="1824" spans="1:5" x14ac:dyDescent="0.25">
      <c r="A1824" t="str">
        <f>HYPERLINK("https://www.773grp.com/globalSearch/CD4532BF3A/page-1", "CD4532BF3A")</f>
        <v>CD4532BF3A</v>
      </c>
      <c r="B1824" s="3" t="str">
        <f>HYPERLINK("https://www.773grp.com/manufacturer/texas-instruments?pageNo=186", "Texas Instruments")</f>
        <v>Texas Instruments</v>
      </c>
      <c r="C1824" s="5">
        <v>80</v>
      </c>
      <c r="D1824" s="6">
        <v>28.24</v>
      </c>
      <c r="E1824" t="s">
        <v>38</v>
      </c>
    </row>
    <row r="1825" spans="1:5" x14ac:dyDescent="0.25">
      <c r="A1825" t="str">
        <f>HYPERLINK("https://www.773grp.com/globalSearch/SNJ54AS181BJT/page-1", "SNJ54AS181BJT")</f>
        <v>SNJ54AS181BJT</v>
      </c>
      <c r="B1825" s="3" t="str">
        <f>HYPERLINK("https://www.773grp.com/manufacturer/texas-instruments?pageNo=194", "Texas Instruments")</f>
        <v>Texas Instruments</v>
      </c>
      <c r="C1825" s="5">
        <v>104</v>
      </c>
      <c r="D1825" s="6">
        <v>28.26</v>
      </c>
      <c r="E1825" t="s">
        <v>38</v>
      </c>
    </row>
    <row r="1826" spans="1:5" x14ac:dyDescent="0.25">
      <c r="A1826" t="str">
        <f>HYPERLINK("https://www.773grp.com/globalSearch/JM38510-32901BCA/page-1", "JM38510-32901BCA")</f>
        <v>JM38510-32901BCA</v>
      </c>
      <c r="B1826" s="3" t="str">
        <f>HYPERLINK("https://www.773grp.com/manufacturer/texas-instruments?pageNo=206", "Texas Instruments")</f>
        <v>Texas Instruments</v>
      </c>
      <c r="C1826" s="5">
        <v>165</v>
      </c>
      <c r="D1826" s="6">
        <v>28.35</v>
      </c>
      <c r="E1826" t="s">
        <v>38</v>
      </c>
    </row>
    <row r="1827" spans="1:5" x14ac:dyDescent="0.25">
      <c r="A1827" t="str">
        <f>HYPERLINK("https://www.773grp.com/globalSearch/JM38510-31202B2A/page-1", "JM38510-31202B2A")</f>
        <v>JM38510-31202B2A</v>
      </c>
      <c r="B1827" s="3" t="str">
        <f>HYPERLINK("https://www.773grp.com/manufacturer/texas-instruments?pageNo=227", "Texas Instruments")</f>
        <v>Texas Instruments</v>
      </c>
      <c r="C1827" s="5">
        <v>121</v>
      </c>
      <c r="D1827" s="6">
        <v>28.46</v>
      </c>
      <c r="E1827" t="s">
        <v>38</v>
      </c>
    </row>
    <row r="1828" spans="1:5" x14ac:dyDescent="0.25">
      <c r="A1828" t="str">
        <f>HYPERLINK("https://www.773grp.com/globalSearch/SN74AS885DW/page-1", "SN74AS885DW")</f>
        <v>SN74AS885DW</v>
      </c>
      <c r="B1828" s="3" t="str">
        <f>HYPERLINK("https://www.773grp.com/manufacturer/texas-instruments?pageNo=308", "Texas Instruments")</f>
        <v>Texas Instruments</v>
      </c>
      <c r="C1828" s="5">
        <v>3823</v>
      </c>
      <c r="D1828" s="6">
        <v>29.14</v>
      </c>
      <c r="E1828" t="s">
        <v>38</v>
      </c>
    </row>
    <row r="1829" spans="1:5" x14ac:dyDescent="0.25">
      <c r="A1829" t="str">
        <f>HYPERLINK("https://www.773grp.com/globalSearch/JM38510-31202BFA/page-1", "JM38510-31202BFA")</f>
        <v>JM38510-31202BFA</v>
      </c>
      <c r="B1829" s="3" t="str">
        <f>HYPERLINK("https://www.773grp.com/manufacturer/texas-instruments?pageNo=404", "Texas Instruments")</f>
        <v>Texas Instruments</v>
      </c>
      <c r="C1829" s="5">
        <v>339</v>
      </c>
      <c r="D1829" s="6">
        <v>29.74</v>
      </c>
      <c r="E1829" t="s">
        <v>38</v>
      </c>
    </row>
    <row r="1830" spans="1:5" x14ac:dyDescent="0.25">
      <c r="A1830" t="str">
        <f>HYPERLINK("https://www.773grp.com/globalSearch/5962-8681801RA/page-1", "5962-8681801RA")</f>
        <v>5962-8681801RA</v>
      </c>
      <c r="B1830" s="3" t="str">
        <f>HYPERLINK("https://www.773grp.com/manufacturer/texas-instruments?pageNo=429", "Texas Instruments")</f>
        <v>Texas Instruments</v>
      </c>
      <c r="C1830" s="5">
        <v>12</v>
      </c>
      <c r="D1830" s="6">
        <v>29.99</v>
      </c>
      <c r="E1830" t="s">
        <v>38</v>
      </c>
    </row>
    <row r="1831" spans="1:5" x14ac:dyDescent="0.25">
      <c r="A1831" t="str">
        <f>HYPERLINK("https://www.773grp.com/globalSearch/SN54LS181J/page-1", "SN54LS181J")</f>
        <v>SN54LS181J</v>
      </c>
      <c r="B1831" s="3" t="str">
        <f>HYPERLINK("https://www.773grp.com/manufacturer/texas-instruments?pageNo=652", "Texas Instruments")</f>
        <v>Texas Instruments</v>
      </c>
      <c r="C1831" s="5">
        <v>78</v>
      </c>
      <c r="D1831" s="6">
        <v>31.14</v>
      </c>
      <c r="E1831" t="s">
        <v>38</v>
      </c>
    </row>
    <row r="1832" spans="1:5" x14ac:dyDescent="0.25">
      <c r="A1832" t="str">
        <f>HYPERLINK("https://www.773grp.com/globalSearch/SNJ54LS181J/page-1", "SNJ54LS181J")</f>
        <v>SNJ54LS181J</v>
      </c>
      <c r="B1832" s="3" t="str">
        <f>HYPERLINK("https://www.773grp.com/manufacturer/texas-instruments?pageNo=692", "Texas Instruments")</f>
        <v>Texas Instruments</v>
      </c>
      <c r="C1832" s="5">
        <v>192</v>
      </c>
      <c r="D1832" s="6">
        <v>31.48</v>
      </c>
      <c r="E1832" t="s">
        <v>38</v>
      </c>
    </row>
    <row r="1833" spans="1:5" x14ac:dyDescent="0.25">
      <c r="A1833" t="str">
        <f>HYPERLINK("https://www.773grp.com/globalSearch/SNJ54S381FK/page-1", "SNJ54S381FK")</f>
        <v>SNJ54S381FK</v>
      </c>
      <c r="B1833" s="3" t="str">
        <f>HYPERLINK("https://www.773grp.com/manufacturer/texas-instruments?pageNo=801", "Texas Instruments")</f>
        <v>Texas Instruments</v>
      </c>
      <c r="C1833" s="5">
        <v>25</v>
      </c>
      <c r="D1833" s="6">
        <v>32.18</v>
      </c>
      <c r="E1833" t="s">
        <v>38</v>
      </c>
    </row>
    <row r="1834" spans="1:5" x14ac:dyDescent="0.25">
      <c r="A1834" t="str">
        <f>HYPERLINK("https://www.773grp.com/globalSearch/CY74FCT480BTSOC/page-1", "CY74FCT480BTSOC")</f>
        <v>CY74FCT480BTSOC</v>
      </c>
      <c r="B1834" s="3" t="str">
        <f>HYPERLINK("https://www.773grp.com/manufacturer/texas-instruments?pageNo=861", "Texas Instruments")</f>
        <v>Texas Instruments</v>
      </c>
      <c r="C1834" s="5">
        <v>43527</v>
      </c>
      <c r="D1834" s="6">
        <v>32.54</v>
      </c>
      <c r="E1834" t="s">
        <v>38</v>
      </c>
    </row>
    <row r="1835" spans="1:5" x14ac:dyDescent="0.25">
      <c r="A1835" t="str">
        <f>HYPERLINK("https://www.773grp.com/globalSearch/8406401EA/page-1", "8406401EA")</f>
        <v>8406401EA</v>
      </c>
      <c r="B1835" s="3" t="str">
        <f>HYPERLINK("https://www.773grp.com/manufacturer/texas-instruments?pageNo=885", "Texas Instruments")</f>
        <v>Texas Instruments</v>
      </c>
      <c r="C1835" s="5">
        <v>8</v>
      </c>
      <c r="D1835" s="6">
        <v>32.83</v>
      </c>
      <c r="E1835" t="s">
        <v>38</v>
      </c>
    </row>
    <row r="1836" spans="1:5" x14ac:dyDescent="0.25">
      <c r="A1836" t="str">
        <f>HYPERLINK("https://www.773grp.com/globalSearch/SN74AS866AFN/page-1", "SN74AS866AFN")</f>
        <v>SN74AS866AFN</v>
      </c>
      <c r="B1836" s="3" t="str">
        <f>HYPERLINK("https://www.773grp.com/manufacturer/texas-instruments?pageNo=908", "Texas Instruments")</f>
        <v>Texas Instruments</v>
      </c>
      <c r="C1836" s="5">
        <v>92</v>
      </c>
      <c r="D1836" s="6">
        <v>33.11</v>
      </c>
      <c r="E1836" t="s">
        <v>38</v>
      </c>
    </row>
    <row r="1837" spans="1:5" x14ac:dyDescent="0.25">
      <c r="A1837" t="str">
        <f>HYPERLINK("https://www.773grp.com/globalSearch/SN74AS866FN/page-1", "SN74AS866FN")</f>
        <v>SN74AS866FN</v>
      </c>
      <c r="B1837" s="3" t="str">
        <f>HYPERLINK("https://www.773grp.com/manufacturer/texas-instruments?pageNo=909", "Texas Instruments")</f>
        <v>Texas Instruments</v>
      </c>
      <c r="C1837" s="5">
        <v>913</v>
      </c>
      <c r="D1837" s="6">
        <v>33.11</v>
      </c>
      <c r="E1837" t="s">
        <v>38</v>
      </c>
    </row>
    <row r="1838" spans="1:5" x14ac:dyDescent="0.25">
      <c r="A1838" t="str">
        <f>HYPERLINK("https://www.773grp.com/globalSearch/SN54H183J/page-1", "SN54H183J")</f>
        <v>SN54H183J</v>
      </c>
      <c r="B1838" s="3" t="str">
        <f>HYPERLINK("https://www.773grp.com/manufacturer/texas-instruments?pageNo=946", "Texas Instruments")</f>
        <v>Texas Instruments</v>
      </c>
      <c r="C1838" s="5">
        <v>503</v>
      </c>
      <c r="D1838" s="6">
        <v>33.33</v>
      </c>
      <c r="E1838" t="s">
        <v>38</v>
      </c>
    </row>
    <row r="1839" spans="1:5" x14ac:dyDescent="0.25">
      <c r="A1839" t="str">
        <f>HYPERLINK("https://www.773grp.com/globalSearch/SN54S182J/page-1", "SN54S182J")</f>
        <v>SN54S182J</v>
      </c>
      <c r="B1839" s="3" t="s">
        <v>90</v>
      </c>
      <c r="C1839" s="5">
        <v>60</v>
      </c>
      <c r="D1839" s="6">
        <v>34.14</v>
      </c>
      <c r="E1839" t="s">
        <v>38</v>
      </c>
    </row>
    <row r="1840" spans="1:5" x14ac:dyDescent="0.25">
      <c r="A1840" t="str">
        <f>HYPERLINK("https://www.773grp.com/globalSearch/SN54181W/page-1", "SN54181W")</f>
        <v>SN54181W</v>
      </c>
      <c r="B1840" s="3" t="s">
        <v>90</v>
      </c>
      <c r="C1840" s="5">
        <v>1335</v>
      </c>
      <c r="D1840" s="6">
        <v>34.18</v>
      </c>
      <c r="E1840" t="s">
        <v>38</v>
      </c>
    </row>
    <row r="1841" spans="1:5" x14ac:dyDescent="0.25">
      <c r="A1841" t="str">
        <f>HYPERLINK("https://www.773grp.com/globalSearch/5962-8685701RA/page-1", "5962-8685701RA")</f>
        <v>5962-8685701RA</v>
      </c>
      <c r="B1841" s="3" t="s">
        <v>90</v>
      </c>
      <c r="C1841" s="5">
        <v>91</v>
      </c>
      <c r="D1841" s="6">
        <v>35.24</v>
      </c>
      <c r="E1841" t="s">
        <v>38</v>
      </c>
    </row>
    <row r="1842" spans="1:5" x14ac:dyDescent="0.25">
      <c r="A1842" t="str">
        <f>HYPERLINK("https://www.773grp.com/globalSearch/SN74ALS679N/page-1", "SN74ALS679N")</f>
        <v>SN74ALS679N</v>
      </c>
      <c r="B1842" s="3" t="s">
        <v>90</v>
      </c>
      <c r="C1842" s="5">
        <v>8687</v>
      </c>
      <c r="D1842" s="6">
        <v>35.4</v>
      </c>
      <c r="E1842" t="s">
        <v>38</v>
      </c>
    </row>
    <row r="1843" spans="1:5" x14ac:dyDescent="0.25">
      <c r="A1843" t="str">
        <f>HYPERLINK("https://www.773grp.com/globalSearch/SN74LS686NT/page-1", "SN74LS686NT")</f>
        <v>SN74LS686NT</v>
      </c>
      <c r="B1843" s="3" t="s">
        <v>90</v>
      </c>
      <c r="C1843" s="5">
        <v>4519</v>
      </c>
      <c r="D1843" s="6">
        <v>35.64</v>
      </c>
      <c r="E1843" t="s">
        <v>38</v>
      </c>
    </row>
    <row r="1844" spans="1:5" x14ac:dyDescent="0.25">
      <c r="A1844" t="str">
        <f>HYPERLINK("https://www.773grp.com/globalSearch/CY74FCT480BTPC/page-1", "CY74FCT480BTPC")</f>
        <v>CY74FCT480BTPC</v>
      </c>
      <c r="B1844" s="3" t="s">
        <v>90</v>
      </c>
      <c r="C1844" s="5">
        <v>484</v>
      </c>
      <c r="D1844" s="6">
        <v>35.74</v>
      </c>
      <c r="E1844" t="s">
        <v>38</v>
      </c>
    </row>
    <row r="1845" spans="1:5" x14ac:dyDescent="0.25">
      <c r="A1845" t="str">
        <f>HYPERLINK("https://www.773grp.com/globalSearch/SN54S280J/page-1", "SN54S280J")</f>
        <v>SN54S280J</v>
      </c>
      <c r="B1845" s="3" t="s">
        <v>90</v>
      </c>
      <c r="C1845" s="5">
        <v>869</v>
      </c>
      <c r="D1845" s="6">
        <v>35.78</v>
      </c>
      <c r="E1845" t="s">
        <v>38</v>
      </c>
    </row>
    <row r="1846" spans="1:5" x14ac:dyDescent="0.25">
      <c r="A1846" t="str">
        <f>HYPERLINK("https://www.773grp.com/globalSearch/SN74LS384N/page-1", "SN74LS384N")</f>
        <v>SN74LS384N</v>
      </c>
      <c r="B1846" s="3" t="s">
        <v>90</v>
      </c>
      <c r="C1846" s="5">
        <v>1065</v>
      </c>
      <c r="D1846" s="6">
        <v>36.5</v>
      </c>
      <c r="E1846" t="s">
        <v>38</v>
      </c>
    </row>
    <row r="1847" spans="1:5" x14ac:dyDescent="0.25">
      <c r="A1847" t="str">
        <f>HYPERLINK("https://www.773grp.com/globalSearch/5962-9754701Q2A/page-1", "5962-9754701Q2A")</f>
        <v>5962-9754701Q2A</v>
      </c>
      <c r="B1847" s="3" t="s">
        <v>90</v>
      </c>
      <c r="C1847" s="5">
        <v>225</v>
      </c>
      <c r="D1847" s="6">
        <v>37.01</v>
      </c>
      <c r="E1847" t="s">
        <v>38</v>
      </c>
    </row>
    <row r="1848" spans="1:5" x14ac:dyDescent="0.25">
      <c r="A1848" t="str">
        <f>HYPERLINK("https://www.773grp.com/globalSearch/SNJ54LS85FK/page-1", "SNJ54LS85FK")</f>
        <v>SNJ54LS85FK</v>
      </c>
      <c r="B1848" s="3" t="s">
        <v>90</v>
      </c>
      <c r="C1848" s="5">
        <v>32</v>
      </c>
      <c r="D1848" s="6">
        <v>37.01</v>
      </c>
      <c r="E1848" t="s">
        <v>38</v>
      </c>
    </row>
    <row r="1849" spans="1:5" x14ac:dyDescent="0.25">
      <c r="A1849" t="str">
        <f>HYPERLINK("https://www.773grp.com/globalSearch/5962-9754701QFA/page-1", "5962-9754701QFA")</f>
        <v>5962-9754701QFA</v>
      </c>
      <c r="B1849" s="3" t="s">
        <v>90</v>
      </c>
      <c r="C1849" s="5">
        <v>25</v>
      </c>
      <c r="D1849" s="6">
        <v>37.43</v>
      </c>
      <c r="E1849" t="s">
        <v>38</v>
      </c>
    </row>
    <row r="1850" spans="1:5" x14ac:dyDescent="0.25">
      <c r="A1850" t="str">
        <f>HYPERLINK("https://www.773grp.com/globalSearch/SNJ54LS85W/page-1", "SNJ54LS85W")</f>
        <v>SNJ54LS85W</v>
      </c>
      <c r="B1850" s="3" t="s">
        <v>90</v>
      </c>
      <c r="C1850" s="5">
        <v>3</v>
      </c>
      <c r="D1850" s="6">
        <v>37.43</v>
      </c>
      <c r="E1850" t="s">
        <v>38</v>
      </c>
    </row>
    <row r="1851" spans="1:5" x14ac:dyDescent="0.25">
      <c r="A1851" t="str">
        <f>HYPERLINK("https://www.773grp.com/globalSearch/SN54LS689J/page-1", "SN54LS689J")</f>
        <v>SN54LS689J</v>
      </c>
      <c r="B1851" s="3" t="s">
        <v>90</v>
      </c>
      <c r="C1851" s="5">
        <v>218</v>
      </c>
      <c r="D1851" s="6">
        <v>38.950000000000003</v>
      </c>
      <c r="E1851" t="s">
        <v>38</v>
      </c>
    </row>
    <row r="1852" spans="1:5" x14ac:dyDescent="0.25">
      <c r="A1852" t="str">
        <f>HYPERLINK("https://www.773grp.com/globalSearch/SNJ54S182J/page-1", "SNJ54S182J")</f>
        <v>SNJ54S182J</v>
      </c>
      <c r="B1852" s="3" t="s">
        <v>90</v>
      </c>
      <c r="C1852" s="5">
        <v>36</v>
      </c>
      <c r="D1852" s="6">
        <v>40</v>
      </c>
      <c r="E1852" t="s">
        <v>38</v>
      </c>
    </row>
    <row r="1853" spans="1:5" x14ac:dyDescent="0.25">
      <c r="A1853" t="str">
        <f>HYPERLINK("https://www.773grp.com/globalSearch/SN54LS684J/page-1", "SN54LS684J")</f>
        <v>SN54LS684J</v>
      </c>
      <c r="B1853" s="3" t="s">
        <v>90</v>
      </c>
      <c r="C1853" s="5">
        <v>2</v>
      </c>
      <c r="D1853" s="6">
        <v>40.950000000000003</v>
      </c>
      <c r="E1853" t="s">
        <v>38</v>
      </c>
    </row>
    <row r="1854" spans="1:5" x14ac:dyDescent="0.25">
      <c r="A1854" t="str">
        <f>HYPERLINK("https://www.773grp.com/globalSearch/SN74AS881ANT/page-1", "SN74AS881ANT")</f>
        <v>SN74AS881ANT</v>
      </c>
      <c r="B1854" s="3" t="s">
        <v>90</v>
      </c>
      <c r="C1854" s="5">
        <v>1076</v>
      </c>
      <c r="D1854" s="6">
        <v>41.4</v>
      </c>
      <c r="E1854" t="s">
        <v>38</v>
      </c>
    </row>
    <row r="1855" spans="1:5" x14ac:dyDescent="0.25">
      <c r="A1855" t="str">
        <f>HYPERLINK("https://www.773grp.com/globalSearch/SN54LS682J/page-1", "SN54LS682J")</f>
        <v>SN54LS682J</v>
      </c>
      <c r="B1855" s="3" t="s">
        <v>90</v>
      </c>
      <c r="C1855" s="5">
        <v>47</v>
      </c>
      <c r="D1855" s="6">
        <v>41.65</v>
      </c>
      <c r="E1855" t="s">
        <v>38</v>
      </c>
    </row>
    <row r="1856" spans="1:5" x14ac:dyDescent="0.25">
      <c r="A1856" t="str">
        <f>HYPERLINK("https://www.773grp.com/globalSearch/SN54LS688J/page-1", "SN54LS688J")</f>
        <v>SN54LS688J</v>
      </c>
      <c r="B1856" s="3" t="s">
        <v>90</v>
      </c>
      <c r="C1856" s="5">
        <v>12</v>
      </c>
      <c r="D1856" s="6">
        <v>42.08</v>
      </c>
      <c r="E1856" t="s">
        <v>38</v>
      </c>
    </row>
    <row r="1857" spans="1:5" x14ac:dyDescent="0.25">
      <c r="A1857" t="str">
        <f>HYPERLINK("https://www.773grp.com/globalSearch/SNJ54LS280FK/page-1", "SNJ54LS280FK")</f>
        <v>SNJ54LS280FK</v>
      </c>
      <c r="B1857" s="3" t="s">
        <v>90</v>
      </c>
      <c r="C1857" s="5">
        <v>112</v>
      </c>
      <c r="D1857" s="6">
        <v>42.14</v>
      </c>
      <c r="E1857" t="s">
        <v>38</v>
      </c>
    </row>
    <row r="1858" spans="1:5" x14ac:dyDescent="0.25">
      <c r="A1858" t="str">
        <f>HYPERLINK("https://www.773grp.com/globalSearch/JM38510-31101BFA/page-1", "JM38510-31101BFA")</f>
        <v>JM38510-31101BFA</v>
      </c>
      <c r="B1858" s="3" t="s">
        <v>90</v>
      </c>
      <c r="C1858" s="5">
        <v>10</v>
      </c>
      <c r="D1858" s="6">
        <v>43.38</v>
      </c>
      <c r="E1858" t="s">
        <v>38</v>
      </c>
    </row>
    <row r="1859" spans="1:5" x14ac:dyDescent="0.25">
      <c r="A1859" t="str">
        <f>HYPERLINK("https://www.773grp.com/globalSearch/SNJ54H183J/page-1", "SNJ54H183J")</f>
        <v>SNJ54H183J</v>
      </c>
      <c r="B1859" s="3" t="s">
        <v>90</v>
      </c>
      <c r="C1859" s="5">
        <v>1123</v>
      </c>
      <c r="D1859" s="6">
        <v>43.4</v>
      </c>
      <c r="E1859" t="s">
        <v>38</v>
      </c>
    </row>
    <row r="1860" spans="1:5" x14ac:dyDescent="0.25">
      <c r="A1860" t="str">
        <f>HYPERLINK("https://www.773grp.com/globalSearch/SNJ54LS280W/page-1", "SNJ54LS280W")</f>
        <v>SNJ54LS280W</v>
      </c>
      <c r="B1860" s="3" t="s">
        <v>90</v>
      </c>
      <c r="C1860" s="5">
        <v>13</v>
      </c>
      <c r="D1860" s="6">
        <v>43.5</v>
      </c>
      <c r="E1860" t="s">
        <v>38</v>
      </c>
    </row>
    <row r="1861" spans="1:5" x14ac:dyDescent="0.25">
      <c r="A1861" t="str">
        <f>HYPERLINK("https://www.773grp.com/globalSearch/SNJ54S283J/page-1", "SNJ54S283J")</f>
        <v>SNJ54S283J</v>
      </c>
      <c r="B1861" s="3" t="s">
        <v>90</v>
      </c>
      <c r="C1861" s="5">
        <v>472</v>
      </c>
      <c r="D1861" s="6">
        <v>44.84</v>
      </c>
      <c r="E1861" t="s">
        <v>38</v>
      </c>
    </row>
    <row r="1862" spans="1:5" x14ac:dyDescent="0.25">
      <c r="A1862" t="str">
        <f>HYPERLINK("https://www.773grp.com/globalSearch/8415101SA/page-1", "8415101SA")</f>
        <v>8415101SA</v>
      </c>
      <c r="B1862" s="3" t="s">
        <v>90</v>
      </c>
      <c r="C1862" s="5">
        <v>3</v>
      </c>
      <c r="D1862" s="6">
        <v>46.1</v>
      </c>
      <c r="E1862" t="s">
        <v>38</v>
      </c>
    </row>
    <row r="1863" spans="1:5" x14ac:dyDescent="0.25">
      <c r="A1863" t="str">
        <f>HYPERLINK("https://www.773grp.com/globalSearch/SNJ54LS682W/page-1", "SNJ54LS682W")</f>
        <v>SNJ54LS682W</v>
      </c>
      <c r="B1863" s="3" t="s">
        <v>90</v>
      </c>
      <c r="C1863" s="5">
        <v>96</v>
      </c>
      <c r="D1863" s="6">
        <v>46.1</v>
      </c>
      <c r="E1863" t="s">
        <v>38</v>
      </c>
    </row>
    <row r="1864" spans="1:5" x14ac:dyDescent="0.25">
      <c r="A1864" t="str">
        <f>HYPERLINK("https://www.773grp.com/globalSearch/SNJ54S280W/page-1", "SNJ54S280W")</f>
        <v>SNJ54S280W</v>
      </c>
      <c r="B1864" s="3" t="s">
        <v>90</v>
      </c>
      <c r="C1864" s="5">
        <v>25</v>
      </c>
      <c r="D1864" s="6">
        <v>46.1</v>
      </c>
      <c r="E1864" t="s">
        <v>38</v>
      </c>
    </row>
    <row r="1865" spans="1:5" x14ac:dyDescent="0.25">
      <c r="A1865" t="str">
        <f>HYPERLINK("https://www.773grp.com/globalSearch/76043012A/page-1", "76043012A")</f>
        <v>76043012A</v>
      </c>
      <c r="B1865" s="3" t="s">
        <v>90</v>
      </c>
      <c r="C1865" s="5">
        <v>153</v>
      </c>
      <c r="D1865" s="6">
        <v>46.13</v>
      </c>
      <c r="E1865" t="s">
        <v>38</v>
      </c>
    </row>
    <row r="1866" spans="1:5" x14ac:dyDescent="0.25">
      <c r="A1866" t="str">
        <f>HYPERLINK("https://www.773grp.com/globalSearch/5962-8975701LA/page-1", "5962-8975701LA")</f>
        <v>5962-8975701LA</v>
      </c>
      <c r="B1866" s="3" t="s">
        <v>90</v>
      </c>
      <c r="C1866" s="5">
        <v>31</v>
      </c>
      <c r="D1866" s="6">
        <v>46.24</v>
      </c>
      <c r="E1866" t="s">
        <v>38</v>
      </c>
    </row>
    <row r="1867" spans="1:5" x14ac:dyDescent="0.25">
      <c r="A1867" t="str">
        <f>HYPERLINK("https://www.773grp.com/globalSearch/SNJ54AS885JT/page-1", "SNJ54AS885JT")</f>
        <v>SNJ54AS885JT</v>
      </c>
      <c r="B1867" s="3" t="s">
        <v>90</v>
      </c>
      <c r="C1867" s="5">
        <v>60</v>
      </c>
      <c r="D1867" s="6">
        <v>46.24</v>
      </c>
      <c r="E1867" t="s">
        <v>38</v>
      </c>
    </row>
    <row r="1868" spans="1:5" x14ac:dyDescent="0.25">
      <c r="A1868" t="str">
        <f>HYPERLINK("https://www.773grp.com/globalSearch/SNJ54LS148FK/page-1", "SNJ54LS148FK")</f>
        <v>SNJ54LS148FK</v>
      </c>
      <c r="B1868" s="3" t="s">
        <v>90</v>
      </c>
      <c r="C1868" s="5">
        <v>94</v>
      </c>
      <c r="D1868" s="6">
        <v>46.28</v>
      </c>
      <c r="E1868" t="s">
        <v>38</v>
      </c>
    </row>
    <row r="1869" spans="1:5" x14ac:dyDescent="0.25">
      <c r="A1869" t="str">
        <f>HYPERLINK("https://www.773grp.com/globalSearch/JM38510-32901BDA/page-1", "JM38510-32901BDA")</f>
        <v>JM38510-32901BDA</v>
      </c>
      <c r="B1869" s="3" t="s">
        <v>90</v>
      </c>
      <c r="C1869" s="5">
        <v>115</v>
      </c>
      <c r="D1869" s="6">
        <v>47.14</v>
      </c>
      <c r="E1869" t="s">
        <v>38</v>
      </c>
    </row>
    <row r="1870" spans="1:5" x14ac:dyDescent="0.25">
      <c r="A1870" t="str">
        <f>HYPERLINK("https://www.773grp.com/globalSearch/8415301RA/page-1", "8415301RA")</f>
        <v>8415301RA</v>
      </c>
      <c r="B1870" s="3" t="s">
        <v>90</v>
      </c>
      <c r="C1870" s="5">
        <v>314</v>
      </c>
      <c r="D1870" s="6">
        <v>47.96</v>
      </c>
      <c r="E1870" t="s">
        <v>38</v>
      </c>
    </row>
    <row r="1871" spans="1:5" x14ac:dyDescent="0.25">
      <c r="A1871" t="str">
        <f>HYPERLINK("https://www.773grp.com/globalSearch/SNJ54LS688J/page-1", "SNJ54LS688J")</f>
        <v>SNJ54LS688J</v>
      </c>
      <c r="B1871" s="3" t="s">
        <v>90</v>
      </c>
      <c r="C1871" s="5">
        <v>62</v>
      </c>
      <c r="D1871" s="6">
        <v>47.96</v>
      </c>
      <c r="E1871" t="s">
        <v>38</v>
      </c>
    </row>
    <row r="1872" spans="1:5" x14ac:dyDescent="0.25">
      <c r="A1872" t="str">
        <f>HYPERLINK("https://www.773grp.com/globalSearch/SNJ54LS682J/page-1", "SNJ54LS682J")</f>
        <v>SNJ54LS682J</v>
      </c>
      <c r="B1872" s="3" t="s">
        <v>90</v>
      </c>
      <c r="C1872" s="5">
        <v>713</v>
      </c>
      <c r="D1872" s="6">
        <v>48.6</v>
      </c>
      <c r="E1872" t="s">
        <v>38</v>
      </c>
    </row>
    <row r="1873" spans="1:5" x14ac:dyDescent="0.25">
      <c r="A1873" t="str">
        <f>HYPERLINK("https://www.773grp.com/globalSearch/SN54LS382AJ/page-1", "SN54LS382AJ")</f>
        <v>SN54LS382AJ</v>
      </c>
      <c r="B1873" s="3" t="s">
        <v>90</v>
      </c>
      <c r="C1873" s="5">
        <v>121</v>
      </c>
      <c r="D1873" s="6">
        <v>49.23</v>
      </c>
      <c r="E1873" t="s">
        <v>38</v>
      </c>
    </row>
    <row r="1874" spans="1:5" x14ac:dyDescent="0.25">
      <c r="A1874" t="str">
        <f>HYPERLINK("https://www.773grp.com/globalSearch/SNJ54S181W/page-1", "SNJ54S181W")</f>
        <v>SNJ54S181W</v>
      </c>
      <c r="B1874" s="3" t="s">
        <v>90</v>
      </c>
      <c r="C1874" s="5">
        <v>135</v>
      </c>
      <c r="D1874" s="6">
        <v>50.15</v>
      </c>
      <c r="E1874" t="s">
        <v>38</v>
      </c>
    </row>
    <row r="1875" spans="1:5" x14ac:dyDescent="0.25">
      <c r="A1875" t="str">
        <f>HYPERLINK("https://www.773grp.com/globalSearch/SNJ54LS148W/page-1", "SNJ54LS148W")</f>
        <v>SNJ54LS148W</v>
      </c>
      <c r="B1875" s="3" t="s">
        <v>90</v>
      </c>
      <c r="C1875" s="5">
        <v>26</v>
      </c>
      <c r="D1875" s="6">
        <v>51.26</v>
      </c>
      <c r="E1875" t="s">
        <v>38</v>
      </c>
    </row>
    <row r="1876" spans="1:5" x14ac:dyDescent="0.25">
      <c r="A1876" t="str">
        <f>HYPERLINK("https://www.773grp.com/globalSearch/JM38510-08201BEA/page-1", "JM38510-08201BEA")</f>
        <v>JM38510-08201BEA</v>
      </c>
      <c r="B1876" s="3" t="s">
        <v>90</v>
      </c>
      <c r="C1876" s="5">
        <v>222</v>
      </c>
      <c r="D1876" s="6">
        <v>51.94</v>
      </c>
      <c r="E1876" t="s">
        <v>38</v>
      </c>
    </row>
    <row r="1877" spans="1:5" x14ac:dyDescent="0.25">
      <c r="A1877" t="str">
        <f>HYPERLINK("https://www.773grp.com/globalSearch/SNJ54HC688FK/page-1", "SNJ54HC688FK")</f>
        <v>SNJ54HC688FK</v>
      </c>
      <c r="B1877" s="3" t="s">
        <v>90</v>
      </c>
      <c r="C1877" s="5">
        <v>10</v>
      </c>
      <c r="D1877" s="6">
        <v>52.23</v>
      </c>
      <c r="E1877" t="s">
        <v>38</v>
      </c>
    </row>
    <row r="1878" spans="1:5" x14ac:dyDescent="0.25">
      <c r="A1878" t="str">
        <f>HYPERLINK("https://www.773grp.com/globalSearch/SNJ54LS688FK/page-1", "SNJ54LS688FK")</f>
        <v>SNJ54LS688FK</v>
      </c>
      <c r="B1878" s="3" t="s">
        <v>90</v>
      </c>
      <c r="C1878" s="5">
        <v>6</v>
      </c>
      <c r="D1878" s="6">
        <v>52.88</v>
      </c>
      <c r="E1878" t="s">
        <v>38</v>
      </c>
    </row>
    <row r="1879" spans="1:5" x14ac:dyDescent="0.25">
      <c r="A1879" t="str">
        <f>HYPERLINK("https://www.773grp.com/globalSearch/SNJ54LS181W/page-1", "SNJ54LS181W")</f>
        <v>SNJ54LS181W</v>
      </c>
      <c r="B1879" s="3" t="s">
        <v>90</v>
      </c>
      <c r="C1879" s="5">
        <v>376</v>
      </c>
      <c r="D1879" s="6">
        <v>56.11</v>
      </c>
      <c r="E1879" t="s">
        <v>38</v>
      </c>
    </row>
    <row r="1880" spans="1:5" x14ac:dyDescent="0.25">
      <c r="A1880" t="str">
        <f>HYPERLINK("https://www.773grp.com/globalSearch/SNJ54ALS688W/page-1", "SNJ54ALS688W")</f>
        <v>SNJ54ALS688W</v>
      </c>
      <c r="B1880" s="3" t="s">
        <v>90</v>
      </c>
      <c r="C1880" s="5">
        <v>21</v>
      </c>
      <c r="D1880" s="6">
        <v>59.79</v>
      </c>
      <c r="E1880" t="s">
        <v>38</v>
      </c>
    </row>
    <row r="1881" spans="1:5" x14ac:dyDescent="0.25">
      <c r="A1881" t="str">
        <f>HYPERLINK("https://www.773grp.com/globalSearch/SN74LS637N/page-1", "SN74LS637N")</f>
        <v>SN74LS637N</v>
      </c>
      <c r="B1881" s="3" t="s">
        <v>90</v>
      </c>
      <c r="C1881" s="5">
        <v>3943</v>
      </c>
      <c r="D1881" s="6">
        <v>69.64</v>
      </c>
      <c r="E1881" t="s">
        <v>38</v>
      </c>
    </row>
    <row r="1882" spans="1:5" x14ac:dyDescent="0.25">
      <c r="A1882" t="str">
        <f>HYPERLINK("https://www.773grp.com/globalSearch/SN54H183W/page-1", "SN54H183W")</f>
        <v>SN54H183W</v>
      </c>
      <c r="B1882" s="3" t="s">
        <v>90</v>
      </c>
      <c r="C1882" s="5">
        <v>947</v>
      </c>
      <c r="D1882" s="6">
        <v>81.180000000000007</v>
      </c>
      <c r="E1882" t="s">
        <v>38</v>
      </c>
    </row>
    <row r="1883" spans="1:5" x14ac:dyDescent="0.25">
      <c r="A1883" t="str">
        <f>HYPERLINK("https://www.773grp.com/globalSearch/5962-8869101RA/page-1", "5962-8869101RA")</f>
        <v>5962-8869101RA</v>
      </c>
      <c r="B1883" s="3" t="s">
        <v>90</v>
      </c>
      <c r="C1883" s="5">
        <v>10</v>
      </c>
      <c r="D1883" s="6">
        <v>85.01</v>
      </c>
      <c r="E1883" t="s">
        <v>38</v>
      </c>
    </row>
    <row r="1884" spans="1:5" x14ac:dyDescent="0.25">
      <c r="A1884" t="str">
        <f>HYPERLINK("https://www.773grp.com/globalSearch/JM38510-36001BFA/page-1", "JM38510-36001BFA")</f>
        <v>JM38510-36001BFA</v>
      </c>
      <c r="B1884" s="3" t="s">
        <v>90</v>
      </c>
      <c r="C1884" s="5">
        <v>14</v>
      </c>
      <c r="D1884" s="6">
        <v>86.31</v>
      </c>
      <c r="E1884" t="s">
        <v>38</v>
      </c>
    </row>
    <row r="1885" spans="1:5" x14ac:dyDescent="0.25">
      <c r="A1885" t="str">
        <f>HYPERLINK("https://www.773grp.com/globalSearch/SN74ALS632BN/page-1", "SN74ALS632BN")</f>
        <v>SN74ALS632BN</v>
      </c>
      <c r="B1885" s="3" t="s">
        <v>90</v>
      </c>
      <c r="C1885" s="5">
        <v>2903</v>
      </c>
      <c r="D1885" s="6">
        <v>93.94</v>
      </c>
      <c r="E1885" t="s">
        <v>38</v>
      </c>
    </row>
    <row r="1886" spans="1:5" x14ac:dyDescent="0.25">
      <c r="A1886" t="str">
        <f>HYPERLINK("https://www.773grp.com/globalSearch/SN74LS630N/page-1", "SN74LS630N")</f>
        <v>SN74LS630N</v>
      </c>
      <c r="B1886" s="3" t="str">
        <f>HYPERLINK("https://www.773grp.com/manufacturer/texas-instruments?pageNo=322", "Texas Instruments")</f>
        <v>Texas Instruments</v>
      </c>
      <c r="C1886" s="5">
        <v>37</v>
      </c>
      <c r="D1886" s="6">
        <v>176.14</v>
      </c>
      <c r="E1886" t="s">
        <v>38</v>
      </c>
    </row>
    <row r="1887" spans="1:5" x14ac:dyDescent="0.25">
      <c r="A1887" t="str">
        <f>HYPERLINK("https://www.773grp.com/globalSearch/JM38510-31101SEA/page-1", "JM38510-31101SEA")</f>
        <v>JM38510-31101SEA</v>
      </c>
      <c r="B1887" s="3" t="str">
        <f>HYPERLINK("https://www.773grp.com/manufacturer/texas-instruments?pageNo=422", "Texas Instruments")</f>
        <v>Texas Instruments</v>
      </c>
      <c r="C1887" s="5">
        <v>83</v>
      </c>
      <c r="D1887" s="6">
        <v>194.35</v>
      </c>
      <c r="E1887" t="s">
        <v>38</v>
      </c>
    </row>
    <row r="1888" spans="1:5" x14ac:dyDescent="0.25">
      <c r="A1888" t="str">
        <f>HYPERLINK("https://www.773grp.com/globalSearch/SNJ54LS630FK/page-1", "SNJ54LS630FK")</f>
        <v>SNJ54LS630FK</v>
      </c>
      <c r="B1888" s="3" t="s">
        <v>90</v>
      </c>
      <c r="C1888" s="5">
        <v>46</v>
      </c>
      <c r="D1888" s="6">
        <v>452.84</v>
      </c>
      <c r="E1888" t="s">
        <v>38</v>
      </c>
    </row>
    <row r="1889" spans="1:5" x14ac:dyDescent="0.25">
      <c r="A1889" t="str">
        <f>HYPERLINK("https://www.773grp.com/globalSearch/SNJ54ALS632AJD/page-1", "SNJ54ALS632AJD")</f>
        <v>SNJ54ALS632AJD</v>
      </c>
      <c r="B1889" s="3" t="s">
        <v>90</v>
      </c>
      <c r="C1889" s="5">
        <v>52</v>
      </c>
      <c r="D1889" s="6">
        <v>644.20000000000005</v>
      </c>
      <c r="E1889" t="s">
        <v>38</v>
      </c>
    </row>
    <row r="1890" spans="1:5" x14ac:dyDescent="0.25">
      <c r="A1890" t="str">
        <f>HYPERLINK("https://www.773grp.com/globalSearch/ONET4251PARGTT/page-1", "ONET4251PARGTT")</f>
        <v>ONET4251PARGTT</v>
      </c>
      <c r="B1890" s="3" t="str">
        <f>HYPERLINK("https://www.773grp.com/manufacturer/texas-instruments?pageNo=729", "Texas Instruments")</f>
        <v>Texas Instruments</v>
      </c>
      <c r="C1890" s="5">
        <v>3500</v>
      </c>
      <c r="D1890" s="6">
        <v>3.96</v>
      </c>
      <c r="E1890" t="s">
        <v>88</v>
      </c>
    </row>
    <row r="1891" spans="1:5" x14ac:dyDescent="0.25">
      <c r="A1891" t="str">
        <f>HYPERLINK("https://www.773grp.com/globalSearch/ONET4291PARGVT/page-1", "ONET4291PARGVT")</f>
        <v>ONET4291PARGVT</v>
      </c>
      <c r="B1891" s="3" t="str">
        <f>HYPERLINK("https://www.773grp.com/manufacturer/texas-instruments?pageNo=730", "Texas Instruments")</f>
        <v>Texas Instruments</v>
      </c>
      <c r="C1891" s="5">
        <v>14250</v>
      </c>
      <c r="D1891" s="6">
        <v>3.96</v>
      </c>
      <c r="E1891" t="s">
        <v>88</v>
      </c>
    </row>
    <row r="1892" spans="1:5" x14ac:dyDescent="0.25">
      <c r="A1892" t="str">
        <f>HYPERLINK("https://www.773grp.com/globalSearch/ONET8501PBRGTT/page-1", "ONET8501PBRGTT")</f>
        <v>ONET8501PBRGTT</v>
      </c>
      <c r="B1892" s="3" t="s">
        <v>90</v>
      </c>
      <c r="C1892" s="5">
        <v>1750</v>
      </c>
      <c r="D1892" s="6">
        <v>6.16</v>
      </c>
      <c r="E1892" t="s">
        <v>88</v>
      </c>
    </row>
    <row r="1893" spans="1:5" x14ac:dyDescent="0.25">
      <c r="A1893" t="str">
        <f>HYPERLINK("https://www.773grp.com/globalSearch/ONET8501PRGTT/page-1", "ONET8501PRGTT")</f>
        <v>ONET8501PRGTT</v>
      </c>
      <c r="B1893" s="3" t="s">
        <v>90</v>
      </c>
      <c r="C1893" s="5">
        <v>13250</v>
      </c>
      <c r="D1893" s="6">
        <v>6.16</v>
      </c>
      <c r="E1893" t="s">
        <v>88</v>
      </c>
    </row>
    <row r="1894" spans="1:5" x14ac:dyDescent="0.25">
      <c r="A1894" t="str">
        <f>HYPERLINK("https://www.773grp.com/globalSearch/ONET8501VRGPT/page-1", "ONET8501VRGPT")</f>
        <v>ONET8501VRGPT</v>
      </c>
      <c r="B1894" s="3" t="s">
        <v>90</v>
      </c>
      <c r="C1894" s="5">
        <v>2695</v>
      </c>
      <c r="D1894" s="6">
        <v>6.16</v>
      </c>
      <c r="E1894" t="s">
        <v>88</v>
      </c>
    </row>
    <row r="1895" spans="1:5" x14ac:dyDescent="0.25">
      <c r="A1895" t="str">
        <f>HYPERLINK("https://www.773grp.com/globalSearch/ONET2511PARGT/page-1", "ONET2511PARGT")</f>
        <v>ONET2511PARGT</v>
      </c>
      <c r="B1895" s="3" t="str">
        <f>HYPERLINK("https://www.773grp.com/manufacturer/texas-instruments?pageNo=133", "Texas Instruments")</f>
        <v>Texas Instruments</v>
      </c>
      <c r="C1895" s="5">
        <v>266</v>
      </c>
      <c r="D1895" s="6">
        <v>12.38</v>
      </c>
      <c r="E1895" t="s">
        <v>88</v>
      </c>
    </row>
    <row r="1896" spans="1:5" x14ac:dyDescent="0.25">
      <c r="A1896" t="str">
        <f>HYPERLINK("https://www.773grp.com/globalSearch/ONET1191VRGPR/page-1", "ONET1191VRGPR")</f>
        <v>ONET1191VRGPR</v>
      </c>
      <c r="B1896" s="3" t="str">
        <f>HYPERLINK("https://www.773grp.com/manufacturer/texas-instruments?pageNo=443", "Texas Instruments")</f>
        <v>Texas Instruments</v>
      </c>
      <c r="C1896" s="5">
        <v>45000</v>
      </c>
      <c r="D1896" s="6">
        <v>12.94</v>
      </c>
      <c r="E1896" t="s">
        <v>88</v>
      </c>
    </row>
    <row r="1897" spans="1:5" x14ac:dyDescent="0.25">
      <c r="A1897" t="str">
        <f>HYPERLINK("https://www.773grp.com/globalSearch/ONET2501PARGT/page-1", "ONET2501PARGT")</f>
        <v>ONET2501PARGT</v>
      </c>
      <c r="B1897" s="3" t="s">
        <v>90</v>
      </c>
      <c r="C1897" s="5">
        <v>3872</v>
      </c>
      <c r="D1897" s="6">
        <v>15.48</v>
      </c>
      <c r="E1897" t="s">
        <v>88</v>
      </c>
    </row>
    <row r="1898" spans="1:5" x14ac:dyDescent="0.25">
      <c r="A1898" t="str">
        <f>HYPERLINK("https://www.773grp.com/globalSearch/ONET3301PARGT/page-1", "ONET3301PARGT")</f>
        <v>ONET3301PARGT</v>
      </c>
      <c r="B1898" s="3" t="s">
        <v>90</v>
      </c>
      <c r="C1898" s="5">
        <v>527</v>
      </c>
      <c r="D1898" s="6">
        <v>19.690000000000001</v>
      </c>
      <c r="E1898" t="s">
        <v>88</v>
      </c>
    </row>
    <row r="1899" spans="1:5" x14ac:dyDescent="0.25">
      <c r="A1899" t="str">
        <f>HYPERLINK("https://www.773grp.com/globalSearch/ONET2501PARGTR/page-1", "ONET2501PARGTR")</f>
        <v>ONET2501PARGTR</v>
      </c>
      <c r="B1899" s="3" t="s">
        <v>90</v>
      </c>
      <c r="C1899" s="5">
        <v>6000</v>
      </c>
      <c r="D1899" s="6">
        <v>20.39</v>
      </c>
      <c r="E1899" t="s">
        <v>88</v>
      </c>
    </row>
    <row r="1900" spans="1:5" x14ac:dyDescent="0.25">
      <c r="A1900" t="str">
        <f>HYPERLINK("https://www.773grp.com/globalSearch/ONET3301PARGTR/page-1", "ONET3301PARGTR")</f>
        <v>ONET3301PARGTR</v>
      </c>
      <c r="B1900" s="3" t="s">
        <v>90</v>
      </c>
      <c r="C1900" s="5">
        <v>15000</v>
      </c>
      <c r="D1900" s="6">
        <v>22.23</v>
      </c>
      <c r="E1900" t="s">
        <v>88</v>
      </c>
    </row>
    <row r="1901" spans="1:5" x14ac:dyDescent="0.25">
      <c r="A1901" t="str">
        <f>HYPERLINK("https://www.773grp.com/globalSearch/ONET2501PARGTT/page-1", "ONET2501PARGTT")</f>
        <v>ONET2501PARGTT</v>
      </c>
      <c r="B1901" s="3" t="s">
        <v>90</v>
      </c>
      <c r="C1901" s="5">
        <v>5500</v>
      </c>
      <c r="D1901" s="6">
        <v>23.34</v>
      </c>
      <c r="E1901" t="s">
        <v>88</v>
      </c>
    </row>
    <row r="1902" spans="1:5" x14ac:dyDescent="0.25">
      <c r="A1902" t="str">
        <f>HYPERLINK("https://www.773grp.com/globalSearch/ONET3301PARGTT/page-1", "ONET3301PARGTT")</f>
        <v>ONET3301PARGTT</v>
      </c>
      <c r="B1902" s="3" t="s">
        <v>90</v>
      </c>
      <c r="C1902" s="5">
        <v>5250</v>
      </c>
      <c r="D1902" s="6">
        <v>25.45</v>
      </c>
      <c r="E1902" t="s">
        <v>88</v>
      </c>
    </row>
    <row r="1903" spans="1:5" x14ac:dyDescent="0.25">
      <c r="A1903" t="str">
        <f>HYPERLINK("https://www.773grp.com/globalSearch/TLK1101ERGPT/page-1", "TLK1101ERGPT")</f>
        <v>TLK1101ERGPT</v>
      </c>
      <c r="B1903" s="3" t="s">
        <v>90</v>
      </c>
      <c r="C1903" s="5">
        <v>500</v>
      </c>
      <c r="D1903" s="6">
        <v>25.74</v>
      </c>
      <c r="E1903" t="s">
        <v>88</v>
      </c>
    </row>
    <row r="1904" spans="1:5" x14ac:dyDescent="0.25">
      <c r="A1904" t="str">
        <f>HYPERLINK("https://www.773grp.com/globalSearch/TLK1102ERGER/page-1", "TLK1102ERGER")</f>
        <v>TLK1102ERGER</v>
      </c>
      <c r="B1904" s="3" t="str">
        <f>HYPERLINK("https://www.773grp.com/manufacturer/texas-instruments?pageNo=494", "Texas Instruments")</f>
        <v>Texas Instruments</v>
      </c>
      <c r="C1904" s="5">
        <v>36000</v>
      </c>
      <c r="D1904" s="6">
        <v>30.38</v>
      </c>
      <c r="E1904" t="s">
        <v>88</v>
      </c>
    </row>
    <row r="1905" spans="1:5" x14ac:dyDescent="0.25">
      <c r="A1905" t="str">
        <f>HYPERLINK("https://www.773grp.com/globalSearch/ONET9901PARGP/page-1", "ONET9901PARGP")</f>
        <v>ONET9901PARGP</v>
      </c>
      <c r="B1905" s="3" t="str">
        <f>HYPERLINK("https://www.773grp.com/manufacturer/texas-instruments?pageNo=751", "Texas Instruments")</f>
        <v>Texas Instruments</v>
      </c>
      <c r="C1905" s="5">
        <v>195</v>
      </c>
      <c r="D1905" s="6">
        <v>31.93</v>
      </c>
      <c r="E1905" t="s">
        <v>88</v>
      </c>
    </row>
    <row r="1906" spans="1:5" x14ac:dyDescent="0.25">
      <c r="A1906" t="str">
        <f>HYPERLINK("https://www.773grp.com/globalSearch/TLK1102ERGET/page-1", "TLK1102ERGET")</f>
        <v>TLK1102ERGET</v>
      </c>
      <c r="B1906" s="3" t="s">
        <v>90</v>
      </c>
      <c r="C1906" s="5">
        <v>1224</v>
      </c>
      <c r="D1906" s="6">
        <v>34.6</v>
      </c>
      <c r="E1906" t="s">
        <v>88</v>
      </c>
    </row>
    <row r="1907" spans="1:5" x14ac:dyDescent="0.25">
      <c r="A1907" t="str">
        <f>HYPERLINK("https://www.773grp.com/globalSearch/SLK2511BPZP/page-1", "SLK2511BPZP")</f>
        <v>SLK2511BPZP</v>
      </c>
      <c r="B1907" s="3" t="s">
        <v>90</v>
      </c>
      <c r="C1907" s="5">
        <v>69</v>
      </c>
      <c r="D1907" s="6">
        <v>103.36</v>
      </c>
      <c r="E1907" t="s">
        <v>88</v>
      </c>
    </row>
    <row r="1908" spans="1:5" x14ac:dyDescent="0.25">
      <c r="A1908" t="str">
        <f>HYPERLINK("https://www.773grp.com/globalSearch/TNETA1560PGC/page-1", "TNETA1560PGC")</f>
        <v>TNETA1560PGC</v>
      </c>
      <c r="B1908" s="3" t="s">
        <v>90</v>
      </c>
      <c r="C1908" s="5">
        <v>1798</v>
      </c>
      <c r="D1908" s="6">
        <v>126.86</v>
      </c>
      <c r="E1908" t="s">
        <v>88</v>
      </c>
    </row>
    <row r="1909" spans="1:5" x14ac:dyDescent="0.25">
      <c r="A1909" t="str">
        <f>HYPERLINK("https://www.773grp.com/globalSearch/SLK2501IPZP/page-1", "SLK2501IPZP")</f>
        <v>SLK2501IPZP</v>
      </c>
      <c r="B1909" s="3" t="s">
        <v>90</v>
      </c>
      <c r="C1909" s="5">
        <v>6567</v>
      </c>
      <c r="D1909" s="6">
        <v>129.22999999999999</v>
      </c>
      <c r="E1909" t="s">
        <v>88</v>
      </c>
    </row>
    <row r="1910" spans="1:5" x14ac:dyDescent="0.25">
      <c r="A1910" t="str">
        <f>HYPERLINK("https://www.773grp.com/globalSearch/SLK2511AIPZP/page-1", "SLK2511AIPZP")</f>
        <v>SLK2511AIPZP</v>
      </c>
      <c r="B1910" s="3" t="s">
        <v>90</v>
      </c>
      <c r="C1910" s="5">
        <v>14281</v>
      </c>
      <c r="D1910" s="6">
        <v>129.22999999999999</v>
      </c>
      <c r="E1910" t="s">
        <v>88</v>
      </c>
    </row>
    <row r="1911" spans="1:5" x14ac:dyDescent="0.25">
      <c r="A1911" t="str">
        <f>HYPERLINK("https://www.773grp.com/globalSearch/SLK2511IPZP/page-1", "SLK2511IPZP")</f>
        <v>SLK2511IPZP</v>
      </c>
      <c r="B1911" s="3" t="s">
        <v>90</v>
      </c>
      <c r="C1911" s="5">
        <v>1793</v>
      </c>
      <c r="D1911" s="6">
        <v>129.22999999999999</v>
      </c>
      <c r="E1911" t="s">
        <v>88</v>
      </c>
    </row>
    <row r="1912" spans="1:5" x14ac:dyDescent="0.25">
      <c r="A1912" t="str">
        <f>HYPERLINK("https://www.773grp.com/globalSearch/SLK2701IPZP/page-1", "SLK2701IPZP")</f>
        <v>SLK2701IPZP</v>
      </c>
      <c r="B1912" s="3" t="s">
        <v>90</v>
      </c>
      <c r="C1912" s="5">
        <v>14585</v>
      </c>
      <c r="D1912" s="6">
        <v>129.22999999999999</v>
      </c>
      <c r="E1912" t="s">
        <v>88</v>
      </c>
    </row>
    <row r="1913" spans="1:5" x14ac:dyDescent="0.25">
      <c r="A1913" t="str">
        <f>HYPERLINK("https://www.773grp.com/globalSearch/TNETA1500APGE/page-1", "TNETA1500APGE")</f>
        <v>TNETA1500APGE</v>
      </c>
      <c r="B1913" s="3" t="s">
        <v>90</v>
      </c>
      <c r="C1913" s="5">
        <v>1152</v>
      </c>
      <c r="D1913" s="6">
        <v>131.24</v>
      </c>
      <c r="E1913" t="s">
        <v>88</v>
      </c>
    </row>
    <row r="1914" spans="1:5" x14ac:dyDescent="0.25">
      <c r="A1914" t="str">
        <f>HYPERLINK("https://www.773grp.com/globalSearch/TNETA1561PGC/page-1", "TNETA1561PGC")</f>
        <v>TNETA1561PGC</v>
      </c>
      <c r="B1914" s="3" t="str">
        <f>HYPERLINK("https://www.773grp.com/manufacturer/texas-instruments?pageNo=300", "Texas Instruments")</f>
        <v>Texas Instruments</v>
      </c>
      <c r="C1914" s="5">
        <v>1079</v>
      </c>
      <c r="D1914" s="6">
        <v>172.18</v>
      </c>
      <c r="E1914" t="s">
        <v>88</v>
      </c>
    </row>
    <row r="1915" spans="1:5" x14ac:dyDescent="0.25">
      <c r="A1915" t="str">
        <f>HYPERLINK("https://www.773grp.com/globalSearch/TNETA1585PGF/page-1", "TNETA1585PGF")</f>
        <v>TNETA1585PGF</v>
      </c>
      <c r="B1915" s="3" t="str">
        <f>HYPERLINK("https://www.773grp.com/manufacturer/texas-instruments?pageNo=557", "Texas Instruments")</f>
        <v>Texas Instruments</v>
      </c>
      <c r="C1915" s="5">
        <v>293</v>
      </c>
      <c r="D1915" s="6">
        <v>224.44</v>
      </c>
      <c r="E1915" t="s">
        <v>88</v>
      </c>
    </row>
    <row r="1916" spans="1:5" x14ac:dyDescent="0.25">
      <c r="A1916" t="str">
        <f>HYPERLINK("https://www.773grp.com/globalSearch/TNETA1575PGC/page-1", "TNETA1575PGC")</f>
        <v>TNETA1575PGC</v>
      </c>
      <c r="B1916" s="3" t="str">
        <f>HYPERLINK("https://www.773grp.com/manufacturer/texas-instruments?pageNo=707", "Texas Instruments")</f>
        <v>Texas Instruments</v>
      </c>
      <c r="C1916" s="5">
        <v>24</v>
      </c>
      <c r="D1916" s="6">
        <v>261.27999999999997</v>
      </c>
      <c r="E1916" t="s">
        <v>88</v>
      </c>
    </row>
    <row r="1917" spans="1:5" x14ac:dyDescent="0.25">
      <c r="A1917" t="str">
        <f>HYPERLINK("https://www.773grp.com/globalSearch/MT90502AG/page-1", "MT90502AG")</f>
        <v>MT90502AG</v>
      </c>
      <c r="B1917" s="3" t="s">
        <v>116</v>
      </c>
      <c r="C1917" s="5">
        <v>78</v>
      </c>
      <c r="D1917" s="6">
        <v>121.08</v>
      </c>
      <c r="E1917" t="s">
        <v>88</v>
      </c>
    </row>
    <row r="1918" spans="1:5" x14ac:dyDescent="0.25">
      <c r="A1918" t="str">
        <f>HYPERLINK("https://www.773grp.com/globalSearch/TPA6021A4N/page-1", "TPA6021A4N")</f>
        <v>TPA6021A4N</v>
      </c>
      <c r="B1918" s="3" t="str">
        <f>HYPERLINK("https://www.773grp.com/manufacturer/texas-instruments?pageNo=609", "Texas Instruments")</f>
        <v>Texas Instruments</v>
      </c>
      <c r="C1918" s="5">
        <v>11954</v>
      </c>
      <c r="D1918" s="6">
        <v>3.66</v>
      </c>
      <c r="E1918" t="s">
        <v>36</v>
      </c>
    </row>
    <row r="1919" spans="1:5" x14ac:dyDescent="0.25">
      <c r="A1919" t="str">
        <f>HYPERLINK("https://www.773grp.com/globalSearch/TPA0212PWP/page-1", "TPA0212PWP")</f>
        <v>TPA0212PWP</v>
      </c>
      <c r="B1919" s="3" t="str">
        <f>HYPERLINK("https://www.773grp.com/manufacturer/texas-instruments?pageNo=959", "Texas Instruments")</f>
        <v>Texas Instruments</v>
      </c>
      <c r="C1919" s="5">
        <v>3306</v>
      </c>
      <c r="D1919" s="6">
        <v>3.75</v>
      </c>
      <c r="E1919" t="s">
        <v>36</v>
      </c>
    </row>
    <row r="1920" spans="1:5" x14ac:dyDescent="0.25">
      <c r="A1920" t="str">
        <f>HYPERLINK("https://www.773grp.com/globalSearch/TPA0312PWP/page-1", "TPA0312PWP")</f>
        <v>TPA0312PWP</v>
      </c>
      <c r="B1920" s="3" t="str">
        <f>HYPERLINK("https://www.773grp.com/manufacturer/texas-instruments?pageNo=961", "Texas Instruments")</f>
        <v>Texas Instruments</v>
      </c>
      <c r="C1920" s="5">
        <v>20063</v>
      </c>
      <c r="D1920" s="6">
        <v>3.75</v>
      </c>
      <c r="E1920" t="s">
        <v>36</v>
      </c>
    </row>
    <row r="1921" spans="1:5" x14ac:dyDescent="0.25">
      <c r="A1921" t="str">
        <f>HYPERLINK("https://www.773grp.com/globalSearch/TPA6130A2RTJR/page-1", "TPA6130A2RTJR")</f>
        <v>TPA6130A2RTJR</v>
      </c>
      <c r="B1921" s="3" t="str">
        <f>HYPERLINK("https://www.773grp.com/manufacturer/texas-instruments?pageNo=134", "Texas Instruments")</f>
        <v>Texas Instruments</v>
      </c>
      <c r="C1921" s="5">
        <v>420</v>
      </c>
      <c r="D1921" s="6">
        <v>4.2300000000000004</v>
      </c>
      <c r="E1921" t="s">
        <v>36</v>
      </c>
    </row>
    <row r="1922" spans="1:5" x14ac:dyDescent="0.25">
      <c r="A1922" t="str">
        <f>HYPERLINK("https://www.773grp.com/globalSearch/TPA0112PWPR/page-1", "TPA0112PWPR")</f>
        <v>TPA0112PWPR</v>
      </c>
      <c r="B1922" s="3" t="str">
        <f>HYPERLINK("https://www.773grp.com/manufacturer/texas-instruments?pageNo=642", "Texas Instruments")</f>
        <v>Texas Instruments</v>
      </c>
      <c r="C1922" s="5">
        <v>2933</v>
      </c>
      <c r="D1922" s="6">
        <v>3.94</v>
      </c>
      <c r="E1922" t="s">
        <v>36</v>
      </c>
    </row>
    <row r="1923" spans="1:5" x14ac:dyDescent="0.25">
      <c r="A1923" t="str">
        <f>HYPERLINK("https://www.773grp.com/globalSearch/TPA0122PWPR/page-1", "TPA0122PWPR")</f>
        <v>TPA0122PWPR</v>
      </c>
      <c r="B1923" s="3" t="str">
        <f>HYPERLINK("https://www.773grp.com/manufacturer/texas-instruments?pageNo=643", "Texas Instruments")</f>
        <v>Texas Instruments</v>
      </c>
      <c r="C1923" s="5">
        <v>18000</v>
      </c>
      <c r="D1923" s="6">
        <v>3.94</v>
      </c>
      <c r="E1923" t="s">
        <v>36</v>
      </c>
    </row>
    <row r="1924" spans="1:5" x14ac:dyDescent="0.25">
      <c r="A1924" t="str">
        <f>HYPERLINK("https://www.773grp.com/globalSearch/TPA6012A4PWP/page-1", "TPA6012A4PWP")</f>
        <v>TPA6012A4PWP</v>
      </c>
      <c r="B1924" s="3" t="s">
        <v>90</v>
      </c>
      <c r="C1924" s="5">
        <v>543</v>
      </c>
      <c r="D1924" s="6">
        <v>4.05</v>
      </c>
      <c r="E1924" t="s">
        <v>36</v>
      </c>
    </row>
    <row r="1925" spans="1:5" x14ac:dyDescent="0.25">
      <c r="A1925" t="str">
        <f>HYPERLINK("https://www.773grp.com/globalSearch/TPA6140A2YFFR/page-1", "TPA6140A2YFFR")</f>
        <v>TPA6140A2YFFR</v>
      </c>
      <c r="B1925" s="3" t="s">
        <v>90</v>
      </c>
      <c r="C1925" s="5">
        <v>92698</v>
      </c>
      <c r="D1925" s="6">
        <v>4.49</v>
      </c>
      <c r="E1925" t="s">
        <v>36</v>
      </c>
    </row>
    <row r="1926" spans="1:5" x14ac:dyDescent="0.25">
      <c r="A1926" t="str">
        <f>HYPERLINK("https://www.773grp.com/globalSearch/TPA6030A4PWPR/page-1", "TPA6030A4PWPR")</f>
        <v>TPA6030A4PWPR</v>
      </c>
      <c r="B1926" s="3" t="s">
        <v>90</v>
      </c>
      <c r="C1926" s="5">
        <v>10000</v>
      </c>
      <c r="D1926" s="6">
        <v>4.1399999999999997</v>
      </c>
      <c r="E1926" t="s">
        <v>36</v>
      </c>
    </row>
    <row r="1927" spans="1:5" x14ac:dyDescent="0.25">
      <c r="A1927" t="str">
        <f>HYPERLINK("https://www.773grp.com/globalSearch/TPA0222PWP/page-1", "TPA0222PWP")</f>
        <v>TPA0222PWP</v>
      </c>
      <c r="B1927" s="3" t="s">
        <v>90</v>
      </c>
      <c r="C1927" s="5">
        <v>20468</v>
      </c>
      <c r="D1927" s="6">
        <v>4.2300000000000004</v>
      </c>
      <c r="E1927" t="s">
        <v>36</v>
      </c>
    </row>
    <row r="1928" spans="1:5" x14ac:dyDescent="0.25">
      <c r="A1928" t="str">
        <f>HYPERLINK("https://www.773grp.com/globalSearch/TPA6011A4PWP/page-1", "TPA6011A4PWP")</f>
        <v>TPA6011A4PWP</v>
      </c>
      <c r="B1928" s="3" t="s">
        <v>90</v>
      </c>
      <c r="C1928" s="5">
        <v>1197</v>
      </c>
      <c r="D1928" s="6">
        <v>4.25</v>
      </c>
      <c r="E1928" t="s">
        <v>36</v>
      </c>
    </row>
    <row r="1929" spans="1:5" x14ac:dyDescent="0.25">
      <c r="A1929" t="str">
        <f>HYPERLINK("https://www.773grp.com/globalSearch/TPA6130A2YZHR/page-1", "TPA6130A2YZHR")</f>
        <v>TPA6130A2YZHR</v>
      </c>
      <c r="B1929" s="3" t="s">
        <v>90</v>
      </c>
      <c r="C1929" s="5">
        <v>6000</v>
      </c>
      <c r="D1929" s="6">
        <v>4.74</v>
      </c>
      <c r="E1929" t="s">
        <v>36</v>
      </c>
    </row>
    <row r="1930" spans="1:5" x14ac:dyDescent="0.25">
      <c r="A1930" t="str">
        <f>HYPERLINK("https://www.773grp.com/globalSearch/TPA0122PWP/page-1", "TPA0122PWP")</f>
        <v>TPA0122PWP</v>
      </c>
      <c r="B1930" s="3" t="str">
        <f>HYPERLINK("https://www.773grp.com/manufacturer/texas-instruments?pageNo=386", "Texas Instruments")</f>
        <v>Texas Instruments</v>
      </c>
      <c r="C1930" s="5">
        <v>17814</v>
      </c>
      <c r="D1930" s="6">
        <v>4.5</v>
      </c>
      <c r="E1930" t="s">
        <v>36</v>
      </c>
    </row>
    <row r="1931" spans="1:5" x14ac:dyDescent="0.25">
      <c r="A1931" t="str">
        <f>HYPERLINK("https://www.773grp.com/globalSearch/TPA0112PWP/page-1", "TPA0112PWP")</f>
        <v>TPA0112PWP</v>
      </c>
      <c r="B1931" s="3" t="s">
        <v>90</v>
      </c>
      <c r="C1931" s="5">
        <v>11418</v>
      </c>
      <c r="D1931" s="6">
        <v>4.7300000000000004</v>
      </c>
      <c r="E1931" t="s">
        <v>36</v>
      </c>
    </row>
    <row r="1932" spans="1:5" x14ac:dyDescent="0.25">
      <c r="A1932" t="str">
        <f>HYPERLINK("https://www.773grp.com/globalSearch/TPA6030A4PWP/page-1", "TPA6030A4PWP")</f>
        <v>TPA6030A4PWP</v>
      </c>
      <c r="B1932" s="3" t="s">
        <v>90</v>
      </c>
      <c r="C1932" s="5">
        <v>2340</v>
      </c>
      <c r="D1932" s="6">
        <v>4.95</v>
      </c>
      <c r="E1932" t="s">
        <v>36</v>
      </c>
    </row>
    <row r="1933" spans="1:5" x14ac:dyDescent="0.25">
      <c r="A1933" t="str">
        <f>HYPERLINK("https://www.773grp.com/globalSearch/TPA0152PWPR/page-1", "TPA0152PWPR")</f>
        <v>TPA0152PWPR</v>
      </c>
      <c r="B1933" s="3" t="s">
        <v>90</v>
      </c>
      <c r="C1933" s="5">
        <v>8000</v>
      </c>
      <c r="D1933" s="6">
        <v>5.24</v>
      </c>
      <c r="E1933" t="s">
        <v>36</v>
      </c>
    </row>
    <row r="1934" spans="1:5" x14ac:dyDescent="0.25">
      <c r="A1934" t="str">
        <f>HYPERLINK("https://www.773grp.com/globalSearch/TPA2008D2PWPR/page-1", "TPA2008D2PWPR")</f>
        <v>TPA2008D2PWPR</v>
      </c>
      <c r="B1934" s="3" t="s">
        <v>90</v>
      </c>
      <c r="C1934" s="5">
        <v>60200</v>
      </c>
      <c r="D1934" s="6">
        <v>5.31</v>
      </c>
      <c r="E1934" t="s">
        <v>36</v>
      </c>
    </row>
    <row r="1935" spans="1:5" x14ac:dyDescent="0.25">
      <c r="A1935" t="str">
        <f>HYPERLINK("https://www.773grp.com/globalSearch/TPA0132PWPR/page-1", "TPA0132PWPR")</f>
        <v>TPA0132PWPR</v>
      </c>
      <c r="B1935" s="3" t="s">
        <v>90</v>
      </c>
      <c r="C1935" s="5">
        <v>4000</v>
      </c>
      <c r="D1935" s="6">
        <v>5.85</v>
      </c>
      <c r="E1935" t="s">
        <v>36</v>
      </c>
    </row>
    <row r="1936" spans="1:5" x14ac:dyDescent="0.25">
      <c r="A1936" t="str">
        <f>HYPERLINK("https://www.773grp.com/globalSearch/TPA0142PWPR/page-1", "TPA0142PWPR")</f>
        <v>TPA0142PWPR</v>
      </c>
      <c r="B1936" s="3" t="s">
        <v>90</v>
      </c>
      <c r="C1936" s="5">
        <v>19611</v>
      </c>
      <c r="D1936" s="6">
        <v>5.85</v>
      </c>
      <c r="E1936" t="s">
        <v>36</v>
      </c>
    </row>
    <row r="1937" spans="1:5" x14ac:dyDescent="0.25">
      <c r="A1937" t="str">
        <f>HYPERLINK("https://www.773grp.com/globalSearch/TPA0152PWP/page-1", "TPA0152PWP")</f>
        <v>TPA0152PWP</v>
      </c>
      <c r="B1937" s="3" t="s">
        <v>90</v>
      </c>
      <c r="C1937" s="5">
        <v>6934</v>
      </c>
      <c r="D1937" s="6">
        <v>6.28</v>
      </c>
      <c r="E1937" t="s">
        <v>36</v>
      </c>
    </row>
    <row r="1938" spans="1:5" x14ac:dyDescent="0.25">
      <c r="A1938" t="str">
        <f>HYPERLINK("https://www.773grp.com/globalSearch/TPA0232PWPR/page-1", "TPA0232PWPR")</f>
        <v>TPA0232PWPR</v>
      </c>
      <c r="B1938" s="3" t="s">
        <v>90</v>
      </c>
      <c r="C1938" s="5">
        <v>138000</v>
      </c>
      <c r="D1938" s="6">
        <v>6.38</v>
      </c>
      <c r="E1938" t="s">
        <v>36</v>
      </c>
    </row>
    <row r="1939" spans="1:5" x14ac:dyDescent="0.25">
      <c r="A1939" t="str">
        <f>HYPERLINK("https://www.773grp.com/globalSearch/TPA2008D2PWP/page-1", "TPA2008D2PWP")</f>
        <v>TPA2008D2PWP</v>
      </c>
      <c r="B1939" s="3" t="s">
        <v>90</v>
      </c>
      <c r="C1939" s="5">
        <v>2576</v>
      </c>
      <c r="D1939" s="6">
        <v>6.38</v>
      </c>
      <c r="E1939" t="s">
        <v>36</v>
      </c>
    </row>
    <row r="1940" spans="1:5" x14ac:dyDescent="0.25">
      <c r="A1940" t="str">
        <f>HYPERLINK("https://www.773grp.com/globalSearch/TPA0162PWPR/page-1", "TPA0162PWPR")</f>
        <v>TPA0162PWPR</v>
      </c>
      <c r="B1940" s="3" t="str">
        <f>HYPERLINK("https://www.773grp.com/manufacturer/texas-instruments?pageNo=218", "Texas Instruments")</f>
        <v>Texas Instruments</v>
      </c>
      <c r="C1940" s="5">
        <v>2000</v>
      </c>
      <c r="D1940" s="6">
        <v>6.53</v>
      </c>
      <c r="E1940" t="s">
        <v>36</v>
      </c>
    </row>
    <row r="1941" spans="1:5" x14ac:dyDescent="0.25">
      <c r="A1941" t="str">
        <f>HYPERLINK("https://www.773grp.com/globalSearch/TPA0252PWPR/page-1", "TPA0252PWPR")</f>
        <v>TPA0252PWPR</v>
      </c>
      <c r="B1941" s="3" t="str">
        <f>HYPERLINK("https://www.773grp.com/manufacturer/texas-instruments?pageNo=219", "Texas Instruments")</f>
        <v>Texas Instruments</v>
      </c>
      <c r="C1941" s="5">
        <v>76000</v>
      </c>
      <c r="D1941" s="6">
        <v>6.53</v>
      </c>
      <c r="E1941" t="s">
        <v>36</v>
      </c>
    </row>
    <row r="1942" spans="1:5" x14ac:dyDescent="0.25">
      <c r="A1942" t="str">
        <f>HYPERLINK("https://www.773grp.com/globalSearch/TAS3001CPW/page-1", "TAS3001CPW")</f>
        <v>TAS3001CPW</v>
      </c>
      <c r="B1942" s="3" t="str">
        <f>HYPERLINK("https://www.773grp.com/manufacturer/texas-instruments?pageNo=260", "Texas Instruments")</f>
        <v>Texas Instruments</v>
      </c>
      <c r="C1942" s="5">
        <v>19006</v>
      </c>
      <c r="D1942" s="6">
        <v>6.59</v>
      </c>
      <c r="E1942" t="s">
        <v>36</v>
      </c>
    </row>
    <row r="1943" spans="1:5" x14ac:dyDescent="0.25">
      <c r="A1943" t="str">
        <f>HYPERLINK("https://www.773grp.com/globalSearch/TAS3001CPWR/page-1", "TAS3001CPWR")</f>
        <v>TAS3001CPWR</v>
      </c>
      <c r="B1943" s="3" t="str">
        <f>HYPERLINK("https://www.773grp.com/manufacturer/texas-instruments?pageNo=261", "Texas Instruments")</f>
        <v>Texas Instruments</v>
      </c>
      <c r="C1943" s="5">
        <v>20000</v>
      </c>
      <c r="D1943" s="6">
        <v>6.59</v>
      </c>
      <c r="E1943" t="s">
        <v>36</v>
      </c>
    </row>
    <row r="1944" spans="1:5" x14ac:dyDescent="0.25">
      <c r="A1944" t="str">
        <f>HYPERLINK("https://www.773grp.com/globalSearch/TPA6010A4PWPR/page-1", "TPA6010A4PWPR")</f>
        <v>TPA6010A4PWPR</v>
      </c>
      <c r="B1944" s="3" t="str">
        <f>HYPERLINK("https://www.773grp.com/manufacturer/texas-instruments?pageNo=400", "Texas Instruments")</f>
        <v>Texas Instruments</v>
      </c>
      <c r="C1944" s="5">
        <v>30000</v>
      </c>
      <c r="D1944" s="6">
        <v>6.64</v>
      </c>
      <c r="E1944" t="s">
        <v>36</v>
      </c>
    </row>
    <row r="1945" spans="1:5" x14ac:dyDescent="0.25">
      <c r="A1945" t="str">
        <f>HYPERLINK("https://www.773grp.com/globalSearch/TPA0132PWP/page-1", "TPA0132PWP")</f>
        <v>TPA0132PWP</v>
      </c>
      <c r="B1945" s="3" t="str">
        <f>HYPERLINK("https://www.773grp.com/manufacturer/texas-instruments?pageNo=861", "Texas Instruments")</f>
        <v>Texas Instruments</v>
      </c>
      <c r="C1945" s="5">
        <v>17850</v>
      </c>
      <c r="D1945" s="6">
        <v>7.04</v>
      </c>
      <c r="E1945" t="s">
        <v>36</v>
      </c>
    </row>
    <row r="1946" spans="1:5" x14ac:dyDescent="0.25">
      <c r="A1946" t="str">
        <f>HYPERLINK("https://www.773grp.com/globalSearch/TPA0132PWPG4/page-1", "TPA0132PWPG4")</f>
        <v>TPA0132PWPG4</v>
      </c>
      <c r="B1946" s="3" t="str">
        <f>HYPERLINK("https://www.773grp.com/manufacturer/texas-instruments?pageNo=862", "Texas Instruments")</f>
        <v>Texas Instruments</v>
      </c>
      <c r="C1946" s="5">
        <v>178</v>
      </c>
      <c r="D1946" s="6">
        <v>7.04</v>
      </c>
      <c r="E1946" t="s">
        <v>36</v>
      </c>
    </row>
    <row r="1947" spans="1:5" x14ac:dyDescent="0.25">
      <c r="A1947" t="str">
        <f>HYPERLINK("https://www.773grp.com/globalSearch/TPA0142PWP/page-1", "TPA0142PWP")</f>
        <v>TPA0142PWP</v>
      </c>
      <c r="B1947" s="3" t="str">
        <f>HYPERLINK("https://www.773grp.com/manufacturer/texas-instruments?pageNo=863", "Texas Instruments")</f>
        <v>Texas Instruments</v>
      </c>
      <c r="C1947" s="5">
        <v>15922</v>
      </c>
      <c r="D1947" s="6">
        <v>7.04</v>
      </c>
      <c r="E1947" t="s">
        <v>36</v>
      </c>
    </row>
    <row r="1948" spans="1:5" x14ac:dyDescent="0.25">
      <c r="A1948" t="str">
        <f>HYPERLINK("https://www.773grp.com/globalSearch/TPA0242PWP/page-1", "TPA0242PWP")</f>
        <v>TPA0242PWP</v>
      </c>
      <c r="B1948" s="3" t="str">
        <f>HYPERLINK("https://www.773grp.com/manufacturer/texas-instruments?pageNo=864", "Texas Instruments")</f>
        <v>Texas Instruments</v>
      </c>
      <c r="C1948" s="5">
        <v>5788</v>
      </c>
      <c r="D1948" s="6">
        <v>7.04</v>
      </c>
      <c r="E1948" t="s">
        <v>36</v>
      </c>
    </row>
    <row r="1949" spans="1:5" x14ac:dyDescent="0.25">
      <c r="A1949" t="str">
        <f>HYPERLINK("https://www.773grp.com/globalSearch/TPA0232PWP/page-1", "TPA0232PWP")</f>
        <v>TPA0232PWP</v>
      </c>
      <c r="B1949" s="3" t="s">
        <v>90</v>
      </c>
      <c r="C1949" s="5">
        <v>10847</v>
      </c>
      <c r="D1949" s="6">
        <v>7.65</v>
      </c>
      <c r="E1949" t="s">
        <v>36</v>
      </c>
    </row>
    <row r="1950" spans="1:5" x14ac:dyDescent="0.25">
      <c r="A1950" t="str">
        <f>HYPERLINK("https://www.773grp.com/globalSearch/TPA0172PWPR/page-1", "TPA0172PWPR")</f>
        <v>TPA0172PWPR</v>
      </c>
      <c r="B1950" s="3" t="s">
        <v>90</v>
      </c>
      <c r="C1950" s="5">
        <v>10784</v>
      </c>
      <c r="D1950" s="6">
        <v>7.68</v>
      </c>
      <c r="E1950" t="s">
        <v>36</v>
      </c>
    </row>
    <row r="1951" spans="1:5" x14ac:dyDescent="0.25">
      <c r="A1951" t="str">
        <f>HYPERLINK("https://www.773grp.com/globalSearch/TPA0162PWP/page-1", "TPA0162PWP")</f>
        <v>TPA0162PWP</v>
      </c>
      <c r="B1951" s="3" t="s">
        <v>90</v>
      </c>
      <c r="C1951" s="5">
        <v>120</v>
      </c>
      <c r="D1951" s="6">
        <v>7.81</v>
      </c>
      <c r="E1951" t="s">
        <v>36</v>
      </c>
    </row>
    <row r="1952" spans="1:5" x14ac:dyDescent="0.25">
      <c r="A1952" t="str">
        <f>HYPERLINK("https://www.773grp.com/globalSearch/TPA0252PWP/page-1", "TPA0252PWP")</f>
        <v>TPA0252PWP</v>
      </c>
      <c r="B1952" s="3" t="s">
        <v>90</v>
      </c>
      <c r="C1952" s="5">
        <v>12266</v>
      </c>
      <c r="D1952" s="6">
        <v>7.81</v>
      </c>
      <c r="E1952" t="s">
        <v>36</v>
      </c>
    </row>
    <row r="1953" spans="1:5" x14ac:dyDescent="0.25">
      <c r="A1953" t="str">
        <f>HYPERLINK("https://www.773grp.com/globalSearch/TPA6010A4PWP/page-1", "TPA6010A4PWP")</f>
        <v>TPA6010A4PWP</v>
      </c>
      <c r="B1953" s="3" t="s">
        <v>90</v>
      </c>
      <c r="C1953" s="5">
        <v>5650</v>
      </c>
      <c r="D1953" s="6">
        <v>7.96</v>
      </c>
      <c r="E1953" t="s">
        <v>36</v>
      </c>
    </row>
    <row r="1954" spans="1:5" x14ac:dyDescent="0.25">
      <c r="A1954" t="str">
        <f>HYPERLINK("https://www.773grp.com/globalSearch/TPA3003D2PFBR/page-1", "TPA3003D2PFBR")</f>
        <v>TPA3003D2PFBR</v>
      </c>
      <c r="B1954" s="3" t="s">
        <v>90</v>
      </c>
      <c r="C1954" s="5">
        <v>33019</v>
      </c>
      <c r="D1954" s="6">
        <v>8.86</v>
      </c>
      <c r="E1954" t="s">
        <v>36</v>
      </c>
    </row>
    <row r="1955" spans="1:5" x14ac:dyDescent="0.25">
      <c r="A1955" t="str">
        <f>HYPERLINK("https://www.773grp.com/globalSearch/TPA0172PWP/page-1", "TPA0172PWP")</f>
        <v>TPA0172PWP</v>
      </c>
      <c r="B1955" s="3" t="s">
        <v>90</v>
      </c>
      <c r="C1955" s="5">
        <v>2104</v>
      </c>
      <c r="D1955" s="6">
        <v>9.1999999999999993</v>
      </c>
      <c r="E1955" t="s">
        <v>36</v>
      </c>
    </row>
    <row r="1956" spans="1:5" x14ac:dyDescent="0.25">
      <c r="A1956" t="str">
        <f>HYPERLINK("https://www.773grp.com/globalSearch/TPA3004D2PHPR/page-1", "TPA3004D2PHPR")</f>
        <v>TPA3004D2PHPR</v>
      </c>
      <c r="B1956" s="3" t="s">
        <v>90</v>
      </c>
      <c r="C1956" s="5">
        <v>9000</v>
      </c>
      <c r="D1956" s="6">
        <v>9.59</v>
      </c>
      <c r="E1956" t="s">
        <v>36</v>
      </c>
    </row>
    <row r="1957" spans="1:5" x14ac:dyDescent="0.25">
      <c r="A1957" t="str">
        <f>HYPERLINK("https://www.773grp.com/globalSearch/TPA3004D2PHPRG4/page-1", "TPA3004D2PHPRG4")</f>
        <v>TPA3004D2PHPRG4</v>
      </c>
      <c r="B1957" s="3" t="s">
        <v>90</v>
      </c>
      <c r="C1957" s="5">
        <v>1000</v>
      </c>
      <c r="D1957" s="6">
        <v>9.59</v>
      </c>
      <c r="E1957" t="s">
        <v>36</v>
      </c>
    </row>
    <row r="1958" spans="1:5" x14ac:dyDescent="0.25">
      <c r="A1958" t="str">
        <f>HYPERLINK("https://www.773grp.com/globalSearch/TPA3002D2PHPR/page-1", "TPA3002D2PHPR")</f>
        <v>TPA3002D2PHPR</v>
      </c>
      <c r="B1958" s="3" t="s">
        <v>90</v>
      </c>
      <c r="C1958" s="5">
        <v>98323</v>
      </c>
      <c r="D1958" s="6">
        <v>9.75</v>
      </c>
      <c r="E1958" t="s">
        <v>36</v>
      </c>
    </row>
    <row r="1959" spans="1:5" x14ac:dyDescent="0.25">
      <c r="A1959" t="str">
        <f>HYPERLINK("https://www.773grp.com/globalSearch/TPA3003D2PFB/page-1", "TPA3003D2PFB")</f>
        <v>TPA3003D2PFB</v>
      </c>
      <c r="B1959" s="3" t="s">
        <v>90</v>
      </c>
      <c r="C1959" s="5">
        <v>6750</v>
      </c>
      <c r="D1959" s="6">
        <v>10.64</v>
      </c>
      <c r="E1959" t="s">
        <v>36</v>
      </c>
    </row>
    <row r="1960" spans="1:5" x14ac:dyDescent="0.25">
      <c r="A1960" t="str">
        <f>HYPERLINK("https://www.773grp.com/globalSearch/TLC320AD81CDBT/page-1", "TLC320AD81CDBT")</f>
        <v>TLC320AD81CDBT</v>
      </c>
      <c r="B1960" s="3" t="s">
        <v>90</v>
      </c>
      <c r="C1960" s="5">
        <v>16045</v>
      </c>
      <c r="D1960" s="6">
        <v>11.65</v>
      </c>
      <c r="E1960" t="s">
        <v>36</v>
      </c>
    </row>
    <row r="1961" spans="1:5" x14ac:dyDescent="0.25">
      <c r="A1961" t="str">
        <f>HYPERLINK("https://www.773grp.com/globalSearch/TPA3002D2PHP/page-1", "TPA3002D2PHP")</f>
        <v>TPA3002D2PHP</v>
      </c>
      <c r="B1961" s="3" t="s">
        <v>90</v>
      </c>
      <c r="C1961" s="5">
        <v>9638</v>
      </c>
      <c r="D1961" s="6">
        <v>11.7</v>
      </c>
      <c r="E1961" t="s">
        <v>36</v>
      </c>
    </row>
    <row r="1962" spans="1:5" x14ac:dyDescent="0.25">
      <c r="A1962" t="str">
        <f>HYPERLINK("https://www.773grp.com/globalSearch/TPA3004D2PHP/page-1", "TPA3004D2PHP")</f>
        <v>TPA3004D2PHP</v>
      </c>
      <c r="B1962" s="3" t="s">
        <v>90</v>
      </c>
      <c r="C1962" s="5">
        <v>1287</v>
      </c>
      <c r="D1962" s="6">
        <v>11.99</v>
      </c>
      <c r="E1962" t="s">
        <v>36</v>
      </c>
    </row>
    <row r="1963" spans="1:5" x14ac:dyDescent="0.25">
      <c r="A1963" t="str">
        <f>HYPERLINK("https://www.773grp.com/globalSearch/PGA2311P/page-1", "PGA2311P")</f>
        <v>PGA2311P</v>
      </c>
      <c r="B1963" s="3" t="str">
        <f>HYPERLINK("https://www.773grp.com/manufacturer/texas-instruments?pageNo=361", "Texas Instruments")</f>
        <v>Texas Instruments</v>
      </c>
      <c r="C1963" s="5">
        <v>579</v>
      </c>
      <c r="D1963" s="6">
        <v>12.78</v>
      </c>
      <c r="E1963" t="s">
        <v>36</v>
      </c>
    </row>
    <row r="1964" spans="1:5" x14ac:dyDescent="0.25">
      <c r="A1964" t="str">
        <f>HYPERLINK("https://www.773grp.com/globalSearch/PGA2311PA/page-1", "PGA2311PA")</f>
        <v>PGA2311PA</v>
      </c>
      <c r="B1964" s="3" t="s">
        <v>90</v>
      </c>
      <c r="C1964" s="5">
        <v>75</v>
      </c>
      <c r="D1964" s="6">
        <v>14.76</v>
      </c>
      <c r="E1964" t="s">
        <v>36</v>
      </c>
    </row>
    <row r="1965" spans="1:5" x14ac:dyDescent="0.25">
      <c r="A1965" t="str">
        <f>HYPERLINK("https://www.773grp.com/globalSearch/PGA2311UA/page-1", "PGA2311UA")</f>
        <v>PGA2311UA</v>
      </c>
      <c r="B1965" s="3" t="s">
        <v>90</v>
      </c>
      <c r="C1965" s="5">
        <v>328</v>
      </c>
      <c r="D1965" s="6">
        <v>15.33</v>
      </c>
      <c r="E1965" t="s">
        <v>36</v>
      </c>
    </row>
    <row r="1966" spans="1:5" x14ac:dyDescent="0.25">
      <c r="A1966" t="str">
        <f>HYPERLINK("https://www.773grp.com/globalSearch/PGA4311U-1K/page-1", "PGA4311U-1K")</f>
        <v>PGA4311U-1K</v>
      </c>
      <c r="B1966" s="3" t="s">
        <v>90</v>
      </c>
      <c r="C1966" s="5">
        <v>1750</v>
      </c>
      <c r="D1966" s="6">
        <v>20.96</v>
      </c>
      <c r="E1966" t="s">
        <v>36</v>
      </c>
    </row>
    <row r="1967" spans="1:5" x14ac:dyDescent="0.25">
      <c r="A1967" t="str">
        <f>HYPERLINK("https://www.773grp.com/globalSearch/PGA2320IDWR/page-1", "PGA2320IDWR")</f>
        <v>PGA2320IDWR</v>
      </c>
      <c r="B1967" s="3" t="s">
        <v>90</v>
      </c>
      <c r="C1967" s="5">
        <v>230</v>
      </c>
      <c r="D1967" s="6">
        <v>22.36</v>
      </c>
      <c r="E1967" t="s">
        <v>36</v>
      </c>
    </row>
    <row r="1968" spans="1:5" x14ac:dyDescent="0.25">
      <c r="A1968" t="str">
        <f>HYPERLINK("https://www.773grp.com/globalSearch/PGA4311U/page-1", "PGA4311U")</f>
        <v>PGA4311U</v>
      </c>
      <c r="B1968" s="3" t="s">
        <v>90</v>
      </c>
      <c r="C1968" s="5">
        <v>80</v>
      </c>
      <c r="D1968" s="6">
        <v>25.18</v>
      </c>
      <c r="E1968" t="s">
        <v>36</v>
      </c>
    </row>
    <row r="1969" spans="1:5" x14ac:dyDescent="0.25">
      <c r="A1969" t="str">
        <f>HYPERLINK("https://www.773grp.com/globalSearch/PGA4311UA/page-1", "PGA4311UA")</f>
        <v>PGA4311UA</v>
      </c>
      <c r="B1969" s="3" t="str">
        <f>HYPERLINK("https://www.773grp.com/manufacturer/texas-instruments?pageNo=285", "Texas Instruments")</f>
        <v>Texas Instruments</v>
      </c>
      <c r="C1969" s="5">
        <v>1443</v>
      </c>
      <c r="D1969" s="6">
        <v>28.98</v>
      </c>
      <c r="E1969" t="s">
        <v>36</v>
      </c>
    </row>
    <row r="1970" spans="1:5" x14ac:dyDescent="0.25">
      <c r="A1970" t="str">
        <f>HYPERLINK("https://www.773grp.com/globalSearch/PGA2310PA/page-1", "PGA2310PA")</f>
        <v>PGA2310PA</v>
      </c>
      <c r="B1970" s="3" t="str">
        <f>HYPERLINK("https://www.773grp.com/manufacturer/texas-instruments?pageNo=651", "Texas Instruments")</f>
        <v>Texas Instruments</v>
      </c>
      <c r="C1970" s="5">
        <v>74</v>
      </c>
      <c r="D1970" s="6">
        <v>31.14</v>
      </c>
      <c r="E1970" t="s">
        <v>36</v>
      </c>
    </row>
    <row r="1971" spans="1:5" x14ac:dyDescent="0.25">
      <c r="A1971" t="str">
        <f>HYPERLINK("https://www.773grp.com/globalSearch/PGA2310UA/page-1", "PGA2310UA")</f>
        <v>PGA2310UA</v>
      </c>
      <c r="B1971" s="3" t="str">
        <f>HYPERLINK("https://www.773grp.com/manufacturer/texas-instruments?pageNo=941", "Texas Instruments")</f>
        <v>Texas Instruments</v>
      </c>
      <c r="C1971" s="5">
        <v>19</v>
      </c>
      <c r="D1971" s="6">
        <v>33.299999999999997</v>
      </c>
      <c r="E1971" t="s">
        <v>36</v>
      </c>
    </row>
    <row r="1972" spans="1:5" x14ac:dyDescent="0.25">
      <c r="A1972" t="str">
        <f>HYPERLINK("https://www.773grp.com/globalSearch/OPA134UA/page-1", "OPA134UA")</f>
        <v>OPA134UA</v>
      </c>
      <c r="B1972" s="3" t="str">
        <f>HYPERLINK("https://www.773grp.com/manufacturer/texas-instruments?pageNo=508", "Texas Instruments")</f>
        <v>Texas Instruments</v>
      </c>
      <c r="C1972" s="5">
        <v>450</v>
      </c>
      <c r="D1972" s="6">
        <v>3.66</v>
      </c>
      <c r="E1972" t="s">
        <v>15</v>
      </c>
    </row>
    <row r="1973" spans="1:5" x14ac:dyDescent="0.25">
      <c r="A1973" t="str">
        <f>HYPERLINK("https://www.773grp.com/globalSearch/OPA134UA/page-1", "OPA134UA")</f>
        <v>OPA134UA</v>
      </c>
      <c r="B1973" s="3" t="str">
        <f>HYPERLINK("https://www.773grp.com/manufacturer/texas-instruments?pageNo=509", "Texas Instruments")</f>
        <v>Texas Instruments</v>
      </c>
      <c r="C1973" s="5">
        <v>77</v>
      </c>
      <c r="D1973" s="6">
        <v>3.66</v>
      </c>
      <c r="E1973" t="s">
        <v>15</v>
      </c>
    </row>
    <row r="1974" spans="1:5" x14ac:dyDescent="0.25">
      <c r="A1974" t="str">
        <f>HYPERLINK("https://www.773grp.com/globalSearch/OPA350EA-250/page-1", "OPA350EA-250")</f>
        <v>OPA350EA-250</v>
      </c>
      <c r="B1974" s="3" t="str">
        <f>HYPERLINK("https://www.773grp.com/manufacturer/texas-instruments?pageNo=523", "Texas Instruments")</f>
        <v>Texas Instruments</v>
      </c>
      <c r="C1974" s="5">
        <v>1500</v>
      </c>
      <c r="D1974" s="6">
        <v>3.66</v>
      </c>
      <c r="E1974" t="s">
        <v>15</v>
      </c>
    </row>
    <row r="1975" spans="1:5" x14ac:dyDescent="0.25">
      <c r="A1975" t="str">
        <f>HYPERLINK("https://www.773grp.com/globalSearch/OPA350PA/page-1", "OPA350PA")</f>
        <v>OPA350PA</v>
      </c>
      <c r="B1975" s="3" t="str">
        <f>HYPERLINK("https://www.773grp.com/manufacturer/texas-instruments?pageNo=524", "Texas Instruments")</f>
        <v>Texas Instruments</v>
      </c>
      <c r="C1975" s="5">
        <v>2347</v>
      </c>
      <c r="D1975" s="6">
        <v>3.66</v>
      </c>
      <c r="E1975" t="s">
        <v>15</v>
      </c>
    </row>
    <row r="1976" spans="1:5" x14ac:dyDescent="0.25">
      <c r="A1976" t="str">
        <f>HYPERLINK("https://www.773grp.com/globalSearch/OPA650P/page-1", "OPA650P")</f>
        <v>OPA650P</v>
      </c>
      <c r="B1976" s="3" t="str">
        <f>HYPERLINK("https://www.773grp.com/manufacturer/texas-instruments?pageNo=531", "Texas Instruments")</f>
        <v>Texas Instruments</v>
      </c>
      <c r="C1976" s="5">
        <v>189</v>
      </c>
      <c r="D1976" s="6">
        <v>3.66</v>
      </c>
      <c r="E1976" t="s">
        <v>15</v>
      </c>
    </row>
    <row r="1977" spans="1:5" x14ac:dyDescent="0.25">
      <c r="A1977" t="str">
        <f>HYPERLINK("https://www.773grp.com/globalSearch/OPA650U/page-1", "OPA650U")</f>
        <v>OPA650U</v>
      </c>
      <c r="B1977" s="3" t="str">
        <f>HYPERLINK("https://www.773grp.com/manufacturer/texas-instruments?pageNo=532", "Texas Instruments")</f>
        <v>Texas Instruments</v>
      </c>
      <c r="C1977" s="5">
        <v>1017</v>
      </c>
      <c r="D1977" s="6">
        <v>3.66</v>
      </c>
      <c r="E1977" t="s">
        <v>15</v>
      </c>
    </row>
    <row r="1978" spans="1:5" x14ac:dyDescent="0.25">
      <c r="A1978" t="str">
        <f>HYPERLINK("https://www.773grp.com/globalSearch/THS3092DDAR/page-1", "THS3092DDAR")</f>
        <v>THS3092DDAR</v>
      </c>
      <c r="B1978" s="3" t="str">
        <f>HYPERLINK("https://www.773grp.com/manufacturer/texas-instruments?pageNo=545", "Texas Instruments")</f>
        <v>Texas Instruments</v>
      </c>
      <c r="C1978" s="5">
        <v>4103</v>
      </c>
      <c r="D1978" s="6">
        <v>3.66</v>
      </c>
      <c r="E1978" t="s">
        <v>15</v>
      </c>
    </row>
    <row r="1979" spans="1:5" x14ac:dyDescent="0.25">
      <c r="A1979" t="str">
        <f>HYPERLINK("https://www.773grp.com/globalSearch/TPA2016D2RTJR/page-1", "TPA2016D2RTJR")</f>
        <v>TPA2016D2RTJR</v>
      </c>
      <c r="B1979" s="3" t="str">
        <f>HYPERLINK("https://www.773grp.com/manufacturer/texas-instruments?pageNo=605", "Texas Instruments")</f>
        <v>Texas Instruments</v>
      </c>
      <c r="C1979" s="5">
        <v>3000</v>
      </c>
      <c r="D1979" s="6">
        <v>3.66</v>
      </c>
      <c r="E1979" t="s">
        <v>15</v>
      </c>
    </row>
    <row r="1980" spans="1:5" x14ac:dyDescent="0.25">
      <c r="A1980" t="str">
        <f>HYPERLINK("https://www.773grp.com/globalSearch/TPA2016D2YZHR/page-1", "TPA2016D2YZHR")</f>
        <v>TPA2016D2YZHR</v>
      </c>
      <c r="B1980" s="3" t="str">
        <f>HYPERLINK("https://www.773grp.com/manufacturer/texas-instruments?pageNo=606", "Texas Instruments")</f>
        <v>Texas Instruments</v>
      </c>
      <c r="C1980" s="5">
        <v>1440</v>
      </c>
      <c r="D1980" s="6">
        <v>3.66</v>
      </c>
      <c r="E1980" t="s">
        <v>15</v>
      </c>
    </row>
    <row r="1981" spans="1:5" x14ac:dyDescent="0.25">
      <c r="A1981" t="str">
        <f>HYPERLINK("https://www.773grp.com/globalSearch/TPA2050D4YZKT/page-1", "TPA2050D4YZKT")</f>
        <v>TPA2050D4YZKT</v>
      </c>
      <c r="B1981" s="3" t="str">
        <f>HYPERLINK("https://www.773grp.com/manufacturer/texas-instruments?pageNo=607", "Texas Instruments")</f>
        <v>Texas Instruments</v>
      </c>
      <c r="C1981" s="5">
        <v>990</v>
      </c>
      <c r="D1981" s="6">
        <v>3.66</v>
      </c>
      <c r="E1981" t="s">
        <v>15</v>
      </c>
    </row>
    <row r="1982" spans="1:5" x14ac:dyDescent="0.25">
      <c r="A1982" t="str">
        <f>HYPERLINK("https://www.773grp.com/globalSearch/TPA102DGNR/page-1", "TPA102DGNR")</f>
        <v>TPA102DGNR</v>
      </c>
      <c r="B1982" s="3" t="str">
        <f>HYPERLINK("https://www.773grp.com/manufacturer/texas-instruments?pageNo=705", "Texas Instruments")</f>
        <v>Texas Instruments</v>
      </c>
      <c r="C1982" s="5">
        <v>7500</v>
      </c>
      <c r="D1982" s="6">
        <v>4.0599999999999996</v>
      </c>
      <c r="E1982" t="s">
        <v>15</v>
      </c>
    </row>
    <row r="1983" spans="1:5" x14ac:dyDescent="0.25">
      <c r="A1983" t="str">
        <f>HYPERLINK("https://www.773grp.com/globalSearch/TPA2012D2YZHT/page-1", "TPA2012D2YZHT")</f>
        <v>TPA2012D2YZHT</v>
      </c>
      <c r="B1983" s="3" t="str">
        <f>HYPERLINK("https://www.773grp.com/manufacturer/texas-instruments?pageNo=706", "Texas Instruments")</f>
        <v>Texas Instruments</v>
      </c>
      <c r="C1983" s="5">
        <v>250</v>
      </c>
      <c r="D1983" s="6">
        <v>4.0599999999999996</v>
      </c>
      <c r="E1983" t="s">
        <v>15</v>
      </c>
    </row>
    <row r="1984" spans="1:5" x14ac:dyDescent="0.25">
      <c r="A1984" t="str">
        <f>HYPERLINK("https://www.773grp.com/globalSearch/TPA2000D1PW/page-1", "TPA2000D1PW")</f>
        <v>TPA2000D1PW</v>
      </c>
      <c r="B1984" s="3" t="str">
        <f>HYPERLINK("https://www.773grp.com/manufacturer/texas-instruments?pageNo=754", "Texas Instruments")</f>
        <v>Texas Instruments</v>
      </c>
      <c r="C1984" s="5">
        <v>24</v>
      </c>
      <c r="D1984" s="6">
        <v>3.68</v>
      </c>
      <c r="E1984" t="s">
        <v>15</v>
      </c>
    </row>
    <row r="1985" spans="1:5" x14ac:dyDescent="0.25">
      <c r="A1985" t="str">
        <f>HYPERLINK("https://www.773grp.com/globalSearch/TPA2000D1PWG4/page-1", "TPA2000D1PWG4")</f>
        <v>TPA2000D1PWG4</v>
      </c>
      <c r="B1985" s="3" t="str">
        <f>HYPERLINK("https://www.773grp.com/manufacturer/texas-instruments?pageNo=755", "Texas Instruments")</f>
        <v>Texas Instruments</v>
      </c>
      <c r="C1985" s="5">
        <v>35</v>
      </c>
      <c r="D1985" s="6">
        <v>3.68</v>
      </c>
      <c r="E1985" t="s">
        <v>15</v>
      </c>
    </row>
    <row r="1986" spans="1:5" x14ac:dyDescent="0.25">
      <c r="A1986" t="str">
        <f>HYPERLINK("https://www.773grp.com/globalSearch/OPA692IDBVR/page-1", "OPA692IDBVR")</f>
        <v>OPA692IDBVR</v>
      </c>
      <c r="B1986" s="3" t="str">
        <f>HYPERLINK("https://www.773grp.com/manufacturer/texas-instruments?pageNo=826", "Texas Instruments")</f>
        <v>Texas Instruments</v>
      </c>
      <c r="C1986" s="5">
        <v>44680</v>
      </c>
      <c r="D1986" s="6">
        <v>3.71</v>
      </c>
      <c r="E1986" t="s">
        <v>15</v>
      </c>
    </row>
    <row r="1987" spans="1:5" x14ac:dyDescent="0.25">
      <c r="A1987" t="str">
        <f>HYPERLINK("https://www.773grp.com/globalSearch/OPA692IDR/page-1", "OPA692IDR")</f>
        <v>OPA692IDR</v>
      </c>
      <c r="B1987" s="3" t="str">
        <f>HYPERLINK("https://www.773grp.com/manufacturer/texas-instruments?pageNo=827", "Texas Instruments")</f>
        <v>Texas Instruments</v>
      </c>
      <c r="C1987" s="5">
        <v>60000</v>
      </c>
      <c r="D1987" s="6">
        <v>3.71</v>
      </c>
      <c r="E1987" t="s">
        <v>15</v>
      </c>
    </row>
    <row r="1988" spans="1:5" x14ac:dyDescent="0.25">
      <c r="A1988" t="str">
        <f>HYPERLINK("https://www.773grp.com/globalSearch/THS4081CDR/page-1", "THS4081CDR")</f>
        <v>THS4081CDR</v>
      </c>
      <c r="B1988" s="3" t="str">
        <f>HYPERLINK("https://www.773grp.com/manufacturer/texas-instruments?pageNo=834", "Texas Instruments")</f>
        <v>Texas Instruments</v>
      </c>
      <c r="C1988" s="5">
        <v>10000</v>
      </c>
      <c r="D1988" s="6">
        <v>3.71</v>
      </c>
      <c r="E1988" t="s">
        <v>15</v>
      </c>
    </row>
    <row r="1989" spans="1:5" x14ac:dyDescent="0.25">
      <c r="A1989" t="str">
        <f>HYPERLINK("https://www.773grp.com/globalSearch/TL592B-8D/page-1", "TL592B-8D")</f>
        <v>TL592B-8D</v>
      </c>
      <c r="B1989" s="3" t="s">
        <v>90</v>
      </c>
      <c r="C1989" s="5">
        <v>1634</v>
      </c>
      <c r="D1989" s="6">
        <v>4.16</v>
      </c>
      <c r="E1989" t="s">
        <v>15</v>
      </c>
    </row>
    <row r="1990" spans="1:5" x14ac:dyDescent="0.25">
      <c r="A1990" t="str">
        <f>HYPERLINK("https://www.773grp.com/globalSearch/TL592BP/page-1", "TL592BP")</f>
        <v>TL592BP</v>
      </c>
      <c r="B1990" s="3" t="s">
        <v>90</v>
      </c>
      <c r="C1990" s="5">
        <v>51055</v>
      </c>
      <c r="D1990" s="6">
        <v>4.16</v>
      </c>
      <c r="E1990" t="s">
        <v>15</v>
      </c>
    </row>
    <row r="1991" spans="1:5" x14ac:dyDescent="0.25">
      <c r="A1991" t="str">
        <f>HYPERLINK("https://www.773grp.com/globalSearch/OPA2354AIDDA/page-1", "OPA2354AIDDA")</f>
        <v>OPA2354AIDDA</v>
      </c>
      <c r="B1991" s="3" t="s">
        <v>90</v>
      </c>
      <c r="C1991" s="5">
        <v>14442</v>
      </c>
      <c r="D1991" s="6">
        <v>3.8</v>
      </c>
      <c r="E1991" t="s">
        <v>15</v>
      </c>
    </row>
    <row r="1992" spans="1:5" x14ac:dyDescent="0.25">
      <c r="A1992" t="str">
        <f>HYPERLINK("https://www.773grp.com/globalSearch/OPA650U-2K5/page-1", "OPA650U-2K5")</f>
        <v>OPA650U-2K5</v>
      </c>
      <c r="B1992" s="3" t="s">
        <v>90</v>
      </c>
      <c r="C1992" s="5">
        <v>10000</v>
      </c>
      <c r="D1992" s="6">
        <v>3.8</v>
      </c>
      <c r="E1992" t="s">
        <v>15</v>
      </c>
    </row>
    <row r="1993" spans="1:5" x14ac:dyDescent="0.25">
      <c r="A1993" t="str">
        <f>HYPERLINK("https://www.773grp.com/globalSearch/TPA2100P1YZHT/page-1", "TPA2100P1YZHT")</f>
        <v>TPA2100P1YZHT</v>
      </c>
      <c r="B1993" s="3" t="s">
        <v>90</v>
      </c>
      <c r="C1993" s="5">
        <v>4515</v>
      </c>
      <c r="D1993" s="6">
        <v>3.8</v>
      </c>
      <c r="E1993" t="s">
        <v>15</v>
      </c>
    </row>
    <row r="1994" spans="1:5" x14ac:dyDescent="0.25">
      <c r="A1994" t="str">
        <f>HYPERLINK("https://www.773grp.com/globalSearch/TPA3124D2PWP/page-1", "TPA3124D2PWP")</f>
        <v>TPA3124D2PWP</v>
      </c>
      <c r="B1994" s="3" t="s">
        <v>90</v>
      </c>
      <c r="C1994" s="5">
        <v>3060</v>
      </c>
      <c r="D1994" s="6">
        <v>3.8</v>
      </c>
      <c r="E1994" t="s">
        <v>15</v>
      </c>
    </row>
    <row r="1995" spans="1:5" x14ac:dyDescent="0.25">
      <c r="A1995" t="str">
        <f>HYPERLINK("https://www.773grp.com/globalSearch/OPA354AIDBVT/page-1", "OPA354AIDBVT")</f>
        <v>OPA354AIDBVT</v>
      </c>
      <c r="B1995" s="3" t="s">
        <v>90</v>
      </c>
      <c r="C1995" s="5">
        <v>17250</v>
      </c>
      <c r="D1995" s="6">
        <v>4.2300000000000004</v>
      </c>
      <c r="E1995" t="s">
        <v>15</v>
      </c>
    </row>
    <row r="1996" spans="1:5" x14ac:dyDescent="0.25">
      <c r="A1996" t="str">
        <f>HYPERLINK("https://www.773grp.com/globalSearch/OPA354AIDDA/page-1", "OPA354AIDDA")</f>
        <v>OPA354AIDDA</v>
      </c>
      <c r="B1996" s="3" t="s">
        <v>90</v>
      </c>
      <c r="C1996" s="5">
        <v>47834</v>
      </c>
      <c r="D1996" s="6">
        <v>4.2300000000000004</v>
      </c>
      <c r="E1996" t="s">
        <v>15</v>
      </c>
    </row>
    <row r="1997" spans="1:5" x14ac:dyDescent="0.25">
      <c r="A1997" t="str">
        <f>HYPERLINK("https://www.773grp.com/globalSearch/OPA357AIDBVT/page-1", "OPA357AIDBVT")</f>
        <v>OPA357AIDBVT</v>
      </c>
      <c r="B1997" s="3" t="s">
        <v>90</v>
      </c>
      <c r="C1997" s="5">
        <v>6955</v>
      </c>
      <c r="D1997" s="6">
        <v>4.2300000000000004</v>
      </c>
      <c r="E1997" t="s">
        <v>15</v>
      </c>
    </row>
    <row r="1998" spans="1:5" x14ac:dyDescent="0.25">
      <c r="A1998" t="str">
        <f>HYPERLINK("https://www.773grp.com/globalSearch/OPA357AIDDA/page-1", "OPA357AIDDA")</f>
        <v>OPA357AIDDA</v>
      </c>
      <c r="B1998" s="3" t="s">
        <v>90</v>
      </c>
      <c r="C1998" s="5">
        <v>80847</v>
      </c>
      <c r="D1998" s="6">
        <v>4.2300000000000004</v>
      </c>
      <c r="E1998" t="s">
        <v>15</v>
      </c>
    </row>
    <row r="1999" spans="1:5" x14ac:dyDescent="0.25">
      <c r="A1999" t="str">
        <f>HYPERLINK("https://www.773grp.com/globalSearch/THS7364IPWR/page-1", "THS7364IPWR")</f>
        <v>THS7364IPWR</v>
      </c>
      <c r="B1999" s="3" t="str">
        <f>HYPERLINK("https://www.773grp.com/manufacturer/texas-instruments?pageNo=27", "Texas Instruments")</f>
        <v>Texas Instruments</v>
      </c>
      <c r="C1999" s="5">
        <v>2500</v>
      </c>
      <c r="D1999" s="6">
        <v>4.2300000000000004</v>
      </c>
      <c r="E1999" t="s">
        <v>15</v>
      </c>
    </row>
    <row r="2000" spans="1:5" x14ac:dyDescent="0.25">
      <c r="A2000" t="str">
        <f>HYPERLINK("https://www.773grp.com/globalSearch/TL592BI-8D/page-1", "TL592BI-8D")</f>
        <v>TL592BI-8D</v>
      </c>
      <c r="B2000" s="3" t="str">
        <f>HYPERLINK("https://www.773grp.com/manufacturer/texas-instruments?pageNo=29", "Texas Instruments")</f>
        <v>Texas Instruments</v>
      </c>
      <c r="C2000" s="5">
        <v>425</v>
      </c>
      <c r="D2000" s="6">
        <v>4.2300000000000004</v>
      </c>
      <c r="E2000" t="s">
        <v>15</v>
      </c>
    </row>
    <row r="2001" spans="1:5" x14ac:dyDescent="0.25">
      <c r="A2001" t="str">
        <f>HYPERLINK("https://www.773grp.com/globalSearch/TPA2013D1RGPR/page-1", "TPA2013D1RGPR")</f>
        <v>TPA2013D1RGPR</v>
      </c>
      <c r="B2001" s="3" t="str">
        <f>HYPERLINK("https://www.773grp.com/manufacturer/texas-instruments?pageNo=132", "Texas Instruments")</f>
        <v>Texas Instruments</v>
      </c>
      <c r="C2001" s="5">
        <v>13361</v>
      </c>
      <c r="D2001" s="6">
        <v>4.2300000000000004</v>
      </c>
      <c r="E2001" t="s">
        <v>15</v>
      </c>
    </row>
    <row r="2002" spans="1:5" x14ac:dyDescent="0.25">
      <c r="A2002" t="str">
        <f>HYPERLINK("https://www.773grp.com/globalSearch/TPA6100A2DGK/page-1", "TPA6100A2DGK")</f>
        <v>TPA6100A2DGK</v>
      </c>
      <c r="B2002" s="3" t="str">
        <f>HYPERLINK("https://www.773grp.com/manufacturer/texas-instruments?pageNo=133", "Texas Instruments")</f>
        <v>Texas Instruments</v>
      </c>
      <c r="C2002" s="5">
        <v>600</v>
      </c>
      <c r="D2002" s="6">
        <v>4.2300000000000004</v>
      </c>
      <c r="E2002" t="s">
        <v>15</v>
      </c>
    </row>
    <row r="2003" spans="1:5" x14ac:dyDescent="0.25">
      <c r="A2003" t="str">
        <f>HYPERLINK("https://www.773grp.com/globalSearch/TPA731DGN/page-1", "TPA731DGN")</f>
        <v>TPA731DGN</v>
      </c>
      <c r="B2003" s="3" t="str">
        <f>HYPERLINK("https://www.773grp.com/manufacturer/texas-instruments?pageNo=135", "Texas Instruments")</f>
        <v>Texas Instruments</v>
      </c>
      <c r="C2003" s="5">
        <v>4641</v>
      </c>
      <c r="D2003" s="6">
        <v>4.2300000000000004</v>
      </c>
      <c r="E2003" t="s">
        <v>15</v>
      </c>
    </row>
    <row r="2004" spans="1:5" x14ac:dyDescent="0.25">
      <c r="A2004" t="str">
        <f>HYPERLINK("https://www.773grp.com/globalSearch/TPA751DGN/page-1", "TPA751DGN")</f>
        <v>TPA751DGN</v>
      </c>
      <c r="B2004" s="3" t="str">
        <f>HYPERLINK("https://www.773grp.com/manufacturer/texas-instruments?pageNo=136", "Texas Instruments")</f>
        <v>Texas Instruments</v>
      </c>
      <c r="C2004" s="5">
        <v>3903</v>
      </c>
      <c r="D2004" s="6">
        <v>4.2300000000000004</v>
      </c>
      <c r="E2004" t="s">
        <v>15</v>
      </c>
    </row>
    <row r="2005" spans="1:5" x14ac:dyDescent="0.25">
      <c r="A2005" t="str">
        <f>HYPERLINK("https://www.773grp.com/globalSearch/TPA0102PWPR/page-1", "TPA0102PWPR")</f>
        <v>TPA0102PWPR</v>
      </c>
      <c r="B2005" s="3" t="str">
        <f>HYPERLINK("https://www.773grp.com/manufacturer/texas-instruments?pageNo=305", "Texas Instruments")</f>
        <v>Texas Instruments</v>
      </c>
      <c r="C2005" s="5">
        <v>580000</v>
      </c>
      <c r="D2005" s="6">
        <v>3.83</v>
      </c>
      <c r="E2005" t="s">
        <v>15</v>
      </c>
    </row>
    <row r="2006" spans="1:5" x14ac:dyDescent="0.25">
      <c r="A2006" t="str">
        <f>HYPERLINK("https://www.773grp.com/globalSearch/TPA0103PWPR/page-1", "TPA0103PWPR")</f>
        <v>TPA0103PWPR</v>
      </c>
      <c r="B2006" s="3" t="str">
        <f>HYPERLINK("https://www.773grp.com/manufacturer/texas-instruments?pageNo=306", "Texas Instruments")</f>
        <v>Texas Instruments</v>
      </c>
      <c r="C2006" s="5">
        <v>315</v>
      </c>
      <c r="D2006" s="6">
        <v>3.83</v>
      </c>
      <c r="E2006" t="s">
        <v>15</v>
      </c>
    </row>
    <row r="2007" spans="1:5" x14ac:dyDescent="0.25">
      <c r="A2007" t="str">
        <f>HYPERLINK("https://www.773grp.com/globalSearch/OPA694IDBVR/page-1", "OPA694IDBVR")</f>
        <v>OPA694IDBVR</v>
      </c>
      <c r="B2007" s="3" t="str">
        <f>HYPERLINK("https://www.773grp.com/manufacturer/texas-instruments?pageNo=322", "Texas Instruments")</f>
        <v>Texas Instruments</v>
      </c>
      <c r="C2007" s="5">
        <v>110755</v>
      </c>
      <c r="D2007" s="6">
        <v>3.85</v>
      </c>
      <c r="E2007" t="s">
        <v>15</v>
      </c>
    </row>
    <row r="2008" spans="1:5" x14ac:dyDescent="0.25">
      <c r="A2008" t="str">
        <f>HYPERLINK("https://www.773grp.com/globalSearch/OPA694IDR/page-1", "OPA694IDR")</f>
        <v>OPA694IDR</v>
      </c>
      <c r="B2008" s="3" t="str">
        <f>HYPERLINK("https://www.773grp.com/manufacturer/texas-instruments?pageNo=323", "Texas Instruments")</f>
        <v>Texas Instruments</v>
      </c>
      <c r="C2008" s="5">
        <v>15000</v>
      </c>
      <c r="D2008" s="6">
        <v>3.85</v>
      </c>
      <c r="E2008" t="s">
        <v>15</v>
      </c>
    </row>
    <row r="2009" spans="1:5" x14ac:dyDescent="0.25">
      <c r="A2009" t="str">
        <f>HYPERLINK("https://www.773grp.com/globalSearch/THS4222DGNR/page-1", "THS4222DGNR")</f>
        <v>THS4222DGNR</v>
      </c>
      <c r="B2009" s="3" t="str">
        <f>HYPERLINK("https://www.773grp.com/manufacturer/texas-instruments?pageNo=428", "Texas Instruments")</f>
        <v>Texas Instruments</v>
      </c>
      <c r="C2009" s="5">
        <v>12500</v>
      </c>
      <c r="D2009" s="6">
        <v>3.89</v>
      </c>
      <c r="E2009" t="s">
        <v>15</v>
      </c>
    </row>
    <row r="2010" spans="1:5" x14ac:dyDescent="0.25">
      <c r="A2010" t="str">
        <f>HYPERLINK("https://www.773grp.com/globalSearch/THS4222DR/page-1", "THS4222DR")</f>
        <v>THS4222DR</v>
      </c>
      <c r="B2010" s="3" t="str">
        <f>HYPERLINK("https://www.773grp.com/manufacturer/texas-instruments?pageNo=429", "Texas Instruments")</f>
        <v>Texas Instruments</v>
      </c>
      <c r="C2010" s="5">
        <v>16759</v>
      </c>
      <c r="D2010" s="6">
        <v>3.89</v>
      </c>
      <c r="E2010" t="s">
        <v>15</v>
      </c>
    </row>
    <row r="2011" spans="1:5" x14ac:dyDescent="0.25">
      <c r="A2011" t="str">
        <f>HYPERLINK("https://www.773grp.com/globalSearch/THS4222DRG4/page-1", "THS4222DRG4")</f>
        <v>THS4222DRG4</v>
      </c>
      <c r="B2011" s="3" t="str">
        <f>HYPERLINK("https://www.773grp.com/manufacturer/texas-instruments?pageNo=430", "Texas Instruments")</f>
        <v>Texas Instruments</v>
      </c>
      <c r="C2011" s="5">
        <v>2200</v>
      </c>
      <c r="D2011" s="6">
        <v>3.89</v>
      </c>
      <c r="E2011" t="s">
        <v>15</v>
      </c>
    </row>
    <row r="2012" spans="1:5" x14ac:dyDescent="0.25">
      <c r="A2012" t="str">
        <f>HYPERLINK("https://www.773grp.com/globalSearch/TPA2054D4YZKT/page-1", "TPA2054D4YZKT")</f>
        <v>TPA2054D4YZKT</v>
      </c>
      <c r="B2012" s="3" t="str">
        <f>HYPERLINK("https://www.773grp.com/manufacturer/texas-instruments?pageNo=438", "Texas Instruments")</f>
        <v>Texas Instruments</v>
      </c>
      <c r="C2012" s="5">
        <v>1165</v>
      </c>
      <c r="D2012" s="6">
        <v>3.89</v>
      </c>
      <c r="E2012" t="s">
        <v>15</v>
      </c>
    </row>
    <row r="2013" spans="1:5" x14ac:dyDescent="0.25">
      <c r="A2013" t="str">
        <f>HYPERLINK("https://www.773grp.com/globalSearch/TPA1517NE/page-1", "TPA1517NE")</f>
        <v>TPA1517NE</v>
      </c>
      <c r="B2013" s="3" t="str">
        <f>HYPERLINK("https://www.773grp.com/manufacturer/texas-instruments?pageNo=515", "Texas Instruments")</f>
        <v>Texas Instruments</v>
      </c>
      <c r="C2013" s="5">
        <v>59190</v>
      </c>
      <c r="D2013" s="6">
        <v>3.91</v>
      </c>
      <c r="E2013" t="s">
        <v>15</v>
      </c>
    </row>
    <row r="2014" spans="1:5" x14ac:dyDescent="0.25">
      <c r="A2014" t="str">
        <f>HYPERLINK("https://www.773grp.com/globalSearch/OPA350UA/page-1", "OPA350UA")</f>
        <v>OPA350UA</v>
      </c>
      <c r="B2014" s="3" t="str">
        <f>HYPERLINK("https://www.773grp.com/manufacturer/texas-instruments?pageNo=569", "Texas Instruments")</f>
        <v>Texas Instruments</v>
      </c>
      <c r="C2014" s="5">
        <v>455</v>
      </c>
      <c r="D2014" s="6">
        <v>3.94</v>
      </c>
      <c r="E2014" t="s">
        <v>15</v>
      </c>
    </row>
    <row r="2015" spans="1:5" x14ac:dyDescent="0.25">
      <c r="A2015" t="str">
        <f>HYPERLINK("https://www.773grp.com/globalSearch/TPA0233DGQ/page-1", "TPA0233DGQ")</f>
        <v>TPA0233DGQ</v>
      </c>
      <c r="B2015" s="3" t="str">
        <f>HYPERLINK("https://www.773grp.com/manufacturer/texas-instruments?pageNo=746", "Texas Instruments")</f>
        <v>Texas Instruments</v>
      </c>
      <c r="C2015" s="5">
        <v>14508</v>
      </c>
      <c r="D2015" s="6">
        <v>3.96</v>
      </c>
      <c r="E2015" t="s">
        <v>15</v>
      </c>
    </row>
    <row r="2016" spans="1:5" x14ac:dyDescent="0.25">
      <c r="A2016" t="str">
        <f>HYPERLINK("https://www.773grp.com/globalSearch/THS7365IPW/page-1", "THS7365IPW")</f>
        <v>THS7365IPW</v>
      </c>
      <c r="B2016" s="3" t="str">
        <f>HYPERLINK("https://www.773grp.com/manufacturer/texas-instruments?pageNo=866", "Texas Instruments")</f>
        <v>Texas Instruments</v>
      </c>
      <c r="C2016" s="5">
        <v>127615</v>
      </c>
      <c r="D2016" s="6">
        <v>4.4400000000000004</v>
      </c>
      <c r="E2016" t="s">
        <v>15</v>
      </c>
    </row>
    <row r="2017" spans="1:5" x14ac:dyDescent="0.25">
      <c r="A2017" t="str">
        <f>HYPERLINK("https://www.773grp.com/globalSearch/TPA4860D/page-1", "TPA4860D")</f>
        <v>TPA4860D</v>
      </c>
      <c r="B2017" s="3" t="str">
        <f>HYPERLINK("https://www.773grp.com/manufacturer/texas-instruments?pageNo=872", "Texas Instruments")</f>
        <v>Texas Instruments</v>
      </c>
      <c r="C2017" s="5">
        <v>8731</v>
      </c>
      <c r="D2017" s="6">
        <v>4.4400000000000004</v>
      </c>
      <c r="E2017" t="s">
        <v>15</v>
      </c>
    </row>
    <row r="2018" spans="1:5" x14ac:dyDescent="0.25">
      <c r="A2018" t="str">
        <f>HYPERLINK("https://www.773grp.com/globalSearch/TPA302DR/page-1", "TPA302DR")</f>
        <v>TPA302DR</v>
      </c>
      <c r="B2018" s="3" t="s">
        <v>90</v>
      </c>
      <c r="C2018" s="5">
        <v>9470</v>
      </c>
      <c r="D2018" s="6">
        <v>4.05</v>
      </c>
      <c r="E2018" t="s">
        <v>15</v>
      </c>
    </row>
    <row r="2019" spans="1:5" x14ac:dyDescent="0.25">
      <c r="A2019" t="str">
        <f>HYPERLINK("https://www.773grp.com/globalSearch/TPA3117D2RHBT/page-1", "TPA3117D2RHBT")</f>
        <v>TPA3117D2RHBT</v>
      </c>
      <c r="B2019" s="3" t="s">
        <v>90</v>
      </c>
      <c r="C2019" s="5">
        <v>250</v>
      </c>
      <c r="D2019" s="6">
        <v>4.05</v>
      </c>
      <c r="E2019" t="s">
        <v>15</v>
      </c>
    </row>
    <row r="2020" spans="1:5" x14ac:dyDescent="0.25">
      <c r="A2020" t="str">
        <f>HYPERLINK("https://www.773grp.com/globalSearch/SN10501D/page-1", "SN10501D")</f>
        <v>SN10501D</v>
      </c>
      <c r="B2020" s="3" t="s">
        <v>90</v>
      </c>
      <c r="C2020" s="5">
        <v>12007</v>
      </c>
      <c r="D2020" s="6">
        <v>4.49</v>
      </c>
      <c r="E2020" t="s">
        <v>15</v>
      </c>
    </row>
    <row r="2021" spans="1:5" x14ac:dyDescent="0.25">
      <c r="A2021" t="str">
        <f>HYPERLINK("https://www.773grp.com/globalSearch/SN10501DBVT/page-1", "SN10501DBVT")</f>
        <v>SN10501DBVT</v>
      </c>
      <c r="B2021" s="3" t="s">
        <v>90</v>
      </c>
      <c r="C2021" s="5">
        <v>250</v>
      </c>
      <c r="D2021" s="6">
        <v>4.49</v>
      </c>
      <c r="E2021" t="s">
        <v>15</v>
      </c>
    </row>
    <row r="2022" spans="1:5" x14ac:dyDescent="0.25">
      <c r="A2022" t="str">
        <f>HYPERLINK("https://www.773grp.com/globalSearch/SN10501DGK/page-1", "SN10501DGK")</f>
        <v>SN10501DGK</v>
      </c>
      <c r="B2022" s="3" t="s">
        <v>90</v>
      </c>
      <c r="C2022" s="5">
        <v>19125</v>
      </c>
      <c r="D2022" s="6">
        <v>4.49</v>
      </c>
      <c r="E2022" t="s">
        <v>15</v>
      </c>
    </row>
    <row r="2023" spans="1:5" x14ac:dyDescent="0.25">
      <c r="A2023" t="str">
        <f>HYPERLINK("https://www.773grp.com/globalSearch/SN10501DGN/page-1", "SN10501DGN")</f>
        <v>SN10501DGN</v>
      </c>
      <c r="B2023" s="3" t="s">
        <v>90</v>
      </c>
      <c r="C2023" s="5">
        <v>28400</v>
      </c>
      <c r="D2023" s="6">
        <v>4.49</v>
      </c>
      <c r="E2023" t="s">
        <v>15</v>
      </c>
    </row>
    <row r="2024" spans="1:5" x14ac:dyDescent="0.25">
      <c r="A2024" t="str">
        <f>HYPERLINK("https://www.773grp.com/globalSearch/THS7319IZSVR/page-1", "THS7319IZSVR")</f>
        <v>THS7319IZSVR</v>
      </c>
      <c r="B2024" s="3" t="s">
        <v>90</v>
      </c>
      <c r="C2024" s="5">
        <v>7500</v>
      </c>
      <c r="D2024" s="6">
        <v>4.49</v>
      </c>
      <c r="E2024" t="s">
        <v>15</v>
      </c>
    </row>
    <row r="2025" spans="1:5" x14ac:dyDescent="0.25">
      <c r="A2025" t="str">
        <f>HYPERLINK("https://www.773grp.com/globalSearch/TLS1215N/page-1", "TLS1215N")</f>
        <v>TLS1215N</v>
      </c>
      <c r="B2025" s="3" t="s">
        <v>90</v>
      </c>
      <c r="C2025" s="5">
        <v>3400</v>
      </c>
      <c r="D2025" s="6">
        <v>4.49</v>
      </c>
      <c r="E2025" t="s">
        <v>15</v>
      </c>
    </row>
    <row r="2026" spans="1:5" x14ac:dyDescent="0.25">
      <c r="A2026" t="str">
        <f>HYPERLINK("https://www.773grp.com/globalSearch/TLS1255N/page-1", "TLS1255N")</f>
        <v>TLS1255N</v>
      </c>
      <c r="B2026" s="3" t="s">
        <v>90</v>
      </c>
      <c r="C2026" s="5">
        <v>391</v>
      </c>
      <c r="D2026" s="6">
        <v>4.49</v>
      </c>
      <c r="E2026" t="s">
        <v>15</v>
      </c>
    </row>
    <row r="2027" spans="1:5" x14ac:dyDescent="0.25">
      <c r="A2027" t="str">
        <f>HYPERLINK("https://www.773grp.com/globalSearch/TPA2014D1RGPT/page-1", "TPA2014D1RGPT")</f>
        <v>TPA2014D1RGPT</v>
      </c>
      <c r="B2027" s="3" t="s">
        <v>90</v>
      </c>
      <c r="C2027" s="5">
        <v>1500</v>
      </c>
      <c r="D2027" s="6">
        <v>4.49</v>
      </c>
      <c r="E2027" t="s">
        <v>15</v>
      </c>
    </row>
    <row r="2028" spans="1:5" x14ac:dyDescent="0.25">
      <c r="A2028" t="str">
        <f>HYPERLINK("https://www.773grp.com/globalSearch/TPA4411MRTJR/page-1", "TPA4411MRTJR")</f>
        <v>TPA4411MRTJR</v>
      </c>
      <c r="B2028" s="3" t="s">
        <v>90</v>
      </c>
      <c r="C2028" s="5">
        <v>51000</v>
      </c>
      <c r="D2028" s="6">
        <v>4.49</v>
      </c>
      <c r="E2028" t="s">
        <v>15</v>
      </c>
    </row>
    <row r="2029" spans="1:5" x14ac:dyDescent="0.25">
      <c r="A2029" t="str">
        <f>HYPERLINK("https://www.773grp.com/globalSearch/TPA4861D/page-1", "TPA4861D")</f>
        <v>TPA4861D</v>
      </c>
      <c r="B2029" s="3" t="s">
        <v>90</v>
      </c>
      <c r="C2029" s="5">
        <v>3394</v>
      </c>
      <c r="D2029" s="6">
        <v>4.49</v>
      </c>
      <c r="E2029" t="s">
        <v>15</v>
      </c>
    </row>
    <row r="2030" spans="1:5" x14ac:dyDescent="0.25">
      <c r="A2030" t="str">
        <f>HYPERLINK("https://www.773grp.com/globalSearch/OPA2674I-14DR/page-1", "OPA2674I-14DR")</f>
        <v>OPA2674I-14DR</v>
      </c>
      <c r="B2030" s="3" t="s">
        <v>90</v>
      </c>
      <c r="C2030" s="5">
        <v>47500</v>
      </c>
      <c r="D2030" s="6">
        <v>4.09</v>
      </c>
      <c r="E2030" t="s">
        <v>15</v>
      </c>
    </row>
    <row r="2031" spans="1:5" x14ac:dyDescent="0.25">
      <c r="A2031" t="str">
        <f>HYPERLINK("https://www.773grp.com/globalSearch/OPA2674IDR/page-1", "OPA2674IDR")</f>
        <v>OPA2674IDR</v>
      </c>
      <c r="B2031" s="3" t="s">
        <v>90</v>
      </c>
      <c r="C2031" s="5">
        <v>2500</v>
      </c>
      <c r="D2031" s="6">
        <v>4.09</v>
      </c>
      <c r="E2031" t="s">
        <v>15</v>
      </c>
    </row>
    <row r="2032" spans="1:5" x14ac:dyDescent="0.25">
      <c r="A2032" t="str">
        <f>HYPERLINK("https://www.773grp.com/globalSearch/THS4221DR/page-1", "THS4221DR")</f>
        <v>THS4221DR</v>
      </c>
      <c r="B2032" s="3" t="s">
        <v>90</v>
      </c>
      <c r="C2032" s="5">
        <v>5500</v>
      </c>
      <c r="D2032" s="6">
        <v>4.09</v>
      </c>
      <c r="E2032" t="s">
        <v>15</v>
      </c>
    </row>
    <row r="2033" spans="1:5" x14ac:dyDescent="0.25">
      <c r="A2033" t="str">
        <f>HYPERLINK("https://www.773grp.com/globalSearch/THS7313PW/page-1", "THS7313PW")</f>
        <v>THS7313PW</v>
      </c>
      <c r="B2033" s="3" t="s">
        <v>90</v>
      </c>
      <c r="C2033" s="5">
        <v>8795</v>
      </c>
      <c r="D2033" s="6">
        <v>4.09</v>
      </c>
      <c r="E2033" t="s">
        <v>15</v>
      </c>
    </row>
    <row r="2034" spans="1:5" x14ac:dyDescent="0.25">
      <c r="A2034" t="str">
        <f>HYPERLINK("https://www.773grp.com/globalSearch/TPA0211DGN/page-1", "TPA0211DGN")</f>
        <v>TPA0211DGN</v>
      </c>
      <c r="B2034" s="3" t="s">
        <v>90</v>
      </c>
      <c r="C2034" s="5">
        <v>765</v>
      </c>
      <c r="D2034" s="6">
        <v>4.54</v>
      </c>
      <c r="E2034" t="s">
        <v>15</v>
      </c>
    </row>
    <row r="2035" spans="1:5" x14ac:dyDescent="0.25">
      <c r="A2035" t="str">
        <f>HYPERLINK("https://www.773grp.com/globalSearch/TPA0213DGQR/page-1", "TPA0213DGQR")</f>
        <v>TPA0213DGQR</v>
      </c>
      <c r="B2035" s="3" t="s">
        <v>90</v>
      </c>
      <c r="C2035" s="5">
        <v>15000</v>
      </c>
      <c r="D2035" s="6">
        <v>4.1399999999999997</v>
      </c>
      <c r="E2035" t="s">
        <v>15</v>
      </c>
    </row>
    <row r="2036" spans="1:5" x14ac:dyDescent="0.25">
      <c r="A2036" t="str">
        <f>HYPERLINK("https://www.773grp.com/globalSearch/OPA2830IDGKR/page-1", "OPA2830IDGKR")</f>
        <v>OPA2830IDGKR</v>
      </c>
      <c r="B2036" s="3" t="s">
        <v>90</v>
      </c>
      <c r="C2036" s="5">
        <v>172500</v>
      </c>
      <c r="D2036" s="6">
        <v>4.59</v>
      </c>
      <c r="E2036" t="s">
        <v>15</v>
      </c>
    </row>
    <row r="2037" spans="1:5" x14ac:dyDescent="0.25">
      <c r="A2037" t="str">
        <f>HYPERLINK("https://www.773grp.com/globalSearch/OPA2830IDR/page-1", "OPA2830IDR")</f>
        <v>OPA2830IDR</v>
      </c>
      <c r="B2037" s="3" t="s">
        <v>90</v>
      </c>
      <c r="C2037" s="5">
        <v>14190</v>
      </c>
      <c r="D2037" s="6">
        <v>4.59</v>
      </c>
      <c r="E2037" t="s">
        <v>15</v>
      </c>
    </row>
    <row r="2038" spans="1:5" x14ac:dyDescent="0.25">
      <c r="A2038" t="str">
        <f>HYPERLINK("https://www.773grp.com/globalSearch/OPA695IDBVR/page-1", "OPA695IDBVR")</f>
        <v>OPA695IDBVR</v>
      </c>
      <c r="B2038" s="3" t="s">
        <v>90</v>
      </c>
      <c r="C2038" s="5">
        <v>3000</v>
      </c>
      <c r="D2038" s="6">
        <v>4.16</v>
      </c>
      <c r="E2038" t="s">
        <v>15</v>
      </c>
    </row>
    <row r="2039" spans="1:5" x14ac:dyDescent="0.25">
      <c r="A2039" t="str">
        <f>HYPERLINK("https://www.773grp.com/globalSearch/OPA695IDR/page-1", "OPA695IDR")</f>
        <v>OPA695IDR</v>
      </c>
      <c r="B2039" s="3" t="s">
        <v>90</v>
      </c>
      <c r="C2039" s="5">
        <v>12500</v>
      </c>
      <c r="D2039" s="6">
        <v>4.16</v>
      </c>
      <c r="E2039" t="s">
        <v>15</v>
      </c>
    </row>
    <row r="2040" spans="1:5" x14ac:dyDescent="0.25">
      <c r="A2040" t="str">
        <f>HYPERLINK("https://www.773grp.com/globalSearch/TPA2000D2PWPR/page-1", "TPA2000D2PWPR")</f>
        <v>TPA2000D2PWPR</v>
      </c>
      <c r="B2040" s="3" t="s">
        <v>90</v>
      </c>
      <c r="C2040" s="5">
        <v>50000</v>
      </c>
      <c r="D2040" s="6">
        <v>4.16</v>
      </c>
      <c r="E2040" t="s">
        <v>15</v>
      </c>
    </row>
    <row r="2041" spans="1:5" x14ac:dyDescent="0.25">
      <c r="A2041" t="str">
        <f>HYPERLINK("https://www.773grp.com/globalSearch/TPA2000D2PWPRG4/page-1", "TPA2000D2PWPRG4")</f>
        <v>TPA2000D2PWPRG4</v>
      </c>
      <c r="B2041" s="3" t="s">
        <v>90</v>
      </c>
      <c r="C2041" s="5">
        <v>34</v>
      </c>
      <c r="D2041" s="6">
        <v>4.16</v>
      </c>
      <c r="E2041" t="s">
        <v>15</v>
      </c>
    </row>
    <row r="2042" spans="1:5" x14ac:dyDescent="0.25">
      <c r="A2042" t="str">
        <f>HYPERLINK("https://www.773grp.com/globalSearch/TPA2000D2PWR/page-1", "TPA2000D2PWR")</f>
        <v>TPA2000D2PWR</v>
      </c>
      <c r="B2042" s="3" t="s">
        <v>90</v>
      </c>
      <c r="C2042" s="5">
        <v>16000</v>
      </c>
      <c r="D2042" s="6">
        <v>4.16</v>
      </c>
      <c r="E2042" t="s">
        <v>15</v>
      </c>
    </row>
    <row r="2043" spans="1:5" x14ac:dyDescent="0.25">
      <c r="A2043" t="str">
        <f>HYPERLINK("https://www.773grp.com/globalSearch/OPA2889IDGST/page-1", "OPA2889IDGST")</f>
        <v>OPA2889IDGST</v>
      </c>
      <c r="B2043" s="3" t="s">
        <v>90</v>
      </c>
      <c r="C2043" s="5">
        <v>2495</v>
      </c>
      <c r="D2043" s="6">
        <v>4.1900000000000004</v>
      </c>
      <c r="E2043" t="s">
        <v>15</v>
      </c>
    </row>
    <row r="2044" spans="1:5" x14ac:dyDescent="0.25">
      <c r="A2044" t="str">
        <f>HYPERLINK("https://www.773grp.com/globalSearch/THS3096D/page-1", "THS3096D")</f>
        <v>THS3096D</v>
      </c>
      <c r="B2044" s="3" t="s">
        <v>90</v>
      </c>
      <c r="C2044" s="5">
        <v>3450</v>
      </c>
      <c r="D2044" s="6">
        <v>4.1900000000000004</v>
      </c>
      <c r="E2044" t="s">
        <v>15</v>
      </c>
    </row>
    <row r="2045" spans="1:5" x14ac:dyDescent="0.25">
      <c r="A2045" t="str">
        <f>HYPERLINK("https://www.773grp.com/globalSearch/TPA152D/page-1", "TPA152D")</f>
        <v>TPA152D</v>
      </c>
      <c r="B2045" s="3" t="s">
        <v>90</v>
      </c>
      <c r="C2045" s="5">
        <v>4269</v>
      </c>
      <c r="D2045" s="6">
        <v>4.6399999999999997</v>
      </c>
      <c r="E2045" t="s">
        <v>15</v>
      </c>
    </row>
    <row r="2046" spans="1:5" x14ac:dyDescent="0.25">
      <c r="A2046" t="str">
        <f>HYPERLINK("https://www.773grp.com/globalSearch/OPA2134UA-2K5/page-1", "OPA2134UA-2K5")</f>
        <v>OPA2134UA-2K5</v>
      </c>
      <c r="B2046" s="3" t="s">
        <v>90</v>
      </c>
      <c r="C2046" s="5">
        <v>12923</v>
      </c>
      <c r="D2046" s="6">
        <v>4.2300000000000004</v>
      </c>
      <c r="E2046" t="s">
        <v>15</v>
      </c>
    </row>
    <row r="2047" spans="1:5" x14ac:dyDescent="0.25">
      <c r="A2047" t="str">
        <f>HYPERLINK("https://www.773grp.com/globalSearch/OPA692IDBVT/page-1", "OPA692IDBVT")</f>
        <v>OPA692IDBVT</v>
      </c>
      <c r="B2047" s="3" t="s">
        <v>90</v>
      </c>
      <c r="C2047" s="5">
        <v>32929</v>
      </c>
      <c r="D2047" s="6">
        <v>4.2300000000000004</v>
      </c>
      <c r="E2047" t="s">
        <v>15</v>
      </c>
    </row>
    <row r="2048" spans="1:5" x14ac:dyDescent="0.25">
      <c r="A2048" t="str">
        <f>HYPERLINK("https://www.773grp.com/globalSearch/THS3110CDGNR/page-1", "THS3110CDGNR")</f>
        <v>THS3110CDGNR</v>
      </c>
      <c r="B2048" s="3" t="s">
        <v>90</v>
      </c>
      <c r="C2048" s="5">
        <v>5000</v>
      </c>
      <c r="D2048" s="6">
        <v>4.2300000000000004</v>
      </c>
      <c r="E2048" t="s">
        <v>15</v>
      </c>
    </row>
    <row r="2049" spans="1:5" x14ac:dyDescent="0.25">
      <c r="A2049" t="str">
        <f>HYPERLINK("https://www.773grp.com/globalSearch/TPA2016D2RTJT/page-1", "TPA2016D2RTJT")</f>
        <v>TPA2016D2RTJT</v>
      </c>
      <c r="B2049" s="3" t="s">
        <v>90</v>
      </c>
      <c r="C2049" s="5">
        <v>12250</v>
      </c>
      <c r="D2049" s="6">
        <v>4.2300000000000004</v>
      </c>
      <c r="E2049" t="s">
        <v>15</v>
      </c>
    </row>
    <row r="2050" spans="1:5" x14ac:dyDescent="0.25">
      <c r="A2050" t="str">
        <f>HYPERLINK("https://www.773grp.com/globalSearch/TPA2016D2YZHT/page-1", "TPA2016D2YZHT")</f>
        <v>TPA2016D2YZHT</v>
      </c>
      <c r="B2050" s="3" t="s">
        <v>90</v>
      </c>
      <c r="C2050" s="5">
        <v>230</v>
      </c>
      <c r="D2050" s="6">
        <v>4.2300000000000004</v>
      </c>
      <c r="E2050" t="s">
        <v>15</v>
      </c>
    </row>
    <row r="2051" spans="1:5" x14ac:dyDescent="0.25">
      <c r="A2051" t="str">
        <f>HYPERLINK("https://www.773grp.com/globalSearch/TPA6017A2PWP/page-1", "TPA6017A2PWP")</f>
        <v>TPA6017A2PWP</v>
      </c>
      <c r="B2051" s="3" t="s">
        <v>90</v>
      </c>
      <c r="C2051" s="5">
        <v>16393</v>
      </c>
      <c r="D2051" s="6">
        <v>4.6900000000000004</v>
      </c>
      <c r="E2051" t="s">
        <v>15</v>
      </c>
    </row>
    <row r="2052" spans="1:5" x14ac:dyDescent="0.25">
      <c r="A2052" t="str">
        <f>HYPERLINK("https://www.773grp.com/globalSearch/THS4061CDGNR/page-1", "THS4061CDGNR")</f>
        <v>THS4061CDGNR</v>
      </c>
      <c r="B2052" s="3" t="s">
        <v>90</v>
      </c>
      <c r="C2052" s="5">
        <v>10000</v>
      </c>
      <c r="D2052" s="6">
        <v>4.25</v>
      </c>
      <c r="E2052" t="s">
        <v>15</v>
      </c>
    </row>
    <row r="2053" spans="1:5" x14ac:dyDescent="0.25">
      <c r="A2053" t="str">
        <f>HYPERLINK("https://www.773grp.com/globalSearch/THS4061CDR/page-1", "THS4061CDR")</f>
        <v>THS4061CDR</v>
      </c>
      <c r="B2053" s="3" t="s">
        <v>90</v>
      </c>
      <c r="C2053" s="5">
        <v>5000</v>
      </c>
      <c r="D2053" s="6">
        <v>4.25</v>
      </c>
      <c r="E2053" t="s">
        <v>15</v>
      </c>
    </row>
    <row r="2054" spans="1:5" x14ac:dyDescent="0.25">
      <c r="A2054" t="str">
        <f>HYPERLINK("https://www.773grp.com/globalSearch/TPA1517DWP/page-1", "TPA1517DWP")</f>
        <v>TPA1517DWP</v>
      </c>
      <c r="B2054" s="3" t="s">
        <v>90</v>
      </c>
      <c r="C2054" s="5">
        <v>75</v>
      </c>
      <c r="D2054" s="6">
        <v>4.25</v>
      </c>
      <c r="E2054" t="s">
        <v>15</v>
      </c>
    </row>
    <row r="2055" spans="1:5" x14ac:dyDescent="0.25">
      <c r="A2055" t="str">
        <f>HYPERLINK("https://www.773grp.com/globalSearch/OPA2890IDGST/page-1", "OPA2890IDGST")</f>
        <v>OPA2890IDGST</v>
      </c>
      <c r="B2055" s="3" t="s">
        <v>90</v>
      </c>
      <c r="C2055" s="5">
        <v>7336</v>
      </c>
      <c r="D2055" s="6">
        <v>4.28</v>
      </c>
      <c r="E2055" t="s">
        <v>15</v>
      </c>
    </row>
    <row r="2056" spans="1:5" x14ac:dyDescent="0.25">
      <c r="A2056" t="str">
        <f>HYPERLINK("https://www.773grp.com/globalSearch/THS3092DDA/page-1", "THS3092DDA")</f>
        <v>THS3092DDA</v>
      </c>
      <c r="B2056" s="3" t="s">
        <v>90</v>
      </c>
      <c r="C2056" s="5">
        <v>7162</v>
      </c>
      <c r="D2056" s="6">
        <v>4.28</v>
      </c>
      <c r="E2056" t="s">
        <v>15</v>
      </c>
    </row>
    <row r="2057" spans="1:5" x14ac:dyDescent="0.25">
      <c r="A2057" t="str">
        <f>HYPERLINK("https://www.773grp.com/globalSearch/THS4081CDGNR/page-1", "THS4081CDGNR")</f>
        <v>THS4081CDGNR</v>
      </c>
      <c r="B2057" s="3" t="s">
        <v>90</v>
      </c>
      <c r="C2057" s="5">
        <v>5000</v>
      </c>
      <c r="D2057" s="6">
        <v>4.28</v>
      </c>
      <c r="E2057" t="s">
        <v>15</v>
      </c>
    </row>
    <row r="2058" spans="1:5" x14ac:dyDescent="0.25">
      <c r="A2058" t="str">
        <f>HYPERLINK("https://www.773grp.com/globalSearch/OPA300AID/page-1", "OPA300AID")</f>
        <v>OPA300AID</v>
      </c>
      <c r="B2058" s="3" t="s">
        <v>90</v>
      </c>
      <c r="C2058" s="5">
        <v>61600</v>
      </c>
      <c r="D2058" s="6">
        <v>4.74</v>
      </c>
      <c r="E2058" t="s">
        <v>15</v>
      </c>
    </row>
    <row r="2059" spans="1:5" x14ac:dyDescent="0.25">
      <c r="A2059" t="str">
        <f>HYPERLINK("https://www.773grp.com/globalSearch/OPA300AIDBVT/page-1", "OPA300AIDBVT")</f>
        <v>OPA300AIDBVT</v>
      </c>
      <c r="B2059" s="3" t="s">
        <v>90</v>
      </c>
      <c r="C2059" s="5">
        <v>65000</v>
      </c>
      <c r="D2059" s="6">
        <v>4.74</v>
      </c>
      <c r="E2059" t="s">
        <v>15</v>
      </c>
    </row>
    <row r="2060" spans="1:5" x14ac:dyDescent="0.25">
      <c r="A2060" t="str">
        <f>HYPERLINK("https://www.773grp.com/globalSearch/OPA301AID/page-1", "OPA301AID")</f>
        <v>OPA301AID</v>
      </c>
      <c r="B2060" s="3" t="s">
        <v>90</v>
      </c>
      <c r="C2060" s="5">
        <v>6117</v>
      </c>
      <c r="D2060" s="6">
        <v>4.74</v>
      </c>
      <c r="E2060" t="s">
        <v>15</v>
      </c>
    </row>
    <row r="2061" spans="1:5" x14ac:dyDescent="0.25">
      <c r="A2061" t="str">
        <f>HYPERLINK("https://www.773grp.com/globalSearch/OPA301AID/page-1", "OPA301AID")</f>
        <v>OPA301AID</v>
      </c>
      <c r="B2061" s="3" t="s">
        <v>90</v>
      </c>
      <c r="C2061" s="5">
        <v>19550</v>
      </c>
      <c r="D2061" s="6">
        <v>4.74</v>
      </c>
      <c r="E2061" t="s">
        <v>15</v>
      </c>
    </row>
    <row r="2062" spans="1:5" x14ac:dyDescent="0.25">
      <c r="A2062" t="str">
        <f>HYPERLINK("https://www.773grp.com/globalSearch/OPA301AIDBVT/page-1", "OPA301AIDBVT")</f>
        <v>OPA301AIDBVT</v>
      </c>
      <c r="B2062" s="3" t="s">
        <v>90</v>
      </c>
      <c r="C2062" s="5">
        <v>65500</v>
      </c>
      <c r="D2062" s="6">
        <v>4.74</v>
      </c>
      <c r="E2062" t="s">
        <v>15</v>
      </c>
    </row>
    <row r="2063" spans="1:5" x14ac:dyDescent="0.25">
      <c r="A2063" t="str">
        <f>HYPERLINK("https://www.773grp.com/globalSearch/TPA2013D1YZHR/page-1", "TPA2013D1YZHR")</f>
        <v>TPA2013D1YZHR</v>
      </c>
      <c r="B2063" s="3" t="s">
        <v>90</v>
      </c>
      <c r="C2063" s="5">
        <v>47494</v>
      </c>
      <c r="D2063" s="6">
        <v>4.74</v>
      </c>
      <c r="E2063" t="s">
        <v>15</v>
      </c>
    </row>
    <row r="2064" spans="1:5" x14ac:dyDescent="0.25">
      <c r="A2064" t="str">
        <f>HYPERLINK("https://www.773grp.com/globalSearch/TPA2018D1YZFR/page-1", "TPA2018D1YZFR")</f>
        <v>TPA2018D1YZFR</v>
      </c>
      <c r="B2064" s="3" t="s">
        <v>90</v>
      </c>
      <c r="C2064" s="5">
        <v>6000</v>
      </c>
      <c r="D2064" s="6">
        <v>4.74</v>
      </c>
      <c r="E2064" t="s">
        <v>15</v>
      </c>
    </row>
    <row r="2065" spans="1:5" x14ac:dyDescent="0.25">
      <c r="A2065" t="str">
        <f>HYPERLINK("https://www.773grp.com/globalSearch/TPA2051D3YFFT/page-1", "TPA2051D3YFFT")</f>
        <v>TPA2051D3YFFT</v>
      </c>
      <c r="B2065" s="3" t="s">
        <v>90</v>
      </c>
      <c r="C2065" s="5">
        <v>500</v>
      </c>
      <c r="D2065" s="6">
        <v>4.74</v>
      </c>
      <c r="E2065" t="s">
        <v>15</v>
      </c>
    </row>
    <row r="2066" spans="1:5" x14ac:dyDescent="0.25">
      <c r="A2066" t="str">
        <f>HYPERLINK("https://www.773grp.com/globalSearch/TPA6112A2DGQR/page-1", "TPA6112A2DGQR")</f>
        <v>TPA6112A2DGQR</v>
      </c>
      <c r="B2066" s="3" t="s">
        <v>90</v>
      </c>
      <c r="C2066" s="5">
        <v>4900</v>
      </c>
      <c r="D2066" s="6">
        <v>4.74</v>
      </c>
      <c r="E2066" t="s">
        <v>15</v>
      </c>
    </row>
    <row r="2067" spans="1:5" x14ac:dyDescent="0.25">
      <c r="A2067" t="str">
        <f>HYPERLINK("https://www.773grp.com/globalSearch/TPA6141A2YFFT/page-1", "TPA6141A2YFFT")</f>
        <v>TPA6141A2YFFT</v>
      </c>
      <c r="B2067" s="3" t="s">
        <v>90</v>
      </c>
      <c r="C2067" s="5">
        <v>2133</v>
      </c>
      <c r="D2067" s="6">
        <v>4.74</v>
      </c>
      <c r="E2067" t="s">
        <v>15</v>
      </c>
    </row>
    <row r="2068" spans="1:5" x14ac:dyDescent="0.25">
      <c r="A2068" t="str">
        <f>HYPERLINK("https://www.773grp.com/globalSearch/OPA2889ID/page-1", "OPA2889ID")</f>
        <v>OPA2889ID</v>
      </c>
      <c r="B2068" s="3" t="s">
        <v>90</v>
      </c>
      <c r="C2068" s="5">
        <v>8203</v>
      </c>
      <c r="D2068" s="6">
        <v>4.3499999999999996</v>
      </c>
      <c r="E2068" t="s">
        <v>15</v>
      </c>
    </row>
    <row r="2069" spans="1:5" x14ac:dyDescent="0.25">
      <c r="A2069" t="str">
        <f>HYPERLINK("https://www.773grp.com/globalSearch/OPA690IDR/page-1", "OPA690IDR")</f>
        <v>OPA690IDR</v>
      </c>
      <c r="B2069" s="3" t="s">
        <v>90</v>
      </c>
      <c r="C2069" s="5">
        <v>10000</v>
      </c>
      <c r="D2069" s="6">
        <v>4.3499999999999996</v>
      </c>
      <c r="E2069" t="s">
        <v>15</v>
      </c>
    </row>
    <row r="2070" spans="1:5" x14ac:dyDescent="0.25">
      <c r="A2070" t="str">
        <f>HYPERLINK("https://www.773grp.com/globalSearch/THS3110CD/page-1", "THS3110CD")</f>
        <v>THS3110CD</v>
      </c>
      <c r="B2070" s="3" t="s">
        <v>90</v>
      </c>
      <c r="C2070" s="5">
        <v>1090</v>
      </c>
      <c r="D2070" s="6">
        <v>4.3499999999999996</v>
      </c>
      <c r="E2070" t="s">
        <v>15</v>
      </c>
    </row>
    <row r="2071" spans="1:5" x14ac:dyDescent="0.25">
      <c r="A2071" t="str">
        <f>HYPERLINK("https://www.773grp.com/globalSearch/THS7364IPW/page-1", "THS7364IPW")</f>
        <v>THS7364IPW</v>
      </c>
      <c r="B2071" s="3" t="s">
        <v>90</v>
      </c>
      <c r="C2071" s="5">
        <v>4536</v>
      </c>
      <c r="D2071" s="6">
        <v>4.8600000000000003</v>
      </c>
      <c r="E2071" t="s">
        <v>15</v>
      </c>
    </row>
    <row r="2072" spans="1:5" x14ac:dyDescent="0.25">
      <c r="A2072" t="str">
        <f>HYPERLINK("https://www.773grp.com/globalSearch/TPA102DGN/page-1", "TPA102DGN")</f>
        <v>TPA102DGN</v>
      </c>
      <c r="B2072" s="3" t="s">
        <v>90</v>
      </c>
      <c r="C2072" s="5">
        <v>1838</v>
      </c>
      <c r="D2072" s="6">
        <v>4.8600000000000003</v>
      </c>
      <c r="E2072" t="s">
        <v>15</v>
      </c>
    </row>
    <row r="2073" spans="1:5" x14ac:dyDescent="0.25">
      <c r="A2073" t="str">
        <f>HYPERLINK("https://www.773grp.com/globalSearch/OPA692ID/page-1", "OPA692ID")</f>
        <v>OPA692ID</v>
      </c>
      <c r="B2073" s="3" t="s">
        <v>90</v>
      </c>
      <c r="C2073" s="5">
        <v>4592</v>
      </c>
      <c r="D2073" s="6">
        <v>4.43</v>
      </c>
      <c r="E2073" t="s">
        <v>15</v>
      </c>
    </row>
    <row r="2074" spans="1:5" x14ac:dyDescent="0.25">
      <c r="A2074" t="str">
        <f>HYPERLINK("https://www.773grp.com/globalSearch/THS4081CD/page-1", "THS4081CD")</f>
        <v>THS4081CD</v>
      </c>
      <c r="B2074" s="3" t="str">
        <f>HYPERLINK("https://www.773grp.com/manufacturer/texas-instruments?pageNo=234", "Texas Instruments")</f>
        <v>Texas Instruments</v>
      </c>
      <c r="C2074" s="5">
        <v>16577</v>
      </c>
      <c r="D2074" s="6">
        <v>4.4400000000000004</v>
      </c>
      <c r="E2074" t="s">
        <v>15</v>
      </c>
    </row>
    <row r="2075" spans="1:5" x14ac:dyDescent="0.25">
      <c r="A2075" t="str">
        <f>HYPERLINK("https://www.773grp.com/globalSearch/TPA2001D2PWPR/page-1", "TPA2001D2PWPR")</f>
        <v>TPA2001D2PWPR</v>
      </c>
      <c r="B2075" s="3" t="str">
        <f>HYPERLINK("https://www.773grp.com/manufacturer/texas-instruments?pageNo=240", "Texas Instruments")</f>
        <v>Texas Instruments</v>
      </c>
      <c r="C2075" s="5">
        <v>16000</v>
      </c>
      <c r="D2075" s="6">
        <v>4.4400000000000004</v>
      </c>
      <c r="E2075" t="s">
        <v>15</v>
      </c>
    </row>
    <row r="2076" spans="1:5" x14ac:dyDescent="0.25">
      <c r="A2076" t="str">
        <f>HYPERLINK("https://www.773grp.com/globalSearch/OPA300AIDR/page-1", "OPA300AIDR")</f>
        <v>OPA300AIDR</v>
      </c>
      <c r="B2076" s="3" t="str">
        <f>HYPERLINK("https://www.773grp.com/manufacturer/texas-instruments?pageNo=319", "Texas Instruments")</f>
        <v>Texas Instruments</v>
      </c>
      <c r="C2076" s="5">
        <v>35000</v>
      </c>
      <c r="D2076" s="6">
        <v>4.5</v>
      </c>
      <c r="E2076" t="s">
        <v>15</v>
      </c>
    </row>
    <row r="2077" spans="1:5" x14ac:dyDescent="0.25">
      <c r="A2077" t="str">
        <f>HYPERLINK("https://www.773grp.com/globalSearch/OPA4354AIDR/page-1", "OPA4354AIDR")</f>
        <v>OPA4354AIDR</v>
      </c>
      <c r="B2077" s="3" t="str">
        <f>HYPERLINK("https://www.773grp.com/manufacturer/texas-instruments?pageNo=320", "Texas Instruments")</f>
        <v>Texas Instruments</v>
      </c>
      <c r="C2077" s="5">
        <v>7252</v>
      </c>
      <c r="D2077" s="6">
        <v>4.5</v>
      </c>
      <c r="E2077" t="s">
        <v>15</v>
      </c>
    </row>
    <row r="2078" spans="1:5" x14ac:dyDescent="0.25">
      <c r="A2078" t="str">
        <f>HYPERLINK("https://www.773grp.com/globalSearch/OPA4354AIPWR/page-1", "OPA4354AIPWR")</f>
        <v>OPA4354AIPWR</v>
      </c>
      <c r="B2078" s="3" t="str">
        <f>HYPERLINK("https://www.773grp.com/manufacturer/texas-instruments?pageNo=321", "Texas Instruments")</f>
        <v>Texas Instruments</v>
      </c>
      <c r="C2078" s="5">
        <v>1768</v>
      </c>
      <c r="D2078" s="6">
        <v>4.5</v>
      </c>
      <c r="E2078" t="s">
        <v>15</v>
      </c>
    </row>
    <row r="2079" spans="1:5" x14ac:dyDescent="0.25">
      <c r="A2079" t="str">
        <f>HYPERLINK("https://www.773grp.com/globalSearch/OPA693IDR/page-1", "OPA693IDR")</f>
        <v>OPA693IDR</v>
      </c>
      <c r="B2079" s="3" t="str">
        <f>HYPERLINK("https://www.773grp.com/manufacturer/texas-instruments?pageNo=323", "Texas Instruments")</f>
        <v>Texas Instruments</v>
      </c>
      <c r="C2079" s="5">
        <v>20000</v>
      </c>
      <c r="D2079" s="6">
        <v>4.5</v>
      </c>
      <c r="E2079" t="s">
        <v>15</v>
      </c>
    </row>
    <row r="2080" spans="1:5" x14ac:dyDescent="0.25">
      <c r="A2080" t="str">
        <f>HYPERLINK("https://www.773grp.com/globalSearch/OPA693IDRG4/page-1", "OPA693IDRG4")</f>
        <v>OPA693IDRG4</v>
      </c>
      <c r="B2080" s="3" t="str">
        <f>HYPERLINK("https://www.773grp.com/manufacturer/texas-instruments?pageNo=324", "Texas Instruments")</f>
        <v>Texas Instruments</v>
      </c>
      <c r="C2080" s="5">
        <v>12500</v>
      </c>
      <c r="D2080" s="6">
        <v>4.5</v>
      </c>
      <c r="E2080" t="s">
        <v>15</v>
      </c>
    </row>
    <row r="2081" spans="1:5" x14ac:dyDescent="0.25">
      <c r="A2081" t="str">
        <f>HYPERLINK("https://www.773grp.com/globalSearch/THS4061IDGNR/page-1", "THS4061IDGNR")</f>
        <v>THS4061IDGNR</v>
      </c>
      <c r="B2081" s="3" t="str">
        <f>HYPERLINK("https://www.773grp.com/manufacturer/texas-instruments?pageNo=441", "Texas Instruments")</f>
        <v>Texas Instruments</v>
      </c>
      <c r="C2081" s="5">
        <v>2500</v>
      </c>
      <c r="D2081" s="6">
        <v>4.53</v>
      </c>
      <c r="E2081" t="s">
        <v>15</v>
      </c>
    </row>
    <row r="2082" spans="1:5" x14ac:dyDescent="0.25">
      <c r="A2082" t="str">
        <f>HYPERLINK("https://www.773grp.com/globalSearch/THS4061IDR/page-1", "THS4061IDR")</f>
        <v>THS4061IDR</v>
      </c>
      <c r="B2082" s="3" t="str">
        <f>HYPERLINK("https://www.773grp.com/manufacturer/texas-instruments?pageNo=442", "Texas Instruments")</f>
        <v>Texas Instruments</v>
      </c>
      <c r="C2082" s="5">
        <v>5000</v>
      </c>
      <c r="D2082" s="6">
        <v>4.53</v>
      </c>
      <c r="E2082" t="s">
        <v>15</v>
      </c>
    </row>
    <row r="2083" spans="1:5" x14ac:dyDescent="0.25">
      <c r="A2083" t="str">
        <f>HYPERLINK("https://www.773grp.com/globalSearch/TPA2017D2RTJR/page-1", "TPA2017D2RTJR")</f>
        <v>TPA2017D2RTJR</v>
      </c>
      <c r="B2083" s="3" t="str">
        <f>HYPERLINK("https://www.773grp.com/manufacturer/texas-instruments?pageNo=651", "Texas Instruments")</f>
        <v>Texas Instruments</v>
      </c>
      <c r="C2083" s="5">
        <v>33562</v>
      </c>
      <c r="D2083" s="6">
        <v>5.01</v>
      </c>
      <c r="E2083" t="s">
        <v>15</v>
      </c>
    </row>
    <row r="2084" spans="1:5" x14ac:dyDescent="0.25">
      <c r="A2084" t="str">
        <f>HYPERLINK("https://www.773grp.com/globalSearch/TPA4411MRTJT/page-1", "TPA4411MRTJT")</f>
        <v>TPA4411MRTJT</v>
      </c>
      <c r="B2084" s="3" t="str">
        <f>HYPERLINK("https://www.773grp.com/manufacturer/texas-instruments?pageNo=653", "Texas Instruments")</f>
        <v>Texas Instruments</v>
      </c>
      <c r="C2084" s="5">
        <v>1250</v>
      </c>
      <c r="D2084" s="6">
        <v>5.01</v>
      </c>
      <c r="E2084" t="s">
        <v>15</v>
      </c>
    </row>
    <row r="2085" spans="1:5" x14ac:dyDescent="0.25">
      <c r="A2085" t="str">
        <f>HYPERLINK("https://www.773grp.com/globalSearch/OPA694ID/page-1", "OPA694ID")</f>
        <v>OPA694ID</v>
      </c>
      <c r="B2085" s="3" t="str">
        <f>HYPERLINK("https://www.773grp.com/manufacturer/texas-instruments?pageNo=768", "Texas Instruments")</f>
        <v>Texas Instruments</v>
      </c>
      <c r="C2085" s="5">
        <v>11950</v>
      </c>
      <c r="D2085" s="6">
        <v>4.5599999999999996</v>
      </c>
      <c r="E2085" t="s">
        <v>15</v>
      </c>
    </row>
    <row r="2086" spans="1:5" x14ac:dyDescent="0.25">
      <c r="A2086" t="str">
        <f>HYPERLINK("https://www.773grp.com/globalSearch/THS4081IDGNR/page-1", "THS4081IDGNR")</f>
        <v>THS4081IDGNR</v>
      </c>
      <c r="B2086" s="3" t="str">
        <f>HYPERLINK("https://www.773grp.com/manufacturer/texas-instruments?pageNo=770", "Texas Instruments")</f>
        <v>Texas Instruments</v>
      </c>
      <c r="C2086" s="5">
        <v>27573</v>
      </c>
      <c r="D2086" s="6">
        <v>4.5599999999999996</v>
      </c>
      <c r="E2086" t="s">
        <v>15</v>
      </c>
    </row>
    <row r="2087" spans="1:5" x14ac:dyDescent="0.25">
      <c r="A2087" t="str">
        <f>HYPERLINK("https://www.773grp.com/globalSearch/TPA4411RTJR/page-1", "TPA4411RTJR")</f>
        <v>TPA4411RTJR</v>
      </c>
      <c r="B2087" s="3" t="str">
        <f>HYPERLINK("https://www.773grp.com/manufacturer/texas-instruments?pageNo=806", "Texas Instruments")</f>
        <v>Texas Instruments</v>
      </c>
      <c r="C2087" s="5">
        <v>419051</v>
      </c>
      <c r="D2087" s="6">
        <v>5.0599999999999996</v>
      </c>
      <c r="E2087" t="s">
        <v>15</v>
      </c>
    </row>
    <row r="2088" spans="1:5" x14ac:dyDescent="0.25">
      <c r="A2088" t="str">
        <f>HYPERLINK("https://www.773grp.com/globalSearch/TPA4411YZHR/page-1", "TPA4411YZHR")</f>
        <v>TPA4411YZHR</v>
      </c>
      <c r="B2088" s="3" t="str">
        <f>HYPERLINK("https://www.773grp.com/manufacturer/texas-instruments?pageNo=807", "Texas Instruments")</f>
        <v>Texas Instruments</v>
      </c>
      <c r="C2088" s="5">
        <v>75000</v>
      </c>
      <c r="D2088" s="6">
        <v>5.0599999999999996</v>
      </c>
      <c r="E2088" t="s">
        <v>15</v>
      </c>
    </row>
    <row r="2089" spans="1:5" x14ac:dyDescent="0.25">
      <c r="A2089" t="str">
        <f>HYPERLINK("https://www.773grp.com/globalSearch/TPA0102PWP/page-1", "TPA0102PWP")</f>
        <v>TPA0102PWP</v>
      </c>
      <c r="B2089" s="3" t="str">
        <f>HYPERLINK("https://www.773grp.com/manufacturer/texas-instruments?pageNo=854", "Texas Instruments")</f>
        <v>Texas Instruments</v>
      </c>
      <c r="C2089" s="5">
        <v>2103</v>
      </c>
      <c r="D2089" s="6">
        <v>4.59</v>
      </c>
      <c r="E2089" t="s">
        <v>15</v>
      </c>
    </row>
    <row r="2090" spans="1:5" x14ac:dyDescent="0.25">
      <c r="A2090" t="str">
        <f>HYPERLINK("https://www.773grp.com/globalSearch/TPA0103PWP/page-1", "TPA0103PWP")</f>
        <v>TPA0103PWP</v>
      </c>
      <c r="B2090" s="3" t="str">
        <f>HYPERLINK("https://www.773grp.com/manufacturer/texas-instruments?pageNo=856", "Texas Instruments")</f>
        <v>Texas Instruments</v>
      </c>
      <c r="C2090" s="5">
        <v>5483</v>
      </c>
      <c r="D2090" s="6">
        <v>4.59</v>
      </c>
      <c r="E2090" t="s">
        <v>15</v>
      </c>
    </row>
    <row r="2091" spans="1:5" x14ac:dyDescent="0.25">
      <c r="A2091" t="str">
        <f>HYPERLINK("https://www.773grp.com/globalSearch/OPA2673IRGVR/page-1", "OPA2673IRGVR")</f>
        <v>OPA2673IRGVR</v>
      </c>
      <c r="B2091" s="3" t="s">
        <v>90</v>
      </c>
      <c r="C2091" s="5">
        <v>62371</v>
      </c>
      <c r="D2091" s="6">
        <v>4.6399999999999997</v>
      </c>
      <c r="E2091" t="s">
        <v>15</v>
      </c>
    </row>
    <row r="2092" spans="1:5" x14ac:dyDescent="0.25">
      <c r="A2092" t="str">
        <f>HYPERLINK("https://www.773grp.com/globalSearch/SN10502D/page-1", "SN10502D")</f>
        <v>SN10502D</v>
      </c>
      <c r="B2092" s="3" t="s">
        <v>90</v>
      </c>
      <c r="C2092" s="5">
        <v>88</v>
      </c>
      <c r="D2092" s="6">
        <v>4.6399999999999997</v>
      </c>
      <c r="E2092" t="s">
        <v>15</v>
      </c>
    </row>
    <row r="2093" spans="1:5" x14ac:dyDescent="0.25">
      <c r="A2093" t="str">
        <f>HYPERLINK("https://www.773grp.com/globalSearch/SN10502DGK/page-1", "SN10502DGK")</f>
        <v>SN10502DGK</v>
      </c>
      <c r="B2093" s="3" t="s">
        <v>90</v>
      </c>
      <c r="C2093" s="5">
        <v>2417</v>
      </c>
      <c r="D2093" s="6">
        <v>4.6399999999999997</v>
      </c>
      <c r="E2093" t="s">
        <v>15</v>
      </c>
    </row>
    <row r="2094" spans="1:5" x14ac:dyDescent="0.25">
      <c r="A2094" t="str">
        <f>HYPERLINK("https://www.773grp.com/globalSearch/SN10502DGKG4/page-1", "SN10502DGKG4")</f>
        <v>SN10502DGKG4</v>
      </c>
      <c r="B2094" s="3" t="s">
        <v>90</v>
      </c>
      <c r="C2094" s="5">
        <v>58</v>
      </c>
      <c r="D2094" s="6">
        <v>4.6399999999999997</v>
      </c>
      <c r="E2094" t="s">
        <v>15</v>
      </c>
    </row>
    <row r="2095" spans="1:5" x14ac:dyDescent="0.25">
      <c r="A2095" t="str">
        <f>HYPERLINK("https://www.773grp.com/globalSearch/SN10502DGN/page-1", "SN10502DGN")</f>
        <v>SN10502DGN</v>
      </c>
      <c r="B2095" s="3" t="s">
        <v>90</v>
      </c>
      <c r="C2095" s="5">
        <v>21638</v>
      </c>
      <c r="D2095" s="6">
        <v>4.6399999999999997</v>
      </c>
      <c r="E2095" t="s">
        <v>15</v>
      </c>
    </row>
    <row r="2096" spans="1:5" x14ac:dyDescent="0.25">
      <c r="A2096" t="str">
        <f>HYPERLINK("https://www.773grp.com/globalSearch/SN10503PWPR/page-1", "SN10503PWPR")</f>
        <v>SN10503PWPR</v>
      </c>
      <c r="B2096" s="3" t="s">
        <v>90</v>
      </c>
      <c r="C2096" s="5">
        <v>28000</v>
      </c>
      <c r="D2096" s="6">
        <v>4.6399999999999997</v>
      </c>
      <c r="E2096" t="s">
        <v>15</v>
      </c>
    </row>
    <row r="2097" spans="1:5" x14ac:dyDescent="0.25">
      <c r="A2097" t="str">
        <f>HYPERLINK("https://www.773grp.com/globalSearch/THS4222D/page-1", "THS4222D")</f>
        <v>THS4222D</v>
      </c>
      <c r="B2097" s="3" t="s">
        <v>90</v>
      </c>
      <c r="C2097" s="5">
        <v>3809</v>
      </c>
      <c r="D2097" s="6">
        <v>4.6399999999999997</v>
      </c>
      <c r="E2097" t="s">
        <v>15</v>
      </c>
    </row>
    <row r="2098" spans="1:5" x14ac:dyDescent="0.25">
      <c r="A2098" t="str">
        <f>HYPERLINK("https://www.773grp.com/globalSearch/THS4222DGK/page-1", "THS4222DGK")</f>
        <v>THS4222DGK</v>
      </c>
      <c r="B2098" s="3" t="s">
        <v>90</v>
      </c>
      <c r="C2098" s="5">
        <v>3607</v>
      </c>
      <c r="D2098" s="6">
        <v>4.6399999999999997</v>
      </c>
      <c r="E2098" t="s">
        <v>15</v>
      </c>
    </row>
    <row r="2099" spans="1:5" x14ac:dyDescent="0.25">
      <c r="A2099" t="str">
        <f>HYPERLINK("https://www.773grp.com/globalSearch/THS4222DGN/page-1", "THS4222DGN")</f>
        <v>THS4222DGN</v>
      </c>
      <c r="B2099" s="3" t="s">
        <v>90</v>
      </c>
      <c r="C2099" s="5">
        <v>6975</v>
      </c>
      <c r="D2099" s="6">
        <v>4.6399999999999997</v>
      </c>
      <c r="E2099" t="s">
        <v>15</v>
      </c>
    </row>
    <row r="2100" spans="1:5" x14ac:dyDescent="0.25">
      <c r="A2100" t="str">
        <f>HYPERLINK("https://www.773grp.com/globalSearch/THS4226DGQ/page-1", "THS4226DGQ")</f>
        <v>THS4226DGQ</v>
      </c>
      <c r="B2100" s="3" t="s">
        <v>90</v>
      </c>
      <c r="C2100" s="5">
        <v>28891</v>
      </c>
      <c r="D2100" s="6">
        <v>4.6399999999999997</v>
      </c>
      <c r="E2100" t="s">
        <v>15</v>
      </c>
    </row>
    <row r="2101" spans="1:5" x14ac:dyDescent="0.25">
      <c r="A2101" t="str">
        <f>HYPERLINK("https://www.773grp.com/globalSearch/TPA0202PWPR/page-1", "TPA0202PWPR")</f>
        <v>TPA0202PWPR</v>
      </c>
      <c r="B2101" s="3" t="s">
        <v>90</v>
      </c>
      <c r="C2101" s="5">
        <v>28000</v>
      </c>
      <c r="D2101" s="6">
        <v>4.6399999999999997</v>
      </c>
      <c r="E2101" t="s">
        <v>15</v>
      </c>
    </row>
    <row r="2102" spans="1:5" x14ac:dyDescent="0.25">
      <c r="A2102" t="str">
        <f>HYPERLINK("https://www.773grp.com/globalSearch/THS7319IZSVT/page-1", "THS7319IZSVT")</f>
        <v>THS7319IZSVT</v>
      </c>
      <c r="B2102" s="3" t="s">
        <v>90</v>
      </c>
      <c r="C2102" s="5">
        <v>61000</v>
      </c>
      <c r="D2102" s="6">
        <v>5.16</v>
      </c>
      <c r="E2102" t="s">
        <v>15</v>
      </c>
    </row>
    <row r="2103" spans="1:5" x14ac:dyDescent="0.25">
      <c r="A2103" t="str">
        <f>HYPERLINK("https://www.773grp.com/globalSearch/OPA682N-250/page-1", "OPA682N-250")</f>
        <v>OPA682N-250</v>
      </c>
      <c r="B2103" s="3" t="s">
        <v>90</v>
      </c>
      <c r="C2103" s="5">
        <v>3000</v>
      </c>
      <c r="D2103" s="6">
        <v>4.7300000000000004</v>
      </c>
      <c r="E2103" t="s">
        <v>15</v>
      </c>
    </row>
    <row r="2104" spans="1:5" x14ac:dyDescent="0.25">
      <c r="A2104" t="str">
        <f>HYPERLINK("https://www.773grp.com/globalSearch/OPA695IDBVT/page-1", "OPA695IDBVT")</f>
        <v>OPA695IDBVT</v>
      </c>
      <c r="B2104" s="3" t="s">
        <v>90</v>
      </c>
      <c r="C2104" s="5">
        <v>88</v>
      </c>
      <c r="D2104" s="6">
        <v>4.7300000000000004</v>
      </c>
      <c r="E2104" t="s">
        <v>15</v>
      </c>
    </row>
    <row r="2105" spans="1:5" x14ac:dyDescent="0.25">
      <c r="A2105" t="str">
        <f>HYPERLINK("https://www.773grp.com/globalSearch/OPA695IDGKT/page-1", "OPA695IDGKT")</f>
        <v>OPA695IDGKT</v>
      </c>
      <c r="B2105" s="3" t="s">
        <v>90</v>
      </c>
      <c r="C2105" s="5">
        <v>1000</v>
      </c>
      <c r="D2105" s="6">
        <v>4.7300000000000004</v>
      </c>
      <c r="E2105" t="s">
        <v>15</v>
      </c>
    </row>
    <row r="2106" spans="1:5" x14ac:dyDescent="0.25">
      <c r="A2106" t="str">
        <f>HYPERLINK("https://www.773grp.com/globalSearch/THS4081ID/page-1", "THS4081ID")</f>
        <v>THS4081ID</v>
      </c>
      <c r="B2106" s="3" t="s">
        <v>90</v>
      </c>
      <c r="C2106" s="5">
        <v>5421</v>
      </c>
      <c r="D2106" s="6">
        <v>4.7300000000000004</v>
      </c>
      <c r="E2106" t="s">
        <v>15</v>
      </c>
    </row>
    <row r="2107" spans="1:5" x14ac:dyDescent="0.25">
      <c r="A2107" t="str">
        <f>HYPERLINK("https://www.773grp.com/globalSearch/OPA2300AIDGSR/page-1", "OPA2300AIDGSR")</f>
        <v>OPA2300AIDGSR</v>
      </c>
      <c r="B2107" s="3" t="s">
        <v>90</v>
      </c>
      <c r="C2107" s="5">
        <v>19598</v>
      </c>
      <c r="D2107" s="6">
        <v>5.21</v>
      </c>
      <c r="E2107" t="s">
        <v>15</v>
      </c>
    </row>
    <row r="2108" spans="1:5" x14ac:dyDescent="0.25">
      <c r="A2108" t="str">
        <f>HYPERLINK("https://www.773grp.com/globalSearch/OPA2301AIDGKR/page-1", "OPA2301AIDGKR")</f>
        <v>OPA2301AIDGKR</v>
      </c>
      <c r="B2108" s="3" t="s">
        <v>90</v>
      </c>
      <c r="C2108" s="5">
        <v>1724</v>
      </c>
      <c r="D2108" s="6">
        <v>5.21</v>
      </c>
      <c r="E2108" t="s">
        <v>15</v>
      </c>
    </row>
    <row r="2109" spans="1:5" x14ac:dyDescent="0.25">
      <c r="A2109" t="str">
        <f>HYPERLINK("https://www.773grp.com/globalSearch/OPA2301AIDR/page-1", "OPA2301AIDR")</f>
        <v>OPA2301AIDR</v>
      </c>
      <c r="B2109" s="3" t="s">
        <v>90</v>
      </c>
      <c r="C2109" s="5">
        <v>36900</v>
      </c>
      <c r="D2109" s="6">
        <v>5.21</v>
      </c>
      <c r="E2109" t="s">
        <v>15</v>
      </c>
    </row>
    <row r="2110" spans="1:5" x14ac:dyDescent="0.25">
      <c r="A2110" t="str">
        <f>HYPERLINK("https://www.773grp.com/globalSearch/TPA2015D1YZHR/page-1", "TPA2015D1YZHR")</f>
        <v>TPA2015D1YZHR</v>
      </c>
      <c r="B2110" s="3" t="s">
        <v>90</v>
      </c>
      <c r="C2110" s="5">
        <v>11807</v>
      </c>
      <c r="D2110" s="6">
        <v>5.21</v>
      </c>
      <c r="E2110" t="s">
        <v>15</v>
      </c>
    </row>
    <row r="2111" spans="1:5" x14ac:dyDescent="0.25">
      <c r="A2111" t="str">
        <f>HYPERLINK("https://www.773grp.com/globalSearch/TPA6040A4RHBR/page-1", "TPA6040A4RHBR")</f>
        <v>TPA6040A4RHBR</v>
      </c>
      <c r="B2111" s="3" t="s">
        <v>90</v>
      </c>
      <c r="C2111" s="5">
        <v>682349</v>
      </c>
      <c r="D2111" s="6">
        <v>5.21</v>
      </c>
      <c r="E2111" t="s">
        <v>15</v>
      </c>
    </row>
    <row r="2112" spans="1:5" x14ac:dyDescent="0.25">
      <c r="A2112" t="str">
        <f>HYPERLINK("https://www.773grp.com/globalSearch/TPA6041A4RHBR/page-1", "TPA6041A4RHBR")</f>
        <v>TPA6041A4RHBR</v>
      </c>
      <c r="B2112" s="3" t="s">
        <v>90</v>
      </c>
      <c r="C2112" s="5">
        <v>1992000</v>
      </c>
      <c r="D2112" s="6">
        <v>5.21</v>
      </c>
      <c r="E2112" t="s">
        <v>15</v>
      </c>
    </row>
    <row r="2113" spans="1:5" x14ac:dyDescent="0.25">
      <c r="A2113" t="str">
        <f>HYPERLINK("https://www.773grp.com/globalSearch/TPA6043A4RHBR/page-1", "TPA6043A4RHBR")</f>
        <v>TPA6043A4RHBR</v>
      </c>
      <c r="B2113" s="3" t="s">
        <v>90</v>
      </c>
      <c r="C2113" s="5">
        <v>24000</v>
      </c>
      <c r="D2113" s="6">
        <v>5.21</v>
      </c>
      <c r="E2113" t="s">
        <v>15</v>
      </c>
    </row>
    <row r="2114" spans="1:5" x14ac:dyDescent="0.25">
      <c r="A2114" t="str">
        <f>HYPERLINK("https://www.773grp.com/globalSearch/TPA6045A4CRHBR/page-1", "TPA6045A4CRHBR")</f>
        <v>TPA6045A4CRHBR</v>
      </c>
      <c r="B2114" s="3" t="s">
        <v>90</v>
      </c>
      <c r="C2114" s="5">
        <v>1587000</v>
      </c>
      <c r="D2114" s="6">
        <v>5.21</v>
      </c>
      <c r="E2114" t="s">
        <v>15</v>
      </c>
    </row>
    <row r="2115" spans="1:5" x14ac:dyDescent="0.25">
      <c r="A2115" t="str">
        <f>HYPERLINK("https://www.773grp.com/globalSearch/THS3096PWP/page-1", "THS3096PWP")</f>
        <v>THS3096PWP</v>
      </c>
      <c r="B2115" s="3" t="s">
        <v>90</v>
      </c>
      <c r="C2115" s="5">
        <v>2520</v>
      </c>
      <c r="D2115" s="6">
        <v>4.76</v>
      </c>
      <c r="E2115" t="s">
        <v>15</v>
      </c>
    </row>
    <row r="2116" spans="1:5" x14ac:dyDescent="0.25">
      <c r="A2116" t="str">
        <f>HYPERLINK("https://www.773grp.com/globalSearch/OPA2613IDR/page-1", "OPA2613IDR")</f>
        <v>OPA2613IDR</v>
      </c>
      <c r="B2116" s="3" t="s">
        <v>90</v>
      </c>
      <c r="C2116" s="5">
        <v>179350</v>
      </c>
      <c r="D2116" s="6">
        <v>4.78</v>
      </c>
      <c r="E2116" t="s">
        <v>15</v>
      </c>
    </row>
    <row r="2117" spans="1:5" x14ac:dyDescent="0.25">
      <c r="A2117" t="str">
        <f>HYPERLINK("https://www.773grp.com/globalSearch/TPA0223DGQ/page-1", "TPA0223DGQ")</f>
        <v>TPA0223DGQ</v>
      </c>
      <c r="B2117" s="3" t="s">
        <v>90</v>
      </c>
      <c r="C2117" s="5">
        <v>37500</v>
      </c>
      <c r="D2117" s="6">
        <v>4.78</v>
      </c>
      <c r="E2117" t="s">
        <v>15</v>
      </c>
    </row>
    <row r="2118" spans="1:5" x14ac:dyDescent="0.25">
      <c r="A2118" t="str">
        <f>HYPERLINK("https://www.773grp.com/globalSearch/OPA843IDR/page-1", "OPA843IDR")</f>
        <v>OPA843IDR</v>
      </c>
      <c r="B2118" s="3" t="s">
        <v>90</v>
      </c>
      <c r="C2118" s="5">
        <v>7475</v>
      </c>
      <c r="D2118" s="6">
        <v>4.8099999999999996</v>
      </c>
      <c r="E2118" t="s">
        <v>15</v>
      </c>
    </row>
    <row r="2119" spans="1:5" x14ac:dyDescent="0.25">
      <c r="A2119" t="str">
        <f>HYPERLINK("https://www.773grp.com/globalSearch/THS3111CD/page-1", "THS3111CD")</f>
        <v>THS3111CD</v>
      </c>
      <c r="B2119" s="3" t="s">
        <v>90</v>
      </c>
      <c r="C2119" s="5">
        <v>215</v>
      </c>
      <c r="D2119" s="6">
        <v>4.8600000000000003</v>
      </c>
      <c r="E2119" t="s">
        <v>15</v>
      </c>
    </row>
    <row r="2120" spans="1:5" x14ac:dyDescent="0.25">
      <c r="A2120" t="str">
        <f>HYPERLINK("https://www.773grp.com/globalSearch/THS3111ID/page-1", "THS3111ID")</f>
        <v>THS3111ID</v>
      </c>
      <c r="B2120" s="3" t="s">
        <v>90</v>
      </c>
      <c r="C2120" s="5">
        <v>114</v>
      </c>
      <c r="D2120" s="6">
        <v>4.8600000000000003</v>
      </c>
      <c r="E2120" t="s">
        <v>15</v>
      </c>
    </row>
    <row r="2121" spans="1:5" x14ac:dyDescent="0.25">
      <c r="A2121" t="str">
        <f>HYPERLINK("https://www.773grp.com/globalSearch/TPA302D/page-1", "TPA302D")</f>
        <v>TPA302D</v>
      </c>
      <c r="B2121" s="3" t="s">
        <v>90</v>
      </c>
      <c r="C2121" s="5">
        <v>7965</v>
      </c>
      <c r="D2121" s="6">
        <v>4.8600000000000003</v>
      </c>
      <c r="E2121" t="s">
        <v>15</v>
      </c>
    </row>
    <row r="2122" spans="1:5" x14ac:dyDescent="0.25">
      <c r="A2122" t="str">
        <f>HYPERLINK("https://www.773grp.com/globalSearch/OPA2674I-14D/page-1", "OPA2674I-14D")</f>
        <v>OPA2674I-14D</v>
      </c>
      <c r="B2122" s="3" t="s">
        <v>90</v>
      </c>
      <c r="C2122" s="5">
        <v>606</v>
      </c>
      <c r="D2122" s="6">
        <v>4.9000000000000004</v>
      </c>
      <c r="E2122" t="s">
        <v>15</v>
      </c>
    </row>
    <row r="2123" spans="1:5" x14ac:dyDescent="0.25">
      <c r="A2123" t="str">
        <f>HYPERLINK("https://www.773grp.com/globalSearch/OPA2674ID/page-1", "OPA2674ID")</f>
        <v>OPA2674ID</v>
      </c>
      <c r="B2123" s="3" t="s">
        <v>90</v>
      </c>
      <c r="C2123" s="5">
        <v>14605</v>
      </c>
      <c r="D2123" s="6">
        <v>4.9000000000000004</v>
      </c>
      <c r="E2123" t="s">
        <v>15</v>
      </c>
    </row>
    <row r="2124" spans="1:5" x14ac:dyDescent="0.25">
      <c r="A2124" t="str">
        <f>HYPERLINK("https://www.773grp.com/globalSearch/OPA2674IDG4/page-1", "OPA2674IDG4")</f>
        <v>OPA2674IDG4</v>
      </c>
      <c r="B2124" s="3" t="s">
        <v>90</v>
      </c>
      <c r="C2124" s="5">
        <v>59</v>
      </c>
      <c r="D2124" s="6">
        <v>4.9000000000000004</v>
      </c>
      <c r="E2124" t="s">
        <v>15</v>
      </c>
    </row>
    <row r="2125" spans="1:5" x14ac:dyDescent="0.25">
      <c r="A2125" t="str">
        <f>HYPERLINK("https://www.773grp.com/globalSearch/TPA0213DGQ/page-1", "TPA0213DGQ")</f>
        <v>TPA0213DGQ</v>
      </c>
      <c r="B2125" s="3" t="s">
        <v>90</v>
      </c>
      <c r="C2125" s="5">
        <v>1593</v>
      </c>
      <c r="D2125" s="6">
        <v>4.9000000000000004</v>
      </c>
      <c r="E2125" t="s">
        <v>15</v>
      </c>
    </row>
    <row r="2126" spans="1:5" x14ac:dyDescent="0.25">
      <c r="A2126" t="str">
        <f>HYPERLINK("https://www.773grp.com/globalSearch/TPA0243DGQ/page-1", "TPA0243DGQ")</f>
        <v>TPA0243DGQ</v>
      </c>
      <c r="B2126" s="3" t="s">
        <v>90</v>
      </c>
      <c r="C2126" s="5">
        <v>240</v>
      </c>
      <c r="D2126" s="6">
        <v>4.9000000000000004</v>
      </c>
      <c r="E2126" t="s">
        <v>15</v>
      </c>
    </row>
    <row r="2127" spans="1:5" x14ac:dyDescent="0.25">
      <c r="A2127" t="str">
        <f>HYPERLINK("https://www.773grp.com/globalSearch/OPA2134PA/page-1", "OPA2134PA")</f>
        <v>OPA2134PA</v>
      </c>
      <c r="B2127" s="3" t="s">
        <v>90</v>
      </c>
      <c r="C2127" s="5">
        <v>14256</v>
      </c>
      <c r="D2127" s="6">
        <v>4.93</v>
      </c>
      <c r="E2127" t="s">
        <v>15</v>
      </c>
    </row>
    <row r="2128" spans="1:5" x14ac:dyDescent="0.25">
      <c r="A2128" t="str">
        <f>HYPERLINK("https://www.773grp.com/globalSearch/OPA2613IDTJ/page-1", "OPA2613IDTJ")</f>
        <v>OPA2613IDTJ</v>
      </c>
      <c r="B2128" s="3" t="s">
        <v>90</v>
      </c>
      <c r="C2128" s="5">
        <v>8418</v>
      </c>
      <c r="D2128" s="6">
        <v>4.93</v>
      </c>
      <c r="E2128" t="s">
        <v>15</v>
      </c>
    </row>
    <row r="2129" spans="1:5" x14ac:dyDescent="0.25">
      <c r="A2129" t="str">
        <f>HYPERLINK("https://www.773grp.com/globalSearch/OPA693IDBVR/page-1", "OPA693IDBVR")</f>
        <v>OPA693IDBVR</v>
      </c>
      <c r="B2129" s="3" t="s">
        <v>90</v>
      </c>
      <c r="C2129" s="5">
        <v>2820</v>
      </c>
      <c r="D2129" s="6">
        <v>4.93</v>
      </c>
      <c r="E2129" t="s">
        <v>15</v>
      </c>
    </row>
    <row r="2130" spans="1:5" x14ac:dyDescent="0.25">
      <c r="A2130" t="str">
        <f>HYPERLINK("https://www.773grp.com/globalSearch/OPA695ID/page-1", "OPA695ID")</f>
        <v>OPA695ID</v>
      </c>
      <c r="B2130" s="3" t="s">
        <v>90</v>
      </c>
      <c r="C2130" s="5">
        <v>19875</v>
      </c>
      <c r="D2130" s="6">
        <v>4.93</v>
      </c>
      <c r="E2130" t="s">
        <v>15</v>
      </c>
    </row>
    <row r="2131" spans="1:5" x14ac:dyDescent="0.25">
      <c r="A2131" t="str">
        <f>HYPERLINK("https://www.773grp.com/globalSearch/TPA3123D2PWPR/page-1", "TPA3123D2PWPR")</f>
        <v>TPA3123D2PWPR</v>
      </c>
      <c r="B2131" s="3" t="s">
        <v>90</v>
      </c>
      <c r="C2131" s="5">
        <v>3970</v>
      </c>
      <c r="D2131" s="6">
        <v>4.93</v>
      </c>
      <c r="E2131" t="s">
        <v>15</v>
      </c>
    </row>
    <row r="2132" spans="1:5" x14ac:dyDescent="0.25">
      <c r="A2132" t="str">
        <f>HYPERLINK("https://www.773grp.com/globalSearch/OPA690IDBVT/page-1", "OPA690IDBVT")</f>
        <v>OPA690IDBVT</v>
      </c>
      <c r="B2132" s="3" t="s">
        <v>90</v>
      </c>
      <c r="C2132" s="5">
        <v>494</v>
      </c>
      <c r="D2132" s="6">
        <v>4.9800000000000004</v>
      </c>
      <c r="E2132" t="s">
        <v>15</v>
      </c>
    </row>
    <row r="2133" spans="1:5" x14ac:dyDescent="0.25">
      <c r="A2133" t="str">
        <f>HYPERLINK("https://www.773grp.com/globalSearch/THS3110ID/page-1", "THS3110ID")</f>
        <v>THS3110ID</v>
      </c>
      <c r="B2133" s="3" t="s">
        <v>90</v>
      </c>
      <c r="C2133" s="5">
        <v>10080</v>
      </c>
      <c r="D2133" s="6">
        <v>5.01</v>
      </c>
      <c r="E2133" t="s">
        <v>15</v>
      </c>
    </row>
    <row r="2134" spans="1:5" x14ac:dyDescent="0.25">
      <c r="A2134" t="str">
        <f>HYPERLINK("https://www.773grp.com/globalSearch/THS4081CDGN/page-1", "THS4081CDGN")</f>
        <v>THS4081CDGN</v>
      </c>
      <c r="B2134" s="3" t="s">
        <v>90</v>
      </c>
      <c r="C2134" s="5">
        <v>1440</v>
      </c>
      <c r="D2134" s="6">
        <v>5.01</v>
      </c>
      <c r="E2134" t="s">
        <v>15</v>
      </c>
    </row>
    <row r="2135" spans="1:5" x14ac:dyDescent="0.25">
      <c r="A2135" t="str">
        <f>HYPERLINK("https://www.773grp.com/globalSearch/TPA2000D2PW/page-1", "TPA2000D2PW")</f>
        <v>TPA2000D2PW</v>
      </c>
      <c r="B2135" s="3" t="s">
        <v>90</v>
      </c>
      <c r="C2135" s="5">
        <v>18278</v>
      </c>
      <c r="D2135" s="6">
        <v>5.01</v>
      </c>
      <c r="E2135" t="s">
        <v>15</v>
      </c>
    </row>
    <row r="2136" spans="1:5" x14ac:dyDescent="0.25">
      <c r="A2136" t="str">
        <f>HYPERLINK("https://www.773grp.com/globalSearch/TPA2000D2PWG4/page-1", "TPA2000D2PWG4")</f>
        <v>TPA2000D2PWG4</v>
      </c>
      <c r="B2136" s="3" t="s">
        <v>90</v>
      </c>
      <c r="C2136" s="5">
        <v>344</v>
      </c>
      <c r="D2136" s="6">
        <v>5.01</v>
      </c>
      <c r="E2136" t="s">
        <v>15</v>
      </c>
    </row>
    <row r="2137" spans="1:5" x14ac:dyDescent="0.25">
      <c r="A2137" t="str">
        <f>HYPERLINK("https://www.773grp.com/globalSearch/TPA2000D2PWP/page-1", "TPA2000D2PWP")</f>
        <v>TPA2000D2PWP</v>
      </c>
      <c r="B2137" s="3" t="s">
        <v>90</v>
      </c>
      <c r="C2137" s="5">
        <v>190</v>
      </c>
      <c r="D2137" s="6">
        <v>5.01</v>
      </c>
      <c r="E2137" t="s">
        <v>15</v>
      </c>
    </row>
    <row r="2138" spans="1:5" x14ac:dyDescent="0.25">
      <c r="A2138" t="str">
        <f>HYPERLINK("https://www.773grp.com/globalSearch/OPA2134UA/page-1", "OPA2134UA")</f>
        <v>OPA2134UA</v>
      </c>
      <c r="B2138" s="3" t="s">
        <v>90</v>
      </c>
      <c r="C2138" s="5">
        <v>4867</v>
      </c>
      <c r="D2138" s="6">
        <v>5.0599999999999996</v>
      </c>
      <c r="E2138" t="s">
        <v>15</v>
      </c>
    </row>
    <row r="2139" spans="1:5" x14ac:dyDescent="0.25">
      <c r="A2139" t="str">
        <f>HYPERLINK("https://www.773grp.com/globalSearch/OPA2134UA/page-1", "OPA2134UA")</f>
        <v>OPA2134UA</v>
      </c>
      <c r="B2139" s="3" t="s">
        <v>90</v>
      </c>
      <c r="C2139" s="5">
        <v>100</v>
      </c>
      <c r="D2139" s="6">
        <v>5.0599999999999996</v>
      </c>
      <c r="E2139" t="s">
        <v>15</v>
      </c>
    </row>
    <row r="2140" spans="1:5" x14ac:dyDescent="0.25">
      <c r="A2140" t="str">
        <f>HYPERLINK("https://www.773grp.com/globalSearch/TAS5102DADR/page-1", "TAS5102DADR")</f>
        <v>TAS5102DADR</v>
      </c>
      <c r="B2140" s="3" t="s">
        <v>90</v>
      </c>
      <c r="C2140" s="5">
        <v>2022</v>
      </c>
      <c r="D2140" s="6">
        <v>5.0599999999999996</v>
      </c>
      <c r="E2140" t="s">
        <v>15</v>
      </c>
    </row>
    <row r="2141" spans="1:5" x14ac:dyDescent="0.25">
      <c r="A2141" t="str">
        <f>HYPERLINK("https://www.773grp.com/globalSearch/THS4061CD/page-1", "THS4061CD")</f>
        <v>THS4061CD</v>
      </c>
      <c r="B2141" s="3" t="s">
        <v>90</v>
      </c>
      <c r="C2141" s="5">
        <v>464</v>
      </c>
      <c r="D2141" s="6">
        <v>5.0999999999999996</v>
      </c>
      <c r="E2141" t="s">
        <v>15</v>
      </c>
    </row>
    <row r="2142" spans="1:5" x14ac:dyDescent="0.25">
      <c r="A2142" t="str">
        <f>HYPERLINK("https://www.773grp.com/globalSearch/THS4061CDGN/page-1", "THS4061CDGN")</f>
        <v>THS4061CDGN</v>
      </c>
      <c r="B2142" s="3" t="s">
        <v>90</v>
      </c>
      <c r="C2142" s="5">
        <v>14410</v>
      </c>
      <c r="D2142" s="6">
        <v>5.0999999999999996</v>
      </c>
      <c r="E2142" t="s">
        <v>15</v>
      </c>
    </row>
    <row r="2143" spans="1:5" x14ac:dyDescent="0.25">
      <c r="A2143" t="str">
        <f>HYPERLINK("https://www.773grp.com/globalSearch/OPA846IDBVR/page-1", "OPA846IDBVR")</f>
        <v>OPA846IDBVR</v>
      </c>
      <c r="B2143" s="3" t="s">
        <v>90</v>
      </c>
      <c r="C2143" s="5">
        <v>56900</v>
      </c>
      <c r="D2143" s="6">
        <v>5.1100000000000003</v>
      </c>
      <c r="E2143" t="s">
        <v>15</v>
      </c>
    </row>
    <row r="2144" spans="1:5" x14ac:dyDescent="0.25">
      <c r="A2144" t="str">
        <f>HYPERLINK("https://www.773grp.com/globalSearch/OPA690ID/page-1", "OPA690ID")</f>
        <v>OPA690ID</v>
      </c>
      <c r="B2144" s="3" t="s">
        <v>90</v>
      </c>
      <c r="C2144" s="5">
        <v>31930</v>
      </c>
      <c r="D2144" s="6">
        <v>5.18</v>
      </c>
      <c r="E2144" t="s">
        <v>15</v>
      </c>
    </row>
    <row r="2145" spans="1:5" x14ac:dyDescent="0.25">
      <c r="A2145" t="str">
        <f>HYPERLINK("https://www.773grp.com/globalSearch/OPA4354AIPWT/page-1", "OPA4354AIPWT")</f>
        <v>OPA4354AIPWT</v>
      </c>
      <c r="B2145" s="3" t="s">
        <v>90</v>
      </c>
      <c r="C2145" s="5">
        <v>601</v>
      </c>
      <c r="D2145" s="6">
        <v>5.2</v>
      </c>
      <c r="E2145" t="s">
        <v>15</v>
      </c>
    </row>
    <row r="2146" spans="1:5" x14ac:dyDescent="0.25">
      <c r="A2146" t="str">
        <f>HYPERLINK("https://www.773grp.com/globalSearch/THS4081IDGN/page-1", "THS4081IDGN")</f>
        <v>THS4081IDGN</v>
      </c>
      <c r="B2146" s="3" t="s">
        <v>90</v>
      </c>
      <c r="C2146" s="5">
        <v>19802</v>
      </c>
      <c r="D2146" s="6">
        <v>5.29</v>
      </c>
      <c r="E2146" t="s">
        <v>15</v>
      </c>
    </row>
    <row r="2147" spans="1:5" x14ac:dyDescent="0.25">
      <c r="A2147" t="str">
        <f>HYPERLINK("https://www.773grp.com/globalSearch/OPA2350EA-2K5/page-1", "OPA2350EA-2K5")</f>
        <v>OPA2350EA-2K5</v>
      </c>
      <c r="B2147" s="3" t="s">
        <v>90</v>
      </c>
      <c r="C2147" s="5">
        <v>12500</v>
      </c>
      <c r="D2147" s="6">
        <v>5.35</v>
      </c>
      <c r="E2147" t="s">
        <v>15</v>
      </c>
    </row>
    <row r="2148" spans="1:5" x14ac:dyDescent="0.25">
      <c r="A2148" t="str">
        <f>HYPERLINK("https://www.773grp.com/globalSearch/OPA2350UA-2K5/page-1", "OPA2350UA-2K5")</f>
        <v>OPA2350UA-2K5</v>
      </c>
      <c r="B2148" s="3" t="s">
        <v>90</v>
      </c>
      <c r="C2148" s="5">
        <v>7395</v>
      </c>
      <c r="D2148" s="6">
        <v>5.35</v>
      </c>
      <c r="E2148" t="s">
        <v>15</v>
      </c>
    </row>
    <row r="2149" spans="1:5" x14ac:dyDescent="0.25">
      <c r="A2149" t="str">
        <f>HYPERLINK("https://www.773grp.com/globalSearch/OPA2673IRGVT/page-1", "OPA2673IRGVT")</f>
        <v>OPA2673IRGVT</v>
      </c>
      <c r="B2149" s="3" t="s">
        <v>90</v>
      </c>
      <c r="C2149" s="5">
        <v>21000</v>
      </c>
      <c r="D2149" s="6">
        <v>5.35</v>
      </c>
      <c r="E2149" t="s">
        <v>15</v>
      </c>
    </row>
    <row r="2150" spans="1:5" x14ac:dyDescent="0.25">
      <c r="A2150" t="str">
        <f>HYPERLINK("https://www.773grp.com/globalSearch/THS4211DRB/page-1", "THS4211DRB")</f>
        <v>THS4211DRB</v>
      </c>
      <c r="B2150" s="3" t="s">
        <v>90</v>
      </c>
      <c r="C2150" s="5">
        <v>893</v>
      </c>
      <c r="D2150" s="6">
        <v>5.35</v>
      </c>
      <c r="E2150" t="s">
        <v>15</v>
      </c>
    </row>
    <row r="2151" spans="1:5" x14ac:dyDescent="0.25">
      <c r="A2151" t="str">
        <f>HYPERLINK("https://www.773grp.com/globalSearch/THS4215DRB/page-1", "THS4215DRB")</f>
        <v>THS4215DRB</v>
      </c>
      <c r="B2151" s="3" t="s">
        <v>90</v>
      </c>
      <c r="C2151" s="5">
        <v>1089</v>
      </c>
      <c r="D2151" s="6">
        <v>5.35</v>
      </c>
      <c r="E2151" t="s">
        <v>15</v>
      </c>
    </row>
    <row r="2152" spans="1:5" x14ac:dyDescent="0.25">
      <c r="A2152" t="str">
        <f>HYPERLINK("https://www.773grp.com/globalSearch/TPA2001D2PWP/page-1", "TPA2001D2PWP")</f>
        <v>TPA2001D2PWP</v>
      </c>
      <c r="B2152" s="3" t="s">
        <v>90</v>
      </c>
      <c r="C2152" s="5">
        <v>5045</v>
      </c>
      <c r="D2152" s="6">
        <v>5.35</v>
      </c>
      <c r="E2152" t="s">
        <v>15</v>
      </c>
    </row>
    <row r="2153" spans="1:5" x14ac:dyDescent="0.25">
      <c r="A2153" t="str">
        <f>HYPERLINK("https://www.773grp.com/globalSearch/THS4061ID/page-1", "THS4061ID")</f>
        <v>THS4061ID</v>
      </c>
      <c r="B2153" s="3" t="s">
        <v>90</v>
      </c>
      <c r="C2153" s="5">
        <v>13399</v>
      </c>
      <c r="D2153" s="6">
        <v>5.36</v>
      </c>
      <c r="E2153" t="s">
        <v>15</v>
      </c>
    </row>
    <row r="2154" spans="1:5" x14ac:dyDescent="0.25">
      <c r="A2154" t="str">
        <f>HYPERLINK("https://www.773grp.com/globalSearch/OPA4354AID/page-1", "OPA4354AID")</f>
        <v>OPA4354AID</v>
      </c>
      <c r="B2154" s="3" t="s">
        <v>90</v>
      </c>
      <c r="C2154" s="5">
        <v>12467</v>
      </c>
      <c r="D2154" s="6">
        <v>5.49</v>
      </c>
      <c r="E2154" t="s">
        <v>15</v>
      </c>
    </row>
    <row r="2155" spans="1:5" x14ac:dyDescent="0.25">
      <c r="A2155" t="str">
        <f>HYPERLINK("https://www.773grp.com/globalSearch/OPA843IDBVT/page-1", "OPA843IDBVT")</f>
        <v>OPA843IDBVT</v>
      </c>
      <c r="B2155" s="3" t="s">
        <v>90</v>
      </c>
      <c r="C2155" s="5">
        <v>5789</v>
      </c>
      <c r="D2155" s="6">
        <v>5.49</v>
      </c>
      <c r="E2155" t="s">
        <v>15</v>
      </c>
    </row>
    <row r="2156" spans="1:5" x14ac:dyDescent="0.25">
      <c r="A2156" t="str">
        <f>HYPERLINK("https://www.773grp.com/globalSearch/THS3110IDGN/page-1", "THS3110IDGN")</f>
        <v>THS3110IDGN</v>
      </c>
      <c r="B2156" s="3" t="s">
        <v>90</v>
      </c>
      <c r="C2156" s="5">
        <v>2482</v>
      </c>
      <c r="D2156" s="6">
        <v>5.58</v>
      </c>
      <c r="E2156" t="s">
        <v>15</v>
      </c>
    </row>
    <row r="2157" spans="1:5" x14ac:dyDescent="0.25">
      <c r="A2157" t="str">
        <f>HYPERLINK("https://www.773grp.com/globalSearch/THS4001CDR/page-1", "THS4001CDR")</f>
        <v>THS4001CDR</v>
      </c>
      <c r="B2157" s="3" t="s">
        <v>90</v>
      </c>
      <c r="C2157" s="5">
        <v>57500</v>
      </c>
      <c r="D2157" s="6">
        <v>5.58</v>
      </c>
      <c r="E2157" t="s">
        <v>15</v>
      </c>
    </row>
    <row r="2158" spans="1:5" x14ac:dyDescent="0.25">
      <c r="A2158" t="str">
        <f>HYPERLINK("https://www.773grp.com/globalSearch/TPA0202PWP/page-1", "TPA0202PWP")</f>
        <v>TPA0202PWP</v>
      </c>
      <c r="B2158" s="3" t="s">
        <v>90</v>
      </c>
      <c r="C2158" s="5">
        <v>1793</v>
      </c>
      <c r="D2158" s="6">
        <v>5.58</v>
      </c>
      <c r="E2158" t="s">
        <v>15</v>
      </c>
    </row>
    <row r="2159" spans="1:5" x14ac:dyDescent="0.25">
      <c r="A2159" t="str">
        <f>HYPERLINK("https://www.773grp.com/globalSearch/OPA693IDBVT/page-1", "OPA693IDBVT")</f>
        <v>OPA693IDBVT</v>
      </c>
      <c r="B2159" s="3" t="s">
        <v>90</v>
      </c>
      <c r="C2159" s="5">
        <v>10305</v>
      </c>
      <c r="D2159" s="6">
        <v>5.63</v>
      </c>
      <c r="E2159" t="s">
        <v>15</v>
      </c>
    </row>
    <row r="2160" spans="1:5" x14ac:dyDescent="0.25">
      <c r="A2160" t="str">
        <f>HYPERLINK("https://www.773grp.com/globalSearch/TAS5602DCAR/page-1", "TAS5602DCAR")</f>
        <v>TAS5602DCAR</v>
      </c>
      <c r="B2160" s="3" t="s">
        <v>90</v>
      </c>
      <c r="C2160" s="5">
        <v>44263</v>
      </c>
      <c r="D2160" s="6">
        <v>5.63</v>
      </c>
      <c r="E2160" t="s">
        <v>15</v>
      </c>
    </row>
    <row r="2161" spans="1:5" x14ac:dyDescent="0.25">
      <c r="A2161" t="str">
        <f>HYPERLINK("https://www.773grp.com/globalSearch/THS7303PW/page-1", "THS7303PW")</f>
        <v>THS7303PW</v>
      </c>
      <c r="B2161" s="3" t="s">
        <v>90</v>
      </c>
      <c r="C2161" s="5">
        <v>160</v>
      </c>
      <c r="D2161" s="6">
        <v>5.63</v>
      </c>
      <c r="E2161" t="s">
        <v>15</v>
      </c>
    </row>
    <row r="2162" spans="1:5" x14ac:dyDescent="0.25">
      <c r="A2162" t="str">
        <f>HYPERLINK("https://www.773grp.com/globalSearch/OPA2613ID/page-1", "OPA2613ID")</f>
        <v>OPA2613ID</v>
      </c>
      <c r="B2162" s="3" t="s">
        <v>90</v>
      </c>
      <c r="C2162" s="5">
        <v>7167</v>
      </c>
      <c r="D2162" s="6">
        <v>5.65</v>
      </c>
      <c r="E2162" t="s">
        <v>15</v>
      </c>
    </row>
    <row r="2163" spans="1:5" x14ac:dyDescent="0.25">
      <c r="A2163" t="str">
        <f>HYPERLINK("https://www.773grp.com/globalSearch/OPA1632DGNR/page-1", "OPA1632DGNR")</f>
        <v>OPA1632DGNR</v>
      </c>
      <c r="B2163" s="3" t="s">
        <v>90</v>
      </c>
      <c r="C2163" s="5">
        <v>10000</v>
      </c>
      <c r="D2163" s="6">
        <v>5.69</v>
      </c>
      <c r="E2163" t="s">
        <v>15</v>
      </c>
    </row>
    <row r="2164" spans="1:5" x14ac:dyDescent="0.25">
      <c r="A2164" t="str">
        <f>HYPERLINK("https://www.773grp.com/globalSearch/OPA1632DR/page-1", "OPA1632DR")</f>
        <v>OPA1632DR</v>
      </c>
      <c r="B2164" s="3" t="s">
        <v>90</v>
      </c>
      <c r="C2164" s="5">
        <v>25000</v>
      </c>
      <c r="D2164" s="6">
        <v>5.69</v>
      </c>
      <c r="E2164" t="s">
        <v>15</v>
      </c>
    </row>
    <row r="2165" spans="1:5" x14ac:dyDescent="0.25">
      <c r="A2165" t="str">
        <f>HYPERLINK("https://www.773grp.com/globalSearch/OPA843ID/page-1", "OPA843ID")</f>
        <v>OPA843ID</v>
      </c>
      <c r="B2165" s="3" t="s">
        <v>90</v>
      </c>
      <c r="C2165" s="5">
        <v>178</v>
      </c>
      <c r="D2165" s="6">
        <v>5.7</v>
      </c>
      <c r="E2165" t="s">
        <v>15</v>
      </c>
    </row>
    <row r="2166" spans="1:5" x14ac:dyDescent="0.25">
      <c r="A2166" t="str">
        <f>HYPERLINK("https://www.773grp.com/globalSearch/THS3120CD/page-1", "THS3120CD")</f>
        <v>THS3120CD</v>
      </c>
      <c r="B2166" s="3" t="s">
        <v>90</v>
      </c>
      <c r="C2166" s="5">
        <v>18525</v>
      </c>
      <c r="D2166" s="6">
        <v>5.78</v>
      </c>
      <c r="E2166" t="s">
        <v>15</v>
      </c>
    </row>
    <row r="2167" spans="1:5" x14ac:dyDescent="0.25">
      <c r="A2167" t="str">
        <f>HYPERLINK("https://www.773grp.com/globalSearch/OPA846IDBVT/page-1", "OPA846IDBVT")</f>
        <v>OPA846IDBVT</v>
      </c>
      <c r="B2167" s="3" t="s">
        <v>90</v>
      </c>
      <c r="C2167" s="5">
        <v>17354</v>
      </c>
      <c r="D2167" s="6">
        <v>5.83</v>
      </c>
      <c r="E2167" t="s">
        <v>15</v>
      </c>
    </row>
    <row r="2168" spans="1:5" x14ac:dyDescent="0.25">
      <c r="A2168" t="str">
        <f>HYPERLINK("https://www.773grp.com/globalSearch/OPA693ID/page-1", "OPA693ID")</f>
        <v>OPA693ID</v>
      </c>
      <c r="B2168" s="3" t="s">
        <v>90</v>
      </c>
      <c r="C2168" s="5">
        <v>9992</v>
      </c>
      <c r="D2168" s="6">
        <v>5.85</v>
      </c>
      <c r="E2168" t="s">
        <v>15</v>
      </c>
    </row>
    <row r="2169" spans="1:5" x14ac:dyDescent="0.25">
      <c r="A2169" t="str">
        <f>HYPERLINK("https://www.773grp.com/globalSearch/OPA842ID/page-1", "OPA842ID")</f>
        <v>OPA842ID</v>
      </c>
      <c r="B2169" s="3" t="s">
        <v>90</v>
      </c>
      <c r="C2169" s="5">
        <v>83</v>
      </c>
      <c r="D2169" s="6">
        <v>5.85</v>
      </c>
      <c r="E2169" t="s">
        <v>15</v>
      </c>
    </row>
    <row r="2170" spans="1:5" x14ac:dyDescent="0.25">
      <c r="A2170" t="str">
        <f>HYPERLINK("https://www.773grp.com/globalSearch/TAS5132DDVR/page-1", "TAS5132DDVR")</f>
        <v>TAS5132DDVR</v>
      </c>
      <c r="B2170" s="3" t="s">
        <v>90</v>
      </c>
      <c r="C2170" s="5">
        <v>2000</v>
      </c>
      <c r="D2170" s="6">
        <v>5.88</v>
      </c>
      <c r="E2170" t="s">
        <v>15</v>
      </c>
    </row>
    <row r="2171" spans="1:5" x14ac:dyDescent="0.25">
      <c r="A2171" t="str">
        <f>HYPERLINK("https://www.773grp.com/globalSearch/OPA1611AID/page-1", "OPA1611AID")</f>
        <v>OPA1611AID</v>
      </c>
      <c r="B2171" s="3" t="s">
        <v>90</v>
      </c>
      <c r="C2171" s="5">
        <v>4745</v>
      </c>
      <c r="D2171" s="6">
        <v>5.91</v>
      </c>
      <c r="E2171" t="s">
        <v>15</v>
      </c>
    </row>
    <row r="2172" spans="1:5" x14ac:dyDescent="0.25">
      <c r="A2172" t="str">
        <f>HYPERLINK("https://www.773grp.com/globalSearch/OPA2684IDR/page-1", "OPA2684IDR")</f>
        <v>OPA2684IDR</v>
      </c>
      <c r="B2172" s="3" t="s">
        <v>90</v>
      </c>
      <c r="C2172" s="5">
        <v>32500</v>
      </c>
      <c r="D2172" s="6">
        <v>5.91</v>
      </c>
      <c r="E2172" t="s">
        <v>15</v>
      </c>
    </row>
    <row r="2173" spans="1:5" x14ac:dyDescent="0.25">
      <c r="A2173" t="str">
        <f>HYPERLINK("https://www.773grp.com/globalSearch/OPA2690I-14DR/page-1", "OPA2690I-14DR")</f>
        <v>OPA2690I-14DR</v>
      </c>
      <c r="B2173" s="3" t="s">
        <v>90</v>
      </c>
      <c r="C2173" s="5">
        <v>37500</v>
      </c>
      <c r="D2173" s="6">
        <v>5.96</v>
      </c>
      <c r="E2173" t="s">
        <v>15</v>
      </c>
    </row>
    <row r="2174" spans="1:5" x14ac:dyDescent="0.25">
      <c r="A2174" t="str">
        <f>HYPERLINK("https://www.773grp.com/globalSearch/OPA2690IDR/page-1", "OPA2690IDR")</f>
        <v>OPA2690IDR</v>
      </c>
      <c r="B2174" s="3" t="s">
        <v>90</v>
      </c>
      <c r="C2174" s="5">
        <v>2500</v>
      </c>
      <c r="D2174" s="6">
        <v>5.96</v>
      </c>
      <c r="E2174" t="s">
        <v>15</v>
      </c>
    </row>
    <row r="2175" spans="1:5" x14ac:dyDescent="0.25">
      <c r="A2175" t="str">
        <f>HYPERLINK("https://www.773grp.com/globalSearch/SN10503D/page-1", "SN10503D")</f>
        <v>SN10503D</v>
      </c>
      <c r="B2175" s="3" t="s">
        <v>90</v>
      </c>
      <c r="C2175" s="5">
        <v>186</v>
      </c>
      <c r="D2175" s="6">
        <v>6.04</v>
      </c>
      <c r="E2175" t="s">
        <v>15</v>
      </c>
    </row>
    <row r="2176" spans="1:5" x14ac:dyDescent="0.25">
      <c r="A2176" t="str">
        <f>HYPERLINK("https://www.773grp.com/globalSearch/SN10503PWP/page-1", "SN10503PWP")</f>
        <v>SN10503PWP</v>
      </c>
      <c r="B2176" s="3" t="s">
        <v>90</v>
      </c>
      <c r="C2176" s="5">
        <v>7525</v>
      </c>
      <c r="D2176" s="6">
        <v>6.04</v>
      </c>
      <c r="E2176" t="s">
        <v>15</v>
      </c>
    </row>
    <row r="2177" spans="1:5" x14ac:dyDescent="0.25">
      <c r="A2177" t="str">
        <f>HYPERLINK("https://www.773grp.com/globalSearch/TPA3007D1PWR/page-1", "TPA3007D1PWR")</f>
        <v>TPA3007D1PWR</v>
      </c>
      <c r="B2177" s="3" t="s">
        <v>90</v>
      </c>
      <c r="C2177" s="5">
        <v>80000</v>
      </c>
      <c r="D2177" s="6">
        <v>6.04</v>
      </c>
      <c r="E2177" t="s">
        <v>15</v>
      </c>
    </row>
    <row r="2178" spans="1:5" x14ac:dyDescent="0.25">
      <c r="A2178" t="str">
        <f>HYPERLINK("https://www.773grp.com/globalSearch/OPA846ID/page-1", "OPA846ID")</f>
        <v>OPA846ID</v>
      </c>
      <c r="B2178" s="3" t="s">
        <v>90</v>
      </c>
      <c r="C2178" s="5">
        <v>16875</v>
      </c>
      <c r="D2178" s="6">
        <v>6.08</v>
      </c>
      <c r="E2178" t="s">
        <v>15</v>
      </c>
    </row>
    <row r="2179" spans="1:5" x14ac:dyDescent="0.25">
      <c r="A2179" t="str">
        <f>HYPERLINK("https://www.773grp.com/globalSearch/THS3201DBVR/page-1", "THS3201DBVR")</f>
        <v>THS3201DBVR</v>
      </c>
      <c r="B2179" s="3" t="s">
        <v>90</v>
      </c>
      <c r="C2179" s="5">
        <v>49460</v>
      </c>
      <c r="D2179" s="6">
        <v>6.08</v>
      </c>
      <c r="E2179" t="s">
        <v>15</v>
      </c>
    </row>
    <row r="2180" spans="1:5" x14ac:dyDescent="0.25">
      <c r="A2180" t="str">
        <f>HYPERLINK("https://www.773grp.com/globalSearch/THS3201DR/page-1", "THS3201DR")</f>
        <v>THS3201DR</v>
      </c>
      <c r="B2180" s="3" t="s">
        <v>90</v>
      </c>
      <c r="C2180" s="5">
        <v>7330</v>
      </c>
      <c r="D2180" s="6">
        <v>6.08</v>
      </c>
      <c r="E2180" t="s">
        <v>15</v>
      </c>
    </row>
    <row r="2181" spans="1:5" x14ac:dyDescent="0.25">
      <c r="A2181" t="str">
        <f>HYPERLINK("https://www.773grp.com/globalSearch/TPA2000D4DAPR/page-1", "TPA2000D4DAPR")</f>
        <v>TPA2000D4DAPR</v>
      </c>
      <c r="B2181" s="3" t="s">
        <v>90</v>
      </c>
      <c r="C2181" s="5">
        <v>170000</v>
      </c>
      <c r="D2181" s="6">
        <v>6.08</v>
      </c>
      <c r="E2181" t="s">
        <v>15</v>
      </c>
    </row>
    <row r="2182" spans="1:5" x14ac:dyDescent="0.25">
      <c r="A2182" t="str">
        <f>HYPERLINK("https://www.773grp.com/globalSearch/TPA2000D4DAPRG4/page-1", "TPA2000D4DAPRG4")</f>
        <v>TPA2000D4DAPRG4</v>
      </c>
      <c r="B2182" s="3" t="s">
        <v>90</v>
      </c>
      <c r="C2182" s="5">
        <v>18000</v>
      </c>
      <c r="D2182" s="6">
        <v>6.08</v>
      </c>
      <c r="E2182" t="s">
        <v>15</v>
      </c>
    </row>
    <row r="2183" spans="1:5" x14ac:dyDescent="0.25">
      <c r="A2183" t="str">
        <f>HYPERLINK("https://www.773grp.com/globalSearch/OPA2350PA/page-1", "OPA2350PA")</f>
        <v>OPA2350PA</v>
      </c>
      <c r="B2183" s="3" t="s">
        <v>90</v>
      </c>
      <c r="C2183" s="5">
        <v>150</v>
      </c>
      <c r="D2183" s="6">
        <v>6.19</v>
      </c>
      <c r="E2183" t="s">
        <v>15</v>
      </c>
    </row>
    <row r="2184" spans="1:5" x14ac:dyDescent="0.25">
      <c r="A2184" t="str">
        <f>HYPERLINK("https://www.773grp.com/globalSearch/OPA2350PA/page-1", "OPA2350PA")</f>
        <v>OPA2350PA</v>
      </c>
      <c r="B2184" s="3" t="s">
        <v>90</v>
      </c>
      <c r="C2184" s="5">
        <v>53966</v>
      </c>
      <c r="D2184" s="6">
        <v>6.19</v>
      </c>
      <c r="E2184" t="s">
        <v>15</v>
      </c>
    </row>
    <row r="2185" spans="1:5" x14ac:dyDescent="0.25">
      <c r="A2185" t="str">
        <f>HYPERLINK("https://www.773grp.com/globalSearch/TAS5102DAD/page-1", "TAS5102DAD")</f>
        <v>TAS5102DAD</v>
      </c>
      <c r="B2185" s="3" t="s">
        <v>90</v>
      </c>
      <c r="C2185" s="5">
        <v>2576</v>
      </c>
      <c r="D2185" s="6">
        <v>6.19</v>
      </c>
      <c r="E2185" t="s">
        <v>15</v>
      </c>
    </row>
    <row r="2186" spans="1:5" x14ac:dyDescent="0.25">
      <c r="A2186" t="str">
        <f>HYPERLINK("https://www.773grp.com/globalSearch/TAS5103DAP/page-1", "TAS5103DAP")</f>
        <v>TAS5103DAP</v>
      </c>
      <c r="B2186" s="3" t="s">
        <v>90</v>
      </c>
      <c r="C2186" s="5">
        <v>918</v>
      </c>
      <c r="D2186" s="6">
        <v>6.19</v>
      </c>
      <c r="E2186" t="s">
        <v>15</v>
      </c>
    </row>
    <row r="2187" spans="1:5" x14ac:dyDescent="0.25">
      <c r="A2187" t="str">
        <f>HYPERLINK("https://www.773grp.com/globalSearch/TAS5727PHP/page-1", "TAS5727PHP")</f>
        <v>TAS5727PHP</v>
      </c>
      <c r="B2187" s="3" t="s">
        <v>90</v>
      </c>
      <c r="C2187" s="5">
        <v>5250</v>
      </c>
      <c r="D2187" s="6">
        <v>6.19</v>
      </c>
      <c r="E2187" t="s">
        <v>15</v>
      </c>
    </row>
    <row r="2188" spans="1:5" x14ac:dyDescent="0.25">
      <c r="A2188" t="str">
        <f>HYPERLINK("https://www.773grp.com/globalSearch/TPA3123D2PWP/page-1", "TPA3123D2PWP")</f>
        <v>TPA3123D2PWP</v>
      </c>
      <c r="B2188" s="3" t="s">
        <v>90</v>
      </c>
      <c r="C2188" s="5">
        <v>514</v>
      </c>
      <c r="D2188" s="6">
        <v>6.19</v>
      </c>
      <c r="E2188" t="s">
        <v>15</v>
      </c>
    </row>
    <row r="2189" spans="1:5" x14ac:dyDescent="0.25">
      <c r="A2189" t="str">
        <f>HYPERLINK("https://www.773grp.com/globalSearch/TAS5715PHPR/page-1", "TAS5715PHPR")</f>
        <v>TAS5715PHPR</v>
      </c>
      <c r="B2189" s="3" t="s">
        <v>90</v>
      </c>
      <c r="C2189" s="5">
        <v>1000</v>
      </c>
      <c r="D2189" s="6">
        <v>6.33</v>
      </c>
      <c r="E2189" t="s">
        <v>15</v>
      </c>
    </row>
    <row r="2190" spans="1:5" x14ac:dyDescent="0.25">
      <c r="A2190" t="str">
        <f>HYPERLINK("https://www.773grp.com/globalSearch/THS3121IDR/page-1", "THS3121IDR")</f>
        <v>THS3121IDR</v>
      </c>
      <c r="B2190" s="3" t="s">
        <v>90</v>
      </c>
      <c r="C2190" s="5">
        <v>22400</v>
      </c>
      <c r="D2190" s="6">
        <v>6.33</v>
      </c>
      <c r="E2190" t="s">
        <v>15</v>
      </c>
    </row>
    <row r="2191" spans="1:5" x14ac:dyDescent="0.25">
      <c r="A2191" t="str">
        <f>HYPERLINK("https://www.773grp.com/globalSearch/THS4271DRBR/page-1", "THS4271DRBR")</f>
        <v>THS4271DRBR</v>
      </c>
      <c r="B2191" s="3" t="s">
        <v>90</v>
      </c>
      <c r="C2191" s="5">
        <v>26750</v>
      </c>
      <c r="D2191" s="6">
        <v>6.33</v>
      </c>
      <c r="E2191" t="s">
        <v>15</v>
      </c>
    </row>
    <row r="2192" spans="1:5" x14ac:dyDescent="0.25">
      <c r="A2192" t="str">
        <f>HYPERLINK("https://www.773grp.com/globalSearch/TLV320AIC3110IRHBR/page-1", "TLV320AIC3110IRHBR")</f>
        <v>TLV320AIC3110IRHBR</v>
      </c>
      <c r="B2192" s="3" t="s">
        <v>90</v>
      </c>
      <c r="C2192" s="5">
        <v>5968</v>
      </c>
      <c r="D2192" s="6">
        <v>6.33</v>
      </c>
      <c r="E2192" t="s">
        <v>15</v>
      </c>
    </row>
    <row r="2193" spans="1:5" x14ac:dyDescent="0.25">
      <c r="A2193" t="str">
        <f>HYPERLINK("https://www.773grp.com/globalSearch/TPA6120A2DWPR/page-1", "TPA6120A2DWPR")</f>
        <v>TPA6120A2DWPR</v>
      </c>
      <c r="B2193" s="3" t="s">
        <v>90</v>
      </c>
      <c r="C2193" s="5">
        <v>19730</v>
      </c>
      <c r="D2193" s="6">
        <v>6.33</v>
      </c>
      <c r="E2193" t="s">
        <v>15</v>
      </c>
    </row>
    <row r="2194" spans="1:5" x14ac:dyDescent="0.25">
      <c r="A2194" t="str">
        <f>HYPERLINK("https://www.773grp.com/globalSearch/THS4082CDGNR/page-1", "THS4082CDGNR")</f>
        <v>THS4082CDGNR</v>
      </c>
      <c r="B2194" s="3" t="str">
        <f>HYPERLINK("https://www.773grp.com/manufacturer/texas-instruments?pageNo=37", "Texas Instruments")</f>
        <v>Texas Instruments</v>
      </c>
      <c r="C2194" s="5">
        <v>5000</v>
      </c>
      <c r="D2194" s="6">
        <v>6.45</v>
      </c>
      <c r="E2194" t="s">
        <v>15</v>
      </c>
    </row>
    <row r="2195" spans="1:5" x14ac:dyDescent="0.25">
      <c r="A2195" t="str">
        <f>HYPERLINK("https://www.773grp.com/globalSearch/OPA2350UA/page-1", "OPA2350UA")</f>
        <v>OPA2350UA</v>
      </c>
      <c r="B2195" s="3" t="str">
        <f>HYPERLINK("https://www.773grp.com/manufacturer/texas-instruments?pageNo=81", "Texas Instruments")</f>
        <v>Texas Instruments</v>
      </c>
      <c r="C2195" s="5">
        <v>79</v>
      </c>
      <c r="D2195" s="6">
        <v>6.46</v>
      </c>
      <c r="E2195" t="s">
        <v>15</v>
      </c>
    </row>
    <row r="2196" spans="1:5" x14ac:dyDescent="0.25">
      <c r="A2196" t="str">
        <f>HYPERLINK("https://www.773grp.com/globalSearch/OPA2683IDCNT/page-1", "OPA2683IDCNT")</f>
        <v>OPA2683IDCNT</v>
      </c>
      <c r="B2196" s="3" t="str">
        <f>HYPERLINK("https://www.773grp.com/manufacturer/texas-instruments?pageNo=85", "Texas Instruments")</f>
        <v>Texas Instruments</v>
      </c>
      <c r="C2196" s="5">
        <v>5447</v>
      </c>
      <c r="D2196" s="6">
        <v>6.46</v>
      </c>
      <c r="E2196" t="s">
        <v>15</v>
      </c>
    </row>
    <row r="2197" spans="1:5" x14ac:dyDescent="0.25">
      <c r="A2197" t="str">
        <f>HYPERLINK("https://www.773grp.com/globalSearch/OPA2683IDGST/page-1", "OPA2683IDGST")</f>
        <v>OPA2683IDGST</v>
      </c>
      <c r="B2197" s="3" t="str">
        <f>HYPERLINK("https://www.773grp.com/manufacturer/texas-instruments?pageNo=86", "Texas Instruments")</f>
        <v>Texas Instruments</v>
      </c>
      <c r="C2197" s="5">
        <v>13160</v>
      </c>
      <c r="D2197" s="6">
        <v>6.46</v>
      </c>
      <c r="E2197" t="s">
        <v>15</v>
      </c>
    </row>
    <row r="2198" spans="1:5" x14ac:dyDescent="0.25">
      <c r="A2198" t="str">
        <f>HYPERLINK("https://www.773grp.com/globalSearch/TAS5601DCAR/page-1", "TAS5601DCAR")</f>
        <v>TAS5601DCAR</v>
      </c>
      <c r="B2198" s="3" t="str">
        <f>HYPERLINK("https://www.773grp.com/manufacturer/texas-instruments?pageNo=103", "Texas Instruments")</f>
        <v>Texas Instruments</v>
      </c>
      <c r="C2198" s="5">
        <v>74</v>
      </c>
      <c r="D2198" s="6">
        <v>6.46</v>
      </c>
      <c r="E2198" t="s">
        <v>15</v>
      </c>
    </row>
    <row r="2199" spans="1:5" x14ac:dyDescent="0.25">
      <c r="A2199" t="str">
        <f>HYPERLINK("https://www.773grp.com/globalSearch/THS4275DR/page-1", "THS4275DR")</f>
        <v>THS4275DR</v>
      </c>
      <c r="B2199" s="3" t="str">
        <f>HYPERLINK("https://www.773grp.com/manufacturer/texas-instruments?pageNo=104", "Texas Instruments")</f>
        <v>Texas Instruments</v>
      </c>
      <c r="C2199" s="5">
        <v>2500</v>
      </c>
      <c r="D2199" s="6">
        <v>6.46</v>
      </c>
      <c r="E2199" t="s">
        <v>15</v>
      </c>
    </row>
    <row r="2200" spans="1:5" x14ac:dyDescent="0.25">
      <c r="A2200" t="str">
        <f>HYPERLINK("https://www.773grp.com/globalSearch/THS4275DRBR/page-1", "THS4275DRBR")</f>
        <v>THS4275DRBR</v>
      </c>
      <c r="B2200" s="3" t="str">
        <f>HYPERLINK("https://www.773grp.com/manufacturer/texas-instruments?pageNo=105", "Texas Instruments")</f>
        <v>Texas Instruments</v>
      </c>
      <c r="C2200" s="5">
        <v>15000</v>
      </c>
      <c r="D2200" s="6">
        <v>6.46</v>
      </c>
      <c r="E2200" t="s">
        <v>15</v>
      </c>
    </row>
    <row r="2201" spans="1:5" x14ac:dyDescent="0.25">
      <c r="A2201" t="str">
        <f>HYPERLINK("https://www.773grp.com/globalSearch/THS4062CDR/page-1", "THS4062CDR")</f>
        <v>THS4062CDR</v>
      </c>
      <c r="B2201" s="3" t="str">
        <f>HYPERLINK("https://www.773grp.com/manufacturer/texas-instruments?pageNo=180", "Texas Instruments")</f>
        <v>Texas Instruments</v>
      </c>
      <c r="C2201" s="5">
        <v>2500</v>
      </c>
      <c r="D2201" s="6">
        <v>6.5</v>
      </c>
      <c r="E2201" t="s">
        <v>15</v>
      </c>
    </row>
    <row r="2202" spans="1:5" x14ac:dyDescent="0.25">
      <c r="A2202" t="str">
        <f>HYPERLINK("https://www.773grp.com/globalSearch/THS4062CDRG4/page-1", "THS4062CDRG4")</f>
        <v>THS4062CDRG4</v>
      </c>
      <c r="B2202" s="3" t="str">
        <f>HYPERLINK("https://www.773grp.com/manufacturer/texas-instruments?pageNo=181", "Texas Instruments")</f>
        <v>Texas Instruments</v>
      </c>
      <c r="C2202" s="5">
        <v>10000</v>
      </c>
      <c r="D2202" s="6">
        <v>6.5</v>
      </c>
      <c r="E2202" t="s">
        <v>15</v>
      </c>
    </row>
    <row r="2203" spans="1:5" x14ac:dyDescent="0.25">
      <c r="A2203" t="str">
        <f>HYPERLINK("https://www.773grp.com/globalSearch/TAS5708PHPR/page-1", "TAS5708PHPR")</f>
        <v>TAS5708PHPR</v>
      </c>
      <c r="B2203" s="3" t="str">
        <f>HYPERLINK("https://www.773grp.com/manufacturer/texas-instruments?pageNo=304", "Texas Instruments")</f>
        <v>Texas Instruments</v>
      </c>
      <c r="C2203" s="5">
        <v>3710</v>
      </c>
      <c r="D2203" s="6">
        <v>6.61</v>
      </c>
      <c r="E2203" t="s">
        <v>15</v>
      </c>
    </row>
    <row r="2204" spans="1:5" x14ac:dyDescent="0.25">
      <c r="A2204" t="str">
        <f>HYPERLINK("https://www.773grp.com/globalSearch/THS4215DGNR/page-1", "THS4215DGNR")</f>
        <v>THS4215DGNR</v>
      </c>
      <c r="B2204" s="3" t="str">
        <f>HYPERLINK("https://www.773grp.com/manufacturer/texas-instruments?pageNo=306", "Texas Instruments")</f>
        <v>Texas Instruments</v>
      </c>
      <c r="C2204" s="5">
        <v>2500</v>
      </c>
      <c r="D2204" s="6">
        <v>6.61</v>
      </c>
      <c r="E2204" t="s">
        <v>15</v>
      </c>
    </row>
    <row r="2205" spans="1:5" x14ac:dyDescent="0.25">
      <c r="A2205" t="str">
        <f>HYPERLINK("https://www.773grp.com/globalSearch/THS4001CD/page-1", "THS4001CD")</f>
        <v>THS4001CD</v>
      </c>
      <c r="B2205" s="3" t="str">
        <f>HYPERLINK("https://www.773grp.com/manufacturer/texas-instruments?pageNo=424", "Texas Instruments")</f>
        <v>Texas Instruments</v>
      </c>
      <c r="C2205" s="5">
        <v>68244</v>
      </c>
      <c r="D2205" s="6">
        <v>6.7</v>
      </c>
      <c r="E2205" t="s">
        <v>15</v>
      </c>
    </row>
    <row r="2206" spans="1:5" x14ac:dyDescent="0.25">
      <c r="A2206" t="str">
        <f>HYPERLINK("https://www.773grp.com/globalSearch/THS4082IDGNR/page-1", "THS4082IDGNR")</f>
        <v>THS4082IDGNR</v>
      </c>
      <c r="B2206" s="3" t="str">
        <f>HYPERLINK("https://www.773grp.com/manufacturer/texas-instruments?pageNo=443", "Texas Instruments")</f>
        <v>Texas Instruments</v>
      </c>
      <c r="C2206" s="5">
        <v>72437</v>
      </c>
      <c r="D2206" s="6">
        <v>6.71</v>
      </c>
      <c r="E2206" t="s">
        <v>15</v>
      </c>
    </row>
    <row r="2207" spans="1:5" x14ac:dyDescent="0.25">
      <c r="A2207" t="str">
        <f>HYPERLINK("https://www.773grp.com/globalSearch/OPA2683ID/page-1", "OPA2683ID")</f>
        <v>OPA2683ID</v>
      </c>
      <c r="B2207" s="3" t="str">
        <f>HYPERLINK("https://www.773grp.com/manufacturer/texas-instruments?pageNo=468", "Texas Instruments")</f>
        <v>Texas Instruments</v>
      </c>
      <c r="C2207" s="5">
        <v>16290</v>
      </c>
      <c r="D2207" s="6">
        <v>6.75</v>
      </c>
      <c r="E2207" t="s">
        <v>15</v>
      </c>
    </row>
    <row r="2208" spans="1:5" x14ac:dyDescent="0.25">
      <c r="A2208" t="str">
        <f>HYPERLINK("https://www.773grp.com/globalSearch/OPA4134UA/page-1", "OPA4134UA")</f>
        <v>OPA4134UA</v>
      </c>
      <c r="B2208" s="3" t="str">
        <f>HYPERLINK("https://www.773grp.com/manufacturer/texas-instruments?pageNo=469", "Texas Instruments")</f>
        <v>Texas Instruments</v>
      </c>
      <c r="C2208" s="5">
        <v>756</v>
      </c>
      <c r="D2208" s="6">
        <v>6.75</v>
      </c>
      <c r="E2208" t="s">
        <v>15</v>
      </c>
    </row>
    <row r="2209" spans="1:5" x14ac:dyDescent="0.25">
      <c r="A2209" t="str">
        <f>HYPERLINK("https://www.773grp.com/globalSearch/OPA4134UAE4/page-1", "OPA4134UAE4")</f>
        <v>OPA4134UAE4</v>
      </c>
      <c r="B2209" s="3" t="str">
        <f>HYPERLINK("https://www.773grp.com/manufacturer/texas-instruments?pageNo=470", "Texas Instruments")</f>
        <v>Texas Instruments</v>
      </c>
      <c r="C2209" s="5">
        <v>149</v>
      </c>
      <c r="D2209" s="6">
        <v>6.75</v>
      </c>
      <c r="E2209" t="s">
        <v>15</v>
      </c>
    </row>
    <row r="2210" spans="1:5" x14ac:dyDescent="0.25">
      <c r="A2210" t="str">
        <f>HYPERLINK("https://www.773grp.com/globalSearch/TAS5602DCA/page-1", "TAS5602DCA")</f>
        <v>TAS5602DCA</v>
      </c>
      <c r="B2210" s="3" t="str">
        <f>HYPERLINK("https://www.773grp.com/manufacturer/texas-instruments?pageNo=498", "Texas Instruments")</f>
        <v>Texas Instruments</v>
      </c>
      <c r="C2210" s="5">
        <v>630</v>
      </c>
      <c r="D2210" s="6">
        <v>6.75</v>
      </c>
      <c r="E2210" t="s">
        <v>15</v>
      </c>
    </row>
    <row r="2211" spans="1:5" x14ac:dyDescent="0.25">
      <c r="A2211" t="str">
        <f>HYPERLINK("https://www.773grp.com/globalSearch/TAS5709APHPR/page-1", "TAS5709APHPR")</f>
        <v>TAS5709APHPR</v>
      </c>
      <c r="B2211" s="3" t="str">
        <f>HYPERLINK("https://www.773grp.com/manufacturer/texas-instruments?pageNo=499", "Texas Instruments")</f>
        <v>Texas Instruments</v>
      </c>
      <c r="C2211" s="5">
        <v>1000</v>
      </c>
      <c r="D2211" s="6">
        <v>6.75</v>
      </c>
      <c r="E2211" t="s">
        <v>15</v>
      </c>
    </row>
    <row r="2212" spans="1:5" x14ac:dyDescent="0.25">
      <c r="A2212" t="str">
        <f>HYPERLINK("https://www.773grp.com/globalSearch/TAS5709PHPR/page-1", "TAS5709PHPR")</f>
        <v>TAS5709PHPR</v>
      </c>
      <c r="B2212" s="3" t="str">
        <f>HYPERLINK("https://www.773grp.com/manufacturer/texas-instruments?pageNo=500", "Texas Instruments")</f>
        <v>Texas Instruments</v>
      </c>
      <c r="C2212" s="5">
        <v>10</v>
      </c>
      <c r="D2212" s="6">
        <v>6.75</v>
      </c>
      <c r="E2212" t="s">
        <v>15</v>
      </c>
    </row>
    <row r="2213" spans="1:5" x14ac:dyDescent="0.25">
      <c r="A2213" t="str">
        <f>HYPERLINK("https://www.773grp.com/globalSearch/TPA3101D2PHPR/page-1", "TPA3101D2PHPR")</f>
        <v>TPA3101D2PHPR</v>
      </c>
      <c r="B2213" s="3" t="str">
        <f>HYPERLINK("https://www.773grp.com/manufacturer/texas-instruments?pageNo=524", "Texas Instruments")</f>
        <v>Texas Instruments</v>
      </c>
      <c r="C2213" s="5">
        <v>7000</v>
      </c>
      <c r="D2213" s="6">
        <v>6.75</v>
      </c>
      <c r="E2213" t="s">
        <v>15</v>
      </c>
    </row>
    <row r="2214" spans="1:5" x14ac:dyDescent="0.25">
      <c r="A2214" t="str">
        <f>HYPERLINK("https://www.773grp.com/globalSearch/THS4062IDGNR/page-1", "THS4062IDGNR")</f>
        <v>THS4062IDGNR</v>
      </c>
      <c r="B2214" s="3" t="str">
        <f>HYPERLINK("https://www.773grp.com/manufacturer/texas-instruments?pageNo=567", "Texas Instruments")</f>
        <v>Texas Instruments</v>
      </c>
      <c r="C2214" s="5">
        <v>5000</v>
      </c>
      <c r="D2214" s="6">
        <v>6.79</v>
      </c>
      <c r="E2214" t="s">
        <v>15</v>
      </c>
    </row>
    <row r="2215" spans="1:5" x14ac:dyDescent="0.25">
      <c r="A2215" t="str">
        <f>HYPERLINK("https://www.773grp.com/globalSearch/THS4062IDR/page-1", "THS4062IDR")</f>
        <v>THS4062IDR</v>
      </c>
      <c r="B2215" s="3" t="str">
        <f>HYPERLINK("https://www.773grp.com/manufacturer/texas-instruments?pageNo=568", "Texas Instruments")</f>
        <v>Texas Instruments</v>
      </c>
      <c r="C2215" s="5">
        <v>12500</v>
      </c>
      <c r="D2215" s="6">
        <v>6.79</v>
      </c>
      <c r="E2215" t="s">
        <v>15</v>
      </c>
    </row>
    <row r="2216" spans="1:5" x14ac:dyDescent="0.25">
      <c r="A2216" t="str">
        <f>HYPERLINK("https://www.773grp.com/globalSearch/THS4271DR/page-1", "THS4271DR")</f>
        <v>THS4271DR</v>
      </c>
      <c r="B2216" s="3" t="str">
        <f>HYPERLINK("https://www.773grp.com/manufacturer/texas-instruments?pageNo=577", "Texas Instruments")</f>
        <v>Texas Instruments</v>
      </c>
      <c r="C2216" s="5">
        <v>2500</v>
      </c>
      <c r="D2216" s="6">
        <v>6.8</v>
      </c>
      <c r="E2216" t="s">
        <v>15</v>
      </c>
    </row>
    <row r="2217" spans="1:5" x14ac:dyDescent="0.25">
      <c r="A2217" t="str">
        <f>HYPERLINK("https://www.773grp.com/globalSearch/OPA1632DGN/page-1", "OPA1632DGN")</f>
        <v>OPA1632DGN</v>
      </c>
      <c r="B2217" s="3" t="str">
        <f>HYPERLINK("https://www.773grp.com/manufacturer/texas-instruments?pageNo=594", "Texas Instruments")</f>
        <v>Texas Instruments</v>
      </c>
      <c r="C2217" s="5">
        <v>841</v>
      </c>
      <c r="D2217" s="6">
        <v>6.84</v>
      </c>
      <c r="E2217" t="s">
        <v>15</v>
      </c>
    </row>
    <row r="2218" spans="1:5" x14ac:dyDescent="0.25">
      <c r="A2218" t="str">
        <f>HYPERLINK("https://www.773grp.com/globalSearch/TAS5701PAPR/page-1", "TAS5701PAPR")</f>
        <v>TAS5701PAPR</v>
      </c>
      <c r="B2218" s="3" t="str">
        <f>HYPERLINK("https://www.773grp.com/manufacturer/texas-instruments?pageNo=669", "Texas Instruments")</f>
        <v>Texas Instruments</v>
      </c>
      <c r="C2218" s="5">
        <v>1000</v>
      </c>
      <c r="D2218" s="6">
        <v>6.89</v>
      </c>
      <c r="E2218" t="s">
        <v>15</v>
      </c>
    </row>
    <row r="2219" spans="1:5" x14ac:dyDescent="0.25">
      <c r="A2219" t="str">
        <f>HYPERLINK("https://www.773grp.com/globalSearch/TAS5705PAPR/page-1", "TAS5705PAPR")</f>
        <v>TAS5705PAPR</v>
      </c>
      <c r="B2219" s="3" t="str">
        <f>HYPERLINK("https://www.773grp.com/manufacturer/texas-instruments?pageNo=670", "Texas Instruments")</f>
        <v>Texas Instruments</v>
      </c>
      <c r="C2219" s="5">
        <v>3875</v>
      </c>
      <c r="D2219" s="6">
        <v>6.89</v>
      </c>
      <c r="E2219" t="s">
        <v>15</v>
      </c>
    </row>
    <row r="2220" spans="1:5" x14ac:dyDescent="0.25">
      <c r="A2220" t="str">
        <f>HYPERLINK("https://www.773grp.com/globalSearch/TAS5710PHP/page-1", "TAS5710PHP")</f>
        <v>TAS5710PHP</v>
      </c>
      <c r="B2220" s="3" t="str">
        <f>HYPERLINK("https://www.773grp.com/manufacturer/texas-instruments?pageNo=671", "Texas Instruments")</f>
        <v>Texas Instruments</v>
      </c>
      <c r="C2220" s="5">
        <v>500</v>
      </c>
      <c r="D2220" s="6">
        <v>6.89</v>
      </c>
      <c r="E2220" t="s">
        <v>15</v>
      </c>
    </row>
    <row r="2221" spans="1:5" x14ac:dyDescent="0.25">
      <c r="A2221" t="str">
        <f>HYPERLINK("https://www.773grp.com/globalSearch/TPA3106D1VFPG4/page-1", "TPA3106D1VFPG4")</f>
        <v>TPA3106D1VFPG4</v>
      </c>
      <c r="B2221" s="3" t="str">
        <f>HYPERLINK("https://www.773grp.com/manufacturer/texas-instruments?pageNo=681", "Texas Instruments")</f>
        <v>Texas Instruments</v>
      </c>
      <c r="C2221" s="5">
        <v>16</v>
      </c>
      <c r="D2221" s="6">
        <v>6.89</v>
      </c>
      <c r="E2221" t="s">
        <v>15</v>
      </c>
    </row>
    <row r="2222" spans="1:5" x14ac:dyDescent="0.25">
      <c r="A2222" t="str">
        <f>HYPERLINK("https://www.773grp.com/globalSearch/THS3121CDR/page-1", "THS3121CDR")</f>
        <v>THS3121CDR</v>
      </c>
      <c r="B2222" s="3" t="str">
        <f>HYPERLINK("https://www.773grp.com/manufacturer/texas-instruments?pageNo=732", "Texas Instruments")</f>
        <v>Texas Instruments</v>
      </c>
      <c r="C2222" s="5">
        <v>12500</v>
      </c>
      <c r="D2222" s="6">
        <v>6.98</v>
      </c>
      <c r="E2222" t="s">
        <v>15</v>
      </c>
    </row>
    <row r="2223" spans="1:5" x14ac:dyDescent="0.25">
      <c r="A2223" t="str">
        <f>HYPERLINK("https://www.773grp.com/globalSearch/THS3201DBVT/page-1", "THS3201DBVT")</f>
        <v>THS3201DBVT</v>
      </c>
      <c r="B2223" s="3" t="str">
        <f>HYPERLINK("https://www.773grp.com/manufacturer/texas-instruments?pageNo=733", "Texas Instruments")</f>
        <v>Texas Instruments</v>
      </c>
      <c r="C2223" s="5">
        <v>5225</v>
      </c>
      <c r="D2223" s="6">
        <v>6.98</v>
      </c>
      <c r="E2223" t="s">
        <v>15</v>
      </c>
    </row>
    <row r="2224" spans="1:5" x14ac:dyDescent="0.25">
      <c r="A2224" t="str">
        <f>HYPERLINK("https://www.773grp.com/globalSearch/THS4001ID/page-1", "THS4001ID")</f>
        <v>THS4001ID</v>
      </c>
      <c r="B2224" s="3" t="str">
        <f>HYPERLINK("https://www.773grp.com/manufacturer/texas-instruments?pageNo=734", "Texas Instruments")</f>
        <v>Texas Instruments</v>
      </c>
      <c r="C2224" s="5">
        <v>17728</v>
      </c>
      <c r="D2224" s="6">
        <v>6.98</v>
      </c>
      <c r="E2224" t="s">
        <v>15</v>
      </c>
    </row>
    <row r="2225" spans="1:5" x14ac:dyDescent="0.25">
      <c r="A2225" t="str">
        <f>HYPERLINK("https://www.773grp.com/globalSearch/TAS5132DDV/page-1", "TAS5132DDV")</f>
        <v>TAS5132DDV</v>
      </c>
      <c r="B2225" s="3" t="str">
        <f>HYPERLINK("https://www.773grp.com/manufacturer/texas-instruments?pageNo=847", "Texas Instruments")</f>
        <v>Texas Instruments</v>
      </c>
      <c r="C2225" s="5">
        <v>154</v>
      </c>
      <c r="D2225" s="6">
        <v>7.04</v>
      </c>
      <c r="E2225" t="s">
        <v>15</v>
      </c>
    </row>
    <row r="2226" spans="1:5" x14ac:dyDescent="0.25">
      <c r="A2226" t="str">
        <f>HYPERLINK("https://www.773grp.com/globalSearch/THS4275DGNR/page-1", "THS4275DGNR")</f>
        <v>THS4275DGNR</v>
      </c>
      <c r="B2226" s="3" t="str">
        <f>HYPERLINK("https://www.773grp.com/manufacturer/texas-instruments?pageNo=848", "Texas Instruments")</f>
        <v>Texas Instruments</v>
      </c>
      <c r="C2226" s="5">
        <v>7500</v>
      </c>
      <c r="D2226" s="6">
        <v>7.04</v>
      </c>
      <c r="E2226" t="s">
        <v>15</v>
      </c>
    </row>
    <row r="2227" spans="1:5" x14ac:dyDescent="0.25">
      <c r="A2227" t="str">
        <f>HYPERLINK("https://www.773grp.com/globalSearch/THS4082CD/page-1", "THS4082CD")</f>
        <v>THS4082CD</v>
      </c>
      <c r="B2227" s="3" t="str">
        <f>HYPERLINK("https://www.773grp.com/manufacturer/texas-instruments?pageNo=917", "Texas Instruments")</f>
        <v>Texas Instruments</v>
      </c>
      <c r="C2227" s="5">
        <v>2794</v>
      </c>
      <c r="D2227" s="6">
        <v>7.05</v>
      </c>
      <c r="E2227" t="s">
        <v>15</v>
      </c>
    </row>
    <row r="2228" spans="1:5" x14ac:dyDescent="0.25">
      <c r="A2228" t="str">
        <f>HYPERLINK("https://www.773grp.com/globalSearch/TAS5111ADADR/page-1", "TAS5111ADADR")</f>
        <v>TAS5111ADADR</v>
      </c>
      <c r="B2228" s="3" t="str">
        <f>HYPERLINK("https://www.773grp.com/manufacturer/texas-instruments?pageNo=929", "Texas Instruments")</f>
        <v>Texas Instruments</v>
      </c>
      <c r="C2228" s="5">
        <v>32000</v>
      </c>
      <c r="D2228" s="6">
        <v>7.09</v>
      </c>
      <c r="E2228" t="s">
        <v>15</v>
      </c>
    </row>
    <row r="2229" spans="1:5" x14ac:dyDescent="0.25">
      <c r="A2229" t="str">
        <f>HYPERLINK("https://www.773grp.com/globalSearch/TAS5707PHP/page-1", "TAS5707PHP")</f>
        <v>TAS5707PHP</v>
      </c>
      <c r="B2229" s="3" t="str">
        <f>HYPERLINK("https://www.773grp.com/manufacturer/texas-instruments?pageNo=930", "Texas Instruments")</f>
        <v>Texas Instruments</v>
      </c>
      <c r="C2229" s="5">
        <v>770</v>
      </c>
      <c r="D2229" s="6">
        <v>7.09</v>
      </c>
      <c r="E2229" t="s">
        <v>15</v>
      </c>
    </row>
    <row r="2230" spans="1:5" x14ac:dyDescent="0.25">
      <c r="A2230" t="str">
        <f>HYPERLINK("https://www.773grp.com/globalSearch/OPA2690I-14D/page-1", "OPA2690I-14D")</f>
        <v>OPA2690I-14D</v>
      </c>
      <c r="B2230" s="3" t="str">
        <f>HYPERLINK("https://www.773grp.com/manufacturer/texas-instruments?pageNo=941", "Texas Instruments")</f>
        <v>Texas Instruments</v>
      </c>
      <c r="C2230" s="5">
        <v>5358</v>
      </c>
      <c r="D2230" s="6">
        <v>7.13</v>
      </c>
      <c r="E2230" t="s">
        <v>15</v>
      </c>
    </row>
    <row r="2231" spans="1:5" x14ac:dyDescent="0.25">
      <c r="A2231" t="str">
        <f>HYPERLINK("https://www.773grp.com/globalSearch/OPA2690ID/page-1", "OPA2690ID")</f>
        <v>OPA2690ID</v>
      </c>
      <c r="B2231" s="3" t="str">
        <f>HYPERLINK("https://www.773grp.com/manufacturer/texas-instruments?pageNo=942", "Texas Instruments")</f>
        <v>Texas Instruments</v>
      </c>
      <c r="C2231" s="5">
        <v>151</v>
      </c>
      <c r="D2231" s="6">
        <v>7.13</v>
      </c>
      <c r="E2231" t="s">
        <v>15</v>
      </c>
    </row>
    <row r="2232" spans="1:5" x14ac:dyDescent="0.25">
      <c r="A2232" t="str">
        <f>HYPERLINK("https://www.773grp.com/globalSearch/TPA3007D1PW/page-1", "TPA3007D1PW")</f>
        <v>TPA3007D1PW</v>
      </c>
      <c r="B2232" s="3" t="s">
        <v>90</v>
      </c>
      <c r="C2232" s="5">
        <v>875</v>
      </c>
      <c r="D2232" s="6">
        <v>7.2</v>
      </c>
      <c r="E2232" t="s">
        <v>15</v>
      </c>
    </row>
    <row r="2233" spans="1:5" x14ac:dyDescent="0.25">
      <c r="A2233" t="str">
        <f>HYPERLINK("https://www.773grp.com/globalSearch/OPA2684IDCNT/page-1", "OPA2684IDCNT")</f>
        <v>OPA2684IDCNT</v>
      </c>
      <c r="B2233" s="3" t="s">
        <v>90</v>
      </c>
      <c r="C2233" s="5">
        <v>34793</v>
      </c>
      <c r="D2233" s="6">
        <v>7.26</v>
      </c>
      <c r="E2233" t="s">
        <v>15</v>
      </c>
    </row>
    <row r="2234" spans="1:5" x14ac:dyDescent="0.25">
      <c r="A2234" t="str">
        <f>HYPERLINK("https://www.773grp.com/globalSearch/OPA2694IDR/page-1", "OPA2694IDR")</f>
        <v>OPA2694IDR</v>
      </c>
      <c r="B2234" s="3" t="s">
        <v>90</v>
      </c>
      <c r="C2234" s="5">
        <v>6450</v>
      </c>
      <c r="D2234" s="6">
        <v>7.26</v>
      </c>
      <c r="E2234" t="s">
        <v>15</v>
      </c>
    </row>
    <row r="2235" spans="1:5" x14ac:dyDescent="0.25">
      <c r="A2235" t="str">
        <f>HYPERLINK("https://www.773grp.com/globalSearch/THS3201D/page-1", "THS3201D")</f>
        <v>THS3201D</v>
      </c>
      <c r="B2235" s="3" t="s">
        <v>90</v>
      </c>
      <c r="C2235" s="5">
        <v>28770</v>
      </c>
      <c r="D2235" s="6">
        <v>7.29</v>
      </c>
      <c r="E2235" t="s">
        <v>15</v>
      </c>
    </row>
    <row r="2236" spans="1:5" x14ac:dyDescent="0.25">
      <c r="A2236" t="str">
        <f>HYPERLINK("https://www.773grp.com/globalSearch/THS3201DGK/page-1", "THS3201DGK")</f>
        <v>THS3201DGK</v>
      </c>
      <c r="B2236" s="3" t="s">
        <v>90</v>
      </c>
      <c r="C2236" s="5">
        <v>13421</v>
      </c>
      <c r="D2236" s="6">
        <v>7.29</v>
      </c>
      <c r="E2236" t="s">
        <v>15</v>
      </c>
    </row>
    <row r="2237" spans="1:5" x14ac:dyDescent="0.25">
      <c r="A2237" t="str">
        <f>HYPERLINK("https://www.773grp.com/globalSearch/THS3201DGN/page-1", "THS3201DGN")</f>
        <v>THS3201DGN</v>
      </c>
      <c r="B2237" s="3" t="s">
        <v>90</v>
      </c>
      <c r="C2237" s="5">
        <v>132125</v>
      </c>
      <c r="D2237" s="6">
        <v>7.29</v>
      </c>
      <c r="E2237" t="s">
        <v>15</v>
      </c>
    </row>
    <row r="2238" spans="1:5" x14ac:dyDescent="0.25">
      <c r="A2238" t="str">
        <f>HYPERLINK("https://www.773grp.com/globalSearch/THS4211DR/page-1", "THS4211DR")</f>
        <v>THS4211DR</v>
      </c>
      <c r="B2238" s="3" t="s">
        <v>90</v>
      </c>
      <c r="C2238" s="5">
        <v>15000</v>
      </c>
      <c r="D2238" s="6">
        <v>7.29</v>
      </c>
      <c r="E2238" t="s">
        <v>15</v>
      </c>
    </row>
    <row r="2239" spans="1:5" x14ac:dyDescent="0.25">
      <c r="A2239" t="str">
        <f>HYPERLINK("https://www.773grp.com/globalSearch/THS4211DRG4/page-1", "THS4211DRG4")</f>
        <v>THS4211DRG4</v>
      </c>
      <c r="B2239" s="3" t="s">
        <v>90</v>
      </c>
      <c r="C2239" s="5">
        <v>2500</v>
      </c>
      <c r="D2239" s="6">
        <v>7.29</v>
      </c>
      <c r="E2239" t="s">
        <v>15</v>
      </c>
    </row>
    <row r="2240" spans="1:5" x14ac:dyDescent="0.25">
      <c r="A2240" t="str">
        <f>HYPERLINK("https://www.773grp.com/globalSearch/TPA2000D4DAP/page-1", "TPA2000D4DAP")</f>
        <v>TPA2000D4DAP</v>
      </c>
      <c r="B2240" s="3" t="s">
        <v>90</v>
      </c>
      <c r="C2240" s="5">
        <v>3885</v>
      </c>
      <c r="D2240" s="6">
        <v>7.29</v>
      </c>
      <c r="E2240" t="s">
        <v>15</v>
      </c>
    </row>
    <row r="2241" spans="1:5" x14ac:dyDescent="0.25">
      <c r="A2241" t="str">
        <f>HYPERLINK("https://www.773grp.com/globalSearch/OPA2695ID/page-1", "OPA2695ID")</f>
        <v>OPA2695ID</v>
      </c>
      <c r="B2241" s="3" t="s">
        <v>90</v>
      </c>
      <c r="C2241" s="5">
        <v>4659</v>
      </c>
      <c r="D2241" s="6">
        <v>7.31</v>
      </c>
      <c r="E2241" t="s">
        <v>15</v>
      </c>
    </row>
    <row r="2242" spans="1:5" x14ac:dyDescent="0.25">
      <c r="A2242" t="str">
        <f>HYPERLINK("https://www.773grp.com/globalSearch/OPA2695IDG4/page-1", "OPA2695IDG4")</f>
        <v>OPA2695IDG4</v>
      </c>
      <c r="B2242" s="3" t="s">
        <v>90</v>
      </c>
      <c r="C2242" s="5">
        <v>108</v>
      </c>
      <c r="D2242" s="6">
        <v>7.31</v>
      </c>
      <c r="E2242" t="s">
        <v>15</v>
      </c>
    </row>
    <row r="2243" spans="1:5" x14ac:dyDescent="0.25">
      <c r="A2243" t="str">
        <f>HYPERLINK("https://www.773grp.com/globalSearch/TLV320AIC3120IRHBT/page-1", "TLV320AIC3120IRHBT")</f>
        <v>TLV320AIC3120IRHBT</v>
      </c>
      <c r="B2243" s="3" t="s">
        <v>90</v>
      </c>
      <c r="C2243" s="5">
        <v>736</v>
      </c>
      <c r="D2243" s="6">
        <v>7.31</v>
      </c>
      <c r="E2243" t="s">
        <v>15</v>
      </c>
    </row>
    <row r="2244" spans="1:5" x14ac:dyDescent="0.25">
      <c r="A2244" t="str">
        <f>HYPERLINK("https://www.773grp.com/globalSearch/THS4082ID/page-1", "THS4082ID")</f>
        <v>THS4082ID</v>
      </c>
      <c r="B2244" s="3" t="s">
        <v>90</v>
      </c>
      <c r="C2244" s="5">
        <v>73</v>
      </c>
      <c r="D2244" s="6">
        <v>7.34</v>
      </c>
      <c r="E2244" t="s">
        <v>15</v>
      </c>
    </row>
    <row r="2245" spans="1:5" x14ac:dyDescent="0.25">
      <c r="A2245" t="str">
        <f>HYPERLINK("https://www.773grp.com/globalSearch/TPA6120A2DWP/page-1", "TPA6120A2DWP")</f>
        <v>TPA6120A2DWP</v>
      </c>
      <c r="B2245" s="3" t="s">
        <v>90</v>
      </c>
      <c r="C2245" s="5">
        <v>31</v>
      </c>
      <c r="D2245" s="6">
        <v>7.54</v>
      </c>
      <c r="E2245" t="s">
        <v>15</v>
      </c>
    </row>
    <row r="2246" spans="1:5" x14ac:dyDescent="0.25">
      <c r="A2246" t="str">
        <f>HYPERLINK("https://www.773grp.com/globalSearch/OPA2684ID/page-1", "OPA2684ID")</f>
        <v>OPA2684ID</v>
      </c>
      <c r="B2246" s="3" t="s">
        <v>90</v>
      </c>
      <c r="C2246" s="5">
        <v>11325</v>
      </c>
      <c r="D2246" s="6">
        <v>7.56</v>
      </c>
      <c r="E2246" t="s">
        <v>15</v>
      </c>
    </row>
    <row r="2247" spans="1:5" x14ac:dyDescent="0.25">
      <c r="A2247" t="str">
        <f>HYPERLINK("https://www.773grp.com/globalSearch/OPA1612AIDR/page-1", "OPA1612AIDR")</f>
        <v>OPA1612AIDR</v>
      </c>
      <c r="B2247" s="3" t="s">
        <v>90</v>
      </c>
      <c r="C2247" s="5">
        <v>43050</v>
      </c>
      <c r="D2247" s="6">
        <v>7.73</v>
      </c>
      <c r="E2247" t="s">
        <v>15</v>
      </c>
    </row>
    <row r="2248" spans="1:5" x14ac:dyDescent="0.25">
      <c r="A2248" t="str">
        <f>HYPERLINK("https://www.773grp.com/globalSearch/THS4062CD/page-1", "THS4062CD")</f>
        <v>THS4062CD</v>
      </c>
      <c r="B2248" s="3" t="s">
        <v>90</v>
      </c>
      <c r="C2248" s="5">
        <v>5506</v>
      </c>
      <c r="D2248" s="6">
        <v>7.8</v>
      </c>
      <c r="E2248" t="s">
        <v>15</v>
      </c>
    </row>
    <row r="2249" spans="1:5" x14ac:dyDescent="0.25">
      <c r="A2249" t="str">
        <f>HYPERLINK("https://www.773grp.com/globalSearch/THS4062CDGN/page-1", "THS4062CDGN")</f>
        <v>THS4062CDGN</v>
      </c>
      <c r="B2249" s="3" t="s">
        <v>90</v>
      </c>
      <c r="C2249" s="5">
        <v>5337</v>
      </c>
      <c r="D2249" s="6">
        <v>7.8</v>
      </c>
      <c r="E2249" t="s">
        <v>15</v>
      </c>
    </row>
    <row r="2250" spans="1:5" x14ac:dyDescent="0.25">
      <c r="A2250" t="str">
        <f>HYPERLINK("https://www.773grp.com/globalSearch/THS4271DRBT/page-1", "THS4271DRBT")</f>
        <v>THS4271DRBT</v>
      </c>
      <c r="B2250" s="3" t="s">
        <v>90</v>
      </c>
      <c r="C2250" s="5">
        <v>8250</v>
      </c>
      <c r="D2250" s="6">
        <v>7.81</v>
      </c>
      <c r="E2250" t="s">
        <v>15</v>
      </c>
    </row>
    <row r="2251" spans="1:5" x14ac:dyDescent="0.25">
      <c r="A2251" t="str">
        <f>HYPERLINK("https://www.773grp.com/globalSearch/THS4275DRBT/page-1", "THS4275DRBT")</f>
        <v>THS4275DRBT</v>
      </c>
      <c r="B2251" s="3" t="s">
        <v>90</v>
      </c>
      <c r="C2251" s="5">
        <v>12779</v>
      </c>
      <c r="D2251" s="6">
        <v>7.81</v>
      </c>
      <c r="E2251" t="s">
        <v>15</v>
      </c>
    </row>
    <row r="2252" spans="1:5" x14ac:dyDescent="0.25">
      <c r="A2252" t="str">
        <f>HYPERLINK("https://www.773grp.com/globalSearch/THS4275DGK/page-1", "THS4275DGK")</f>
        <v>THS4275DGK</v>
      </c>
      <c r="B2252" s="3" t="s">
        <v>90</v>
      </c>
      <c r="C2252" s="5">
        <v>22174</v>
      </c>
      <c r="D2252" s="6">
        <v>7.88</v>
      </c>
      <c r="E2252" t="s">
        <v>15</v>
      </c>
    </row>
    <row r="2253" spans="1:5" x14ac:dyDescent="0.25">
      <c r="A2253" t="str">
        <f>HYPERLINK("https://www.773grp.com/globalSearch/TPA3101D2RGZT/page-1", "TPA3101D2RGZT")</f>
        <v>TPA3101D2RGZT</v>
      </c>
      <c r="B2253" s="3" t="s">
        <v>90</v>
      </c>
      <c r="C2253" s="5">
        <v>26605</v>
      </c>
      <c r="D2253" s="6">
        <v>7.88</v>
      </c>
      <c r="E2253" t="s">
        <v>15</v>
      </c>
    </row>
    <row r="2254" spans="1:5" x14ac:dyDescent="0.25">
      <c r="A2254" t="str">
        <f>HYPERLINK("https://www.773grp.com/globalSearch/TPA3101D2RGZTG4/page-1", "TPA3101D2RGZTG4")</f>
        <v>TPA3101D2RGZTG4</v>
      </c>
      <c r="B2254" s="3" t="s">
        <v>90</v>
      </c>
      <c r="C2254" s="5">
        <v>247</v>
      </c>
      <c r="D2254" s="6">
        <v>7.88</v>
      </c>
      <c r="E2254" t="s">
        <v>15</v>
      </c>
    </row>
    <row r="2255" spans="1:5" x14ac:dyDescent="0.25">
      <c r="A2255" t="str">
        <f>HYPERLINK("https://www.773grp.com/globalSearch/THS4082IDGN/page-1", "THS4082IDGN")</f>
        <v>THS4082IDGN</v>
      </c>
      <c r="B2255" s="3" t="s">
        <v>90</v>
      </c>
      <c r="C2255" s="5">
        <v>5279</v>
      </c>
      <c r="D2255" s="6">
        <v>7.9</v>
      </c>
      <c r="E2255" t="s">
        <v>15</v>
      </c>
    </row>
    <row r="2256" spans="1:5" x14ac:dyDescent="0.25">
      <c r="A2256" t="str">
        <f>HYPERLINK("https://www.773grp.com/globalSearch/TPA3001D1PWPR/page-1", "TPA3001D1PWPR")</f>
        <v>TPA3001D1PWPR</v>
      </c>
      <c r="B2256" s="3" t="s">
        <v>90</v>
      </c>
      <c r="C2256" s="5">
        <v>35456</v>
      </c>
      <c r="D2256" s="6">
        <v>7.99</v>
      </c>
      <c r="E2256" t="s">
        <v>15</v>
      </c>
    </row>
    <row r="2257" spans="1:5" x14ac:dyDescent="0.25">
      <c r="A2257" t="str">
        <f>HYPERLINK("https://www.773grp.com/globalSearch/TPA3001D1PWPRG4/page-1", "TPA3001D1PWPRG4")</f>
        <v>TPA3001D1PWPRG4</v>
      </c>
      <c r="B2257" s="3" t="s">
        <v>90</v>
      </c>
      <c r="C2257" s="5">
        <v>1000</v>
      </c>
      <c r="D2257" s="6">
        <v>7.99</v>
      </c>
      <c r="E2257" t="s">
        <v>15</v>
      </c>
    </row>
    <row r="2258" spans="1:5" x14ac:dyDescent="0.25">
      <c r="A2258" t="str">
        <f>HYPERLINK("https://www.773grp.com/globalSearch/TPA3000D1PWP/page-1", "TPA3000D1PWP")</f>
        <v>TPA3000D1PWP</v>
      </c>
      <c r="B2258" s="3" t="s">
        <v>90</v>
      </c>
      <c r="C2258" s="5">
        <v>1260</v>
      </c>
      <c r="D2258" s="6">
        <v>8.01</v>
      </c>
      <c r="E2258" t="s">
        <v>15</v>
      </c>
    </row>
    <row r="2259" spans="1:5" x14ac:dyDescent="0.25">
      <c r="A2259" t="str">
        <f>HYPERLINK("https://www.773grp.com/globalSearch/THS4062ID/page-1", "THS4062ID")</f>
        <v>THS4062ID</v>
      </c>
      <c r="B2259" s="3" t="s">
        <v>90</v>
      </c>
      <c r="C2259" s="5">
        <v>11610</v>
      </c>
      <c r="D2259" s="6">
        <v>8.06</v>
      </c>
      <c r="E2259" t="s">
        <v>15</v>
      </c>
    </row>
    <row r="2260" spans="1:5" x14ac:dyDescent="0.25">
      <c r="A2260" t="str">
        <f>HYPERLINK("https://www.773grp.com/globalSearch/THS4062IDG4/page-1", "THS4062IDG4")</f>
        <v>THS4062IDG4</v>
      </c>
      <c r="B2260" s="3" t="s">
        <v>90</v>
      </c>
      <c r="C2260" s="5">
        <v>100</v>
      </c>
      <c r="D2260" s="6">
        <v>8.06</v>
      </c>
      <c r="E2260" t="s">
        <v>15</v>
      </c>
    </row>
    <row r="2261" spans="1:5" x14ac:dyDescent="0.25">
      <c r="A2261" t="str">
        <f>HYPERLINK("https://www.773grp.com/globalSearch/THS4062IDGN/page-1", "THS4062IDGN")</f>
        <v>THS4062IDGN</v>
      </c>
      <c r="B2261" s="3" t="s">
        <v>90</v>
      </c>
      <c r="C2261" s="5">
        <v>21643</v>
      </c>
      <c r="D2261" s="6">
        <v>8.06</v>
      </c>
      <c r="E2261" t="s">
        <v>15</v>
      </c>
    </row>
    <row r="2262" spans="1:5" x14ac:dyDescent="0.25">
      <c r="A2262" t="str">
        <f>HYPERLINK("https://www.773grp.com/globalSearch/TAS5709PHP/page-1", "TAS5709PHP")</f>
        <v>TAS5709PHP</v>
      </c>
      <c r="B2262" s="3" t="s">
        <v>90</v>
      </c>
      <c r="C2262" s="5">
        <v>896</v>
      </c>
      <c r="D2262" s="6">
        <v>8.1</v>
      </c>
      <c r="E2262" t="s">
        <v>15</v>
      </c>
    </row>
    <row r="2263" spans="1:5" x14ac:dyDescent="0.25">
      <c r="A2263" t="str">
        <f>HYPERLINK("https://www.773grp.com/globalSearch/THS4223D/page-1", "THS4223D")</f>
        <v>THS4223D</v>
      </c>
      <c r="B2263" s="3" t="s">
        <v>90</v>
      </c>
      <c r="C2263" s="5">
        <v>300</v>
      </c>
      <c r="D2263" s="6">
        <v>8.1</v>
      </c>
      <c r="E2263" t="s">
        <v>15</v>
      </c>
    </row>
    <row r="2264" spans="1:5" x14ac:dyDescent="0.25">
      <c r="A2264" t="str">
        <f>HYPERLINK("https://www.773grp.com/globalSearch/THS4223PWP/page-1", "THS4223PWP")</f>
        <v>THS4223PWP</v>
      </c>
      <c r="B2264" s="3" t="s">
        <v>90</v>
      </c>
      <c r="C2264" s="5">
        <v>630</v>
      </c>
      <c r="D2264" s="6">
        <v>8.1</v>
      </c>
      <c r="E2264" t="s">
        <v>15</v>
      </c>
    </row>
    <row r="2265" spans="1:5" x14ac:dyDescent="0.25">
      <c r="A2265" t="str">
        <f>HYPERLINK("https://www.773grp.com/globalSearch/THS4227D/page-1", "THS4227D")</f>
        <v>THS4227D</v>
      </c>
      <c r="B2265" s="3" t="s">
        <v>90</v>
      </c>
      <c r="C2265" s="5">
        <v>150</v>
      </c>
      <c r="D2265" s="6">
        <v>8.1</v>
      </c>
      <c r="E2265" t="s">
        <v>15</v>
      </c>
    </row>
    <row r="2266" spans="1:5" x14ac:dyDescent="0.25">
      <c r="A2266" t="str">
        <f>HYPERLINK("https://www.773grp.com/globalSearch/THS4227PWP/page-1", "THS4227PWP")</f>
        <v>THS4227PWP</v>
      </c>
      <c r="B2266" s="3" t="s">
        <v>90</v>
      </c>
      <c r="C2266" s="5">
        <v>180</v>
      </c>
      <c r="D2266" s="6">
        <v>8.1</v>
      </c>
      <c r="E2266" t="s">
        <v>15</v>
      </c>
    </row>
    <row r="2267" spans="1:5" x14ac:dyDescent="0.25">
      <c r="A2267" t="str">
        <f>HYPERLINK("https://www.773grp.com/globalSearch/THS3202DR/page-1", "THS3202DR")</f>
        <v>THS3202DR</v>
      </c>
      <c r="B2267" s="3" t="s">
        <v>90</v>
      </c>
      <c r="C2267" s="5">
        <v>5000</v>
      </c>
      <c r="D2267" s="6">
        <v>8.15</v>
      </c>
      <c r="E2267" t="s">
        <v>15</v>
      </c>
    </row>
    <row r="2268" spans="1:5" x14ac:dyDescent="0.25">
      <c r="A2268" t="str">
        <f>HYPERLINK("https://www.773grp.com/globalSearch/THS4271DGK/page-1", "THS4271DGK")</f>
        <v>THS4271DGK</v>
      </c>
      <c r="B2268" s="3" t="s">
        <v>90</v>
      </c>
      <c r="C2268" s="5">
        <v>9593</v>
      </c>
      <c r="D2268" s="6">
        <v>8.15</v>
      </c>
      <c r="E2268" t="s">
        <v>15</v>
      </c>
    </row>
    <row r="2269" spans="1:5" x14ac:dyDescent="0.25">
      <c r="A2269" t="str">
        <f>HYPERLINK("https://www.773grp.com/globalSearch/THS4275D/page-1", "THS4275D")</f>
        <v>THS4275D</v>
      </c>
      <c r="B2269" s="3" t="s">
        <v>90</v>
      </c>
      <c r="C2269" s="5">
        <v>4785</v>
      </c>
      <c r="D2269" s="6">
        <v>8.15</v>
      </c>
      <c r="E2269" t="s">
        <v>15</v>
      </c>
    </row>
    <row r="2270" spans="1:5" x14ac:dyDescent="0.25">
      <c r="A2270" t="str">
        <f>HYPERLINK("https://www.773grp.com/globalSearch/TPA3100D2PHPR/page-1", "TPA3100D2PHPR")</f>
        <v>TPA3100D2PHPR</v>
      </c>
      <c r="B2270" s="3" t="s">
        <v>90</v>
      </c>
      <c r="C2270" s="5">
        <v>2764</v>
      </c>
      <c r="D2270" s="6">
        <v>8.15</v>
      </c>
      <c r="E2270" t="s">
        <v>15</v>
      </c>
    </row>
    <row r="2271" spans="1:5" x14ac:dyDescent="0.25">
      <c r="A2271" t="str">
        <f>HYPERLINK("https://www.773grp.com/globalSearch/THS3115CPWPR/page-1", "THS3115CPWPR")</f>
        <v>THS3115CPWPR</v>
      </c>
      <c r="B2271" s="3" t="s">
        <v>90</v>
      </c>
      <c r="C2271" s="5">
        <v>4000</v>
      </c>
      <c r="D2271" s="6">
        <v>8.24</v>
      </c>
      <c r="E2271" t="s">
        <v>15</v>
      </c>
    </row>
    <row r="2272" spans="1:5" x14ac:dyDescent="0.25">
      <c r="A2272" t="str">
        <f>HYPERLINK("https://www.773grp.com/globalSearch/TAS5705PAP/page-1", "TAS5705PAP")</f>
        <v>TAS5705PAP</v>
      </c>
      <c r="B2272" s="3" t="s">
        <v>90</v>
      </c>
      <c r="C2272" s="5">
        <v>640</v>
      </c>
      <c r="D2272" s="6">
        <v>8.2799999999999994</v>
      </c>
      <c r="E2272" t="s">
        <v>15</v>
      </c>
    </row>
    <row r="2273" spans="1:5" x14ac:dyDescent="0.25">
      <c r="A2273" t="str">
        <f>HYPERLINK("https://www.773grp.com/globalSearch/OPA688P/page-1", "OPA688P")</f>
        <v>OPA688P</v>
      </c>
      <c r="B2273" s="3" t="s">
        <v>90</v>
      </c>
      <c r="C2273" s="5">
        <v>1071</v>
      </c>
      <c r="D2273" s="6">
        <v>8.3000000000000007</v>
      </c>
      <c r="E2273" t="s">
        <v>15</v>
      </c>
    </row>
    <row r="2274" spans="1:5" x14ac:dyDescent="0.25">
      <c r="A2274" t="str">
        <f>HYPERLINK("https://www.773grp.com/globalSearch/TAS5352DDVR/page-1", "TAS5352DDVR")</f>
        <v>TAS5352DDVR</v>
      </c>
      <c r="B2274" s="3" t="s">
        <v>90</v>
      </c>
      <c r="C2274" s="5">
        <v>54000</v>
      </c>
      <c r="D2274" s="6">
        <v>8.3000000000000007</v>
      </c>
      <c r="E2274" t="s">
        <v>15</v>
      </c>
    </row>
    <row r="2275" spans="1:5" x14ac:dyDescent="0.25">
      <c r="A2275" t="str">
        <f>HYPERLINK("https://www.773grp.com/globalSearch/THS4082CDGN/page-1", "THS4082CDGN")</f>
        <v>THS4082CDGN</v>
      </c>
      <c r="B2275" s="3" t="s">
        <v>90</v>
      </c>
      <c r="C2275" s="5">
        <v>11973</v>
      </c>
      <c r="D2275" s="6">
        <v>8.3000000000000007</v>
      </c>
      <c r="E2275" t="s">
        <v>15</v>
      </c>
    </row>
    <row r="2276" spans="1:5" x14ac:dyDescent="0.25">
      <c r="A2276" t="str">
        <f>HYPERLINK("https://www.773grp.com/globalSearch/TLV320AIC3107IRSBT/page-1", "TLV320AIC3107IRSBT")</f>
        <v>TLV320AIC3107IRSBT</v>
      </c>
      <c r="B2276" s="3" t="s">
        <v>90</v>
      </c>
      <c r="C2276" s="5">
        <v>140</v>
      </c>
      <c r="D2276" s="6">
        <v>8.3000000000000007</v>
      </c>
      <c r="E2276" t="s">
        <v>15</v>
      </c>
    </row>
    <row r="2277" spans="1:5" x14ac:dyDescent="0.25">
      <c r="A2277" t="str">
        <f>HYPERLINK("https://www.773grp.com/globalSearch/THS3121CD/page-1", "THS3121CD")</f>
        <v>THS3121CD</v>
      </c>
      <c r="B2277" s="3" t="s">
        <v>90</v>
      </c>
      <c r="C2277" s="5">
        <v>17992</v>
      </c>
      <c r="D2277" s="6">
        <v>8.35</v>
      </c>
      <c r="E2277" t="s">
        <v>15</v>
      </c>
    </row>
    <row r="2278" spans="1:5" x14ac:dyDescent="0.25">
      <c r="A2278" t="str">
        <f>HYPERLINK("https://www.773grp.com/globalSearch/THS3121ID/page-1", "THS3121ID")</f>
        <v>THS3121ID</v>
      </c>
      <c r="B2278" s="3" t="s">
        <v>90</v>
      </c>
      <c r="C2278" s="5">
        <v>4936</v>
      </c>
      <c r="D2278" s="6">
        <v>8.35</v>
      </c>
      <c r="E2278" t="s">
        <v>15</v>
      </c>
    </row>
    <row r="2279" spans="1:5" x14ac:dyDescent="0.25">
      <c r="A2279" t="str">
        <f>HYPERLINK("https://www.773grp.com/globalSearch/THS3121IDGN/page-1", "THS3121IDGN")</f>
        <v>THS3121IDGN</v>
      </c>
      <c r="B2279" s="3" t="s">
        <v>90</v>
      </c>
      <c r="C2279" s="5">
        <v>4526</v>
      </c>
      <c r="D2279" s="6">
        <v>8.35</v>
      </c>
      <c r="E2279" t="s">
        <v>15</v>
      </c>
    </row>
    <row r="2280" spans="1:5" x14ac:dyDescent="0.25">
      <c r="A2280" t="str">
        <f>HYPERLINK("https://www.773grp.com/globalSearch/THS4211DRBT/page-1", "THS4211DRBT")</f>
        <v>THS4211DRBT</v>
      </c>
      <c r="B2280" s="3" t="s">
        <v>90</v>
      </c>
      <c r="C2280" s="5">
        <v>11401</v>
      </c>
      <c r="D2280" s="6">
        <v>8.35</v>
      </c>
      <c r="E2280" t="s">
        <v>15</v>
      </c>
    </row>
    <row r="2281" spans="1:5" x14ac:dyDescent="0.25">
      <c r="A2281" t="str">
        <f>HYPERLINK("https://www.773grp.com/globalSearch/THS4215DRBT/page-1", "THS4215DRBT")</f>
        <v>THS4215DRBT</v>
      </c>
      <c r="B2281" s="3" t="s">
        <v>90</v>
      </c>
      <c r="C2281" s="5">
        <v>28000</v>
      </c>
      <c r="D2281" s="6">
        <v>8.35</v>
      </c>
      <c r="E2281" t="s">
        <v>15</v>
      </c>
    </row>
    <row r="2282" spans="1:5" x14ac:dyDescent="0.25">
      <c r="A2282" t="str">
        <f>HYPERLINK("https://www.773grp.com/globalSearch/TAS5706PAPR/page-1", "TAS5706PAPR")</f>
        <v>TAS5706PAPR</v>
      </c>
      <c r="B2282" s="3" t="s">
        <v>90</v>
      </c>
      <c r="C2282" s="5">
        <v>6915</v>
      </c>
      <c r="D2282" s="6">
        <v>8.44</v>
      </c>
      <c r="E2282" t="s">
        <v>15</v>
      </c>
    </row>
    <row r="2283" spans="1:5" x14ac:dyDescent="0.25">
      <c r="A2283" t="str">
        <f>HYPERLINK("https://www.773grp.com/globalSearch/OPA3692IDBQR/page-1", "OPA3692IDBQR")</f>
        <v>OPA3692IDBQR</v>
      </c>
      <c r="B2283" s="3" t="s">
        <v>90</v>
      </c>
      <c r="C2283" s="5">
        <v>39330</v>
      </c>
      <c r="D2283" s="6">
        <v>8.49</v>
      </c>
      <c r="E2283" t="s">
        <v>15</v>
      </c>
    </row>
    <row r="2284" spans="1:5" x14ac:dyDescent="0.25">
      <c r="A2284" t="str">
        <f>HYPERLINK("https://www.773grp.com/globalSearch/TAS5111ADAD/page-1", "TAS5111ADAD")</f>
        <v>TAS5111ADAD</v>
      </c>
      <c r="B2284" s="3" t="s">
        <v>90</v>
      </c>
      <c r="C2284" s="5">
        <v>4308</v>
      </c>
      <c r="D2284" s="6">
        <v>8.49</v>
      </c>
      <c r="E2284" t="s">
        <v>15</v>
      </c>
    </row>
    <row r="2285" spans="1:5" x14ac:dyDescent="0.25">
      <c r="A2285" t="str">
        <f>HYPERLINK("https://www.773grp.com/globalSearch/THS3120ID/page-1", "THS3120ID")</f>
        <v>THS3120ID</v>
      </c>
      <c r="B2285" s="3" t="s">
        <v>90</v>
      </c>
      <c r="C2285" s="5">
        <v>15190</v>
      </c>
      <c r="D2285" s="6">
        <v>8.49</v>
      </c>
      <c r="E2285" t="s">
        <v>15</v>
      </c>
    </row>
    <row r="2286" spans="1:5" x14ac:dyDescent="0.25">
      <c r="A2286" t="str">
        <f>HYPERLINK("https://www.773grp.com/globalSearch/OPA3680E-2K5/page-1", "OPA3680E-2K5")</f>
        <v>OPA3680E-2K5</v>
      </c>
      <c r="B2286" s="3" t="s">
        <v>90</v>
      </c>
      <c r="C2286" s="5">
        <v>5000</v>
      </c>
      <c r="D2286" s="6">
        <v>8.5299999999999994</v>
      </c>
      <c r="E2286" t="s">
        <v>15</v>
      </c>
    </row>
    <row r="2287" spans="1:5" x14ac:dyDescent="0.25">
      <c r="A2287" t="str">
        <f>HYPERLINK("https://www.773grp.com/globalSearch/TPA3100D2RGZR/page-1", "TPA3100D2RGZR")</f>
        <v>TPA3100D2RGZR</v>
      </c>
      <c r="B2287" s="3" t="s">
        <v>90</v>
      </c>
      <c r="C2287" s="5">
        <v>30000</v>
      </c>
      <c r="D2287" s="6">
        <v>8.58</v>
      </c>
      <c r="E2287" t="s">
        <v>15</v>
      </c>
    </row>
    <row r="2288" spans="1:5" x14ac:dyDescent="0.25">
      <c r="A2288" t="str">
        <f>HYPERLINK("https://www.773grp.com/globalSearch/TPA3101D2PHP/page-1", "TPA3101D2PHP")</f>
        <v>TPA3101D2PHP</v>
      </c>
      <c r="B2288" s="3" t="s">
        <v>90</v>
      </c>
      <c r="C2288" s="5">
        <v>1676</v>
      </c>
      <c r="D2288" s="6">
        <v>8.58</v>
      </c>
      <c r="E2288" t="s">
        <v>15</v>
      </c>
    </row>
    <row r="2289" spans="1:5" x14ac:dyDescent="0.25">
      <c r="A2289" t="str">
        <f>HYPERLINK("https://www.773grp.com/globalSearch/OPA2694ID/page-1", "OPA2694ID")</f>
        <v>OPA2694ID</v>
      </c>
      <c r="B2289" s="3" t="s">
        <v>90</v>
      </c>
      <c r="C2289" s="5">
        <v>6011</v>
      </c>
      <c r="D2289" s="6">
        <v>8.64</v>
      </c>
      <c r="E2289" t="s">
        <v>15</v>
      </c>
    </row>
    <row r="2290" spans="1:5" x14ac:dyDescent="0.25">
      <c r="A2290" t="str">
        <f>HYPERLINK("https://www.773grp.com/globalSearch/OPA3684IDBQT/page-1", "OPA3684IDBQT")</f>
        <v>OPA3684IDBQT</v>
      </c>
      <c r="B2290" s="3" t="s">
        <v>90</v>
      </c>
      <c r="C2290" s="5">
        <v>40084</v>
      </c>
      <c r="D2290" s="6">
        <v>8.73</v>
      </c>
      <c r="E2290" t="s">
        <v>15</v>
      </c>
    </row>
    <row r="2291" spans="1:5" x14ac:dyDescent="0.25">
      <c r="A2291" t="str">
        <f>HYPERLINK("https://www.773grp.com/globalSearch/TAS5711PHP/page-1", "TAS5711PHP")</f>
        <v>TAS5711PHP</v>
      </c>
      <c r="B2291" s="3" t="s">
        <v>90</v>
      </c>
      <c r="C2291" s="5">
        <v>654</v>
      </c>
      <c r="D2291" s="6">
        <v>8.73</v>
      </c>
      <c r="E2291" t="s">
        <v>15</v>
      </c>
    </row>
    <row r="2292" spans="1:5" x14ac:dyDescent="0.25">
      <c r="A2292" t="str">
        <f>HYPERLINK("https://www.773grp.com/globalSearch/THS4211D/page-1", "THS4211D")</f>
        <v>THS4211D</v>
      </c>
      <c r="B2292" s="3" t="s">
        <v>90</v>
      </c>
      <c r="C2292" s="5">
        <v>14116</v>
      </c>
      <c r="D2292" s="6">
        <v>8.73</v>
      </c>
      <c r="E2292" t="s">
        <v>15</v>
      </c>
    </row>
    <row r="2293" spans="1:5" x14ac:dyDescent="0.25">
      <c r="A2293" t="str">
        <f>HYPERLINK("https://www.773grp.com/globalSearch/THS4211DGK/page-1", "THS4211DGK")</f>
        <v>THS4211DGK</v>
      </c>
      <c r="B2293" s="3" t="s">
        <v>90</v>
      </c>
      <c r="C2293" s="5">
        <v>108</v>
      </c>
      <c r="D2293" s="6">
        <v>8.73</v>
      </c>
      <c r="E2293" t="s">
        <v>15</v>
      </c>
    </row>
    <row r="2294" spans="1:5" x14ac:dyDescent="0.25">
      <c r="A2294" t="str">
        <f>HYPERLINK("https://www.773grp.com/globalSearch/THS4211DGN/page-1", "THS4211DGN")</f>
        <v>THS4211DGN</v>
      </c>
      <c r="B2294" s="3" t="s">
        <v>90</v>
      </c>
      <c r="C2294" s="5">
        <v>12650</v>
      </c>
      <c r="D2294" s="6">
        <v>8.73</v>
      </c>
      <c r="E2294" t="s">
        <v>15</v>
      </c>
    </row>
    <row r="2295" spans="1:5" x14ac:dyDescent="0.25">
      <c r="A2295" t="str">
        <f>HYPERLINK("https://www.773grp.com/globalSearch/THS4215D/page-1", "THS4215D")</f>
        <v>THS4215D</v>
      </c>
      <c r="B2295" s="3" t="s">
        <v>90</v>
      </c>
      <c r="C2295" s="5">
        <v>28868</v>
      </c>
      <c r="D2295" s="6">
        <v>8.73</v>
      </c>
      <c r="E2295" t="s">
        <v>15</v>
      </c>
    </row>
    <row r="2296" spans="1:5" x14ac:dyDescent="0.25">
      <c r="A2296" t="str">
        <f>HYPERLINK("https://www.773grp.com/globalSearch/THS4215DGK/page-1", "THS4215DGK")</f>
        <v>THS4215DGK</v>
      </c>
      <c r="B2296" s="3" t="s">
        <v>90</v>
      </c>
      <c r="C2296" s="5">
        <v>4472</v>
      </c>
      <c r="D2296" s="6">
        <v>8.73</v>
      </c>
      <c r="E2296" t="s">
        <v>15</v>
      </c>
    </row>
    <row r="2297" spans="1:5" x14ac:dyDescent="0.25">
      <c r="A2297" t="str">
        <f>HYPERLINK("https://www.773grp.com/globalSearch/THS4215DGN/page-1", "THS4215DGN")</f>
        <v>THS4215DGN</v>
      </c>
      <c r="B2297" s="3" t="s">
        <v>90</v>
      </c>
      <c r="C2297" s="5">
        <v>19351</v>
      </c>
      <c r="D2297" s="6">
        <v>8.73</v>
      </c>
      <c r="E2297" t="s">
        <v>15</v>
      </c>
    </row>
    <row r="2298" spans="1:5" x14ac:dyDescent="0.25">
      <c r="A2298" t="str">
        <f>HYPERLINK("https://www.773grp.com/globalSearch/THS4271DGN/page-1", "THS4271DGN")</f>
        <v>THS4271DGN</v>
      </c>
      <c r="B2298" s="3" t="s">
        <v>90</v>
      </c>
      <c r="C2298" s="5">
        <v>3036</v>
      </c>
      <c r="D2298" s="6">
        <v>8.73</v>
      </c>
      <c r="E2298" t="s">
        <v>15</v>
      </c>
    </row>
    <row r="2299" spans="1:5" x14ac:dyDescent="0.25">
      <c r="A2299" t="str">
        <f>HYPERLINK("https://www.773grp.com/globalSearch/THS4275DGN/page-1", "THS4275DGN")</f>
        <v>THS4275DGN</v>
      </c>
      <c r="B2299" s="3" t="s">
        <v>90</v>
      </c>
      <c r="C2299" s="5">
        <v>23168</v>
      </c>
      <c r="D2299" s="6">
        <v>8.73</v>
      </c>
      <c r="E2299" t="s">
        <v>15</v>
      </c>
    </row>
    <row r="2300" spans="1:5" x14ac:dyDescent="0.25">
      <c r="A2300" t="str">
        <f>HYPERLINK("https://www.773grp.com/globalSearch/TPA3005D2PHPR/page-1", "TPA3005D2PHPR")</f>
        <v>TPA3005D2PHPR</v>
      </c>
      <c r="B2300" s="3" t="s">
        <v>90</v>
      </c>
      <c r="C2300" s="5">
        <v>37000</v>
      </c>
      <c r="D2300" s="6">
        <v>8.73</v>
      </c>
      <c r="E2300" t="s">
        <v>15</v>
      </c>
    </row>
    <row r="2301" spans="1:5" x14ac:dyDescent="0.25">
      <c r="A2301" t="str">
        <f>HYPERLINK("https://www.773grp.com/globalSearch/TPA3005D2PHPRG4/page-1", "TPA3005D2PHPRG4")</f>
        <v>TPA3005D2PHPRG4</v>
      </c>
      <c r="B2301" s="3" t="s">
        <v>90</v>
      </c>
      <c r="C2301" s="5">
        <v>76</v>
      </c>
      <c r="D2301" s="6">
        <v>8.73</v>
      </c>
      <c r="E2301" t="s">
        <v>15</v>
      </c>
    </row>
    <row r="2302" spans="1:5" x14ac:dyDescent="0.25">
      <c r="A2302" t="str">
        <f>HYPERLINK("https://www.773grp.com/globalSearch/TAS5701PAP/page-1", "TAS5701PAP")</f>
        <v>TAS5701PAP</v>
      </c>
      <c r="B2302" s="3" t="s">
        <v>90</v>
      </c>
      <c r="C2302" s="5">
        <v>320</v>
      </c>
      <c r="D2302" s="6">
        <v>8.74</v>
      </c>
      <c r="E2302" t="s">
        <v>15</v>
      </c>
    </row>
    <row r="2303" spans="1:5" x14ac:dyDescent="0.25">
      <c r="A2303" t="str">
        <f>HYPERLINK("https://www.773grp.com/globalSearch/TAS5100DAP/page-1", "TAS5100DAP")</f>
        <v>TAS5100DAP</v>
      </c>
      <c r="B2303" s="3" t="s">
        <v>90</v>
      </c>
      <c r="C2303" s="5">
        <v>422</v>
      </c>
      <c r="D2303" s="6">
        <v>8.86</v>
      </c>
      <c r="E2303" t="s">
        <v>15</v>
      </c>
    </row>
    <row r="2304" spans="1:5" x14ac:dyDescent="0.25">
      <c r="A2304" t="str">
        <f>HYPERLINK("https://www.773grp.com/globalSearch/OPA3690IDBQR/page-1", "OPA3690IDBQR")</f>
        <v>OPA3690IDBQR</v>
      </c>
      <c r="B2304" s="3" t="s">
        <v>90</v>
      </c>
      <c r="C2304" s="5">
        <v>12500</v>
      </c>
      <c r="D2304" s="6">
        <v>8.9499999999999993</v>
      </c>
      <c r="E2304" t="s">
        <v>15</v>
      </c>
    </row>
    <row r="2305" spans="1:5" x14ac:dyDescent="0.25">
      <c r="A2305" t="str">
        <f>HYPERLINK("https://www.773grp.com/globalSearch/OPA3690IDR/page-1", "OPA3690IDR")</f>
        <v>OPA3690IDR</v>
      </c>
      <c r="B2305" s="3" t="s">
        <v>90</v>
      </c>
      <c r="C2305" s="5">
        <v>24250</v>
      </c>
      <c r="D2305" s="6">
        <v>8.9499999999999993</v>
      </c>
      <c r="E2305" t="s">
        <v>15</v>
      </c>
    </row>
    <row r="2306" spans="1:5" x14ac:dyDescent="0.25">
      <c r="A2306" t="str">
        <f>HYPERLINK("https://www.773grp.com/globalSearch/THS3112IDDAR/page-1", "THS3112IDDAR")</f>
        <v>THS3112IDDAR</v>
      </c>
      <c r="B2306" s="3" t="s">
        <v>90</v>
      </c>
      <c r="C2306" s="5">
        <v>7500</v>
      </c>
      <c r="D2306" s="6">
        <v>8.9499999999999993</v>
      </c>
      <c r="E2306" t="s">
        <v>15</v>
      </c>
    </row>
    <row r="2307" spans="1:5" x14ac:dyDescent="0.25">
      <c r="A2307" t="str">
        <f>HYPERLINK("https://www.773grp.com/globalSearch/THS4021CDGNR/page-1", "THS4021CDGNR")</f>
        <v>THS4021CDGNR</v>
      </c>
      <c r="B2307" s="3" t="s">
        <v>90</v>
      </c>
      <c r="C2307" s="5">
        <v>13886</v>
      </c>
      <c r="D2307" s="6">
        <v>8.98</v>
      </c>
      <c r="E2307" t="s">
        <v>15</v>
      </c>
    </row>
    <row r="2308" spans="1:5" x14ac:dyDescent="0.25">
      <c r="A2308" t="str">
        <f>HYPERLINK("https://www.773grp.com/globalSearch/OPA2846IDR/page-1", "OPA2846IDR")</f>
        <v>OPA2846IDR</v>
      </c>
      <c r="B2308" s="3" t="s">
        <v>90</v>
      </c>
      <c r="C2308" s="5">
        <v>4800</v>
      </c>
      <c r="D2308" s="6">
        <v>9</v>
      </c>
      <c r="E2308" t="s">
        <v>15</v>
      </c>
    </row>
    <row r="2309" spans="1:5" x14ac:dyDescent="0.25">
      <c r="A2309" t="str">
        <f>HYPERLINK("https://www.773grp.com/globalSearch/THS3120CDGN/page-1", "THS3120CDGN")</f>
        <v>THS3120CDGN</v>
      </c>
      <c r="B2309" s="3" t="s">
        <v>90</v>
      </c>
      <c r="C2309" s="5">
        <v>130</v>
      </c>
      <c r="D2309" s="6">
        <v>9.06</v>
      </c>
      <c r="E2309" t="s">
        <v>15</v>
      </c>
    </row>
    <row r="2310" spans="1:5" x14ac:dyDescent="0.25">
      <c r="A2310" t="str">
        <f>HYPERLINK("https://www.773grp.com/globalSearch/THS3120IDGN/page-1", "THS3120IDGN")</f>
        <v>THS3120IDGN</v>
      </c>
      <c r="B2310" s="3" t="s">
        <v>90</v>
      </c>
      <c r="C2310" s="5">
        <v>7813</v>
      </c>
      <c r="D2310" s="6">
        <v>9.06</v>
      </c>
      <c r="E2310" t="s">
        <v>15</v>
      </c>
    </row>
    <row r="2311" spans="1:5" x14ac:dyDescent="0.25">
      <c r="A2311" t="str">
        <f>HYPERLINK("https://www.773grp.com/globalSearch/OPA3684ID/page-1", "OPA3684ID")</f>
        <v>OPA3684ID</v>
      </c>
      <c r="B2311" s="3" t="s">
        <v>90</v>
      </c>
      <c r="C2311" s="5">
        <v>28944</v>
      </c>
      <c r="D2311" s="6">
        <v>9.15</v>
      </c>
      <c r="E2311" t="s">
        <v>15</v>
      </c>
    </row>
    <row r="2312" spans="1:5" x14ac:dyDescent="0.25">
      <c r="A2312" t="str">
        <f>HYPERLINK("https://www.773grp.com/globalSearch/OPA3695IDBQ/page-1", "OPA3695IDBQ")</f>
        <v>OPA3695IDBQ</v>
      </c>
      <c r="B2312" s="3" t="s">
        <v>90</v>
      </c>
      <c r="C2312" s="5">
        <v>4898</v>
      </c>
      <c r="D2312" s="6">
        <v>9.15</v>
      </c>
      <c r="E2312" t="s">
        <v>15</v>
      </c>
    </row>
    <row r="2313" spans="1:5" x14ac:dyDescent="0.25">
      <c r="A2313" t="str">
        <f>HYPERLINK("https://www.773grp.com/globalSearch/TAS5121DKDR/page-1", "TAS5121DKDR")</f>
        <v>TAS5121DKDR</v>
      </c>
      <c r="B2313" s="3" t="s">
        <v>90</v>
      </c>
      <c r="C2313" s="5">
        <v>103500</v>
      </c>
      <c r="D2313" s="6">
        <v>9.15</v>
      </c>
      <c r="E2313" t="s">
        <v>15</v>
      </c>
    </row>
    <row r="2314" spans="1:5" x14ac:dyDescent="0.25">
      <c r="A2314" t="str">
        <f>HYPERLINK("https://www.773grp.com/globalSearch/TAS5122DFDR/page-1", "TAS5122DFDR")</f>
        <v>TAS5122DFDR</v>
      </c>
      <c r="B2314" s="3" t="s">
        <v>90</v>
      </c>
      <c r="C2314" s="5">
        <v>94000</v>
      </c>
      <c r="D2314" s="6">
        <v>9.15</v>
      </c>
      <c r="E2314" t="s">
        <v>15</v>
      </c>
    </row>
    <row r="2315" spans="1:5" x14ac:dyDescent="0.25">
      <c r="A2315" t="str">
        <f>HYPERLINK("https://www.773grp.com/globalSearch/THS4021IDGNR/page-1", "THS4021IDGNR")</f>
        <v>THS4021IDGNR</v>
      </c>
      <c r="B2315" s="3" t="s">
        <v>90</v>
      </c>
      <c r="C2315" s="5">
        <v>17500</v>
      </c>
      <c r="D2315" s="6">
        <v>9.25</v>
      </c>
      <c r="E2315" t="s">
        <v>15</v>
      </c>
    </row>
    <row r="2316" spans="1:5" x14ac:dyDescent="0.25">
      <c r="A2316" t="str">
        <f>HYPERLINK("https://www.773grp.com/globalSearch/OPA4684IDR/page-1", "OPA4684IDR")</f>
        <v>OPA4684IDR</v>
      </c>
      <c r="B2316" s="3" t="s">
        <v>90</v>
      </c>
      <c r="C2316" s="5">
        <v>47400</v>
      </c>
      <c r="D2316" s="6">
        <v>9.2899999999999991</v>
      </c>
      <c r="E2316" t="s">
        <v>15</v>
      </c>
    </row>
    <row r="2317" spans="1:5" x14ac:dyDescent="0.25">
      <c r="A2317" t="str">
        <f>HYPERLINK("https://www.773grp.com/globalSearch/TAS5342LDDV/page-1", "TAS5342LDDV")</f>
        <v>TAS5342LDDV</v>
      </c>
      <c r="B2317" s="3" t="s">
        <v>90</v>
      </c>
      <c r="C2317" s="5">
        <v>200</v>
      </c>
      <c r="D2317" s="6">
        <v>9.2899999999999991</v>
      </c>
      <c r="E2317" t="s">
        <v>15</v>
      </c>
    </row>
    <row r="2318" spans="1:5" x14ac:dyDescent="0.25">
      <c r="A2318" t="str">
        <f>HYPERLINK("https://www.773grp.com/globalSearch/TPA3120D2PWP/page-1", "TPA3120D2PWP")</f>
        <v>TPA3120D2PWP</v>
      </c>
      <c r="B2318" s="3" t="s">
        <v>90</v>
      </c>
      <c r="C2318" s="5">
        <v>4468</v>
      </c>
      <c r="D2318" s="6">
        <v>9.2899999999999991</v>
      </c>
      <c r="E2318" t="s">
        <v>15</v>
      </c>
    </row>
    <row r="2319" spans="1:5" x14ac:dyDescent="0.25">
      <c r="A2319" t="str">
        <f>HYPERLINK("https://www.773grp.com/globalSearch/TAS5142DDVR/page-1", "TAS5142DDVR")</f>
        <v>TAS5142DDVR</v>
      </c>
      <c r="B2319" s="3" t="s">
        <v>90</v>
      </c>
      <c r="C2319" s="5">
        <v>6000</v>
      </c>
      <c r="D2319" s="6">
        <v>9.34</v>
      </c>
      <c r="E2319" t="s">
        <v>15</v>
      </c>
    </row>
    <row r="2320" spans="1:5" x14ac:dyDescent="0.25">
      <c r="A2320" t="str">
        <f>HYPERLINK("https://www.773grp.com/globalSearch/OPA3693IDBQ/page-1", "OPA3693IDBQ")</f>
        <v>OPA3693IDBQ</v>
      </c>
      <c r="B2320" s="3" t="s">
        <v>90</v>
      </c>
      <c r="C2320" s="5">
        <v>7050</v>
      </c>
      <c r="D2320" s="6">
        <v>9.36</v>
      </c>
      <c r="E2320" t="s">
        <v>15</v>
      </c>
    </row>
    <row r="2321" spans="1:5" x14ac:dyDescent="0.25">
      <c r="A2321" t="str">
        <f>HYPERLINK("https://www.773grp.com/globalSearch/TAS5122DCAR/page-1", "TAS5122DCAR")</f>
        <v>TAS5122DCAR</v>
      </c>
      <c r="B2321" s="3" t="s">
        <v>90</v>
      </c>
      <c r="C2321" s="5">
        <v>10000</v>
      </c>
      <c r="D2321" s="6">
        <v>9.49</v>
      </c>
      <c r="E2321" t="s">
        <v>15</v>
      </c>
    </row>
    <row r="2322" spans="1:5" x14ac:dyDescent="0.25">
      <c r="A2322" t="str">
        <f>HYPERLINK("https://www.773grp.com/globalSearch/THS3061DR/page-1", "THS3061DR")</f>
        <v>THS3061DR</v>
      </c>
      <c r="B2322" s="3" t="s">
        <v>90</v>
      </c>
      <c r="C2322" s="5">
        <v>5000</v>
      </c>
      <c r="D2322" s="6">
        <v>9.5399999999999991</v>
      </c>
      <c r="E2322" t="s">
        <v>15</v>
      </c>
    </row>
    <row r="2323" spans="1:5" x14ac:dyDescent="0.25">
      <c r="A2323" t="str">
        <f>HYPERLINK("https://www.773grp.com/globalSearch/TLV320AIC3111IRHBT/page-1", "TLV320AIC3111IRHBT")</f>
        <v>TLV320AIC3111IRHBT</v>
      </c>
      <c r="B2323" s="3" t="s">
        <v>90</v>
      </c>
      <c r="C2323" s="5">
        <v>200</v>
      </c>
      <c r="D2323" s="6">
        <v>9.56</v>
      </c>
      <c r="E2323" t="s">
        <v>15</v>
      </c>
    </row>
    <row r="2324" spans="1:5" x14ac:dyDescent="0.25">
      <c r="A2324" t="str">
        <f>HYPERLINK("https://www.773grp.com/globalSearch/OPA3692IDBQT/page-1", "OPA3692IDBQT")</f>
        <v>OPA3692IDBQT</v>
      </c>
      <c r="B2324" s="3" t="s">
        <v>90</v>
      </c>
      <c r="C2324" s="5">
        <v>23670</v>
      </c>
      <c r="D2324" s="6">
        <v>9.6999999999999993</v>
      </c>
      <c r="E2324" t="s">
        <v>15</v>
      </c>
    </row>
    <row r="2325" spans="1:5" x14ac:dyDescent="0.25">
      <c r="A2325" t="str">
        <f>HYPERLINK("https://www.773grp.com/globalSearch/THS3202DGKR/page-1", "THS3202DGKR")</f>
        <v>THS3202DGKR</v>
      </c>
      <c r="B2325" s="3" t="s">
        <v>90</v>
      </c>
      <c r="C2325" s="5">
        <v>9770</v>
      </c>
      <c r="D2325" s="6">
        <v>9.75</v>
      </c>
      <c r="E2325" t="s">
        <v>15</v>
      </c>
    </row>
    <row r="2326" spans="1:5" x14ac:dyDescent="0.25">
      <c r="A2326" t="str">
        <f>HYPERLINK("https://www.773grp.com/globalSearch/TPA3008D2PHPR/page-1", "TPA3008D2PHPR")</f>
        <v>TPA3008D2PHPR</v>
      </c>
      <c r="B2326" s="3" t="s">
        <v>90</v>
      </c>
      <c r="C2326" s="5">
        <v>109000</v>
      </c>
      <c r="D2326" s="6">
        <v>9.83</v>
      </c>
      <c r="E2326" t="s">
        <v>15</v>
      </c>
    </row>
    <row r="2327" spans="1:5" x14ac:dyDescent="0.25">
      <c r="A2327" t="str">
        <f>HYPERLINK("https://www.773grp.com/globalSearch/THS3115CD/page-1", "THS3115CD")</f>
        <v>THS3115CD</v>
      </c>
      <c r="B2327" s="3" t="s">
        <v>90</v>
      </c>
      <c r="C2327" s="5">
        <v>16870</v>
      </c>
      <c r="D2327" s="6">
        <v>9.84</v>
      </c>
      <c r="E2327" t="s">
        <v>15</v>
      </c>
    </row>
    <row r="2328" spans="1:5" x14ac:dyDescent="0.25">
      <c r="A2328" t="str">
        <f>HYPERLINK("https://www.773grp.com/globalSearch/TPA3100D2RGZT/page-1", "TPA3100D2RGZT")</f>
        <v>TPA3100D2RGZT</v>
      </c>
      <c r="B2328" s="3" t="s">
        <v>90</v>
      </c>
      <c r="C2328" s="5">
        <v>1630</v>
      </c>
      <c r="D2328" s="6">
        <v>9.84</v>
      </c>
      <c r="E2328" t="s">
        <v>15</v>
      </c>
    </row>
    <row r="2329" spans="1:5" x14ac:dyDescent="0.25">
      <c r="A2329" t="str">
        <f>HYPERLINK("https://www.773grp.com/globalSearch/TAS5122DFD/page-1", "TAS5122DFD")</f>
        <v>TAS5122DFD</v>
      </c>
      <c r="B2329" s="3" t="s">
        <v>90</v>
      </c>
      <c r="C2329" s="5">
        <v>22525</v>
      </c>
      <c r="D2329" s="6">
        <v>9.99</v>
      </c>
      <c r="E2329" t="s">
        <v>15</v>
      </c>
    </row>
    <row r="2330" spans="1:5" x14ac:dyDescent="0.25">
      <c r="A2330" t="str">
        <f>HYPERLINK("https://www.773grp.com/globalSearch/THS3112ID/page-1", "THS3112ID")</f>
        <v>THS3112ID</v>
      </c>
      <c r="B2330" s="3" t="s">
        <v>90</v>
      </c>
      <c r="C2330" s="5">
        <v>1186</v>
      </c>
      <c r="D2330" s="6">
        <v>9.99</v>
      </c>
      <c r="E2330" t="s">
        <v>15</v>
      </c>
    </row>
    <row r="2331" spans="1:5" x14ac:dyDescent="0.25">
      <c r="A2331" t="str">
        <f>HYPERLINK("https://www.773grp.com/globalSearch/TPA3001D1PWP/page-1", "TPA3001D1PWP")</f>
        <v>TPA3001D1PWP</v>
      </c>
      <c r="B2331" s="3" t="s">
        <v>90</v>
      </c>
      <c r="C2331" s="5">
        <v>6761</v>
      </c>
      <c r="D2331" s="6">
        <v>9.99</v>
      </c>
      <c r="E2331" t="s">
        <v>15</v>
      </c>
    </row>
    <row r="2332" spans="1:5" x14ac:dyDescent="0.25">
      <c r="A2332" t="str">
        <f>HYPERLINK("https://www.773grp.com/globalSearch/OPA3692ID/page-1", "OPA3692ID")</f>
        <v>OPA3692ID</v>
      </c>
      <c r="B2332" s="3" t="s">
        <v>90</v>
      </c>
      <c r="C2332" s="5">
        <v>12203</v>
      </c>
      <c r="D2332" s="6">
        <v>10.130000000000001</v>
      </c>
      <c r="E2332" t="s">
        <v>15</v>
      </c>
    </row>
    <row r="2333" spans="1:5" x14ac:dyDescent="0.25">
      <c r="A2333" t="str">
        <f>HYPERLINK("https://www.773grp.com/globalSearch/THS3115ID/page-1", "THS3115ID")</f>
        <v>THS3115ID</v>
      </c>
      <c r="B2333" s="3" t="s">
        <v>90</v>
      </c>
      <c r="C2333" s="5">
        <v>4825</v>
      </c>
      <c r="D2333" s="6">
        <v>10.130000000000001</v>
      </c>
      <c r="E2333" t="s">
        <v>15</v>
      </c>
    </row>
    <row r="2334" spans="1:5" x14ac:dyDescent="0.25">
      <c r="A2334" t="str">
        <f>HYPERLINK("https://www.773grp.com/globalSearch/THS3001IDGNR/page-1", "THS3001IDGNR")</f>
        <v>THS3001IDGNR</v>
      </c>
      <c r="B2334" s="3" t="s">
        <v>90</v>
      </c>
      <c r="C2334" s="5">
        <v>18604</v>
      </c>
      <c r="D2334" s="6">
        <v>10.18</v>
      </c>
      <c r="E2334" t="s">
        <v>15</v>
      </c>
    </row>
    <row r="2335" spans="1:5" x14ac:dyDescent="0.25">
      <c r="A2335" t="str">
        <f>HYPERLINK("https://www.773grp.com/globalSearch/OPA3690IDBQT/page-1", "OPA3690IDBQT")</f>
        <v>OPA3690IDBQT</v>
      </c>
      <c r="B2335" s="3" t="s">
        <v>90</v>
      </c>
      <c r="C2335" s="5">
        <v>2250</v>
      </c>
      <c r="D2335" s="6">
        <v>10.24</v>
      </c>
      <c r="E2335" t="s">
        <v>15</v>
      </c>
    </row>
    <row r="2336" spans="1:5" x14ac:dyDescent="0.25">
      <c r="A2336" t="str">
        <f>HYPERLINK("https://www.773grp.com/globalSearch/THS3112CDDA/page-1", "THS3112CDDA")</f>
        <v>THS3112CDDA</v>
      </c>
      <c r="B2336" s="3" t="s">
        <v>90</v>
      </c>
      <c r="C2336" s="5">
        <v>16875</v>
      </c>
      <c r="D2336" s="6">
        <v>10.26</v>
      </c>
      <c r="E2336" t="s">
        <v>15</v>
      </c>
    </row>
    <row r="2337" spans="1:5" x14ac:dyDescent="0.25">
      <c r="A2337" t="str">
        <f>HYPERLINK("https://www.773grp.com/globalSearch/TPA3100D2PHP/page-1", "TPA3100D2PHP")</f>
        <v>TPA3100D2PHP</v>
      </c>
      <c r="B2337" s="3" t="s">
        <v>90</v>
      </c>
      <c r="C2337" s="5">
        <v>3424</v>
      </c>
      <c r="D2337" s="6">
        <v>10.26</v>
      </c>
      <c r="E2337" t="s">
        <v>15</v>
      </c>
    </row>
    <row r="2338" spans="1:5" x14ac:dyDescent="0.25">
      <c r="A2338" t="str">
        <f>HYPERLINK("https://www.773grp.com/globalSearch/THS3091D/page-1", "THS3091D")</f>
        <v>THS3091D</v>
      </c>
      <c r="B2338" s="3" t="s">
        <v>90</v>
      </c>
      <c r="C2338" s="5">
        <v>630</v>
      </c>
      <c r="D2338" s="6">
        <v>10.38</v>
      </c>
      <c r="E2338" t="s">
        <v>15</v>
      </c>
    </row>
    <row r="2339" spans="1:5" x14ac:dyDescent="0.25">
      <c r="A2339" t="str">
        <f>HYPERLINK("https://www.773grp.com/globalSearch/TPA3005D2PHP/page-1", "TPA3005D2PHP")</f>
        <v>TPA3005D2PHP</v>
      </c>
      <c r="B2339" s="3" t="s">
        <v>90</v>
      </c>
      <c r="C2339" s="5">
        <v>97314</v>
      </c>
      <c r="D2339" s="6">
        <v>10.46</v>
      </c>
      <c r="E2339" t="s">
        <v>15</v>
      </c>
    </row>
    <row r="2340" spans="1:5" x14ac:dyDescent="0.25">
      <c r="A2340" t="str">
        <f>HYPERLINK("https://www.773grp.com/globalSearch/TAS5342DDV/page-1", "TAS5342DDV")</f>
        <v>TAS5342DDV</v>
      </c>
      <c r="B2340" s="3" t="s">
        <v>90</v>
      </c>
      <c r="C2340" s="5">
        <v>870</v>
      </c>
      <c r="D2340" s="6">
        <v>10.55</v>
      </c>
      <c r="E2340" t="s">
        <v>15</v>
      </c>
    </row>
    <row r="2341" spans="1:5" x14ac:dyDescent="0.25">
      <c r="A2341" t="str">
        <f>HYPERLINK("https://www.773grp.com/globalSearch/TAS5706PAP/page-1", "TAS5706PAP")</f>
        <v>TAS5706PAP</v>
      </c>
      <c r="B2341" s="3" t="s">
        <v>90</v>
      </c>
      <c r="C2341" s="5">
        <v>731</v>
      </c>
      <c r="D2341" s="6">
        <v>10.55</v>
      </c>
      <c r="E2341" t="s">
        <v>15</v>
      </c>
    </row>
    <row r="2342" spans="1:5" x14ac:dyDescent="0.25">
      <c r="A2342" t="str">
        <f>HYPERLINK("https://www.773grp.com/globalSearch/THS3095D/page-1", "THS3095D")</f>
        <v>THS3095D</v>
      </c>
      <c r="B2342" s="3" t="s">
        <v>90</v>
      </c>
      <c r="C2342" s="5">
        <v>13565</v>
      </c>
      <c r="D2342" s="6">
        <v>10.55</v>
      </c>
      <c r="E2342" t="s">
        <v>15</v>
      </c>
    </row>
    <row r="2343" spans="1:5" x14ac:dyDescent="0.25">
      <c r="A2343" t="str">
        <f>HYPERLINK("https://www.773grp.com/globalSearch/THS3112IDDA/page-1", "THS3112IDDA")</f>
        <v>THS3112IDDA</v>
      </c>
      <c r="B2343" s="3" t="s">
        <v>90</v>
      </c>
      <c r="C2343" s="5">
        <v>9444</v>
      </c>
      <c r="D2343" s="6">
        <v>10.55</v>
      </c>
      <c r="E2343" t="s">
        <v>15</v>
      </c>
    </row>
    <row r="2344" spans="1:5" x14ac:dyDescent="0.25">
      <c r="A2344" t="str">
        <f>HYPERLINK("https://www.773grp.com/globalSearch/TSC2111IRGZR/page-1", "TSC2111IRGZR")</f>
        <v>TSC2111IRGZR</v>
      </c>
      <c r="B2344" s="3" t="s">
        <v>90</v>
      </c>
      <c r="C2344" s="5">
        <v>37727</v>
      </c>
      <c r="D2344" s="6">
        <v>10.55</v>
      </c>
      <c r="E2344" t="s">
        <v>15</v>
      </c>
    </row>
    <row r="2345" spans="1:5" x14ac:dyDescent="0.25">
      <c r="A2345" t="str">
        <f>HYPERLINK("https://www.773grp.com/globalSearch/OPA2846ID/page-1", "OPA2846ID")</f>
        <v>OPA2846ID</v>
      </c>
      <c r="B2345" s="3" t="s">
        <v>90</v>
      </c>
      <c r="C2345" s="5">
        <v>2550</v>
      </c>
      <c r="D2345" s="6">
        <v>10.69</v>
      </c>
      <c r="E2345" t="s">
        <v>15</v>
      </c>
    </row>
    <row r="2346" spans="1:5" x14ac:dyDescent="0.25">
      <c r="A2346" t="str">
        <f>HYPERLINK("https://www.773grp.com/globalSearch/OPA3690ID/page-1", "OPA3690ID")</f>
        <v>OPA3690ID</v>
      </c>
      <c r="B2346" s="3" t="s">
        <v>90</v>
      </c>
      <c r="C2346" s="5">
        <v>10704</v>
      </c>
      <c r="D2346" s="6">
        <v>10.69</v>
      </c>
      <c r="E2346" t="s">
        <v>15</v>
      </c>
    </row>
    <row r="2347" spans="1:5" x14ac:dyDescent="0.25">
      <c r="A2347" t="str">
        <f>HYPERLINK("https://www.773grp.com/globalSearch/OPA4684IPWT/page-1", "OPA4684IPWT")</f>
        <v>OPA4684IPWT</v>
      </c>
      <c r="B2347" s="3" t="s">
        <v>90</v>
      </c>
      <c r="C2347" s="5">
        <v>21750</v>
      </c>
      <c r="D2347" s="6">
        <v>10.69</v>
      </c>
      <c r="E2347" t="s">
        <v>15</v>
      </c>
    </row>
    <row r="2348" spans="1:5" x14ac:dyDescent="0.25">
      <c r="A2348" t="str">
        <f>HYPERLINK("https://www.773grp.com/globalSearch/THS3115IPWP/page-1", "THS3115IPWP")</f>
        <v>THS3115IPWP</v>
      </c>
      <c r="B2348" s="3" t="s">
        <v>90</v>
      </c>
      <c r="C2348" s="5">
        <v>2249</v>
      </c>
      <c r="D2348" s="6">
        <v>10.69</v>
      </c>
      <c r="E2348" t="s">
        <v>15</v>
      </c>
    </row>
    <row r="2349" spans="1:5" x14ac:dyDescent="0.25">
      <c r="A2349" t="str">
        <f>HYPERLINK("https://www.773grp.com/globalSearch/THS4021CD/page-1", "THS4021CD")</f>
        <v>THS4021CD</v>
      </c>
      <c r="B2349" s="3" t="s">
        <v>90</v>
      </c>
      <c r="C2349" s="5">
        <v>7811</v>
      </c>
      <c r="D2349" s="6">
        <v>10.76</v>
      </c>
      <c r="E2349" t="s">
        <v>15</v>
      </c>
    </row>
    <row r="2350" spans="1:5" x14ac:dyDescent="0.25">
      <c r="A2350" t="str">
        <f>HYPERLINK("https://www.773grp.com/globalSearch/THS4021CDGN/page-1", "THS4021CDGN")</f>
        <v>THS4021CDGN</v>
      </c>
      <c r="B2350" s="3" t="s">
        <v>90</v>
      </c>
      <c r="C2350" s="5">
        <v>25996</v>
      </c>
      <c r="D2350" s="6">
        <v>10.76</v>
      </c>
      <c r="E2350" t="s">
        <v>15</v>
      </c>
    </row>
    <row r="2351" spans="1:5" x14ac:dyDescent="0.25">
      <c r="A2351" t="str">
        <f>HYPERLINK("https://www.773grp.com/globalSearch/TAS5121DKD/page-1", "TAS5121DKD")</f>
        <v>TAS5121DKD</v>
      </c>
      <c r="B2351" s="3" t="s">
        <v>90</v>
      </c>
      <c r="C2351" s="5">
        <v>845</v>
      </c>
      <c r="D2351" s="6">
        <v>10.84</v>
      </c>
      <c r="E2351" t="s">
        <v>15</v>
      </c>
    </row>
    <row r="2352" spans="1:5" x14ac:dyDescent="0.25">
      <c r="A2352" t="str">
        <f>HYPERLINK("https://www.773grp.com/globalSearch/THS4021ID/page-1", "THS4021ID")</f>
        <v>THS4021ID</v>
      </c>
      <c r="B2352" s="3" t="s">
        <v>90</v>
      </c>
      <c r="C2352" s="5">
        <v>14134</v>
      </c>
      <c r="D2352" s="6">
        <v>11.05</v>
      </c>
      <c r="E2352" t="s">
        <v>15</v>
      </c>
    </row>
    <row r="2353" spans="1:5" x14ac:dyDescent="0.25">
      <c r="A2353" t="str">
        <f>HYPERLINK("https://www.773grp.com/globalSearch/THS4021IDGN/page-1", "THS4021IDGN")</f>
        <v>THS4021IDGN</v>
      </c>
      <c r="B2353" s="3" t="s">
        <v>90</v>
      </c>
      <c r="C2353" s="5">
        <v>20798</v>
      </c>
      <c r="D2353" s="6">
        <v>11.05</v>
      </c>
      <c r="E2353" t="s">
        <v>15</v>
      </c>
    </row>
    <row r="2354" spans="1:5" x14ac:dyDescent="0.25">
      <c r="A2354" t="str">
        <f>HYPERLINK("https://www.773grp.com/globalSearch/OPA4684ID/page-1", "OPA4684ID")</f>
        <v>OPA4684ID</v>
      </c>
      <c r="B2354" s="3" t="s">
        <v>90</v>
      </c>
      <c r="C2354" s="5">
        <v>9862</v>
      </c>
      <c r="D2354" s="6">
        <v>11.1</v>
      </c>
      <c r="E2354" t="s">
        <v>15</v>
      </c>
    </row>
    <row r="2355" spans="1:5" x14ac:dyDescent="0.25">
      <c r="A2355" t="str">
        <f>HYPERLINK("https://www.773grp.com/globalSearch/TAS5122DCA/page-1", "TAS5122DCA")</f>
        <v>TAS5122DCA</v>
      </c>
      <c r="B2355" s="3" t="s">
        <v>90</v>
      </c>
      <c r="C2355" s="5">
        <v>1259</v>
      </c>
      <c r="D2355" s="6">
        <v>11.36</v>
      </c>
      <c r="E2355" t="s">
        <v>15</v>
      </c>
    </row>
    <row r="2356" spans="1:5" x14ac:dyDescent="0.25">
      <c r="A2356" t="str">
        <f>HYPERLINK("https://www.773grp.com/globalSearch/TAS5112ADCAR/page-1", "TAS5112ADCAR")</f>
        <v>TAS5112ADCAR</v>
      </c>
      <c r="B2356" s="3" t="s">
        <v>90</v>
      </c>
      <c r="C2356" s="5">
        <v>28000</v>
      </c>
      <c r="D2356" s="6">
        <v>11.39</v>
      </c>
      <c r="E2356" t="s">
        <v>15</v>
      </c>
    </row>
    <row r="2357" spans="1:5" x14ac:dyDescent="0.25">
      <c r="A2357" t="str">
        <f>HYPERLINK("https://www.773grp.com/globalSearch/THS3061D/page-1", "THS3061D")</f>
        <v>THS3061D</v>
      </c>
      <c r="B2357" s="3" t="s">
        <v>90</v>
      </c>
      <c r="C2357" s="5">
        <v>1799</v>
      </c>
      <c r="D2357" s="6">
        <v>11.44</v>
      </c>
      <c r="E2357" t="s">
        <v>15</v>
      </c>
    </row>
    <row r="2358" spans="1:5" x14ac:dyDescent="0.25">
      <c r="A2358" t="str">
        <f>HYPERLINK("https://www.773grp.com/globalSearch/TPA3008D2PHP/page-1", "TPA3008D2PHP")</f>
        <v>TPA3008D2PHP</v>
      </c>
      <c r="B2358" s="3" t="s">
        <v>90</v>
      </c>
      <c r="C2358" s="5">
        <v>645</v>
      </c>
      <c r="D2358" s="6">
        <v>11.65</v>
      </c>
      <c r="E2358" t="s">
        <v>15</v>
      </c>
    </row>
    <row r="2359" spans="1:5" x14ac:dyDescent="0.25">
      <c r="A2359" t="str">
        <f>HYPERLINK("https://www.773grp.com/globalSearch/THS3202D/page-1", "THS3202D")</f>
        <v>THS3202D</v>
      </c>
      <c r="B2359" s="3" t="s">
        <v>90</v>
      </c>
      <c r="C2359" s="5">
        <v>8972</v>
      </c>
      <c r="D2359" s="6">
        <v>11.7</v>
      </c>
      <c r="E2359" t="s">
        <v>15</v>
      </c>
    </row>
    <row r="2360" spans="1:5" x14ac:dyDescent="0.25">
      <c r="A2360" t="str">
        <f>HYPERLINK("https://www.773grp.com/globalSearch/THS3202DGK/page-1", "THS3202DGK")</f>
        <v>THS3202DGK</v>
      </c>
      <c r="B2360" s="3" t="s">
        <v>90</v>
      </c>
      <c r="C2360" s="5">
        <v>10734</v>
      </c>
      <c r="D2360" s="6">
        <v>11.7</v>
      </c>
      <c r="E2360" t="s">
        <v>15</v>
      </c>
    </row>
    <row r="2361" spans="1:5" x14ac:dyDescent="0.25">
      <c r="A2361" t="str">
        <f>HYPERLINK("https://www.773grp.com/globalSearch/OPA656U-2K5/page-1", "OPA656U-2K5")</f>
        <v>OPA656U-2K5</v>
      </c>
      <c r="B2361" s="3" t="s">
        <v>90</v>
      </c>
      <c r="C2361" s="5">
        <v>20000</v>
      </c>
      <c r="D2361" s="6">
        <v>11.78</v>
      </c>
      <c r="E2361" t="s">
        <v>15</v>
      </c>
    </row>
    <row r="2362" spans="1:5" x14ac:dyDescent="0.25">
      <c r="A2362" t="str">
        <f>HYPERLINK("https://www.773grp.com/globalSearch/OPA656UB-2K5/page-1", "OPA656UB-2K5")</f>
        <v>OPA656UB-2K5</v>
      </c>
      <c r="B2362" s="3" t="s">
        <v>90</v>
      </c>
      <c r="C2362" s="5">
        <v>32500</v>
      </c>
      <c r="D2362" s="6">
        <v>11.78</v>
      </c>
      <c r="E2362" t="s">
        <v>15</v>
      </c>
    </row>
    <row r="2363" spans="1:5" x14ac:dyDescent="0.25">
      <c r="A2363" t="str">
        <f>HYPERLINK("https://www.773grp.com/globalSearch/TAS5112ADFDR/page-1", "TAS5112ADFDR")</f>
        <v>TAS5112ADFDR</v>
      </c>
      <c r="B2363" s="3" t="s">
        <v>90</v>
      </c>
      <c r="C2363" s="5">
        <v>18000</v>
      </c>
      <c r="D2363" s="6">
        <v>11.86</v>
      </c>
      <c r="E2363" t="s">
        <v>15</v>
      </c>
    </row>
    <row r="2364" spans="1:5" x14ac:dyDescent="0.25">
      <c r="A2364" t="str">
        <f>HYPERLINK("https://www.773grp.com/globalSearch/THS3001HVCDGN/page-1", "THS3001HVCDGN")</f>
        <v>THS3001HVCDGN</v>
      </c>
      <c r="B2364" s="3" t="s">
        <v>90</v>
      </c>
      <c r="C2364" s="5">
        <v>1520</v>
      </c>
      <c r="D2364" s="6">
        <v>11.86</v>
      </c>
      <c r="E2364" t="s">
        <v>15</v>
      </c>
    </row>
    <row r="2365" spans="1:5" x14ac:dyDescent="0.25">
      <c r="A2365" t="str">
        <f>HYPERLINK("https://www.773grp.com/globalSearch/TAS5142DDV/page-1", "TAS5142DDV")</f>
        <v>TAS5142DDV</v>
      </c>
      <c r="B2365" s="3" t="s">
        <v>90</v>
      </c>
      <c r="C2365" s="5">
        <v>142</v>
      </c>
      <c r="D2365" s="6">
        <v>11.95</v>
      </c>
      <c r="E2365" t="s">
        <v>15</v>
      </c>
    </row>
    <row r="2366" spans="1:5" x14ac:dyDescent="0.25">
      <c r="A2366" t="str">
        <f>HYPERLINK("https://www.773grp.com/globalSearch/THS3062DR/page-1", "THS3062DR")</f>
        <v>THS3062DR</v>
      </c>
      <c r="B2366" s="3" t="s">
        <v>90</v>
      </c>
      <c r="C2366" s="5">
        <v>7475</v>
      </c>
      <c r="D2366" s="6">
        <v>11.95</v>
      </c>
      <c r="E2366" t="s">
        <v>15</v>
      </c>
    </row>
    <row r="2367" spans="1:5" x14ac:dyDescent="0.25">
      <c r="A2367" t="str">
        <f>HYPERLINK("https://www.773grp.com/globalSearch/THS3062DRG4/page-1", "THS3062DRG4")</f>
        <v>THS3062DRG4</v>
      </c>
      <c r="B2367" s="3" t="s">
        <v>90</v>
      </c>
      <c r="C2367" s="5">
        <v>2500</v>
      </c>
      <c r="D2367" s="6">
        <v>11.95</v>
      </c>
      <c r="E2367" t="s">
        <v>15</v>
      </c>
    </row>
    <row r="2368" spans="1:5" x14ac:dyDescent="0.25">
      <c r="A2368" t="str">
        <f>HYPERLINK("https://www.773grp.com/globalSearch/THS3001ID/page-1", "THS3001ID")</f>
        <v>THS3001ID</v>
      </c>
      <c r="B2368" s="3" t="str">
        <f>HYPERLINK("https://www.773grp.com/manufacturer/texas-instruments?pageNo=23", "Texas Instruments")</f>
        <v>Texas Instruments</v>
      </c>
      <c r="C2368" s="5">
        <v>10817</v>
      </c>
      <c r="D2368" s="6">
        <v>12.15</v>
      </c>
      <c r="E2368" t="s">
        <v>15</v>
      </c>
    </row>
    <row r="2369" spans="1:5" x14ac:dyDescent="0.25">
      <c r="A2369" t="str">
        <f>HYPERLINK("https://www.773grp.com/globalSearch/THS3001IDGN/page-1", "THS3001IDGN")</f>
        <v>THS3001IDGN</v>
      </c>
      <c r="B2369" s="3" t="str">
        <f>HYPERLINK("https://www.773grp.com/manufacturer/texas-instruments?pageNo=24", "Texas Instruments")</f>
        <v>Texas Instruments</v>
      </c>
      <c r="C2369" s="5">
        <v>851</v>
      </c>
      <c r="D2369" s="6">
        <v>12.15</v>
      </c>
      <c r="E2369" t="s">
        <v>15</v>
      </c>
    </row>
    <row r="2370" spans="1:5" x14ac:dyDescent="0.25">
      <c r="A2370" t="str">
        <f>HYPERLINK("https://www.773grp.com/globalSearch/TSC2111IRGZT/page-1", "TSC2111IRGZT")</f>
        <v>TSC2111IRGZT</v>
      </c>
      <c r="B2370" s="3" t="str">
        <f>HYPERLINK("https://www.773grp.com/manufacturer/texas-instruments?pageNo=64", "Texas Instruments")</f>
        <v>Texas Instruments</v>
      </c>
      <c r="C2370" s="5">
        <v>7745</v>
      </c>
      <c r="D2370" s="6">
        <v>12.24</v>
      </c>
      <c r="E2370" t="s">
        <v>15</v>
      </c>
    </row>
    <row r="2371" spans="1:5" x14ac:dyDescent="0.25">
      <c r="A2371" t="str">
        <f>HYPERLINK("https://www.773grp.com/globalSearch/THS3001HVIDGN/page-1", "THS3001HVIDGN")</f>
        <v>THS3001HVIDGN</v>
      </c>
      <c r="B2371" s="3" t="str">
        <f>HYPERLINK("https://www.773grp.com/manufacturer/texas-instruments?pageNo=84", "Texas Instruments")</f>
        <v>Texas Instruments</v>
      </c>
      <c r="C2371" s="5">
        <v>3111</v>
      </c>
      <c r="D2371" s="6">
        <v>12.29</v>
      </c>
      <c r="E2371" t="s">
        <v>15</v>
      </c>
    </row>
    <row r="2372" spans="1:5" x14ac:dyDescent="0.25">
      <c r="A2372" t="str">
        <f>HYPERLINK("https://www.773grp.com/globalSearch/TAS5121IDKD/page-1", "TAS5121IDKD")</f>
        <v>TAS5121IDKD</v>
      </c>
      <c r="B2372" s="3" t="str">
        <f>HYPERLINK("https://www.773grp.com/manufacturer/texas-instruments?pageNo=221", "Texas Instruments")</f>
        <v>Texas Instruments</v>
      </c>
      <c r="C2372" s="5">
        <v>28</v>
      </c>
      <c r="D2372" s="6">
        <v>12.53</v>
      </c>
      <c r="E2372" t="s">
        <v>15</v>
      </c>
    </row>
    <row r="2373" spans="1:5" x14ac:dyDescent="0.25">
      <c r="A2373" t="str">
        <f>HYPERLINK("https://www.773grp.com/globalSearch/TAS5615PHDR/page-1", "TAS5615PHDR")</f>
        <v>TAS5615PHDR</v>
      </c>
      <c r="B2373" s="3" t="str">
        <f>HYPERLINK("https://www.773grp.com/manufacturer/texas-instruments?pageNo=223", "Texas Instruments")</f>
        <v>Texas Instruments</v>
      </c>
      <c r="C2373" s="5">
        <v>1000</v>
      </c>
      <c r="D2373" s="6">
        <v>12.53</v>
      </c>
      <c r="E2373" t="s">
        <v>15</v>
      </c>
    </row>
    <row r="2374" spans="1:5" x14ac:dyDescent="0.25">
      <c r="A2374" t="str">
        <f>HYPERLINK("https://www.773grp.com/globalSearch/TAS5616PHDR/page-1", "TAS5616PHDR")</f>
        <v>TAS5616PHDR</v>
      </c>
      <c r="B2374" s="3" t="str">
        <f>HYPERLINK("https://www.773grp.com/manufacturer/texas-instruments?pageNo=224", "Texas Instruments")</f>
        <v>Texas Instruments</v>
      </c>
      <c r="C2374" s="5">
        <v>1000</v>
      </c>
      <c r="D2374" s="6">
        <v>12.53</v>
      </c>
      <c r="E2374" t="s">
        <v>15</v>
      </c>
    </row>
    <row r="2375" spans="1:5" x14ac:dyDescent="0.25">
      <c r="A2375" t="str">
        <f>HYPERLINK("https://www.773grp.com/globalSearch/TPA3200D1DCP/page-1", "TPA3200D1DCP")</f>
        <v>TPA3200D1DCP</v>
      </c>
      <c r="B2375" s="3" t="str">
        <f>HYPERLINK("https://www.773grp.com/manufacturer/texas-instruments?pageNo=233", "Texas Instruments")</f>
        <v>Texas Instruments</v>
      </c>
      <c r="C2375" s="5">
        <v>1341</v>
      </c>
      <c r="D2375" s="6">
        <v>12.53</v>
      </c>
      <c r="E2375" t="s">
        <v>15</v>
      </c>
    </row>
    <row r="2376" spans="1:5" x14ac:dyDescent="0.25">
      <c r="A2376" t="str">
        <f>HYPERLINK("https://www.773grp.com/globalSearch/OPA4350EA-2K5/page-1", "OPA4350EA-2K5")</f>
        <v>OPA4350EA-2K5</v>
      </c>
      <c r="B2376" s="3" t="str">
        <f>HYPERLINK("https://www.773grp.com/manufacturer/texas-instruments?pageNo=570", "Texas Instruments")</f>
        <v>Texas Instruments</v>
      </c>
      <c r="C2376" s="5">
        <v>10000</v>
      </c>
      <c r="D2376" s="6">
        <v>13.21</v>
      </c>
      <c r="E2376" t="s">
        <v>15</v>
      </c>
    </row>
    <row r="2377" spans="1:5" x14ac:dyDescent="0.25">
      <c r="A2377" t="str">
        <f>HYPERLINK("https://www.773grp.com/globalSearch/TPA005D12DCAR/page-1", "TPA005D12DCAR")</f>
        <v>TPA005D12DCAR</v>
      </c>
      <c r="B2377" s="3" t="str">
        <f>HYPERLINK("https://www.773grp.com/manufacturer/texas-instruments?pageNo=757", "Texas Instruments")</f>
        <v>Texas Instruments</v>
      </c>
      <c r="C2377" s="5">
        <v>4000</v>
      </c>
      <c r="D2377" s="6">
        <v>13.5</v>
      </c>
      <c r="E2377" t="s">
        <v>15</v>
      </c>
    </row>
    <row r="2378" spans="1:5" x14ac:dyDescent="0.25">
      <c r="A2378" t="str">
        <f>HYPERLINK("https://www.773grp.com/globalSearch/OPA656N-250/page-1", "OPA656N-250")</f>
        <v>OPA656N-250</v>
      </c>
      <c r="B2378" s="3" t="str">
        <f>HYPERLINK("https://www.773grp.com/manufacturer/texas-instruments?pageNo=773", "Texas Instruments")</f>
        <v>Texas Instruments</v>
      </c>
      <c r="C2378" s="5">
        <v>5500</v>
      </c>
      <c r="D2378" s="6">
        <v>13.55</v>
      </c>
      <c r="E2378" t="s">
        <v>15</v>
      </c>
    </row>
    <row r="2379" spans="1:5" x14ac:dyDescent="0.25">
      <c r="A2379" t="str">
        <f>HYPERLINK("https://www.773grp.com/globalSearch/OPA656NB-250/page-1", "OPA656NB-250")</f>
        <v>OPA656NB-250</v>
      </c>
      <c r="B2379" s="3" t="str">
        <f>HYPERLINK("https://www.773grp.com/manufacturer/texas-instruments?pageNo=774", "Texas Instruments")</f>
        <v>Texas Instruments</v>
      </c>
      <c r="C2379" s="5">
        <v>8750</v>
      </c>
      <c r="D2379" s="6">
        <v>13.55</v>
      </c>
      <c r="E2379" t="s">
        <v>15</v>
      </c>
    </row>
    <row r="2380" spans="1:5" x14ac:dyDescent="0.25">
      <c r="A2380" t="str">
        <f>HYPERLINK("https://www.773grp.com/globalSearch/THS3122CD/page-1", "THS3122CD")</f>
        <v>THS3122CD</v>
      </c>
      <c r="B2380" s="3" t="str">
        <f>HYPERLINK("https://www.773grp.com/manufacturer/texas-instruments?pageNo=842", "Texas Instruments")</f>
        <v>Texas Instruments</v>
      </c>
      <c r="C2380" s="5">
        <v>13069</v>
      </c>
      <c r="D2380" s="6">
        <v>13.7</v>
      </c>
      <c r="E2380" t="s">
        <v>15</v>
      </c>
    </row>
    <row r="2381" spans="1:5" x14ac:dyDescent="0.25">
      <c r="A2381" t="str">
        <f>HYPERLINK("https://www.773grp.com/globalSearch/THS3125CPWP/page-1", "THS3125CPWP")</f>
        <v>THS3125CPWP</v>
      </c>
      <c r="B2381" s="3" t="str">
        <f>HYPERLINK("https://www.773grp.com/manufacturer/texas-instruments?pageNo=916", "Texas Instruments")</f>
        <v>Texas Instruments</v>
      </c>
      <c r="C2381" s="5">
        <v>7920</v>
      </c>
      <c r="D2381" s="6">
        <v>13.84</v>
      </c>
      <c r="E2381" t="s">
        <v>15</v>
      </c>
    </row>
    <row r="2382" spans="1:5" x14ac:dyDescent="0.25">
      <c r="A2382" t="str">
        <f>HYPERLINK("https://www.773grp.com/globalSearch/TAS5142DKD/page-1", "TAS5142DKD")</f>
        <v>TAS5142DKD</v>
      </c>
      <c r="B2382" s="3" t="str">
        <f>HYPERLINK("https://www.773grp.com/manufacturer/texas-instruments?pageNo=966", "Texas Instruments")</f>
        <v>Texas Instruments</v>
      </c>
      <c r="C2382" s="5">
        <v>14946</v>
      </c>
      <c r="D2382" s="6">
        <v>13.93</v>
      </c>
      <c r="E2382" t="s">
        <v>15</v>
      </c>
    </row>
    <row r="2383" spans="1:5" x14ac:dyDescent="0.25">
      <c r="A2383" t="str">
        <f>HYPERLINK("https://www.773grp.com/globalSearch/THS4022CDGNR/page-1", "THS4022CDGNR")</f>
        <v>THS4022CDGNR</v>
      </c>
      <c r="B2383" s="3" t="s">
        <v>90</v>
      </c>
      <c r="C2383" s="5">
        <v>15000</v>
      </c>
      <c r="D2383" s="6">
        <v>13.95</v>
      </c>
      <c r="E2383" t="s">
        <v>15</v>
      </c>
    </row>
    <row r="2384" spans="1:5" x14ac:dyDescent="0.25">
      <c r="A2384" t="str">
        <f>HYPERLINK("https://www.773grp.com/globalSearch/THS3122ID/page-1", "THS3122ID")</f>
        <v>THS3122ID</v>
      </c>
      <c r="B2384" s="3" t="s">
        <v>90</v>
      </c>
      <c r="C2384" s="5">
        <v>6240</v>
      </c>
      <c r="D2384" s="6">
        <v>13.98</v>
      </c>
      <c r="E2384" t="s">
        <v>15</v>
      </c>
    </row>
    <row r="2385" spans="1:5" x14ac:dyDescent="0.25">
      <c r="A2385" t="str">
        <f>HYPERLINK("https://www.773grp.com/globalSearch/THS3125ID/page-1", "THS3125ID")</f>
        <v>THS3125ID</v>
      </c>
      <c r="B2385" s="3" t="s">
        <v>90</v>
      </c>
      <c r="C2385" s="5">
        <v>13357</v>
      </c>
      <c r="D2385" s="6">
        <v>14.13</v>
      </c>
      <c r="E2385" t="s">
        <v>15</v>
      </c>
    </row>
    <row r="2386" spans="1:5" x14ac:dyDescent="0.25">
      <c r="A2386" t="str">
        <f>HYPERLINK("https://www.773grp.com/globalSearch/OPA656U/page-1", "OPA656U")</f>
        <v>OPA656U</v>
      </c>
      <c r="B2386" s="3" t="s">
        <v>90</v>
      </c>
      <c r="C2386" s="5">
        <v>5991</v>
      </c>
      <c r="D2386" s="6">
        <v>14.14</v>
      </c>
      <c r="E2386" t="s">
        <v>15</v>
      </c>
    </row>
    <row r="2387" spans="1:5" x14ac:dyDescent="0.25">
      <c r="A2387" t="str">
        <f>HYPERLINK("https://www.773grp.com/globalSearch/OPA656UB/page-1", "OPA656UB")</f>
        <v>OPA656UB</v>
      </c>
      <c r="B2387" s="3" t="s">
        <v>90</v>
      </c>
      <c r="C2387" s="5">
        <v>35</v>
      </c>
      <c r="D2387" s="6">
        <v>14.14</v>
      </c>
      <c r="E2387" t="s">
        <v>15</v>
      </c>
    </row>
    <row r="2388" spans="1:5" x14ac:dyDescent="0.25">
      <c r="A2388" t="str">
        <f>HYPERLINK("https://www.773grp.com/globalSearch/TAS5112ADCA/page-1", "TAS5112ADCA")</f>
        <v>TAS5112ADCA</v>
      </c>
      <c r="B2388" s="3" t="s">
        <v>90</v>
      </c>
      <c r="C2388" s="5">
        <v>946</v>
      </c>
      <c r="D2388" s="6">
        <v>14.23</v>
      </c>
      <c r="E2388" t="s">
        <v>15</v>
      </c>
    </row>
    <row r="2389" spans="1:5" x14ac:dyDescent="0.25">
      <c r="A2389" t="str">
        <f>HYPERLINK("https://www.773grp.com/globalSearch/TAS5112ADFD/page-1", "TAS5112ADFD")</f>
        <v>TAS5112ADFD</v>
      </c>
      <c r="B2389" s="3" t="s">
        <v>90</v>
      </c>
      <c r="C2389" s="5">
        <v>200</v>
      </c>
      <c r="D2389" s="6">
        <v>14.23</v>
      </c>
      <c r="E2389" t="s">
        <v>15</v>
      </c>
    </row>
    <row r="2390" spans="1:5" x14ac:dyDescent="0.25">
      <c r="A2390" t="str">
        <f>HYPERLINK("https://www.773grp.com/globalSearch/THS4022IDGNR/page-1", "THS4022IDGNR")</f>
        <v>THS4022IDGNR</v>
      </c>
      <c r="B2390" s="3" t="s">
        <v>90</v>
      </c>
      <c r="C2390" s="5">
        <v>14954</v>
      </c>
      <c r="D2390" s="6">
        <v>14.23</v>
      </c>
      <c r="E2390" t="s">
        <v>15</v>
      </c>
    </row>
    <row r="2391" spans="1:5" x14ac:dyDescent="0.25">
      <c r="A2391" t="str">
        <f>HYPERLINK("https://www.773grp.com/globalSearch/THS3122CDDA/page-1", "THS3122CDDA")</f>
        <v>THS3122CDDA</v>
      </c>
      <c r="B2391" s="3" t="s">
        <v>90</v>
      </c>
      <c r="C2391" s="5">
        <v>12250</v>
      </c>
      <c r="D2391" s="6">
        <v>14.26</v>
      </c>
      <c r="E2391" t="s">
        <v>15</v>
      </c>
    </row>
    <row r="2392" spans="1:5" x14ac:dyDescent="0.25">
      <c r="A2392" t="str">
        <f>HYPERLINK("https://www.773grp.com/globalSearch/TAS5176DDW/page-1", "TAS5176DDW")</f>
        <v>TAS5176DDW</v>
      </c>
      <c r="B2392" s="3" t="s">
        <v>90</v>
      </c>
      <c r="C2392" s="5">
        <v>4782</v>
      </c>
      <c r="D2392" s="6">
        <v>14.48</v>
      </c>
      <c r="E2392" t="s">
        <v>15</v>
      </c>
    </row>
    <row r="2393" spans="1:5" x14ac:dyDescent="0.25">
      <c r="A2393" t="str">
        <f>HYPERLINK("https://www.773grp.com/globalSearch/THS3122IDDA/page-1", "THS3122IDDA")</f>
        <v>THS3122IDDA</v>
      </c>
      <c r="B2393" s="3" t="s">
        <v>90</v>
      </c>
      <c r="C2393" s="5">
        <v>8024</v>
      </c>
      <c r="D2393" s="6">
        <v>14.55</v>
      </c>
      <c r="E2393" t="s">
        <v>15</v>
      </c>
    </row>
    <row r="2394" spans="1:5" x14ac:dyDescent="0.25">
      <c r="A2394" t="str">
        <f>HYPERLINK("https://www.773grp.com/globalSearch/THS3096PWPR/page-1", "THS3096PWPR")</f>
        <v>THS3096PWPR</v>
      </c>
      <c r="B2394" s="3" t="s">
        <v>90</v>
      </c>
      <c r="C2394" s="5">
        <v>8000</v>
      </c>
      <c r="D2394" s="6">
        <v>14.63</v>
      </c>
      <c r="E2394" t="s">
        <v>15</v>
      </c>
    </row>
    <row r="2395" spans="1:5" x14ac:dyDescent="0.25">
      <c r="A2395" t="str">
        <f>HYPERLINK("https://www.773grp.com/globalSearch/THS3125IPWP/page-1", "THS3125IPWP")</f>
        <v>THS3125IPWP</v>
      </c>
      <c r="B2395" s="3" t="s">
        <v>90</v>
      </c>
      <c r="C2395" s="5">
        <v>3130</v>
      </c>
      <c r="D2395" s="6">
        <v>14.69</v>
      </c>
      <c r="E2395" t="s">
        <v>15</v>
      </c>
    </row>
    <row r="2396" spans="1:5" x14ac:dyDescent="0.25">
      <c r="A2396" t="str">
        <f>HYPERLINK("https://www.773grp.com/globalSearch/TAS5111DADR/page-1", "TAS5111DADR")</f>
        <v>TAS5111DADR</v>
      </c>
      <c r="B2396" s="3" t="s">
        <v>90</v>
      </c>
      <c r="C2396" s="5">
        <v>4000</v>
      </c>
      <c r="D2396" s="6">
        <v>15.05</v>
      </c>
      <c r="E2396" t="s">
        <v>15</v>
      </c>
    </row>
    <row r="2397" spans="1:5" x14ac:dyDescent="0.25">
      <c r="A2397" t="str">
        <f>HYPERLINK("https://www.773grp.com/globalSearch/TAS5615PHD/page-1", "TAS5615PHD")</f>
        <v>TAS5615PHD</v>
      </c>
      <c r="B2397" s="3" t="s">
        <v>90</v>
      </c>
      <c r="C2397" s="5">
        <v>2518</v>
      </c>
      <c r="D2397" s="6">
        <v>15.05</v>
      </c>
      <c r="E2397" t="s">
        <v>15</v>
      </c>
    </row>
    <row r="2398" spans="1:5" x14ac:dyDescent="0.25">
      <c r="A2398" t="str">
        <f>HYPERLINK("https://www.773grp.com/globalSearch/TAS5616DKDR/page-1", "TAS5616DKDR")</f>
        <v>TAS5616DKDR</v>
      </c>
      <c r="B2398" s="3" t="s">
        <v>90</v>
      </c>
      <c r="C2398" s="5">
        <v>26130</v>
      </c>
      <c r="D2398" s="6">
        <v>15.05</v>
      </c>
      <c r="E2398" t="s">
        <v>15</v>
      </c>
    </row>
    <row r="2399" spans="1:5" x14ac:dyDescent="0.25">
      <c r="A2399" t="str">
        <f>HYPERLINK("https://www.773grp.com/globalSearch/TAS5186ADDVR/page-1", "TAS5186ADDVR")</f>
        <v>TAS5186ADDVR</v>
      </c>
      <c r="B2399" s="3" t="s">
        <v>90</v>
      </c>
      <c r="C2399" s="5">
        <v>442</v>
      </c>
      <c r="D2399" s="6">
        <v>15.36</v>
      </c>
      <c r="E2399" t="s">
        <v>15</v>
      </c>
    </row>
    <row r="2400" spans="1:5" x14ac:dyDescent="0.25">
      <c r="A2400" t="str">
        <f>HYPERLINK("https://www.773grp.com/globalSearch/THS3001HVIDGNR/page-1", "THS3001HVIDGNR")</f>
        <v>THS3001HVIDGNR</v>
      </c>
      <c r="B2400" s="3" t="s">
        <v>90</v>
      </c>
      <c r="C2400" s="5">
        <v>12460</v>
      </c>
      <c r="D2400" s="6">
        <v>15.61</v>
      </c>
      <c r="E2400" t="s">
        <v>15</v>
      </c>
    </row>
    <row r="2401" spans="1:5" x14ac:dyDescent="0.25">
      <c r="A2401" t="str">
        <f>HYPERLINK("https://www.773grp.com/globalSearch/OPA4350UA/page-1", "OPA4350UA")</f>
        <v>OPA4350UA</v>
      </c>
      <c r="B2401" s="3" t="s">
        <v>90</v>
      </c>
      <c r="C2401" s="5">
        <v>901</v>
      </c>
      <c r="D2401" s="6">
        <v>15.75</v>
      </c>
      <c r="E2401" t="s">
        <v>15</v>
      </c>
    </row>
    <row r="2402" spans="1:5" x14ac:dyDescent="0.25">
      <c r="A2402" t="str">
        <f>HYPERLINK("https://www.773grp.com/globalSearch/TAS5152DKD/page-1", "TAS5152DKD")</f>
        <v>TAS5152DKD</v>
      </c>
      <c r="B2402" s="3" t="s">
        <v>90</v>
      </c>
      <c r="C2402" s="5">
        <v>2047</v>
      </c>
      <c r="D2402" s="6">
        <v>15.75</v>
      </c>
      <c r="E2402" t="s">
        <v>15</v>
      </c>
    </row>
    <row r="2403" spans="1:5" x14ac:dyDescent="0.25">
      <c r="A2403" t="str">
        <f>HYPERLINK("https://www.773grp.com/globalSearch/TAS5615DKDR/page-1", "TAS5615DKDR")</f>
        <v>TAS5615DKDR</v>
      </c>
      <c r="B2403" s="3" t="s">
        <v>90</v>
      </c>
      <c r="C2403" s="5">
        <v>500</v>
      </c>
      <c r="D2403" s="6">
        <v>16.04</v>
      </c>
      <c r="E2403" t="s">
        <v>15</v>
      </c>
    </row>
    <row r="2404" spans="1:5" x14ac:dyDescent="0.25">
      <c r="A2404" t="str">
        <f>HYPERLINK("https://www.773grp.com/globalSearch/THS3062D/page-1", "THS3062D")</f>
        <v>THS3062D</v>
      </c>
      <c r="B2404" s="3" t="s">
        <v>90</v>
      </c>
      <c r="C2404" s="5">
        <v>4426</v>
      </c>
      <c r="D2404" s="6">
        <v>16.5</v>
      </c>
      <c r="E2404" t="s">
        <v>15</v>
      </c>
    </row>
    <row r="2405" spans="1:5" x14ac:dyDescent="0.25">
      <c r="A2405" t="str">
        <f>HYPERLINK("https://www.773grp.com/globalSearch/THS3062DDA/page-1", "THS3062DDA")</f>
        <v>THS3062DDA</v>
      </c>
      <c r="B2405" s="3" t="s">
        <v>90</v>
      </c>
      <c r="C2405" s="5">
        <v>52725</v>
      </c>
      <c r="D2405" s="6">
        <v>16.5</v>
      </c>
      <c r="E2405" t="s">
        <v>15</v>
      </c>
    </row>
    <row r="2406" spans="1:5" x14ac:dyDescent="0.25">
      <c r="A2406" t="str">
        <f>HYPERLINK("https://www.773grp.com/globalSearch/THS3062DGN/page-1", "THS3062DGN")</f>
        <v>THS3062DGN</v>
      </c>
      <c r="B2406" s="3" t="s">
        <v>90</v>
      </c>
      <c r="C2406" s="5">
        <v>12286</v>
      </c>
      <c r="D2406" s="6">
        <v>16.5</v>
      </c>
      <c r="E2406" t="s">
        <v>15</v>
      </c>
    </row>
    <row r="2407" spans="1:5" x14ac:dyDescent="0.25">
      <c r="A2407" t="str">
        <f>HYPERLINK("https://www.773grp.com/globalSearch/PGA2505IDB/page-1", "PGA2505IDB")</f>
        <v>PGA2505IDB</v>
      </c>
      <c r="B2407" s="3" t="s">
        <v>90</v>
      </c>
      <c r="C2407" s="5">
        <v>6490</v>
      </c>
      <c r="D2407" s="6">
        <v>16.739999999999998</v>
      </c>
      <c r="E2407" t="s">
        <v>15</v>
      </c>
    </row>
    <row r="2408" spans="1:5" x14ac:dyDescent="0.25">
      <c r="A2408" t="str">
        <f>HYPERLINK("https://www.773grp.com/globalSearch/TAS5162DDV/page-1", "TAS5162DDV")</f>
        <v>TAS5162DDV</v>
      </c>
      <c r="B2408" s="3" t="s">
        <v>90</v>
      </c>
      <c r="C2408" s="5">
        <v>175</v>
      </c>
      <c r="D2408" s="6">
        <v>16.739999999999998</v>
      </c>
      <c r="E2408" t="s">
        <v>15</v>
      </c>
    </row>
    <row r="2409" spans="1:5" x14ac:dyDescent="0.25">
      <c r="A2409" t="str">
        <f>HYPERLINK("https://www.773grp.com/globalSearch/THS4022CD/page-1", "THS4022CD")</f>
        <v>THS4022CD</v>
      </c>
      <c r="B2409" s="3" t="s">
        <v>90</v>
      </c>
      <c r="C2409" s="5">
        <v>34120</v>
      </c>
      <c r="D2409" s="6">
        <v>16.739999999999998</v>
      </c>
      <c r="E2409" t="s">
        <v>15</v>
      </c>
    </row>
    <row r="2410" spans="1:5" x14ac:dyDescent="0.25">
      <c r="A2410" t="str">
        <f>HYPERLINK("https://www.773grp.com/globalSearch/THS4022CDGN/page-1", "THS4022CDGN")</f>
        <v>THS4022CDGN</v>
      </c>
      <c r="B2410" s="3" t="s">
        <v>90</v>
      </c>
      <c r="C2410" s="5">
        <v>13364</v>
      </c>
      <c r="D2410" s="6">
        <v>16.739999999999998</v>
      </c>
      <c r="E2410" t="s">
        <v>15</v>
      </c>
    </row>
    <row r="2411" spans="1:5" x14ac:dyDescent="0.25">
      <c r="A2411" t="str">
        <f>HYPERLINK("https://www.773grp.com/globalSearch/TPA005D12DCA/page-1", "TPA005D12DCA")</f>
        <v>TPA005D12DCA</v>
      </c>
      <c r="B2411" s="3" t="s">
        <v>90</v>
      </c>
      <c r="C2411" s="5">
        <v>11651</v>
      </c>
      <c r="D2411" s="6">
        <v>16.88</v>
      </c>
      <c r="E2411" t="s">
        <v>15</v>
      </c>
    </row>
    <row r="2412" spans="1:5" x14ac:dyDescent="0.25">
      <c r="A2412" t="str">
        <f>HYPERLINK("https://www.773grp.com/globalSearch/THS4022ID/page-1", "THS4022ID")</f>
        <v>THS4022ID</v>
      </c>
      <c r="B2412" s="3" t="s">
        <v>90</v>
      </c>
      <c r="C2412" s="5">
        <v>23006</v>
      </c>
      <c r="D2412" s="6">
        <v>17.010000000000002</v>
      </c>
      <c r="E2412" t="s">
        <v>15</v>
      </c>
    </row>
    <row r="2413" spans="1:5" x14ac:dyDescent="0.25">
      <c r="A2413" t="str">
        <f>HYPERLINK("https://www.773grp.com/globalSearch/THS4022IDGN/page-1", "THS4022IDGN")</f>
        <v>THS4022IDGN</v>
      </c>
      <c r="B2413" s="3" t="s">
        <v>90</v>
      </c>
      <c r="C2413" s="5">
        <v>10885</v>
      </c>
      <c r="D2413" s="6">
        <v>17.010000000000002</v>
      </c>
      <c r="E2413" t="s">
        <v>15</v>
      </c>
    </row>
    <row r="2414" spans="1:5" x14ac:dyDescent="0.25">
      <c r="A2414" t="str">
        <f>HYPERLINK("https://www.773grp.com/globalSearch/TAS5112DFDR/page-1", "TAS5112DFDR")</f>
        <v>TAS5112DFDR</v>
      </c>
      <c r="B2414" s="3" t="s">
        <v>90</v>
      </c>
      <c r="C2414" s="5">
        <v>4000</v>
      </c>
      <c r="D2414" s="6">
        <v>17.16</v>
      </c>
      <c r="E2414" t="s">
        <v>15</v>
      </c>
    </row>
    <row r="2415" spans="1:5" x14ac:dyDescent="0.25">
      <c r="A2415" t="str">
        <f>HYPERLINK("https://www.773grp.com/globalSearch/TAS5182DCAR/page-1", "TAS5182DCAR")</f>
        <v>TAS5182DCAR</v>
      </c>
      <c r="B2415" s="3" t="s">
        <v>90</v>
      </c>
      <c r="C2415" s="5">
        <v>6000</v>
      </c>
      <c r="D2415" s="6">
        <v>17.73</v>
      </c>
      <c r="E2415" t="s">
        <v>15</v>
      </c>
    </row>
    <row r="2416" spans="1:5" x14ac:dyDescent="0.25">
      <c r="A2416" t="str">
        <f>HYPERLINK("https://www.773grp.com/globalSearch/TAS5261DKD/page-1", "TAS5261DKD")</f>
        <v>TAS5261DKD</v>
      </c>
      <c r="B2416" s="3" t="s">
        <v>90</v>
      </c>
      <c r="C2416" s="5">
        <v>1741</v>
      </c>
      <c r="D2416" s="6">
        <v>17.73</v>
      </c>
      <c r="E2416" t="s">
        <v>15</v>
      </c>
    </row>
    <row r="2417" spans="1:5" x14ac:dyDescent="0.25">
      <c r="A2417" t="str">
        <f>HYPERLINK("https://www.773grp.com/globalSearch/TAS5631PHDR/page-1", "TAS5631PHDR")</f>
        <v>TAS5631PHDR</v>
      </c>
      <c r="B2417" s="3" t="s">
        <v>90</v>
      </c>
      <c r="C2417" s="5">
        <v>1000</v>
      </c>
      <c r="D2417" s="6">
        <v>17.73</v>
      </c>
      <c r="E2417" t="s">
        <v>15</v>
      </c>
    </row>
    <row r="2418" spans="1:5" x14ac:dyDescent="0.25">
      <c r="A2418" t="str">
        <f>HYPERLINK("https://www.773grp.com/globalSearch/TAS5162DKDR/page-1", "TAS5162DKDR")</f>
        <v>TAS5162DKDR</v>
      </c>
      <c r="B2418" s="3" t="s">
        <v>90</v>
      </c>
      <c r="C2418" s="5">
        <v>2547</v>
      </c>
      <c r="D2418" s="6">
        <v>17.850000000000001</v>
      </c>
      <c r="E2418" t="s">
        <v>15</v>
      </c>
    </row>
    <row r="2419" spans="1:5" x14ac:dyDescent="0.25">
      <c r="A2419" t="str">
        <f>HYPERLINK("https://www.773grp.com/globalSearch/TAS5111DAD/page-1", "TAS5111DAD")</f>
        <v>TAS5111DAD</v>
      </c>
      <c r="B2419" s="3" t="s">
        <v>90</v>
      </c>
      <c r="C2419" s="5">
        <v>7685</v>
      </c>
      <c r="D2419" s="6">
        <v>18</v>
      </c>
      <c r="E2419" t="s">
        <v>15</v>
      </c>
    </row>
    <row r="2420" spans="1:5" x14ac:dyDescent="0.25">
      <c r="A2420" t="str">
        <f>HYPERLINK("https://www.773grp.com/globalSearch/TAS5186ADDV/page-1", "TAS5186ADDV")</f>
        <v>TAS5186ADDV</v>
      </c>
      <c r="B2420" s="3" t="s">
        <v>90</v>
      </c>
      <c r="C2420" s="5">
        <v>130</v>
      </c>
      <c r="D2420" s="6">
        <v>18.43</v>
      </c>
      <c r="E2420" t="s">
        <v>15</v>
      </c>
    </row>
    <row r="2421" spans="1:5" x14ac:dyDescent="0.25">
      <c r="A2421" t="str">
        <f>HYPERLINK("https://www.773grp.com/globalSearch/TAS5615DKD/page-1", "TAS5615DKD")</f>
        <v>TAS5615DKD</v>
      </c>
      <c r="B2421" s="3" t="s">
        <v>90</v>
      </c>
      <c r="C2421" s="5">
        <v>1190</v>
      </c>
      <c r="D2421" s="6">
        <v>18.43</v>
      </c>
      <c r="E2421" t="s">
        <v>15</v>
      </c>
    </row>
    <row r="2422" spans="1:5" x14ac:dyDescent="0.25">
      <c r="A2422" t="str">
        <f>HYPERLINK("https://www.773grp.com/globalSearch/TAS5616DKD/page-1", "TAS5616DKD")</f>
        <v>TAS5616DKD</v>
      </c>
      <c r="B2422" s="3" t="s">
        <v>90</v>
      </c>
      <c r="C2422" s="5">
        <v>551</v>
      </c>
      <c r="D2422" s="6">
        <v>18.43</v>
      </c>
      <c r="E2422" t="s">
        <v>15</v>
      </c>
    </row>
    <row r="2423" spans="1:5" x14ac:dyDescent="0.25">
      <c r="A2423" t="str">
        <f>HYPERLINK("https://www.773grp.com/globalSearch/TAS5630PHD/page-1", "TAS5630PHD")</f>
        <v>TAS5630PHD</v>
      </c>
      <c r="B2423" s="3" t="s">
        <v>90</v>
      </c>
      <c r="C2423" s="5">
        <v>66</v>
      </c>
      <c r="D2423" s="6">
        <v>18.43</v>
      </c>
      <c r="E2423" t="s">
        <v>15</v>
      </c>
    </row>
    <row r="2424" spans="1:5" x14ac:dyDescent="0.25">
      <c r="A2424" t="str">
        <f>HYPERLINK("https://www.773grp.com/globalSearch/TPA005D14DCA/page-1", "TPA005D14DCA")</f>
        <v>TPA005D14DCA</v>
      </c>
      <c r="B2424" s="3" t="s">
        <v>90</v>
      </c>
      <c r="C2424" s="5">
        <v>15135</v>
      </c>
      <c r="D2424" s="6">
        <v>18.7</v>
      </c>
      <c r="E2424" t="s">
        <v>15</v>
      </c>
    </row>
    <row r="2425" spans="1:5" x14ac:dyDescent="0.25">
      <c r="A2425" t="str">
        <f>HYPERLINK("https://www.773grp.com/globalSearch/TAS5612PHD/page-1", "TAS5612PHD")</f>
        <v>TAS5612PHD</v>
      </c>
      <c r="B2425" s="3" t="s">
        <v>90</v>
      </c>
      <c r="C2425" s="5">
        <v>90</v>
      </c>
      <c r="D2425" s="6">
        <v>18.850000000000001</v>
      </c>
      <c r="E2425" t="s">
        <v>15</v>
      </c>
    </row>
    <row r="2426" spans="1:5" x14ac:dyDescent="0.25">
      <c r="A2426" t="str">
        <f>HYPERLINK("https://www.773grp.com/globalSearch/TAS5162DKD/page-1", "TAS5162DKD")</f>
        <v>TAS5162DKD</v>
      </c>
      <c r="B2426" s="3" t="s">
        <v>90</v>
      </c>
      <c r="C2426" s="5">
        <v>57856</v>
      </c>
      <c r="D2426" s="6">
        <v>20.25</v>
      </c>
      <c r="E2426" t="s">
        <v>15</v>
      </c>
    </row>
    <row r="2427" spans="1:5" x14ac:dyDescent="0.25">
      <c r="A2427" t="str">
        <f>HYPERLINK("https://www.773grp.com/globalSearch/TAS5630DKDR/page-1", "TAS5630DKDR")</f>
        <v>TAS5630DKDR</v>
      </c>
      <c r="B2427" s="3" t="s">
        <v>90</v>
      </c>
      <c r="C2427" s="5">
        <v>2000</v>
      </c>
      <c r="D2427" s="6">
        <v>20.25</v>
      </c>
      <c r="E2427" t="s">
        <v>15</v>
      </c>
    </row>
    <row r="2428" spans="1:5" x14ac:dyDescent="0.25">
      <c r="A2428" t="str">
        <f>HYPERLINK("https://www.773grp.com/globalSearch/TAS5631DKDR/page-1", "TAS5631DKDR")</f>
        <v>TAS5631DKDR</v>
      </c>
      <c r="B2428" s="3" t="s">
        <v>90</v>
      </c>
      <c r="C2428" s="5">
        <v>500</v>
      </c>
      <c r="D2428" s="6">
        <v>20.68</v>
      </c>
      <c r="E2428" t="s">
        <v>15</v>
      </c>
    </row>
    <row r="2429" spans="1:5" x14ac:dyDescent="0.25">
      <c r="A2429" t="str">
        <f>HYPERLINK("https://www.773grp.com/globalSearch/TAS5186DDVR/page-1", "TAS5186DDVR")</f>
        <v>TAS5186DDVR</v>
      </c>
      <c r="B2429" s="3" t="s">
        <v>90</v>
      </c>
      <c r="C2429" s="5">
        <v>2000</v>
      </c>
      <c r="D2429" s="6">
        <v>21.1</v>
      </c>
      <c r="E2429" t="s">
        <v>15</v>
      </c>
    </row>
    <row r="2430" spans="1:5" x14ac:dyDescent="0.25">
      <c r="A2430" t="str">
        <f>HYPERLINK("https://www.773grp.com/globalSearch/SE592J/page-1", "SE592J")</f>
        <v>SE592J</v>
      </c>
      <c r="B2430" s="3" t="s">
        <v>90</v>
      </c>
      <c r="C2430" s="5">
        <v>24</v>
      </c>
      <c r="D2430" s="6">
        <v>21.38</v>
      </c>
      <c r="E2430" t="s">
        <v>15</v>
      </c>
    </row>
    <row r="2431" spans="1:5" x14ac:dyDescent="0.25">
      <c r="A2431" t="str">
        <f>HYPERLINK("https://www.773grp.com/globalSearch/TPA032D04DCAR/page-1", "TPA032D04DCAR")</f>
        <v>TPA032D04DCAR</v>
      </c>
      <c r="B2431" s="3" t="s">
        <v>90</v>
      </c>
      <c r="C2431" s="5">
        <v>2000</v>
      </c>
      <c r="D2431" s="6">
        <v>21.38</v>
      </c>
      <c r="E2431" t="s">
        <v>15</v>
      </c>
    </row>
    <row r="2432" spans="1:5" x14ac:dyDescent="0.25">
      <c r="A2432" t="str">
        <f>HYPERLINK("https://www.773grp.com/globalSearch/TAS5182DCA/page-1", "TAS5182DCA")</f>
        <v>TAS5182DCA</v>
      </c>
      <c r="B2432" s="3" t="s">
        <v>90</v>
      </c>
      <c r="C2432" s="5">
        <v>3480</v>
      </c>
      <c r="D2432" s="6">
        <v>22.16</v>
      </c>
      <c r="E2432" t="s">
        <v>15</v>
      </c>
    </row>
    <row r="2433" spans="1:5" x14ac:dyDescent="0.25">
      <c r="A2433" t="str">
        <f>HYPERLINK("https://www.773grp.com/globalSearch/TAS5112DFD/page-1", "TAS5112DFD")</f>
        <v>TAS5112DFD</v>
      </c>
      <c r="B2433" s="3" t="s">
        <v>90</v>
      </c>
      <c r="C2433" s="5">
        <v>27962</v>
      </c>
      <c r="D2433" s="6">
        <v>22.5</v>
      </c>
      <c r="E2433" t="s">
        <v>15</v>
      </c>
    </row>
    <row r="2434" spans="1:5" x14ac:dyDescent="0.25">
      <c r="A2434" t="str">
        <f>HYPERLINK("https://www.773grp.com/globalSearch/TAS5630DKD/page-1", "TAS5630DKD")</f>
        <v>TAS5630DKD</v>
      </c>
      <c r="B2434" s="3" t="s">
        <v>90</v>
      </c>
      <c r="C2434" s="5">
        <v>107</v>
      </c>
      <c r="D2434" s="6">
        <v>23.91</v>
      </c>
      <c r="E2434" t="s">
        <v>15</v>
      </c>
    </row>
    <row r="2435" spans="1:5" x14ac:dyDescent="0.25">
      <c r="A2435" t="str">
        <f>HYPERLINK("https://www.773grp.com/globalSearch/TPA032D03DCA/page-1", "TPA032D03DCA")</f>
        <v>TPA032D03DCA</v>
      </c>
      <c r="B2435" s="3" t="s">
        <v>90</v>
      </c>
      <c r="C2435" s="5">
        <v>6371</v>
      </c>
      <c r="D2435" s="6">
        <v>24.19</v>
      </c>
      <c r="E2435" t="s">
        <v>15</v>
      </c>
    </row>
    <row r="2436" spans="1:5" x14ac:dyDescent="0.25">
      <c r="A2436" t="str">
        <f>HYPERLINK("https://www.773grp.com/globalSearch/TAS5631DKD/page-1", "TAS5631DKD")</f>
        <v>TAS5631DKD</v>
      </c>
      <c r="B2436" s="3" t="s">
        <v>90</v>
      </c>
      <c r="C2436" s="5">
        <v>930</v>
      </c>
      <c r="D2436" s="6">
        <v>24.34</v>
      </c>
      <c r="E2436" t="s">
        <v>15</v>
      </c>
    </row>
    <row r="2437" spans="1:5" x14ac:dyDescent="0.25">
      <c r="A2437" t="str">
        <f>HYPERLINK("https://www.773grp.com/globalSearch/TAS5182IDCA/page-1", "TAS5182IDCA")</f>
        <v>TAS5182IDCA</v>
      </c>
      <c r="B2437" s="3" t="s">
        <v>90</v>
      </c>
      <c r="C2437" s="5">
        <v>4934</v>
      </c>
      <c r="D2437" s="6">
        <v>24.39</v>
      </c>
      <c r="E2437" t="s">
        <v>15</v>
      </c>
    </row>
    <row r="2438" spans="1:5" x14ac:dyDescent="0.25">
      <c r="A2438" t="str">
        <f>HYPERLINK("https://www.773grp.com/globalSearch/TPA032D02DCAR/page-1", "TPA032D02DCAR")</f>
        <v>TPA032D02DCAR</v>
      </c>
      <c r="B2438" s="3" t="s">
        <v>90</v>
      </c>
      <c r="C2438" s="5">
        <v>1000</v>
      </c>
      <c r="D2438" s="6">
        <v>25.45</v>
      </c>
      <c r="E2438" t="s">
        <v>15</v>
      </c>
    </row>
    <row r="2439" spans="1:5" x14ac:dyDescent="0.25">
      <c r="A2439" t="str">
        <f>HYPERLINK("https://www.773grp.com/globalSearch/TPA032D04DCA/page-1", "TPA032D04DCA")</f>
        <v>TPA032D04DCA</v>
      </c>
      <c r="B2439" s="3" t="s">
        <v>90</v>
      </c>
      <c r="C2439" s="5">
        <v>4547</v>
      </c>
      <c r="D2439" s="6">
        <v>26.58</v>
      </c>
      <c r="E2439" t="s">
        <v>15</v>
      </c>
    </row>
    <row r="2440" spans="1:5" x14ac:dyDescent="0.25">
      <c r="A2440" t="str">
        <f>HYPERLINK("https://www.773grp.com/globalSearch/PGA2500IDB/page-1", "PGA2500IDB")</f>
        <v>PGA2500IDB</v>
      </c>
      <c r="B2440" s="3" t="s">
        <v>90</v>
      </c>
      <c r="C2440" s="5">
        <v>5440</v>
      </c>
      <c r="D2440" s="6">
        <v>26.86</v>
      </c>
      <c r="E2440" t="s">
        <v>15</v>
      </c>
    </row>
    <row r="2441" spans="1:5" x14ac:dyDescent="0.25">
      <c r="A2441" t="str">
        <f>HYPERLINK("https://www.773grp.com/globalSearch/TPA032D02DCA/page-1", "TPA032D02DCA")</f>
        <v>TPA032D02DCA</v>
      </c>
      <c r="B2441" s="3" t="str">
        <f>HYPERLINK("https://www.773grp.com/manufacturer/texas-instruments?pageNo=649", "Texas Instruments")</f>
        <v>Texas Instruments</v>
      </c>
      <c r="C2441" s="5">
        <v>2424</v>
      </c>
      <c r="D2441" s="6">
        <v>31.09</v>
      </c>
      <c r="E2441" t="s">
        <v>15</v>
      </c>
    </row>
    <row r="2442" spans="1:5" x14ac:dyDescent="0.25">
      <c r="A2442" t="str">
        <f>HYPERLINK("https://www.773grp.com/globalSearch/TPA032D01DCA/page-1", "TPA032D01DCA")</f>
        <v>TPA032D01DCA</v>
      </c>
      <c r="B2442" s="3" t="str">
        <f>HYPERLINK("https://www.773grp.com/manufacturer/texas-instruments?pageNo=928", "Texas Instruments")</f>
        <v>Texas Instruments</v>
      </c>
      <c r="C2442" s="5">
        <v>12390</v>
      </c>
      <c r="D2442" s="6">
        <v>33.19</v>
      </c>
      <c r="E2442" t="s">
        <v>15</v>
      </c>
    </row>
    <row r="2443" spans="1:5" x14ac:dyDescent="0.25">
      <c r="A2443" t="str">
        <f>HYPERLINK("https://www.773grp.com/globalSearch/TAS5414ATDKDRQ1/page-1", "TAS5414ATDKDRQ1")</f>
        <v>TAS5414ATDKDRQ1</v>
      </c>
      <c r="B2443" s="3" t="s">
        <v>90</v>
      </c>
      <c r="C2443" s="5">
        <v>12000</v>
      </c>
      <c r="D2443" s="6">
        <v>33.75</v>
      </c>
      <c r="E2443" t="s">
        <v>15</v>
      </c>
    </row>
    <row r="2444" spans="1:5" x14ac:dyDescent="0.25">
      <c r="A2444" t="str">
        <f>HYPERLINK("https://www.773grp.com/globalSearch/TAS5414ATPHDQ1/page-1", "TAS5414ATPHDQ1")</f>
        <v>TAS5414ATPHDQ1</v>
      </c>
      <c r="B2444" s="3" t="s">
        <v>90</v>
      </c>
      <c r="C2444" s="5">
        <v>1620</v>
      </c>
      <c r="D2444" s="6">
        <v>35.33</v>
      </c>
      <c r="E2444" t="s">
        <v>15</v>
      </c>
    </row>
    <row r="2445" spans="1:5" x14ac:dyDescent="0.25">
      <c r="A2445" t="str">
        <f>HYPERLINK("https://www.773grp.com/globalSearch/TAS5424TDKDRQ1/page-1", "TAS5424TDKDRQ1")</f>
        <v>TAS5424TDKDRQ1</v>
      </c>
      <c r="B2445" s="3" t="s">
        <v>90</v>
      </c>
      <c r="C2445" s="5">
        <v>500</v>
      </c>
      <c r="D2445" s="6">
        <v>35.58</v>
      </c>
      <c r="E2445" t="s">
        <v>15</v>
      </c>
    </row>
    <row r="2446" spans="1:5" x14ac:dyDescent="0.25">
      <c r="A2446" t="str">
        <f>HYPERLINK("https://www.773grp.com/globalSearch/TAS5414TDKDRMQ1/page-1", "TAS5414TDKDRMQ1")</f>
        <v>TAS5414TDKDRMQ1</v>
      </c>
      <c r="B2446" s="3" t="s">
        <v>90</v>
      </c>
      <c r="C2446" s="5">
        <v>1986</v>
      </c>
      <c r="D2446" s="6">
        <v>37.130000000000003</v>
      </c>
      <c r="E2446" t="s">
        <v>15</v>
      </c>
    </row>
    <row r="2447" spans="1:5" x14ac:dyDescent="0.25">
      <c r="A2447" t="str">
        <f>HYPERLINK("https://www.773grp.com/globalSearch/TAS5414TDKDQ1/page-1", "TAS5414TDKDQ1")</f>
        <v>TAS5414TDKDQ1</v>
      </c>
      <c r="B2447" s="3" t="s">
        <v>90</v>
      </c>
      <c r="C2447" s="5">
        <v>124</v>
      </c>
      <c r="D2447" s="6">
        <v>39.11</v>
      </c>
      <c r="E2447" t="s">
        <v>15</v>
      </c>
    </row>
    <row r="2448" spans="1:5" x14ac:dyDescent="0.25">
      <c r="A2448" t="str">
        <f>HYPERLINK("https://www.773grp.com/globalSearch/TAS5100ADAP/page-1", "TAS5100ADAP")</f>
        <v>TAS5100ADAP</v>
      </c>
      <c r="B2448" s="3" t="s">
        <v>90</v>
      </c>
      <c r="C2448" s="5">
        <v>7</v>
      </c>
      <c r="D2448" s="6">
        <v>39.380000000000003</v>
      </c>
      <c r="E2448" t="s">
        <v>15</v>
      </c>
    </row>
    <row r="2449" spans="1:5" x14ac:dyDescent="0.25">
      <c r="A2449" t="str">
        <f>HYPERLINK("https://www.773grp.com/globalSearch/TAS5110DAP/page-1", "TAS5110DAP")</f>
        <v>TAS5110DAP</v>
      </c>
      <c r="B2449" s="3" t="s">
        <v>90</v>
      </c>
      <c r="C2449" s="5">
        <v>706</v>
      </c>
      <c r="D2449" s="6">
        <v>39.380000000000003</v>
      </c>
      <c r="E2449" t="s">
        <v>15</v>
      </c>
    </row>
    <row r="2450" spans="1:5" x14ac:dyDescent="0.25">
      <c r="A2450" t="str">
        <f>HYPERLINK("https://www.773grp.com/globalSearch/THS4601CDDA/page-1", "THS4601CDDA")</f>
        <v>THS4601CDDA</v>
      </c>
      <c r="B2450" s="3" t="s">
        <v>90</v>
      </c>
      <c r="C2450" s="5">
        <v>4950</v>
      </c>
      <c r="D2450" s="6">
        <v>40.64</v>
      </c>
      <c r="E2450" t="s">
        <v>15</v>
      </c>
    </row>
    <row r="2451" spans="1:5" x14ac:dyDescent="0.25">
      <c r="A2451" t="str">
        <f>HYPERLINK("https://www.773grp.com/globalSearch/TAS5424TDKDQ1/page-1", "TAS5424TDKDQ1")</f>
        <v>TAS5424TDKDQ1</v>
      </c>
      <c r="B2451" s="3" t="s">
        <v>90</v>
      </c>
      <c r="C2451" s="5">
        <v>3254</v>
      </c>
      <c r="D2451" s="6">
        <v>41.63</v>
      </c>
      <c r="E2451" t="s">
        <v>15</v>
      </c>
    </row>
    <row r="2452" spans="1:5" x14ac:dyDescent="0.25">
      <c r="A2452" t="str">
        <f>HYPERLINK("https://www.773grp.com/globalSearch/TAS5414TDKDMQ1/page-1", "TAS5414TDKDMQ1")</f>
        <v>TAS5414TDKDMQ1</v>
      </c>
      <c r="B2452" s="3" t="s">
        <v>90</v>
      </c>
      <c r="C2452" s="5">
        <v>261</v>
      </c>
      <c r="D2452" s="6">
        <v>43.16</v>
      </c>
      <c r="E2452" t="s">
        <v>15</v>
      </c>
    </row>
    <row r="2453" spans="1:5" x14ac:dyDescent="0.25">
      <c r="A2453" t="str">
        <f>HYPERLINK("https://www.773grp.com/globalSearch/THS4601CD/page-1", "THS4601CD")</f>
        <v>THS4601CD</v>
      </c>
      <c r="B2453" s="3" t="s">
        <v>90</v>
      </c>
      <c r="C2453" s="5">
        <v>9771</v>
      </c>
      <c r="D2453" s="6">
        <v>44.1</v>
      </c>
      <c r="E2453" t="s">
        <v>15</v>
      </c>
    </row>
    <row r="2454" spans="1:5" x14ac:dyDescent="0.25">
      <c r="A2454" t="str">
        <f>HYPERLINK("https://www.773grp.com/globalSearch/TAS5100AIDAP/page-1", "TAS5100AIDAP")</f>
        <v>TAS5100AIDAP</v>
      </c>
      <c r="B2454" s="3" t="s">
        <v>90</v>
      </c>
      <c r="C2454" s="5">
        <v>942</v>
      </c>
      <c r="D2454" s="6">
        <v>44.16</v>
      </c>
      <c r="E2454" t="s">
        <v>15</v>
      </c>
    </row>
    <row r="2455" spans="1:5" x14ac:dyDescent="0.25">
      <c r="A2455" t="str">
        <f>HYPERLINK("https://www.773grp.com/globalSearch/THS4601ID/page-1", "THS4601ID")</f>
        <v>THS4601ID</v>
      </c>
      <c r="B2455" s="3" t="s">
        <v>90</v>
      </c>
      <c r="C2455" s="5">
        <v>36</v>
      </c>
      <c r="D2455" s="6">
        <v>44.39</v>
      </c>
      <c r="E2455" t="s">
        <v>15</v>
      </c>
    </row>
    <row r="2456" spans="1:5" x14ac:dyDescent="0.25">
      <c r="A2456" t="str">
        <f>HYPERLINK("https://www.773grp.com/globalSearch/THS4601IDDA/page-1", "THS4601IDDA")</f>
        <v>THS4601IDDA</v>
      </c>
      <c r="B2456" s="3" t="s">
        <v>90</v>
      </c>
      <c r="C2456" s="5">
        <v>9143</v>
      </c>
      <c r="D2456" s="6">
        <v>44.39</v>
      </c>
      <c r="E2456" t="s">
        <v>15</v>
      </c>
    </row>
    <row r="2457" spans="1:5" x14ac:dyDescent="0.25">
      <c r="A2457" t="str">
        <f>HYPERLINK("https://www.773grp.com/globalSearch/TAS5110ADADR/page-1", "TAS5110ADADR")</f>
        <v>TAS5110ADADR</v>
      </c>
      <c r="B2457" s="3" t="s">
        <v>90</v>
      </c>
      <c r="C2457" s="5">
        <v>160000</v>
      </c>
      <c r="D2457" s="6">
        <v>49.23</v>
      </c>
      <c r="E2457" t="s">
        <v>15</v>
      </c>
    </row>
    <row r="2458" spans="1:5" x14ac:dyDescent="0.25">
      <c r="A2458" t="str">
        <f>HYPERLINK("https://www.773grp.com/globalSearch/TAS5110DADR/page-1", "TAS5110DADR")</f>
        <v>TAS5110DADR</v>
      </c>
      <c r="B2458" s="3" t="s">
        <v>90</v>
      </c>
      <c r="C2458" s="5">
        <v>42000</v>
      </c>
      <c r="D2458" s="6">
        <v>49.23</v>
      </c>
      <c r="E2458" t="s">
        <v>15</v>
      </c>
    </row>
    <row r="2459" spans="1:5" x14ac:dyDescent="0.25">
      <c r="A2459" t="str">
        <f>HYPERLINK("https://www.773grp.com/globalSearch/TAS5110DAD/page-1", "TAS5110DAD")</f>
        <v>TAS5110DAD</v>
      </c>
      <c r="B2459" s="3" t="s">
        <v>90</v>
      </c>
      <c r="C2459" s="5">
        <v>5</v>
      </c>
      <c r="D2459" s="6">
        <v>52.03</v>
      </c>
      <c r="E2459" t="s">
        <v>15</v>
      </c>
    </row>
    <row r="2460" spans="1:5" x14ac:dyDescent="0.25">
      <c r="A2460" t="str">
        <f>HYPERLINK("https://www.773grp.com/globalSearch/TAS5101DAP/page-1", "TAS5101DAP")</f>
        <v>TAS5101DAP</v>
      </c>
      <c r="B2460" s="3" t="s">
        <v>90</v>
      </c>
      <c r="C2460" s="5">
        <v>765</v>
      </c>
      <c r="D2460" s="6">
        <v>54.85</v>
      </c>
      <c r="E2460" t="s">
        <v>15</v>
      </c>
    </row>
    <row r="2461" spans="1:5" x14ac:dyDescent="0.25">
      <c r="A2461" t="str">
        <f>HYPERLINK("https://www.773grp.com/globalSearch/TAS5110ADAD/page-1", "TAS5110ADAD")</f>
        <v>TAS5110ADAD</v>
      </c>
      <c r="B2461" s="3" t="s">
        <v>90</v>
      </c>
      <c r="C2461" s="5">
        <v>2392</v>
      </c>
      <c r="D2461" s="6">
        <v>54.85</v>
      </c>
      <c r="E2461" t="s">
        <v>15</v>
      </c>
    </row>
    <row r="2462" spans="1:5" x14ac:dyDescent="0.25">
      <c r="A2462" t="str">
        <f>HYPERLINK("https://www.773grp.com/globalSearch/8418501HA/page-1", "8418501HA")</f>
        <v>8418501HA</v>
      </c>
      <c r="B2462" s="3" t="s">
        <v>90</v>
      </c>
      <c r="C2462" s="5">
        <v>687</v>
      </c>
      <c r="D2462" s="6">
        <v>63.29</v>
      </c>
      <c r="E2462" t="s">
        <v>15</v>
      </c>
    </row>
    <row r="2463" spans="1:5" x14ac:dyDescent="0.25">
      <c r="A2463" t="str">
        <f>HYPERLINK("https://www.773grp.com/globalSearch/ZL40123DCE1/page-1", "ZL40123DCE1")</f>
        <v>ZL40123DCE1</v>
      </c>
      <c r="B2463" s="3" t="s">
        <v>116</v>
      </c>
      <c r="C2463" s="5">
        <v>1833</v>
      </c>
      <c r="D2463" s="6">
        <v>3.51</v>
      </c>
      <c r="E2463" t="s">
        <v>15</v>
      </c>
    </row>
    <row r="2464" spans="1:5" x14ac:dyDescent="0.25">
      <c r="A2464" t="str">
        <f>HYPERLINK("https://www.773grp.com/globalSearch/ZL40120-DCA/page-1", "ZL40120-DCA")</f>
        <v>ZL40120-DCA</v>
      </c>
      <c r="B2464" s="3" t="s">
        <v>116</v>
      </c>
      <c r="C2464" s="5">
        <v>4127</v>
      </c>
      <c r="D2464" s="6">
        <v>4.25</v>
      </c>
      <c r="E2464" t="s">
        <v>15</v>
      </c>
    </row>
    <row r="2465" spans="1:5" x14ac:dyDescent="0.25">
      <c r="A2465" t="str">
        <f>HYPERLINK("https://www.773grp.com/globalSearch/ZL40121-DCA/page-1", "ZL40121-DCA")</f>
        <v>ZL40121-DCA</v>
      </c>
      <c r="B2465" s="3" t="s">
        <v>116</v>
      </c>
      <c r="C2465" s="5">
        <v>248</v>
      </c>
      <c r="D2465" s="6">
        <v>4.25</v>
      </c>
      <c r="E2465" t="s">
        <v>15</v>
      </c>
    </row>
    <row r="2466" spans="1:5" x14ac:dyDescent="0.25">
      <c r="A2466" t="str">
        <f>HYPERLINK("https://www.773grp.com/globalSearch/ZL40122-DCA/page-1", "ZL40122-DCA")</f>
        <v>ZL40122-DCA</v>
      </c>
      <c r="B2466" s="3" t="s">
        <v>116</v>
      </c>
      <c r="C2466" s="5">
        <v>10</v>
      </c>
      <c r="D2466" s="6">
        <v>4.3899999999999997</v>
      </c>
      <c r="E2466" t="s">
        <v>15</v>
      </c>
    </row>
    <row r="2467" spans="1:5" x14ac:dyDescent="0.25">
      <c r="A2467" t="str">
        <f>HYPERLINK("https://www.773grp.com/globalSearch/ZL40120-DCB/page-1", "ZL40120-DCB")</f>
        <v>ZL40120-DCB</v>
      </c>
      <c r="B2467" s="3" t="s">
        <v>116</v>
      </c>
      <c r="C2467" s="5">
        <v>2500</v>
      </c>
      <c r="D2467" s="6">
        <v>14.35</v>
      </c>
      <c r="E2467" t="s">
        <v>15</v>
      </c>
    </row>
    <row r="2468" spans="1:5" x14ac:dyDescent="0.25">
      <c r="A2468" t="str">
        <f>HYPERLINK("https://www.773grp.com/globalSearch/SN75423N/page-1", "SN75423N")</f>
        <v>SN75423N</v>
      </c>
      <c r="B2468" s="3" t="s">
        <v>90</v>
      </c>
      <c r="C2468" s="5">
        <v>3949</v>
      </c>
      <c r="D2468" s="6">
        <v>4.43</v>
      </c>
      <c r="E2468" t="s">
        <v>50</v>
      </c>
    </row>
    <row r="2469" spans="1:5" x14ac:dyDescent="0.25">
      <c r="A2469" t="str">
        <f>HYPERLINK("https://www.773grp.com/globalSearch/SN75423N-90/page-1", "SN75423N-90")</f>
        <v>SN75423N-90</v>
      </c>
      <c r="B2469" s="3" t="s">
        <v>90</v>
      </c>
      <c r="C2469" s="5">
        <v>8920</v>
      </c>
      <c r="D2469" s="6">
        <v>4.43</v>
      </c>
      <c r="E2469" t="s">
        <v>50</v>
      </c>
    </row>
    <row r="2470" spans="1:5" x14ac:dyDescent="0.25">
      <c r="A2470" t="str">
        <f>HYPERLINK("https://www.773grp.com/globalSearch/ULN2001AD/page-1", "ULN2001AD")</f>
        <v>ULN2001AD</v>
      </c>
      <c r="B2470" s="3" t="str">
        <f>HYPERLINK("https://www.773grp.com/manufacturer/texas-instruments?pageNo=239", "Texas Instruments")</f>
        <v>Texas Instruments</v>
      </c>
      <c r="C2470" s="5">
        <v>2080</v>
      </c>
      <c r="D2470" s="6">
        <v>4.2300000000000004</v>
      </c>
      <c r="E2470" t="s">
        <v>58</v>
      </c>
    </row>
    <row r="2471" spans="1:5" x14ac:dyDescent="0.25">
      <c r="A2471" t="str">
        <f>HYPERLINK("https://www.773grp.com/globalSearch/2C444/page-1", "2C444")</f>
        <v>2C444</v>
      </c>
      <c r="B2471" s="3" t="s">
        <v>90</v>
      </c>
      <c r="C2471" s="5">
        <v>445</v>
      </c>
      <c r="D2471" s="6">
        <v>23.29</v>
      </c>
      <c r="E2471" t="s">
        <v>58</v>
      </c>
    </row>
    <row r="2472" spans="1:5" x14ac:dyDescent="0.25">
      <c r="A2472" t="str">
        <f>HYPERLINK("https://www.773grp.com/globalSearch/SN74AS888-1GB/page-1", "SN74AS888-1GB")</f>
        <v>SN74AS888-1GB</v>
      </c>
      <c r="B2472" s="3" t="str">
        <f>HYPERLINK("https://www.773grp.com/manufacturer/texas-instruments?pageNo=256", "Texas Instruments")</f>
        <v>Texas Instruments</v>
      </c>
      <c r="C2472" s="5">
        <v>2194</v>
      </c>
      <c r="D2472" s="6">
        <v>164.4</v>
      </c>
      <c r="E2472" t="s">
        <v>108</v>
      </c>
    </row>
    <row r="2473" spans="1:5" x14ac:dyDescent="0.25">
      <c r="A2473" t="str">
        <f>HYPERLINK("https://www.773grp.com/globalSearch/SN74AS890GB/page-1", "SN74AS890GB")</f>
        <v>SN74AS890GB</v>
      </c>
      <c r="B2473" s="3" t="str">
        <f>HYPERLINK("https://www.773grp.com/manufacturer/texas-instruments?pageNo=257", "Texas Instruments")</f>
        <v>Texas Instruments</v>
      </c>
      <c r="C2473" s="5">
        <v>369</v>
      </c>
      <c r="D2473" s="6">
        <v>164.4</v>
      </c>
      <c r="E2473" t="s">
        <v>108</v>
      </c>
    </row>
    <row r="2474" spans="1:5" x14ac:dyDescent="0.25">
      <c r="A2474" t="str">
        <f>HYPERLINK("https://www.773grp.com/globalSearch/UC3610N/page-1", "UC3610N")</f>
        <v>UC3610N</v>
      </c>
      <c r="B2474" s="3" t="s">
        <v>90</v>
      </c>
      <c r="C2474" s="5">
        <v>2011</v>
      </c>
      <c r="D2474" s="6">
        <v>7.88</v>
      </c>
      <c r="E2474" t="s">
        <v>72</v>
      </c>
    </row>
    <row r="2475" spans="1:5" x14ac:dyDescent="0.25">
      <c r="A2475" t="str">
        <f>HYPERLINK("https://www.773grp.com/globalSearch/UC2610N/page-1", "UC2610N")</f>
        <v>UC2610N</v>
      </c>
      <c r="B2475" s="3" t="s">
        <v>90</v>
      </c>
      <c r="C2475" s="5">
        <v>2300</v>
      </c>
      <c r="D2475" s="6">
        <v>10.58</v>
      </c>
      <c r="E2475" t="s">
        <v>72</v>
      </c>
    </row>
    <row r="2476" spans="1:5" x14ac:dyDescent="0.25">
      <c r="A2476" t="str">
        <f>HYPERLINK("https://www.773grp.com/globalSearch/UC1610J/page-1", "UC1610J")</f>
        <v>UC1610J</v>
      </c>
      <c r="B2476" s="3" t="str">
        <f>HYPERLINK("https://www.773grp.com/manufacturer/texas-instruments?pageNo=643", "Texas Instruments")</f>
        <v>Texas Instruments</v>
      </c>
      <c r="C2476" s="5">
        <v>76</v>
      </c>
      <c r="D2476" s="6">
        <v>31.01</v>
      </c>
      <c r="E2476" t="s">
        <v>72</v>
      </c>
    </row>
    <row r="2477" spans="1:5" x14ac:dyDescent="0.25">
      <c r="A2477" t="str">
        <f>HYPERLINK("https://www.773grp.com/globalSearch/UC2610N/page-1", "UC2610N")</f>
        <v>UC2610N</v>
      </c>
      <c r="B2477" s="3" t="s">
        <v>112</v>
      </c>
      <c r="C2477" s="5">
        <v>2</v>
      </c>
      <c r="D2477" s="6">
        <v>10.58</v>
      </c>
      <c r="E2477" t="s">
        <v>72</v>
      </c>
    </row>
    <row r="2478" spans="1:5" x14ac:dyDescent="0.25">
      <c r="A2478" t="str">
        <f>HYPERLINK("https://www.773grp.com/globalSearch/UC1610J883B/page-1", "UC1610J883B")</f>
        <v>UC1610J883B</v>
      </c>
      <c r="B2478" s="3" t="s">
        <v>112</v>
      </c>
      <c r="C2478" s="5">
        <v>341</v>
      </c>
      <c r="D2478" s="6">
        <v>67.34</v>
      </c>
      <c r="E2478" t="s">
        <v>72</v>
      </c>
    </row>
    <row r="2479" spans="1:5" x14ac:dyDescent="0.25">
      <c r="A2479" t="str">
        <f>HYPERLINK("https://www.773grp.com/globalSearch/BUF04701AIDGS/page-1", "BUF04701AIDGS")</f>
        <v>BUF04701AIDGS</v>
      </c>
      <c r="B2479" s="3" t="str">
        <f>HYPERLINK("https://www.773grp.com/manufacturer/texas-instruments?pageNo=467", "Texas Instruments")</f>
        <v>Texas Instruments</v>
      </c>
      <c r="C2479" s="5">
        <v>220</v>
      </c>
      <c r="D2479" s="6">
        <v>3.66</v>
      </c>
      <c r="E2479" t="s">
        <v>41</v>
      </c>
    </row>
    <row r="2480" spans="1:5" x14ac:dyDescent="0.25">
      <c r="A2480" t="str">
        <f>HYPERLINK("https://www.773grp.com/globalSearch/BUF04701AIPW/page-1", "BUF04701AIPW")</f>
        <v>BUF04701AIPW</v>
      </c>
      <c r="B2480" s="3" t="str">
        <f>HYPERLINK("https://www.773grp.com/manufacturer/texas-instruments?pageNo=715", "Texas Instruments")</f>
        <v>Texas Instruments</v>
      </c>
      <c r="C2480" s="5">
        <v>1550</v>
      </c>
      <c r="D2480" s="6">
        <v>3.68</v>
      </c>
      <c r="E2480" t="s">
        <v>41</v>
      </c>
    </row>
    <row r="2481" spans="1:5" x14ac:dyDescent="0.25">
      <c r="A2481" t="str">
        <f>HYPERLINK("https://www.773grp.com/globalSearch/BUF04701AIPWR/page-1", "BUF04701AIPWR")</f>
        <v>BUF04701AIPWR</v>
      </c>
      <c r="B2481" s="3" t="str">
        <f>HYPERLINK("https://www.773grp.com/manufacturer/texas-instruments?pageNo=971", "Texas Instruments")</f>
        <v>Texas Instruments</v>
      </c>
      <c r="C2481" s="5">
        <v>76000</v>
      </c>
      <c r="D2481" s="6">
        <v>4.16</v>
      </c>
      <c r="E2481" t="s">
        <v>41</v>
      </c>
    </row>
    <row r="2482" spans="1:5" x14ac:dyDescent="0.25">
      <c r="A2482" t="str">
        <f>HYPERLINK("https://www.773grp.com/globalSearch/BUF04701AIPWR/page-1", "BUF04701AIPWR")</f>
        <v>BUF04701AIPWR</v>
      </c>
      <c r="B2482" s="3" t="str">
        <f>HYPERLINK("https://www.773grp.com/manufacturer/texas-instruments?pageNo=972", "Texas Instruments")</f>
        <v>Texas Instruments</v>
      </c>
      <c r="C2482" s="5">
        <v>846</v>
      </c>
      <c r="D2482" s="6">
        <v>4.16</v>
      </c>
      <c r="E2482" t="s">
        <v>41</v>
      </c>
    </row>
    <row r="2483" spans="1:5" x14ac:dyDescent="0.25">
      <c r="A2483" t="str">
        <f>HYPERLINK("https://www.773grp.com/globalSearch/BUF11705AIPWPR/page-1", "BUF11705AIPWPR")</f>
        <v>BUF11705AIPWPR</v>
      </c>
      <c r="B2483" s="3" t="s">
        <v>90</v>
      </c>
      <c r="C2483" s="5">
        <v>132798</v>
      </c>
      <c r="D2483" s="6">
        <v>4.2300000000000004</v>
      </c>
      <c r="E2483" t="s">
        <v>41</v>
      </c>
    </row>
    <row r="2484" spans="1:5" x14ac:dyDescent="0.25">
      <c r="A2484" t="str">
        <f>HYPERLINK("https://www.773grp.com/globalSearch/BUF11702PWPR/page-1", "BUF11702PWPR")</f>
        <v>BUF11702PWPR</v>
      </c>
      <c r="B2484" s="3" t="s">
        <v>90</v>
      </c>
      <c r="C2484" s="5">
        <v>406000</v>
      </c>
      <c r="D2484" s="6">
        <v>4.49</v>
      </c>
      <c r="E2484" t="s">
        <v>41</v>
      </c>
    </row>
    <row r="2485" spans="1:5" x14ac:dyDescent="0.25">
      <c r="A2485" t="str">
        <f>HYPERLINK("https://www.773grp.com/globalSearch/BUF11702PWPRG4/page-1", "BUF11702PWPRG4")</f>
        <v>BUF11702PWPRG4</v>
      </c>
      <c r="B2485" s="3" t="s">
        <v>90</v>
      </c>
      <c r="C2485" s="5">
        <v>722000</v>
      </c>
      <c r="D2485" s="6">
        <v>4.49</v>
      </c>
      <c r="E2485" t="s">
        <v>41</v>
      </c>
    </row>
    <row r="2486" spans="1:5" x14ac:dyDescent="0.25">
      <c r="A2486" t="str">
        <f>HYPERLINK("https://www.773grp.com/globalSearch/THS7353PWR/page-1", "THS7353PWR")</f>
        <v>THS7353PWR</v>
      </c>
      <c r="B2486" s="3" t="s">
        <v>90</v>
      </c>
      <c r="C2486" s="5">
        <v>6000</v>
      </c>
      <c r="D2486" s="6">
        <v>4.6399999999999997</v>
      </c>
      <c r="E2486" t="s">
        <v>41</v>
      </c>
    </row>
    <row r="2487" spans="1:5" x14ac:dyDescent="0.25">
      <c r="A2487" t="str">
        <f>HYPERLINK("https://www.773grp.com/globalSearch/BUF04701AIDGSR/page-1", "BUF04701AIDGSR")</f>
        <v>BUF04701AIDGSR</v>
      </c>
      <c r="B2487" s="3" t="s">
        <v>90</v>
      </c>
      <c r="C2487" s="5">
        <v>5000</v>
      </c>
      <c r="D2487" s="6">
        <v>4.8600000000000003</v>
      </c>
      <c r="E2487" t="s">
        <v>41</v>
      </c>
    </row>
    <row r="2488" spans="1:5" x14ac:dyDescent="0.25">
      <c r="A2488" t="str">
        <f>HYPERLINK("https://www.773grp.com/globalSearch/TCA4311DGKR/page-1", "TCA4311DGKR")</f>
        <v>TCA4311DGKR</v>
      </c>
      <c r="B2488" s="3" t="s">
        <v>90</v>
      </c>
      <c r="C2488" s="5">
        <v>4253</v>
      </c>
      <c r="D2488" s="6">
        <v>5.63</v>
      </c>
      <c r="E2488" t="s">
        <v>41</v>
      </c>
    </row>
    <row r="2489" spans="1:5" x14ac:dyDescent="0.25">
      <c r="A2489" t="str">
        <f>HYPERLINK("https://www.773grp.com/globalSearch/TCA4311DR/page-1", "TCA4311DR")</f>
        <v>TCA4311DR</v>
      </c>
      <c r="B2489" s="3" t="s">
        <v>90</v>
      </c>
      <c r="C2489" s="5">
        <v>2500</v>
      </c>
      <c r="D2489" s="6">
        <v>5.63</v>
      </c>
      <c r="E2489" t="s">
        <v>41</v>
      </c>
    </row>
    <row r="2490" spans="1:5" x14ac:dyDescent="0.25">
      <c r="A2490" t="str">
        <f>HYPERLINK("https://www.773grp.com/globalSearch/THS7353PW/page-1", "THS7353PW")</f>
        <v>THS7353PW</v>
      </c>
      <c r="B2490" s="3" t="s">
        <v>90</v>
      </c>
      <c r="C2490" s="5">
        <v>6220</v>
      </c>
      <c r="D2490" s="6">
        <v>5.63</v>
      </c>
      <c r="E2490" t="s">
        <v>41</v>
      </c>
    </row>
    <row r="2491" spans="1:5" x14ac:dyDescent="0.25">
      <c r="A2491" t="str">
        <f>HYPERLINK("https://www.773grp.com/globalSearch/OPA2682N-2K5/page-1", "OPA2682N-2K5")</f>
        <v>OPA2682N-2K5</v>
      </c>
      <c r="B2491" s="3" t="s">
        <v>90</v>
      </c>
      <c r="C2491" s="5">
        <v>2500</v>
      </c>
      <c r="D2491" s="6">
        <v>7.96</v>
      </c>
      <c r="E2491" t="s">
        <v>41</v>
      </c>
    </row>
    <row r="2492" spans="1:5" x14ac:dyDescent="0.25">
      <c r="A2492" t="str">
        <f>HYPERLINK("https://www.773grp.com/globalSearch/THS7347IPHP/page-1", "THS7347IPHP")</f>
        <v>THS7347IPHP</v>
      </c>
      <c r="B2492" s="3" t="s">
        <v>90</v>
      </c>
      <c r="C2492" s="5">
        <v>4140</v>
      </c>
      <c r="D2492" s="6">
        <v>9</v>
      </c>
      <c r="E2492" t="s">
        <v>41</v>
      </c>
    </row>
    <row r="2493" spans="1:5" x14ac:dyDescent="0.25">
      <c r="A2493" t="str">
        <f>HYPERLINK("https://www.773grp.com/globalSearch/THS7327PHPR/page-1", "THS7327PHPR")</f>
        <v>THS7327PHPR</v>
      </c>
      <c r="B2493" s="3" t="s">
        <v>90</v>
      </c>
      <c r="C2493" s="5">
        <v>1000</v>
      </c>
      <c r="D2493" s="6">
        <v>9.41</v>
      </c>
      <c r="E2493" t="s">
        <v>41</v>
      </c>
    </row>
    <row r="2494" spans="1:5" x14ac:dyDescent="0.25">
      <c r="A2494" t="str">
        <f>HYPERLINK("https://www.773grp.com/globalSearch/OPA3682U/page-1", "OPA3682U")</f>
        <v>OPA3682U</v>
      </c>
      <c r="B2494" s="3" t="s">
        <v>90</v>
      </c>
      <c r="C2494" s="5">
        <v>17506</v>
      </c>
      <c r="D2494" s="6">
        <v>10.18</v>
      </c>
      <c r="E2494" t="s">
        <v>41</v>
      </c>
    </row>
    <row r="2495" spans="1:5" x14ac:dyDescent="0.25">
      <c r="A2495" t="str">
        <f>HYPERLINK("https://www.773grp.com/globalSearch/THS7318YZFT/page-1", "THS7318YZFT")</f>
        <v>THS7318YZFT</v>
      </c>
      <c r="B2495" s="3" t="str">
        <f>HYPERLINK("https://www.773grp.com/manufacturer/texas-instruments?pageNo=60", "Texas Instruments")</f>
        <v>Texas Instruments</v>
      </c>
      <c r="C2495" s="5">
        <v>9500</v>
      </c>
      <c r="D2495" s="6">
        <v>12.24</v>
      </c>
      <c r="E2495" t="s">
        <v>41</v>
      </c>
    </row>
    <row r="2496" spans="1:5" x14ac:dyDescent="0.25">
      <c r="A2496" t="str">
        <f>HYPERLINK("https://www.773grp.com/globalSearch/BUF634F-500/page-1", "BUF634F-500")</f>
        <v>BUF634F-500</v>
      </c>
      <c r="B2496" s="3" t="str">
        <f>HYPERLINK("https://www.773grp.com/manufacturer/texas-instruments?pageNo=434", "Texas Instruments")</f>
        <v>Texas Instruments</v>
      </c>
      <c r="C2496" s="5">
        <v>18150</v>
      </c>
      <c r="D2496" s="6">
        <v>12.94</v>
      </c>
      <c r="E2496" t="s">
        <v>41</v>
      </c>
    </row>
    <row r="2497" spans="1:5" x14ac:dyDescent="0.25">
      <c r="A2497" t="str">
        <f>HYPERLINK("https://www.773grp.com/globalSearch/BUF634T/page-1", "BUF634T")</f>
        <v>BUF634T</v>
      </c>
      <c r="B2497" s="3" t="str">
        <f>HYPERLINK("https://www.773grp.com/manufacturer/texas-instruments?pageNo=435", "Texas Instruments")</f>
        <v>Texas Instruments</v>
      </c>
      <c r="C2497" s="5">
        <v>43758</v>
      </c>
      <c r="D2497" s="6">
        <v>12.94</v>
      </c>
      <c r="E2497" t="s">
        <v>41</v>
      </c>
    </row>
    <row r="2498" spans="1:5" x14ac:dyDescent="0.25">
      <c r="A2498" t="str">
        <f>HYPERLINK("https://www.773grp.com/globalSearch/BUF634FKTTT/page-1", "BUF634FKTTT")</f>
        <v>BUF634FKTTT</v>
      </c>
      <c r="B2498" s="3" t="s">
        <v>90</v>
      </c>
      <c r="C2498" s="5">
        <v>1927</v>
      </c>
      <c r="D2498" s="6">
        <v>14.48</v>
      </c>
      <c r="E2498" t="s">
        <v>41</v>
      </c>
    </row>
    <row r="2499" spans="1:5" x14ac:dyDescent="0.25">
      <c r="A2499" t="str">
        <f>HYPERLINK("https://www.773grp.com/globalSearch/TUSB2036VF/page-1", "TUSB2036VF")</f>
        <v>TUSB2036VF</v>
      </c>
      <c r="B2499" s="3" t="str">
        <f>HYPERLINK("https://www.773grp.com/manufacturer/texas-instruments?pageNo=472", "Texas Instruments")</f>
        <v>Texas Instruments</v>
      </c>
      <c r="C2499" s="5">
        <v>5207</v>
      </c>
      <c r="D2499" s="6">
        <v>3.89</v>
      </c>
      <c r="E2499" t="s">
        <v>57</v>
      </c>
    </row>
    <row r="2500" spans="1:5" x14ac:dyDescent="0.25">
      <c r="A2500" t="str">
        <f>HYPERLINK("https://www.773grp.com/globalSearch/TUSB2036VFG4/page-1", "TUSB2036VFG4")</f>
        <v>TUSB2036VFG4</v>
      </c>
      <c r="B2500" s="3" t="str">
        <f>HYPERLINK("https://www.773grp.com/manufacturer/texas-instruments?pageNo=473", "Texas Instruments")</f>
        <v>Texas Instruments</v>
      </c>
      <c r="C2500" s="5">
        <v>56590</v>
      </c>
      <c r="D2500" s="6">
        <v>3.89</v>
      </c>
      <c r="E2500" t="s">
        <v>57</v>
      </c>
    </row>
    <row r="2501" spans="1:5" x14ac:dyDescent="0.25">
      <c r="A2501" t="str">
        <f>HYPERLINK("https://www.773grp.com/globalSearch/TS2PCIE412RUAR/page-1", "TS2PCIE412RUAR")</f>
        <v>TS2PCIE412RUAR</v>
      </c>
      <c r="B2501" s="3" t="str">
        <f>HYPERLINK("https://www.773grp.com/manufacturer/texas-instruments?pageNo=744", "Texas Instruments")</f>
        <v>Texas Instruments</v>
      </c>
      <c r="C2501" s="5">
        <v>1391674</v>
      </c>
      <c r="D2501" s="6">
        <v>5.01</v>
      </c>
      <c r="E2501" t="s">
        <v>57</v>
      </c>
    </row>
    <row r="2502" spans="1:5" x14ac:dyDescent="0.25">
      <c r="A2502" t="str">
        <f>HYPERLINK("https://www.773grp.com/globalSearch/TS2PCIE2212ZAHR/page-1", "TS2PCIE2212ZAHR")</f>
        <v>TS2PCIE2212ZAHR</v>
      </c>
      <c r="B2502" s="3" t="s">
        <v>90</v>
      </c>
      <c r="C2502" s="5">
        <v>324122</v>
      </c>
      <c r="D2502" s="6">
        <v>4.6399999999999997</v>
      </c>
      <c r="E2502" t="s">
        <v>57</v>
      </c>
    </row>
    <row r="2503" spans="1:5" x14ac:dyDescent="0.25">
      <c r="A2503" t="str">
        <f>HYPERLINK("https://www.773grp.com/globalSearch/TS2PCIE2212ZAHRG1/page-1", "TS2PCIE2212ZAHRG1")</f>
        <v>TS2PCIE2212ZAHRG1</v>
      </c>
      <c r="B2503" s="3" t="s">
        <v>90</v>
      </c>
      <c r="C2503" s="5">
        <v>15000</v>
      </c>
      <c r="D2503" s="6">
        <v>4.6399999999999997</v>
      </c>
      <c r="E2503" t="s">
        <v>57</v>
      </c>
    </row>
    <row r="2504" spans="1:5" x14ac:dyDescent="0.25">
      <c r="A2504" t="str">
        <f>HYPERLINK("https://www.773grp.com/globalSearch/TUSB2046AVF/page-1", "TUSB2046AVF")</f>
        <v>TUSB2046AVF</v>
      </c>
      <c r="B2504" s="3" t="s">
        <v>90</v>
      </c>
      <c r="C2504" s="5">
        <v>19</v>
      </c>
      <c r="D2504" s="6">
        <v>5.6</v>
      </c>
      <c r="E2504" t="s">
        <v>57</v>
      </c>
    </row>
    <row r="2505" spans="1:5" x14ac:dyDescent="0.25">
      <c r="A2505" t="str">
        <f>HYPERLINK("https://www.773grp.com/globalSearch/TUSB2140BN/page-1", "TUSB2140BN")</f>
        <v>TUSB2140BN</v>
      </c>
      <c r="B2505" s="3" t="s">
        <v>90</v>
      </c>
      <c r="C2505" s="5">
        <v>1778</v>
      </c>
      <c r="D2505" s="6">
        <v>5.63</v>
      </c>
      <c r="E2505" t="s">
        <v>57</v>
      </c>
    </row>
    <row r="2506" spans="1:5" x14ac:dyDescent="0.25">
      <c r="A2506" t="str">
        <f>HYPERLINK("https://www.773grp.com/globalSearch/TUSB3410RHBR/page-1", "TUSB3410RHBR")</f>
        <v>TUSB3410RHBR</v>
      </c>
      <c r="B2506" s="3" t="s">
        <v>90</v>
      </c>
      <c r="C2506" s="5">
        <v>35000</v>
      </c>
      <c r="D2506" s="6">
        <v>6.33</v>
      </c>
      <c r="E2506" t="s">
        <v>57</v>
      </c>
    </row>
    <row r="2507" spans="1:5" x14ac:dyDescent="0.25">
      <c r="A2507" t="str">
        <f>HYPERLINK("https://www.773grp.com/globalSearch/XIO2001ZAJ/page-1", "XIO2001ZAJ")</f>
        <v>XIO2001ZAJ</v>
      </c>
      <c r="B2507" s="3" t="str">
        <f>HYPERLINK("https://www.773grp.com/manufacturer/texas-instruments?pageNo=906", "Texas Instruments")</f>
        <v>Texas Instruments</v>
      </c>
      <c r="C2507" s="5">
        <v>520</v>
      </c>
      <c r="D2507" s="6">
        <v>7.04</v>
      </c>
      <c r="E2507" t="s">
        <v>57</v>
      </c>
    </row>
    <row r="2508" spans="1:5" x14ac:dyDescent="0.25">
      <c r="A2508" t="str">
        <f>HYPERLINK("https://www.773grp.com/globalSearch/TUSB2140BPGT/page-1", "TUSB2140BPGT")</f>
        <v>TUSB2140BPGT</v>
      </c>
      <c r="B2508" s="3" t="s">
        <v>90</v>
      </c>
      <c r="C2508" s="5">
        <v>890</v>
      </c>
      <c r="D2508" s="6">
        <v>7.46</v>
      </c>
      <c r="E2508" t="s">
        <v>57</v>
      </c>
    </row>
    <row r="2509" spans="1:5" x14ac:dyDescent="0.25">
      <c r="A2509" t="str">
        <f>HYPERLINK("https://www.773grp.com/globalSearch/TUSB3410RHB/page-1", "TUSB3410RHB")</f>
        <v>TUSB3410RHB</v>
      </c>
      <c r="B2509" s="3" t="s">
        <v>90</v>
      </c>
      <c r="C2509" s="5">
        <v>245685</v>
      </c>
      <c r="D2509" s="6">
        <v>7.6</v>
      </c>
      <c r="E2509" t="s">
        <v>57</v>
      </c>
    </row>
    <row r="2510" spans="1:5" x14ac:dyDescent="0.25">
      <c r="A2510" t="str">
        <f>HYPERLINK("https://www.773grp.com/globalSearch/TUSB3410RHBT/page-1", "TUSB3410RHBT")</f>
        <v>TUSB3410RHBT</v>
      </c>
      <c r="B2510" s="3" t="s">
        <v>90</v>
      </c>
      <c r="C2510" s="5">
        <v>750</v>
      </c>
      <c r="D2510" s="6">
        <v>7.6</v>
      </c>
      <c r="E2510" t="s">
        <v>57</v>
      </c>
    </row>
    <row r="2511" spans="1:5" x14ac:dyDescent="0.25">
      <c r="A2511" t="str">
        <f>HYPERLINK("https://www.773grp.com/globalSearch/TUSB3410VF/page-1", "TUSB3410VF")</f>
        <v>TUSB3410VF</v>
      </c>
      <c r="B2511" s="3" t="s">
        <v>90</v>
      </c>
      <c r="C2511" s="5">
        <v>14021</v>
      </c>
      <c r="D2511" s="6">
        <v>7.6</v>
      </c>
      <c r="E2511" t="s">
        <v>57</v>
      </c>
    </row>
    <row r="2512" spans="1:5" x14ac:dyDescent="0.25">
      <c r="A2512" t="str">
        <f>HYPERLINK("https://www.773grp.com/globalSearch/XIO2001IZAJ/page-1", "XIO2001IZAJ")</f>
        <v>XIO2001IZAJ</v>
      </c>
      <c r="B2512" s="3" t="s">
        <v>90</v>
      </c>
      <c r="C2512" s="5">
        <v>260</v>
      </c>
      <c r="D2512" s="6">
        <v>7.73</v>
      </c>
      <c r="E2512" t="s">
        <v>57</v>
      </c>
    </row>
    <row r="2513" spans="1:5" x14ac:dyDescent="0.25">
      <c r="A2513" t="str">
        <f>HYPERLINK("https://www.773grp.com/globalSearch/XIO2001IZGU/page-1", "XIO2001IZGU")</f>
        <v>XIO2001IZGU</v>
      </c>
      <c r="B2513" s="3" t="s">
        <v>90</v>
      </c>
      <c r="C2513" s="5">
        <v>1780</v>
      </c>
      <c r="D2513" s="6">
        <v>7.73</v>
      </c>
      <c r="E2513" t="s">
        <v>57</v>
      </c>
    </row>
    <row r="2514" spans="1:5" x14ac:dyDescent="0.25">
      <c r="A2514" t="str">
        <f>HYPERLINK("https://www.773grp.com/globalSearch/TUSB6250PFC/page-1", "TUSB6250PFC")</f>
        <v>TUSB6250PFC</v>
      </c>
      <c r="B2514" s="3" t="s">
        <v>90</v>
      </c>
      <c r="C2514" s="5">
        <v>66603</v>
      </c>
      <c r="D2514" s="6">
        <v>7.88</v>
      </c>
      <c r="E2514" t="s">
        <v>57</v>
      </c>
    </row>
    <row r="2515" spans="1:5" x14ac:dyDescent="0.25">
      <c r="A2515" t="str">
        <f>HYPERLINK("https://www.773grp.com/globalSearch/TUSB6250PFCG4/page-1", "TUSB6250PFCG4")</f>
        <v>TUSB6250PFCG4</v>
      </c>
      <c r="B2515" s="3" t="s">
        <v>90</v>
      </c>
      <c r="C2515" s="5">
        <v>11450</v>
      </c>
      <c r="D2515" s="6">
        <v>7.88</v>
      </c>
      <c r="E2515" t="s">
        <v>57</v>
      </c>
    </row>
    <row r="2516" spans="1:5" x14ac:dyDescent="0.25">
      <c r="A2516" t="str">
        <f>HYPERLINK("https://www.773grp.com/globalSearch/TUSB3410IRHB/page-1", "TUSB3410IRHB")</f>
        <v>TUSB3410IRHB</v>
      </c>
      <c r="B2516" s="3" t="s">
        <v>90</v>
      </c>
      <c r="C2516" s="5">
        <v>564</v>
      </c>
      <c r="D2516" s="6">
        <v>8.3000000000000007</v>
      </c>
      <c r="E2516" t="s">
        <v>57</v>
      </c>
    </row>
    <row r="2517" spans="1:5" x14ac:dyDescent="0.25">
      <c r="A2517" t="str">
        <f>HYPERLINK("https://www.773grp.com/globalSearch/TUSB3410IRHBT/page-1", "TUSB3410IRHBT")</f>
        <v>TUSB3410IRHBT</v>
      </c>
      <c r="B2517" s="3" t="s">
        <v>90</v>
      </c>
      <c r="C2517" s="5">
        <v>750</v>
      </c>
      <c r="D2517" s="6">
        <v>8.3000000000000007</v>
      </c>
      <c r="E2517" t="s">
        <v>57</v>
      </c>
    </row>
    <row r="2518" spans="1:5" x14ac:dyDescent="0.25">
      <c r="A2518" t="str">
        <f>HYPERLINK("https://www.773grp.com/globalSearch/TUSB3410IVF/page-1", "TUSB3410IVF")</f>
        <v>TUSB3410IVF</v>
      </c>
      <c r="B2518" s="3" t="s">
        <v>90</v>
      </c>
      <c r="C2518" s="5">
        <v>2000</v>
      </c>
      <c r="D2518" s="6">
        <v>8.3000000000000007</v>
      </c>
      <c r="E2518" t="s">
        <v>57</v>
      </c>
    </row>
    <row r="2519" spans="1:5" x14ac:dyDescent="0.25">
      <c r="A2519" t="str">
        <f>HYPERLINK("https://www.773grp.com/globalSearch/TUSB9260PVP/page-1", "TUSB9260PVP")</f>
        <v>TUSB9260PVP</v>
      </c>
      <c r="B2519" s="3" t="s">
        <v>90</v>
      </c>
      <c r="C2519" s="5">
        <v>278</v>
      </c>
      <c r="D2519" s="6">
        <v>8.44</v>
      </c>
      <c r="E2519" t="s">
        <v>57</v>
      </c>
    </row>
    <row r="2520" spans="1:5" x14ac:dyDescent="0.25">
      <c r="A2520" t="str">
        <f>HYPERLINK("https://www.773grp.com/globalSearch/PCI4512ZHK/page-1", "PCI4512ZHK")</f>
        <v>PCI4512ZHK</v>
      </c>
      <c r="B2520" s="3" t="s">
        <v>90</v>
      </c>
      <c r="C2520" s="5">
        <v>28468</v>
      </c>
      <c r="D2520" s="6">
        <v>8.73</v>
      </c>
      <c r="E2520" t="s">
        <v>57</v>
      </c>
    </row>
    <row r="2521" spans="1:5" x14ac:dyDescent="0.25">
      <c r="A2521" t="str">
        <f>HYPERLINK("https://www.773grp.com/globalSearch/TUSB2070PT/page-1", "TUSB2070PT")</f>
        <v>TUSB2070PT</v>
      </c>
      <c r="B2521" s="3" t="s">
        <v>90</v>
      </c>
      <c r="C2521" s="5">
        <v>31337</v>
      </c>
      <c r="D2521" s="6">
        <v>8.74</v>
      </c>
      <c r="E2521" t="s">
        <v>57</v>
      </c>
    </row>
    <row r="2522" spans="1:5" x14ac:dyDescent="0.25">
      <c r="A2522" t="str">
        <f>HYPERLINK("https://www.773grp.com/globalSearch/TUSB3210PM/page-1", "TUSB3210PM")</f>
        <v>TUSB3210PM</v>
      </c>
      <c r="B2522" s="3" t="s">
        <v>90</v>
      </c>
      <c r="C2522" s="5">
        <v>21023</v>
      </c>
      <c r="D2522" s="6">
        <v>8.86</v>
      </c>
      <c r="E2522" t="s">
        <v>57</v>
      </c>
    </row>
    <row r="2523" spans="1:5" x14ac:dyDescent="0.25">
      <c r="A2523" t="str">
        <f>HYPERLINK("https://www.773grp.com/globalSearch/TUSB3210PMG4/page-1", "TUSB3210PMG4")</f>
        <v>TUSB3210PMG4</v>
      </c>
      <c r="B2523" s="3" t="s">
        <v>90</v>
      </c>
      <c r="C2523" s="5">
        <v>280</v>
      </c>
      <c r="D2523" s="6">
        <v>8.86</v>
      </c>
      <c r="E2523" t="s">
        <v>57</v>
      </c>
    </row>
    <row r="2524" spans="1:5" x14ac:dyDescent="0.25">
      <c r="A2524" t="str">
        <f>HYPERLINK("https://www.773grp.com/globalSearch/PCI1510GVF/page-1", "PCI1510GVF")</f>
        <v>PCI1510GVF</v>
      </c>
      <c r="B2524" s="3" t="s">
        <v>90</v>
      </c>
      <c r="C2524" s="5">
        <v>229571</v>
      </c>
      <c r="D2524" s="6">
        <v>10.130000000000001</v>
      </c>
      <c r="E2524" t="s">
        <v>57</v>
      </c>
    </row>
    <row r="2525" spans="1:5" x14ac:dyDescent="0.25">
      <c r="A2525" t="str">
        <f>HYPERLINK("https://www.773grp.com/globalSearch/PCI1510PGE/page-1", "PCI1510PGE")</f>
        <v>PCI1510PGE</v>
      </c>
      <c r="B2525" s="3" t="s">
        <v>90</v>
      </c>
      <c r="C2525" s="5">
        <v>8500</v>
      </c>
      <c r="D2525" s="6">
        <v>10.130000000000001</v>
      </c>
      <c r="E2525" t="s">
        <v>57</v>
      </c>
    </row>
    <row r="2526" spans="1:5" x14ac:dyDescent="0.25">
      <c r="A2526" t="str">
        <f>HYPERLINK("https://www.773grp.com/globalSearch/PCI1510PGEG4/page-1", "PCI1510PGEG4")</f>
        <v>PCI1510PGEG4</v>
      </c>
      <c r="B2526" s="3" t="s">
        <v>90</v>
      </c>
      <c r="C2526" s="5">
        <v>6</v>
      </c>
      <c r="D2526" s="6">
        <v>10.130000000000001</v>
      </c>
      <c r="E2526" t="s">
        <v>57</v>
      </c>
    </row>
    <row r="2527" spans="1:5" x14ac:dyDescent="0.25">
      <c r="A2527" t="str">
        <f>HYPERLINK("https://www.773grp.com/globalSearch/PCI1510ZGU/page-1", "PCI1510ZGU")</f>
        <v>PCI1510ZGU</v>
      </c>
      <c r="B2527" s="3" t="s">
        <v>90</v>
      </c>
      <c r="C2527" s="5">
        <v>19360</v>
      </c>
      <c r="D2527" s="6">
        <v>10.130000000000001</v>
      </c>
      <c r="E2527" t="s">
        <v>57</v>
      </c>
    </row>
    <row r="2528" spans="1:5" x14ac:dyDescent="0.25">
      <c r="A2528" t="str">
        <f>HYPERLINK("https://www.773grp.com/globalSearch/PCI1510ZVF/page-1", "PCI1510ZVF")</f>
        <v>PCI1510ZVF</v>
      </c>
      <c r="B2528" s="3" t="s">
        <v>90</v>
      </c>
      <c r="C2528" s="5">
        <v>4728</v>
      </c>
      <c r="D2528" s="6">
        <v>10.130000000000001</v>
      </c>
      <c r="E2528" t="s">
        <v>57</v>
      </c>
    </row>
    <row r="2529" spans="1:5" x14ac:dyDescent="0.25">
      <c r="A2529" t="str">
        <f>HYPERLINK("https://www.773grp.com/globalSearch/PCI1410GGU/page-1", "PCI1410GGU")</f>
        <v>PCI1410GGU</v>
      </c>
      <c r="B2529" s="3" t="s">
        <v>90</v>
      </c>
      <c r="C2529" s="5">
        <v>143545</v>
      </c>
      <c r="D2529" s="6">
        <v>10.69</v>
      </c>
      <c r="E2529" t="s">
        <v>57</v>
      </c>
    </row>
    <row r="2530" spans="1:5" x14ac:dyDescent="0.25">
      <c r="A2530" t="str">
        <f>HYPERLINK("https://www.773grp.com/globalSearch/PCI1410PGE/page-1", "PCI1410PGE")</f>
        <v>PCI1410PGE</v>
      </c>
      <c r="B2530" s="3" t="s">
        <v>90</v>
      </c>
      <c r="C2530" s="5">
        <v>54895</v>
      </c>
      <c r="D2530" s="6">
        <v>10.69</v>
      </c>
      <c r="E2530" t="s">
        <v>57</v>
      </c>
    </row>
    <row r="2531" spans="1:5" x14ac:dyDescent="0.25">
      <c r="A2531" t="str">
        <f>HYPERLINK("https://www.773grp.com/globalSearch/PCI1510GGU/page-1", "PCI1510GGU")</f>
        <v>PCI1510GGU</v>
      </c>
      <c r="B2531" s="3" t="s">
        <v>90</v>
      </c>
      <c r="C2531" s="5">
        <v>331</v>
      </c>
      <c r="D2531" s="6">
        <v>11.1</v>
      </c>
      <c r="E2531" t="s">
        <v>57</v>
      </c>
    </row>
    <row r="2532" spans="1:5" x14ac:dyDescent="0.25">
      <c r="A2532" t="str">
        <f>HYPERLINK("https://www.773grp.com/globalSearch/PCI1510RGVF/page-1", "PCI1510RGVF")</f>
        <v>PCI1510RGVF</v>
      </c>
      <c r="B2532" s="3" t="s">
        <v>90</v>
      </c>
      <c r="C2532" s="5">
        <v>78141</v>
      </c>
      <c r="D2532" s="6">
        <v>11.53</v>
      </c>
      <c r="E2532" t="s">
        <v>57</v>
      </c>
    </row>
    <row r="2533" spans="1:5" x14ac:dyDescent="0.25">
      <c r="A2533" t="str">
        <f>HYPERLINK("https://www.773grp.com/globalSearch/PCI1512GVF/page-1", "PCI1512GVF")</f>
        <v>PCI1512GVF</v>
      </c>
      <c r="B2533" s="3" t="s">
        <v>90</v>
      </c>
      <c r="C2533" s="5">
        <v>894</v>
      </c>
      <c r="D2533" s="6">
        <v>11.53</v>
      </c>
      <c r="E2533" t="s">
        <v>57</v>
      </c>
    </row>
    <row r="2534" spans="1:5" x14ac:dyDescent="0.25">
      <c r="A2534" t="str">
        <f>HYPERLINK("https://www.773grp.com/globalSearch/PCI1512ZVF/page-1", "PCI1512ZVF")</f>
        <v>PCI1512ZVF</v>
      </c>
      <c r="B2534" s="3" t="s">
        <v>90</v>
      </c>
      <c r="C2534" s="5">
        <v>4448</v>
      </c>
      <c r="D2534" s="6">
        <v>11.53</v>
      </c>
      <c r="E2534" t="s">
        <v>57</v>
      </c>
    </row>
    <row r="2535" spans="1:5" x14ac:dyDescent="0.25">
      <c r="A2535" t="str">
        <f>HYPERLINK("https://www.773grp.com/globalSearch/PCI8402ZHK/page-1", "PCI8402ZHK")</f>
        <v>PCI8402ZHK</v>
      </c>
      <c r="B2535" s="3" t="s">
        <v>90</v>
      </c>
      <c r="C2535" s="5">
        <v>7659</v>
      </c>
      <c r="D2535" s="6">
        <v>11.53</v>
      </c>
      <c r="E2535" t="s">
        <v>57</v>
      </c>
    </row>
    <row r="2536" spans="1:5" x14ac:dyDescent="0.25">
      <c r="A2536" t="str">
        <f>HYPERLINK("https://www.773grp.com/globalSearch/PCI1520PDV/page-1", "PCI1520PDV")</f>
        <v>PCI1520PDV</v>
      </c>
      <c r="B2536" s="3" t="str">
        <f>HYPERLINK("https://www.773grp.com/manufacturer/texas-instruments?pageNo=50", "Texas Instruments")</f>
        <v>Texas Instruments</v>
      </c>
      <c r="C2536" s="5">
        <v>5296</v>
      </c>
      <c r="D2536" s="6">
        <v>12.24</v>
      </c>
      <c r="E2536" t="s">
        <v>57</v>
      </c>
    </row>
    <row r="2537" spans="1:5" x14ac:dyDescent="0.25">
      <c r="A2537" t="str">
        <f>HYPERLINK("https://www.773grp.com/globalSearch/PCI1520ZHK/page-1", "PCI1520ZHK")</f>
        <v>PCI1520ZHK</v>
      </c>
      <c r="B2537" s="3" t="str">
        <f>HYPERLINK("https://www.773grp.com/manufacturer/texas-instruments?pageNo=51", "Texas Instruments")</f>
        <v>Texas Instruments</v>
      </c>
      <c r="C2537" s="5">
        <v>437</v>
      </c>
      <c r="D2537" s="6">
        <v>12.24</v>
      </c>
      <c r="E2537" t="s">
        <v>57</v>
      </c>
    </row>
    <row r="2538" spans="1:5" x14ac:dyDescent="0.25">
      <c r="A2538" t="str">
        <f>HYPERLINK("https://www.773grp.com/globalSearch/PCI1410RFP/page-1", "PCI1410RFP")</f>
        <v>PCI1410RFP</v>
      </c>
      <c r="B2538" s="3" t="str">
        <f>HYPERLINK("https://www.773grp.com/manufacturer/texas-instruments?pageNo=139", "Texas Instruments")</f>
        <v>Texas Instruments</v>
      </c>
      <c r="C2538" s="5">
        <v>1735</v>
      </c>
      <c r="D2538" s="6">
        <v>12.38</v>
      </c>
      <c r="E2538" t="s">
        <v>57</v>
      </c>
    </row>
    <row r="2539" spans="1:5" x14ac:dyDescent="0.25">
      <c r="A2539" t="str">
        <f>HYPERLINK("https://www.773grp.com/globalSearch/TUSB2140N/page-1", "TUSB2140N")</f>
        <v>TUSB2140N</v>
      </c>
      <c r="B2539" s="3" t="str">
        <f>HYPERLINK("https://www.773grp.com/manufacturer/texas-instruments?pageNo=259", "Texas Instruments")</f>
        <v>Texas Instruments</v>
      </c>
      <c r="C2539" s="5">
        <v>1227</v>
      </c>
      <c r="D2539" s="6">
        <v>12.58</v>
      </c>
      <c r="E2539" t="s">
        <v>57</v>
      </c>
    </row>
    <row r="2540" spans="1:5" x14ac:dyDescent="0.25">
      <c r="A2540" t="str">
        <f>HYPERLINK("https://www.773grp.com/globalSearch/TUSB2140PAG/page-1", "TUSB2140PAG")</f>
        <v>TUSB2140PAG</v>
      </c>
      <c r="B2540" s="3" t="str">
        <f>HYPERLINK("https://www.773grp.com/manufacturer/texas-instruments?pageNo=424", "Texas Instruments")</f>
        <v>Texas Instruments</v>
      </c>
      <c r="C2540" s="5">
        <v>1312</v>
      </c>
      <c r="D2540" s="6">
        <v>12.88</v>
      </c>
      <c r="E2540" t="s">
        <v>57</v>
      </c>
    </row>
    <row r="2541" spans="1:5" x14ac:dyDescent="0.25">
      <c r="A2541" t="str">
        <f>HYPERLINK("https://www.773grp.com/globalSearch/PCI1515GHK/page-1", "PCI1515GHK")</f>
        <v>PCI1515GHK</v>
      </c>
      <c r="B2541" s="3" t="str">
        <f>HYPERLINK("https://www.773grp.com/manufacturer/texas-instruments?pageNo=445", "Texas Instruments")</f>
        <v>Texas Instruments</v>
      </c>
      <c r="C2541" s="5">
        <v>1770</v>
      </c>
      <c r="D2541" s="6">
        <v>12.94</v>
      </c>
      <c r="E2541" t="s">
        <v>57</v>
      </c>
    </row>
    <row r="2542" spans="1:5" x14ac:dyDescent="0.25">
      <c r="A2542" t="str">
        <f>HYPERLINK("https://www.773grp.com/globalSearch/PCI1515ZHK/page-1", "PCI1515ZHK")</f>
        <v>PCI1515ZHK</v>
      </c>
      <c r="B2542" s="3" t="str">
        <f>HYPERLINK("https://www.773grp.com/manufacturer/texas-instruments?pageNo=446", "Texas Instruments")</f>
        <v>Texas Instruments</v>
      </c>
      <c r="C2542" s="5">
        <v>1967</v>
      </c>
      <c r="D2542" s="6">
        <v>12.94</v>
      </c>
      <c r="E2542" t="s">
        <v>57</v>
      </c>
    </row>
    <row r="2543" spans="1:5" x14ac:dyDescent="0.25">
      <c r="A2543" t="str">
        <f>HYPERLINK("https://www.773grp.com/globalSearch/PCI1520GHK/page-1", "PCI1520GHK")</f>
        <v>PCI1520GHK</v>
      </c>
      <c r="B2543" s="3" t="str">
        <f>HYPERLINK("https://www.773grp.com/manufacturer/texas-instruments?pageNo=663", "Texas Instruments")</f>
        <v>Texas Instruments</v>
      </c>
      <c r="C2543" s="5">
        <v>22701</v>
      </c>
      <c r="D2543" s="6">
        <v>13.36</v>
      </c>
      <c r="E2543" t="s">
        <v>57</v>
      </c>
    </row>
    <row r="2544" spans="1:5" x14ac:dyDescent="0.25">
      <c r="A2544" t="str">
        <f>HYPERLINK("https://www.773grp.com/globalSearch/PCI1520IGHK/page-1", "PCI1520IGHK")</f>
        <v>PCI1520IGHK</v>
      </c>
      <c r="B2544" s="3" t="str">
        <f>HYPERLINK("https://www.773grp.com/manufacturer/texas-instruments?pageNo=738", "Texas Instruments")</f>
        <v>Texas Instruments</v>
      </c>
      <c r="C2544" s="5">
        <v>49</v>
      </c>
      <c r="D2544" s="6">
        <v>13.5</v>
      </c>
      <c r="E2544" t="s">
        <v>57</v>
      </c>
    </row>
    <row r="2545" spans="1:5" x14ac:dyDescent="0.25">
      <c r="A2545" t="str">
        <f>HYPERLINK("https://www.773grp.com/globalSearch/PCI1520IPDV/page-1", "PCI1520IPDV")</f>
        <v>PCI1520IPDV</v>
      </c>
      <c r="B2545" s="3" t="str">
        <f>HYPERLINK("https://www.773grp.com/manufacturer/texas-instruments?pageNo=739", "Texas Instruments")</f>
        <v>Texas Instruments</v>
      </c>
      <c r="C2545" s="5">
        <v>21</v>
      </c>
      <c r="D2545" s="6">
        <v>13.5</v>
      </c>
      <c r="E2545" t="s">
        <v>57</v>
      </c>
    </row>
    <row r="2546" spans="1:5" x14ac:dyDescent="0.25">
      <c r="A2546" t="str">
        <f>HYPERLINK("https://www.773grp.com/globalSearch/PCI1211GGU/page-1", "PCI1211GGU")</f>
        <v>PCI1211GGU</v>
      </c>
      <c r="B2546" s="3" t="str">
        <f>HYPERLINK("https://www.773grp.com/manufacturer/texas-instruments?pageNo=796", "Texas Instruments")</f>
        <v>Texas Instruments</v>
      </c>
      <c r="C2546" s="5">
        <v>4</v>
      </c>
      <c r="D2546" s="6">
        <v>13.61</v>
      </c>
      <c r="E2546" t="s">
        <v>57</v>
      </c>
    </row>
    <row r="2547" spans="1:5" x14ac:dyDescent="0.25">
      <c r="A2547" t="str">
        <f>HYPERLINK("https://www.773grp.com/globalSearch/PCI1410AGHK/page-1", "PCI1410AGHK")</f>
        <v>PCI1410AGHK</v>
      </c>
      <c r="B2547" s="3" t="str">
        <f>HYPERLINK("https://www.773grp.com/manufacturer/texas-instruments?pageNo=885", "Texas Instruments")</f>
        <v>Texas Instruments</v>
      </c>
      <c r="C2547" s="5">
        <v>4185</v>
      </c>
      <c r="D2547" s="6">
        <v>13.79</v>
      </c>
      <c r="E2547" t="s">
        <v>57</v>
      </c>
    </row>
    <row r="2548" spans="1:5" x14ac:dyDescent="0.25">
      <c r="A2548" t="str">
        <f>HYPERLINK("https://www.773grp.com/globalSearch/PCI1410GHK/page-1", "PCI1410GHK")</f>
        <v>PCI1410GHK</v>
      </c>
      <c r="B2548" s="3" t="str">
        <f>HYPERLINK("https://www.773grp.com/manufacturer/texas-instruments?pageNo=909", "Texas Instruments")</f>
        <v>Texas Instruments</v>
      </c>
      <c r="C2548" s="5">
        <v>4785</v>
      </c>
      <c r="D2548" s="6">
        <v>13.8</v>
      </c>
      <c r="E2548" t="s">
        <v>57</v>
      </c>
    </row>
    <row r="2549" spans="1:5" x14ac:dyDescent="0.25">
      <c r="A2549" t="str">
        <f>HYPERLINK("https://www.773grp.com/globalSearch/XIO1100GGB/page-1", "XIO1100GGB")</f>
        <v>XIO1100GGB</v>
      </c>
      <c r="B2549" s="3" t="s">
        <v>90</v>
      </c>
      <c r="C2549" s="5">
        <v>16733</v>
      </c>
      <c r="D2549" s="6">
        <v>14.06</v>
      </c>
      <c r="E2549" t="s">
        <v>57</v>
      </c>
    </row>
    <row r="2550" spans="1:5" x14ac:dyDescent="0.25">
      <c r="A2550" t="str">
        <f>HYPERLINK("https://www.773grp.com/globalSearch/XIO1100ZGB/page-1", "XIO1100ZGB")</f>
        <v>XIO1100ZGB</v>
      </c>
      <c r="B2550" s="3" t="s">
        <v>90</v>
      </c>
      <c r="C2550" s="5">
        <v>26867</v>
      </c>
      <c r="D2550" s="6">
        <v>14.06</v>
      </c>
      <c r="E2550" t="s">
        <v>57</v>
      </c>
    </row>
    <row r="2551" spans="1:5" x14ac:dyDescent="0.25">
      <c r="A2551" t="str">
        <f>HYPERLINK("https://www.773grp.com/globalSearch/PCI1410AGGU/page-1", "PCI1410AGGU")</f>
        <v>PCI1410AGGU</v>
      </c>
      <c r="B2551" s="3" t="s">
        <v>90</v>
      </c>
      <c r="C2551" s="5">
        <v>1997</v>
      </c>
      <c r="D2551" s="6">
        <v>14.18</v>
      </c>
      <c r="E2551" t="s">
        <v>57</v>
      </c>
    </row>
    <row r="2552" spans="1:5" x14ac:dyDescent="0.25">
      <c r="A2552" t="str">
        <f>HYPERLINK("https://www.773grp.com/globalSearch/PCI1410APGE/page-1", "PCI1410APGE")</f>
        <v>PCI1410APGE</v>
      </c>
      <c r="B2552" s="3" t="s">
        <v>90</v>
      </c>
      <c r="C2552" s="5">
        <v>1841</v>
      </c>
      <c r="D2552" s="6">
        <v>14.18</v>
      </c>
      <c r="E2552" t="s">
        <v>57</v>
      </c>
    </row>
    <row r="2553" spans="1:5" x14ac:dyDescent="0.25">
      <c r="A2553" t="str">
        <f>HYPERLINK("https://www.773grp.com/globalSearch/PCI1410APGEG4/page-1", "PCI1410APGEG4")</f>
        <v>PCI1410APGEG4</v>
      </c>
      <c r="B2553" s="3" t="s">
        <v>90</v>
      </c>
      <c r="C2553" s="5">
        <v>50</v>
      </c>
      <c r="D2553" s="6">
        <v>14.18</v>
      </c>
      <c r="E2553" t="s">
        <v>57</v>
      </c>
    </row>
    <row r="2554" spans="1:5" x14ac:dyDescent="0.25">
      <c r="A2554" t="str">
        <f>HYPERLINK("https://www.773grp.com/globalSearch/PCI8412ZHK/page-1", "PCI8412ZHK")</f>
        <v>PCI8412ZHK</v>
      </c>
      <c r="B2554" s="3" t="s">
        <v>90</v>
      </c>
      <c r="C2554" s="5">
        <v>6300</v>
      </c>
      <c r="D2554" s="6">
        <v>14.21</v>
      </c>
      <c r="E2554" t="s">
        <v>57</v>
      </c>
    </row>
    <row r="2555" spans="1:5" x14ac:dyDescent="0.25">
      <c r="A2555" t="str">
        <f>HYPERLINK("https://www.773grp.com/globalSearch/PCI7402ZHK/page-1", "PCI7402ZHK")</f>
        <v>PCI7402ZHK</v>
      </c>
      <c r="B2555" s="3" t="s">
        <v>90</v>
      </c>
      <c r="C2555" s="5">
        <v>83</v>
      </c>
      <c r="D2555" s="6">
        <v>14.35</v>
      </c>
      <c r="E2555" t="s">
        <v>57</v>
      </c>
    </row>
    <row r="2556" spans="1:5" x14ac:dyDescent="0.25">
      <c r="A2556" t="str">
        <f>HYPERLINK("https://www.773grp.com/globalSearch/PCI6412ZHK/page-1", "PCI6412ZHK")</f>
        <v>PCI6412ZHK</v>
      </c>
      <c r="B2556" s="3" t="s">
        <v>90</v>
      </c>
      <c r="C2556" s="5">
        <v>6232</v>
      </c>
      <c r="D2556" s="6">
        <v>14.48</v>
      </c>
      <c r="E2556" t="s">
        <v>57</v>
      </c>
    </row>
    <row r="2557" spans="1:5" x14ac:dyDescent="0.25">
      <c r="A2557" t="str">
        <f>HYPERLINK("https://www.773grp.com/globalSearch/PCI1225PDV/page-1", "PCI1225PDV")</f>
        <v>PCI1225PDV</v>
      </c>
      <c r="B2557" s="3" t="s">
        <v>90</v>
      </c>
      <c r="C2557" s="5">
        <v>16362</v>
      </c>
      <c r="D2557" s="6">
        <v>14.9</v>
      </c>
      <c r="E2557" t="s">
        <v>57</v>
      </c>
    </row>
    <row r="2558" spans="1:5" x14ac:dyDescent="0.25">
      <c r="A2558" t="str">
        <f>HYPERLINK("https://www.773grp.com/globalSearch/PCI1520IGHKEP/page-1", "PCI1520IGHKEP")</f>
        <v>PCI1520IGHKEP</v>
      </c>
      <c r="B2558" s="3" t="s">
        <v>90</v>
      </c>
      <c r="C2558" s="5">
        <v>104</v>
      </c>
      <c r="D2558" s="6">
        <v>15.48</v>
      </c>
      <c r="E2558" t="s">
        <v>57</v>
      </c>
    </row>
    <row r="2559" spans="1:5" x14ac:dyDescent="0.25">
      <c r="A2559" t="str">
        <f>HYPERLINK("https://www.773grp.com/globalSearch/PCI6612ZHK/page-1", "PCI6612ZHK")</f>
        <v>PCI6612ZHK</v>
      </c>
      <c r="B2559" s="3" t="s">
        <v>90</v>
      </c>
      <c r="C2559" s="5">
        <v>3778</v>
      </c>
      <c r="D2559" s="6">
        <v>15.48</v>
      </c>
      <c r="E2559" t="s">
        <v>57</v>
      </c>
    </row>
    <row r="2560" spans="1:5" x14ac:dyDescent="0.25">
      <c r="A2560" t="str">
        <f>HYPERLINK("https://www.773grp.com/globalSearch/XIO2213BZAJ/page-1", "XIO2213BZAJ")</f>
        <v>XIO2213BZAJ</v>
      </c>
      <c r="B2560" s="3" t="s">
        <v>90</v>
      </c>
      <c r="C2560" s="5">
        <v>4160</v>
      </c>
      <c r="D2560" s="6">
        <v>16.16</v>
      </c>
      <c r="E2560" t="s">
        <v>57</v>
      </c>
    </row>
    <row r="2561" spans="1:5" x14ac:dyDescent="0.25">
      <c r="A2561" t="str">
        <f>HYPERLINK("https://www.773grp.com/globalSearch/XIO2213BZAY/page-1", "XIO2213BZAY")</f>
        <v>XIO2213BZAY</v>
      </c>
      <c r="B2561" s="3" t="s">
        <v>90</v>
      </c>
      <c r="C2561" s="5">
        <v>267</v>
      </c>
      <c r="D2561" s="6">
        <v>16.16</v>
      </c>
      <c r="E2561" t="s">
        <v>57</v>
      </c>
    </row>
    <row r="2562" spans="1:5" x14ac:dyDescent="0.25">
      <c r="A2562" t="str">
        <f>HYPERLINK("https://www.773grp.com/globalSearch/PCI7412ZHK/page-1", "PCI7412ZHK")</f>
        <v>PCI7412ZHK</v>
      </c>
      <c r="B2562" s="3" t="s">
        <v>90</v>
      </c>
      <c r="C2562" s="5">
        <v>28959</v>
      </c>
      <c r="D2562" s="6">
        <v>16.739999999999998</v>
      </c>
      <c r="E2562" t="s">
        <v>57</v>
      </c>
    </row>
    <row r="2563" spans="1:5" x14ac:dyDescent="0.25">
      <c r="A2563" t="str">
        <f>HYPERLINK("https://www.773grp.com/globalSearch/PCI2250PCM/page-1", "PCI2250PCM")</f>
        <v>PCI2250PCM</v>
      </c>
      <c r="B2563" s="3" t="s">
        <v>90</v>
      </c>
      <c r="C2563" s="5">
        <v>6789</v>
      </c>
      <c r="D2563" s="6">
        <v>17.16</v>
      </c>
      <c r="E2563" t="s">
        <v>57</v>
      </c>
    </row>
    <row r="2564" spans="1:5" x14ac:dyDescent="0.25">
      <c r="A2564" t="str">
        <f>HYPERLINK("https://www.773grp.com/globalSearch/PCI2250PCMG4/page-1", "PCI2250PCMG4")</f>
        <v>PCI2250PCMG4</v>
      </c>
      <c r="B2564" s="3" t="s">
        <v>90</v>
      </c>
      <c r="C2564" s="5">
        <v>1264</v>
      </c>
      <c r="D2564" s="6">
        <v>17.16</v>
      </c>
      <c r="E2564" t="s">
        <v>57</v>
      </c>
    </row>
    <row r="2565" spans="1:5" x14ac:dyDescent="0.25">
      <c r="A2565" t="str">
        <f>HYPERLINK("https://www.773grp.com/globalSearch/PCI2250PGF/page-1", "PCI2250PGF")</f>
        <v>PCI2250PGF</v>
      </c>
      <c r="B2565" s="3" t="s">
        <v>90</v>
      </c>
      <c r="C2565" s="5">
        <v>6331</v>
      </c>
      <c r="D2565" s="6">
        <v>17.16</v>
      </c>
      <c r="E2565" t="s">
        <v>57</v>
      </c>
    </row>
    <row r="2566" spans="1:5" x14ac:dyDescent="0.25">
      <c r="A2566" t="str">
        <f>HYPERLINK("https://www.773grp.com/globalSearch/TSB43DA42AGHCR/page-1", "TSB43DA42AGHCR")</f>
        <v>TSB43DA42AGHCR</v>
      </c>
      <c r="B2566" s="3" t="s">
        <v>90</v>
      </c>
      <c r="C2566" s="5">
        <v>30000</v>
      </c>
      <c r="D2566" s="6">
        <v>19.829999999999998</v>
      </c>
      <c r="E2566" t="s">
        <v>57</v>
      </c>
    </row>
    <row r="2567" spans="1:5" x14ac:dyDescent="0.25">
      <c r="A2567" t="str">
        <f>HYPERLINK("https://www.773grp.com/globalSearch/TUSB6015IZQE/page-1", "TUSB6015IZQE")</f>
        <v>TUSB6015IZQE</v>
      </c>
      <c r="B2567" s="3" t="s">
        <v>90</v>
      </c>
      <c r="C2567" s="5">
        <v>5781</v>
      </c>
      <c r="D2567" s="6">
        <v>21.23</v>
      </c>
      <c r="E2567" t="s">
        <v>57</v>
      </c>
    </row>
    <row r="2568" spans="1:5" x14ac:dyDescent="0.25">
      <c r="A2568" t="str">
        <f>HYPERLINK("https://www.773grp.com/globalSearch/PCI1420GHK/page-1", "PCI1420GHK")</f>
        <v>PCI1420GHK</v>
      </c>
      <c r="B2568" s="3" t="s">
        <v>90</v>
      </c>
      <c r="C2568" s="5">
        <v>21288</v>
      </c>
      <c r="D2568" s="6">
        <v>21.56</v>
      </c>
      <c r="E2568" t="s">
        <v>57</v>
      </c>
    </row>
    <row r="2569" spans="1:5" x14ac:dyDescent="0.25">
      <c r="A2569" t="str">
        <f>HYPERLINK("https://www.773grp.com/globalSearch/PCI1420PDV/page-1", "PCI1420PDV")</f>
        <v>PCI1420PDV</v>
      </c>
      <c r="B2569" s="3" t="s">
        <v>90</v>
      </c>
      <c r="C2569" s="5">
        <v>1068</v>
      </c>
      <c r="D2569" s="6">
        <v>21.56</v>
      </c>
      <c r="E2569" t="s">
        <v>57</v>
      </c>
    </row>
    <row r="2570" spans="1:5" x14ac:dyDescent="0.25">
      <c r="A2570" t="str">
        <f>HYPERLINK("https://www.773grp.com/globalSearch/PCI1420PDVG4/page-1", "PCI1420PDVG4")</f>
        <v>PCI1420PDVG4</v>
      </c>
      <c r="B2570" s="3" t="s">
        <v>90</v>
      </c>
      <c r="C2570" s="5">
        <v>81</v>
      </c>
      <c r="D2570" s="6">
        <v>21.56</v>
      </c>
      <c r="E2570" t="s">
        <v>57</v>
      </c>
    </row>
    <row r="2571" spans="1:5" x14ac:dyDescent="0.25">
      <c r="A2571" t="str">
        <f>HYPERLINK("https://www.773grp.com/globalSearch/PCI7612ZHK/page-1", "PCI7612ZHK")</f>
        <v>PCI7612ZHK</v>
      </c>
      <c r="B2571" s="3" t="s">
        <v>90</v>
      </c>
      <c r="C2571" s="5">
        <v>23744</v>
      </c>
      <c r="D2571" s="6">
        <v>21.8</v>
      </c>
      <c r="E2571" t="s">
        <v>57</v>
      </c>
    </row>
    <row r="2572" spans="1:5" x14ac:dyDescent="0.25">
      <c r="A2572" t="str">
        <f>HYPERLINK("https://www.773grp.com/globalSearch/TSB43DB42ZHCR/page-1", "TSB43DB42ZHCR")</f>
        <v>TSB43DB42ZHCR</v>
      </c>
      <c r="B2572" s="3" t="s">
        <v>90</v>
      </c>
      <c r="C2572" s="5">
        <v>5000</v>
      </c>
      <c r="D2572" s="6">
        <v>22.08</v>
      </c>
      <c r="E2572" t="s">
        <v>57</v>
      </c>
    </row>
    <row r="2573" spans="1:5" x14ac:dyDescent="0.25">
      <c r="A2573" t="str">
        <f>HYPERLINK("https://www.773grp.com/globalSearch/PCI4510GHK/page-1", "PCI4510GHK")</f>
        <v>PCI4510GHK</v>
      </c>
      <c r="B2573" s="3" t="s">
        <v>90</v>
      </c>
      <c r="C2573" s="5">
        <v>12543</v>
      </c>
      <c r="D2573" s="6">
        <v>22.5</v>
      </c>
      <c r="E2573" t="s">
        <v>57</v>
      </c>
    </row>
    <row r="2574" spans="1:5" x14ac:dyDescent="0.25">
      <c r="A2574" t="str">
        <f>HYPERLINK("https://www.773grp.com/globalSearch/PCI4510PDV/page-1", "PCI4510PDV")</f>
        <v>PCI4510PDV</v>
      </c>
      <c r="B2574" s="3" t="s">
        <v>90</v>
      </c>
      <c r="C2574" s="5">
        <v>175</v>
      </c>
      <c r="D2574" s="6">
        <v>22.5</v>
      </c>
      <c r="E2574" t="s">
        <v>57</v>
      </c>
    </row>
    <row r="2575" spans="1:5" x14ac:dyDescent="0.25">
      <c r="A2575" t="str">
        <f>HYPERLINK("https://www.773grp.com/globalSearch/PCI2050GHK/page-1", "PCI2050GHK")</f>
        <v>PCI2050GHK</v>
      </c>
      <c r="B2575" s="3" t="s">
        <v>90</v>
      </c>
      <c r="C2575" s="5">
        <v>2248</v>
      </c>
      <c r="D2575" s="6">
        <v>23.06</v>
      </c>
      <c r="E2575" t="s">
        <v>57</v>
      </c>
    </row>
    <row r="2576" spans="1:5" x14ac:dyDescent="0.25">
      <c r="A2576" t="str">
        <f>HYPERLINK("https://www.773grp.com/globalSearch/PCI2050PDV/page-1", "PCI2050PDV")</f>
        <v>PCI2050PDV</v>
      </c>
      <c r="B2576" s="3" t="s">
        <v>90</v>
      </c>
      <c r="C2576" s="5">
        <v>4</v>
      </c>
      <c r="D2576" s="6">
        <v>23.06</v>
      </c>
      <c r="E2576" t="s">
        <v>57</v>
      </c>
    </row>
    <row r="2577" spans="1:5" x14ac:dyDescent="0.25">
      <c r="A2577" t="str">
        <f>HYPERLINK("https://www.773grp.com/globalSearch/PCI2050ZHK/page-1", "PCI2050ZHK")</f>
        <v>PCI2050ZHK</v>
      </c>
      <c r="B2577" s="3" t="s">
        <v>90</v>
      </c>
      <c r="C2577" s="5">
        <v>3660</v>
      </c>
      <c r="D2577" s="6">
        <v>23.06</v>
      </c>
      <c r="E2577" t="s">
        <v>57</v>
      </c>
    </row>
    <row r="2578" spans="1:5" x14ac:dyDescent="0.25">
      <c r="A2578" t="str">
        <f>HYPERLINK("https://www.773grp.com/globalSearch/PCI6515AGHK/page-1", "PCI6515AGHK")</f>
        <v>PCI6515AGHK</v>
      </c>
      <c r="B2578" s="3" t="s">
        <v>90</v>
      </c>
      <c r="C2578" s="5">
        <v>11945</v>
      </c>
      <c r="D2578" s="6">
        <v>23.2</v>
      </c>
      <c r="E2578" t="s">
        <v>57</v>
      </c>
    </row>
    <row r="2579" spans="1:5" x14ac:dyDescent="0.25">
      <c r="A2579" t="str">
        <f>HYPERLINK("https://www.773grp.com/globalSearch/PCI6515AZHK/page-1", "PCI6515AZHK")</f>
        <v>PCI6515AZHK</v>
      </c>
      <c r="B2579" s="3" t="s">
        <v>90</v>
      </c>
      <c r="C2579" s="5">
        <v>990</v>
      </c>
      <c r="D2579" s="6">
        <v>23.2</v>
      </c>
      <c r="E2579" t="s">
        <v>57</v>
      </c>
    </row>
    <row r="2580" spans="1:5" x14ac:dyDescent="0.25">
      <c r="A2580" t="str">
        <f>HYPERLINK("https://www.773grp.com/globalSearch/PCI4510RGVF/page-1", "PCI4510RGVF")</f>
        <v>PCI4510RGVF</v>
      </c>
      <c r="B2580" s="3" t="s">
        <v>90</v>
      </c>
      <c r="C2580" s="5">
        <v>71330</v>
      </c>
      <c r="D2580" s="6">
        <v>23.91</v>
      </c>
      <c r="E2580" t="s">
        <v>57</v>
      </c>
    </row>
    <row r="2581" spans="1:5" x14ac:dyDescent="0.25">
      <c r="A2581" t="str">
        <f>HYPERLINK("https://www.773grp.com/globalSearch/PCI4510RZVF/page-1", "PCI4510RZVF")</f>
        <v>PCI4510RZVF</v>
      </c>
      <c r="B2581" s="3" t="s">
        <v>90</v>
      </c>
      <c r="C2581" s="5">
        <v>22</v>
      </c>
      <c r="D2581" s="6">
        <v>23.91</v>
      </c>
      <c r="E2581" t="s">
        <v>57</v>
      </c>
    </row>
    <row r="2582" spans="1:5" x14ac:dyDescent="0.25">
      <c r="A2582" t="str">
        <f>HYPERLINK("https://www.773grp.com/globalSearch/PCI4515AGHK/page-1", "PCI4515AGHK")</f>
        <v>PCI4515AGHK</v>
      </c>
      <c r="B2582" s="3" t="s">
        <v>90</v>
      </c>
      <c r="C2582" s="5">
        <v>12240</v>
      </c>
      <c r="D2582" s="6">
        <v>23.91</v>
      </c>
      <c r="E2582" t="s">
        <v>57</v>
      </c>
    </row>
    <row r="2583" spans="1:5" x14ac:dyDescent="0.25">
      <c r="A2583" t="str">
        <f>HYPERLINK("https://www.773grp.com/globalSearch/PCI4515AZHK/page-1", "PCI4515AZHK")</f>
        <v>PCI4515AZHK</v>
      </c>
      <c r="B2583" s="3" t="s">
        <v>90</v>
      </c>
      <c r="C2583" s="5">
        <v>91595</v>
      </c>
      <c r="D2583" s="6">
        <v>23.91</v>
      </c>
      <c r="E2583" t="s">
        <v>57</v>
      </c>
    </row>
    <row r="2584" spans="1:5" x14ac:dyDescent="0.25">
      <c r="A2584" t="str">
        <f>HYPERLINK("https://www.773grp.com/globalSearch/PCI4515GHK/page-1", "PCI4515GHK")</f>
        <v>PCI4515GHK</v>
      </c>
      <c r="B2584" s="3" t="s">
        <v>90</v>
      </c>
      <c r="C2584" s="5">
        <v>302</v>
      </c>
      <c r="D2584" s="6">
        <v>23.91</v>
      </c>
      <c r="E2584" t="s">
        <v>57</v>
      </c>
    </row>
    <row r="2585" spans="1:5" x14ac:dyDescent="0.25">
      <c r="A2585" t="str">
        <f>HYPERLINK("https://www.773grp.com/globalSearch/PCI4515ZHK/page-1", "PCI4515ZHK")</f>
        <v>PCI4515ZHK</v>
      </c>
      <c r="B2585" s="3" t="s">
        <v>90</v>
      </c>
      <c r="C2585" s="5">
        <v>2243</v>
      </c>
      <c r="D2585" s="6">
        <v>23.91</v>
      </c>
      <c r="E2585" t="s">
        <v>57</v>
      </c>
    </row>
    <row r="2586" spans="1:5" x14ac:dyDescent="0.25">
      <c r="A2586" t="str">
        <f>HYPERLINK("https://www.773grp.com/globalSearch/TSB43DA42AGHC/page-1", "TSB43DA42AGHC")</f>
        <v>TSB43DA42AGHC</v>
      </c>
      <c r="B2586" s="3" t="s">
        <v>90</v>
      </c>
      <c r="C2586" s="5">
        <v>7308</v>
      </c>
      <c r="D2586" s="6">
        <v>23.91</v>
      </c>
      <c r="E2586" t="s">
        <v>57</v>
      </c>
    </row>
    <row r="2587" spans="1:5" x14ac:dyDescent="0.25">
      <c r="A2587" t="str">
        <f>HYPERLINK("https://www.773grp.com/globalSearch/TSB43DA42GHC/page-1", "TSB43DA42GHC")</f>
        <v>TSB43DA42GHC</v>
      </c>
      <c r="B2587" s="3" t="s">
        <v>90</v>
      </c>
      <c r="C2587" s="5">
        <v>3257</v>
      </c>
      <c r="D2587" s="6">
        <v>23.91</v>
      </c>
      <c r="E2587" t="s">
        <v>57</v>
      </c>
    </row>
    <row r="2588" spans="1:5" x14ac:dyDescent="0.25">
      <c r="A2588" t="str">
        <f>HYPERLINK("https://www.773grp.com/globalSearch/TUSB6010BIZQER/page-1", "TUSB6010BIZQER")</f>
        <v>TUSB6010BIZQER</v>
      </c>
      <c r="B2588" s="3" t="s">
        <v>90</v>
      </c>
      <c r="C2588" s="5">
        <v>77500</v>
      </c>
      <c r="D2588" s="6">
        <v>24.05</v>
      </c>
      <c r="E2588" t="s">
        <v>57</v>
      </c>
    </row>
    <row r="2589" spans="1:5" x14ac:dyDescent="0.25">
      <c r="A2589" t="str">
        <f>HYPERLINK("https://www.773grp.com/globalSearch/XIO3130ZHC/page-1", "XIO3130ZHC")</f>
        <v>XIO3130ZHC</v>
      </c>
      <c r="B2589" s="3" t="s">
        <v>90</v>
      </c>
      <c r="C2589" s="5">
        <v>445</v>
      </c>
      <c r="D2589" s="6">
        <v>24.6</v>
      </c>
      <c r="E2589" t="s">
        <v>57</v>
      </c>
    </row>
    <row r="2590" spans="1:5" x14ac:dyDescent="0.25">
      <c r="A2590" t="str">
        <f>HYPERLINK("https://www.773grp.com/globalSearch/PCI2050IGHK/page-1", "PCI2050IGHK")</f>
        <v>PCI2050IGHK</v>
      </c>
      <c r="B2590" s="3" t="s">
        <v>90</v>
      </c>
      <c r="C2590" s="5">
        <v>14670</v>
      </c>
      <c r="D2590" s="6">
        <v>25.31</v>
      </c>
      <c r="E2590" t="s">
        <v>57</v>
      </c>
    </row>
    <row r="2591" spans="1:5" x14ac:dyDescent="0.25">
      <c r="A2591" t="str">
        <f>HYPERLINK("https://www.773grp.com/globalSearch/PCI4410AGHK/page-1", "PCI4410AGHK")</f>
        <v>PCI4410AGHK</v>
      </c>
      <c r="B2591" s="3" t="s">
        <v>90</v>
      </c>
      <c r="C2591" s="5">
        <v>44951</v>
      </c>
      <c r="D2591" s="6">
        <v>25.45</v>
      </c>
      <c r="E2591" t="s">
        <v>57</v>
      </c>
    </row>
    <row r="2592" spans="1:5" x14ac:dyDescent="0.25">
      <c r="A2592" t="str">
        <f>HYPERLINK("https://www.773grp.com/globalSearch/PCI4410APDV/page-1", "PCI4410APDV")</f>
        <v>PCI4410APDV</v>
      </c>
      <c r="B2592" s="3" t="s">
        <v>90</v>
      </c>
      <c r="C2592" s="5">
        <v>13318</v>
      </c>
      <c r="D2592" s="6">
        <v>25.45</v>
      </c>
      <c r="E2592" t="s">
        <v>57</v>
      </c>
    </row>
    <row r="2593" spans="1:5" x14ac:dyDescent="0.25">
      <c r="A2593" t="str">
        <f>HYPERLINK("https://www.773grp.com/globalSearch/TUSB5152PZ/page-1", "TUSB5152PZ")</f>
        <v>TUSB5152PZ</v>
      </c>
      <c r="B2593" s="3" t="s">
        <v>90</v>
      </c>
      <c r="C2593" s="5">
        <v>2509</v>
      </c>
      <c r="D2593" s="6">
        <v>25.54</v>
      </c>
      <c r="E2593" t="s">
        <v>57</v>
      </c>
    </row>
    <row r="2594" spans="1:5" x14ac:dyDescent="0.25">
      <c r="A2594" t="str">
        <f>HYPERLINK("https://www.773grp.com/globalSearch/TUSB6010BIZQE/page-1", "TUSB6010BIZQE")</f>
        <v>TUSB6010BIZQE</v>
      </c>
      <c r="B2594" s="3" t="s">
        <v>90</v>
      </c>
      <c r="C2594" s="5">
        <v>6125</v>
      </c>
      <c r="D2594" s="6">
        <v>26.29</v>
      </c>
      <c r="E2594" t="s">
        <v>57</v>
      </c>
    </row>
    <row r="2595" spans="1:5" x14ac:dyDescent="0.25">
      <c r="A2595" t="str">
        <f>HYPERLINK("https://www.773grp.com/globalSearch/XIO2200AGGW/page-1", "XIO2200AGGW")</f>
        <v>XIO2200AGGW</v>
      </c>
      <c r="B2595" s="3" t="s">
        <v>90</v>
      </c>
      <c r="C2595" s="5">
        <v>10330</v>
      </c>
      <c r="D2595" s="6">
        <v>26.44</v>
      </c>
      <c r="E2595" t="s">
        <v>57</v>
      </c>
    </row>
    <row r="2596" spans="1:5" x14ac:dyDescent="0.25">
      <c r="A2596" t="str">
        <f>HYPERLINK("https://www.773grp.com/globalSearch/XIO2200AZGW/page-1", "XIO2200AZGW")</f>
        <v>XIO2200AZGW</v>
      </c>
      <c r="B2596" s="3" t="s">
        <v>90</v>
      </c>
      <c r="C2596" s="5">
        <v>399</v>
      </c>
      <c r="D2596" s="6">
        <v>26.44</v>
      </c>
      <c r="E2596" t="s">
        <v>57</v>
      </c>
    </row>
    <row r="2597" spans="1:5" x14ac:dyDescent="0.25">
      <c r="A2597" t="str">
        <f>HYPERLINK("https://www.773grp.com/globalSearch/PCI2050BGHK/page-1", "PCI2050BGHK")</f>
        <v>PCI2050BGHK</v>
      </c>
      <c r="B2597" s="3" t="s">
        <v>90</v>
      </c>
      <c r="C2597" s="5">
        <v>7210</v>
      </c>
      <c r="D2597" s="6">
        <v>26.71</v>
      </c>
      <c r="E2597" t="s">
        <v>57</v>
      </c>
    </row>
    <row r="2598" spans="1:5" x14ac:dyDescent="0.25">
      <c r="A2598" t="str">
        <f>HYPERLINK("https://www.773grp.com/globalSearch/PCI2050BPDV/page-1", "PCI2050BPDV")</f>
        <v>PCI2050BPDV</v>
      </c>
      <c r="B2598" s="3" t="s">
        <v>90</v>
      </c>
      <c r="C2598" s="5">
        <v>151</v>
      </c>
      <c r="D2598" s="6">
        <v>26.71</v>
      </c>
      <c r="E2598" t="s">
        <v>57</v>
      </c>
    </row>
    <row r="2599" spans="1:5" x14ac:dyDescent="0.25">
      <c r="A2599" t="str">
        <f>HYPERLINK("https://www.773grp.com/globalSearch/PCI2050BPPM/page-1", "PCI2050BPPM")</f>
        <v>PCI2050BPPM</v>
      </c>
      <c r="B2599" s="3" t="s">
        <v>90</v>
      </c>
      <c r="C2599" s="5">
        <v>6232</v>
      </c>
      <c r="D2599" s="6">
        <v>26.71</v>
      </c>
      <c r="E2599" t="s">
        <v>57</v>
      </c>
    </row>
    <row r="2600" spans="1:5" x14ac:dyDescent="0.25">
      <c r="A2600" t="str">
        <f>HYPERLINK("https://www.773grp.com/globalSearch/PCI2050BZHK/page-1", "PCI2050BZHK")</f>
        <v>PCI2050BZHK</v>
      </c>
      <c r="B2600" s="3" t="s">
        <v>90</v>
      </c>
      <c r="C2600" s="5">
        <v>6</v>
      </c>
      <c r="D2600" s="6">
        <v>26.71</v>
      </c>
      <c r="E2600" t="s">
        <v>57</v>
      </c>
    </row>
    <row r="2601" spans="1:5" x14ac:dyDescent="0.25">
      <c r="A2601" t="str">
        <f>HYPERLINK("https://www.773grp.com/globalSearch/PCI6420GHK/page-1", "PCI6420GHK")</f>
        <v>PCI6420GHK</v>
      </c>
      <c r="B2601" s="3" t="s">
        <v>90</v>
      </c>
      <c r="C2601" s="5">
        <v>168484</v>
      </c>
      <c r="D2601" s="6">
        <v>26.71</v>
      </c>
      <c r="E2601" t="s">
        <v>57</v>
      </c>
    </row>
    <row r="2602" spans="1:5" x14ac:dyDescent="0.25">
      <c r="A2602" t="str">
        <f>HYPERLINK("https://www.773grp.com/globalSearch/PCI6420ZHK/page-1", "PCI6420ZHK")</f>
        <v>PCI6420ZHK</v>
      </c>
      <c r="B2602" s="3" t="s">
        <v>90</v>
      </c>
      <c r="C2602" s="5">
        <v>720</v>
      </c>
      <c r="D2602" s="6">
        <v>26.71</v>
      </c>
      <c r="E2602" t="s">
        <v>57</v>
      </c>
    </row>
    <row r="2603" spans="1:5" x14ac:dyDescent="0.25">
      <c r="A2603" t="str">
        <f>HYPERLINK("https://www.773grp.com/globalSearch/PCI7515GHK/page-1", "PCI7515GHK")</f>
        <v>PCI7515GHK</v>
      </c>
      <c r="B2603" s="3" t="s">
        <v>90</v>
      </c>
      <c r="C2603" s="5">
        <v>1887</v>
      </c>
      <c r="D2603" s="6">
        <v>26.71</v>
      </c>
      <c r="E2603" t="s">
        <v>57</v>
      </c>
    </row>
    <row r="2604" spans="1:5" x14ac:dyDescent="0.25">
      <c r="A2604" t="str">
        <f>HYPERLINK("https://www.773grp.com/globalSearch/PCI7515ZHK/page-1", "PCI7515ZHK")</f>
        <v>PCI7515ZHK</v>
      </c>
      <c r="B2604" s="3" t="s">
        <v>90</v>
      </c>
      <c r="C2604" s="5">
        <v>1945</v>
      </c>
      <c r="D2604" s="6">
        <v>26.71</v>
      </c>
      <c r="E2604" t="s">
        <v>57</v>
      </c>
    </row>
    <row r="2605" spans="1:5" x14ac:dyDescent="0.25">
      <c r="A2605" t="str">
        <f>HYPERLINK("https://www.773grp.com/globalSearch/DS2000AZZZ/page-1", "DS2000AZZZ")</f>
        <v>DS2000AZZZ</v>
      </c>
      <c r="B2605" s="3" t="s">
        <v>90</v>
      </c>
      <c r="C2605" s="5">
        <v>7513</v>
      </c>
      <c r="D2605" s="6">
        <v>26.8</v>
      </c>
      <c r="E2605" t="s">
        <v>57</v>
      </c>
    </row>
    <row r="2606" spans="1:5" x14ac:dyDescent="0.25">
      <c r="A2606" t="str">
        <f>HYPERLINK("https://www.773grp.com/globalSearch/XIO3130IZHC/page-1", "XIO3130IZHC")</f>
        <v>XIO3130IZHC</v>
      </c>
      <c r="B2606" s="3" t="s">
        <v>90</v>
      </c>
      <c r="C2606" s="5">
        <v>66</v>
      </c>
      <c r="D2606" s="6">
        <v>27.14</v>
      </c>
      <c r="E2606" t="s">
        <v>57</v>
      </c>
    </row>
    <row r="2607" spans="1:5" x14ac:dyDescent="0.25">
      <c r="A2607" t="str">
        <f>HYPERLINK("https://www.773grp.com/globalSearch/TSB43DB42GHC/page-1", "TSB43DB42GHC")</f>
        <v>TSB43DB42GHC</v>
      </c>
      <c r="B2607" s="3" t="str">
        <f>HYPERLINK("https://www.773grp.com/manufacturer/texas-instruments?pageNo=51", "Texas Instruments")</f>
        <v>Texas Instruments</v>
      </c>
      <c r="C2607" s="5">
        <v>670</v>
      </c>
      <c r="D2607" s="6">
        <v>27.71</v>
      </c>
      <c r="E2607" t="s">
        <v>57</v>
      </c>
    </row>
    <row r="2608" spans="1:5" x14ac:dyDescent="0.25">
      <c r="A2608" t="str">
        <f>HYPERLINK("https://www.773grp.com/globalSearch/TSB43DB42ZHC/page-1", "TSB43DB42ZHC")</f>
        <v>TSB43DB42ZHC</v>
      </c>
      <c r="B2608" s="3" t="str">
        <f>HYPERLINK("https://www.773grp.com/manufacturer/texas-instruments?pageNo=52", "Texas Instruments")</f>
        <v>Texas Instruments</v>
      </c>
      <c r="C2608" s="5">
        <v>11218</v>
      </c>
      <c r="D2608" s="6">
        <v>27.71</v>
      </c>
      <c r="E2608" t="s">
        <v>57</v>
      </c>
    </row>
    <row r="2609" spans="1:5" x14ac:dyDescent="0.25">
      <c r="A2609" t="str">
        <f>HYPERLINK("https://www.773grp.com/globalSearch/PCI4510AGHK/page-1", "PCI4510AGHK")</f>
        <v>PCI4510AGHK</v>
      </c>
      <c r="B2609" s="3" t="str">
        <f>HYPERLINK("https://www.773grp.com/manufacturer/texas-instruments?pageNo=107", "Texas Instruments")</f>
        <v>Texas Instruments</v>
      </c>
      <c r="C2609" s="5">
        <v>2340</v>
      </c>
      <c r="D2609" s="6">
        <v>27.98</v>
      </c>
      <c r="E2609" t="s">
        <v>57</v>
      </c>
    </row>
    <row r="2610" spans="1:5" x14ac:dyDescent="0.25">
      <c r="A2610" t="str">
        <f>HYPERLINK("https://www.773grp.com/globalSearch/PCI4510AZHK/page-1", "PCI4510AZHK")</f>
        <v>PCI4510AZHK</v>
      </c>
      <c r="B2610" s="3" t="str">
        <f>HYPERLINK("https://www.773grp.com/manufacturer/texas-instruments?pageNo=108", "Texas Instruments")</f>
        <v>Texas Instruments</v>
      </c>
      <c r="C2610" s="5">
        <v>19595</v>
      </c>
      <c r="D2610" s="6">
        <v>27.98</v>
      </c>
      <c r="E2610" t="s">
        <v>57</v>
      </c>
    </row>
    <row r="2611" spans="1:5" x14ac:dyDescent="0.25">
      <c r="A2611" t="str">
        <f>HYPERLINK("https://www.773grp.com/globalSearch/PCI2050BIGHK/page-1", "PCI2050BIGHK")</f>
        <v>PCI2050BIGHK</v>
      </c>
      <c r="B2611" s="3" t="str">
        <f>HYPERLINK("https://www.773grp.com/manufacturer/texas-instruments?pageNo=354", "Texas Instruments")</f>
        <v>Texas Instruments</v>
      </c>
      <c r="C2611" s="5">
        <v>156</v>
      </c>
      <c r="D2611" s="6">
        <v>29.4</v>
      </c>
      <c r="E2611" t="s">
        <v>57</v>
      </c>
    </row>
    <row r="2612" spans="1:5" x14ac:dyDescent="0.25">
      <c r="A2612" t="str">
        <f>HYPERLINK("https://www.773grp.com/globalSearch/PCI2050BIPDV/page-1", "PCI2050BIPDV")</f>
        <v>PCI2050BIPDV</v>
      </c>
      <c r="B2612" s="3" t="str">
        <f>HYPERLINK("https://www.773grp.com/manufacturer/texas-instruments?pageNo=355", "Texas Instruments")</f>
        <v>Texas Instruments</v>
      </c>
      <c r="C2612" s="5">
        <v>1</v>
      </c>
      <c r="D2612" s="6">
        <v>29.4</v>
      </c>
      <c r="E2612" t="s">
        <v>57</v>
      </c>
    </row>
    <row r="2613" spans="1:5" x14ac:dyDescent="0.25">
      <c r="A2613" t="str">
        <f>HYPERLINK("https://www.773grp.com/globalSearch/PCI6411GHK/page-1", "PCI6411GHK")</f>
        <v>PCI6411GHK</v>
      </c>
      <c r="B2613" s="3" t="str">
        <f>HYPERLINK("https://www.773grp.com/manufacturer/texas-instruments?pageNo=377", "Texas Instruments")</f>
        <v>Texas Instruments</v>
      </c>
      <c r="C2613" s="5">
        <v>1170</v>
      </c>
      <c r="D2613" s="6">
        <v>29.54</v>
      </c>
      <c r="E2613" t="s">
        <v>57</v>
      </c>
    </row>
    <row r="2614" spans="1:5" x14ac:dyDescent="0.25">
      <c r="A2614" t="str">
        <f>HYPERLINK("https://www.773grp.com/globalSearch/PCI6411ZHK/page-1", "PCI6411ZHK")</f>
        <v>PCI6411ZHK</v>
      </c>
      <c r="B2614" s="3" t="str">
        <f>HYPERLINK("https://www.773grp.com/manufacturer/texas-instruments?pageNo=378", "Texas Instruments")</f>
        <v>Texas Instruments</v>
      </c>
      <c r="C2614" s="5">
        <v>12240</v>
      </c>
      <c r="D2614" s="6">
        <v>29.54</v>
      </c>
      <c r="E2614" t="s">
        <v>57</v>
      </c>
    </row>
    <row r="2615" spans="1:5" x14ac:dyDescent="0.25">
      <c r="A2615" t="str">
        <f>HYPERLINK("https://www.773grp.com/globalSearch/PCI4451GFN/page-1", "PCI4451GFN")</f>
        <v>PCI4451GFN</v>
      </c>
      <c r="B2615" s="3" t="str">
        <f>HYPERLINK("https://www.773grp.com/manufacturer/texas-instruments?pageNo=445", "Texas Instruments")</f>
        <v>Texas Instruments</v>
      </c>
      <c r="C2615" s="5">
        <v>47617</v>
      </c>
      <c r="D2615" s="6">
        <v>30.09</v>
      </c>
      <c r="E2615" t="s">
        <v>57</v>
      </c>
    </row>
    <row r="2616" spans="1:5" x14ac:dyDescent="0.25">
      <c r="A2616" t="str">
        <f>HYPERLINK("https://www.773grp.com/globalSearch/PCI4451GJG/page-1", "PCI4451GJG")</f>
        <v>PCI4451GJG</v>
      </c>
      <c r="B2616" s="3" t="str">
        <f>HYPERLINK("https://www.773grp.com/manufacturer/texas-instruments?pageNo=446", "Texas Instruments")</f>
        <v>Texas Instruments</v>
      </c>
      <c r="C2616" s="5">
        <v>7320</v>
      </c>
      <c r="D2616" s="6">
        <v>30.09</v>
      </c>
      <c r="E2616" t="s">
        <v>57</v>
      </c>
    </row>
    <row r="2617" spans="1:5" x14ac:dyDescent="0.25">
      <c r="A2617" t="str">
        <f>HYPERLINK("https://www.773grp.com/globalSearch/HPC3130APBM/page-1", "HPC3130APBM")</f>
        <v>HPC3130APBM</v>
      </c>
      <c r="B2617" s="3" t="str">
        <f>HYPERLINK("https://www.773grp.com/manufacturer/texas-instruments?pageNo=584", "Texas Instruments")</f>
        <v>Texas Instruments</v>
      </c>
      <c r="C2617" s="5">
        <v>3033</v>
      </c>
      <c r="D2617" s="6">
        <v>30.8</v>
      </c>
      <c r="E2617" t="s">
        <v>57</v>
      </c>
    </row>
    <row r="2618" spans="1:5" x14ac:dyDescent="0.25">
      <c r="A2618" t="str">
        <f>HYPERLINK("https://www.773grp.com/globalSearch/HPC3130PBM/page-1", "HPC3130PBM")</f>
        <v>HPC3130PBM</v>
      </c>
      <c r="B2618" s="3" t="str">
        <f>HYPERLINK("https://www.773grp.com/manufacturer/texas-instruments?pageNo=585", "Texas Instruments")</f>
        <v>Texas Instruments</v>
      </c>
      <c r="C2618" s="5">
        <v>3911</v>
      </c>
      <c r="D2618" s="6">
        <v>30.8</v>
      </c>
      <c r="E2618" t="s">
        <v>57</v>
      </c>
    </row>
    <row r="2619" spans="1:5" x14ac:dyDescent="0.25">
      <c r="A2619" t="str">
        <f>HYPERLINK("https://www.773grp.com/globalSearch/PCI7410GHK/page-1", "PCI7410GHK")</f>
        <v>PCI7410GHK</v>
      </c>
      <c r="B2619" s="3" t="str">
        <f>HYPERLINK("https://www.773grp.com/manufacturer/texas-instruments?pageNo=619", "Texas Instruments")</f>
        <v>Texas Instruments</v>
      </c>
      <c r="C2619" s="5">
        <v>463</v>
      </c>
      <c r="D2619" s="6">
        <v>30.94</v>
      </c>
      <c r="E2619" t="s">
        <v>57</v>
      </c>
    </row>
    <row r="2620" spans="1:5" x14ac:dyDescent="0.25">
      <c r="A2620" t="str">
        <f>HYPERLINK("https://www.773grp.com/globalSearch/PCI7410PDV/page-1", "PCI7410PDV")</f>
        <v>PCI7410PDV</v>
      </c>
      <c r="B2620" s="3" t="str">
        <f>HYPERLINK("https://www.773grp.com/manufacturer/texas-instruments?pageNo=620", "Texas Instruments")</f>
        <v>Texas Instruments</v>
      </c>
      <c r="C2620" s="5">
        <v>312</v>
      </c>
      <c r="D2620" s="6">
        <v>30.94</v>
      </c>
      <c r="E2620" t="s">
        <v>57</v>
      </c>
    </row>
    <row r="2621" spans="1:5" x14ac:dyDescent="0.25">
      <c r="A2621" t="str">
        <f>HYPERLINK("https://www.773grp.com/globalSearch/PCI7510GHK/page-1", "PCI7510GHK")</f>
        <v>PCI7510GHK</v>
      </c>
      <c r="B2621" s="3" t="str">
        <f>HYPERLINK("https://www.773grp.com/manufacturer/texas-instruments?pageNo=622", "Texas Instruments")</f>
        <v>Texas Instruments</v>
      </c>
      <c r="C2621" s="5">
        <v>2885</v>
      </c>
      <c r="D2621" s="6">
        <v>30.94</v>
      </c>
      <c r="E2621" t="s">
        <v>57</v>
      </c>
    </row>
    <row r="2622" spans="1:5" x14ac:dyDescent="0.25">
      <c r="A2622" t="str">
        <f>HYPERLINK("https://www.773grp.com/globalSearch/PCI7510PDV/page-1", "PCI7510PDV")</f>
        <v>PCI7510PDV</v>
      </c>
      <c r="B2622" s="3" t="str">
        <f>HYPERLINK("https://www.773grp.com/manufacturer/texas-instruments?pageNo=623", "Texas Instruments")</f>
        <v>Texas Instruments</v>
      </c>
      <c r="C2622" s="5">
        <v>215</v>
      </c>
      <c r="D2622" s="6">
        <v>30.94</v>
      </c>
      <c r="E2622" t="s">
        <v>57</v>
      </c>
    </row>
    <row r="2623" spans="1:5" x14ac:dyDescent="0.25">
      <c r="A2623" t="str">
        <f>HYPERLINK("https://www.773grp.com/globalSearch/PCI1450GJG/page-1", "PCI1450GJG")</f>
        <v>PCI1450GJG</v>
      </c>
      <c r="B2623" s="3" t="str">
        <f>HYPERLINK("https://www.773grp.com/manufacturer/texas-instruments?pageNo=855", "Texas Instruments")</f>
        <v>Texas Instruments</v>
      </c>
      <c r="C2623" s="5">
        <v>1568</v>
      </c>
      <c r="D2623" s="6">
        <v>32.51</v>
      </c>
      <c r="E2623" t="s">
        <v>57</v>
      </c>
    </row>
    <row r="2624" spans="1:5" x14ac:dyDescent="0.25">
      <c r="A2624" t="str">
        <f>HYPERLINK("https://www.773grp.com/globalSearch/PCI1451AGJG/page-1", "PCI1451AGJG")</f>
        <v>PCI1451AGJG</v>
      </c>
      <c r="B2624" s="3" t="str">
        <f>HYPERLINK("https://www.773grp.com/manufacturer/texas-instruments?pageNo=933", "Texas Instruments")</f>
        <v>Texas Instruments</v>
      </c>
      <c r="C2624" s="5">
        <v>90</v>
      </c>
      <c r="D2624" s="6">
        <v>33.21</v>
      </c>
      <c r="E2624" t="s">
        <v>57</v>
      </c>
    </row>
    <row r="2625" spans="1:5" x14ac:dyDescent="0.25">
      <c r="A2625" t="str">
        <f>HYPERLINK("https://www.773grp.com/globalSearch/PCI2060GHK/page-1", "PCI2060GHK")</f>
        <v>PCI2060GHK</v>
      </c>
      <c r="B2625" s="3" t="s">
        <v>90</v>
      </c>
      <c r="C2625" s="5">
        <v>90</v>
      </c>
      <c r="D2625" s="6">
        <v>33.46</v>
      </c>
      <c r="E2625" t="s">
        <v>57</v>
      </c>
    </row>
    <row r="2626" spans="1:5" x14ac:dyDescent="0.25">
      <c r="A2626" t="str">
        <f>HYPERLINK("https://www.773grp.com/globalSearch/PCI2060IGHK/page-1", "PCI2060IGHK")</f>
        <v>PCI2060IGHK</v>
      </c>
      <c r="B2626" s="3" t="s">
        <v>90</v>
      </c>
      <c r="C2626" s="5">
        <v>36</v>
      </c>
      <c r="D2626" s="6">
        <v>33.46</v>
      </c>
      <c r="E2626" t="s">
        <v>57</v>
      </c>
    </row>
    <row r="2627" spans="1:5" x14ac:dyDescent="0.25">
      <c r="A2627" t="str">
        <f>HYPERLINK("https://www.773grp.com/globalSearch/XIO2213AZAY/page-1", "XIO2213AZAY")</f>
        <v>XIO2213AZAY</v>
      </c>
      <c r="B2627" s="3" t="s">
        <v>90</v>
      </c>
      <c r="C2627" s="5">
        <v>274</v>
      </c>
      <c r="D2627" s="6">
        <v>33.46</v>
      </c>
      <c r="E2627" t="s">
        <v>57</v>
      </c>
    </row>
    <row r="2628" spans="1:5" x14ac:dyDescent="0.25">
      <c r="A2628" t="str">
        <f>HYPERLINK("https://www.773grp.com/globalSearch/PCI7610GHK/page-1", "PCI7610GHK")</f>
        <v>PCI7610GHK</v>
      </c>
      <c r="B2628" s="3" t="s">
        <v>90</v>
      </c>
      <c r="C2628" s="5">
        <v>732</v>
      </c>
      <c r="D2628" s="6">
        <v>33.75</v>
      </c>
      <c r="E2628" t="s">
        <v>57</v>
      </c>
    </row>
    <row r="2629" spans="1:5" x14ac:dyDescent="0.25">
      <c r="A2629" t="str">
        <f>HYPERLINK("https://www.773grp.com/globalSearch/PCI7610PDV/page-1", "PCI7610PDV")</f>
        <v>PCI7610PDV</v>
      </c>
      <c r="B2629" s="3" t="s">
        <v>90</v>
      </c>
      <c r="C2629" s="5">
        <v>165</v>
      </c>
      <c r="D2629" s="6">
        <v>33.75</v>
      </c>
      <c r="E2629" t="s">
        <v>57</v>
      </c>
    </row>
    <row r="2630" spans="1:5" x14ac:dyDescent="0.25">
      <c r="A2630" t="str">
        <f>HYPERLINK("https://www.773grp.com/globalSearch/PCI1031PDV/page-1", "PCI1031PDV")</f>
        <v>PCI1031PDV</v>
      </c>
      <c r="B2630" s="3" t="s">
        <v>90</v>
      </c>
      <c r="C2630" s="5">
        <v>4154</v>
      </c>
      <c r="D2630" s="6">
        <v>34.56</v>
      </c>
      <c r="E2630" t="s">
        <v>57</v>
      </c>
    </row>
    <row r="2631" spans="1:5" x14ac:dyDescent="0.25">
      <c r="A2631" t="str">
        <f>HYPERLINK("https://www.773grp.com/globalSearch/XIO2000AZZZ/page-1", "XIO2000AZZZ")</f>
        <v>XIO2000AZZZ</v>
      </c>
      <c r="B2631" s="3" t="s">
        <v>90</v>
      </c>
      <c r="C2631" s="5">
        <v>698</v>
      </c>
      <c r="D2631" s="6">
        <v>34.6</v>
      </c>
      <c r="E2631" t="s">
        <v>57</v>
      </c>
    </row>
    <row r="2632" spans="1:5" x14ac:dyDescent="0.25">
      <c r="A2632" t="str">
        <f>HYPERLINK("https://www.773grp.com/globalSearch/PCI2050APDV/page-1", "PCI2050APDV")</f>
        <v>PCI2050APDV</v>
      </c>
      <c r="B2632" s="3" t="s">
        <v>90</v>
      </c>
      <c r="C2632" s="5">
        <v>4054</v>
      </c>
      <c r="D2632" s="6">
        <v>35.15</v>
      </c>
      <c r="E2632" t="s">
        <v>57</v>
      </c>
    </row>
    <row r="2633" spans="1:5" x14ac:dyDescent="0.25">
      <c r="A2633" t="str">
        <f>HYPERLINK("https://www.773grp.com/globalSearch/PCI4450GFN/page-1", "PCI4450GFN")</f>
        <v>PCI4450GFN</v>
      </c>
      <c r="B2633" s="3" t="s">
        <v>90</v>
      </c>
      <c r="C2633" s="5">
        <v>30140</v>
      </c>
      <c r="D2633" s="6">
        <v>35.15</v>
      </c>
      <c r="E2633" t="s">
        <v>57</v>
      </c>
    </row>
    <row r="2634" spans="1:5" x14ac:dyDescent="0.25">
      <c r="A2634" t="str">
        <f>HYPERLINK("https://www.773grp.com/globalSearch/PCI1221GHK/page-1", "PCI1221GHK")</f>
        <v>PCI1221GHK</v>
      </c>
      <c r="B2634" s="3" t="s">
        <v>90</v>
      </c>
      <c r="C2634" s="5">
        <v>5404</v>
      </c>
      <c r="D2634" s="6">
        <v>35.64</v>
      </c>
      <c r="E2634" t="s">
        <v>57</v>
      </c>
    </row>
    <row r="2635" spans="1:5" x14ac:dyDescent="0.25">
      <c r="A2635" t="str">
        <f>HYPERLINK("https://www.773grp.com/globalSearch/PCI1221PDV/page-1", "PCI1221PDV")</f>
        <v>PCI1221PDV</v>
      </c>
      <c r="B2635" s="3" t="s">
        <v>90</v>
      </c>
      <c r="C2635" s="5">
        <v>403081</v>
      </c>
      <c r="D2635" s="6">
        <v>35.64</v>
      </c>
      <c r="E2635" t="s">
        <v>57</v>
      </c>
    </row>
    <row r="2636" spans="1:5" x14ac:dyDescent="0.25">
      <c r="A2636" t="str">
        <f>HYPERLINK("https://www.773grp.com/globalSearch/PCI7411GHK/page-1", "PCI7411GHK")</f>
        <v>PCI7411GHK</v>
      </c>
      <c r="B2636" s="3" t="s">
        <v>90</v>
      </c>
      <c r="C2636" s="5">
        <v>63543</v>
      </c>
      <c r="D2636" s="6">
        <v>36.56</v>
      </c>
      <c r="E2636" t="s">
        <v>57</v>
      </c>
    </row>
    <row r="2637" spans="1:5" x14ac:dyDescent="0.25">
      <c r="A2637" t="str">
        <f>HYPERLINK("https://www.773grp.com/globalSearch/PCI7411ZHK/page-1", "PCI7411ZHK")</f>
        <v>PCI7411ZHK</v>
      </c>
      <c r="B2637" s="3" t="s">
        <v>90</v>
      </c>
      <c r="C2637" s="5">
        <v>92555</v>
      </c>
      <c r="D2637" s="6">
        <v>36.56</v>
      </c>
      <c r="E2637" t="s">
        <v>57</v>
      </c>
    </row>
    <row r="2638" spans="1:5" x14ac:dyDescent="0.25">
      <c r="A2638" t="str">
        <f>HYPERLINK("https://www.773grp.com/globalSearch/HPC3130APGE/page-1", "HPC3130APGE")</f>
        <v>HPC3130APGE</v>
      </c>
      <c r="B2638" s="3" t="s">
        <v>90</v>
      </c>
      <c r="C2638" s="5">
        <v>710</v>
      </c>
      <c r="D2638" s="6">
        <v>38.39</v>
      </c>
      <c r="E2638" t="s">
        <v>57</v>
      </c>
    </row>
    <row r="2639" spans="1:5" x14ac:dyDescent="0.25">
      <c r="A2639" t="str">
        <f>HYPERLINK("https://www.773grp.com/globalSearch/PCI2040GGU/page-1", "PCI2040GGU")</f>
        <v>PCI2040GGU</v>
      </c>
      <c r="B2639" s="3" t="s">
        <v>90</v>
      </c>
      <c r="C2639" s="5">
        <v>62</v>
      </c>
      <c r="D2639" s="6">
        <v>38.99</v>
      </c>
      <c r="E2639" t="s">
        <v>57</v>
      </c>
    </row>
    <row r="2640" spans="1:5" x14ac:dyDescent="0.25">
      <c r="A2640" t="str">
        <f>HYPERLINK("https://www.773grp.com/globalSearch/PCI2040PGE/page-1", "PCI2040PGE")</f>
        <v>PCI2040PGE</v>
      </c>
      <c r="B2640" s="3" t="s">
        <v>90</v>
      </c>
      <c r="C2640" s="5">
        <v>524</v>
      </c>
      <c r="D2640" s="6">
        <v>38.99</v>
      </c>
      <c r="E2640" t="s">
        <v>57</v>
      </c>
    </row>
    <row r="2641" spans="1:5" x14ac:dyDescent="0.25">
      <c r="A2641" t="str">
        <f>HYPERLINK("https://www.773grp.com/globalSearch/PCI1450GFN/page-1", "PCI1450GFN")</f>
        <v>PCI1450GFN</v>
      </c>
      <c r="B2641" s="3" t="s">
        <v>90</v>
      </c>
      <c r="C2641" s="5">
        <v>8190</v>
      </c>
      <c r="D2641" s="6">
        <v>39.200000000000003</v>
      </c>
      <c r="E2641" t="s">
        <v>57</v>
      </c>
    </row>
    <row r="2642" spans="1:5" x14ac:dyDescent="0.25">
      <c r="A2642" t="str">
        <f>HYPERLINK("https://www.773grp.com/globalSearch/PCI7611GHK/page-1", "PCI7611GHK")</f>
        <v>PCI7611GHK</v>
      </c>
      <c r="B2642" s="3" t="s">
        <v>90</v>
      </c>
      <c r="C2642" s="5">
        <v>1800</v>
      </c>
      <c r="D2642" s="6">
        <v>39.380000000000003</v>
      </c>
      <c r="E2642" t="s">
        <v>57</v>
      </c>
    </row>
    <row r="2643" spans="1:5" x14ac:dyDescent="0.25">
      <c r="A2643" t="str">
        <f>HYPERLINK("https://www.773grp.com/globalSearch/PCI7611ZHK/page-1", "PCI7611ZHK")</f>
        <v>PCI7611ZHK</v>
      </c>
      <c r="B2643" s="3" t="s">
        <v>90</v>
      </c>
      <c r="C2643" s="5">
        <v>450</v>
      </c>
      <c r="D2643" s="6">
        <v>39.380000000000003</v>
      </c>
      <c r="E2643" t="s">
        <v>57</v>
      </c>
    </row>
    <row r="2644" spans="1:5" x14ac:dyDescent="0.25">
      <c r="A2644" t="str">
        <f>HYPERLINK("https://www.773grp.com/globalSearch/PCI2030PGF/page-1", "PCI2030PGF")</f>
        <v>PCI2030PGF</v>
      </c>
      <c r="B2644" s="3" t="s">
        <v>90</v>
      </c>
      <c r="C2644" s="5">
        <v>418</v>
      </c>
      <c r="D2644" s="6">
        <v>40.450000000000003</v>
      </c>
      <c r="E2644" t="s">
        <v>57</v>
      </c>
    </row>
    <row r="2645" spans="1:5" x14ac:dyDescent="0.25">
      <c r="A2645" t="str">
        <f>HYPERLINK("https://www.773grp.com/globalSearch/PCI4410GHK/page-1", "PCI4410GHK")</f>
        <v>PCI4410GHK</v>
      </c>
      <c r="B2645" s="3" t="s">
        <v>90</v>
      </c>
      <c r="C2645" s="5">
        <v>900</v>
      </c>
      <c r="D2645" s="6">
        <v>41.9</v>
      </c>
      <c r="E2645" t="s">
        <v>57</v>
      </c>
    </row>
    <row r="2646" spans="1:5" x14ac:dyDescent="0.25">
      <c r="A2646" t="str">
        <f>HYPERLINK("https://www.773grp.com/globalSearch/PCI4410PDV/page-1", "PCI4410PDV")</f>
        <v>PCI4410PDV</v>
      </c>
      <c r="B2646" s="3" t="s">
        <v>90</v>
      </c>
      <c r="C2646" s="5">
        <v>360</v>
      </c>
      <c r="D2646" s="6">
        <v>41.9</v>
      </c>
      <c r="E2646" t="s">
        <v>57</v>
      </c>
    </row>
    <row r="2647" spans="1:5" x14ac:dyDescent="0.25">
      <c r="A2647" t="str">
        <f>HYPERLINK("https://www.773grp.com/globalSearch/XIO2000GZZ/page-1", "XIO2000GZZ")</f>
        <v>XIO2000GZZ</v>
      </c>
      <c r="B2647" s="3" t="s">
        <v>90</v>
      </c>
      <c r="C2647" s="5">
        <v>5099</v>
      </c>
      <c r="D2647" s="6">
        <v>42.05</v>
      </c>
      <c r="E2647" t="s">
        <v>57</v>
      </c>
    </row>
    <row r="2648" spans="1:5" x14ac:dyDescent="0.25">
      <c r="A2648" t="str">
        <f>HYPERLINK("https://www.773grp.com/globalSearch/XIO2000ZZZ/page-1", "XIO2000ZZZ")</f>
        <v>XIO2000ZZZ</v>
      </c>
      <c r="B2648" s="3" t="s">
        <v>90</v>
      </c>
      <c r="C2648" s="5">
        <v>8184</v>
      </c>
      <c r="D2648" s="6">
        <v>42.05</v>
      </c>
      <c r="E2648" t="s">
        <v>57</v>
      </c>
    </row>
    <row r="2649" spans="1:5" x14ac:dyDescent="0.25">
      <c r="A2649" t="str">
        <f>HYPERLINK("https://www.773grp.com/globalSearch/PCI7621GHK/page-1", "PCI7621GHK")</f>
        <v>PCI7621GHK</v>
      </c>
      <c r="B2649" s="3" t="s">
        <v>90</v>
      </c>
      <c r="C2649" s="5">
        <v>6</v>
      </c>
      <c r="D2649" s="6">
        <v>42.19</v>
      </c>
      <c r="E2649" t="s">
        <v>57</v>
      </c>
    </row>
    <row r="2650" spans="1:5" x14ac:dyDescent="0.25">
      <c r="A2650" t="str">
        <f>HYPERLINK("https://www.773grp.com/globalSearch/XIO2000AGZZ/page-1", "XIO2000AGZZ")</f>
        <v>XIO2000AGZZ</v>
      </c>
      <c r="B2650" s="3" t="s">
        <v>90</v>
      </c>
      <c r="C2650" s="5">
        <v>4685</v>
      </c>
      <c r="D2650" s="6">
        <v>43.16</v>
      </c>
      <c r="E2650" t="s">
        <v>57</v>
      </c>
    </row>
    <row r="2651" spans="1:5" x14ac:dyDescent="0.25">
      <c r="A2651" t="str">
        <f>HYPERLINK("https://www.773grp.com/globalSearch/XIO2000AZHH/page-1", "XIO2000AZHH")</f>
        <v>XIO2000AZHH</v>
      </c>
      <c r="B2651" s="3" t="s">
        <v>90</v>
      </c>
      <c r="C2651" s="5">
        <v>1936</v>
      </c>
      <c r="D2651" s="6">
        <v>43.16</v>
      </c>
      <c r="E2651" t="s">
        <v>57</v>
      </c>
    </row>
    <row r="2652" spans="1:5" x14ac:dyDescent="0.25">
      <c r="A2652" t="str">
        <f>HYPERLINK("https://www.773grp.com/globalSearch/PCI1220PDV/page-1", "PCI1220PDV")</f>
        <v>PCI1220PDV</v>
      </c>
      <c r="B2652" s="3" t="s">
        <v>90</v>
      </c>
      <c r="C2652" s="5">
        <v>1017</v>
      </c>
      <c r="D2652" s="6">
        <v>43.31</v>
      </c>
      <c r="E2652" t="s">
        <v>57</v>
      </c>
    </row>
    <row r="2653" spans="1:5" x14ac:dyDescent="0.25">
      <c r="A2653" t="str">
        <f>HYPERLINK("https://www.773grp.com/globalSearch/PCI1251AGFN/page-1", "PCI1251AGFN")</f>
        <v>PCI1251AGFN</v>
      </c>
      <c r="B2653" s="3" t="s">
        <v>90</v>
      </c>
      <c r="C2653" s="5">
        <v>112107</v>
      </c>
      <c r="D2653" s="6">
        <v>46.44</v>
      </c>
      <c r="E2653" t="s">
        <v>57</v>
      </c>
    </row>
    <row r="2654" spans="1:5" x14ac:dyDescent="0.25">
      <c r="A2654" t="str">
        <f>HYPERLINK("https://www.773grp.com/globalSearch/PCI1251BGFN/page-1", "PCI1251BGFN")</f>
        <v>PCI1251BGFN</v>
      </c>
      <c r="B2654" s="3" t="s">
        <v>90</v>
      </c>
      <c r="C2654" s="5">
        <v>224727</v>
      </c>
      <c r="D2654" s="6">
        <v>46.53</v>
      </c>
      <c r="E2654" t="s">
        <v>57</v>
      </c>
    </row>
    <row r="2655" spans="1:5" x14ac:dyDescent="0.25">
      <c r="A2655" t="str">
        <f>HYPERLINK("https://www.773grp.com/globalSearch/PCI1251BGJG/page-1", "PCI1251BGJG")</f>
        <v>PCI1251BGJG</v>
      </c>
      <c r="B2655" s="3" t="s">
        <v>90</v>
      </c>
      <c r="C2655" s="5">
        <v>25323</v>
      </c>
      <c r="D2655" s="6">
        <v>46.53</v>
      </c>
      <c r="E2655" t="s">
        <v>57</v>
      </c>
    </row>
    <row r="2656" spans="1:5" x14ac:dyDescent="0.25">
      <c r="A2656" t="str">
        <f>HYPERLINK("https://www.773grp.com/globalSearch/XIO2000AIZHH/page-1", "XIO2000AIZHH")</f>
        <v>XIO2000AIZHH</v>
      </c>
      <c r="B2656" s="3" t="s">
        <v>90</v>
      </c>
      <c r="C2656" s="5">
        <v>2701</v>
      </c>
      <c r="D2656" s="6">
        <v>48.94</v>
      </c>
      <c r="E2656" t="s">
        <v>57</v>
      </c>
    </row>
    <row r="2657" spans="1:5" x14ac:dyDescent="0.25">
      <c r="A2657" t="str">
        <f>HYPERLINK("https://www.773grp.com/globalSearch/XIO2000AIZZZ/page-1", "XIO2000AIZZZ")</f>
        <v>XIO2000AIZZZ</v>
      </c>
      <c r="B2657" s="3" t="s">
        <v>90</v>
      </c>
      <c r="C2657" s="5">
        <v>1171</v>
      </c>
      <c r="D2657" s="6">
        <v>48.94</v>
      </c>
      <c r="E2657" t="s">
        <v>57</v>
      </c>
    </row>
    <row r="2658" spans="1:5" x14ac:dyDescent="0.25">
      <c r="A2658" t="str">
        <f>HYPERLINK("https://www.773grp.com/globalSearch/PCI7421ZHK/page-1", "PCI7421ZHK")</f>
        <v>PCI7421ZHK</v>
      </c>
      <c r="B2658" s="3" t="s">
        <v>90</v>
      </c>
      <c r="C2658" s="5">
        <v>2644</v>
      </c>
      <c r="D2658" s="6">
        <v>49.08</v>
      </c>
      <c r="E2658" t="s">
        <v>57</v>
      </c>
    </row>
    <row r="2659" spans="1:5" x14ac:dyDescent="0.25">
      <c r="A2659" t="str">
        <f>HYPERLINK("https://www.773grp.com/globalSearch/PCI1131PDV/page-1", "PCI1131PDV")</f>
        <v>PCI1131PDV</v>
      </c>
      <c r="B2659" s="3" t="s">
        <v>90</v>
      </c>
      <c r="C2659" s="5">
        <v>1190</v>
      </c>
      <c r="D2659" s="6">
        <v>50.2</v>
      </c>
      <c r="E2659" t="s">
        <v>57</v>
      </c>
    </row>
    <row r="2660" spans="1:5" x14ac:dyDescent="0.25">
      <c r="A2660" t="str">
        <f>HYPERLINK("https://www.773grp.com/globalSearch/PCI1250AGFN/page-1", "PCI1250AGFN")</f>
        <v>PCI1250AGFN</v>
      </c>
      <c r="B2660" s="3" t="s">
        <v>90</v>
      </c>
      <c r="C2660" s="5">
        <v>7156</v>
      </c>
      <c r="D2660" s="6">
        <v>51.48</v>
      </c>
      <c r="E2660" t="s">
        <v>57</v>
      </c>
    </row>
    <row r="2661" spans="1:5" x14ac:dyDescent="0.25">
      <c r="A2661" t="str">
        <f>HYPERLINK("https://www.773grp.com/globalSearch/PCI7621ZHK/page-1", "PCI7621ZHK")</f>
        <v>PCI7621ZHK</v>
      </c>
      <c r="B2661" s="3" t="s">
        <v>90</v>
      </c>
      <c r="C2661" s="5">
        <v>4320</v>
      </c>
      <c r="D2661" s="6">
        <v>52.6</v>
      </c>
      <c r="E2661" t="s">
        <v>57</v>
      </c>
    </row>
    <row r="2662" spans="1:5" x14ac:dyDescent="0.25">
      <c r="A2662" t="str">
        <f>HYPERLINK("https://www.773grp.com/globalSearch/PCI1250GFN/page-1", "PCI1250GFN")</f>
        <v>PCI1250GFN</v>
      </c>
      <c r="B2662" s="3" t="s">
        <v>90</v>
      </c>
      <c r="C2662" s="5">
        <v>52232</v>
      </c>
      <c r="D2662" s="6">
        <v>55.13</v>
      </c>
      <c r="E2662" t="s">
        <v>57</v>
      </c>
    </row>
    <row r="2663" spans="1:5" x14ac:dyDescent="0.25">
      <c r="A2663" t="str">
        <f>HYPERLINK("https://www.773grp.com/globalSearch/SN74ABT2240N/page-1", "SN74ABT2240N")</f>
        <v>SN74ABT2240N</v>
      </c>
      <c r="B2663" s="3" t="str">
        <f>HYPERLINK("https://www.773grp.com/manufacturer/texas-instruments?pageNo=18", "Texas Instruments")</f>
        <v>Texas Instruments</v>
      </c>
      <c r="C2663" s="5">
        <v>4060</v>
      </c>
      <c r="D2663" s="6">
        <v>3.95</v>
      </c>
      <c r="E2663" t="s">
        <v>12</v>
      </c>
    </row>
    <row r="2664" spans="1:5" x14ac:dyDescent="0.25">
      <c r="A2664" t="str">
        <f>HYPERLINK("https://www.773grp.com/globalSearch/SN74ABT240APWLE/page-1", "SN74ABT240APWLE")</f>
        <v>SN74ABT240APWLE</v>
      </c>
      <c r="B2664" s="3" t="str">
        <f>HYPERLINK("https://www.773grp.com/manufacturer/texas-instruments?pageNo=19", "Texas Instruments")</f>
        <v>Texas Instruments</v>
      </c>
      <c r="C2664" s="5">
        <v>1968</v>
      </c>
      <c r="D2664" s="6">
        <v>3.95</v>
      </c>
      <c r="E2664" t="s">
        <v>12</v>
      </c>
    </row>
    <row r="2665" spans="1:5" x14ac:dyDescent="0.25">
      <c r="A2665" t="str">
        <f>HYPERLINK("https://www.773grp.com/globalSearch/SN74LVTT244PWLE/page-1", "SN74LVTT244PWLE")</f>
        <v>SN74LVTT244PWLE</v>
      </c>
      <c r="B2665" s="3" t="str">
        <f>HYPERLINK("https://www.773grp.com/manufacturer/texas-instruments?pageNo=24", "Texas Instruments")</f>
        <v>Texas Instruments</v>
      </c>
      <c r="C2665" s="5">
        <v>9000</v>
      </c>
      <c r="D2665" s="6">
        <v>3.95</v>
      </c>
      <c r="E2665" t="s">
        <v>12</v>
      </c>
    </row>
    <row r="2666" spans="1:5" x14ac:dyDescent="0.25">
      <c r="A2666" t="str">
        <f>HYPERLINK("https://www.773grp.com/globalSearch/SN74LVT162244AGRDR/page-1", "SN74LVT162244AGRDR")</f>
        <v>SN74LVT162244AGRDR</v>
      </c>
      <c r="B2666" s="3" t="str">
        <f>HYPERLINK("https://www.773grp.com/manufacturer/texas-instruments?pageNo=249", "Texas Instruments")</f>
        <v>Texas Instruments</v>
      </c>
      <c r="C2666" s="5">
        <v>8000</v>
      </c>
      <c r="D2666" s="6">
        <v>3.6</v>
      </c>
      <c r="E2666" t="s">
        <v>12</v>
      </c>
    </row>
    <row r="2667" spans="1:5" x14ac:dyDescent="0.25">
      <c r="A2667" t="str">
        <f>HYPERLINK("https://www.773grp.com/globalSearch/SN74LVT16244BGQLR/page-1", "SN74LVT16244BGQLR")</f>
        <v>SN74LVT16244BGQLR</v>
      </c>
      <c r="B2667" s="3" t="str">
        <f>HYPERLINK("https://www.773grp.com/manufacturer/texas-instruments?pageNo=250", "Texas Instruments")</f>
        <v>Texas Instruments</v>
      </c>
      <c r="C2667" s="5">
        <v>5000</v>
      </c>
      <c r="D2667" s="6">
        <v>3.6</v>
      </c>
      <c r="E2667" t="s">
        <v>12</v>
      </c>
    </row>
    <row r="2668" spans="1:5" x14ac:dyDescent="0.25">
      <c r="A2668" t="str">
        <f>HYPERLINK("https://www.773grp.com/globalSearch/74CBTLV16211CZRDR/page-1", "74CBTLV16211CZRDR")</f>
        <v>74CBTLV16211CZRDR</v>
      </c>
      <c r="B2668" s="3" t="str">
        <f>HYPERLINK("https://www.773grp.com/manufacturer/texas-instruments?pageNo=271", "Texas Instruments")</f>
        <v>Texas Instruments</v>
      </c>
      <c r="C2668" s="5">
        <v>12929</v>
      </c>
      <c r="D2668" s="6">
        <v>3.63</v>
      </c>
      <c r="E2668" t="s">
        <v>12</v>
      </c>
    </row>
    <row r="2669" spans="1:5" x14ac:dyDescent="0.25">
      <c r="A2669" t="str">
        <f>HYPERLINK("https://www.773grp.com/globalSearch/CY74FCT16823CTPVCT/page-1", "CY74FCT16823CTPVCT")</f>
        <v>CY74FCT16823CTPVCT</v>
      </c>
      <c r="B2669" s="3" t="str">
        <f>HYPERLINK("https://www.773grp.com/manufacturer/texas-instruments?pageNo=275", "Texas Instruments")</f>
        <v>Texas Instruments</v>
      </c>
      <c r="C2669" s="5">
        <v>42000</v>
      </c>
      <c r="D2669" s="6">
        <v>3.63</v>
      </c>
      <c r="E2669" t="s">
        <v>12</v>
      </c>
    </row>
    <row r="2670" spans="1:5" x14ac:dyDescent="0.25">
      <c r="A2670" t="str">
        <f>HYPERLINK("https://www.773grp.com/globalSearch/SN74ABT863DBR/page-1", "SN74ABT863DBR")</f>
        <v>SN74ABT863DBR</v>
      </c>
      <c r="B2670" s="3" t="str">
        <f>HYPERLINK("https://www.773grp.com/manufacturer/texas-instruments?pageNo=322", "Texas Instruments")</f>
        <v>Texas Instruments</v>
      </c>
      <c r="C2670" s="5">
        <v>600</v>
      </c>
      <c r="D2670" s="6">
        <v>3.63</v>
      </c>
      <c r="E2670" t="s">
        <v>12</v>
      </c>
    </row>
    <row r="2671" spans="1:5" x14ac:dyDescent="0.25">
      <c r="A2671" t="str">
        <f>HYPERLINK("https://www.773grp.com/globalSearch/SN74ALVCF162835LR/page-1", "SN74ALVCF162835LR")</f>
        <v>SN74ALVCF162835LR</v>
      </c>
      <c r="B2671" s="3" t="str">
        <f>HYPERLINK("https://www.773grp.com/manufacturer/texas-instruments?pageNo=324", "Texas Instruments")</f>
        <v>Texas Instruments</v>
      </c>
      <c r="C2671" s="5">
        <v>12000</v>
      </c>
      <c r="D2671" s="6">
        <v>3.63</v>
      </c>
      <c r="E2671" t="s">
        <v>12</v>
      </c>
    </row>
    <row r="2672" spans="1:5" x14ac:dyDescent="0.25">
      <c r="A2672" t="str">
        <f>HYPERLINK("https://www.773grp.com/globalSearch/SN74CB3Q16211GQLR/page-1", "SN74CB3Q16211GQLR")</f>
        <v>SN74CB3Q16211GQLR</v>
      </c>
      <c r="B2672" s="3" t="str">
        <f>HYPERLINK("https://www.773grp.com/manufacturer/texas-instruments?pageNo=329", "Texas Instruments")</f>
        <v>Texas Instruments</v>
      </c>
      <c r="C2672" s="5">
        <v>12000</v>
      </c>
      <c r="D2672" s="6">
        <v>3.63</v>
      </c>
      <c r="E2672" t="s">
        <v>12</v>
      </c>
    </row>
    <row r="2673" spans="1:5" x14ac:dyDescent="0.25">
      <c r="A2673" t="str">
        <f>HYPERLINK("https://www.773grp.com/globalSearch/SN74CB3Q16211ZQLR/page-1", "SN74CB3Q16211ZQLR")</f>
        <v>SN74CB3Q16211ZQLR</v>
      </c>
      <c r="B2673" s="3" t="str">
        <f>HYPERLINK("https://www.773grp.com/manufacturer/texas-instruments?pageNo=330", "Texas Instruments")</f>
        <v>Texas Instruments</v>
      </c>
      <c r="C2673" s="5">
        <v>25800</v>
      </c>
      <c r="D2673" s="6">
        <v>3.63</v>
      </c>
      <c r="E2673" t="s">
        <v>12</v>
      </c>
    </row>
    <row r="2674" spans="1:5" x14ac:dyDescent="0.25">
      <c r="A2674" t="str">
        <f>HYPERLINK("https://www.773grp.com/globalSearch/SN74CBT16211AZQLR/page-1", "SN74CBT16211AZQLR")</f>
        <v>SN74CBT16211AZQLR</v>
      </c>
      <c r="B2674" s="3" t="str">
        <f>HYPERLINK("https://www.773grp.com/manufacturer/texas-instruments?pageNo=331", "Texas Instruments")</f>
        <v>Texas Instruments</v>
      </c>
      <c r="C2674" s="5">
        <v>1000</v>
      </c>
      <c r="D2674" s="6">
        <v>3.63</v>
      </c>
      <c r="E2674" t="s">
        <v>12</v>
      </c>
    </row>
    <row r="2675" spans="1:5" x14ac:dyDescent="0.25">
      <c r="A2675" t="str">
        <f>HYPERLINK("https://www.773grp.com/globalSearch/SN74CBTLV16211DLR/page-1", "SN74CBTLV16211DLR")</f>
        <v>SN74CBTLV16211DLR</v>
      </c>
      <c r="B2675" s="3" t="str">
        <f>HYPERLINK("https://www.773grp.com/manufacturer/texas-instruments?pageNo=332", "Texas Instruments")</f>
        <v>Texas Instruments</v>
      </c>
      <c r="C2675" s="5">
        <v>2000</v>
      </c>
      <c r="D2675" s="6">
        <v>3.63</v>
      </c>
      <c r="E2675" t="s">
        <v>12</v>
      </c>
    </row>
    <row r="2676" spans="1:5" x14ac:dyDescent="0.25">
      <c r="A2676" t="str">
        <f>HYPERLINK("https://www.773grp.com/globalSearch/SN74CBTLV16211GR/page-1", "SN74CBTLV16211GR")</f>
        <v>SN74CBTLV16211GR</v>
      </c>
      <c r="B2676" s="3" t="str">
        <f>HYPERLINK("https://www.773grp.com/manufacturer/texas-instruments?pageNo=333", "Texas Instruments")</f>
        <v>Texas Instruments</v>
      </c>
      <c r="C2676" s="5">
        <v>4000</v>
      </c>
      <c r="D2676" s="6">
        <v>3.63</v>
      </c>
      <c r="E2676" t="s">
        <v>12</v>
      </c>
    </row>
    <row r="2677" spans="1:5" x14ac:dyDescent="0.25">
      <c r="A2677" t="str">
        <f>HYPERLINK("https://www.773grp.com/globalSearch/SN74CBTLV16211VR/page-1", "SN74CBTLV16211VR")</f>
        <v>SN74CBTLV16211VR</v>
      </c>
      <c r="B2677" s="3" t="str">
        <f>HYPERLINK("https://www.773grp.com/manufacturer/texas-instruments?pageNo=334", "Texas Instruments")</f>
        <v>Texas Instruments</v>
      </c>
      <c r="C2677" s="5">
        <v>1990</v>
      </c>
      <c r="D2677" s="6">
        <v>3.63</v>
      </c>
      <c r="E2677" t="s">
        <v>12</v>
      </c>
    </row>
    <row r="2678" spans="1:5" x14ac:dyDescent="0.25">
      <c r="A2678" t="str">
        <f>HYPERLINK("https://www.773grp.com/globalSearch/SN74CBTLV16212VR/page-1", "SN74CBTLV16212VR")</f>
        <v>SN74CBTLV16212VR</v>
      </c>
      <c r="B2678" s="3" t="str">
        <f>HYPERLINK("https://www.773grp.com/manufacturer/texas-instruments?pageNo=335", "Texas Instruments")</f>
        <v>Texas Instruments</v>
      </c>
      <c r="C2678" s="5">
        <v>8000</v>
      </c>
      <c r="D2678" s="6">
        <v>3.63</v>
      </c>
      <c r="E2678" t="s">
        <v>12</v>
      </c>
    </row>
    <row r="2679" spans="1:5" x14ac:dyDescent="0.25">
      <c r="A2679" t="str">
        <f>HYPERLINK("https://www.773grp.com/globalSearch/SN74CBTLV16800GR/page-1", "SN74CBTLV16800GR")</f>
        <v>SN74CBTLV16800GR</v>
      </c>
      <c r="B2679" s="3" t="str">
        <f>HYPERLINK("https://www.773grp.com/manufacturer/texas-instruments?pageNo=336", "Texas Instruments")</f>
        <v>Texas Instruments</v>
      </c>
      <c r="C2679" s="5">
        <v>15200</v>
      </c>
      <c r="D2679" s="6">
        <v>3.63</v>
      </c>
      <c r="E2679" t="s">
        <v>12</v>
      </c>
    </row>
    <row r="2680" spans="1:5" x14ac:dyDescent="0.25">
      <c r="A2680" t="str">
        <f>HYPERLINK("https://www.773grp.com/globalSearch/SN74LVCH16652ADGGR/page-1", "SN74LVCH16652ADGGR")</f>
        <v>SN74LVCH16652ADGGR</v>
      </c>
      <c r="B2680" s="3" t="str">
        <f>HYPERLINK("https://www.773grp.com/manufacturer/texas-instruments?pageNo=346", "Texas Instruments")</f>
        <v>Texas Instruments</v>
      </c>
      <c r="C2680" s="5">
        <v>5998</v>
      </c>
      <c r="D2680" s="6">
        <v>3.63</v>
      </c>
      <c r="E2680" t="s">
        <v>12</v>
      </c>
    </row>
    <row r="2681" spans="1:5" x14ac:dyDescent="0.25">
      <c r="A2681" t="str">
        <f>HYPERLINK("https://www.773grp.com/globalSearch/SN74LVCH16652ADGVR/page-1", "SN74LVCH16652ADGVR")</f>
        <v>SN74LVCH16652ADGVR</v>
      </c>
      <c r="B2681" s="3" t="str">
        <f>HYPERLINK("https://www.773grp.com/manufacturer/texas-instruments?pageNo=347", "Texas Instruments")</f>
        <v>Texas Instruments</v>
      </c>
      <c r="C2681" s="5">
        <v>8000</v>
      </c>
      <c r="D2681" s="6">
        <v>3.63</v>
      </c>
      <c r="E2681" t="s">
        <v>12</v>
      </c>
    </row>
    <row r="2682" spans="1:5" x14ac:dyDescent="0.25">
      <c r="A2682" t="str">
        <f>HYPERLINK("https://www.773grp.com/globalSearch/SN74LVCR16245ADGGR/page-1", "SN74LVCR16245ADGGR")</f>
        <v>SN74LVCR16245ADGGR</v>
      </c>
      <c r="B2682" s="3" t="str">
        <f>HYPERLINK("https://www.773grp.com/manufacturer/texas-instruments?pageNo=349", "Texas Instruments")</f>
        <v>Texas Instruments</v>
      </c>
      <c r="C2682" s="5">
        <v>3927</v>
      </c>
      <c r="D2682" s="6">
        <v>3.63</v>
      </c>
      <c r="E2682" t="s">
        <v>12</v>
      </c>
    </row>
    <row r="2683" spans="1:5" x14ac:dyDescent="0.25">
      <c r="A2683" t="str">
        <f>HYPERLINK("https://www.773grp.com/globalSearch/SN74LVCR16245ADGVR/page-1", "SN74LVCR16245ADGVR")</f>
        <v>SN74LVCR16245ADGVR</v>
      </c>
      <c r="B2683" s="3" t="str">
        <f>HYPERLINK("https://www.773grp.com/manufacturer/texas-instruments?pageNo=350", "Texas Instruments")</f>
        <v>Texas Instruments</v>
      </c>
      <c r="C2683" s="5">
        <v>2000</v>
      </c>
      <c r="D2683" s="6">
        <v>3.63</v>
      </c>
      <c r="E2683" t="s">
        <v>12</v>
      </c>
    </row>
    <row r="2684" spans="1:5" x14ac:dyDescent="0.25">
      <c r="A2684" t="str">
        <f>HYPERLINK("https://www.773grp.com/globalSearch/SN74LVCZ16244ADLR/page-1", "SN74LVCZ16244ADLR")</f>
        <v>SN74LVCZ16244ADLR</v>
      </c>
      <c r="B2684" s="3" t="str">
        <f>HYPERLINK("https://www.773grp.com/manufacturer/texas-instruments?pageNo=351", "Texas Instruments")</f>
        <v>Texas Instruments</v>
      </c>
      <c r="C2684" s="5">
        <v>6700</v>
      </c>
      <c r="D2684" s="6">
        <v>3.63</v>
      </c>
      <c r="E2684" t="s">
        <v>12</v>
      </c>
    </row>
    <row r="2685" spans="1:5" x14ac:dyDescent="0.25">
      <c r="A2685" t="str">
        <f>HYPERLINK("https://www.773grp.com/globalSearch/SN74LVCZ16245ADLR/page-1", "SN74LVCZ16245ADLR")</f>
        <v>SN74LVCZ16245ADLR</v>
      </c>
      <c r="B2685" s="3" t="str">
        <f>HYPERLINK("https://www.773grp.com/manufacturer/texas-instruments?pageNo=352", "Texas Instruments")</f>
        <v>Texas Instruments</v>
      </c>
      <c r="C2685" s="5">
        <v>6000</v>
      </c>
      <c r="D2685" s="6">
        <v>3.63</v>
      </c>
      <c r="E2685" t="s">
        <v>12</v>
      </c>
    </row>
    <row r="2686" spans="1:5" x14ac:dyDescent="0.25">
      <c r="A2686" t="str">
        <f>HYPERLINK("https://www.773grp.com/globalSearch/SN74LVT162244AGQLR/page-1", "SN74LVT162244AGQLR")</f>
        <v>SN74LVT162244AGQLR</v>
      </c>
      <c r="B2686" s="3" t="str">
        <f>HYPERLINK("https://www.773grp.com/manufacturer/texas-instruments?pageNo=353", "Texas Instruments")</f>
        <v>Texas Instruments</v>
      </c>
      <c r="C2686" s="5">
        <v>7000</v>
      </c>
      <c r="D2686" s="6">
        <v>3.63</v>
      </c>
      <c r="E2686" t="s">
        <v>12</v>
      </c>
    </row>
    <row r="2687" spans="1:5" x14ac:dyDescent="0.25">
      <c r="A2687" t="str">
        <f>HYPERLINK("https://www.773grp.com/globalSearch/SN74LVT162244AZRDR/page-1", "SN74LVT162244AZRDR")</f>
        <v>SN74LVT162244AZRDR</v>
      </c>
      <c r="B2687" s="3" t="str">
        <f>HYPERLINK("https://www.773grp.com/manufacturer/texas-instruments?pageNo=354", "Texas Instruments")</f>
        <v>Texas Instruments</v>
      </c>
      <c r="C2687" s="5">
        <v>8000</v>
      </c>
      <c r="D2687" s="6">
        <v>3.63</v>
      </c>
      <c r="E2687" t="s">
        <v>12</v>
      </c>
    </row>
    <row r="2688" spans="1:5" x14ac:dyDescent="0.25">
      <c r="A2688" t="str">
        <f>HYPERLINK("https://www.773grp.com/globalSearch/SN74LVT162245AGQLR/page-1", "SN74LVT162245AGQLR")</f>
        <v>SN74LVT162245AGQLR</v>
      </c>
      <c r="B2688" s="3" t="str">
        <f>HYPERLINK("https://www.773grp.com/manufacturer/texas-instruments?pageNo=355", "Texas Instruments")</f>
        <v>Texas Instruments</v>
      </c>
      <c r="C2688" s="5">
        <v>2000</v>
      </c>
      <c r="D2688" s="6">
        <v>3.63</v>
      </c>
      <c r="E2688" t="s">
        <v>12</v>
      </c>
    </row>
    <row r="2689" spans="1:5" x14ac:dyDescent="0.25">
      <c r="A2689" t="str">
        <f>HYPERLINK("https://www.773grp.com/globalSearch/SN74LVT16244BGRDR/page-1", "SN74LVT16244BGRDR")</f>
        <v>SN74LVT16244BGRDR</v>
      </c>
      <c r="B2689" s="3" t="str">
        <f>HYPERLINK("https://www.773grp.com/manufacturer/texas-instruments?pageNo=356", "Texas Instruments")</f>
        <v>Texas Instruments</v>
      </c>
      <c r="C2689" s="5">
        <v>7000</v>
      </c>
      <c r="D2689" s="6">
        <v>3.63</v>
      </c>
      <c r="E2689" t="s">
        <v>12</v>
      </c>
    </row>
    <row r="2690" spans="1:5" x14ac:dyDescent="0.25">
      <c r="A2690" t="str">
        <f>HYPERLINK("https://www.773grp.com/globalSearch/SN74LVT16244BZQLR/page-1", "SN74LVT16244BZQLR")</f>
        <v>SN74LVT16244BZQLR</v>
      </c>
      <c r="B2690" s="3" t="str">
        <f>HYPERLINK("https://www.773grp.com/manufacturer/texas-instruments?pageNo=357", "Texas Instruments")</f>
        <v>Texas Instruments</v>
      </c>
      <c r="C2690" s="5">
        <v>1000</v>
      </c>
      <c r="D2690" s="6">
        <v>3.63</v>
      </c>
      <c r="E2690" t="s">
        <v>12</v>
      </c>
    </row>
    <row r="2691" spans="1:5" x14ac:dyDescent="0.25">
      <c r="A2691" t="str">
        <f>HYPERLINK("https://www.773grp.com/globalSearch/SN74LVT16244BZRDR/page-1", "SN74LVT16244BZRDR")</f>
        <v>SN74LVT16244BZRDR</v>
      </c>
      <c r="B2691" s="3" t="str">
        <f>HYPERLINK("https://www.773grp.com/manufacturer/texas-instruments?pageNo=358", "Texas Instruments")</f>
        <v>Texas Instruments</v>
      </c>
      <c r="C2691" s="5">
        <v>9000</v>
      </c>
      <c r="D2691" s="6">
        <v>3.63</v>
      </c>
      <c r="E2691" t="s">
        <v>12</v>
      </c>
    </row>
    <row r="2692" spans="1:5" x14ac:dyDescent="0.25">
      <c r="A2692" t="str">
        <f>HYPERLINK("https://www.773grp.com/globalSearch/SN74LVT16245BGQLR/page-1", "SN74LVT16245BGQLR")</f>
        <v>SN74LVT16245BGQLR</v>
      </c>
      <c r="B2692" s="3" t="str">
        <f>HYPERLINK("https://www.773grp.com/manufacturer/texas-instruments?pageNo=359", "Texas Instruments")</f>
        <v>Texas Instruments</v>
      </c>
      <c r="C2692" s="5">
        <v>66800</v>
      </c>
      <c r="D2692" s="6">
        <v>3.63</v>
      </c>
      <c r="E2692" t="s">
        <v>12</v>
      </c>
    </row>
    <row r="2693" spans="1:5" x14ac:dyDescent="0.25">
      <c r="A2693" t="str">
        <f>HYPERLINK("https://www.773grp.com/globalSearch/SN74LVT16245BGRDR/page-1", "SN74LVT16245BGRDR")</f>
        <v>SN74LVT16245BGRDR</v>
      </c>
      <c r="B2693" s="3" t="str">
        <f>HYPERLINK("https://www.773grp.com/manufacturer/texas-instruments?pageNo=360", "Texas Instruments")</f>
        <v>Texas Instruments</v>
      </c>
      <c r="C2693" s="5">
        <v>4000</v>
      </c>
      <c r="D2693" s="6">
        <v>3.63</v>
      </c>
      <c r="E2693" t="s">
        <v>12</v>
      </c>
    </row>
    <row r="2694" spans="1:5" x14ac:dyDescent="0.25">
      <c r="A2694" t="str">
        <f>HYPERLINK("https://www.773grp.com/globalSearch/SN74LVT16245BZQLR/page-1", "SN74LVT16245BZQLR")</f>
        <v>SN74LVT16245BZQLR</v>
      </c>
      <c r="B2694" s="3" t="str">
        <f>HYPERLINK("https://www.773grp.com/manufacturer/texas-instruments?pageNo=361", "Texas Instruments")</f>
        <v>Texas Instruments</v>
      </c>
      <c r="C2694" s="5">
        <v>3000</v>
      </c>
      <c r="D2694" s="6">
        <v>3.63</v>
      </c>
      <c r="E2694" t="s">
        <v>12</v>
      </c>
    </row>
    <row r="2695" spans="1:5" x14ac:dyDescent="0.25">
      <c r="A2695" t="str">
        <f>HYPERLINK("https://www.773grp.com/globalSearch/SN74LVT574DBR/page-1", "SN74LVT574DBR")</f>
        <v>SN74LVT574DBR</v>
      </c>
      <c r="B2695" s="3" t="str">
        <f>HYPERLINK("https://www.773grp.com/manufacturer/texas-instruments?pageNo=363", "Texas Instruments")</f>
        <v>Texas Instruments</v>
      </c>
      <c r="C2695" s="5">
        <v>17330</v>
      </c>
      <c r="D2695" s="6">
        <v>3.63</v>
      </c>
      <c r="E2695" t="s">
        <v>12</v>
      </c>
    </row>
    <row r="2696" spans="1:5" x14ac:dyDescent="0.25">
      <c r="A2696" t="str">
        <f>HYPERLINK("https://www.773grp.com/globalSearch/SN74LVTH16373GQLR/page-1", "SN74LVTH16373GQLR")</f>
        <v>SN74LVTH16373GQLR</v>
      </c>
      <c r="B2696" s="3" t="str">
        <f>HYPERLINK("https://www.773grp.com/manufacturer/texas-instruments?pageNo=364", "Texas Instruments")</f>
        <v>Texas Instruments</v>
      </c>
      <c r="C2696" s="5">
        <v>2960</v>
      </c>
      <c r="D2696" s="6">
        <v>3.63</v>
      </c>
      <c r="E2696" t="s">
        <v>12</v>
      </c>
    </row>
    <row r="2697" spans="1:5" x14ac:dyDescent="0.25">
      <c r="A2697" t="str">
        <f>HYPERLINK("https://www.773grp.com/globalSearch/SN74LVTH16373GRDR/page-1", "SN74LVTH16373GRDR")</f>
        <v>SN74LVTH16373GRDR</v>
      </c>
      <c r="B2697" s="3" t="str">
        <f>HYPERLINK("https://www.773grp.com/manufacturer/texas-instruments?pageNo=365", "Texas Instruments")</f>
        <v>Texas Instruments</v>
      </c>
      <c r="C2697" s="5">
        <v>10000</v>
      </c>
      <c r="D2697" s="6">
        <v>3.63</v>
      </c>
      <c r="E2697" t="s">
        <v>12</v>
      </c>
    </row>
    <row r="2698" spans="1:5" x14ac:dyDescent="0.25">
      <c r="A2698" t="str">
        <f>HYPERLINK("https://www.773grp.com/globalSearch/SN74LVTH16373ZQLR/page-1", "SN74LVTH16373ZQLR")</f>
        <v>SN74LVTH16373ZQLR</v>
      </c>
      <c r="B2698" s="3" t="str">
        <f>HYPERLINK("https://www.773grp.com/manufacturer/texas-instruments?pageNo=366", "Texas Instruments")</f>
        <v>Texas Instruments</v>
      </c>
      <c r="C2698" s="5">
        <v>618</v>
      </c>
      <c r="D2698" s="6">
        <v>3.63</v>
      </c>
      <c r="E2698" t="s">
        <v>12</v>
      </c>
    </row>
    <row r="2699" spans="1:5" x14ac:dyDescent="0.25">
      <c r="A2699" t="str">
        <f>HYPERLINK("https://www.773grp.com/globalSearch/SN74LVTH16373ZRDR/page-1", "SN74LVTH16373ZRDR")</f>
        <v>SN74LVTH16373ZRDR</v>
      </c>
      <c r="B2699" s="3" t="str">
        <f>HYPERLINK("https://www.773grp.com/manufacturer/texas-instruments?pageNo=367", "Texas Instruments")</f>
        <v>Texas Instruments</v>
      </c>
      <c r="C2699" s="5">
        <v>3000</v>
      </c>
      <c r="D2699" s="6">
        <v>3.63</v>
      </c>
      <c r="E2699" t="s">
        <v>12</v>
      </c>
    </row>
    <row r="2700" spans="1:5" x14ac:dyDescent="0.25">
      <c r="A2700" t="str">
        <f>HYPERLINK("https://www.773grp.com/globalSearch/SN74LVTH16952DGGR/page-1", "SN74LVTH16952DGGR")</f>
        <v>SN74LVTH16952DGGR</v>
      </c>
      <c r="B2700" s="3" t="str">
        <f>HYPERLINK("https://www.773grp.com/manufacturer/texas-instruments?pageNo=368", "Texas Instruments")</f>
        <v>Texas Instruments</v>
      </c>
      <c r="C2700" s="5">
        <v>13806</v>
      </c>
      <c r="D2700" s="6">
        <v>3.63</v>
      </c>
      <c r="E2700" t="s">
        <v>12</v>
      </c>
    </row>
    <row r="2701" spans="1:5" x14ac:dyDescent="0.25">
      <c r="A2701" t="str">
        <f>HYPERLINK("https://www.773grp.com/globalSearch/SN74LVTH652PW/page-1", "SN74LVTH652PW")</f>
        <v>SN74LVTH652PW</v>
      </c>
      <c r="B2701" s="3" t="str">
        <f>HYPERLINK("https://www.773grp.com/manufacturer/texas-instruments?pageNo=369", "Texas Instruments")</f>
        <v>Texas Instruments</v>
      </c>
      <c r="C2701" s="5">
        <v>1560</v>
      </c>
      <c r="D2701" s="6">
        <v>3.63</v>
      </c>
      <c r="E2701" t="s">
        <v>12</v>
      </c>
    </row>
    <row r="2702" spans="1:5" x14ac:dyDescent="0.25">
      <c r="A2702" t="str">
        <f>HYPERLINK("https://www.773grp.com/globalSearch/74AC16373DL/page-1", "74AC16373DL")</f>
        <v>74AC16373DL</v>
      </c>
      <c r="B2702" s="3" t="str">
        <f>HYPERLINK("https://www.773grp.com/manufacturer/texas-instruments?pageNo=464", "Texas Instruments")</f>
        <v>Texas Instruments</v>
      </c>
      <c r="C2702" s="5">
        <v>995</v>
      </c>
      <c r="D2702" s="6">
        <v>3.66</v>
      </c>
      <c r="E2702" t="s">
        <v>12</v>
      </c>
    </row>
    <row r="2703" spans="1:5" x14ac:dyDescent="0.25">
      <c r="A2703" t="str">
        <f>HYPERLINK("https://www.773grp.com/globalSearch/74AC16374DL/page-1", "74AC16374DL")</f>
        <v>74AC16374DL</v>
      </c>
      <c r="B2703" s="3" t="str">
        <f>HYPERLINK("https://www.773grp.com/manufacturer/texas-instruments?pageNo=465", "Texas Instruments")</f>
        <v>Texas Instruments</v>
      </c>
      <c r="C2703" s="5">
        <v>2860</v>
      </c>
      <c r="D2703" s="6">
        <v>3.66</v>
      </c>
      <c r="E2703" t="s">
        <v>12</v>
      </c>
    </row>
    <row r="2704" spans="1:5" x14ac:dyDescent="0.25">
      <c r="A2704" t="str">
        <f>HYPERLINK("https://www.773grp.com/globalSearch/74ACT16543DL/page-1", "74ACT16543DL")</f>
        <v>74ACT16543DL</v>
      </c>
      <c r="B2704" s="3" t="str">
        <f>HYPERLINK("https://www.773grp.com/manufacturer/texas-instruments?pageNo=466", "Texas Instruments")</f>
        <v>Texas Instruments</v>
      </c>
      <c r="C2704" s="5">
        <v>6850</v>
      </c>
      <c r="D2704" s="6">
        <v>3.66</v>
      </c>
      <c r="E2704" t="s">
        <v>12</v>
      </c>
    </row>
    <row r="2705" spans="1:5" x14ac:dyDescent="0.25">
      <c r="A2705" t="str">
        <f>HYPERLINK("https://www.773grp.com/globalSearch/CY74FCT163827CPACT/page-1", "CY74FCT163827CPACT")</f>
        <v>CY74FCT163827CPACT</v>
      </c>
      <c r="B2705" s="3" t="str">
        <f>HYPERLINK("https://www.773grp.com/manufacturer/texas-instruments?pageNo=469", "Texas Instruments")</f>
        <v>Texas Instruments</v>
      </c>
      <c r="C2705" s="5">
        <v>149975</v>
      </c>
      <c r="D2705" s="6">
        <v>3.66</v>
      </c>
      <c r="E2705" t="s">
        <v>12</v>
      </c>
    </row>
    <row r="2706" spans="1:5" x14ac:dyDescent="0.25">
      <c r="A2706" t="str">
        <f>HYPERLINK("https://www.773grp.com/globalSearch/CY74FCT16646TPVC/page-1", "CY74FCT16646TPVC")</f>
        <v>CY74FCT16646TPVC</v>
      </c>
      <c r="B2706" s="3" t="str">
        <f>HYPERLINK("https://www.773grp.com/manufacturer/texas-instruments?pageNo=470", "Texas Instruments")</f>
        <v>Texas Instruments</v>
      </c>
      <c r="C2706" s="5">
        <v>200</v>
      </c>
      <c r="D2706" s="6">
        <v>3.66</v>
      </c>
      <c r="E2706" t="s">
        <v>12</v>
      </c>
    </row>
    <row r="2707" spans="1:5" x14ac:dyDescent="0.25">
      <c r="A2707" t="str">
        <f>HYPERLINK("https://www.773grp.com/globalSearch/CY74FCT16373ATVR/page-1", "CY74FCT16373ATVR")</f>
        <v>CY74FCT16373ATVR</v>
      </c>
      <c r="B2707" s="3" t="str">
        <f>HYPERLINK("https://www.773grp.com/manufacturer/texas-instruments?pageNo=691", "Texas Instruments")</f>
        <v>Texas Instruments</v>
      </c>
      <c r="C2707" s="5">
        <v>1760</v>
      </c>
      <c r="D2707" s="6">
        <v>4.0599999999999996</v>
      </c>
      <c r="E2707" t="s">
        <v>12</v>
      </c>
    </row>
    <row r="2708" spans="1:5" x14ac:dyDescent="0.25">
      <c r="A2708" t="str">
        <f>HYPERLINK("https://www.773grp.com/globalSearch/SN74126N/page-1", "SN74126N")</f>
        <v>SN74126N</v>
      </c>
      <c r="B2708" s="3" t="str">
        <f>HYPERLINK("https://www.773grp.com/manufacturer/texas-instruments?pageNo=891", "Texas Instruments")</f>
        <v>Texas Instruments</v>
      </c>
      <c r="C2708" s="5">
        <v>3027</v>
      </c>
      <c r="D2708" s="6">
        <v>4.1100000000000003</v>
      </c>
      <c r="E2708" t="s">
        <v>12</v>
      </c>
    </row>
    <row r="2709" spans="1:5" x14ac:dyDescent="0.25">
      <c r="A2709" t="str">
        <f>HYPERLINK("https://www.773grp.com/globalSearch/SN74ALVCH162827DL/page-1", "SN74ALVCH162827DL")</f>
        <v>SN74ALVCH162827DL</v>
      </c>
      <c r="B2709" s="3" t="str">
        <f>HYPERLINK("https://www.773grp.com/manufacturer/texas-instruments?pageNo=896", "Texas Instruments")</f>
        <v>Texas Instruments</v>
      </c>
      <c r="C2709" s="5">
        <v>2527</v>
      </c>
      <c r="D2709" s="6">
        <v>4.1100000000000003</v>
      </c>
      <c r="E2709" t="s">
        <v>12</v>
      </c>
    </row>
    <row r="2710" spans="1:5" x14ac:dyDescent="0.25">
      <c r="A2710" t="str">
        <f>HYPERLINK("https://www.773grp.com/globalSearch/SN74ALVCH162827DLR/page-1", "SN74ALVCH162827DLR")</f>
        <v>SN74ALVCH162827DLR</v>
      </c>
      <c r="B2710" s="3" t="str">
        <f>HYPERLINK("https://www.773grp.com/manufacturer/texas-instruments?pageNo=897", "Texas Instruments")</f>
        <v>Texas Instruments</v>
      </c>
      <c r="C2710" s="5">
        <v>1220</v>
      </c>
      <c r="D2710" s="6">
        <v>4.1100000000000003</v>
      </c>
      <c r="E2710" t="s">
        <v>12</v>
      </c>
    </row>
    <row r="2711" spans="1:5" x14ac:dyDescent="0.25">
      <c r="A2711" t="str">
        <f>HYPERLINK("https://www.773grp.com/globalSearch/SN74ALVCH162827VR/page-1", "SN74ALVCH162827VR")</f>
        <v>SN74ALVCH162827VR</v>
      </c>
      <c r="B2711" s="3" t="str">
        <f>HYPERLINK("https://www.773grp.com/manufacturer/texas-instruments?pageNo=898", "Texas Instruments")</f>
        <v>Texas Instruments</v>
      </c>
      <c r="C2711" s="5">
        <v>7250</v>
      </c>
      <c r="D2711" s="6">
        <v>4.1100000000000003</v>
      </c>
      <c r="E2711" t="s">
        <v>12</v>
      </c>
    </row>
    <row r="2712" spans="1:5" x14ac:dyDescent="0.25">
      <c r="A2712" t="str">
        <f>HYPERLINK("https://www.773grp.com/globalSearch/SN74HCT646DW/page-1", "SN74HCT646DW")</f>
        <v>SN74HCT646DW</v>
      </c>
      <c r="B2712" s="3" t="str">
        <f>HYPERLINK("https://www.773grp.com/manufacturer/texas-instruments?pageNo=901", "Texas Instruments")</f>
        <v>Texas Instruments</v>
      </c>
      <c r="C2712" s="5">
        <v>1759</v>
      </c>
      <c r="D2712" s="6">
        <v>4.1100000000000003</v>
      </c>
      <c r="E2712" t="s">
        <v>12</v>
      </c>
    </row>
    <row r="2713" spans="1:5" x14ac:dyDescent="0.25">
      <c r="A2713" t="str">
        <f>HYPERLINK("https://www.773grp.com/globalSearch/SN74AUC16240ZQLR/page-1", "SN74AUC16240ZQLR")</f>
        <v>SN74AUC16240ZQLR</v>
      </c>
      <c r="B2713" s="3" t="str">
        <f>HYPERLINK("https://www.773grp.com/manufacturer/texas-instruments?pageNo=952", "Texas Instruments")</f>
        <v>Texas Instruments</v>
      </c>
      <c r="C2713" s="5">
        <v>1000</v>
      </c>
      <c r="D2713" s="6">
        <v>3.75</v>
      </c>
      <c r="E2713" t="s">
        <v>12</v>
      </c>
    </row>
    <row r="2714" spans="1:5" x14ac:dyDescent="0.25">
      <c r="A2714" t="str">
        <f>HYPERLINK("https://www.773grp.com/globalSearch/SN74HCT533N/page-1", "SN74HCT533N")</f>
        <v>SN74HCT533N</v>
      </c>
      <c r="B2714" s="3" t="str">
        <f>HYPERLINK("https://www.773grp.com/manufacturer/texas-instruments?pageNo=953", "Texas Instruments")</f>
        <v>Texas Instruments</v>
      </c>
      <c r="C2714" s="5">
        <v>245</v>
      </c>
      <c r="D2714" s="6">
        <v>3.75</v>
      </c>
      <c r="E2714" t="s">
        <v>12</v>
      </c>
    </row>
    <row r="2715" spans="1:5" x14ac:dyDescent="0.25">
      <c r="A2715" t="str">
        <f>HYPERLINK("https://www.773grp.com/globalSearch/SN74LVTZ245DBLE/page-1", "SN74LVTZ245DBLE")</f>
        <v>SN74LVTZ245DBLE</v>
      </c>
      <c r="B2715" s="3" t="str">
        <f>HYPERLINK("https://www.773grp.com/manufacturer/texas-instruments?pageNo=955", "Texas Instruments")</f>
        <v>Texas Instruments</v>
      </c>
      <c r="C2715" s="5">
        <v>13000</v>
      </c>
      <c r="D2715" s="6">
        <v>3.75</v>
      </c>
      <c r="E2715" t="s">
        <v>12</v>
      </c>
    </row>
    <row r="2716" spans="1:5" x14ac:dyDescent="0.25">
      <c r="A2716" t="str">
        <f>HYPERLINK("https://www.773grp.com/globalSearch/74CB3T3245DGVRE4/page-1", "74CB3T3245DGVRE4")</f>
        <v>74CB3T3245DGVRE4</v>
      </c>
      <c r="B2716" s="3" t="str">
        <f>HYPERLINK("https://www.773grp.com/manufacturer/texas-instruments?pageNo=962", "Texas Instruments")</f>
        <v>Texas Instruments</v>
      </c>
      <c r="C2716" s="5">
        <v>2000</v>
      </c>
      <c r="D2716" s="6">
        <v>4.16</v>
      </c>
      <c r="E2716" t="s">
        <v>12</v>
      </c>
    </row>
    <row r="2717" spans="1:5" x14ac:dyDescent="0.25">
      <c r="A2717" t="str">
        <f>HYPERLINK("https://www.773grp.com/globalSearch/74FCT162H245ATPVC/page-1", "74FCT162H245ATPVC")</f>
        <v>74FCT162H245ATPVC</v>
      </c>
      <c r="B2717" s="3" t="str">
        <f>HYPERLINK("https://www.773grp.com/manufacturer/texas-instruments?pageNo=967", "Texas Instruments")</f>
        <v>Texas Instruments</v>
      </c>
      <c r="C2717" s="5">
        <v>7620</v>
      </c>
      <c r="D2717" s="6">
        <v>4.16</v>
      </c>
      <c r="E2717" t="s">
        <v>12</v>
      </c>
    </row>
    <row r="2718" spans="1:5" x14ac:dyDescent="0.25">
      <c r="A2718" t="str">
        <f>HYPERLINK("https://www.773grp.com/globalSearch/74FCT162H245CTPVC/page-1", "74FCT162H245CTPVC")</f>
        <v>74FCT162H245CTPVC</v>
      </c>
      <c r="B2718" s="3" t="str">
        <f>HYPERLINK("https://www.773grp.com/manufacturer/texas-instruments?pageNo=968", "Texas Instruments")</f>
        <v>Texas Instruments</v>
      </c>
      <c r="C2718" s="5">
        <v>3325</v>
      </c>
      <c r="D2718" s="6">
        <v>4.16</v>
      </c>
      <c r="E2718" t="s">
        <v>12</v>
      </c>
    </row>
    <row r="2719" spans="1:5" x14ac:dyDescent="0.25">
      <c r="A2719" t="str">
        <f>HYPERLINK("https://www.773grp.com/globalSearch/CD74AC623E/page-1", "CD74AC623E")</f>
        <v>CD74AC623E</v>
      </c>
      <c r="B2719" s="3" t="str">
        <f>HYPERLINK("https://www.773grp.com/manufacturer/texas-instruments?pageNo=977", "Texas Instruments")</f>
        <v>Texas Instruments</v>
      </c>
      <c r="C2719" s="5">
        <v>318</v>
      </c>
      <c r="D2719" s="6">
        <v>4.16</v>
      </c>
      <c r="E2719" t="s">
        <v>12</v>
      </c>
    </row>
    <row r="2720" spans="1:5" x14ac:dyDescent="0.25">
      <c r="A2720" t="str">
        <f>HYPERLINK("https://www.773grp.com/globalSearch/CD74HCT564M/page-1", "CD74HCT564M")</f>
        <v>CD74HCT564M</v>
      </c>
      <c r="B2720" s="3" t="s">
        <v>90</v>
      </c>
      <c r="C2720" s="5">
        <v>2127</v>
      </c>
      <c r="D2720" s="6">
        <v>4.16</v>
      </c>
      <c r="E2720" t="s">
        <v>12</v>
      </c>
    </row>
    <row r="2721" spans="1:5" x14ac:dyDescent="0.25">
      <c r="A2721" t="str">
        <f>HYPERLINK("https://www.773grp.com/globalSearch/CY74FCT162244TPVCT/page-1", "CY74FCT162244TPVCT")</f>
        <v>CY74FCT162244TPVCT</v>
      </c>
      <c r="B2721" s="3" t="s">
        <v>90</v>
      </c>
      <c r="C2721" s="5">
        <v>4400</v>
      </c>
      <c r="D2721" s="6">
        <v>4.16</v>
      </c>
      <c r="E2721" t="s">
        <v>12</v>
      </c>
    </row>
    <row r="2722" spans="1:5" x14ac:dyDescent="0.25">
      <c r="A2722" t="str">
        <f>HYPERLINK("https://www.773grp.com/globalSearch/CY74FCT162373CTPVC/page-1", "CY74FCT162373CTPVC")</f>
        <v>CY74FCT162373CTPVC</v>
      </c>
      <c r="B2722" s="3" t="s">
        <v>90</v>
      </c>
      <c r="C2722" s="5">
        <v>10791</v>
      </c>
      <c r="D2722" s="6">
        <v>4.16</v>
      </c>
      <c r="E2722" t="s">
        <v>12</v>
      </c>
    </row>
    <row r="2723" spans="1:5" x14ac:dyDescent="0.25">
      <c r="A2723" t="str">
        <f>HYPERLINK("https://www.773grp.com/globalSearch/CY74FCT162374ATPVC/page-1", "CY74FCT162374ATPVC")</f>
        <v>CY74FCT162374ATPVC</v>
      </c>
      <c r="B2723" s="3" t="s">
        <v>90</v>
      </c>
      <c r="C2723" s="5">
        <v>1856</v>
      </c>
      <c r="D2723" s="6">
        <v>4.16</v>
      </c>
      <c r="E2723" t="s">
        <v>12</v>
      </c>
    </row>
    <row r="2724" spans="1:5" x14ac:dyDescent="0.25">
      <c r="A2724" t="str">
        <f>HYPERLINK("https://www.773grp.com/globalSearch/CY74FCT16245CTPVCT/page-1", "CY74FCT16245CTPVCT")</f>
        <v>CY74FCT16245CTPVCT</v>
      </c>
      <c r="B2724" s="3" t="s">
        <v>90</v>
      </c>
      <c r="C2724" s="5">
        <v>23000</v>
      </c>
      <c r="D2724" s="6">
        <v>4.16</v>
      </c>
      <c r="E2724" t="s">
        <v>12</v>
      </c>
    </row>
    <row r="2725" spans="1:5" x14ac:dyDescent="0.25">
      <c r="A2725" t="str">
        <f>HYPERLINK("https://www.773grp.com/globalSearch/CY74FCT162827ATPVC/page-1", "CY74FCT162827ATPVC")</f>
        <v>CY74FCT162827ATPVC</v>
      </c>
      <c r="B2725" s="3" t="s">
        <v>90</v>
      </c>
      <c r="C2725" s="5">
        <v>15155</v>
      </c>
      <c r="D2725" s="6">
        <v>4.16</v>
      </c>
      <c r="E2725" t="s">
        <v>12</v>
      </c>
    </row>
    <row r="2726" spans="1:5" x14ac:dyDescent="0.25">
      <c r="A2726" t="str">
        <f>HYPERLINK("https://www.773grp.com/globalSearch/CY74FCT162841CTPVC/page-1", "CY74FCT162841CTPVC")</f>
        <v>CY74FCT162841CTPVC</v>
      </c>
      <c r="B2726" s="3" t="s">
        <v>90</v>
      </c>
      <c r="C2726" s="5">
        <v>6877</v>
      </c>
      <c r="D2726" s="6">
        <v>4.16</v>
      </c>
      <c r="E2726" t="s">
        <v>12</v>
      </c>
    </row>
    <row r="2727" spans="1:5" x14ac:dyDescent="0.25">
      <c r="A2727" t="str">
        <f>HYPERLINK("https://www.773grp.com/globalSearch/CY74FCT16373CTVR/page-1", "CY74FCT16373CTVR")</f>
        <v>CY74FCT16373CTVR</v>
      </c>
      <c r="B2727" s="3" t="s">
        <v>90</v>
      </c>
      <c r="C2727" s="5">
        <v>14000</v>
      </c>
      <c r="D2727" s="6">
        <v>4.16</v>
      </c>
      <c r="E2727" t="s">
        <v>12</v>
      </c>
    </row>
    <row r="2728" spans="1:5" x14ac:dyDescent="0.25">
      <c r="A2728" t="str">
        <f>HYPERLINK("https://www.773grp.com/globalSearch/CY74FCT16374TPVC/page-1", "CY74FCT16374TPVC")</f>
        <v>CY74FCT16374TPVC</v>
      </c>
      <c r="B2728" s="3" t="s">
        <v>90</v>
      </c>
      <c r="C2728" s="5">
        <v>17658</v>
      </c>
      <c r="D2728" s="6">
        <v>4.16</v>
      </c>
      <c r="E2728" t="s">
        <v>12</v>
      </c>
    </row>
    <row r="2729" spans="1:5" x14ac:dyDescent="0.25">
      <c r="A2729" t="str">
        <f>HYPERLINK("https://www.773grp.com/globalSearch/CY74FCT16501ATPVCT/page-1", "CY74FCT16501ATPVCT")</f>
        <v>CY74FCT16501ATPVCT</v>
      </c>
      <c r="B2729" s="3" t="s">
        <v>90</v>
      </c>
      <c r="C2729" s="5">
        <v>53000</v>
      </c>
      <c r="D2729" s="6">
        <v>4.16</v>
      </c>
      <c r="E2729" t="s">
        <v>12</v>
      </c>
    </row>
    <row r="2730" spans="1:5" x14ac:dyDescent="0.25">
      <c r="A2730" t="str">
        <f>HYPERLINK("https://www.773grp.com/globalSearch/CY74FCT2573CTQCT/page-1", "CY74FCT2573CTQCT")</f>
        <v>CY74FCT2573CTQCT</v>
      </c>
      <c r="B2730" s="3" t="s">
        <v>90</v>
      </c>
      <c r="C2730" s="5">
        <v>17500</v>
      </c>
      <c r="D2730" s="6">
        <v>4.16</v>
      </c>
      <c r="E2730" t="s">
        <v>12</v>
      </c>
    </row>
    <row r="2731" spans="1:5" x14ac:dyDescent="0.25">
      <c r="A2731" t="str">
        <f>HYPERLINK("https://www.773grp.com/globalSearch/CY74FCT2573CTSOCT/page-1", "CY74FCT2573CTSOCT")</f>
        <v>CY74FCT2573CTSOCT</v>
      </c>
      <c r="B2731" s="3" t="s">
        <v>90</v>
      </c>
      <c r="C2731" s="5">
        <v>4000</v>
      </c>
      <c r="D2731" s="6">
        <v>4.16</v>
      </c>
      <c r="E2731" t="s">
        <v>12</v>
      </c>
    </row>
    <row r="2732" spans="1:5" x14ac:dyDescent="0.25">
      <c r="A2732" t="str">
        <f>HYPERLINK("https://www.773grp.com/globalSearch/CY74FCT841CTQCT/page-1", "CY74FCT841CTQCT")</f>
        <v>CY74FCT841CTQCT</v>
      </c>
      <c r="B2732" s="3" t="s">
        <v>90</v>
      </c>
      <c r="C2732" s="5">
        <v>10201</v>
      </c>
      <c r="D2732" s="6">
        <v>4.16</v>
      </c>
      <c r="E2732" t="s">
        <v>12</v>
      </c>
    </row>
    <row r="2733" spans="1:5" x14ac:dyDescent="0.25">
      <c r="A2733" t="str">
        <f>HYPERLINK("https://www.773grp.com/globalSearch/CY74FCT841CTSOCT/page-1", "CY74FCT841CTSOCT")</f>
        <v>CY74FCT841CTSOCT</v>
      </c>
      <c r="B2733" s="3" t="s">
        <v>90</v>
      </c>
      <c r="C2733" s="5">
        <v>2000</v>
      </c>
      <c r="D2733" s="6">
        <v>4.16</v>
      </c>
      <c r="E2733" t="s">
        <v>12</v>
      </c>
    </row>
    <row r="2734" spans="1:5" x14ac:dyDescent="0.25">
      <c r="A2734" t="str">
        <f>HYPERLINK("https://www.773grp.com/globalSearch/SN74367AN/page-1", "SN74367AN")</f>
        <v>SN74367AN</v>
      </c>
      <c r="B2734" s="3" t="s">
        <v>90</v>
      </c>
      <c r="C2734" s="5">
        <v>3052</v>
      </c>
      <c r="D2734" s="6">
        <v>4.16</v>
      </c>
      <c r="E2734" t="s">
        <v>12</v>
      </c>
    </row>
    <row r="2735" spans="1:5" x14ac:dyDescent="0.25">
      <c r="A2735" t="str">
        <f>HYPERLINK("https://www.773grp.com/globalSearch/SN74ABT162244DL/page-1", "SN74ABT162244DL")</f>
        <v>SN74ABT162244DL</v>
      </c>
      <c r="B2735" s="3" t="s">
        <v>90</v>
      </c>
      <c r="C2735" s="5">
        <v>25717</v>
      </c>
      <c r="D2735" s="6">
        <v>4.16</v>
      </c>
      <c r="E2735" t="s">
        <v>12</v>
      </c>
    </row>
    <row r="2736" spans="1:5" x14ac:dyDescent="0.25">
      <c r="A2736" t="str">
        <f>HYPERLINK("https://www.773grp.com/globalSearch/SN74ABT162244DLG4/page-1", "SN74ABT162244DLG4")</f>
        <v>SN74ABT162244DLG4</v>
      </c>
      <c r="B2736" s="3" t="s">
        <v>90</v>
      </c>
      <c r="C2736" s="5">
        <v>1000</v>
      </c>
      <c r="D2736" s="6">
        <v>4.16</v>
      </c>
      <c r="E2736" t="s">
        <v>12</v>
      </c>
    </row>
    <row r="2737" spans="1:5" x14ac:dyDescent="0.25">
      <c r="A2737" t="str">
        <f>HYPERLINK("https://www.773grp.com/globalSearch/SN74ABT162245DL/page-1", "SN74ABT162245DL")</f>
        <v>SN74ABT162245DL</v>
      </c>
      <c r="B2737" s="3" t="s">
        <v>90</v>
      </c>
      <c r="C2737" s="5">
        <v>3814</v>
      </c>
      <c r="D2737" s="6">
        <v>4.16</v>
      </c>
      <c r="E2737" t="s">
        <v>12</v>
      </c>
    </row>
    <row r="2738" spans="1:5" x14ac:dyDescent="0.25">
      <c r="A2738" t="str">
        <f>HYPERLINK("https://www.773grp.com/globalSearch/SN74ABT16240ADL/page-1", "SN74ABT16240ADL")</f>
        <v>SN74ABT16240ADL</v>
      </c>
      <c r="B2738" s="3" t="s">
        <v>90</v>
      </c>
      <c r="C2738" s="5">
        <v>1362</v>
      </c>
      <c r="D2738" s="6">
        <v>4.16</v>
      </c>
      <c r="E2738" t="s">
        <v>12</v>
      </c>
    </row>
    <row r="2739" spans="1:5" x14ac:dyDescent="0.25">
      <c r="A2739" t="str">
        <f>HYPERLINK("https://www.773grp.com/globalSearch/SN74ABT16241ADL/page-1", "SN74ABT16241ADL")</f>
        <v>SN74ABT16241ADL</v>
      </c>
      <c r="B2739" s="3" t="s">
        <v>90</v>
      </c>
      <c r="C2739" s="5">
        <v>8966</v>
      </c>
      <c r="D2739" s="6">
        <v>4.16</v>
      </c>
      <c r="E2739" t="s">
        <v>12</v>
      </c>
    </row>
    <row r="2740" spans="1:5" x14ac:dyDescent="0.25">
      <c r="A2740" t="str">
        <f>HYPERLINK("https://www.773grp.com/globalSearch/SN74ABT16244ADL/page-1", "SN74ABT16244ADL")</f>
        <v>SN74ABT16244ADL</v>
      </c>
      <c r="B2740" s="3" t="s">
        <v>90</v>
      </c>
      <c r="C2740" s="5">
        <v>133050</v>
      </c>
      <c r="D2740" s="6">
        <v>4.16</v>
      </c>
      <c r="E2740" t="s">
        <v>12</v>
      </c>
    </row>
    <row r="2741" spans="1:5" x14ac:dyDescent="0.25">
      <c r="A2741" t="str">
        <f>HYPERLINK("https://www.773grp.com/globalSearch/SN74ABT16245ADL/page-1", "SN74ABT16245ADL")</f>
        <v>SN74ABT16245ADL</v>
      </c>
      <c r="B2741" s="3" t="s">
        <v>90</v>
      </c>
      <c r="C2741" s="5">
        <v>43804</v>
      </c>
      <c r="D2741" s="6">
        <v>4.16</v>
      </c>
      <c r="E2741" t="s">
        <v>12</v>
      </c>
    </row>
    <row r="2742" spans="1:5" x14ac:dyDescent="0.25">
      <c r="A2742" t="str">
        <f>HYPERLINK("https://www.773grp.com/globalSearch/SN74ABT16245ADLG4/page-1", "SN74ABT16245ADLG4")</f>
        <v>SN74ABT16245ADLG4</v>
      </c>
      <c r="B2742" s="3" t="s">
        <v>90</v>
      </c>
      <c r="C2742" s="5">
        <v>383</v>
      </c>
      <c r="D2742" s="6">
        <v>4.16</v>
      </c>
      <c r="E2742" t="s">
        <v>12</v>
      </c>
    </row>
    <row r="2743" spans="1:5" x14ac:dyDescent="0.25">
      <c r="A2743" t="str">
        <f>HYPERLINK("https://www.773grp.com/globalSearch/SN74ABT623DWR/page-1", "SN74ABT623DWR")</f>
        <v>SN74ABT623DWR</v>
      </c>
      <c r="B2743" s="3" t="s">
        <v>90</v>
      </c>
      <c r="C2743" s="5">
        <v>4000</v>
      </c>
      <c r="D2743" s="6">
        <v>4.16</v>
      </c>
      <c r="E2743" t="s">
        <v>12</v>
      </c>
    </row>
    <row r="2744" spans="1:5" x14ac:dyDescent="0.25">
      <c r="A2744" t="str">
        <f>HYPERLINK("https://www.773grp.com/globalSearch/SN74ABT623N/page-1", "SN74ABT623N")</f>
        <v>SN74ABT623N</v>
      </c>
      <c r="B2744" s="3" t="s">
        <v>90</v>
      </c>
      <c r="C2744" s="5">
        <v>36438</v>
      </c>
      <c r="D2744" s="6">
        <v>4.16</v>
      </c>
      <c r="E2744" t="s">
        <v>12</v>
      </c>
    </row>
    <row r="2745" spans="1:5" x14ac:dyDescent="0.25">
      <c r="A2745" t="str">
        <f>HYPERLINK("https://www.773grp.com/globalSearch/SN74ABT623NSR/page-1", "SN74ABT623NSR")</f>
        <v>SN74ABT623NSR</v>
      </c>
      <c r="B2745" s="3" t="s">
        <v>90</v>
      </c>
      <c r="C2745" s="5">
        <v>1306</v>
      </c>
      <c r="D2745" s="6">
        <v>4.16</v>
      </c>
      <c r="E2745" t="s">
        <v>12</v>
      </c>
    </row>
    <row r="2746" spans="1:5" x14ac:dyDescent="0.25">
      <c r="A2746" t="str">
        <f>HYPERLINK("https://www.773grp.com/globalSearch/SN74ABT640N/page-1", "SN74ABT640N")</f>
        <v>SN74ABT640N</v>
      </c>
      <c r="B2746" s="3" t="s">
        <v>90</v>
      </c>
      <c r="C2746" s="5">
        <v>726</v>
      </c>
      <c r="D2746" s="6">
        <v>4.16</v>
      </c>
      <c r="E2746" t="s">
        <v>12</v>
      </c>
    </row>
    <row r="2747" spans="1:5" x14ac:dyDescent="0.25">
      <c r="A2747" t="str">
        <f>HYPERLINK("https://www.773grp.com/globalSearch/SN74ABT646ADGVR/page-1", "SN74ABT646ADGVR")</f>
        <v>SN74ABT646ADGVR</v>
      </c>
      <c r="B2747" s="3" t="s">
        <v>90</v>
      </c>
      <c r="C2747" s="5">
        <v>4085</v>
      </c>
      <c r="D2747" s="6">
        <v>4.16</v>
      </c>
      <c r="E2747" t="s">
        <v>12</v>
      </c>
    </row>
    <row r="2748" spans="1:5" x14ac:dyDescent="0.25">
      <c r="A2748" t="str">
        <f>HYPERLINK("https://www.773grp.com/globalSearch/SN74ABT646ADWR/page-1", "SN74ABT646ADWR")</f>
        <v>SN74ABT646ADWR</v>
      </c>
      <c r="B2748" s="3" t="s">
        <v>90</v>
      </c>
      <c r="C2748" s="5">
        <v>12000</v>
      </c>
      <c r="D2748" s="6">
        <v>4.16</v>
      </c>
      <c r="E2748" t="s">
        <v>12</v>
      </c>
    </row>
    <row r="2749" spans="1:5" x14ac:dyDescent="0.25">
      <c r="A2749" t="str">
        <f>HYPERLINK("https://www.773grp.com/globalSearch/SN74ABT646DGVR/page-1", "SN74ABT646DGVR")</f>
        <v>SN74ABT646DGVR</v>
      </c>
      <c r="B2749" s="3" t="s">
        <v>90</v>
      </c>
      <c r="C2749" s="5">
        <v>2000</v>
      </c>
      <c r="D2749" s="6">
        <v>4.16</v>
      </c>
      <c r="E2749" t="s">
        <v>12</v>
      </c>
    </row>
    <row r="2750" spans="1:5" x14ac:dyDescent="0.25">
      <c r="A2750" t="str">
        <f>HYPERLINK("https://www.773grp.com/globalSearch/SN74ABT646DWR/page-1", "SN74ABT646DWR")</f>
        <v>SN74ABT646DWR</v>
      </c>
      <c r="B2750" s="3" t="s">
        <v>90</v>
      </c>
      <c r="C2750" s="5">
        <v>6000</v>
      </c>
      <c r="D2750" s="6">
        <v>4.16</v>
      </c>
      <c r="E2750" t="s">
        <v>12</v>
      </c>
    </row>
    <row r="2751" spans="1:5" x14ac:dyDescent="0.25">
      <c r="A2751" t="str">
        <f>HYPERLINK("https://www.773grp.com/globalSearch/SN74ABT646PWR/page-1", "SN74ABT646PWR")</f>
        <v>SN74ABT646PWR</v>
      </c>
      <c r="B2751" s="3" t="s">
        <v>90</v>
      </c>
      <c r="C2751" s="5">
        <v>2000</v>
      </c>
      <c r="D2751" s="6">
        <v>4.16</v>
      </c>
      <c r="E2751" t="s">
        <v>12</v>
      </c>
    </row>
    <row r="2752" spans="1:5" x14ac:dyDescent="0.25">
      <c r="A2752" t="str">
        <f>HYPERLINK("https://www.773grp.com/globalSearch/SN74ABT652ADBR/page-1", "SN74ABT652ADBR")</f>
        <v>SN74ABT652ADBR</v>
      </c>
      <c r="B2752" s="3" t="s">
        <v>90</v>
      </c>
      <c r="C2752" s="5">
        <v>2000</v>
      </c>
      <c r="D2752" s="6">
        <v>4.16</v>
      </c>
      <c r="E2752" t="s">
        <v>12</v>
      </c>
    </row>
    <row r="2753" spans="1:5" x14ac:dyDescent="0.25">
      <c r="A2753" t="str">
        <f>HYPERLINK("https://www.773grp.com/globalSearch/SN74ABT652DBR/page-1", "SN74ABT652DBR")</f>
        <v>SN74ABT652DBR</v>
      </c>
      <c r="B2753" s="3" t="s">
        <v>90</v>
      </c>
      <c r="C2753" s="5">
        <v>2000</v>
      </c>
      <c r="D2753" s="6">
        <v>4.16</v>
      </c>
      <c r="E2753" t="s">
        <v>12</v>
      </c>
    </row>
    <row r="2754" spans="1:5" x14ac:dyDescent="0.25">
      <c r="A2754" t="str">
        <f>HYPERLINK("https://www.773grp.com/globalSearch/SN74ABT841ADWR/page-1", "SN74ABT841ADWR")</f>
        <v>SN74ABT841ADWR</v>
      </c>
      <c r="B2754" s="3" t="s">
        <v>90</v>
      </c>
      <c r="C2754" s="5">
        <v>14000</v>
      </c>
      <c r="D2754" s="6">
        <v>4.16</v>
      </c>
      <c r="E2754" t="s">
        <v>12</v>
      </c>
    </row>
    <row r="2755" spans="1:5" x14ac:dyDescent="0.25">
      <c r="A2755" t="str">
        <f>HYPERLINK("https://www.773grp.com/globalSearch/SN74ABT841APWR/page-1", "SN74ABT841APWR")</f>
        <v>SN74ABT841APWR</v>
      </c>
      <c r="B2755" s="3" t="s">
        <v>90</v>
      </c>
      <c r="C2755" s="5">
        <v>1773</v>
      </c>
      <c r="D2755" s="6">
        <v>4.16</v>
      </c>
      <c r="E2755" t="s">
        <v>12</v>
      </c>
    </row>
    <row r="2756" spans="1:5" x14ac:dyDescent="0.25">
      <c r="A2756" t="str">
        <f>HYPERLINK("https://www.773grp.com/globalSearch/SN74ABT841DW/page-1", "SN74ABT841DW")</f>
        <v>SN74ABT841DW</v>
      </c>
      <c r="B2756" s="3" t="s">
        <v>90</v>
      </c>
      <c r="C2756" s="5">
        <v>8206</v>
      </c>
      <c r="D2756" s="6">
        <v>4.16</v>
      </c>
      <c r="E2756" t="s">
        <v>12</v>
      </c>
    </row>
    <row r="2757" spans="1:5" x14ac:dyDescent="0.25">
      <c r="A2757" t="str">
        <f>HYPERLINK("https://www.773grp.com/globalSearch/SN74ABT841NT/page-1", "SN74ABT841NT")</f>
        <v>SN74ABT841NT</v>
      </c>
      <c r="B2757" s="3" t="s">
        <v>90</v>
      </c>
      <c r="C2757" s="5">
        <v>1392</v>
      </c>
      <c r="D2757" s="6">
        <v>4.16</v>
      </c>
      <c r="E2757" t="s">
        <v>12</v>
      </c>
    </row>
    <row r="2758" spans="1:5" x14ac:dyDescent="0.25">
      <c r="A2758" t="str">
        <f>HYPERLINK("https://www.773grp.com/globalSearch/SN74ABT843DWR/page-1", "SN74ABT843DWR")</f>
        <v>SN74ABT843DWR</v>
      </c>
      <c r="B2758" s="3" t="s">
        <v>90</v>
      </c>
      <c r="C2758" s="5">
        <v>10000</v>
      </c>
      <c r="D2758" s="6">
        <v>4.16</v>
      </c>
      <c r="E2758" t="s">
        <v>12</v>
      </c>
    </row>
    <row r="2759" spans="1:5" x14ac:dyDescent="0.25">
      <c r="A2759" t="str">
        <f>HYPERLINK("https://www.773grp.com/globalSearch/SN74ABT843NSR/page-1", "SN74ABT843NSR")</f>
        <v>SN74ABT843NSR</v>
      </c>
      <c r="B2759" s="3" t="s">
        <v>90</v>
      </c>
      <c r="C2759" s="5">
        <v>5900</v>
      </c>
      <c r="D2759" s="6">
        <v>4.16</v>
      </c>
      <c r="E2759" t="s">
        <v>12</v>
      </c>
    </row>
    <row r="2760" spans="1:5" x14ac:dyDescent="0.25">
      <c r="A2760" t="str">
        <f>HYPERLINK("https://www.773grp.com/globalSearch/SN74ABTH16244DL/page-1", "SN74ABTH16244DL")</f>
        <v>SN74ABTH16244DL</v>
      </c>
      <c r="B2760" s="3" t="s">
        <v>90</v>
      </c>
      <c r="C2760" s="5">
        <v>19117</v>
      </c>
      <c r="D2760" s="6">
        <v>4.16</v>
      </c>
      <c r="E2760" t="s">
        <v>12</v>
      </c>
    </row>
    <row r="2761" spans="1:5" x14ac:dyDescent="0.25">
      <c r="A2761" t="str">
        <f>HYPERLINK("https://www.773grp.com/globalSearch/SN74AC533DBR/page-1", "SN74AC533DBR")</f>
        <v>SN74AC533DBR</v>
      </c>
      <c r="B2761" s="3" t="s">
        <v>90</v>
      </c>
      <c r="C2761" s="5">
        <v>6000</v>
      </c>
      <c r="D2761" s="6">
        <v>4.16</v>
      </c>
      <c r="E2761" t="s">
        <v>12</v>
      </c>
    </row>
    <row r="2762" spans="1:5" x14ac:dyDescent="0.25">
      <c r="A2762" t="str">
        <f>HYPERLINK("https://www.773grp.com/globalSearch/SN74AC533N/page-1", "SN74AC533N")</f>
        <v>SN74AC533N</v>
      </c>
      <c r="B2762" s="3" t="s">
        <v>90</v>
      </c>
      <c r="C2762" s="5">
        <v>25700</v>
      </c>
      <c r="D2762" s="6">
        <v>4.16</v>
      </c>
      <c r="E2762" t="s">
        <v>12</v>
      </c>
    </row>
    <row r="2763" spans="1:5" x14ac:dyDescent="0.25">
      <c r="A2763" t="str">
        <f>HYPERLINK("https://www.773grp.com/globalSearch/SN74AC563DBR/page-1", "SN74AC563DBR")</f>
        <v>SN74AC563DBR</v>
      </c>
      <c r="B2763" s="3" t="s">
        <v>90</v>
      </c>
      <c r="C2763" s="5">
        <v>6001</v>
      </c>
      <c r="D2763" s="6">
        <v>4.16</v>
      </c>
      <c r="E2763" t="s">
        <v>12</v>
      </c>
    </row>
    <row r="2764" spans="1:5" x14ac:dyDescent="0.25">
      <c r="A2764" t="str">
        <f>HYPERLINK("https://www.773grp.com/globalSearch/SN74AC563N/page-1", "SN74AC563N")</f>
        <v>SN74AC563N</v>
      </c>
      <c r="B2764" s="3" t="s">
        <v>90</v>
      </c>
      <c r="C2764" s="5">
        <v>22495</v>
      </c>
      <c r="D2764" s="6">
        <v>4.16</v>
      </c>
      <c r="E2764" t="s">
        <v>12</v>
      </c>
    </row>
    <row r="2765" spans="1:5" x14ac:dyDescent="0.25">
      <c r="A2765" t="str">
        <f>HYPERLINK("https://www.773grp.com/globalSearch/SN74AHC16240DL/page-1", "SN74AHC16240DL")</f>
        <v>SN74AHC16240DL</v>
      </c>
      <c r="B2765" s="3" t="s">
        <v>90</v>
      </c>
      <c r="C2765" s="5">
        <v>21580</v>
      </c>
      <c r="D2765" s="6">
        <v>4.16</v>
      </c>
      <c r="E2765" t="s">
        <v>12</v>
      </c>
    </row>
    <row r="2766" spans="1:5" x14ac:dyDescent="0.25">
      <c r="A2766" t="str">
        <f>HYPERLINK("https://www.773grp.com/globalSearch/SN74AHC16374DLR/page-1", "SN74AHC16374DLR")</f>
        <v>SN74AHC16374DLR</v>
      </c>
      <c r="B2766" s="3" t="s">
        <v>90</v>
      </c>
      <c r="C2766" s="5">
        <v>1000</v>
      </c>
      <c r="D2766" s="6">
        <v>4.16</v>
      </c>
      <c r="E2766" t="s">
        <v>12</v>
      </c>
    </row>
    <row r="2767" spans="1:5" x14ac:dyDescent="0.25">
      <c r="A2767" t="str">
        <f>HYPERLINK("https://www.773grp.com/globalSearch/SN74AHC16540DL/page-1", "SN74AHC16540DL")</f>
        <v>SN74AHC16540DL</v>
      </c>
      <c r="B2767" s="3" t="s">
        <v>90</v>
      </c>
      <c r="C2767" s="5">
        <v>11258</v>
      </c>
      <c r="D2767" s="6">
        <v>4.16</v>
      </c>
      <c r="E2767" t="s">
        <v>12</v>
      </c>
    </row>
    <row r="2768" spans="1:5" x14ac:dyDescent="0.25">
      <c r="A2768" t="str">
        <f>HYPERLINK("https://www.773grp.com/globalSearch/SN74ALS541-1N/page-1", "SN74ALS541-1N")</f>
        <v>SN74ALS541-1N</v>
      </c>
      <c r="B2768" s="3" t="s">
        <v>90</v>
      </c>
      <c r="C2768" s="5">
        <v>1450</v>
      </c>
      <c r="D2768" s="6">
        <v>4.16</v>
      </c>
      <c r="E2768" t="s">
        <v>12</v>
      </c>
    </row>
    <row r="2769" spans="1:5" x14ac:dyDescent="0.25">
      <c r="A2769" t="str">
        <f>HYPERLINK("https://www.773grp.com/globalSearch/SN74ALS541N/page-1", "SN74ALS541N")</f>
        <v>SN74ALS541N</v>
      </c>
      <c r="B2769" s="3" t="s">
        <v>90</v>
      </c>
      <c r="C2769" s="5">
        <v>9481</v>
      </c>
      <c r="D2769" s="6">
        <v>4.16</v>
      </c>
      <c r="E2769" t="s">
        <v>12</v>
      </c>
    </row>
    <row r="2770" spans="1:5" x14ac:dyDescent="0.25">
      <c r="A2770" t="str">
        <f>HYPERLINK("https://www.773grp.com/globalSearch/SN74ALVC162835DLR/page-1", "SN74ALVC162835DLR")</f>
        <v>SN74ALVC162835DLR</v>
      </c>
      <c r="B2770" s="3" t="s">
        <v>90</v>
      </c>
      <c r="C2770" s="5">
        <v>1000</v>
      </c>
      <c r="D2770" s="6">
        <v>4.16</v>
      </c>
      <c r="E2770" t="s">
        <v>12</v>
      </c>
    </row>
    <row r="2771" spans="1:5" x14ac:dyDescent="0.25">
      <c r="A2771" t="str">
        <f>HYPERLINK("https://www.773grp.com/globalSearch/SN74ALVC16334DGGR/page-1", "SN74ALVC16334DGGR")</f>
        <v>SN74ALVC16334DGGR</v>
      </c>
      <c r="B2771" s="3" t="s">
        <v>90</v>
      </c>
      <c r="C2771" s="5">
        <v>54934</v>
      </c>
      <c r="D2771" s="6">
        <v>4.16</v>
      </c>
      <c r="E2771" t="s">
        <v>12</v>
      </c>
    </row>
    <row r="2772" spans="1:5" x14ac:dyDescent="0.25">
      <c r="A2772" t="str">
        <f>HYPERLINK("https://www.773grp.com/globalSearch/SN74ALVC16334DGVR/page-1", "SN74ALVC16334DGVR")</f>
        <v>SN74ALVC16334DGVR</v>
      </c>
      <c r="B2772" s="3" t="s">
        <v>90</v>
      </c>
      <c r="C2772" s="5">
        <v>4000</v>
      </c>
      <c r="D2772" s="6">
        <v>4.16</v>
      </c>
      <c r="E2772" t="s">
        <v>12</v>
      </c>
    </row>
    <row r="2773" spans="1:5" x14ac:dyDescent="0.25">
      <c r="A2773" t="str">
        <f>HYPERLINK("https://www.773grp.com/globalSearch/SN74ALVCH162268DLR/page-1", "SN74ALVCH162268DLR")</f>
        <v>SN74ALVCH162268DLR</v>
      </c>
      <c r="B2773" s="3" t="s">
        <v>90</v>
      </c>
      <c r="C2773" s="5">
        <v>34000</v>
      </c>
      <c r="D2773" s="6">
        <v>4.16</v>
      </c>
      <c r="E2773" t="s">
        <v>12</v>
      </c>
    </row>
    <row r="2774" spans="1:5" x14ac:dyDescent="0.25">
      <c r="A2774" t="str">
        <f>HYPERLINK("https://www.773grp.com/globalSearch/SN74ALVCH162373DL/page-1", "SN74ALVCH162373DL")</f>
        <v>SN74ALVCH162373DL</v>
      </c>
      <c r="B2774" s="3" t="s">
        <v>90</v>
      </c>
      <c r="C2774" s="5">
        <v>3125</v>
      </c>
      <c r="D2774" s="6">
        <v>4.16</v>
      </c>
      <c r="E2774" t="s">
        <v>12</v>
      </c>
    </row>
    <row r="2775" spans="1:5" x14ac:dyDescent="0.25">
      <c r="A2775" t="str">
        <f>HYPERLINK("https://www.773grp.com/globalSearch/SN74ALVCH162373LR/page-1", "SN74ALVCH162373LR")</f>
        <v>SN74ALVCH162373LR</v>
      </c>
      <c r="B2775" s="3" t="s">
        <v>90</v>
      </c>
      <c r="C2775" s="5">
        <v>2000</v>
      </c>
      <c r="D2775" s="6">
        <v>4.16</v>
      </c>
      <c r="E2775" t="s">
        <v>12</v>
      </c>
    </row>
    <row r="2776" spans="1:5" x14ac:dyDescent="0.25">
      <c r="A2776" t="str">
        <f>HYPERLINK("https://www.773grp.com/globalSearch/SN74ALVCH16240DGGR/page-1", "SN74ALVCH16240DGGR")</f>
        <v>SN74ALVCH16240DGGR</v>
      </c>
      <c r="B2776" s="3" t="s">
        <v>90</v>
      </c>
      <c r="C2776" s="5">
        <v>12000</v>
      </c>
      <c r="D2776" s="6">
        <v>4.16</v>
      </c>
      <c r="E2776" t="s">
        <v>12</v>
      </c>
    </row>
    <row r="2777" spans="1:5" x14ac:dyDescent="0.25">
      <c r="A2777" t="str">
        <f>HYPERLINK("https://www.773grp.com/globalSearch/SN74ALVCH16244DGVR/page-1", "SN74ALVCH16244DGVR")</f>
        <v>SN74ALVCH16244DGVR</v>
      </c>
      <c r="B2777" s="3" t="s">
        <v>90</v>
      </c>
      <c r="C2777" s="5">
        <v>14000</v>
      </c>
      <c r="D2777" s="6">
        <v>4.16</v>
      </c>
      <c r="E2777" t="s">
        <v>12</v>
      </c>
    </row>
    <row r="2778" spans="1:5" x14ac:dyDescent="0.25">
      <c r="A2778" t="str">
        <f>HYPERLINK("https://www.773grp.com/globalSearch/SN74ALVCH16245DGGR/page-1", "SN74ALVCH16245DGGR")</f>
        <v>SN74ALVCH16245DGGR</v>
      </c>
      <c r="B2778" s="3" t="s">
        <v>90</v>
      </c>
      <c r="C2778" s="5">
        <v>1694</v>
      </c>
      <c r="D2778" s="6">
        <v>4.16</v>
      </c>
      <c r="E2778" t="s">
        <v>12</v>
      </c>
    </row>
    <row r="2779" spans="1:5" x14ac:dyDescent="0.25">
      <c r="A2779" t="str">
        <f>HYPERLINK("https://www.773grp.com/globalSearch/SN74ALVCH162601GR/page-1", "SN74ALVCH162601GR")</f>
        <v>SN74ALVCH162601GR</v>
      </c>
      <c r="B2779" s="3" t="s">
        <v>90</v>
      </c>
      <c r="C2779" s="5">
        <v>40000</v>
      </c>
      <c r="D2779" s="6">
        <v>4.16</v>
      </c>
      <c r="E2779" t="s">
        <v>12</v>
      </c>
    </row>
    <row r="2780" spans="1:5" x14ac:dyDescent="0.25">
      <c r="A2780" t="str">
        <f>HYPERLINK("https://www.773grp.com/globalSearch/SN74ALVCH16373DGGR/page-1", "SN74ALVCH16373DGGR")</f>
        <v>SN74ALVCH16373DGGR</v>
      </c>
      <c r="B2780" s="3" t="s">
        <v>90</v>
      </c>
      <c r="C2780" s="5">
        <v>59756</v>
      </c>
      <c r="D2780" s="6">
        <v>4.16</v>
      </c>
      <c r="E2780" t="s">
        <v>12</v>
      </c>
    </row>
    <row r="2781" spans="1:5" x14ac:dyDescent="0.25">
      <c r="A2781" t="str">
        <f>HYPERLINK("https://www.773grp.com/globalSearch/SN74ALVCH16374DLR/page-1", "SN74ALVCH16374DLR")</f>
        <v>SN74ALVCH16374DLR</v>
      </c>
      <c r="B2781" s="3" t="s">
        <v>90</v>
      </c>
      <c r="C2781" s="5">
        <v>6000</v>
      </c>
      <c r="D2781" s="6">
        <v>4.16</v>
      </c>
      <c r="E2781" t="s">
        <v>12</v>
      </c>
    </row>
    <row r="2782" spans="1:5" x14ac:dyDescent="0.25">
      <c r="A2782" t="str">
        <f>HYPERLINK("https://www.773grp.com/globalSearch/SN74ALVCH16409DGGR/page-1", "SN74ALVCH16409DGGR")</f>
        <v>SN74ALVCH16409DGGR</v>
      </c>
      <c r="B2782" s="3" t="s">
        <v>90</v>
      </c>
      <c r="C2782" s="5">
        <v>15500</v>
      </c>
      <c r="D2782" s="6">
        <v>4.16</v>
      </c>
      <c r="E2782" t="s">
        <v>12</v>
      </c>
    </row>
    <row r="2783" spans="1:5" x14ac:dyDescent="0.25">
      <c r="A2783" t="str">
        <f>HYPERLINK("https://www.773grp.com/globalSearch/SN74ALVCH16409DLR/page-1", "SN74ALVCH16409DLR")</f>
        <v>SN74ALVCH16409DLR</v>
      </c>
      <c r="B2783" s="3" t="s">
        <v>90</v>
      </c>
      <c r="C2783" s="5">
        <v>11500</v>
      </c>
      <c r="D2783" s="6">
        <v>4.16</v>
      </c>
      <c r="E2783" t="s">
        <v>12</v>
      </c>
    </row>
    <row r="2784" spans="1:5" x14ac:dyDescent="0.25">
      <c r="A2784" t="str">
        <f>HYPERLINK("https://www.773grp.com/globalSearch/SN74ALVCH16952DGG/page-1", "SN74ALVCH16952DGG")</f>
        <v>SN74ALVCH16952DGG</v>
      </c>
      <c r="B2784" s="3" t="s">
        <v>90</v>
      </c>
      <c r="C2784" s="5">
        <v>3430</v>
      </c>
      <c r="D2784" s="6">
        <v>4.16</v>
      </c>
      <c r="E2784" t="s">
        <v>12</v>
      </c>
    </row>
    <row r="2785" spans="1:5" x14ac:dyDescent="0.25">
      <c r="A2785" t="str">
        <f>HYPERLINK("https://www.773grp.com/globalSearch/SN74ALVTH162244LR/page-1", "SN74ALVTH162244LR")</f>
        <v>SN74ALVTH162244LR</v>
      </c>
      <c r="B2785" s="3" t="s">
        <v>90</v>
      </c>
      <c r="C2785" s="5">
        <v>36000</v>
      </c>
      <c r="D2785" s="6">
        <v>4.16</v>
      </c>
      <c r="E2785" t="s">
        <v>12</v>
      </c>
    </row>
    <row r="2786" spans="1:5" x14ac:dyDescent="0.25">
      <c r="A2786" t="str">
        <f>HYPERLINK("https://www.773grp.com/globalSearch/SN74ALVTH16244DLR/page-1", "SN74ALVTH16244DLR")</f>
        <v>SN74ALVTH16244DLR</v>
      </c>
      <c r="B2786" s="3" t="s">
        <v>90</v>
      </c>
      <c r="C2786" s="5">
        <v>8700</v>
      </c>
      <c r="D2786" s="6">
        <v>4.16</v>
      </c>
      <c r="E2786" t="s">
        <v>12</v>
      </c>
    </row>
    <row r="2787" spans="1:5" x14ac:dyDescent="0.25">
      <c r="A2787" t="str">
        <f>HYPERLINK("https://www.773grp.com/globalSearch/SN74ALVTH16373DLR/page-1", "SN74ALVTH16373DLR")</f>
        <v>SN74ALVTH16373DLR</v>
      </c>
      <c r="B2787" s="3" t="s">
        <v>90</v>
      </c>
      <c r="C2787" s="5">
        <v>6000</v>
      </c>
      <c r="D2787" s="6">
        <v>4.16</v>
      </c>
      <c r="E2787" t="s">
        <v>12</v>
      </c>
    </row>
    <row r="2788" spans="1:5" x14ac:dyDescent="0.25">
      <c r="A2788" t="str">
        <f>HYPERLINK("https://www.773grp.com/globalSearch/SN74ALVTH16374DLR/page-1", "SN74ALVTH16374DLR")</f>
        <v>SN74ALVTH16374DLR</v>
      </c>
      <c r="B2788" s="3" t="s">
        <v>90</v>
      </c>
      <c r="C2788" s="5">
        <v>9000</v>
      </c>
      <c r="D2788" s="6">
        <v>4.16</v>
      </c>
      <c r="E2788" t="s">
        <v>12</v>
      </c>
    </row>
    <row r="2789" spans="1:5" x14ac:dyDescent="0.25">
      <c r="A2789" t="str">
        <f>HYPERLINK("https://www.773grp.com/globalSearch/SN74CB3T3125DGVR/page-1", "SN74CB3T3125DGVR")</f>
        <v>SN74CB3T3125DGVR</v>
      </c>
      <c r="B2789" s="3" t="s">
        <v>90</v>
      </c>
      <c r="C2789" s="5">
        <v>30000</v>
      </c>
      <c r="D2789" s="6">
        <v>4.16</v>
      </c>
      <c r="E2789" t="s">
        <v>12</v>
      </c>
    </row>
    <row r="2790" spans="1:5" x14ac:dyDescent="0.25">
      <c r="A2790" t="str">
        <f>HYPERLINK("https://www.773grp.com/globalSearch/SN74CB3T3125PWR/page-1", "SN74CB3T3125PWR")</f>
        <v>SN74CB3T3125PWR</v>
      </c>
      <c r="B2790" s="3" t="s">
        <v>90</v>
      </c>
      <c r="C2790" s="5">
        <v>16000</v>
      </c>
      <c r="D2790" s="6">
        <v>4.16</v>
      </c>
      <c r="E2790" t="s">
        <v>12</v>
      </c>
    </row>
    <row r="2791" spans="1:5" x14ac:dyDescent="0.25">
      <c r="A2791" t="str">
        <f>HYPERLINK("https://www.773grp.com/globalSearch/SN74CB3T3245DGVR/page-1", "SN74CB3T3245DGVR")</f>
        <v>SN74CB3T3245DGVR</v>
      </c>
      <c r="B2791" s="3" t="s">
        <v>90</v>
      </c>
      <c r="C2791" s="5">
        <v>4352</v>
      </c>
      <c r="D2791" s="6">
        <v>4.16</v>
      </c>
      <c r="E2791" t="s">
        <v>12</v>
      </c>
    </row>
    <row r="2792" spans="1:5" x14ac:dyDescent="0.25">
      <c r="A2792" t="str">
        <f>HYPERLINK("https://www.773grp.com/globalSearch/SN74CB3T3245DWR/page-1", "SN74CB3T3245DWR")</f>
        <v>SN74CB3T3245DWR</v>
      </c>
      <c r="B2792" s="3" t="s">
        <v>90</v>
      </c>
      <c r="C2792" s="5">
        <v>22000</v>
      </c>
      <c r="D2792" s="6">
        <v>4.16</v>
      </c>
      <c r="E2792" t="s">
        <v>12</v>
      </c>
    </row>
    <row r="2793" spans="1:5" x14ac:dyDescent="0.25">
      <c r="A2793" t="str">
        <f>HYPERLINK("https://www.773grp.com/globalSearch/SN74CB3T3384DBQR/page-1", "SN74CB3T3384DBQR")</f>
        <v>SN74CB3T3384DBQR</v>
      </c>
      <c r="B2793" s="3" t="s">
        <v>90</v>
      </c>
      <c r="C2793" s="5">
        <v>27510</v>
      </c>
      <c r="D2793" s="6">
        <v>4.16</v>
      </c>
      <c r="E2793" t="s">
        <v>12</v>
      </c>
    </row>
    <row r="2794" spans="1:5" x14ac:dyDescent="0.25">
      <c r="A2794" t="str">
        <f>HYPERLINK("https://www.773grp.com/globalSearch/SN74CBT16212CDGGR/page-1", "SN74CBT16212CDGGR")</f>
        <v>SN74CBT16212CDGGR</v>
      </c>
      <c r="B2794" s="3" t="s">
        <v>90</v>
      </c>
      <c r="C2794" s="5">
        <v>13502</v>
      </c>
      <c r="D2794" s="6">
        <v>4.16</v>
      </c>
      <c r="E2794" t="s">
        <v>12</v>
      </c>
    </row>
    <row r="2795" spans="1:5" x14ac:dyDescent="0.25">
      <c r="A2795" t="str">
        <f>HYPERLINK("https://www.773grp.com/globalSearch/SN74CBT16212CDGVR/page-1", "SN74CBT16212CDGVR")</f>
        <v>SN74CBT16212CDGVR</v>
      </c>
      <c r="B2795" s="3" t="s">
        <v>90</v>
      </c>
      <c r="C2795" s="5">
        <v>4000</v>
      </c>
      <c r="D2795" s="6">
        <v>4.16</v>
      </c>
      <c r="E2795" t="s">
        <v>12</v>
      </c>
    </row>
    <row r="2796" spans="1:5" x14ac:dyDescent="0.25">
      <c r="A2796" t="str">
        <f>HYPERLINK("https://www.773grp.com/globalSearch/SN74CBT16800CDLR/page-1", "SN74CBT16800CDLR")</f>
        <v>SN74CBT16800CDLR</v>
      </c>
      <c r="B2796" s="3" t="s">
        <v>90</v>
      </c>
      <c r="C2796" s="5">
        <v>5000</v>
      </c>
      <c r="D2796" s="6">
        <v>4.16</v>
      </c>
      <c r="E2796" t="s">
        <v>12</v>
      </c>
    </row>
    <row r="2797" spans="1:5" x14ac:dyDescent="0.25">
      <c r="A2797" t="str">
        <f>HYPERLINK("https://www.773grp.com/globalSearch/SN74CBT16811CDLR/page-1", "SN74CBT16811CDLR")</f>
        <v>SN74CBT16811CDLR</v>
      </c>
      <c r="B2797" s="3" t="s">
        <v>90</v>
      </c>
      <c r="C2797" s="5">
        <v>4000</v>
      </c>
      <c r="D2797" s="6">
        <v>4.16</v>
      </c>
      <c r="E2797" t="s">
        <v>12</v>
      </c>
    </row>
    <row r="2798" spans="1:5" x14ac:dyDescent="0.25">
      <c r="A2798" t="str">
        <f>HYPERLINK("https://www.773grp.com/globalSearch/SN74HC640DW/page-1", "SN74HC640DW")</f>
        <v>SN74HC640DW</v>
      </c>
      <c r="B2798" s="3" t="s">
        <v>90</v>
      </c>
      <c r="C2798" s="5">
        <v>4773</v>
      </c>
      <c r="D2798" s="6">
        <v>4.16</v>
      </c>
      <c r="E2798" t="s">
        <v>12</v>
      </c>
    </row>
    <row r="2799" spans="1:5" x14ac:dyDescent="0.25">
      <c r="A2799" t="str">
        <f>HYPERLINK("https://www.773grp.com/globalSearch/SN74HCT645PWT/page-1", "SN74HCT645PWT")</f>
        <v>SN74HCT645PWT</v>
      </c>
      <c r="B2799" s="3" t="s">
        <v>90</v>
      </c>
      <c r="C2799" s="5">
        <v>500</v>
      </c>
      <c r="D2799" s="6">
        <v>4.16</v>
      </c>
      <c r="E2799" t="s">
        <v>12</v>
      </c>
    </row>
    <row r="2800" spans="1:5" x14ac:dyDescent="0.25">
      <c r="A2800" t="str">
        <f>HYPERLINK("https://www.773grp.com/globalSearch/SN74LS365AD/page-1", "SN74LS365AD")</f>
        <v>SN74LS365AD</v>
      </c>
      <c r="B2800" s="3" t="s">
        <v>90</v>
      </c>
      <c r="C2800" s="5">
        <v>6609</v>
      </c>
      <c r="D2800" s="6">
        <v>4.16</v>
      </c>
      <c r="E2800" t="s">
        <v>12</v>
      </c>
    </row>
    <row r="2801" spans="1:5" x14ac:dyDescent="0.25">
      <c r="A2801" t="str">
        <f>HYPERLINK("https://www.773grp.com/globalSearch/SN74LS540DW/page-1", "SN74LS540DW")</f>
        <v>SN74LS540DW</v>
      </c>
      <c r="B2801" s="3" t="s">
        <v>90</v>
      </c>
      <c r="C2801" s="5">
        <v>652</v>
      </c>
      <c r="D2801" s="6">
        <v>4.16</v>
      </c>
      <c r="E2801" t="s">
        <v>12</v>
      </c>
    </row>
    <row r="2802" spans="1:5" x14ac:dyDescent="0.25">
      <c r="A2802" t="str">
        <f>HYPERLINK("https://www.773grp.com/globalSearch/SN74LV367APWT/page-1", "SN74LV367APWT")</f>
        <v>SN74LV367APWT</v>
      </c>
      <c r="B2802" s="3" t="s">
        <v>90</v>
      </c>
      <c r="C2802" s="5">
        <v>1500</v>
      </c>
      <c r="D2802" s="6">
        <v>4.16</v>
      </c>
      <c r="E2802" t="s">
        <v>12</v>
      </c>
    </row>
    <row r="2803" spans="1:5" x14ac:dyDescent="0.25">
      <c r="A2803" t="str">
        <f>HYPERLINK("https://www.773grp.com/globalSearch/SN74LVC16245ADL/page-1", "SN74LVC16245ADL")</f>
        <v>SN74LVC16245ADL</v>
      </c>
      <c r="B2803" s="3" t="s">
        <v>90</v>
      </c>
      <c r="C2803" s="5">
        <v>2362</v>
      </c>
      <c r="D2803" s="6">
        <v>4.16</v>
      </c>
      <c r="E2803" t="s">
        <v>12</v>
      </c>
    </row>
    <row r="2804" spans="1:5" x14ac:dyDescent="0.25">
      <c r="A2804" t="str">
        <f>HYPERLINK("https://www.773grp.com/globalSearch/SN74LVC16374ADL/page-1", "SN74LVC16374ADL")</f>
        <v>SN74LVC16374ADL</v>
      </c>
      <c r="B2804" s="3" t="s">
        <v>90</v>
      </c>
      <c r="C2804" s="5">
        <v>10301</v>
      </c>
      <c r="D2804" s="6">
        <v>4.16</v>
      </c>
      <c r="E2804" t="s">
        <v>12</v>
      </c>
    </row>
    <row r="2805" spans="1:5" x14ac:dyDescent="0.25">
      <c r="A2805" t="str">
        <f>HYPERLINK("https://www.773grp.com/globalSearch/SN74LVC646APW/page-1", "SN74LVC646APW")</f>
        <v>SN74LVC646APW</v>
      </c>
      <c r="B2805" s="3" t="s">
        <v>90</v>
      </c>
      <c r="C2805" s="5">
        <v>1522</v>
      </c>
      <c r="D2805" s="6">
        <v>4.16</v>
      </c>
      <c r="E2805" t="s">
        <v>12</v>
      </c>
    </row>
    <row r="2806" spans="1:5" x14ac:dyDescent="0.25">
      <c r="A2806" t="str">
        <f>HYPERLINK("https://www.773grp.com/globalSearch/SN74LVC652APWT/page-1", "SN74LVC652APWT")</f>
        <v>SN74LVC652APWT</v>
      </c>
      <c r="B2806" s="3" t="s">
        <v>90</v>
      </c>
      <c r="C2806" s="5">
        <v>1000</v>
      </c>
      <c r="D2806" s="6">
        <v>4.16</v>
      </c>
      <c r="E2806" t="s">
        <v>12</v>
      </c>
    </row>
    <row r="2807" spans="1:5" x14ac:dyDescent="0.25">
      <c r="A2807" t="str">
        <f>HYPERLINK("https://www.773grp.com/globalSearch/SN74LVC827APWT/page-1", "SN74LVC827APWT")</f>
        <v>SN74LVC827APWT</v>
      </c>
      <c r="B2807" s="3" t="s">
        <v>90</v>
      </c>
      <c r="C2807" s="5">
        <v>795</v>
      </c>
      <c r="D2807" s="6">
        <v>4.16</v>
      </c>
      <c r="E2807" t="s">
        <v>12</v>
      </c>
    </row>
    <row r="2808" spans="1:5" x14ac:dyDescent="0.25">
      <c r="A2808" t="str">
        <f>HYPERLINK("https://www.773grp.com/globalSearch/SN74LVC828APWT/page-1", "SN74LVC828APWT")</f>
        <v>SN74LVC828APWT</v>
      </c>
      <c r="B2808" s="3" t="s">
        <v>90</v>
      </c>
      <c r="C2808" s="5">
        <v>1250</v>
      </c>
      <c r="D2808" s="6">
        <v>4.16</v>
      </c>
      <c r="E2808" t="s">
        <v>12</v>
      </c>
    </row>
    <row r="2809" spans="1:5" x14ac:dyDescent="0.25">
      <c r="A2809" t="str">
        <f>HYPERLINK("https://www.773grp.com/globalSearch/SN74LVCH162244ADL/page-1", "SN74LVCH162244ADL")</f>
        <v>SN74LVCH162244ADL</v>
      </c>
      <c r="B2809" s="3" t="s">
        <v>90</v>
      </c>
      <c r="C2809" s="5">
        <v>6620</v>
      </c>
      <c r="D2809" s="6">
        <v>4.16</v>
      </c>
      <c r="E2809" t="s">
        <v>12</v>
      </c>
    </row>
    <row r="2810" spans="1:5" x14ac:dyDescent="0.25">
      <c r="A2810" t="str">
        <f>HYPERLINK("https://www.773grp.com/globalSearch/SN74LVCHR16245AVR/page-1", "SN74LVCHR16245AVR")</f>
        <v>SN74LVCHR16245AVR</v>
      </c>
      <c r="B2810" s="3" t="s">
        <v>90</v>
      </c>
      <c r="C2810" s="5">
        <v>3000</v>
      </c>
      <c r="D2810" s="6">
        <v>4.16</v>
      </c>
      <c r="E2810" t="s">
        <v>12</v>
      </c>
    </row>
    <row r="2811" spans="1:5" x14ac:dyDescent="0.25">
      <c r="A2811" t="str">
        <f>HYPERLINK("https://www.773grp.com/globalSearch/SN74LVCR162245DL/page-1", "SN74LVCR162245DL")</f>
        <v>SN74LVCR162245DL</v>
      </c>
      <c r="B2811" s="3" t="s">
        <v>90</v>
      </c>
      <c r="C2811" s="5">
        <v>13238</v>
      </c>
      <c r="D2811" s="6">
        <v>4.16</v>
      </c>
      <c r="E2811" t="s">
        <v>12</v>
      </c>
    </row>
    <row r="2812" spans="1:5" x14ac:dyDescent="0.25">
      <c r="A2812" t="str">
        <f>HYPERLINK("https://www.773grp.com/globalSearch/SN74LVCZ244APWT/page-1", "SN74LVCZ244APWT")</f>
        <v>SN74LVCZ244APWT</v>
      </c>
      <c r="B2812" s="3" t="s">
        <v>90</v>
      </c>
      <c r="C2812" s="5">
        <v>1000</v>
      </c>
      <c r="D2812" s="6">
        <v>4.16</v>
      </c>
      <c r="E2812" t="s">
        <v>12</v>
      </c>
    </row>
    <row r="2813" spans="1:5" x14ac:dyDescent="0.25">
      <c r="A2813" t="str">
        <f>HYPERLINK("https://www.773grp.com/globalSearch/SN74LVCZ245APWT/page-1", "SN74LVCZ245APWT")</f>
        <v>SN74LVCZ245APWT</v>
      </c>
      <c r="B2813" s="3" t="s">
        <v>90</v>
      </c>
      <c r="C2813" s="5">
        <v>750</v>
      </c>
      <c r="D2813" s="6">
        <v>4.16</v>
      </c>
      <c r="E2813" t="s">
        <v>12</v>
      </c>
    </row>
    <row r="2814" spans="1:5" x14ac:dyDescent="0.25">
      <c r="A2814" t="str">
        <f>HYPERLINK("https://www.773grp.com/globalSearch/SN74LVTH162240DL/page-1", "SN74LVTH162240DL")</f>
        <v>SN74LVTH162240DL</v>
      </c>
      <c r="B2814" s="3" t="s">
        <v>90</v>
      </c>
      <c r="C2814" s="5">
        <v>11329</v>
      </c>
      <c r="D2814" s="6">
        <v>4.16</v>
      </c>
      <c r="E2814" t="s">
        <v>12</v>
      </c>
    </row>
    <row r="2815" spans="1:5" x14ac:dyDescent="0.25">
      <c r="A2815" t="str">
        <f>HYPERLINK("https://www.773grp.com/globalSearch/SN74LVTH162241DL/page-1", "SN74LVTH162241DL")</f>
        <v>SN74LVTH162241DL</v>
      </c>
      <c r="B2815" s="3" t="s">
        <v>90</v>
      </c>
      <c r="C2815" s="5">
        <v>24636</v>
      </c>
      <c r="D2815" s="6">
        <v>4.16</v>
      </c>
      <c r="E2815" t="s">
        <v>12</v>
      </c>
    </row>
    <row r="2816" spans="1:5" x14ac:dyDescent="0.25">
      <c r="A2816" t="str">
        <f>HYPERLINK("https://www.773grp.com/globalSearch/SN74LVTH162244DLR/page-1", "SN74LVTH162244DLR")</f>
        <v>SN74LVTH162244DLR</v>
      </c>
      <c r="B2816" s="3" t="s">
        <v>90</v>
      </c>
      <c r="C2816" s="5">
        <v>2818</v>
      </c>
      <c r="D2816" s="6">
        <v>4.16</v>
      </c>
      <c r="E2816" t="s">
        <v>12</v>
      </c>
    </row>
    <row r="2817" spans="1:5" x14ac:dyDescent="0.25">
      <c r="A2817" t="str">
        <f>HYPERLINK("https://www.773grp.com/globalSearch/SN74LVTH16240DL/page-1", "SN74LVTH16240DL")</f>
        <v>SN74LVTH16240DL</v>
      </c>
      <c r="B2817" s="3" t="s">
        <v>90</v>
      </c>
      <c r="C2817" s="5">
        <v>5212</v>
      </c>
      <c r="D2817" s="6">
        <v>4.16</v>
      </c>
      <c r="E2817" t="s">
        <v>12</v>
      </c>
    </row>
    <row r="2818" spans="1:5" x14ac:dyDescent="0.25">
      <c r="A2818" t="str">
        <f>HYPERLINK("https://www.773grp.com/globalSearch/SN74LVTH16241DL/page-1", "SN74LVTH16241DL")</f>
        <v>SN74LVTH16241DL</v>
      </c>
      <c r="B2818" s="3" t="s">
        <v>90</v>
      </c>
      <c r="C2818" s="5">
        <v>14320</v>
      </c>
      <c r="D2818" s="6">
        <v>4.16</v>
      </c>
      <c r="E2818" t="s">
        <v>12</v>
      </c>
    </row>
    <row r="2819" spans="1:5" x14ac:dyDescent="0.25">
      <c r="A2819" t="str">
        <f>HYPERLINK("https://www.773grp.com/globalSearch/SN74LVTH16245ADL/page-1", "SN74LVTH16245ADL")</f>
        <v>SN74LVTH16245ADL</v>
      </c>
      <c r="B2819" s="3" t="s">
        <v>90</v>
      </c>
      <c r="C2819" s="5">
        <v>3750</v>
      </c>
      <c r="D2819" s="6">
        <v>4.16</v>
      </c>
      <c r="E2819" t="s">
        <v>12</v>
      </c>
    </row>
    <row r="2820" spans="1:5" x14ac:dyDescent="0.25">
      <c r="A2820" t="str">
        <f>HYPERLINK("https://www.773grp.com/globalSearch/SN74LVTH2952DW/page-1", "SN74LVTH2952DW")</f>
        <v>SN74LVTH2952DW</v>
      </c>
      <c r="B2820" s="3" t="s">
        <v>90</v>
      </c>
      <c r="C2820" s="5">
        <v>21284</v>
      </c>
      <c r="D2820" s="6">
        <v>4.16</v>
      </c>
      <c r="E2820" t="s">
        <v>12</v>
      </c>
    </row>
    <row r="2821" spans="1:5" x14ac:dyDescent="0.25">
      <c r="A2821" t="str">
        <f>HYPERLINK("https://www.773grp.com/globalSearch/SN74LVTH2952PW/page-1", "SN74LVTH2952PW")</f>
        <v>SN74LVTH2952PW</v>
      </c>
      <c r="B2821" s="3" t="s">
        <v>90</v>
      </c>
      <c r="C2821" s="5">
        <v>3833</v>
      </c>
      <c r="D2821" s="6">
        <v>4.16</v>
      </c>
      <c r="E2821" t="s">
        <v>12</v>
      </c>
    </row>
    <row r="2822" spans="1:5" x14ac:dyDescent="0.25">
      <c r="A2822" t="str">
        <f>HYPERLINK("https://www.773grp.com/globalSearch/SN74LVTH541PWR/page-1", "SN74LVTH541PWR")</f>
        <v>SN74LVTH541PWR</v>
      </c>
      <c r="B2822" s="3" t="s">
        <v>90</v>
      </c>
      <c r="C2822" s="5">
        <v>8000</v>
      </c>
      <c r="D2822" s="6">
        <v>4.16</v>
      </c>
      <c r="E2822" t="s">
        <v>12</v>
      </c>
    </row>
    <row r="2823" spans="1:5" x14ac:dyDescent="0.25">
      <c r="A2823" t="str">
        <f>HYPERLINK("https://www.773grp.com/globalSearch/TUSB2551PWR/page-1", "TUSB2551PWR")</f>
        <v>TUSB2551PWR</v>
      </c>
      <c r="B2823" s="3" t="s">
        <v>90</v>
      </c>
      <c r="C2823" s="5">
        <v>2000</v>
      </c>
      <c r="D2823" s="6">
        <v>4.16</v>
      </c>
      <c r="E2823" t="s">
        <v>12</v>
      </c>
    </row>
    <row r="2824" spans="1:5" x14ac:dyDescent="0.25">
      <c r="A2824" t="str">
        <f>HYPERLINK("https://www.773grp.com/globalSearch/TUSB2551RGTR/page-1", "TUSB2551RGTR")</f>
        <v>TUSB2551RGTR</v>
      </c>
      <c r="B2824" s="3" t="s">
        <v>90</v>
      </c>
      <c r="C2824" s="5">
        <v>37454</v>
      </c>
      <c r="D2824" s="6">
        <v>4.16</v>
      </c>
      <c r="E2824" t="s">
        <v>12</v>
      </c>
    </row>
    <row r="2825" spans="1:5" x14ac:dyDescent="0.25">
      <c r="A2825" t="str">
        <f>HYPERLINK("https://www.773grp.com/globalSearch/CD74ACT652EN/page-1", "CD74ACT652EN")</f>
        <v>CD74ACT652EN</v>
      </c>
      <c r="B2825" s="3" t="s">
        <v>90</v>
      </c>
      <c r="C2825" s="5">
        <v>975</v>
      </c>
      <c r="D2825" s="6">
        <v>3.76</v>
      </c>
      <c r="E2825" t="s">
        <v>12</v>
      </c>
    </row>
    <row r="2826" spans="1:5" x14ac:dyDescent="0.25">
      <c r="A2826" t="str">
        <f>HYPERLINK("https://www.773grp.com/globalSearch/CALVC164245IDLREP/page-1", "CALVC164245IDLREP")</f>
        <v>CALVC164245IDLREP</v>
      </c>
      <c r="B2826" s="3" t="s">
        <v>90</v>
      </c>
      <c r="C2826" s="5">
        <v>2000</v>
      </c>
      <c r="D2826" s="6">
        <v>3.8</v>
      </c>
      <c r="E2826" t="s">
        <v>12</v>
      </c>
    </row>
    <row r="2827" spans="1:5" x14ac:dyDescent="0.25">
      <c r="A2827" t="str">
        <f>HYPERLINK("https://www.773grp.com/globalSearch/CLVTH16374IDGGREP/page-1", "CLVTH16374IDGGREP")</f>
        <v>CLVTH16374IDGGREP</v>
      </c>
      <c r="B2827" s="3" t="s">
        <v>90</v>
      </c>
      <c r="C2827" s="5">
        <v>1800</v>
      </c>
      <c r="D2827" s="6">
        <v>3.8</v>
      </c>
      <c r="E2827" t="s">
        <v>12</v>
      </c>
    </row>
    <row r="2828" spans="1:5" x14ac:dyDescent="0.25">
      <c r="A2828" t="str">
        <f>HYPERLINK("https://www.773grp.com/globalSearch/CY74FCT163543CPACT/page-1", "CY74FCT163543CPACT")</f>
        <v>CY74FCT163543CPACT</v>
      </c>
      <c r="B2828" s="3" t="s">
        <v>90</v>
      </c>
      <c r="C2828" s="5">
        <v>27000</v>
      </c>
      <c r="D2828" s="6">
        <v>3.8</v>
      </c>
      <c r="E2828" t="s">
        <v>12</v>
      </c>
    </row>
    <row r="2829" spans="1:5" x14ac:dyDescent="0.25">
      <c r="A2829" t="str">
        <f>HYPERLINK("https://www.773grp.com/globalSearch/CY74FCT163646CPVCT/page-1", "CY74FCT163646CPVCT")</f>
        <v>CY74FCT163646CPVCT</v>
      </c>
      <c r="B2829" s="3" t="s">
        <v>90</v>
      </c>
      <c r="C2829" s="5">
        <v>7000</v>
      </c>
      <c r="D2829" s="6">
        <v>3.8</v>
      </c>
      <c r="E2829" t="s">
        <v>12</v>
      </c>
    </row>
    <row r="2830" spans="1:5" x14ac:dyDescent="0.25">
      <c r="A2830" t="str">
        <f>HYPERLINK("https://www.773grp.com/globalSearch/SN74ABT162244DGG/page-1", "SN74ABT162244DGG")</f>
        <v>SN74ABT162244DGG</v>
      </c>
      <c r="B2830" s="3" t="s">
        <v>90</v>
      </c>
      <c r="C2830" s="5">
        <v>120</v>
      </c>
      <c r="D2830" s="6">
        <v>3.8</v>
      </c>
      <c r="E2830" t="s">
        <v>12</v>
      </c>
    </row>
    <row r="2831" spans="1:5" x14ac:dyDescent="0.25">
      <c r="A2831" t="str">
        <f>HYPERLINK("https://www.773grp.com/globalSearch/SN74LVTH16835DGGR/page-1", "SN74LVTH16835DGGR")</f>
        <v>SN74LVTH16835DGGR</v>
      </c>
      <c r="B2831" s="3" t="s">
        <v>90</v>
      </c>
      <c r="C2831" s="5">
        <v>5878</v>
      </c>
      <c r="D2831" s="6">
        <v>3.8</v>
      </c>
      <c r="E2831" t="s">
        <v>12</v>
      </c>
    </row>
    <row r="2832" spans="1:5" x14ac:dyDescent="0.25">
      <c r="A2832" t="str">
        <f>HYPERLINK("https://www.773grp.com/globalSearch/CD74HC533E/page-1", "CD74HC533E")</f>
        <v>CD74HC533E</v>
      </c>
      <c r="B2832" s="3" t="s">
        <v>90</v>
      </c>
      <c r="C2832" s="5">
        <v>1909</v>
      </c>
      <c r="D2832" s="6">
        <v>4.2300000000000004</v>
      </c>
      <c r="E2832" t="s">
        <v>12</v>
      </c>
    </row>
    <row r="2833" spans="1:5" x14ac:dyDescent="0.25">
      <c r="A2833" t="str">
        <f>HYPERLINK("https://www.773grp.com/globalSearch/CD74HCT534E/page-1", "CD74HCT534E")</f>
        <v>CD74HCT534E</v>
      </c>
      <c r="B2833" s="3" t="s">
        <v>90</v>
      </c>
      <c r="C2833" s="5">
        <v>8937</v>
      </c>
      <c r="D2833" s="6">
        <v>4.2300000000000004</v>
      </c>
      <c r="E2833" t="s">
        <v>12</v>
      </c>
    </row>
    <row r="2834" spans="1:5" x14ac:dyDescent="0.25">
      <c r="A2834" t="str">
        <f>HYPERLINK("https://www.773grp.com/globalSearch/CD74HCT534E/page-1", "CD74HCT534E")</f>
        <v>CD74HCT534E</v>
      </c>
      <c r="B2834" s="3" t="s">
        <v>90</v>
      </c>
      <c r="C2834" s="5">
        <v>600</v>
      </c>
      <c r="D2834" s="6">
        <v>4.2300000000000004</v>
      </c>
      <c r="E2834" t="s">
        <v>12</v>
      </c>
    </row>
    <row r="2835" spans="1:5" x14ac:dyDescent="0.25">
      <c r="A2835" t="str">
        <f>HYPERLINK("https://www.773grp.com/globalSearch/CLVCC3245AIPWREP/page-1", "CLVCC3245AIPWREP")</f>
        <v>CLVCC3245AIPWREP</v>
      </c>
      <c r="B2835" s="3" t="s">
        <v>90</v>
      </c>
      <c r="C2835" s="5">
        <v>1361</v>
      </c>
      <c r="D2835" s="6">
        <v>4.2300000000000004</v>
      </c>
      <c r="E2835" t="s">
        <v>12</v>
      </c>
    </row>
    <row r="2836" spans="1:5" x14ac:dyDescent="0.25">
      <c r="A2836" t="str">
        <f>HYPERLINK("https://www.773grp.com/globalSearch/SN74CBT16244DLR/page-1", "SN74CBT16244DLR")</f>
        <v>SN74CBT16244DLR</v>
      </c>
      <c r="B2836" s="3" t="str">
        <f>HYPERLINK("https://www.773grp.com/manufacturer/texas-instruments?pageNo=17", "Texas Instruments")</f>
        <v>Texas Instruments</v>
      </c>
      <c r="C2836" s="5">
        <v>125000</v>
      </c>
      <c r="D2836" s="6">
        <v>4.2300000000000004</v>
      </c>
      <c r="E2836" t="s">
        <v>12</v>
      </c>
    </row>
    <row r="2837" spans="1:5" x14ac:dyDescent="0.25">
      <c r="A2837" t="str">
        <f>HYPERLINK("https://www.773grp.com/globalSearch/SN74HC646NT/page-1", "SN74HC646NT")</f>
        <v>SN74HC646NT</v>
      </c>
      <c r="B2837" s="3" t="str">
        <f>HYPERLINK("https://www.773grp.com/manufacturer/texas-instruments?pageNo=18", "Texas Instruments")</f>
        <v>Texas Instruments</v>
      </c>
      <c r="C2837" s="5">
        <v>8111</v>
      </c>
      <c r="D2837" s="6">
        <v>4.2300000000000004</v>
      </c>
      <c r="E2837" t="s">
        <v>12</v>
      </c>
    </row>
    <row r="2838" spans="1:5" x14ac:dyDescent="0.25">
      <c r="A2838" t="str">
        <f>HYPERLINK("https://www.773grp.com/globalSearch/V62-05602-01XE/page-1", "V62-05602-01XE")</f>
        <v>V62-05602-01XE</v>
      </c>
      <c r="B2838" s="3" t="str">
        <f>HYPERLINK("https://www.773grp.com/manufacturer/texas-instruments?pageNo=240", "Texas Instruments")</f>
        <v>Texas Instruments</v>
      </c>
      <c r="C2838" s="5">
        <v>400</v>
      </c>
      <c r="D2838" s="6">
        <v>4.2300000000000004</v>
      </c>
      <c r="E2838" t="s">
        <v>12</v>
      </c>
    </row>
    <row r="2839" spans="1:5" x14ac:dyDescent="0.25">
      <c r="A2839" t="str">
        <f>HYPERLINK("https://www.773grp.com/globalSearch/74ALVCH16501ZQLR/page-1", "74ALVCH16501ZQLR")</f>
        <v>74ALVCH16501ZQLR</v>
      </c>
      <c r="B2839" s="3" t="str">
        <f>HYPERLINK("https://www.773grp.com/manufacturer/texas-instruments?pageNo=242", "Texas Instruments")</f>
        <v>Texas Instruments</v>
      </c>
      <c r="C2839" s="5">
        <v>2000</v>
      </c>
      <c r="D2839" s="6">
        <v>3.83</v>
      </c>
      <c r="E2839" t="s">
        <v>12</v>
      </c>
    </row>
    <row r="2840" spans="1:5" x14ac:dyDescent="0.25">
      <c r="A2840" t="str">
        <f>HYPERLINK("https://www.773grp.com/globalSearch/SN74ABT16646DGGR/page-1", "SN74ABT16646DGGR")</f>
        <v>SN74ABT16646DGGR</v>
      </c>
      <c r="B2840" s="3" t="str">
        <f>HYPERLINK("https://www.773grp.com/manufacturer/texas-instruments?pageNo=263", "Texas Instruments")</f>
        <v>Texas Instruments</v>
      </c>
      <c r="C2840" s="5">
        <v>21995</v>
      </c>
      <c r="D2840" s="6">
        <v>3.83</v>
      </c>
      <c r="E2840" t="s">
        <v>12</v>
      </c>
    </row>
    <row r="2841" spans="1:5" x14ac:dyDescent="0.25">
      <c r="A2841" t="str">
        <f>HYPERLINK("https://www.773grp.com/globalSearch/SN74ALS540DWR/page-1", "SN74ALS540DWR")</f>
        <v>SN74ALS540DWR</v>
      </c>
      <c r="B2841" s="3" t="str">
        <f>HYPERLINK("https://www.773grp.com/manufacturer/texas-instruments?pageNo=267", "Texas Instruments")</f>
        <v>Texas Instruments</v>
      </c>
      <c r="C2841" s="5">
        <v>18380</v>
      </c>
      <c r="D2841" s="6">
        <v>3.83</v>
      </c>
      <c r="E2841" t="s">
        <v>12</v>
      </c>
    </row>
    <row r="2842" spans="1:5" x14ac:dyDescent="0.25">
      <c r="A2842" t="str">
        <f>HYPERLINK("https://www.773grp.com/globalSearch/SN74ALVCH162268KR/page-1", "SN74ALVCH162268KR")</f>
        <v>SN74ALVCH162268KR</v>
      </c>
      <c r="B2842" s="3" t="str">
        <f>HYPERLINK("https://www.773grp.com/manufacturer/texas-instruments?pageNo=268", "Texas Instruments")</f>
        <v>Texas Instruments</v>
      </c>
      <c r="C2842" s="5">
        <v>4000</v>
      </c>
      <c r="D2842" s="6">
        <v>3.83</v>
      </c>
      <c r="E2842" t="s">
        <v>12</v>
      </c>
    </row>
    <row r="2843" spans="1:5" x14ac:dyDescent="0.25">
      <c r="A2843" t="str">
        <f>HYPERLINK("https://www.773grp.com/globalSearch/SN74ALVCH16501KR/page-1", "SN74ALVCH16501KR")</f>
        <v>SN74ALVCH16501KR</v>
      </c>
      <c r="B2843" s="3" t="str">
        <f>HYPERLINK("https://www.773grp.com/manufacturer/texas-instruments?pageNo=269", "Texas Instruments")</f>
        <v>Texas Instruments</v>
      </c>
      <c r="C2843" s="5">
        <v>2000</v>
      </c>
      <c r="D2843" s="6">
        <v>3.83</v>
      </c>
      <c r="E2843" t="s">
        <v>12</v>
      </c>
    </row>
    <row r="2844" spans="1:5" x14ac:dyDescent="0.25">
      <c r="A2844" t="str">
        <f>HYPERLINK("https://www.773grp.com/globalSearch/SN74ALVCH16646DLR/page-1", "SN74ALVCH16646DLR")</f>
        <v>SN74ALVCH16646DLR</v>
      </c>
      <c r="B2844" s="3" t="str">
        <f>HYPERLINK("https://www.773grp.com/manufacturer/texas-instruments?pageNo=270", "Texas Instruments")</f>
        <v>Texas Instruments</v>
      </c>
      <c r="C2844" s="5">
        <v>5937</v>
      </c>
      <c r="D2844" s="6">
        <v>3.83</v>
      </c>
      <c r="E2844" t="s">
        <v>12</v>
      </c>
    </row>
    <row r="2845" spans="1:5" x14ac:dyDescent="0.25">
      <c r="A2845" t="str">
        <f>HYPERLINK("https://www.773grp.com/globalSearch/SN74ALVCH16827DLR/page-1", "SN74ALVCH16827DLR")</f>
        <v>SN74ALVCH16827DLR</v>
      </c>
      <c r="B2845" s="3" t="str">
        <f>HYPERLINK("https://www.773grp.com/manufacturer/texas-instruments?pageNo=271", "Texas Instruments")</f>
        <v>Texas Instruments</v>
      </c>
      <c r="C2845" s="5">
        <v>11000</v>
      </c>
      <c r="D2845" s="6">
        <v>3.83</v>
      </c>
      <c r="E2845" t="s">
        <v>12</v>
      </c>
    </row>
    <row r="2846" spans="1:5" x14ac:dyDescent="0.25">
      <c r="A2846" t="str">
        <f>HYPERLINK("https://www.773grp.com/globalSearch/SN74ALVCHR16269ALR/page-1", "SN74ALVCHR16269ALR")</f>
        <v>SN74ALVCHR16269ALR</v>
      </c>
      <c r="B2846" s="3" t="str">
        <f>HYPERLINK("https://www.773grp.com/manufacturer/texas-instruments?pageNo=272", "Texas Instruments")</f>
        <v>Texas Instruments</v>
      </c>
      <c r="C2846" s="5">
        <v>6000</v>
      </c>
      <c r="D2846" s="6">
        <v>3.83</v>
      </c>
      <c r="E2846" t="s">
        <v>12</v>
      </c>
    </row>
    <row r="2847" spans="1:5" x14ac:dyDescent="0.25">
      <c r="A2847" t="str">
        <f>HYPERLINK("https://www.773grp.com/globalSearch/SN74ALVCHR16601LR/page-1", "SN74ALVCHR16601LR")</f>
        <v>SN74ALVCHR16601LR</v>
      </c>
      <c r="B2847" s="3" t="str">
        <f>HYPERLINK("https://www.773grp.com/manufacturer/texas-instruments?pageNo=273", "Texas Instruments")</f>
        <v>Texas Instruments</v>
      </c>
      <c r="C2847" s="5">
        <v>3096</v>
      </c>
      <c r="D2847" s="6">
        <v>3.83</v>
      </c>
      <c r="E2847" t="s">
        <v>12</v>
      </c>
    </row>
    <row r="2848" spans="1:5" x14ac:dyDescent="0.25">
      <c r="A2848" t="str">
        <f>HYPERLINK("https://www.773grp.com/globalSearch/SN74CB3Q16244DGGR/page-1", "SN74CB3Q16244DGGR")</f>
        <v>SN74CB3Q16244DGGR</v>
      </c>
      <c r="B2848" s="3" t="str">
        <f>HYPERLINK("https://www.773grp.com/manufacturer/texas-instruments?pageNo=277", "Texas Instruments")</f>
        <v>Texas Instruments</v>
      </c>
      <c r="C2848" s="5">
        <v>528</v>
      </c>
      <c r="D2848" s="6">
        <v>3.83</v>
      </c>
      <c r="E2848" t="s">
        <v>12</v>
      </c>
    </row>
    <row r="2849" spans="1:5" x14ac:dyDescent="0.25">
      <c r="A2849" t="str">
        <f>HYPERLINK("https://www.773grp.com/globalSearch/SN74CB3Q16244DGVR/page-1", "SN74CB3Q16244DGVR")</f>
        <v>SN74CB3Q16244DGVR</v>
      </c>
      <c r="B2849" s="3" t="str">
        <f>HYPERLINK("https://www.773grp.com/manufacturer/texas-instruments?pageNo=278", "Texas Instruments")</f>
        <v>Texas Instruments</v>
      </c>
      <c r="C2849" s="5">
        <v>9090</v>
      </c>
      <c r="D2849" s="6">
        <v>3.83</v>
      </c>
      <c r="E2849" t="s">
        <v>12</v>
      </c>
    </row>
    <row r="2850" spans="1:5" x14ac:dyDescent="0.25">
      <c r="A2850" t="str">
        <f>HYPERLINK("https://www.773grp.com/globalSearch/SN74CB3Q16245DGGR/page-1", "SN74CB3Q16245DGGR")</f>
        <v>SN74CB3Q16245DGGR</v>
      </c>
      <c r="B2850" s="3" t="str">
        <f>HYPERLINK("https://www.773grp.com/manufacturer/texas-instruments?pageNo=279", "Texas Instruments")</f>
        <v>Texas Instruments</v>
      </c>
      <c r="C2850" s="5">
        <v>1880</v>
      </c>
      <c r="D2850" s="6">
        <v>3.83</v>
      </c>
      <c r="E2850" t="s">
        <v>12</v>
      </c>
    </row>
    <row r="2851" spans="1:5" x14ac:dyDescent="0.25">
      <c r="A2851" t="str">
        <f>HYPERLINK("https://www.773grp.com/globalSearch/SN74CB3Q16245DGVR/page-1", "SN74CB3Q16245DGVR")</f>
        <v>SN74CB3Q16245DGVR</v>
      </c>
      <c r="B2851" s="3" t="str">
        <f>HYPERLINK("https://www.773grp.com/manufacturer/texas-instruments?pageNo=280", "Texas Instruments")</f>
        <v>Texas Instruments</v>
      </c>
      <c r="C2851" s="5">
        <v>4000</v>
      </c>
      <c r="D2851" s="6">
        <v>3.83</v>
      </c>
      <c r="E2851" t="s">
        <v>12</v>
      </c>
    </row>
    <row r="2852" spans="1:5" x14ac:dyDescent="0.25">
      <c r="A2852" t="str">
        <f>HYPERLINK("https://www.773grp.com/globalSearch/SN74CB3T16211DGG/page-1", "SN74CB3T16211DGG")</f>
        <v>SN74CB3T16211DGG</v>
      </c>
      <c r="B2852" s="3" t="str">
        <f>HYPERLINK("https://www.773grp.com/manufacturer/texas-instruments?pageNo=281", "Texas Instruments")</f>
        <v>Texas Instruments</v>
      </c>
      <c r="C2852" s="5">
        <v>739</v>
      </c>
      <c r="D2852" s="6">
        <v>3.83</v>
      </c>
      <c r="E2852" t="s">
        <v>12</v>
      </c>
    </row>
    <row r="2853" spans="1:5" x14ac:dyDescent="0.25">
      <c r="A2853" t="str">
        <f>HYPERLINK("https://www.773grp.com/globalSearch/SN74CB3T16211DGGR/page-1", "SN74CB3T16211DGGR")</f>
        <v>SN74CB3T16211DGGR</v>
      </c>
      <c r="B2853" s="3" t="str">
        <f>HYPERLINK("https://www.773grp.com/manufacturer/texas-instruments?pageNo=282", "Texas Instruments")</f>
        <v>Texas Instruments</v>
      </c>
      <c r="C2853" s="5">
        <v>4000</v>
      </c>
      <c r="D2853" s="6">
        <v>3.83</v>
      </c>
      <c r="E2853" t="s">
        <v>12</v>
      </c>
    </row>
    <row r="2854" spans="1:5" x14ac:dyDescent="0.25">
      <c r="A2854" t="str">
        <f>HYPERLINK("https://www.773grp.com/globalSearch/SN74CB3T16212DGGR/page-1", "SN74CB3T16212DGGR")</f>
        <v>SN74CB3T16212DGGR</v>
      </c>
      <c r="B2854" s="3" t="str">
        <f>HYPERLINK("https://www.773grp.com/manufacturer/texas-instruments?pageNo=283", "Texas Instruments")</f>
        <v>Texas Instruments</v>
      </c>
      <c r="C2854" s="5">
        <v>4000</v>
      </c>
      <c r="D2854" s="6">
        <v>3.83</v>
      </c>
      <c r="E2854" t="s">
        <v>12</v>
      </c>
    </row>
    <row r="2855" spans="1:5" x14ac:dyDescent="0.25">
      <c r="A2855" t="str">
        <f>HYPERLINK("https://www.773grp.com/globalSearch/SN74LVCH16543ADL/page-1", "SN74LVCH16543ADL")</f>
        <v>SN74LVCH16543ADL</v>
      </c>
      <c r="B2855" s="3" t="str">
        <f>HYPERLINK("https://www.773grp.com/manufacturer/texas-instruments?pageNo=286", "Texas Instruments")</f>
        <v>Texas Instruments</v>
      </c>
      <c r="C2855" s="5">
        <v>3628</v>
      </c>
      <c r="D2855" s="6">
        <v>3.83</v>
      </c>
      <c r="E2855" t="s">
        <v>12</v>
      </c>
    </row>
    <row r="2856" spans="1:5" x14ac:dyDescent="0.25">
      <c r="A2856" t="str">
        <f>HYPERLINK("https://www.773grp.com/globalSearch/SN74LVTH16541DL/page-1", "SN74LVTH16541DL")</f>
        <v>SN74LVTH16541DL</v>
      </c>
      <c r="B2856" s="3" t="str">
        <f>HYPERLINK("https://www.773grp.com/manufacturer/texas-instruments?pageNo=287", "Texas Instruments")</f>
        <v>Texas Instruments</v>
      </c>
      <c r="C2856" s="5">
        <v>13801</v>
      </c>
      <c r="D2856" s="6">
        <v>3.83</v>
      </c>
      <c r="E2856" t="s">
        <v>12</v>
      </c>
    </row>
    <row r="2857" spans="1:5" x14ac:dyDescent="0.25">
      <c r="A2857" t="str">
        <f>HYPERLINK("https://www.773grp.com/globalSearch/SN74ABT16825DL/page-1", "SN74ABT16825DL")</f>
        <v>SN74ABT16825DL</v>
      </c>
      <c r="B2857" s="3" t="str">
        <f>HYPERLINK("https://www.773grp.com/manufacturer/texas-instruments?pageNo=333", "Texas Instruments")</f>
        <v>Texas Instruments</v>
      </c>
      <c r="C2857" s="5">
        <v>291</v>
      </c>
      <c r="D2857" s="6">
        <v>3.85</v>
      </c>
      <c r="E2857" t="s">
        <v>12</v>
      </c>
    </row>
    <row r="2858" spans="1:5" x14ac:dyDescent="0.25">
      <c r="A2858" t="str">
        <f>HYPERLINK("https://www.773grp.com/globalSearch/SN74ABT16825DL/page-1", "SN74ABT16825DL")</f>
        <v>SN74ABT16825DL</v>
      </c>
      <c r="B2858" s="3" t="str">
        <f>HYPERLINK("https://www.773grp.com/manufacturer/texas-instruments?pageNo=334", "Texas Instruments")</f>
        <v>Texas Instruments</v>
      </c>
      <c r="C2858" s="5">
        <v>9624</v>
      </c>
      <c r="D2858" s="6">
        <v>3.85</v>
      </c>
      <c r="E2858" t="s">
        <v>12</v>
      </c>
    </row>
    <row r="2859" spans="1:5" x14ac:dyDescent="0.25">
      <c r="A2859" t="str">
        <f>HYPERLINK("https://www.773grp.com/globalSearch/SN74ABT16825DLR/page-1", "SN74ABT16825DLR")</f>
        <v>SN74ABT16825DLR</v>
      </c>
      <c r="B2859" s="3" t="str">
        <f>HYPERLINK("https://www.773grp.com/manufacturer/texas-instruments?pageNo=335", "Texas Instruments")</f>
        <v>Texas Instruments</v>
      </c>
      <c r="C2859" s="5">
        <v>6575</v>
      </c>
      <c r="D2859" s="6">
        <v>3.85</v>
      </c>
      <c r="E2859" t="s">
        <v>12</v>
      </c>
    </row>
    <row r="2860" spans="1:5" x14ac:dyDescent="0.25">
      <c r="A2860" t="str">
        <f>HYPERLINK("https://www.773grp.com/globalSearch/SN74ABT16827DL/page-1", "SN74ABT16827DL")</f>
        <v>SN74ABT16827DL</v>
      </c>
      <c r="B2860" s="3" t="str">
        <f>HYPERLINK("https://www.773grp.com/manufacturer/texas-instruments?pageNo=336", "Texas Instruments")</f>
        <v>Texas Instruments</v>
      </c>
      <c r="C2860" s="5">
        <v>6736</v>
      </c>
      <c r="D2860" s="6">
        <v>3.85</v>
      </c>
      <c r="E2860" t="s">
        <v>12</v>
      </c>
    </row>
    <row r="2861" spans="1:5" x14ac:dyDescent="0.25">
      <c r="A2861" t="str">
        <f>HYPERLINK("https://www.773grp.com/globalSearch/SN74ABT16827DLR/page-1", "SN74ABT16827DLR")</f>
        <v>SN74ABT16827DLR</v>
      </c>
      <c r="B2861" s="3" t="str">
        <f>HYPERLINK("https://www.773grp.com/manufacturer/texas-instruments?pageNo=337", "Texas Instruments")</f>
        <v>Texas Instruments</v>
      </c>
      <c r="C2861" s="5">
        <v>2990</v>
      </c>
      <c r="D2861" s="6">
        <v>3.85</v>
      </c>
      <c r="E2861" t="s">
        <v>12</v>
      </c>
    </row>
    <row r="2862" spans="1:5" x14ac:dyDescent="0.25">
      <c r="A2862" t="str">
        <f>HYPERLINK("https://www.773grp.com/globalSearch/SN74ABT16833DL/page-1", "SN74ABT16833DL")</f>
        <v>SN74ABT16833DL</v>
      </c>
      <c r="B2862" s="3" t="str">
        <f>HYPERLINK("https://www.773grp.com/manufacturer/texas-instruments?pageNo=338", "Texas Instruments")</f>
        <v>Texas Instruments</v>
      </c>
      <c r="C2862" s="5">
        <v>1223</v>
      </c>
      <c r="D2862" s="6">
        <v>3.85</v>
      </c>
      <c r="E2862" t="s">
        <v>12</v>
      </c>
    </row>
    <row r="2863" spans="1:5" x14ac:dyDescent="0.25">
      <c r="A2863" t="str">
        <f>HYPERLINK("https://www.773grp.com/globalSearch/SN74ABT16833DLR/page-1", "SN74ABT16833DLR")</f>
        <v>SN74ABT16833DLR</v>
      </c>
      <c r="B2863" s="3" t="str">
        <f>HYPERLINK("https://www.773grp.com/manufacturer/texas-instruments?pageNo=339", "Texas Instruments")</f>
        <v>Texas Instruments</v>
      </c>
      <c r="C2863" s="5">
        <v>19000</v>
      </c>
      <c r="D2863" s="6">
        <v>3.85</v>
      </c>
      <c r="E2863" t="s">
        <v>12</v>
      </c>
    </row>
    <row r="2864" spans="1:5" x14ac:dyDescent="0.25">
      <c r="A2864" t="str">
        <f>HYPERLINK("https://www.773grp.com/globalSearch/SN74ALVCH16601DL/page-1", "SN74ALVCH16601DL")</f>
        <v>SN74ALVCH16601DL</v>
      </c>
      <c r="B2864" s="3" t="str">
        <f>HYPERLINK("https://www.773grp.com/manufacturer/texas-instruments?pageNo=341", "Texas Instruments")</f>
        <v>Texas Instruments</v>
      </c>
      <c r="C2864" s="5">
        <v>498</v>
      </c>
      <c r="D2864" s="6">
        <v>3.85</v>
      </c>
      <c r="E2864" t="s">
        <v>12</v>
      </c>
    </row>
    <row r="2865" spans="1:5" x14ac:dyDescent="0.25">
      <c r="A2865" t="str">
        <f>HYPERLINK("https://www.773grp.com/globalSearch/SN74LVTH162541DL/page-1", "SN74LVTH162541DL")</f>
        <v>SN74LVTH162541DL</v>
      </c>
      <c r="B2865" s="3" t="str">
        <f>HYPERLINK("https://www.773grp.com/manufacturer/texas-instruments?pageNo=342", "Texas Instruments")</f>
        <v>Texas Instruments</v>
      </c>
      <c r="C2865" s="5">
        <v>17435</v>
      </c>
      <c r="D2865" s="6">
        <v>3.85</v>
      </c>
      <c r="E2865" t="s">
        <v>12</v>
      </c>
    </row>
    <row r="2866" spans="1:5" x14ac:dyDescent="0.25">
      <c r="A2866" t="str">
        <f>HYPERLINK("https://www.773grp.com/globalSearch/SN74LVTH16652DGGR/page-1", "SN74LVTH16652DGGR")</f>
        <v>SN74LVTH16652DGGR</v>
      </c>
      <c r="B2866" s="3" t="str">
        <f>HYPERLINK("https://www.773grp.com/manufacturer/texas-instruments?pageNo=343", "Texas Instruments")</f>
        <v>Texas Instruments</v>
      </c>
      <c r="C2866" s="5">
        <v>14750</v>
      </c>
      <c r="D2866" s="6">
        <v>3.85</v>
      </c>
      <c r="E2866" t="s">
        <v>12</v>
      </c>
    </row>
    <row r="2867" spans="1:5" x14ac:dyDescent="0.25">
      <c r="A2867" t="str">
        <f>HYPERLINK("https://www.773grp.com/globalSearch/SN74LVTH16652DL/page-1", "SN74LVTH16652DL")</f>
        <v>SN74LVTH16652DL</v>
      </c>
      <c r="B2867" s="3" t="str">
        <f>HYPERLINK("https://www.773grp.com/manufacturer/texas-instruments?pageNo=344", "Texas Instruments")</f>
        <v>Texas Instruments</v>
      </c>
      <c r="C2867" s="5">
        <v>745</v>
      </c>
      <c r="D2867" s="6">
        <v>3.85</v>
      </c>
      <c r="E2867" t="s">
        <v>12</v>
      </c>
    </row>
    <row r="2868" spans="1:5" x14ac:dyDescent="0.25">
      <c r="A2868" t="str">
        <f>HYPERLINK("https://www.773grp.com/globalSearch/SN74AC564DWR/page-1", "SN74AC564DWR")</f>
        <v>SN74AC564DWR</v>
      </c>
      <c r="B2868" s="3" t="str">
        <f>HYPERLINK("https://www.773grp.com/manufacturer/texas-instruments?pageNo=374", "Texas Instruments")</f>
        <v>Texas Instruments</v>
      </c>
      <c r="C2868" s="5">
        <v>15700</v>
      </c>
      <c r="D2868" s="6">
        <v>4.28</v>
      </c>
      <c r="E2868" t="s">
        <v>12</v>
      </c>
    </row>
    <row r="2869" spans="1:5" x14ac:dyDescent="0.25">
      <c r="A2869" t="str">
        <f>HYPERLINK("https://www.773grp.com/globalSearch/SN74LVC16373AZQLR/page-1", "SN74LVC16373AZQLR")</f>
        <v>SN74LVC16373AZQLR</v>
      </c>
      <c r="B2869" s="3" t="str">
        <f>HYPERLINK("https://www.773grp.com/manufacturer/texas-instruments?pageNo=376", "Texas Instruments")</f>
        <v>Texas Instruments</v>
      </c>
      <c r="C2869" s="5">
        <v>3320</v>
      </c>
      <c r="D2869" s="6">
        <v>4.28</v>
      </c>
      <c r="E2869" t="s">
        <v>12</v>
      </c>
    </row>
    <row r="2870" spans="1:5" x14ac:dyDescent="0.25">
      <c r="A2870" t="str">
        <f>HYPERLINK("https://www.773grp.com/globalSearch/SN74LVTH541DWR/page-1", "SN74LVTH541DWR")</f>
        <v>SN74LVTH541DWR</v>
      </c>
      <c r="B2870" s="3" t="str">
        <f>HYPERLINK("https://www.773grp.com/manufacturer/texas-instruments?pageNo=482", "Texas Instruments")</f>
        <v>Texas Instruments</v>
      </c>
      <c r="C2870" s="5">
        <v>4000</v>
      </c>
      <c r="D2870" s="6">
        <v>4.33</v>
      </c>
      <c r="E2870" t="s">
        <v>12</v>
      </c>
    </row>
    <row r="2871" spans="1:5" x14ac:dyDescent="0.25">
      <c r="A2871" t="str">
        <f>HYPERLINK("https://www.773grp.com/globalSearch/SN74LVTH652DW/page-1", "SN74LVTH652DW")</f>
        <v>SN74LVTH652DW</v>
      </c>
      <c r="B2871" s="3" t="str">
        <f>HYPERLINK("https://www.773grp.com/manufacturer/texas-instruments?pageNo=500", "Texas Instruments")</f>
        <v>Texas Instruments</v>
      </c>
      <c r="C2871" s="5">
        <v>71691</v>
      </c>
      <c r="D2871" s="6">
        <v>3.91</v>
      </c>
      <c r="E2871" t="s">
        <v>12</v>
      </c>
    </row>
    <row r="2872" spans="1:5" x14ac:dyDescent="0.25">
      <c r="A2872" t="str">
        <f>HYPERLINK("https://www.773grp.com/globalSearch/74ACT11623NT/page-1", "74ACT11623NT")</f>
        <v>74ACT11623NT</v>
      </c>
      <c r="B2872" s="3" t="str">
        <f>HYPERLINK("https://www.773grp.com/manufacturer/texas-instruments?pageNo=528", "Texas Instruments")</f>
        <v>Texas Instruments</v>
      </c>
      <c r="C2872" s="5">
        <v>2105</v>
      </c>
      <c r="D2872" s="6">
        <v>3.94</v>
      </c>
      <c r="E2872" t="s">
        <v>12</v>
      </c>
    </row>
    <row r="2873" spans="1:5" x14ac:dyDescent="0.25">
      <c r="A2873" t="str">
        <f>HYPERLINK("https://www.773grp.com/globalSearch/CY74FCT2652ATQC/page-1", "CY74FCT2652ATQC")</f>
        <v>CY74FCT2652ATQC</v>
      </c>
      <c r="B2873" s="3" t="str">
        <f>HYPERLINK("https://www.773grp.com/manufacturer/texas-instruments?pageNo=531", "Texas Instruments")</f>
        <v>Texas Instruments</v>
      </c>
      <c r="C2873" s="5">
        <v>5613</v>
      </c>
      <c r="D2873" s="6">
        <v>3.94</v>
      </c>
      <c r="E2873" t="s">
        <v>12</v>
      </c>
    </row>
    <row r="2874" spans="1:5" x14ac:dyDescent="0.25">
      <c r="A2874" t="str">
        <f>HYPERLINK("https://www.773grp.com/globalSearch/CY74FCT2652CTQC/page-1", "CY74FCT2652CTQC")</f>
        <v>CY74FCT2652CTQC</v>
      </c>
      <c r="B2874" s="3" t="str">
        <f>HYPERLINK("https://www.773grp.com/manufacturer/texas-instruments?pageNo=532", "Texas Instruments")</f>
        <v>Texas Instruments</v>
      </c>
      <c r="C2874" s="5">
        <v>4251</v>
      </c>
      <c r="D2874" s="6">
        <v>3.94</v>
      </c>
      <c r="E2874" t="s">
        <v>12</v>
      </c>
    </row>
    <row r="2875" spans="1:5" x14ac:dyDescent="0.25">
      <c r="A2875" t="str">
        <f>HYPERLINK("https://www.773grp.com/globalSearch/CY74FCT2652CTQC/page-1", "CY74FCT2652CTQC")</f>
        <v>CY74FCT2652CTQC</v>
      </c>
      <c r="B2875" s="3" t="str">
        <f>HYPERLINK("https://www.773grp.com/manufacturer/texas-instruments?pageNo=533", "Texas Instruments")</f>
        <v>Texas Instruments</v>
      </c>
      <c r="C2875" s="5">
        <v>2611</v>
      </c>
      <c r="D2875" s="6">
        <v>3.94</v>
      </c>
      <c r="E2875" t="s">
        <v>12</v>
      </c>
    </row>
    <row r="2876" spans="1:5" x14ac:dyDescent="0.25">
      <c r="A2876" t="str">
        <f>HYPERLINK("https://www.773grp.com/globalSearch/CY74FCT2652CTQCT/page-1", "CY74FCT2652CTQCT")</f>
        <v>CY74FCT2652CTQCT</v>
      </c>
      <c r="B2876" s="3" t="str">
        <f>HYPERLINK("https://www.773grp.com/manufacturer/texas-instruments?pageNo=534", "Texas Instruments")</f>
        <v>Texas Instruments</v>
      </c>
      <c r="C2876" s="5">
        <v>28000</v>
      </c>
      <c r="D2876" s="6">
        <v>3.94</v>
      </c>
      <c r="E2876" t="s">
        <v>12</v>
      </c>
    </row>
    <row r="2877" spans="1:5" x14ac:dyDescent="0.25">
      <c r="A2877" t="str">
        <f>HYPERLINK("https://www.773grp.com/globalSearch/SN74CB3Q16811DGVR/page-1", "SN74CB3Q16811DGVR")</f>
        <v>SN74CB3Q16811DGVR</v>
      </c>
      <c r="B2877" s="3" t="str">
        <f>HYPERLINK("https://www.773grp.com/manufacturer/texas-instruments?pageNo=590", "Texas Instruments")</f>
        <v>Texas Instruments</v>
      </c>
      <c r="C2877" s="5">
        <v>5960</v>
      </c>
      <c r="D2877" s="6">
        <v>3.94</v>
      </c>
      <c r="E2877" t="s">
        <v>12</v>
      </c>
    </row>
    <row r="2878" spans="1:5" x14ac:dyDescent="0.25">
      <c r="A2878" t="str">
        <f>HYPERLINK("https://www.773grp.com/globalSearch/SN74CB3Q16811DL/page-1", "SN74CB3Q16811DL")</f>
        <v>SN74CB3Q16811DL</v>
      </c>
      <c r="B2878" s="3" t="str">
        <f>HYPERLINK("https://www.773grp.com/manufacturer/texas-instruments?pageNo=591", "Texas Instruments")</f>
        <v>Texas Instruments</v>
      </c>
      <c r="C2878" s="5">
        <v>9880</v>
      </c>
      <c r="D2878" s="6">
        <v>3.94</v>
      </c>
      <c r="E2878" t="s">
        <v>12</v>
      </c>
    </row>
    <row r="2879" spans="1:5" x14ac:dyDescent="0.25">
      <c r="A2879" t="str">
        <f>HYPERLINK("https://www.773grp.com/globalSearch/SN74CB3Q16811DLR/page-1", "SN74CB3Q16811DLR")</f>
        <v>SN74CB3Q16811DLR</v>
      </c>
      <c r="B2879" s="3" t="str">
        <f>HYPERLINK("https://www.773grp.com/manufacturer/texas-instruments?pageNo=592", "Texas Instruments")</f>
        <v>Texas Instruments</v>
      </c>
      <c r="C2879" s="5">
        <v>9000</v>
      </c>
      <c r="D2879" s="6">
        <v>3.94</v>
      </c>
      <c r="E2879" t="s">
        <v>12</v>
      </c>
    </row>
    <row r="2880" spans="1:5" x14ac:dyDescent="0.25">
      <c r="A2880" t="str">
        <f>HYPERLINK("https://www.773grp.com/globalSearch/74ALVC164245ZQLR/page-1", "74ALVC164245ZQLR")</f>
        <v>74ALVC164245ZQLR</v>
      </c>
      <c r="B2880" s="3" t="str">
        <f>HYPERLINK("https://www.773grp.com/manufacturer/texas-instruments?pageNo=720", "Texas Instruments")</f>
        <v>Texas Instruments</v>
      </c>
      <c r="C2880" s="5">
        <v>1000</v>
      </c>
      <c r="D2880" s="6">
        <v>3.96</v>
      </c>
      <c r="E2880" t="s">
        <v>12</v>
      </c>
    </row>
    <row r="2881" spans="1:5" x14ac:dyDescent="0.25">
      <c r="A2881" t="str">
        <f>HYPERLINK("https://www.773grp.com/globalSearch/SN74AS240N/page-1", "SN74AS240N")</f>
        <v>SN74AS240N</v>
      </c>
      <c r="B2881" s="3" t="str">
        <f>HYPERLINK("https://www.773grp.com/manufacturer/texas-instruments?pageNo=734", "Texas Instruments")</f>
        <v>Texas Instruments</v>
      </c>
      <c r="C2881" s="5">
        <v>9035</v>
      </c>
      <c r="D2881" s="6">
        <v>3.96</v>
      </c>
      <c r="E2881" t="s">
        <v>12</v>
      </c>
    </row>
    <row r="2882" spans="1:5" x14ac:dyDescent="0.25">
      <c r="A2882" t="str">
        <f>HYPERLINK("https://www.773grp.com/globalSearch/SN74CB3Q16210DL/page-1", "SN74CB3Q16210DL")</f>
        <v>SN74CB3Q16210DL</v>
      </c>
      <c r="B2882" s="3" t="str">
        <f>HYPERLINK("https://www.773grp.com/manufacturer/texas-instruments?pageNo=735", "Texas Instruments")</f>
        <v>Texas Instruments</v>
      </c>
      <c r="C2882" s="5">
        <v>5006</v>
      </c>
      <c r="D2882" s="6">
        <v>3.96</v>
      </c>
      <c r="E2882" t="s">
        <v>12</v>
      </c>
    </row>
    <row r="2883" spans="1:5" x14ac:dyDescent="0.25">
      <c r="A2883" t="str">
        <f>HYPERLINK("https://www.773grp.com/globalSearch/CY74FCT2240ATQC/page-1", "CY74FCT2240ATQC")</f>
        <v>CY74FCT2240ATQC</v>
      </c>
      <c r="B2883" s="3" t="str">
        <f>HYPERLINK("https://www.773grp.com/manufacturer/texas-instruments?pageNo=755", "Texas Instruments")</f>
        <v>Texas Instruments</v>
      </c>
      <c r="C2883" s="5">
        <v>3483</v>
      </c>
      <c r="D2883" s="6">
        <v>4.38</v>
      </c>
      <c r="E2883" t="s">
        <v>12</v>
      </c>
    </row>
    <row r="2884" spans="1:5" x14ac:dyDescent="0.25">
      <c r="A2884" t="str">
        <f>HYPERLINK("https://www.773grp.com/globalSearch/CY74FCT2244ATQC/page-1", "CY74FCT2244ATQC")</f>
        <v>CY74FCT2244ATQC</v>
      </c>
      <c r="B2884" s="3" t="str">
        <f>HYPERLINK("https://www.773grp.com/manufacturer/texas-instruments?pageNo=756", "Texas Instruments")</f>
        <v>Texas Instruments</v>
      </c>
      <c r="C2884" s="5">
        <v>20103</v>
      </c>
      <c r="D2884" s="6">
        <v>4.38</v>
      </c>
      <c r="E2884" t="s">
        <v>12</v>
      </c>
    </row>
    <row r="2885" spans="1:5" x14ac:dyDescent="0.25">
      <c r="A2885" t="str">
        <f>HYPERLINK("https://www.773grp.com/globalSearch/CY74FCT2244CTQC/page-1", "CY74FCT2244CTQC")</f>
        <v>CY74FCT2244CTQC</v>
      </c>
      <c r="B2885" s="3" t="str">
        <f>HYPERLINK("https://www.773grp.com/manufacturer/texas-instruments?pageNo=757", "Texas Instruments")</f>
        <v>Texas Instruments</v>
      </c>
      <c r="C2885" s="5">
        <v>5094</v>
      </c>
      <c r="D2885" s="6">
        <v>4.38</v>
      </c>
      <c r="E2885" t="s">
        <v>12</v>
      </c>
    </row>
    <row r="2886" spans="1:5" x14ac:dyDescent="0.25">
      <c r="A2886" t="str">
        <f>HYPERLINK("https://www.773grp.com/globalSearch/CY74FCT2244TQC/page-1", "CY74FCT2244TQC")</f>
        <v>CY74FCT2244TQC</v>
      </c>
      <c r="B2886" s="3" t="str">
        <f>HYPERLINK("https://www.773grp.com/manufacturer/texas-instruments?pageNo=758", "Texas Instruments")</f>
        <v>Texas Instruments</v>
      </c>
      <c r="C2886" s="5">
        <v>5047</v>
      </c>
      <c r="D2886" s="6">
        <v>4.38</v>
      </c>
      <c r="E2886" t="s">
        <v>12</v>
      </c>
    </row>
    <row r="2887" spans="1:5" x14ac:dyDescent="0.25">
      <c r="A2887" t="str">
        <f>HYPERLINK("https://www.773grp.com/globalSearch/CY74FCT2245TQC/page-1", "CY74FCT2245TQC")</f>
        <v>CY74FCT2245TQC</v>
      </c>
      <c r="B2887" s="3" t="str">
        <f>HYPERLINK("https://www.773grp.com/manufacturer/texas-instruments?pageNo=759", "Texas Instruments")</f>
        <v>Texas Instruments</v>
      </c>
      <c r="C2887" s="5">
        <v>988</v>
      </c>
      <c r="D2887" s="6">
        <v>4.38</v>
      </c>
      <c r="E2887" t="s">
        <v>12</v>
      </c>
    </row>
    <row r="2888" spans="1:5" x14ac:dyDescent="0.25">
      <c r="A2888" t="str">
        <f>HYPERLINK("https://www.773grp.com/globalSearch/CY74FCT2373ATQC/page-1", "CY74FCT2373ATQC")</f>
        <v>CY74FCT2373ATQC</v>
      </c>
      <c r="B2888" s="3" t="str">
        <f>HYPERLINK("https://www.773grp.com/manufacturer/texas-instruments?pageNo=760", "Texas Instruments")</f>
        <v>Texas Instruments</v>
      </c>
      <c r="C2888" s="5">
        <v>1987</v>
      </c>
      <c r="D2888" s="6">
        <v>4.38</v>
      </c>
      <c r="E2888" t="s">
        <v>12</v>
      </c>
    </row>
    <row r="2889" spans="1:5" x14ac:dyDescent="0.25">
      <c r="A2889" t="str">
        <f>HYPERLINK("https://www.773grp.com/globalSearch/CY74FCT2373CTQC/page-1", "CY74FCT2373CTQC")</f>
        <v>CY74FCT2373CTQC</v>
      </c>
      <c r="B2889" s="3" t="str">
        <f>HYPERLINK("https://www.773grp.com/manufacturer/texas-instruments?pageNo=761", "Texas Instruments")</f>
        <v>Texas Instruments</v>
      </c>
      <c r="C2889" s="5">
        <v>1596</v>
      </c>
      <c r="D2889" s="6">
        <v>4.38</v>
      </c>
      <c r="E2889" t="s">
        <v>12</v>
      </c>
    </row>
    <row r="2890" spans="1:5" x14ac:dyDescent="0.25">
      <c r="A2890" t="str">
        <f>HYPERLINK("https://www.773grp.com/globalSearch/CY74FCT2374CTQC/page-1", "CY74FCT2374CTQC")</f>
        <v>CY74FCT2374CTQC</v>
      </c>
      <c r="B2890" s="3" t="str">
        <f>HYPERLINK("https://www.773grp.com/manufacturer/texas-instruments?pageNo=762", "Texas Instruments")</f>
        <v>Texas Instruments</v>
      </c>
      <c r="C2890" s="5">
        <v>1010</v>
      </c>
      <c r="D2890" s="6">
        <v>4.38</v>
      </c>
      <c r="E2890" t="s">
        <v>12</v>
      </c>
    </row>
    <row r="2891" spans="1:5" x14ac:dyDescent="0.25">
      <c r="A2891" t="str">
        <f>HYPERLINK("https://www.773grp.com/globalSearch/CY74FCT240ATQC/page-1", "CY74FCT240ATQC")</f>
        <v>CY74FCT240ATQC</v>
      </c>
      <c r="B2891" s="3" t="str">
        <f>HYPERLINK("https://www.773grp.com/manufacturer/texas-instruments?pageNo=763", "Texas Instruments")</f>
        <v>Texas Instruments</v>
      </c>
      <c r="C2891" s="5">
        <v>1499</v>
      </c>
      <c r="D2891" s="6">
        <v>4.38</v>
      </c>
      <c r="E2891" t="s">
        <v>12</v>
      </c>
    </row>
    <row r="2892" spans="1:5" x14ac:dyDescent="0.25">
      <c r="A2892" t="str">
        <f>HYPERLINK("https://www.773grp.com/globalSearch/CY74FCT240CTQC/page-1", "CY74FCT240CTQC")</f>
        <v>CY74FCT240CTQC</v>
      </c>
      <c r="B2892" s="3" t="str">
        <f>HYPERLINK("https://www.773grp.com/manufacturer/texas-instruments?pageNo=764", "Texas Instruments")</f>
        <v>Texas Instruments</v>
      </c>
      <c r="C2892" s="5">
        <v>1000</v>
      </c>
      <c r="D2892" s="6">
        <v>4.38</v>
      </c>
      <c r="E2892" t="s">
        <v>12</v>
      </c>
    </row>
    <row r="2893" spans="1:5" x14ac:dyDescent="0.25">
      <c r="A2893" t="str">
        <f>HYPERLINK("https://www.773grp.com/globalSearch/CY74FCT240TQC/page-1", "CY74FCT240TQC")</f>
        <v>CY74FCT240TQC</v>
      </c>
      <c r="B2893" s="3" t="str">
        <f>HYPERLINK("https://www.773grp.com/manufacturer/texas-instruments?pageNo=765", "Texas Instruments")</f>
        <v>Texas Instruments</v>
      </c>
      <c r="C2893" s="5">
        <v>886</v>
      </c>
      <c r="D2893" s="6">
        <v>4.38</v>
      </c>
      <c r="E2893" t="s">
        <v>12</v>
      </c>
    </row>
    <row r="2894" spans="1:5" x14ac:dyDescent="0.25">
      <c r="A2894" t="str">
        <f>HYPERLINK("https://www.773grp.com/globalSearch/CY74FCT244CTQC/page-1", "CY74FCT244CTQC")</f>
        <v>CY74FCT244CTQC</v>
      </c>
      <c r="B2894" s="3" t="str">
        <f>HYPERLINK("https://www.773grp.com/manufacturer/texas-instruments?pageNo=766", "Texas Instruments")</f>
        <v>Texas Instruments</v>
      </c>
      <c r="C2894" s="5">
        <v>1350</v>
      </c>
      <c r="D2894" s="6">
        <v>4.38</v>
      </c>
      <c r="E2894" t="s">
        <v>12</v>
      </c>
    </row>
    <row r="2895" spans="1:5" x14ac:dyDescent="0.25">
      <c r="A2895" t="str">
        <f>HYPERLINK("https://www.773grp.com/globalSearch/CY74FCT245ATQC/page-1", "CY74FCT245ATQC")</f>
        <v>CY74FCT245ATQC</v>
      </c>
      <c r="B2895" s="3" t="str">
        <f>HYPERLINK("https://www.773grp.com/manufacturer/texas-instruments?pageNo=767", "Texas Instruments")</f>
        <v>Texas Instruments</v>
      </c>
      <c r="C2895" s="5">
        <v>106</v>
      </c>
      <c r="D2895" s="6">
        <v>4.38</v>
      </c>
      <c r="E2895" t="s">
        <v>12</v>
      </c>
    </row>
    <row r="2896" spans="1:5" x14ac:dyDescent="0.25">
      <c r="A2896" t="str">
        <f>HYPERLINK("https://www.773grp.com/globalSearch/CY74FCT245CTQC/page-1", "CY74FCT245CTQC")</f>
        <v>CY74FCT245CTQC</v>
      </c>
      <c r="B2896" s="3" t="str">
        <f>HYPERLINK("https://www.773grp.com/manufacturer/texas-instruments?pageNo=768", "Texas Instruments")</f>
        <v>Texas Instruments</v>
      </c>
      <c r="C2896" s="5">
        <v>896</v>
      </c>
      <c r="D2896" s="6">
        <v>4.38</v>
      </c>
      <c r="E2896" t="s">
        <v>12</v>
      </c>
    </row>
    <row r="2897" spans="1:5" x14ac:dyDescent="0.25">
      <c r="A2897" t="str">
        <f>HYPERLINK("https://www.773grp.com/globalSearch/CY74FCT245TQC/page-1", "CY74FCT245TQC")</f>
        <v>CY74FCT245TQC</v>
      </c>
      <c r="B2897" s="3" t="str">
        <f>HYPERLINK("https://www.773grp.com/manufacturer/texas-instruments?pageNo=769", "Texas Instruments")</f>
        <v>Texas Instruments</v>
      </c>
      <c r="C2897" s="5">
        <v>40</v>
      </c>
      <c r="D2897" s="6">
        <v>4.38</v>
      </c>
      <c r="E2897" t="s">
        <v>12</v>
      </c>
    </row>
    <row r="2898" spans="1:5" x14ac:dyDescent="0.25">
      <c r="A2898" t="str">
        <f>HYPERLINK("https://www.773grp.com/globalSearch/CY74FCT2541ATQC/page-1", "CY74FCT2541ATQC")</f>
        <v>CY74FCT2541ATQC</v>
      </c>
      <c r="B2898" s="3" t="str">
        <f>HYPERLINK("https://www.773grp.com/manufacturer/texas-instruments?pageNo=770", "Texas Instruments")</f>
        <v>Texas Instruments</v>
      </c>
      <c r="C2898" s="5">
        <v>10765</v>
      </c>
      <c r="D2898" s="6">
        <v>4.38</v>
      </c>
      <c r="E2898" t="s">
        <v>12</v>
      </c>
    </row>
    <row r="2899" spans="1:5" x14ac:dyDescent="0.25">
      <c r="A2899" t="str">
        <f>HYPERLINK("https://www.773grp.com/globalSearch/CY74FCT373CTQC/page-1", "CY74FCT373CTQC")</f>
        <v>CY74FCT373CTQC</v>
      </c>
      <c r="B2899" s="3" t="str">
        <f>HYPERLINK("https://www.773grp.com/manufacturer/texas-instruments?pageNo=771", "Texas Instruments")</f>
        <v>Texas Instruments</v>
      </c>
      <c r="C2899" s="5">
        <v>3381</v>
      </c>
      <c r="D2899" s="6">
        <v>4.38</v>
      </c>
      <c r="E2899" t="s">
        <v>12</v>
      </c>
    </row>
    <row r="2900" spans="1:5" x14ac:dyDescent="0.25">
      <c r="A2900" t="str">
        <f>HYPERLINK("https://www.773grp.com/globalSearch/CY74FCT374CTQC/page-1", "CY74FCT374CTQC")</f>
        <v>CY74FCT374CTQC</v>
      </c>
      <c r="B2900" s="3" t="str">
        <f>HYPERLINK("https://www.773grp.com/manufacturer/texas-instruments?pageNo=772", "Texas Instruments")</f>
        <v>Texas Instruments</v>
      </c>
      <c r="C2900" s="5">
        <v>5534</v>
      </c>
      <c r="D2900" s="6">
        <v>4.38</v>
      </c>
      <c r="E2900" t="s">
        <v>12</v>
      </c>
    </row>
    <row r="2901" spans="1:5" x14ac:dyDescent="0.25">
      <c r="A2901" t="str">
        <f>HYPERLINK("https://www.773grp.com/globalSearch/CY74FCT374TQC/page-1", "CY74FCT374TQC")</f>
        <v>CY74FCT374TQC</v>
      </c>
      <c r="B2901" s="3" t="str">
        <f>HYPERLINK("https://www.773grp.com/manufacturer/texas-instruments?pageNo=773", "Texas Instruments")</f>
        <v>Texas Instruments</v>
      </c>
      <c r="C2901" s="5">
        <v>1118</v>
      </c>
      <c r="D2901" s="6">
        <v>4.38</v>
      </c>
      <c r="E2901" t="s">
        <v>12</v>
      </c>
    </row>
    <row r="2902" spans="1:5" x14ac:dyDescent="0.25">
      <c r="A2902" t="str">
        <f>HYPERLINK("https://www.773grp.com/globalSearch/CY74FCT540CTQC/page-1", "CY74FCT540CTQC")</f>
        <v>CY74FCT540CTQC</v>
      </c>
      <c r="B2902" s="3" t="str">
        <f>HYPERLINK("https://www.773grp.com/manufacturer/texas-instruments?pageNo=774", "Texas Instruments")</f>
        <v>Texas Instruments</v>
      </c>
      <c r="C2902" s="5">
        <v>20493</v>
      </c>
      <c r="D2902" s="6">
        <v>4.38</v>
      </c>
      <c r="E2902" t="s">
        <v>12</v>
      </c>
    </row>
    <row r="2903" spans="1:5" x14ac:dyDescent="0.25">
      <c r="A2903" t="str">
        <f>HYPERLINK("https://www.773grp.com/globalSearch/CY74FCT541ATQC/page-1", "CY74FCT541ATQC")</f>
        <v>CY74FCT541ATQC</v>
      </c>
      <c r="B2903" s="3" t="str">
        <f>HYPERLINK("https://www.773grp.com/manufacturer/texas-instruments?pageNo=775", "Texas Instruments")</f>
        <v>Texas Instruments</v>
      </c>
      <c r="C2903" s="5">
        <v>175</v>
      </c>
      <c r="D2903" s="6">
        <v>4.38</v>
      </c>
      <c r="E2903" t="s">
        <v>12</v>
      </c>
    </row>
    <row r="2904" spans="1:5" x14ac:dyDescent="0.25">
      <c r="A2904" t="str">
        <f>HYPERLINK("https://www.773grp.com/globalSearch/CY74FCT541CTQC/page-1", "CY74FCT541CTQC")</f>
        <v>CY74FCT541CTQC</v>
      </c>
      <c r="B2904" s="3" t="str">
        <f>HYPERLINK("https://www.773grp.com/manufacturer/texas-instruments?pageNo=776", "Texas Instruments")</f>
        <v>Texas Instruments</v>
      </c>
      <c r="C2904" s="5">
        <v>37</v>
      </c>
      <c r="D2904" s="6">
        <v>4.38</v>
      </c>
      <c r="E2904" t="s">
        <v>12</v>
      </c>
    </row>
    <row r="2905" spans="1:5" x14ac:dyDescent="0.25">
      <c r="A2905" t="str">
        <f>HYPERLINK("https://www.773grp.com/globalSearch/SN74368AN/page-1", "SN74368AN")</f>
        <v>SN74368AN</v>
      </c>
      <c r="B2905" s="3" t="str">
        <f>HYPERLINK("https://www.773grp.com/manufacturer/texas-instruments?pageNo=784", "Texas Instruments")</f>
        <v>Texas Instruments</v>
      </c>
      <c r="C2905" s="5">
        <v>5235</v>
      </c>
      <c r="D2905" s="6">
        <v>4.38</v>
      </c>
      <c r="E2905" t="s">
        <v>12</v>
      </c>
    </row>
    <row r="2906" spans="1:5" x14ac:dyDescent="0.25">
      <c r="A2906" t="str">
        <f>HYPERLINK("https://www.773grp.com/globalSearch/SN74CBT3245DBLE/page-1", "SN74CBT3245DBLE")</f>
        <v>SN74CBT3245DBLE</v>
      </c>
      <c r="B2906" s="3" t="str">
        <f>HYPERLINK("https://www.773grp.com/manufacturer/texas-instruments?pageNo=788", "Texas Instruments")</f>
        <v>Texas Instruments</v>
      </c>
      <c r="C2906" s="5">
        <v>25000</v>
      </c>
      <c r="D2906" s="6">
        <v>4.38</v>
      </c>
      <c r="E2906" t="s">
        <v>12</v>
      </c>
    </row>
    <row r="2907" spans="1:5" x14ac:dyDescent="0.25">
      <c r="A2907" t="str">
        <f>HYPERLINK("https://www.773grp.com/globalSearch/SN74CBT3245DW/page-1", "SN74CBT3245DW")</f>
        <v>SN74CBT3245DW</v>
      </c>
      <c r="B2907" s="3" t="str">
        <f>HYPERLINK("https://www.773grp.com/manufacturer/texas-instruments?pageNo=789", "Texas Instruments")</f>
        <v>Texas Instruments</v>
      </c>
      <c r="C2907" s="5">
        <v>22495</v>
      </c>
      <c r="D2907" s="6">
        <v>4.38</v>
      </c>
      <c r="E2907" t="s">
        <v>12</v>
      </c>
    </row>
    <row r="2908" spans="1:5" x14ac:dyDescent="0.25">
      <c r="A2908" t="str">
        <f>HYPERLINK("https://www.773grp.com/globalSearch/SN74CBT3245DWR/page-1", "SN74CBT3245DWR")</f>
        <v>SN74CBT3245DWR</v>
      </c>
      <c r="B2908" s="3" t="str">
        <f>HYPERLINK("https://www.773grp.com/manufacturer/texas-instruments?pageNo=790", "Texas Instruments")</f>
        <v>Texas Instruments</v>
      </c>
      <c r="C2908" s="5">
        <v>75000</v>
      </c>
      <c r="D2908" s="6">
        <v>4.38</v>
      </c>
      <c r="E2908" t="s">
        <v>12</v>
      </c>
    </row>
    <row r="2909" spans="1:5" x14ac:dyDescent="0.25">
      <c r="A2909" t="str">
        <f>HYPERLINK("https://www.773grp.com/globalSearch/SN74LS645NS/page-1", "SN74LS645NS")</f>
        <v>SN74LS645NS</v>
      </c>
      <c r="B2909" s="3" t="str">
        <f>HYPERLINK("https://www.773grp.com/manufacturer/texas-instruments?pageNo=791", "Texas Instruments")</f>
        <v>Texas Instruments</v>
      </c>
      <c r="C2909" s="5">
        <v>2640</v>
      </c>
      <c r="D2909" s="6">
        <v>4.38</v>
      </c>
      <c r="E2909" t="s">
        <v>12</v>
      </c>
    </row>
    <row r="2910" spans="1:5" x14ac:dyDescent="0.25">
      <c r="A2910" t="str">
        <f>HYPERLINK("https://www.773grp.com/globalSearch/SN74LVCH245PWLE/page-1", "SN74LVCH245PWLE")</f>
        <v>SN74LVCH245PWLE</v>
      </c>
      <c r="B2910" s="3" t="str">
        <f>HYPERLINK("https://www.773grp.com/manufacturer/texas-instruments?pageNo=792", "Texas Instruments")</f>
        <v>Texas Instruments</v>
      </c>
      <c r="C2910" s="5">
        <v>4000</v>
      </c>
      <c r="D2910" s="6">
        <v>4.38</v>
      </c>
      <c r="E2910" t="s">
        <v>12</v>
      </c>
    </row>
    <row r="2911" spans="1:5" x14ac:dyDescent="0.25">
      <c r="A2911" t="str">
        <f>HYPERLINK("https://www.773grp.com/globalSearch/74ACT16541DL/page-1", "74ACT16541DL")</f>
        <v>74ACT16541DL</v>
      </c>
      <c r="B2911" s="3" t="str">
        <f>HYPERLINK("https://www.773grp.com/manufacturer/texas-instruments?pageNo=895", "Texas Instruments")</f>
        <v>Texas Instruments</v>
      </c>
      <c r="C2911" s="5">
        <v>7927</v>
      </c>
      <c r="D2911" s="6">
        <v>4.01</v>
      </c>
      <c r="E2911" t="s">
        <v>12</v>
      </c>
    </row>
    <row r="2912" spans="1:5" x14ac:dyDescent="0.25">
      <c r="A2912" t="str">
        <f>HYPERLINK("https://www.773grp.com/globalSearch/74FCT162543TPVCG4/page-1", "74FCT162543TPVCG4")</f>
        <v>74FCT162543TPVCG4</v>
      </c>
      <c r="B2912" s="3" t="str">
        <f>HYPERLINK("https://www.773grp.com/manufacturer/texas-instruments?pageNo=896", "Texas Instruments")</f>
        <v>Texas Instruments</v>
      </c>
      <c r="C2912" s="5">
        <v>200</v>
      </c>
      <c r="D2912" s="6">
        <v>4.01</v>
      </c>
      <c r="E2912" t="s">
        <v>12</v>
      </c>
    </row>
    <row r="2913" spans="1:5" x14ac:dyDescent="0.25">
      <c r="A2913" t="str">
        <f>HYPERLINK("https://www.773grp.com/globalSearch/CD74HCT640M/page-1", "CD74HCT640M")</f>
        <v>CD74HCT640M</v>
      </c>
      <c r="B2913" s="3" t="str">
        <f>HYPERLINK("https://www.773grp.com/manufacturer/texas-instruments?pageNo=900", "Texas Instruments")</f>
        <v>Texas Instruments</v>
      </c>
      <c r="C2913" s="5">
        <v>2595</v>
      </c>
      <c r="D2913" s="6">
        <v>4.01</v>
      </c>
      <c r="E2913" t="s">
        <v>12</v>
      </c>
    </row>
    <row r="2914" spans="1:5" x14ac:dyDescent="0.25">
      <c r="A2914" t="str">
        <f>HYPERLINK("https://www.773grp.com/globalSearch/CD74HCT646M96/page-1", "CD74HCT646M96")</f>
        <v>CD74HCT646M96</v>
      </c>
      <c r="B2914" s="3" t="str">
        <f>HYPERLINK("https://www.773grp.com/manufacturer/texas-instruments?pageNo=901", "Texas Instruments")</f>
        <v>Texas Instruments</v>
      </c>
      <c r="C2914" s="5">
        <v>2000</v>
      </c>
      <c r="D2914" s="6">
        <v>4.01</v>
      </c>
      <c r="E2914" t="s">
        <v>12</v>
      </c>
    </row>
    <row r="2915" spans="1:5" x14ac:dyDescent="0.25">
      <c r="A2915" t="str">
        <f>HYPERLINK("https://www.773grp.com/globalSearch/CY74FCT162543TPVC/page-1", "CY74FCT162543TPVC")</f>
        <v>CY74FCT162543TPVC</v>
      </c>
      <c r="B2915" s="3" t="str">
        <f>HYPERLINK("https://www.773grp.com/manufacturer/texas-instruments?pageNo=903", "Texas Instruments")</f>
        <v>Texas Instruments</v>
      </c>
      <c r="C2915" s="5">
        <v>7960</v>
      </c>
      <c r="D2915" s="6">
        <v>4.01</v>
      </c>
      <c r="E2915" t="s">
        <v>12</v>
      </c>
    </row>
    <row r="2916" spans="1:5" x14ac:dyDescent="0.25">
      <c r="A2916" t="str">
        <f>HYPERLINK("https://www.773grp.com/globalSearch/CY74FCT162652ATPVC/page-1", "CY74FCT162652ATPVC")</f>
        <v>CY74FCT162652ATPVC</v>
      </c>
      <c r="B2916" s="3" t="str">
        <f>HYPERLINK("https://www.773grp.com/manufacturer/texas-instruments?pageNo=904", "Texas Instruments")</f>
        <v>Texas Instruments</v>
      </c>
      <c r="C2916" s="5">
        <v>6430</v>
      </c>
      <c r="D2916" s="6">
        <v>4.01</v>
      </c>
      <c r="E2916" t="s">
        <v>12</v>
      </c>
    </row>
    <row r="2917" spans="1:5" x14ac:dyDescent="0.25">
      <c r="A2917" t="str">
        <f>HYPERLINK("https://www.773grp.com/globalSearch/CY74FCT163244CPVC/page-1", "CY74FCT163244CPVC")</f>
        <v>CY74FCT163244CPVC</v>
      </c>
      <c r="B2917" s="3" t="str">
        <f>HYPERLINK("https://www.773grp.com/manufacturer/texas-instruments?pageNo=905", "Texas Instruments")</f>
        <v>Texas Instruments</v>
      </c>
      <c r="C2917" s="5">
        <v>947</v>
      </c>
      <c r="D2917" s="6">
        <v>4.01</v>
      </c>
      <c r="E2917" t="s">
        <v>12</v>
      </c>
    </row>
    <row r="2918" spans="1:5" x14ac:dyDescent="0.25">
      <c r="A2918" t="str">
        <f>HYPERLINK("https://www.773grp.com/globalSearch/CY74FCT163245APACT/page-1", "CY74FCT163245APACT")</f>
        <v>CY74FCT163245APACT</v>
      </c>
      <c r="B2918" s="3" t="str">
        <f>HYPERLINK("https://www.773grp.com/manufacturer/texas-instruments?pageNo=906", "Texas Instruments")</f>
        <v>Texas Instruments</v>
      </c>
      <c r="C2918" s="5">
        <v>22000</v>
      </c>
      <c r="D2918" s="6">
        <v>4.01</v>
      </c>
      <c r="E2918" t="s">
        <v>12</v>
      </c>
    </row>
    <row r="2919" spans="1:5" x14ac:dyDescent="0.25">
      <c r="A2919" t="str">
        <f>HYPERLINK("https://www.773grp.com/globalSearch/CY74FCT163245CPAC/page-1", "CY74FCT163245CPAC")</f>
        <v>CY74FCT163245CPAC</v>
      </c>
      <c r="B2919" s="3" t="str">
        <f>HYPERLINK("https://www.773grp.com/manufacturer/texas-instruments?pageNo=907", "Texas Instruments")</f>
        <v>Texas Instruments</v>
      </c>
      <c r="C2919" s="5">
        <v>4150</v>
      </c>
      <c r="D2919" s="6">
        <v>4.01</v>
      </c>
      <c r="E2919" t="s">
        <v>12</v>
      </c>
    </row>
    <row r="2920" spans="1:5" x14ac:dyDescent="0.25">
      <c r="A2920" t="str">
        <f>HYPERLINK("https://www.773grp.com/globalSearch/SN74ABT657ADW/page-1", "SN74ABT657ADW")</f>
        <v>SN74ABT657ADW</v>
      </c>
      <c r="B2920" s="3" t="str">
        <f>HYPERLINK("https://www.773grp.com/manufacturer/texas-instruments?pageNo=939", "Texas Instruments")</f>
        <v>Texas Instruments</v>
      </c>
      <c r="C2920" s="5">
        <v>17322</v>
      </c>
      <c r="D2920" s="6">
        <v>4.01</v>
      </c>
      <c r="E2920" t="s">
        <v>12</v>
      </c>
    </row>
    <row r="2921" spans="1:5" x14ac:dyDescent="0.25">
      <c r="A2921" t="str">
        <f>HYPERLINK("https://www.773grp.com/globalSearch/SN74ABT861DW/page-1", "SN74ABT861DW")</f>
        <v>SN74ABT861DW</v>
      </c>
      <c r="B2921" s="3" t="str">
        <f>HYPERLINK("https://www.773grp.com/manufacturer/texas-instruments?pageNo=940", "Texas Instruments")</f>
        <v>Texas Instruments</v>
      </c>
      <c r="C2921" s="5">
        <v>9950</v>
      </c>
      <c r="D2921" s="6">
        <v>4.01</v>
      </c>
      <c r="E2921" t="s">
        <v>12</v>
      </c>
    </row>
    <row r="2922" spans="1:5" x14ac:dyDescent="0.25">
      <c r="A2922" t="str">
        <f>HYPERLINK("https://www.773grp.com/globalSearch/SN74ABT863DW/page-1", "SN74ABT863DW")</f>
        <v>SN74ABT863DW</v>
      </c>
      <c r="B2922" s="3" t="str">
        <f>HYPERLINK("https://www.773grp.com/manufacturer/texas-instruments?pageNo=941", "Texas Instruments")</f>
        <v>Texas Instruments</v>
      </c>
      <c r="C2922" s="5">
        <v>11772</v>
      </c>
      <c r="D2922" s="6">
        <v>4.01</v>
      </c>
      <c r="E2922" t="s">
        <v>12</v>
      </c>
    </row>
    <row r="2923" spans="1:5" x14ac:dyDescent="0.25">
      <c r="A2923" t="str">
        <f>HYPERLINK("https://www.773grp.com/globalSearch/SN74ALVC16244ADL/page-1", "SN74ALVC16244ADL")</f>
        <v>SN74ALVC16244ADL</v>
      </c>
      <c r="B2923" s="3" t="str">
        <f>HYPERLINK("https://www.773grp.com/manufacturer/texas-instruments?pageNo=944", "Texas Instruments")</f>
        <v>Texas Instruments</v>
      </c>
      <c r="C2923" s="5">
        <v>4447</v>
      </c>
      <c r="D2923" s="6">
        <v>4.01</v>
      </c>
      <c r="E2923" t="s">
        <v>12</v>
      </c>
    </row>
    <row r="2924" spans="1:5" x14ac:dyDescent="0.25">
      <c r="A2924" t="str">
        <f>HYPERLINK("https://www.773grp.com/globalSearch/SN74ALVCH16269KR/page-1", "SN74ALVCH16269KR")</f>
        <v>SN74ALVCH16269KR</v>
      </c>
      <c r="B2924" s="3" t="str">
        <f>HYPERLINK("https://www.773grp.com/manufacturer/texas-instruments?pageNo=945", "Texas Instruments")</f>
        <v>Texas Instruments</v>
      </c>
      <c r="C2924" s="5">
        <v>3000</v>
      </c>
      <c r="D2924" s="6">
        <v>4.01</v>
      </c>
      <c r="E2924" t="s">
        <v>12</v>
      </c>
    </row>
    <row r="2925" spans="1:5" x14ac:dyDescent="0.25">
      <c r="A2925" t="str">
        <f>HYPERLINK("https://www.773grp.com/globalSearch/SN74AS374DWR/page-1", "SN74AS374DWR")</f>
        <v>SN74AS374DWR</v>
      </c>
      <c r="B2925" s="3" t="str">
        <f>HYPERLINK("https://www.773grp.com/manufacturer/texas-instruments?pageNo=960", "Texas Instruments")</f>
        <v>Texas Instruments</v>
      </c>
      <c r="C2925" s="5">
        <v>8000</v>
      </c>
      <c r="D2925" s="6">
        <v>4.01</v>
      </c>
      <c r="E2925" t="s">
        <v>12</v>
      </c>
    </row>
    <row r="2926" spans="1:5" x14ac:dyDescent="0.25">
      <c r="A2926" t="str">
        <f>HYPERLINK("https://www.773grp.com/globalSearch/SN74AVC16834DGGR/page-1", "SN74AVC16834DGGR")</f>
        <v>SN74AVC16834DGGR</v>
      </c>
      <c r="B2926" s="3" t="str">
        <f>HYPERLINK("https://www.773grp.com/manufacturer/texas-instruments?pageNo=962", "Texas Instruments")</f>
        <v>Texas Instruments</v>
      </c>
      <c r="C2926" s="5">
        <v>13740</v>
      </c>
      <c r="D2926" s="6">
        <v>4.01</v>
      </c>
      <c r="E2926" t="s">
        <v>12</v>
      </c>
    </row>
    <row r="2927" spans="1:5" x14ac:dyDescent="0.25">
      <c r="A2927" t="str">
        <f>HYPERLINK("https://www.773grp.com/globalSearch/SN74AVC16835DGGR/page-1", "SN74AVC16835DGGR")</f>
        <v>SN74AVC16835DGGR</v>
      </c>
      <c r="B2927" s="3" t="str">
        <f>HYPERLINK("https://www.773grp.com/manufacturer/texas-instruments?pageNo=964", "Texas Instruments")</f>
        <v>Texas Instruments</v>
      </c>
      <c r="C2927" s="5">
        <v>58000</v>
      </c>
      <c r="D2927" s="6">
        <v>4.01</v>
      </c>
      <c r="E2927" t="s">
        <v>12</v>
      </c>
    </row>
    <row r="2928" spans="1:5" x14ac:dyDescent="0.25">
      <c r="A2928" t="str">
        <f>HYPERLINK("https://www.773grp.com/globalSearch/SN74AVC16835DGVR/page-1", "SN74AVC16835DGVR")</f>
        <v>SN74AVC16835DGVR</v>
      </c>
      <c r="B2928" s="3" t="str">
        <f>HYPERLINK("https://www.773grp.com/manufacturer/texas-instruments?pageNo=965", "Texas Instruments")</f>
        <v>Texas Instruments</v>
      </c>
      <c r="C2928" s="5">
        <v>33595</v>
      </c>
      <c r="D2928" s="6">
        <v>4.01</v>
      </c>
      <c r="E2928" t="s">
        <v>12</v>
      </c>
    </row>
    <row r="2929" spans="1:5" x14ac:dyDescent="0.25">
      <c r="A2929" t="str">
        <f>HYPERLINK("https://www.773grp.com/globalSearch/SN74CB3Q16211DL/page-1", "SN74CB3Q16211DL")</f>
        <v>SN74CB3Q16211DL</v>
      </c>
      <c r="B2929" s="3" t="str">
        <f>HYPERLINK("https://www.773grp.com/manufacturer/texas-instruments?pageNo=966", "Texas Instruments")</f>
        <v>Texas Instruments</v>
      </c>
      <c r="C2929" s="5">
        <v>7796</v>
      </c>
      <c r="D2929" s="6">
        <v>4.01</v>
      </c>
      <c r="E2929" t="s">
        <v>12</v>
      </c>
    </row>
    <row r="2930" spans="1:5" x14ac:dyDescent="0.25">
      <c r="A2930" t="str">
        <f>HYPERLINK("https://www.773grp.com/globalSearch/SN74CBTLV16212DLR/page-1", "SN74CBTLV16212DLR")</f>
        <v>SN74CBTLV16212DLR</v>
      </c>
      <c r="B2930" s="3" t="str">
        <f>HYPERLINK("https://www.773grp.com/manufacturer/texas-instruments?pageNo=967", "Texas Instruments")</f>
        <v>Texas Instruments</v>
      </c>
      <c r="C2930" s="5">
        <v>1500</v>
      </c>
      <c r="D2930" s="6">
        <v>4.01</v>
      </c>
      <c r="E2930" t="s">
        <v>12</v>
      </c>
    </row>
    <row r="2931" spans="1:5" x14ac:dyDescent="0.25">
      <c r="A2931" t="str">
        <f>HYPERLINK("https://www.773grp.com/globalSearch/SN74CBTLV16800DLR/page-1", "SN74CBTLV16800DLR")</f>
        <v>SN74CBTLV16800DLR</v>
      </c>
      <c r="B2931" s="3" t="str">
        <f>HYPERLINK("https://www.773grp.com/manufacturer/texas-instruments?pageNo=969", "Texas Instruments")</f>
        <v>Texas Instruments</v>
      </c>
      <c r="C2931" s="5">
        <v>5000</v>
      </c>
      <c r="D2931" s="6">
        <v>4.01</v>
      </c>
      <c r="E2931" t="s">
        <v>12</v>
      </c>
    </row>
    <row r="2932" spans="1:5" x14ac:dyDescent="0.25">
      <c r="A2932" t="str">
        <f>HYPERLINK("https://www.773grp.com/globalSearch/SN74LS641-1DWR/page-1", "SN74LS641-1DWR")</f>
        <v>SN74LS641-1DWR</v>
      </c>
      <c r="B2932" s="3" t="str">
        <f>HYPERLINK("https://www.773grp.com/manufacturer/texas-instruments?pageNo=972", "Texas Instruments")</f>
        <v>Texas Instruments</v>
      </c>
      <c r="C2932" s="5">
        <v>8000</v>
      </c>
      <c r="D2932" s="6">
        <v>4.01</v>
      </c>
      <c r="E2932" t="s">
        <v>12</v>
      </c>
    </row>
    <row r="2933" spans="1:5" x14ac:dyDescent="0.25">
      <c r="A2933" t="str">
        <f>HYPERLINK("https://www.773grp.com/globalSearch/SN74LVC162244AGQLR/page-1", "SN74LVC162244AGQLR")</f>
        <v>SN74LVC162244AGQLR</v>
      </c>
      <c r="B2933" s="3" t="str">
        <f>HYPERLINK("https://www.773grp.com/manufacturer/texas-instruments?pageNo=976", "Texas Instruments")</f>
        <v>Texas Instruments</v>
      </c>
      <c r="C2933" s="5">
        <v>15630</v>
      </c>
      <c r="D2933" s="6">
        <v>4.01</v>
      </c>
      <c r="E2933" t="s">
        <v>12</v>
      </c>
    </row>
    <row r="2934" spans="1:5" x14ac:dyDescent="0.25">
      <c r="A2934" t="str">
        <f>HYPERLINK("https://www.773grp.com/globalSearch/SN74LVC162244AZQLR/page-1", "SN74LVC162244AZQLR")</f>
        <v>SN74LVC162244AZQLR</v>
      </c>
      <c r="B2934" s="3" t="str">
        <f>HYPERLINK("https://www.773grp.com/manufacturer/texas-instruments?pageNo=977", "Texas Instruments")</f>
        <v>Texas Instruments</v>
      </c>
      <c r="C2934" s="5">
        <v>7798</v>
      </c>
      <c r="D2934" s="6">
        <v>4.01</v>
      </c>
      <c r="E2934" t="s">
        <v>12</v>
      </c>
    </row>
    <row r="2935" spans="1:5" x14ac:dyDescent="0.25">
      <c r="A2935" t="str">
        <f>HYPERLINK("https://www.773grp.com/globalSearch/SN74LVC162244AZRDR/page-1", "SN74LVC162244AZRDR")</f>
        <v>SN74LVC162244AZRDR</v>
      </c>
      <c r="B2935" s="3" t="str">
        <f>HYPERLINK("https://www.773grp.com/manufacturer/texas-instruments?pageNo=978", "Texas Instruments")</f>
        <v>Texas Instruments</v>
      </c>
      <c r="C2935" s="5">
        <v>5000</v>
      </c>
      <c r="D2935" s="6">
        <v>4.01</v>
      </c>
      <c r="E2935" t="s">
        <v>12</v>
      </c>
    </row>
    <row r="2936" spans="1:5" x14ac:dyDescent="0.25">
      <c r="A2936" t="str">
        <f>HYPERLINK("https://www.773grp.com/globalSearch/SN74LVCR16245ADLR/page-1", "SN74LVCR16245ADLR")</f>
        <v>SN74LVCR16245ADLR</v>
      </c>
      <c r="B2936" s="3" t="str">
        <f>HYPERLINK("https://www.773grp.com/manufacturer/texas-instruments?pageNo=980", "Texas Instruments")</f>
        <v>Texas Instruments</v>
      </c>
      <c r="C2936" s="5">
        <v>19000</v>
      </c>
      <c r="D2936" s="6">
        <v>4.01</v>
      </c>
      <c r="E2936" t="s">
        <v>12</v>
      </c>
    </row>
    <row r="2937" spans="1:5" x14ac:dyDescent="0.25">
      <c r="A2937" t="str">
        <f>HYPERLINK("https://www.773grp.com/globalSearch/SN74LVT162245DGGR/page-1", "SN74LVT162245DGGR")</f>
        <v>SN74LVT162245DGGR</v>
      </c>
      <c r="B2937" s="3" t="str">
        <f>HYPERLINK("https://www.773grp.com/manufacturer/texas-instruments?pageNo=981", "Texas Instruments")</f>
        <v>Texas Instruments</v>
      </c>
      <c r="C2937" s="5">
        <v>3705</v>
      </c>
      <c r="D2937" s="6">
        <v>4.01</v>
      </c>
      <c r="E2937" t="s">
        <v>12</v>
      </c>
    </row>
    <row r="2938" spans="1:5" x14ac:dyDescent="0.25">
      <c r="A2938" t="str">
        <f>HYPERLINK("https://www.773grp.com/globalSearch/SN74LVT16245ADGGR/page-1", "SN74LVT16245ADGGR")</f>
        <v>SN74LVT16245ADGGR</v>
      </c>
      <c r="B2938" s="3" t="str">
        <f>HYPERLINK("https://www.773grp.com/manufacturer/texas-instruments?pageNo=982", "Texas Instruments")</f>
        <v>Texas Instruments</v>
      </c>
      <c r="C2938" s="5">
        <v>52189</v>
      </c>
      <c r="D2938" s="6">
        <v>4.01</v>
      </c>
      <c r="E2938" t="s">
        <v>12</v>
      </c>
    </row>
    <row r="2939" spans="1:5" x14ac:dyDescent="0.25">
      <c r="A2939" t="str">
        <f>HYPERLINK("https://www.773grp.com/globalSearch/SN74LVT652DW/page-1", "SN74LVT652DW")</f>
        <v>SN74LVT652DW</v>
      </c>
      <c r="B2939" s="3" t="str">
        <f>HYPERLINK("https://www.773grp.com/manufacturer/texas-instruments?pageNo=983", "Texas Instruments")</f>
        <v>Texas Instruments</v>
      </c>
      <c r="C2939" s="5">
        <v>290</v>
      </c>
      <c r="D2939" s="6">
        <v>4.01</v>
      </c>
      <c r="E2939" t="s">
        <v>12</v>
      </c>
    </row>
    <row r="2940" spans="1:5" x14ac:dyDescent="0.25">
      <c r="A2940" t="str">
        <f>HYPERLINK("https://www.773grp.com/globalSearch/SN74LVTH16501DL/page-1", "SN74LVTH16501DL")</f>
        <v>SN74LVTH16501DL</v>
      </c>
      <c r="B2940" s="3" t="str">
        <f>HYPERLINK("https://www.773grp.com/manufacturer/texas-instruments?pageNo=984", "Texas Instruments")</f>
        <v>Texas Instruments</v>
      </c>
      <c r="C2940" s="5">
        <v>6031</v>
      </c>
      <c r="D2940" s="6">
        <v>4.01</v>
      </c>
      <c r="E2940" t="s">
        <v>12</v>
      </c>
    </row>
    <row r="2941" spans="1:5" x14ac:dyDescent="0.25">
      <c r="A2941" t="str">
        <f>HYPERLINK("https://www.773grp.com/globalSearch/SN74LVTH16646DL/page-1", "SN74LVTH16646DL")</f>
        <v>SN74LVTH16646DL</v>
      </c>
      <c r="B2941" s="3" t="str">
        <f>HYPERLINK("https://www.773grp.com/manufacturer/texas-instruments?pageNo=985", "Texas Instruments")</f>
        <v>Texas Instruments</v>
      </c>
      <c r="C2941" s="5">
        <v>556</v>
      </c>
      <c r="D2941" s="6">
        <v>4.01</v>
      </c>
      <c r="E2941" t="s">
        <v>12</v>
      </c>
    </row>
    <row r="2942" spans="1:5" x14ac:dyDescent="0.25">
      <c r="A2942" t="str">
        <f>HYPERLINK("https://www.773grp.com/globalSearch/SN74S244N3/page-1", "SN74S244N3")</f>
        <v>SN74S244N3</v>
      </c>
      <c r="B2942" s="3" t="str">
        <f>HYPERLINK("https://www.773grp.com/manufacturer/texas-instruments?pageNo=986", "Texas Instruments")</f>
        <v>Texas Instruments</v>
      </c>
      <c r="C2942" s="5">
        <v>1480</v>
      </c>
      <c r="D2942" s="6">
        <v>4.01</v>
      </c>
      <c r="E2942" t="s">
        <v>12</v>
      </c>
    </row>
    <row r="2943" spans="1:5" x14ac:dyDescent="0.25">
      <c r="A2943" t="str">
        <f>HYPERLINK("https://www.773grp.com/globalSearch/CD74ACT652M/page-1", "CD74ACT652M")</f>
        <v>CD74ACT652M</v>
      </c>
      <c r="B2943" s="3" t="s">
        <v>90</v>
      </c>
      <c r="C2943" s="5">
        <v>5588</v>
      </c>
      <c r="D2943" s="6">
        <v>4.05</v>
      </c>
      <c r="E2943" t="s">
        <v>12</v>
      </c>
    </row>
    <row r="2944" spans="1:5" x14ac:dyDescent="0.25">
      <c r="A2944" t="str">
        <f>HYPERLINK("https://www.773grp.com/globalSearch/SN74LVC32244ZKER/page-1", "SN74LVC32244ZKER")</f>
        <v>SN74LVC32244ZKER</v>
      </c>
      <c r="B2944" s="3" t="s">
        <v>90</v>
      </c>
      <c r="C2944" s="5">
        <v>7000</v>
      </c>
      <c r="D2944" s="6">
        <v>4.05</v>
      </c>
      <c r="E2944" t="s">
        <v>12</v>
      </c>
    </row>
    <row r="2945" spans="1:5" x14ac:dyDescent="0.25">
      <c r="A2945" t="str">
        <f>HYPERLINK("https://www.773grp.com/globalSearch/CLVC16244AIDGGREP/page-1", "CLVC16244AIDGGREP")</f>
        <v>CLVC16244AIDGGREP</v>
      </c>
      <c r="B2945" s="3" t="s">
        <v>90</v>
      </c>
      <c r="C2945" s="5">
        <v>1800</v>
      </c>
      <c r="D2945" s="6">
        <v>4.49</v>
      </c>
      <c r="E2945" t="s">
        <v>12</v>
      </c>
    </row>
    <row r="2946" spans="1:5" x14ac:dyDescent="0.25">
      <c r="A2946" t="str">
        <f>HYPERLINK("https://www.773grp.com/globalSearch/SN74ALVCH162525GR/page-1", "SN74ALVCH162525GR")</f>
        <v>SN74ALVCH162525GR</v>
      </c>
      <c r="B2946" s="3" t="s">
        <v>90</v>
      </c>
      <c r="C2946" s="5">
        <v>2000</v>
      </c>
      <c r="D2946" s="6">
        <v>4.49</v>
      </c>
      <c r="E2946" t="s">
        <v>12</v>
      </c>
    </row>
    <row r="2947" spans="1:5" x14ac:dyDescent="0.25">
      <c r="A2947" t="str">
        <f>HYPERLINK("https://www.773grp.com/globalSearch/SN74ALVCH16543DGGR/page-1", "SN74ALVCH16543DGGR")</f>
        <v>SN74ALVCH16543DGGR</v>
      </c>
      <c r="B2947" s="3" t="s">
        <v>90</v>
      </c>
      <c r="C2947" s="5">
        <v>9000</v>
      </c>
      <c r="D2947" s="6">
        <v>4.49</v>
      </c>
      <c r="E2947" t="s">
        <v>12</v>
      </c>
    </row>
    <row r="2948" spans="1:5" x14ac:dyDescent="0.25">
      <c r="A2948" t="str">
        <f>HYPERLINK("https://www.773grp.com/globalSearch/SN74ALVCH16543DL/page-1", "SN74ALVCH16543DL")</f>
        <v>SN74ALVCH16543DL</v>
      </c>
      <c r="B2948" s="3" t="s">
        <v>90</v>
      </c>
      <c r="C2948" s="5">
        <v>26377</v>
      </c>
      <c r="D2948" s="6">
        <v>4.49</v>
      </c>
      <c r="E2948" t="s">
        <v>12</v>
      </c>
    </row>
    <row r="2949" spans="1:5" x14ac:dyDescent="0.25">
      <c r="A2949" t="str">
        <f>HYPERLINK("https://www.773grp.com/globalSearch/SN74ALVCH16543DLR/page-1", "SN74ALVCH16543DLR")</f>
        <v>SN74ALVCH16543DLR</v>
      </c>
      <c r="B2949" s="3" t="s">
        <v>90</v>
      </c>
      <c r="C2949" s="5">
        <v>15665</v>
      </c>
      <c r="D2949" s="6">
        <v>4.49</v>
      </c>
      <c r="E2949" t="s">
        <v>12</v>
      </c>
    </row>
    <row r="2950" spans="1:5" x14ac:dyDescent="0.25">
      <c r="A2950" t="str">
        <f>HYPERLINK("https://www.773grp.com/globalSearch/SN74LVC16646ADGGR/page-1", "SN74LVC16646ADGGR")</f>
        <v>SN74LVC16646ADGGR</v>
      </c>
      <c r="B2950" s="3" t="s">
        <v>90</v>
      </c>
      <c r="C2950" s="5">
        <v>40000</v>
      </c>
      <c r="D2950" s="6">
        <v>4.49</v>
      </c>
      <c r="E2950" t="s">
        <v>12</v>
      </c>
    </row>
    <row r="2951" spans="1:5" x14ac:dyDescent="0.25">
      <c r="A2951" t="str">
        <f>HYPERLINK("https://www.773grp.com/globalSearch/SN74LVC16646ADL/page-1", "SN74LVC16646ADL")</f>
        <v>SN74LVC16646ADL</v>
      </c>
      <c r="B2951" s="3" t="s">
        <v>90</v>
      </c>
      <c r="C2951" s="5">
        <v>4880</v>
      </c>
      <c r="D2951" s="6">
        <v>4.49</v>
      </c>
      <c r="E2951" t="s">
        <v>12</v>
      </c>
    </row>
    <row r="2952" spans="1:5" x14ac:dyDescent="0.25">
      <c r="A2952" t="str">
        <f>HYPERLINK("https://www.773grp.com/globalSearch/SN74LVC16646ADLR/page-1", "SN74LVC16646ADLR")</f>
        <v>SN74LVC16646ADLR</v>
      </c>
      <c r="B2952" s="3" t="s">
        <v>90</v>
      </c>
      <c r="C2952" s="5">
        <v>2000</v>
      </c>
      <c r="D2952" s="6">
        <v>4.49</v>
      </c>
      <c r="E2952" t="s">
        <v>12</v>
      </c>
    </row>
    <row r="2953" spans="1:5" x14ac:dyDescent="0.25">
      <c r="A2953" t="str">
        <f>HYPERLINK("https://www.773grp.com/globalSearch/SN74LVC646ADW/page-1", "SN74LVC646ADW")</f>
        <v>SN74LVC646ADW</v>
      </c>
      <c r="B2953" s="3" t="s">
        <v>90</v>
      </c>
      <c r="C2953" s="5">
        <v>3352</v>
      </c>
      <c r="D2953" s="6">
        <v>4.49</v>
      </c>
      <c r="E2953" t="s">
        <v>12</v>
      </c>
    </row>
    <row r="2954" spans="1:5" x14ac:dyDescent="0.25">
      <c r="A2954" t="str">
        <f>HYPERLINK("https://www.773grp.com/globalSearch/SN74LVC841DBLE/page-1", "SN74LVC841DBLE")</f>
        <v>SN74LVC841DBLE</v>
      </c>
      <c r="B2954" s="3" t="s">
        <v>90</v>
      </c>
      <c r="C2954" s="5">
        <v>4000</v>
      </c>
      <c r="D2954" s="6">
        <v>4.49</v>
      </c>
      <c r="E2954" t="s">
        <v>12</v>
      </c>
    </row>
    <row r="2955" spans="1:5" x14ac:dyDescent="0.25">
      <c r="A2955" t="str">
        <f>HYPERLINK("https://www.773grp.com/globalSearch/CY74FCT163245APVC/page-1", "CY74FCT163245APVC")</f>
        <v>CY74FCT163245APVC</v>
      </c>
      <c r="B2955" s="3" t="s">
        <v>90</v>
      </c>
      <c r="C2955" s="5">
        <v>2270</v>
      </c>
      <c r="D2955" s="6">
        <v>4.09</v>
      </c>
      <c r="E2955" t="s">
        <v>12</v>
      </c>
    </row>
    <row r="2956" spans="1:5" x14ac:dyDescent="0.25">
      <c r="A2956" t="str">
        <f>HYPERLINK("https://www.773grp.com/globalSearch/74ACT16244DGGR/page-1", "74ACT16244DGGR")</f>
        <v>74ACT16244DGGR</v>
      </c>
      <c r="B2956" s="3" t="s">
        <v>90</v>
      </c>
      <c r="C2956" s="5">
        <v>11500</v>
      </c>
      <c r="D2956" s="6">
        <v>4.54</v>
      </c>
      <c r="E2956" t="s">
        <v>12</v>
      </c>
    </row>
    <row r="2957" spans="1:5" x14ac:dyDescent="0.25">
      <c r="A2957" t="str">
        <f>HYPERLINK("https://www.773grp.com/globalSearch/74FCT162240CTPVCT/page-1", "74FCT162240CTPVCT")</f>
        <v>74FCT162240CTPVCT</v>
      </c>
      <c r="B2957" s="3" t="s">
        <v>90</v>
      </c>
      <c r="C2957" s="5">
        <v>7000</v>
      </c>
      <c r="D2957" s="6">
        <v>4.54</v>
      </c>
      <c r="E2957" t="s">
        <v>12</v>
      </c>
    </row>
    <row r="2958" spans="1:5" x14ac:dyDescent="0.25">
      <c r="A2958" t="str">
        <f>HYPERLINK("https://www.773grp.com/globalSearch/74FCT16240ATPVCG4/page-1", "74FCT16240ATPVCG4")</f>
        <v>74FCT16240ATPVCG4</v>
      </c>
      <c r="B2958" s="3" t="s">
        <v>90</v>
      </c>
      <c r="C2958" s="5">
        <v>525</v>
      </c>
      <c r="D2958" s="6">
        <v>4.54</v>
      </c>
      <c r="E2958" t="s">
        <v>12</v>
      </c>
    </row>
    <row r="2959" spans="1:5" x14ac:dyDescent="0.25">
      <c r="A2959" t="str">
        <f>HYPERLINK("https://www.773grp.com/globalSearch/74FCT16244TPVCG4/page-1", "74FCT16244TPVCG4")</f>
        <v>74FCT16244TPVCG4</v>
      </c>
      <c r="B2959" s="3" t="s">
        <v>90</v>
      </c>
      <c r="C2959" s="5">
        <v>400</v>
      </c>
      <c r="D2959" s="6">
        <v>4.54</v>
      </c>
      <c r="E2959" t="s">
        <v>12</v>
      </c>
    </row>
    <row r="2960" spans="1:5" x14ac:dyDescent="0.25">
      <c r="A2960" t="str">
        <f>HYPERLINK("https://www.773grp.com/globalSearch/74FCT16373CTPVCG4/page-1", "74FCT16373CTPVCG4")</f>
        <v>74FCT16373CTPVCG4</v>
      </c>
      <c r="B2960" s="3" t="s">
        <v>90</v>
      </c>
      <c r="C2960" s="5">
        <v>400</v>
      </c>
      <c r="D2960" s="6">
        <v>4.54</v>
      </c>
      <c r="E2960" t="s">
        <v>12</v>
      </c>
    </row>
    <row r="2961" spans="1:5" x14ac:dyDescent="0.25">
      <c r="A2961" t="str">
        <f>HYPERLINK("https://www.773grp.com/globalSearch/74FCT16374CTPVCG4/page-1", "74FCT16374CTPVCG4")</f>
        <v>74FCT16374CTPVCG4</v>
      </c>
      <c r="B2961" s="3" t="s">
        <v>90</v>
      </c>
      <c r="C2961" s="5">
        <v>500</v>
      </c>
      <c r="D2961" s="6">
        <v>4.54</v>
      </c>
      <c r="E2961" t="s">
        <v>12</v>
      </c>
    </row>
    <row r="2962" spans="1:5" x14ac:dyDescent="0.25">
      <c r="A2962" t="str">
        <f>HYPERLINK("https://www.773grp.com/globalSearch/74LVTH16373DGGRG4/page-1", "74LVTH16373DGGRG4")</f>
        <v>74LVTH16373DGGRG4</v>
      </c>
      <c r="B2962" s="3" t="s">
        <v>90</v>
      </c>
      <c r="C2962" s="5">
        <v>2120</v>
      </c>
      <c r="D2962" s="6">
        <v>4.54</v>
      </c>
      <c r="E2962" t="s">
        <v>12</v>
      </c>
    </row>
    <row r="2963" spans="1:5" x14ac:dyDescent="0.25">
      <c r="A2963" t="str">
        <f>HYPERLINK("https://www.773grp.com/globalSearch/CCBT16245IDGGRQ1/page-1", "CCBT16245IDGGRQ1")</f>
        <v>CCBT16245IDGGRQ1</v>
      </c>
      <c r="B2963" s="3" t="s">
        <v>90</v>
      </c>
      <c r="C2963" s="5">
        <v>8000</v>
      </c>
      <c r="D2963" s="6">
        <v>4.54</v>
      </c>
      <c r="E2963" t="s">
        <v>12</v>
      </c>
    </row>
    <row r="2964" spans="1:5" x14ac:dyDescent="0.25">
      <c r="A2964" t="str">
        <f>HYPERLINK("https://www.773grp.com/globalSearch/CD74HCT564E/page-1", "CD74HCT564E")</f>
        <v>CD74HCT564E</v>
      </c>
      <c r="B2964" s="3" t="s">
        <v>90</v>
      </c>
      <c r="C2964" s="5">
        <v>8605</v>
      </c>
      <c r="D2964" s="6">
        <v>4.54</v>
      </c>
      <c r="E2964" t="s">
        <v>12</v>
      </c>
    </row>
    <row r="2965" spans="1:5" x14ac:dyDescent="0.25">
      <c r="A2965" t="str">
        <f>HYPERLINK("https://www.773grp.com/globalSearch/CY74FCT162240CTPVC/page-1", "CY74FCT162240CTPVC")</f>
        <v>CY74FCT162240CTPVC</v>
      </c>
      <c r="B2965" s="3" t="s">
        <v>90</v>
      </c>
      <c r="C2965" s="5">
        <v>5445</v>
      </c>
      <c r="D2965" s="6">
        <v>4.54</v>
      </c>
      <c r="E2965" t="s">
        <v>12</v>
      </c>
    </row>
    <row r="2966" spans="1:5" x14ac:dyDescent="0.25">
      <c r="A2966" t="str">
        <f>HYPERLINK("https://www.773grp.com/globalSearch/CY74FCT162244CTPVC/page-1", "CY74FCT162244CTPVC")</f>
        <v>CY74FCT162244CTPVC</v>
      </c>
      <c r="B2966" s="3" t="s">
        <v>90</v>
      </c>
      <c r="C2966" s="5">
        <v>10230</v>
      </c>
      <c r="D2966" s="6">
        <v>4.54</v>
      </c>
      <c r="E2966" t="s">
        <v>12</v>
      </c>
    </row>
    <row r="2967" spans="1:5" x14ac:dyDescent="0.25">
      <c r="A2967" t="str">
        <f>HYPERLINK("https://www.773grp.com/globalSearch/CY74FCT162245TPVC/page-1", "CY74FCT162245TPVC")</f>
        <v>CY74FCT162245TPVC</v>
      </c>
      <c r="B2967" s="3" t="s">
        <v>90</v>
      </c>
      <c r="C2967" s="5">
        <v>4580</v>
      </c>
      <c r="D2967" s="6">
        <v>4.54</v>
      </c>
      <c r="E2967" t="s">
        <v>12</v>
      </c>
    </row>
    <row r="2968" spans="1:5" x14ac:dyDescent="0.25">
      <c r="A2968" t="str">
        <f>HYPERLINK("https://www.773grp.com/globalSearch/CY74FCT162245TPVCT/page-1", "CY74FCT162245TPVCT")</f>
        <v>CY74FCT162245TPVCT</v>
      </c>
      <c r="B2968" s="3" t="s">
        <v>90</v>
      </c>
      <c r="C2968" s="5">
        <v>2000</v>
      </c>
      <c r="D2968" s="6">
        <v>4.54</v>
      </c>
      <c r="E2968" t="s">
        <v>12</v>
      </c>
    </row>
    <row r="2969" spans="1:5" x14ac:dyDescent="0.25">
      <c r="A2969" t="str">
        <f>HYPERLINK("https://www.773grp.com/globalSearch/CY74FCT16240ATPVC/page-1", "CY74FCT16240ATPVC")</f>
        <v>CY74FCT16240ATPVC</v>
      </c>
      <c r="B2969" s="3" t="s">
        <v>90</v>
      </c>
      <c r="C2969" s="5">
        <v>10185</v>
      </c>
      <c r="D2969" s="6">
        <v>4.54</v>
      </c>
      <c r="E2969" t="s">
        <v>12</v>
      </c>
    </row>
    <row r="2970" spans="1:5" x14ac:dyDescent="0.25">
      <c r="A2970" t="str">
        <f>HYPERLINK("https://www.773grp.com/globalSearch/CY74FCT16244ATPVC/page-1", "CY74FCT16244ATPVC")</f>
        <v>CY74FCT16244ATPVC</v>
      </c>
      <c r="B2970" s="3" t="s">
        <v>90</v>
      </c>
      <c r="C2970" s="5">
        <v>4434</v>
      </c>
      <c r="D2970" s="6">
        <v>4.54</v>
      </c>
      <c r="E2970" t="s">
        <v>12</v>
      </c>
    </row>
    <row r="2971" spans="1:5" x14ac:dyDescent="0.25">
      <c r="A2971" t="str">
        <f>HYPERLINK("https://www.773grp.com/globalSearch/CY74FCT16244CTPVC/page-1", "CY74FCT16244CTPVC")</f>
        <v>CY74FCT16244CTPVC</v>
      </c>
      <c r="B2971" s="3" t="s">
        <v>90</v>
      </c>
      <c r="C2971" s="5">
        <v>4974</v>
      </c>
      <c r="D2971" s="6">
        <v>4.54</v>
      </c>
      <c r="E2971" t="s">
        <v>12</v>
      </c>
    </row>
    <row r="2972" spans="1:5" x14ac:dyDescent="0.25">
      <c r="A2972" t="str">
        <f>HYPERLINK("https://www.773grp.com/globalSearch/CY74FCT16244TPVC/page-1", "CY74FCT16244TPVC")</f>
        <v>CY74FCT16244TPVC</v>
      </c>
      <c r="B2972" s="3" t="s">
        <v>90</v>
      </c>
      <c r="C2972" s="5">
        <v>681</v>
      </c>
      <c r="D2972" s="6">
        <v>4.54</v>
      </c>
      <c r="E2972" t="s">
        <v>12</v>
      </c>
    </row>
    <row r="2973" spans="1:5" x14ac:dyDescent="0.25">
      <c r="A2973" t="str">
        <f>HYPERLINK("https://www.773grp.com/globalSearch/CY74FCT162823CTPVC/page-1", "CY74FCT162823CTPVC")</f>
        <v>CY74FCT162823CTPVC</v>
      </c>
      <c r="B2973" s="3" t="s">
        <v>90</v>
      </c>
      <c r="C2973" s="5">
        <v>26100</v>
      </c>
      <c r="D2973" s="6">
        <v>4.54</v>
      </c>
      <c r="E2973" t="s">
        <v>12</v>
      </c>
    </row>
    <row r="2974" spans="1:5" x14ac:dyDescent="0.25">
      <c r="A2974" t="str">
        <f>HYPERLINK("https://www.773grp.com/globalSearch/CY74FCT16373ATPVC/page-1", "CY74FCT16373ATPVC")</f>
        <v>CY74FCT16373ATPVC</v>
      </c>
      <c r="B2974" s="3" t="s">
        <v>90</v>
      </c>
      <c r="C2974" s="5">
        <v>3976</v>
      </c>
      <c r="D2974" s="6">
        <v>4.54</v>
      </c>
      <c r="E2974" t="s">
        <v>12</v>
      </c>
    </row>
    <row r="2975" spans="1:5" x14ac:dyDescent="0.25">
      <c r="A2975" t="str">
        <f>HYPERLINK("https://www.773grp.com/globalSearch/CY74FCT16373CTPVC/page-1", "CY74FCT16373CTPVC")</f>
        <v>CY74FCT16373CTPVC</v>
      </c>
      <c r="B2975" s="3" t="s">
        <v>90</v>
      </c>
      <c r="C2975" s="5">
        <v>20904</v>
      </c>
      <c r="D2975" s="6">
        <v>4.54</v>
      </c>
      <c r="E2975" t="s">
        <v>12</v>
      </c>
    </row>
    <row r="2976" spans="1:5" x14ac:dyDescent="0.25">
      <c r="A2976" t="str">
        <f>HYPERLINK("https://www.773grp.com/globalSearch/CY74FCT16374CTPVC/page-1", "CY74FCT16374CTPVC")</f>
        <v>CY74FCT16374CTPVC</v>
      </c>
      <c r="B2976" s="3" t="s">
        <v>90</v>
      </c>
      <c r="C2976" s="5">
        <v>4272</v>
      </c>
      <c r="D2976" s="6">
        <v>4.54</v>
      </c>
      <c r="E2976" t="s">
        <v>12</v>
      </c>
    </row>
    <row r="2977" spans="1:5" x14ac:dyDescent="0.25">
      <c r="A2977" t="str">
        <f>HYPERLINK("https://www.773grp.com/globalSearch/SN74ABT16373ADL/page-1", "SN74ABT16373ADL")</f>
        <v>SN74ABT16373ADL</v>
      </c>
      <c r="B2977" s="3" t="s">
        <v>90</v>
      </c>
      <c r="C2977" s="5">
        <v>1313</v>
      </c>
      <c r="D2977" s="6">
        <v>4.54</v>
      </c>
      <c r="E2977" t="s">
        <v>12</v>
      </c>
    </row>
    <row r="2978" spans="1:5" x14ac:dyDescent="0.25">
      <c r="A2978" t="str">
        <f>HYPERLINK("https://www.773grp.com/globalSearch/SN74ABT16374ADL/page-1", "SN74ABT16374ADL")</f>
        <v>SN74ABT16374ADL</v>
      </c>
      <c r="B2978" s="3" t="s">
        <v>90</v>
      </c>
      <c r="C2978" s="5">
        <v>600</v>
      </c>
      <c r="D2978" s="6">
        <v>4.54</v>
      </c>
      <c r="E2978" t="s">
        <v>12</v>
      </c>
    </row>
    <row r="2979" spans="1:5" x14ac:dyDescent="0.25">
      <c r="A2979" t="str">
        <f>HYPERLINK("https://www.773grp.com/globalSearch/SN74ABT16540ADGGR/page-1", "SN74ABT16540ADGGR")</f>
        <v>SN74ABT16540ADGGR</v>
      </c>
      <c r="B2979" s="3" t="s">
        <v>90</v>
      </c>
      <c r="C2979" s="5">
        <v>2000</v>
      </c>
      <c r="D2979" s="6">
        <v>4.54</v>
      </c>
      <c r="E2979" t="s">
        <v>12</v>
      </c>
    </row>
    <row r="2980" spans="1:5" x14ac:dyDescent="0.25">
      <c r="A2980" t="str">
        <f>HYPERLINK("https://www.773grp.com/globalSearch/SN74ABT16540ADGVR/page-1", "SN74ABT16540ADGVR")</f>
        <v>SN74ABT16540ADGVR</v>
      </c>
      <c r="B2980" s="3" t="s">
        <v>90</v>
      </c>
      <c r="C2980" s="5">
        <v>2000</v>
      </c>
      <c r="D2980" s="6">
        <v>4.54</v>
      </c>
      <c r="E2980" t="s">
        <v>12</v>
      </c>
    </row>
    <row r="2981" spans="1:5" x14ac:dyDescent="0.25">
      <c r="A2981" t="str">
        <f>HYPERLINK("https://www.773grp.com/globalSearch/SN74ABT623DW/page-1", "SN74ABT623DW")</f>
        <v>SN74ABT623DW</v>
      </c>
      <c r="B2981" s="3" t="s">
        <v>90</v>
      </c>
      <c r="C2981" s="5">
        <v>1517</v>
      </c>
      <c r="D2981" s="6">
        <v>4.54</v>
      </c>
      <c r="E2981" t="s">
        <v>12</v>
      </c>
    </row>
    <row r="2982" spans="1:5" x14ac:dyDescent="0.25">
      <c r="A2982" t="str">
        <f>HYPERLINK("https://www.773grp.com/globalSearch/SN74ABT640DW/page-1", "SN74ABT640DW")</f>
        <v>SN74ABT640DW</v>
      </c>
      <c r="B2982" s="3" t="s">
        <v>90</v>
      </c>
      <c r="C2982" s="5">
        <v>989</v>
      </c>
      <c r="D2982" s="6">
        <v>4.54</v>
      </c>
      <c r="E2982" t="s">
        <v>12</v>
      </c>
    </row>
    <row r="2983" spans="1:5" x14ac:dyDescent="0.25">
      <c r="A2983" t="str">
        <f>HYPERLINK("https://www.773grp.com/globalSearch/SN74ABT640PW/page-1", "SN74ABT640PW")</f>
        <v>SN74ABT640PW</v>
      </c>
      <c r="B2983" s="3" t="s">
        <v>90</v>
      </c>
      <c r="C2983" s="5">
        <v>760</v>
      </c>
      <c r="D2983" s="6">
        <v>4.54</v>
      </c>
      <c r="E2983" t="s">
        <v>12</v>
      </c>
    </row>
    <row r="2984" spans="1:5" x14ac:dyDescent="0.25">
      <c r="A2984" t="str">
        <f>HYPERLINK("https://www.773grp.com/globalSearch/SN74ABT646ADBR/page-1", "SN74ABT646ADBR")</f>
        <v>SN74ABT646ADBR</v>
      </c>
      <c r="B2984" s="3" t="s">
        <v>90</v>
      </c>
      <c r="C2984" s="5">
        <v>9641</v>
      </c>
      <c r="D2984" s="6">
        <v>4.54</v>
      </c>
      <c r="E2984" t="s">
        <v>12</v>
      </c>
    </row>
    <row r="2985" spans="1:5" x14ac:dyDescent="0.25">
      <c r="A2985" t="str">
        <f>HYPERLINK("https://www.773grp.com/globalSearch/SN74ABT646DBR/page-1", "SN74ABT646DBR")</f>
        <v>SN74ABT646DBR</v>
      </c>
      <c r="B2985" s="3" t="s">
        <v>90</v>
      </c>
      <c r="C2985" s="5">
        <v>21743</v>
      </c>
      <c r="D2985" s="6">
        <v>4.54</v>
      </c>
      <c r="E2985" t="s">
        <v>12</v>
      </c>
    </row>
    <row r="2986" spans="1:5" x14ac:dyDescent="0.25">
      <c r="A2986" t="str">
        <f>HYPERLINK("https://www.773grp.com/globalSearch/SN74ABT821ADWR/page-1", "SN74ABT821ADWR")</f>
        <v>SN74ABT821ADWR</v>
      </c>
      <c r="B2986" s="3" t="s">
        <v>90</v>
      </c>
      <c r="C2986" s="5">
        <v>12000</v>
      </c>
      <c r="D2986" s="6">
        <v>4.54</v>
      </c>
      <c r="E2986" t="s">
        <v>12</v>
      </c>
    </row>
    <row r="2987" spans="1:5" x14ac:dyDescent="0.25">
      <c r="A2987" t="str">
        <f>HYPERLINK("https://www.773grp.com/globalSearch/SN74ABTH16245DL/page-1", "SN74ABTH16245DL")</f>
        <v>SN74ABTH16245DL</v>
      </c>
      <c r="B2987" s="3" t="s">
        <v>90</v>
      </c>
      <c r="C2987" s="5">
        <v>641</v>
      </c>
      <c r="D2987" s="6">
        <v>4.54</v>
      </c>
      <c r="E2987" t="s">
        <v>12</v>
      </c>
    </row>
    <row r="2988" spans="1:5" x14ac:dyDescent="0.25">
      <c r="A2988" t="str">
        <f>HYPERLINK("https://www.773grp.com/globalSearch/SN74AC533DW/page-1", "SN74AC533DW")</f>
        <v>SN74AC533DW</v>
      </c>
      <c r="B2988" s="3" t="s">
        <v>90</v>
      </c>
      <c r="C2988" s="5">
        <v>27925</v>
      </c>
      <c r="D2988" s="6">
        <v>4.54</v>
      </c>
      <c r="E2988" t="s">
        <v>12</v>
      </c>
    </row>
    <row r="2989" spans="1:5" x14ac:dyDescent="0.25">
      <c r="A2989" t="str">
        <f>HYPERLINK("https://www.773grp.com/globalSearch/SN74AC533DWG4/page-1", "SN74AC533DWG4")</f>
        <v>SN74AC533DWG4</v>
      </c>
      <c r="B2989" s="3" t="s">
        <v>90</v>
      </c>
      <c r="C2989" s="5">
        <v>500</v>
      </c>
      <c r="D2989" s="6">
        <v>4.54</v>
      </c>
      <c r="E2989" t="s">
        <v>12</v>
      </c>
    </row>
    <row r="2990" spans="1:5" x14ac:dyDescent="0.25">
      <c r="A2990" t="str">
        <f>HYPERLINK("https://www.773grp.com/globalSearch/SN74AC563PW/page-1", "SN74AC563PW")</f>
        <v>SN74AC563PW</v>
      </c>
      <c r="B2990" s="3" t="s">
        <v>90</v>
      </c>
      <c r="C2990" s="5">
        <v>6166</v>
      </c>
      <c r="D2990" s="6">
        <v>4.54</v>
      </c>
      <c r="E2990" t="s">
        <v>12</v>
      </c>
    </row>
    <row r="2991" spans="1:5" x14ac:dyDescent="0.25">
      <c r="A2991" t="str">
        <f>HYPERLINK("https://www.773grp.com/globalSearch/SN74AC564PWR/page-1", "SN74AC564PWR")</f>
        <v>SN74AC564PWR</v>
      </c>
      <c r="B2991" s="3" t="s">
        <v>90</v>
      </c>
      <c r="C2991" s="5">
        <v>3000</v>
      </c>
      <c r="D2991" s="6">
        <v>4.54</v>
      </c>
      <c r="E2991" t="s">
        <v>12</v>
      </c>
    </row>
    <row r="2992" spans="1:5" x14ac:dyDescent="0.25">
      <c r="A2992" t="str">
        <f>HYPERLINK("https://www.773grp.com/globalSearch/SN74AHC16244DL/page-1", "SN74AHC16244DL")</f>
        <v>SN74AHC16244DL</v>
      </c>
      <c r="B2992" s="3" t="s">
        <v>90</v>
      </c>
      <c r="C2992" s="5">
        <v>851</v>
      </c>
      <c r="D2992" s="6">
        <v>4.54</v>
      </c>
      <c r="E2992" t="s">
        <v>12</v>
      </c>
    </row>
    <row r="2993" spans="1:5" x14ac:dyDescent="0.25">
      <c r="A2993" t="str">
        <f>HYPERLINK("https://www.773grp.com/globalSearch/SN74AHC16373DL/page-1", "SN74AHC16373DL")</f>
        <v>SN74AHC16373DL</v>
      </c>
      <c r="B2993" s="3" t="s">
        <v>90</v>
      </c>
      <c r="C2993" s="5">
        <v>2868</v>
      </c>
      <c r="D2993" s="6">
        <v>4.54</v>
      </c>
      <c r="E2993" t="s">
        <v>12</v>
      </c>
    </row>
    <row r="2994" spans="1:5" x14ac:dyDescent="0.25">
      <c r="A2994" t="str">
        <f>HYPERLINK("https://www.773grp.com/globalSearch/SN74AHC16374DL/page-1", "SN74AHC16374DL")</f>
        <v>SN74AHC16374DL</v>
      </c>
      <c r="B2994" s="3" t="s">
        <v>90</v>
      </c>
      <c r="C2994" s="5">
        <v>4899</v>
      </c>
      <c r="D2994" s="6">
        <v>4.54</v>
      </c>
      <c r="E2994" t="s">
        <v>12</v>
      </c>
    </row>
    <row r="2995" spans="1:5" x14ac:dyDescent="0.25">
      <c r="A2995" t="str">
        <f>HYPERLINK("https://www.773grp.com/globalSearch/SN74AHC16541DL/page-1", "SN74AHC16541DL")</f>
        <v>SN74AHC16541DL</v>
      </c>
      <c r="B2995" s="3" t="s">
        <v>90</v>
      </c>
      <c r="C2995" s="5">
        <v>6021</v>
      </c>
      <c r="D2995" s="6">
        <v>4.54</v>
      </c>
      <c r="E2995" t="s">
        <v>12</v>
      </c>
    </row>
    <row r="2996" spans="1:5" x14ac:dyDescent="0.25">
      <c r="A2996" t="str">
        <f>HYPERLINK("https://www.773grp.com/globalSearch/SN74AHCT16240DGGR/page-1", "SN74AHCT16240DGGR")</f>
        <v>SN74AHCT16240DGGR</v>
      </c>
      <c r="B2996" s="3" t="s">
        <v>90</v>
      </c>
      <c r="C2996" s="5">
        <v>4000</v>
      </c>
      <c r="D2996" s="6">
        <v>4.54</v>
      </c>
      <c r="E2996" t="s">
        <v>12</v>
      </c>
    </row>
    <row r="2997" spans="1:5" x14ac:dyDescent="0.25">
      <c r="A2997" t="str">
        <f>HYPERLINK("https://www.773grp.com/globalSearch/SN74AHCT16240DGVR/page-1", "SN74AHCT16240DGVR")</f>
        <v>SN74AHCT16240DGVR</v>
      </c>
      <c r="B2997" s="3" t="s">
        <v>90</v>
      </c>
      <c r="C2997" s="5">
        <v>2000</v>
      </c>
      <c r="D2997" s="6">
        <v>4.54</v>
      </c>
      <c r="E2997" t="s">
        <v>12</v>
      </c>
    </row>
    <row r="2998" spans="1:5" x14ac:dyDescent="0.25">
      <c r="A2998" t="str">
        <f>HYPERLINK("https://www.773grp.com/globalSearch/SN74AHCT16244DGGR/page-1", "SN74AHCT16244DGGR")</f>
        <v>SN74AHCT16244DGGR</v>
      </c>
      <c r="B2998" s="3" t="s">
        <v>90</v>
      </c>
      <c r="C2998" s="5">
        <v>4000</v>
      </c>
      <c r="D2998" s="6">
        <v>4.54</v>
      </c>
      <c r="E2998" t="s">
        <v>12</v>
      </c>
    </row>
    <row r="2999" spans="1:5" x14ac:dyDescent="0.25">
      <c r="A2999" t="str">
        <f>HYPERLINK("https://www.773grp.com/globalSearch/SN74AHCT16244DGVR/page-1", "SN74AHCT16244DGVR")</f>
        <v>SN74AHCT16244DGVR</v>
      </c>
      <c r="B2999" s="3" t="s">
        <v>90</v>
      </c>
      <c r="C2999" s="5">
        <v>5590</v>
      </c>
      <c r="D2999" s="6">
        <v>4.54</v>
      </c>
      <c r="E2999" t="s">
        <v>12</v>
      </c>
    </row>
    <row r="3000" spans="1:5" x14ac:dyDescent="0.25">
      <c r="A3000" t="str">
        <f>HYPERLINK("https://www.773grp.com/globalSearch/SN74AHCT16245DGGR/page-1", "SN74AHCT16245DGGR")</f>
        <v>SN74AHCT16245DGGR</v>
      </c>
      <c r="B3000" s="3" t="s">
        <v>90</v>
      </c>
      <c r="C3000" s="5">
        <v>2000</v>
      </c>
      <c r="D3000" s="6">
        <v>4.54</v>
      </c>
      <c r="E3000" t="s">
        <v>12</v>
      </c>
    </row>
    <row r="3001" spans="1:5" x14ac:dyDescent="0.25">
      <c r="A3001" t="str">
        <f>HYPERLINK("https://www.773grp.com/globalSearch/SN74AHCT16245DGVR/page-1", "SN74AHCT16245DGVR")</f>
        <v>SN74AHCT16245DGVR</v>
      </c>
      <c r="B3001" s="3" t="s">
        <v>90</v>
      </c>
      <c r="C3001" s="5">
        <v>2000</v>
      </c>
      <c r="D3001" s="6">
        <v>4.54</v>
      </c>
      <c r="E3001" t="s">
        <v>12</v>
      </c>
    </row>
    <row r="3002" spans="1:5" x14ac:dyDescent="0.25">
      <c r="A3002" t="str">
        <f>HYPERLINK("https://www.773grp.com/globalSearch/SN74AHCT16373DGGR/page-1", "SN74AHCT16373DGGR")</f>
        <v>SN74AHCT16373DGGR</v>
      </c>
      <c r="B3002" s="3" t="s">
        <v>90</v>
      </c>
      <c r="C3002" s="5">
        <v>17161</v>
      </c>
      <c r="D3002" s="6">
        <v>4.54</v>
      </c>
      <c r="E3002" t="s">
        <v>12</v>
      </c>
    </row>
    <row r="3003" spans="1:5" x14ac:dyDescent="0.25">
      <c r="A3003" t="str">
        <f>HYPERLINK("https://www.773grp.com/globalSearch/SN74AHCT16373DGVR/page-1", "SN74AHCT16373DGVR")</f>
        <v>SN74AHCT16373DGVR</v>
      </c>
      <c r="B3003" s="3" t="s">
        <v>90</v>
      </c>
      <c r="C3003" s="5">
        <v>939</v>
      </c>
      <c r="D3003" s="6">
        <v>4.54</v>
      </c>
      <c r="E3003" t="s">
        <v>12</v>
      </c>
    </row>
    <row r="3004" spans="1:5" x14ac:dyDescent="0.25">
      <c r="A3004" t="str">
        <f>HYPERLINK("https://www.773grp.com/globalSearch/SN74AHCT16374DGGR/page-1", "SN74AHCT16374DGGR")</f>
        <v>SN74AHCT16374DGGR</v>
      </c>
      <c r="B3004" s="3" t="s">
        <v>90</v>
      </c>
      <c r="C3004" s="5">
        <v>4000</v>
      </c>
      <c r="D3004" s="6">
        <v>4.54</v>
      </c>
      <c r="E3004" t="s">
        <v>12</v>
      </c>
    </row>
    <row r="3005" spans="1:5" x14ac:dyDescent="0.25">
      <c r="A3005" t="str">
        <f>HYPERLINK("https://www.773grp.com/globalSearch/SN74AHCT16374DGVR/page-1", "SN74AHCT16374DGVR")</f>
        <v>SN74AHCT16374DGVR</v>
      </c>
      <c r="B3005" s="3" t="s">
        <v>90</v>
      </c>
      <c r="C3005" s="5">
        <v>2000</v>
      </c>
      <c r="D3005" s="6">
        <v>4.54</v>
      </c>
      <c r="E3005" t="s">
        <v>12</v>
      </c>
    </row>
    <row r="3006" spans="1:5" x14ac:dyDescent="0.25">
      <c r="A3006" t="str">
        <f>HYPERLINK("https://www.773grp.com/globalSearch/SN74ALS541-1DW/page-1", "SN74ALS541-1DW")</f>
        <v>SN74ALS541-1DW</v>
      </c>
      <c r="B3006" s="3" t="s">
        <v>90</v>
      </c>
      <c r="C3006" s="5">
        <v>6437</v>
      </c>
      <c r="D3006" s="6">
        <v>4.54</v>
      </c>
      <c r="E3006" t="s">
        <v>12</v>
      </c>
    </row>
    <row r="3007" spans="1:5" x14ac:dyDescent="0.25">
      <c r="A3007" t="str">
        <f>HYPERLINK("https://www.773grp.com/globalSearch/SN74ALS541DW/page-1", "SN74ALS541DW")</f>
        <v>SN74ALS541DW</v>
      </c>
      <c r="B3007" s="3" t="s">
        <v>90</v>
      </c>
      <c r="C3007" s="5">
        <v>41977</v>
      </c>
      <c r="D3007" s="6">
        <v>4.54</v>
      </c>
      <c r="E3007" t="s">
        <v>12</v>
      </c>
    </row>
    <row r="3008" spans="1:5" x14ac:dyDescent="0.25">
      <c r="A3008" t="str">
        <f>HYPERLINK("https://www.773grp.com/globalSearch/SN74ALVCH162827DGGR/page-1", "SN74ALVCH162827DGGR")</f>
        <v>SN74ALVCH162827DGGR</v>
      </c>
      <c r="B3008" s="3" t="s">
        <v>90</v>
      </c>
      <c r="C3008" s="5">
        <v>45900</v>
      </c>
      <c r="D3008" s="6">
        <v>4.54</v>
      </c>
      <c r="E3008" t="s">
        <v>12</v>
      </c>
    </row>
    <row r="3009" spans="1:5" x14ac:dyDescent="0.25">
      <c r="A3009" t="str">
        <f>HYPERLINK("https://www.773grp.com/globalSearch/SN74ALVCH16835DGG/page-1", "SN74ALVCH16835DGG")</f>
        <v>SN74ALVCH16835DGG</v>
      </c>
      <c r="B3009" s="3" t="s">
        <v>90</v>
      </c>
      <c r="C3009" s="5">
        <v>58695</v>
      </c>
      <c r="D3009" s="6">
        <v>4.54</v>
      </c>
      <c r="E3009" t="s">
        <v>12</v>
      </c>
    </row>
    <row r="3010" spans="1:5" x14ac:dyDescent="0.25">
      <c r="A3010" t="str">
        <f>HYPERLINK("https://www.773grp.com/globalSearch/SN74ALVCH16835DL/page-1", "SN74ALVCH16835DL")</f>
        <v>SN74ALVCH16835DL</v>
      </c>
      <c r="B3010" s="3" t="s">
        <v>90</v>
      </c>
      <c r="C3010" s="5">
        <v>2614</v>
      </c>
      <c r="D3010" s="6">
        <v>4.54</v>
      </c>
      <c r="E3010" t="s">
        <v>12</v>
      </c>
    </row>
    <row r="3011" spans="1:5" x14ac:dyDescent="0.25">
      <c r="A3011" t="str">
        <f>HYPERLINK("https://www.773grp.com/globalSearch/SN74ALVTH16245DL/page-1", "SN74ALVTH16245DL")</f>
        <v>SN74ALVTH16245DL</v>
      </c>
      <c r="B3011" s="3" t="s">
        <v>90</v>
      </c>
      <c r="C3011" s="5">
        <v>119</v>
      </c>
      <c r="D3011" s="6">
        <v>4.54</v>
      </c>
      <c r="E3011" t="s">
        <v>12</v>
      </c>
    </row>
    <row r="3012" spans="1:5" x14ac:dyDescent="0.25">
      <c r="A3012" t="str">
        <f>HYPERLINK("https://www.773grp.com/globalSearch/SN74CB3T3384DW/page-1", "SN74CB3T3384DW")</f>
        <v>SN74CB3T3384DW</v>
      </c>
      <c r="B3012" s="3" t="s">
        <v>90</v>
      </c>
      <c r="C3012" s="5">
        <v>23085</v>
      </c>
      <c r="D3012" s="6">
        <v>4.54</v>
      </c>
      <c r="E3012" t="s">
        <v>12</v>
      </c>
    </row>
    <row r="3013" spans="1:5" x14ac:dyDescent="0.25">
      <c r="A3013" t="str">
        <f>HYPERLINK("https://www.773grp.com/globalSearch/SN74CB3T3384PW/page-1", "SN74CB3T3384PW")</f>
        <v>SN74CB3T3384PW</v>
      </c>
      <c r="B3013" s="3" t="s">
        <v>90</v>
      </c>
      <c r="C3013" s="5">
        <v>1050</v>
      </c>
      <c r="D3013" s="6">
        <v>4.54</v>
      </c>
      <c r="E3013" t="s">
        <v>12</v>
      </c>
    </row>
    <row r="3014" spans="1:5" x14ac:dyDescent="0.25">
      <c r="A3014" t="str">
        <f>HYPERLINK("https://www.773grp.com/globalSearch/SN74CBT16209ADGVR/page-1", "SN74CBT16209ADGVR")</f>
        <v>SN74CBT16209ADGVR</v>
      </c>
      <c r="B3014" s="3" t="s">
        <v>90</v>
      </c>
      <c r="C3014" s="5">
        <v>8000</v>
      </c>
      <c r="D3014" s="6">
        <v>4.54</v>
      </c>
      <c r="E3014" t="s">
        <v>12</v>
      </c>
    </row>
    <row r="3015" spans="1:5" x14ac:dyDescent="0.25">
      <c r="A3015" t="str">
        <f>HYPERLINK("https://www.773grp.com/globalSearch/SN74CBT16210CDL/page-1", "SN74CBT16210CDL")</f>
        <v>SN74CBT16210CDL</v>
      </c>
      <c r="B3015" s="3" t="s">
        <v>90</v>
      </c>
      <c r="C3015" s="5">
        <v>5005</v>
      </c>
      <c r="D3015" s="6">
        <v>4.54</v>
      </c>
      <c r="E3015" t="s">
        <v>12</v>
      </c>
    </row>
    <row r="3016" spans="1:5" x14ac:dyDescent="0.25">
      <c r="A3016" t="str">
        <f>HYPERLINK("https://www.773grp.com/globalSearch/SN74CBT16210DL/page-1", "SN74CBT16210DL")</f>
        <v>SN74CBT16210DL</v>
      </c>
      <c r="B3016" s="3" t="s">
        <v>90</v>
      </c>
      <c r="C3016" s="5">
        <v>1460</v>
      </c>
      <c r="D3016" s="6">
        <v>4.54</v>
      </c>
      <c r="E3016" t="s">
        <v>12</v>
      </c>
    </row>
    <row r="3017" spans="1:5" x14ac:dyDescent="0.25">
      <c r="A3017" t="str">
        <f>HYPERLINK("https://www.773grp.com/globalSearch/SN74CBT16211ADGVR/page-1", "SN74CBT16211ADGVR")</f>
        <v>SN74CBT16211ADGVR</v>
      </c>
      <c r="B3017" s="3" t="s">
        <v>90</v>
      </c>
      <c r="C3017" s="5">
        <v>5129</v>
      </c>
      <c r="D3017" s="6">
        <v>4.54</v>
      </c>
      <c r="E3017" t="s">
        <v>12</v>
      </c>
    </row>
    <row r="3018" spans="1:5" x14ac:dyDescent="0.25">
      <c r="A3018" t="str">
        <f>HYPERLINK("https://www.773grp.com/globalSearch/SN74CBT16211CDL/page-1", "SN74CBT16211CDL")</f>
        <v>SN74CBT16211CDL</v>
      </c>
      <c r="B3018" s="3" t="s">
        <v>90</v>
      </c>
      <c r="C3018" s="5">
        <v>6370</v>
      </c>
      <c r="D3018" s="6">
        <v>4.54</v>
      </c>
      <c r="E3018" t="s">
        <v>12</v>
      </c>
    </row>
    <row r="3019" spans="1:5" x14ac:dyDescent="0.25">
      <c r="A3019" t="str">
        <f>HYPERLINK("https://www.773grp.com/globalSearch/SN74CBT16212ADGGR/page-1", "SN74CBT16212ADGGR")</f>
        <v>SN74CBT16212ADGGR</v>
      </c>
      <c r="B3019" s="3" t="s">
        <v>90</v>
      </c>
      <c r="C3019" s="5">
        <v>318734</v>
      </c>
      <c r="D3019" s="6">
        <v>4.54</v>
      </c>
      <c r="E3019" t="s">
        <v>12</v>
      </c>
    </row>
    <row r="3020" spans="1:5" x14ac:dyDescent="0.25">
      <c r="A3020" t="str">
        <f>HYPERLINK("https://www.773grp.com/globalSearch/SN74CBT16212ADGVR/page-1", "SN74CBT16212ADGVR")</f>
        <v>SN74CBT16212ADGVR</v>
      </c>
      <c r="B3020" s="3" t="s">
        <v>90</v>
      </c>
      <c r="C3020" s="5">
        <v>2000</v>
      </c>
      <c r="D3020" s="6">
        <v>4.54</v>
      </c>
      <c r="E3020" t="s">
        <v>12</v>
      </c>
    </row>
    <row r="3021" spans="1:5" x14ac:dyDescent="0.25">
      <c r="A3021" t="str">
        <f>HYPERLINK("https://www.773grp.com/globalSearch/SN74CBT16212CDLR/page-1", "SN74CBT16212CDLR")</f>
        <v>SN74CBT16212CDLR</v>
      </c>
      <c r="B3021" s="3" t="s">
        <v>90</v>
      </c>
      <c r="C3021" s="5">
        <v>6000</v>
      </c>
      <c r="D3021" s="6">
        <v>4.54</v>
      </c>
      <c r="E3021" t="s">
        <v>12</v>
      </c>
    </row>
    <row r="3022" spans="1:5" x14ac:dyDescent="0.25">
      <c r="A3022" t="str">
        <f>HYPERLINK("https://www.773grp.com/globalSearch/SN74CBT16213DLR/page-1", "SN74CBT16213DLR")</f>
        <v>SN74CBT16213DLR</v>
      </c>
      <c r="B3022" s="3" t="s">
        <v>90</v>
      </c>
      <c r="C3022" s="5">
        <v>6500</v>
      </c>
      <c r="D3022" s="6">
        <v>4.54</v>
      </c>
      <c r="E3022" t="s">
        <v>12</v>
      </c>
    </row>
    <row r="3023" spans="1:5" x14ac:dyDescent="0.25">
      <c r="A3023" t="str">
        <f>HYPERLINK("https://www.773grp.com/globalSearch/SN74CBTLV3245DBR/page-1", "SN74CBTLV3245DBR")</f>
        <v>SN74CBTLV3245DBR</v>
      </c>
      <c r="B3023" s="3" t="s">
        <v>90</v>
      </c>
      <c r="C3023" s="5">
        <v>6000</v>
      </c>
      <c r="D3023" s="6">
        <v>4.54</v>
      </c>
      <c r="E3023" t="s">
        <v>12</v>
      </c>
    </row>
    <row r="3024" spans="1:5" x14ac:dyDescent="0.25">
      <c r="A3024" t="str">
        <f>HYPERLINK("https://www.773grp.com/globalSearch/SN74CBTLV3245DW/page-1", "SN74CBTLV3245DW")</f>
        <v>SN74CBTLV3245DW</v>
      </c>
      <c r="B3024" s="3" t="s">
        <v>90</v>
      </c>
      <c r="C3024" s="5">
        <v>1811</v>
      </c>
      <c r="D3024" s="6">
        <v>4.54</v>
      </c>
      <c r="E3024" t="s">
        <v>12</v>
      </c>
    </row>
    <row r="3025" spans="1:5" x14ac:dyDescent="0.25">
      <c r="A3025" t="str">
        <f>HYPERLINK("https://www.773grp.com/globalSearch/SN74CBTLV3245DWR/page-1", "SN74CBTLV3245DWR")</f>
        <v>SN74CBTLV3245DWR</v>
      </c>
      <c r="B3025" s="3" t="s">
        <v>90</v>
      </c>
      <c r="C3025" s="5">
        <v>6000</v>
      </c>
      <c r="D3025" s="6">
        <v>4.54</v>
      </c>
      <c r="E3025" t="s">
        <v>12</v>
      </c>
    </row>
    <row r="3026" spans="1:5" x14ac:dyDescent="0.25">
      <c r="A3026" t="str">
        <f>HYPERLINK("https://www.773grp.com/globalSearch/SN74LS640DWR/page-1", "SN74LS640DWR")</f>
        <v>SN74LS640DWR</v>
      </c>
      <c r="B3026" s="3" t="s">
        <v>90</v>
      </c>
      <c r="C3026" s="5">
        <v>1550</v>
      </c>
      <c r="D3026" s="6">
        <v>4.54</v>
      </c>
      <c r="E3026" t="s">
        <v>12</v>
      </c>
    </row>
    <row r="3027" spans="1:5" x14ac:dyDescent="0.25">
      <c r="A3027" t="str">
        <f>HYPERLINK("https://www.773grp.com/globalSearch/SN74LVC16244AGQLR/page-1", "SN74LVC16244AGQLR")</f>
        <v>SN74LVC16244AGQLR</v>
      </c>
      <c r="B3027" s="3" t="s">
        <v>90</v>
      </c>
      <c r="C3027" s="5">
        <v>21825</v>
      </c>
      <c r="D3027" s="6">
        <v>4.54</v>
      </c>
      <c r="E3027" t="s">
        <v>12</v>
      </c>
    </row>
    <row r="3028" spans="1:5" x14ac:dyDescent="0.25">
      <c r="A3028" t="str">
        <f>HYPERLINK("https://www.773grp.com/globalSearch/SN74LVC16244AZQLR/page-1", "SN74LVC16244AZQLR")</f>
        <v>SN74LVC16244AZQLR</v>
      </c>
      <c r="B3028" s="3" t="s">
        <v>90</v>
      </c>
      <c r="C3028" s="5">
        <v>9002</v>
      </c>
      <c r="D3028" s="6">
        <v>4.54</v>
      </c>
      <c r="E3028" t="s">
        <v>12</v>
      </c>
    </row>
    <row r="3029" spans="1:5" x14ac:dyDescent="0.25">
      <c r="A3029" t="str">
        <f>HYPERLINK("https://www.773grp.com/globalSearch/SN74LVC16244AZRDR/page-1", "SN74LVC16244AZRDR")</f>
        <v>SN74LVC16244AZRDR</v>
      </c>
      <c r="B3029" s="3" t="s">
        <v>90</v>
      </c>
      <c r="C3029" s="5">
        <v>1080</v>
      </c>
      <c r="D3029" s="6">
        <v>4.54</v>
      </c>
      <c r="E3029" t="s">
        <v>12</v>
      </c>
    </row>
    <row r="3030" spans="1:5" x14ac:dyDescent="0.25">
      <c r="A3030" t="str">
        <f>HYPERLINK("https://www.773grp.com/globalSearch/SN74LVC16373AZRDR/page-1", "SN74LVC16373AZRDR")</f>
        <v>SN74LVC16373AZRDR</v>
      </c>
      <c r="B3030" s="3" t="s">
        <v>90</v>
      </c>
      <c r="C3030" s="5">
        <v>170000</v>
      </c>
      <c r="D3030" s="6">
        <v>4.54</v>
      </c>
      <c r="E3030" t="s">
        <v>12</v>
      </c>
    </row>
    <row r="3031" spans="1:5" x14ac:dyDescent="0.25">
      <c r="A3031" t="str">
        <f>HYPERLINK("https://www.773grp.com/globalSearch/SN74LVCH16244AGQLR/page-1", "SN74LVCH16244AGQLR")</f>
        <v>SN74LVCH16244AGQLR</v>
      </c>
      <c r="B3031" s="3" t="s">
        <v>90</v>
      </c>
      <c r="C3031" s="5">
        <v>19000</v>
      </c>
      <c r="D3031" s="6">
        <v>4.54</v>
      </c>
      <c r="E3031" t="s">
        <v>12</v>
      </c>
    </row>
    <row r="3032" spans="1:5" x14ac:dyDescent="0.25">
      <c r="A3032" t="str">
        <f>HYPERLINK("https://www.773grp.com/globalSearch/SN74LVCH16244AGRDR/page-1", "SN74LVCH16244AGRDR")</f>
        <v>SN74LVCH16244AGRDR</v>
      </c>
      <c r="B3032" s="3" t="s">
        <v>90</v>
      </c>
      <c r="C3032" s="5">
        <v>4000</v>
      </c>
      <c r="D3032" s="6">
        <v>4.54</v>
      </c>
      <c r="E3032" t="s">
        <v>12</v>
      </c>
    </row>
    <row r="3033" spans="1:5" x14ac:dyDescent="0.25">
      <c r="A3033" t="str">
        <f>HYPERLINK("https://www.773grp.com/globalSearch/SN74LVCH16244AZQLR/page-1", "SN74LVCH16244AZQLR")</f>
        <v>SN74LVCH16244AZQLR</v>
      </c>
      <c r="B3033" s="3" t="s">
        <v>90</v>
      </c>
      <c r="C3033" s="5">
        <v>963</v>
      </c>
      <c r="D3033" s="6">
        <v>4.54</v>
      </c>
      <c r="E3033" t="s">
        <v>12</v>
      </c>
    </row>
    <row r="3034" spans="1:5" x14ac:dyDescent="0.25">
      <c r="A3034" t="str">
        <f>HYPERLINK("https://www.773grp.com/globalSearch/SN74LVCH16245AGQLR/page-1", "SN74LVCH16245AGQLR")</f>
        <v>SN74LVCH16245AGQLR</v>
      </c>
      <c r="B3034" s="3" t="s">
        <v>90</v>
      </c>
      <c r="C3034" s="5">
        <v>12950</v>
      </c>
      <c r="D3034" s="6">
        <v>4.54</v>
      </c>
      <c r="E3034" t="s">
        <v>12</v>
      </c>
    </row>
    <row r="3035" spans="1:5" x14ac:dyDescent="0.25">
      <c r="A3035" t="str">
        <f>HYPERLINK("https://www.773grp.com/globalSearch/SN74LVCH16245AGRDR/page-1", "SN74LVCH16245AGRDR")</f>
        <v>SN74LVCH16245AGRDR</v>
      </c>
      <c r="B3035" s="3" t="s">
        <v>90</v>
      </c>
      <c r="C3035" s="5">
        <v>29000</v>
      </c>
      <c r="D3035" s="6">
        <v>4.54</v>
      </c>
      <c r="E3035" t="s">
        <v>12</v>
      </c>
    </row>
    <row r="3036" spans="1:5" x14ac:dyDescent="0.25">
      <c r="A3036" t="str">
        <f>HYPERLINK("https://www.773grp.com/globalSearch/SN74LVCH16245AZQLR/page-1", "SN74LVCH16245AZQLR")</f>
        <v>SN74LVCH16245AZQLR</v>
      </c>
      <c r="B3036" s="3" t="s">
        <v>90</v>
      </c>
      <c r="C3036" s="5">
        <v>12072</v>
      </c>
      <c r="D3036" s="6">
        <v>4.54</v>
      </c>
      <c r="E3036" t="s">
        <v>12</v>
      </c>
    </row>
    <row r="3037" spans="1:5" x14ac:dyDescent="0.25">
      <c r="A3037" t="str">
        <f>HYPERLINK("https://www.773grp.com/globalSearch/SN74LVCH16373AZRDR/page-1", "SN74LVCH16373AZRDR")</f>
        <v>SN74LVCH16373AZRDR</v>
      </c>
      <c r="B3037" s="3" t="s">
        <v>90</v>
      </c>
      <c r="C3037" s="5">
        <v>3000</v>
      </c>
      <c r="D3037" s="6">
        <v>4.54</v>
      </c>
      <c r="E3037" t="s">
        <v>12</v>
      </c>
    </row>
    <row r="3038" spans="1:5" x14ac:dyDescent="0.25">
      <c r="A3038" t="str">
        <f>HYPERLINK("https://www.773grp.com/globalSearch/SN74LVCH16374AGQLR/page-1", "SN74LVCH16374AGQLR")</f>
        <v>SN74LVCH16374AGQLR</v>
      </c>
      <c r="B3038" s="3" t="s">
        <v>90</v>
      </c>
      <c r="C3038" s="5">
        <v>12000</v>
      </c>
      <c r="D3038" s="6">
        <v>4.54</v>
      </c>
      <c r="E3038" t="s">
        <v>12</v>
      </c>
    </row>
    <row r="3039" spans="1:5" x14ac:dyDescent="0.25">
      <c r="A3039" t="str">
        <f>HYPERLINK("https://www.773grp.com/globalSearch/SN74LVCH16541ADL/page-1", "SN74LVCH16541ADL")</f>
        <v>SN74LVCH16541ADL</v>
      </c>
      <c r="B3039" s="3" t="s">
        <v>90</v>
      </c>
      <c r="C3039" s="5">
        <v>3254</v>
      </c>
      <c r="D3039" s="6">
        <v>4.54</v>
      </c>
      <c r="E3039" t="s">
        <v>12</v>
      </c>
    </row>
    <row r="3040" spans="1:5" x14ac:dyDescent="0.25">
      <c r="A3040" t="str">
        <f>HYPERLINK("https://www.773grp.com/globalSearch/SN74LVCHR162245ADL/page-1", "SN74LVCHR162245ADL")</f>
        <v>SN74LVCHR162245ADL</v>
      </c>
      <c r="B3040" s="3" t="s">
        <v>90</v>
      </c>
      <c r="C3040" s="5">
        <v>1281</v>
      </c>
      <c r="D3040" s="6">
        <v>4.54</v>
      </c>
      <c r="E3040" t="s">
        <v>12</v>
      </c>
    </row>
    <row r="3041" spans="1:5" x14ac:dyDescent="0.25">
      <c r="A3041" t="str">
        <f>HYPERLINK("https://www.773grp.com/globalSearch/SN74LVCHR16245ALR/page-1", "SN74LVCHR16245ALR")</f>
        <v>SN74LVCHR16245ALR</v>
      </c>
      <c r="B3041" s="3" t="s">
        <v>90</v>
      </c>
      <c r="C3041" s="5">
        <v>32750</v>
      </c>
      <c r="D3041" s="6">
        <v>4.54</v>
      </c>
      <c r="E3041" t="s">
        <v>12</v>
      </c>
    </row>
    <row r="3042" spans="1:5" x14ac:dyDescent="0.25">
      <c r="A3042" t="str">
        <f>HYPERLINK("https://www.773grp.com/globalSearch/SN74LVT162240DGG/page-1", "SN74LVT162240DGG")</f>
        <v>SN74LVT162240DGG</v>
      </c>
      <c r="B3042" s="3" t="s">
        <v>90</v>
      </c>
      <c r="C3042" s="5">
        <v>1400</v>
      </c>
      <c r="D3042" s="6">
        <v>4.54</v>
      </c>
      <c r="E3042" t="s">
        <v>12</v>
      </c>
    </row>
    <row r="3043" spans="1:5" x14ac:dyDescent="0.25">
      <c r="A3043" t="str">
        <f>HYPERLINK("https://www.773grp.com/globalSearch/SN74LVT162240DGGR/page-1", "SN74LVT162240DGGR")</f>
        <v>SN74LVT162240DGGR</v>
      </c>
      <c r="B3043" s="3" t="s">
        <v>90</v>
      </c>
      <c r="C3043" s="5">
        <v>13874</v>
      </c>
      <c r="D3043" s="6">
        <v>4.54</v>
      </c>
      <c r="E3043" t="s">
        <v>12</v>
      </c>
    </row>
    <row r="3044" spans="1:5" x14ac:dyDescent="0.25">
      <c r="A3044" t="str">
        <f>HYPERLINK("https://www.773grp.com/globalSearch/SN74LVT162240DGVR/page-1", "SN74LVT162240DGVR")</f>
        <v>SN74LVT162240DGVR</v>
      </c>
      <c r="B3044" s="3" t="s">
        <v>90</v>
      </c>
      <c r="C3044" s="5">
        <v>3975</v>
      </c>
      <c r="D3044" s="6">
        <v>4.54</v>
      </c>
      <c r="E3044" t="s">
        <v>12</v>
      </c>
    </row>
    <row r="3045" spans="1:5" x14ac:dyDescent="0.25">
      <c r="A3045" t="str">
        <f>HYPERLINK("https://www.773grp.com/globalSearch/SN74LVT162244ADGVR/page-1", "SN74LVT162244ADGVR")</f>
        <v>SN74LVT162244ADGVR</v>
      </c>
      <c r="B3045" s="3" t="s">
        <v>90</v>
      </c>
      <c r="C3045" s="5">
        <v>11000</v>
      </c>
      <c r="D3045" s="6">
        <v>4.54</v>
      </c>
      <c r="E3045" t="s">
        <v>12</v>
      </c>
    </row>
    <row r="3046" spans="1:5" x14ac:dyDescent="0.25">
      <c r="A3046" t="str">
        <f>HYPERLINK("https://www.773grp.com/globalSearch/SN74LVT162245ADGGR/page-1", "SN74LVT162245ADGGR")</f>
        <v>SN74LVT162245ADGGR</v>
      </c>
      <c r="B3046" s="3" t="s">
        <v>90</v>
      </c>
      <c r="C3046" s="5">
        <v>54000</v>
      </c>
      <c r="D3046" s="6">
        <v>4.54</v>
      </c>
      <c r="E3046" t="s">
        <v>12</v>
      </c>
    </row>
    <row r="3047" spans="1:5" x14ac:dyDescent="0.25">
      <c r="A3047" t="str">
        <f>HYPERLINK("https://www.773grp.com/globalSearch/SN74LVT16240DGGR/page-1", "SN74LVT16240DGGR")</f>
        <v>SN74LVT16240DGGR</v>
      </c>
      <c r="B3047" s="3" t="s">
        <v>90</v>
      </c>
      <c r="C3047" s="5">
        <v>5500</v>
      </c>
      <c r="D3047" s="6">
        <v>4.54</v>
      </c>
      <c r="E3047" t="s">
        <v>12</v>
      </c>
    </row>
    <row r="3048" spans="1:5" x14ac:dyDescent="0.25">
      <c r="A3048" t="str">
        <f>HYPERLINK("https://www.773grp.com/globalSearch/SN74LVT16244BDGGR/page-1", "SN74LVT16244BDGGR")</f>
        <v>SN74LVT16244BDGGR</v>
      </c>
      <c r="B3048" s="3" t="s">
        <v>90</v>
      </c>
      <c r="C3048" s="5">
        <v>36000</v>
      </c>
      <c r="D3048" s="6">
        <v>4.54</v>
      </c>
      <c r="E3048" t="s">
        <v>12</v>
      </c>
    </row>
    <row r="3049" spans="1:5" x14ac:dyDescent="0.25">
      <c r="A3049" t="str">
        <f>HYPERLINK("https://www.773grp.com/globalSearch/SN74LVTH162374DL/page-1", "SN74LVTH162374DL")</f>
        <v>SN74LVTH162374DL</v>
      </c>
      <c r="B3049" s="3" t="s">
        <v>90</v>
      </c>
      <c r="C3049" s="5">
        <v>13033</v>
      </c>
      <c r="D3049" s="6">
        <v>4.54</v>
      </c>
      <c r="E3049" t="s">
        <v>12</v>
      </c>
    </row>
    <row r="3050" spans="1:5" x14ac:dyDescent="0.25">
      <c r="A3050" t="str">
        <f>HYPERLINK("https://www.773grp.com/globalSearch/SN74LVTH16244ADL/page-1", "SN74LVTH16244ADL")</f>
        <v>SN74LVTH16244ADL</v>
      </c>
      <c r="B3050" s="3" t="s">
        <v>90</v>
      </c>
      <c r="C3050" s="5">
        <v>5308</v>
      </c>
      <c r="D3050" s="6">
        <v>4.54</v>
      </c>
      <c r="E3050" t="s">
        <v>12</v>
      </c>
    </row>
    <row r="3051" spans="1:5" x14ac:dyDescent="0.25">
      <c r="A3051" t="str">
        <f>HYPERLINK("https://www.773grp.com/globalSearch/SN74LVTH16245AGQLR/page-1", "SN74LVTH16245AGQLR")</f>
        <v>SN74LVTH16245AGQLR</v>
      </c>
      <c r="B3051" s="3" t="s">
        <v>90</v>
      </c>
      <c r="C3051" s="5">
        <v>9000</v>
      </c>
      <c r="D3051" s="6">
        <v>4.54</v>
      </c>
      <c r="E3051" t="s">
        <v>12</v>
      </c>
    </row>
    <row r="3052" spans="1:5" x14ac:dyDescent="0.25">
      <c r="A3052" t="str">
        <f>HYPERLINK("https://www.773grp.com/globalSearch/SN74LVTH16245AGRDR/page-1", "SN74LVTH16245AGRDR")</f>
        <v>SN74LVTH16245AGRDR</v>
      </c>
      <c r="B3052" s="3" t="s">
        <v>90</v>
      </c>
      <c r="C3052" s="5">
        <v>5800</v>
      </c>
      <c r="D3052" s="6">
        <v>4.54</v>
      </c>
      <c r="E3052" t="s">
        <v>12</v>
      </c>
    </row>
    <row r="3053" spans="1:5" x14ac:dyDescent="0.25">
      <c r="A3053" t="str">
        <f>HYPERLINK("https://www.773grp.com/globalSearch/SN74LVTH16245AZQLR/page-1", "SN74LVTH16245AZQLR")</f>
        <v>SN74LVTH16245AZQLR</v>
      </c>
      <c r="B3053" s="3" t="s">
        <v>90</v>
      </c>
      <c r="C3053" s="5">
        <v>25000</v>
      </c>
      <c r="D3053" s="6">
        <v>4.54</v>
      </c>
      <c r="E3053" t="s">
        <v>12</v>
      </c>
    </row>
    <row r="3054" spans="1:5" x14ac:dyDescent="0.25">
      <c r="A3054" t="str">
        <f>HYPERLINK("https://www.773grp.com/globalSearch/SN74LVTH16245AZRDR/page-1", "SN74LVTH16245AZRDR")</f>
        <v>SN74LVTH16245AZRDR</v>
      </c>
      <c r="B3054" s="3" t="s">
        <v>90</v>
      </c>
      <c r="C3054" s="5">
        <v>6700</v>
      </c>
      <c r="D3054" s="6">
        <v>4.54</v>
      </c>
      <c r="E3054" t="s">
        <v>12</v>
      </c>
    </row>
    <row r="3055" spans="1:5" x14ac:dyDescent="0.25">
      <c r="A3055" t="str">
        <f>HYPERLINK("https://www.773grp.com/globalSearch/SN74LVTH16373DGGR/page-1", "SN74LVTH16373DGGR")</f>
        <v>SN74LVTH16373DGGR</v>
      </c>
      <c r="B3055" s="3" t="s">
        <v>90</v>
      </c>
      <c r="C3055" s="5">
        <v>5103</v>
      </c>
      <c r="D3055" s="6">
        <v>4.54</v>
      </c>
      <c r="E3055" t="s">
        <v>12</v>
      </c>
    </row>
    <row r="3056" spans="1:5" x14ac:dyDescent="0.25">
      <c r="A3056" t="str">
        <f>HYPERLINK("https://www.773grp.com/globalSearch/SN74LVTH16374DL/page-1", "SN74LVTH16374DL")</f>
        <v>SN74LVTH16374DL</v>
      </c>
      <c r="B3056" s="3" t="s">
        <v>90</v>
      </c>
      <c r="C3056" s="5">
        <v>3936</v>
      </c>
      <c r="D3056" s="6">
        <v>4.54</v>
      </c>
      <c r="E3056" t="s">
        <v>12</v>
      </c>
    </row>
    <row r="3057" spans="1:5" x14ac:dyDescent="0.25">
      <c r="A3057" t="str">
        <f>HYPERLINK("https://www.773grp.com/globalSearch/SN74LVTH541DBR/page-1", "SN74LVTH541DBR")</f>
        <v>SN74LVTH541DBR</v>
      </c>
      <c r="B3057" s="3" t="s">
        <v>90</v>
      </c>
      <c r="C3057" s="5">
        <v>5500</v>
      </c>
      <c r="D3057" s="6">
        <v>4.54</v>
      </c>
      <c r="E3057" t="s">
        <v>12</v>
      </c>
    </row>
    <row r="3058" spans="1:5" x14ac:dyDescent="0.25">
      <c r="A3058" t="str">
        <f>HYPERLINK("https://www.773grp.com/globalSearch/SN74LVTH541NSR/page-1", "SN74LVTH541NSR")</f>
        <v>SN74LVTH541NSR</v>
      </c>
      <c r="B3058" s="3" t="s">
        <v>90</v>
      </c>
      <c r="C3058" s="5">
        <v>12000</v>
      </c>
      <c r="D3058" s="6">
        <v>4.54</v>
      </c>
      <c r="E3058" t="s">
        <v>12</v>
      </c>
    </row>
    <row r="3059" spans="1:5" x14ac:dyDescent="0.25">
      <c r="A3059" t="str">
        <f>HYPERLINK("https://www.773grp.com/globalSearch/SN74LVTH543DW/page-1", "SN74LVTH543DW")</f>
        <v>SN74LVTH543DW</v>
      </c>
      <c r="B3059" s="3" t="s">
        <v>90</v>
      </c>
      <c r="C3059" s="5">
        <v>39105</v>
      </c>
      <c r="D3059" s="6">
        <v>4.54</v>
      </c>
      <c r="E3059" t="s">
        <v>12</v>
      </c>
    </row>
    <row r="3060" spans="1:5" x14ac:dyDescent="0.25">
      <c r="A3060" t="str">
        <f>HYPERLINK("https://www.773grp.com/globalSearch/SN74LVTH543PW/page-1", "SN74LVTH543PW")</f>
        <v>SN74LVTH543PW</v>
      </c>
      <c r="B3060" s="3" t="s">
        <v>90</v>
      </c>
      <c r="C3060" s="5">
        <v>3755</v>
      </c>
      <c r="D3060" s="6">
        <v>4.54</v>
      </c>
      <c r="E3060" t="s">
        <v>12</v>
      </c>
    </row>
    <row r="3061" spans="1:5" x14ac:dyDescent="0.25">
      <c r="A3061" t="str">
        <f>HYPERLINK("https://www.773grp.com/globalSearch/SN74S374N3/page-1", "SN74S374N3")</f>
        <v>SN74S374N3</v>
      </c>
      <c r="B3061" s="3" t="s">
        <v>90</v>
      </c>
      <c r="C3061" s="5">
        <v>857</v>
      </c>
      <c r="D3061" s="6">
        <v>4.54</v>
      </c>
      <c r="E3061" t="s">
        <v>12</v>
      </c>
    </row>
    <row r="3062" spans="1:5" x14ac:dyDescent="0.25">
      <c r="A3062" t="str">
        <f>HYPERLINK("https://www.773grp.com/globalSearch/SN74CBT16211DGGR/page-1", "SN74CBT16211DGGR")</f>
        <v>SN74CBT16211DGGR</v>
      </c>
      <c r="B3062" s="3" t="s">
        <v>90</v>
      </c>
      <c r="C3062" s="5">
        <v>1000</v>
      </c>
      <c r="D3062" s="6">
        <v>4.0999999999999996</v>
      </c>
      <c r="E3062" t="s">
        <v>12</v>
      </c>
    </row>
    <row r="3063" spans="1:5" x14ac:dyDescent="0.25">
      <c r="A3063" t="str">
        <f>HYPERLINK("https://www.773grp.com/globalSearch/SN74CBT16211DGVR/page-1", "SN74CBT16211DGVR")</f>
        <v>SN74CBT16211DGVR</v>
      </c>
      <c r="B3063" s="3" t="s">
        <v>90</v>
      </c>
      <c r="C3063" s="5">
        <v>5913</v>
      </c>
      <c r="D3063" s="6">
        <v>4.0999999999999996</v>
      </c>
      <c r="E3063" t="s">
        <v>12</v>
      </c>
    </row>
    <row r="3064" spans="1:5" x14ac:dyDescent="0.25">
      <c r="A3064" t="str">
        <f>HYPERLINK("https://www.773grp.com/globalSearch/SN74LVTH16835DL/page-1", "SN74LVTH16835DL")</f>
        <v>SN74LVTH16835DL</v>
      </c>
      <c r="B3064" s="3" t="s">
        <v>90</v>
      </c>
      <c r="C3064" s="5">
        <v>4032</v>
      </c>
      <c r="D3064" s="6">
        <v>4.0999999999999996</v>
      </c>
      <c r="E3064" t="s">
        <v>12</v>
      </c>
    </row>
    <row r="3065" spans="1:5" x14ac:dyDescent="0.25">
      <c r="A3065" t="str">
        <f>HYPERLINK("https://www.773grp.com/globalSearch/SN74LVTH16835DLR/page-1", "SN74LVTH16835DLR")</f>
        <v>SN74LVTH16835DLR</v>
      </c>
      <c r="B3065" s="3" t="s">
        <v>90</v>
      </c>
      <c r="C3065" s="5">
        <v>1000</v>
      </c>
      <c r="D3065" s="6">
        <v>4.0999999999999996</v>
      </c>
      <c r="E3065" t="s">
        <v>12</v>
      </c>
    </row>
    <row r="3066" spans="1:5" x14ac:dyDescent="0.25">
      <c r="A3066" t="str">
        <f>HYPERLINK("https://www.773grp.com/globalSearch/SN74S374DW/page-1", "SN74S374DW")</f>
        <v>SN74S374DW</v>
      </c>
      <c r="B3066" s="3" t="s">
        <v>90</v>
      </c>
      <c r="C3066" s="5">
        <v>1375</v>
      </c>
      <c r="D3066" s="6">
        <v>4.0999999999999996</v>
      </c>
      <c r="E3066" t="s">
        <v>12</v>
      </c>
    </row>
    <row r="3067" spans="1:5" x14ac:dyDescent="0.25">
      <c r="A3067" t="str">
        <f>HYPERLINK("https://www.773grp.com/globalSearch/SN74ABT652ADW/page-1", "SN74ABT652ADW")</f>
        <v>SN74ABT652ADW</v>
      </c>
      <c r="B3067" s="3" t="s">
        <v>90</v>
      </c>
      <c r="C3067" s="5">
        <v>602</v>
      </c>
      <c r="D3067" s="6">
        <v>4.59</v>
      </c>
      <c r="E3067" t="s">
        <v>12</v>
      </c>
    </row>
    <row r="3068" spans="1:5" x14ac:dyDescent="0.25">
      <c r="A3068" t="str">
        <f>HYPERLINK("https://www.773grp.com/globalSearch/SN74ABT652ADW/page-1", "SN74ABT652ADW")</f>
        <v>SN74ABT652ADW</v>
      </c>
      <c r="B3068" s="3" t="s">
        <v>90</v>
      </c>
      <c r="C3068" s="5">
        <v>3874</v>
      </c>
      <c r="D3068" s="6">
        <v>4.59</v>
      </c>
      <c r="E3068" t="s">
        <v>12</v>
      </c>
    </row>
    <row r="3069" spans="1:5" x14ac:dyDescent="0.25">
      <c r="A3069" t="str">
        <f>HYPERLINK("https://www.773grp.com/globalSearch/SN74ABT652DW/page-1", "SN74ABT652DW")</f>
        <v>SN74ABT652DW</v>
      </c>
      <c r="B3069" s="3" t="s">
        <v>90</v>
      </c>
      <c r="C3069" s="5">
        <v>24795</v>
      </c>
      <c r="D3069" s="6">
        <v>4.59</v>
      </c>
      <c r="E3069" t="s">
        <v>12</v>
      </c>
    </row>
    <row r="3070" spans="1:5" x14ac:dyDescent="0.25">
      <c r="A3070" t="str">
        <f>HYPERLINK("https://www.773grp.com/globalSearch/SN74LVTH162373DL/page-1", "SN74LVTH162373DL")</f>
        <v>SN74LVTH162373DL</v>
      </c>
      <c r="B3070" s="3" t="s">
        <v>90</v>
      </c>
      <c r="C3070" s="5">
        <v>15167</v>
      </c>
      <c r="D3070" s="6">
        <v>4.59</v>
      </c>
      <c r="E3070" t="s">
        <v>12</v>
      </c>
    </row>
    <row r="3071" spans="1:5" x14ac:dyDescent="0.25">
      <c r="A3071" t="str">
        <f>HYPERLINK("https://www.773grp.com/globalSearch/SN74ALS580BDW/page-1", "SN74ALS580BDW")</f>
        <v>SN74ALS580BDW</v>
      </c>
      <c r="B3071" s="3" t="s">
        <v>90</v>
      </c>
      <c r="C3071" s="5">
        <v>141</v>
      </c>
      <c r="D3071" s="6">
        <v>4.1900000000000004</v>
      </c>
      <c r="E3071" t="s">
        <v>12</v>
      </c>
    </row>
    <row r="3072" spans="1:5" x14ac:dyDescent="0.25">
      <c r="A3072" t="str">
        <f>HYPERLINK("https://www.773grp.com/globalSearch/SN74ALS580BN3/page-1", "SN74ALS580BN3")</f>
        <v>SN74ALS580BN3</v>
      </c>
      <c r="B3072" s="3" t="s">
        <v>90</v>
      </c>
      <c r="C3072" s="5">
        <v>896</v>
      </c>
      <c r="D3072" s="6">
        <v>4.1900000000000004</v>
      </c>
      <c r="E3072" t="s">
        <v>12</v>
      </c>
    </row>
    <row r="3073" spans="1:5" x14ac:dyDescent="0.25">
      <c r="A3073" t="str">
        <f>HYPERLINK("https://www.773grp.com/globalSearch/74AC11244DWR/page-1", "74AC11244DWR")</f>
        <v>74AC11244DWR</v>
      </c>
      <c r="B3073" s="3" t="s">
        <v>90</v>
      </c>
      <c r="C3073" s="5">
        <v>7000</v>
      </c>
      <c r="D3073" s="6">
        <v>4.2300000000000004</v>
      </c>
      <c r="E3073" t="s">
        <v>12</v>
      </c>
    </row>
    <row r="3074" spans="1:5" x14ac:dyDescent="0.25">
      <c r="A3074" t="str">
        <f>HYPERLINK("https://www.773grp.com/globalSearch/74AC11244PWR/page-1", "74AC11244PWR")</f>
        <v>74AC11244PWR</v>
      </c>
      <c r="B3074" s="3" t="s">
        <v>90</v>
      </c>
      <c r="C3074" s="5">
        <v>6000</v>
      </c>
      <c r="D3074" s="6">
        <v>4.2300000000000004</v>
      </c>
      <c r="E3074" t="s">
        <v>12</v>
      </c>
    </row>
    <row r="3075" spans="1:5" x14ac:dyDescent="0.25">
      <c r="A3075" t="str">
        <f>HYPERLINK("https://www.773grp.com/globalSearch/74ACT11244DWR/page-1", "74ACT11244DWR")</f>
        <v>74ACT11244DWR</v>
      </c>
      <c r="B3075" s="3" t="s">
        <v>90</v>
      </c>
      <c r="C3075" s="5">
        <v>17128</v>
      </c>
      <c r="D3075" s="6">
        <v>4.2300000000000004</v>
      </c>
      <c r="E3075" t="s">
        <v>12</v>
      </c>
    </row>
    <row r="3076" spans="1:5" x14ac:dyDescent="0.25">
      <c r="A3076" t="str">
        <f>HYPERLINK("https://www.773grp.com/globalSearch/74ACT11244PWR/page-1", "74ACT11244PWR")</f>
        <v>74ACT11244PWR</v>
      </c>
      <c r="B3076" s="3" t="s">
        <v>90</v>
      </c>
      <c r="C3076" s="5">
        <v>30987</v>
      </c>
      <c r="D3076" s="6">
        <v>4.2300000000000004</v>
      </c>
      <c r="E3076" t="s">
        <v>12</v>
      </c>
    </row>
    <row r="3077" spans="1:5" x14ac:dyDescent="0.25">
      <c r="A3077" t="str">
        <f>HYPERLINK("https://www.773grp.com/globalSearch/74ACT11245PWR/page-1", "74ACT11245PWR")</f>
        <v>74ACT11245PWR</v>
      </c>
      <c r="B3077" s="3" t="s">
        <v>90</v>
      </c>
      <c r="C3077" s="5">
        <v>17964</v>
      </c>
      <c r="D3077" s="6">
        <v>4.2300000000000004</v>
      </c>
      <c r="E3077" t="s">
        <v>12</v>
      </c>
    </row>
    <row r="3078" spans="1:5" x14ac:dyDescent="0.25">
      <c r="A3078" t="str">
        <f>HYPERLINK("https://www.773grp.com/globalSearch/74ACT11373NSR/page-1", "74ACT11373NSR")</f>
        <v>74ACT11373NSR</v>
      </c>
      <c r="B3078" s="3" t="s">
        <v>90</v>
      </c>
      <c r="C3078" s="5">
        <v>2000</v>
      </c>
      <c r="D3078" s="6">
        <v>4.2300000000000004</v>
      </c>
      <c r="E3078" t="s">
        <v>12</v>
      </c>
    </row>
    <row r="3079" spans="1:5" x14ac:dyDescent="0.25">
      <c r="A3079" t="str">
        <f>HYPERLINK("https://www.773grp.com/globalSearch/CD74AC652M/page-1", "CD74AC652M")</f>
        <v>CD74AC652M</v>
      </c>
      <c r="B3079" s="3" t="s">
        <v>90</v>
      </c>
      <c r="C3079" s="5">
        <v>1071</v>
      </c>
      <c r="D3079" s="6">
        <v>4.2300000000000004</v>
      </c>
      <c r="E3079" t="s">
        <v>12</v>
      </c>
    </row>
    <row r="3080" spans="1:5" x14ac:dyDescent="0.25">
      <c r="A3080" t="str">
        <f>HYPERLINK("https://www.773grp.com/globalSearch/CY74FCT163244CPACT/page-1", "CY74FCT163244CPACT")</f>
        <v>CY74FCT163244CPACT</v>
      </c>
      <c r="B3080" s="3" t="s">
        <v>90</v>
      </c>
      <c r="C3080" s="5">
        <v>3800</v>
      </c>
      <c r="D3080" s="6">
        <v>4.2300000000000004</v>
      </c>
      <c r="E3080" t="s">
        <v>12</v>
      </c>
    </row>
    <row r="3081" spans="1:5" x14ac:dyDescent="0.25">
      <c r="A3081" t="str">
        <f>HYPERLINK("https://www.773grp.com/globalSearch/CY74FCT163245CPACT/page-1", "CY74FCT163245CPACT")</f>
        <v>CY74FCT163245CPACT</v>
      </c>
      <c r="B3081" s="3" t="s">
        <v>90</v>
      </c>
      <c r="C3081" s="5">
        <v>130000</v>
      </c>
      <c r="D3081" s="6">
        <v>4.2300000000000004</v>
      </c>
      <c r="E3081" t="s">
        <v>12</v>
      </c>
    </row>
    <row r="3082" spans="1:5" x14ac:dyDescent="0.25">
      <c r="A3082" t="str">
        <f>HYPERLINK("https://www.773grp.com/globalSearch/SN74ABT16646DLR/page-1", "SN74ABT16646DLR")</f>
        <v>SN74ABT16646DLR</v>
      </c>
      <c r="B3082" s="3" t="s">
        <v>90</v>
      </c>
      <c r="C3082" s="5">
        <v>101500</v>
      </c>
      <c r="D3082" s="6">
        <v>4.2300000000000004</v>
      </c>
      <c r="E3082" t="s">
        <v>12</v>
      </c>
    </row>
    <row r="3083" spans="1:5" x14ac:dyDescent="0.25">
      <c r="A3083" t="str">
        <f>HYPERLINK("https://www.773grp.com/globalSearch/SN74ABT16657DGGR/page-1", "SN74ABT16657DGGR")</f>
        <v>SN74ABT16657DGGR</v>
      </c>
      <c r="B3083" s="3" t="s">
        <v>90</v>
      </c>
      <c r="C3083" s="5">
        <v>6000</v>
      </c>
      <c r="D3083" s="6">
        <v>4.2300000000000004</v>
      </c>
      <c r="E3083" t="s">
        <v>12</v>
      </c>
    </row>
    <row r="3084" spans="1:5" x14ac:dyDescent="0.25">
      <c r="A3084" t="str">
        <f>HYPERLINK("https://www.773grp.com/globalSearch/SN74ABT16823DGGR/page-1", "SN74ABT16823DGGR")</f>
        <v>SN74ABT16823DGGR</v>
      </c>
      <c r="B3084" s="3" t="s">
        <v>90</v>
      </c>
      <c r="C3084" s="5">
        <v>4000</v>
      </c>
      <c r="D3084" s="6">
        <v>4.2300000000000004</v>
      </c>
      <c r="E3084" t="s">
        <v>12</v>
      </c>
    </row>
    <row r="3085" spans="1:5" x14ac:dyDescent="0.25">
      <c r="A3085" t="str">
        <f>HYPERLINK("https://www.773grp.com/globalSearch/SN74ABT16823DGVR/page-1", "SN74ABT16823DGVR")</f>
        <v>SN74ABT16823DGVR</v>
      </c>
      <c r="B3085" s="3" t="s">
        <v>90</v>
      </c>
      <c r="C3085" s="5">
        <v>10000</v>
      </c>
      <c r="D3085" s="6">
        <v>4.2300000000000004</v>
      </c>
      <c r="E3085" t="s">
        <v>12</v>
      </c>
    </row>
    <row r="3086" spans="1:5" x14ac:dyDescent="0.25">
      <c r="A3086" t="str">
        <f>HYPERLINK("https://www.773grp.com/globalSearch/SN74ABT16833DGGR/page-1", "SN74ABT16833DGGR")</f>
        <v>SN74ABT16833DGGR</v>
      </c>
      <c r="B3086" s="3" t="s">
        <v>90</v>
      </c>
      <c r="C3086" s="5">
        <v>9900</v>
      </c>
      <c r="D3086" s="6">
        <v>4.2300000000000004</v>
      </c>
      <c r="E3086" t="s">
        <v>12</v>
      </c>
    </row>
    <row r="3087" spans="1:5" x14ac:dyDescent="0.25">
      <c r="A3087" t="str">
        <f>HYPERLINK("https://www.773grp.com/globalSearch/SN74ABT374DBLE/page-1", "SN74ABT374DBLE")</f>
        <v>SN74ABT374DBLE</v>
      </c>
      <c r="B3087" s="3" t="s">
        <v>90</v>
      </c>
      <c r="C3087" s="5">
        <v>9000</v>
      </c>
      <c r="D3087" s="6">
        <v>4.2300000000000004</v>
      </c>
      <c r="E3087" t="s">
        <v>12</v>
      </c>
    </row>
    <row r="3088" spans="1:5" x14ac:dyDescent="0.25">
      <c r="A3088" t="str">
        <f>HYPERLINK("https://www.773grp.com/globalSearch/SN74ABT657ANT/page-1", "SN74ABT657ANT")</f>
        <v>SN74ABT657ANT</v>
      </c>
      <c r="B3088" s="3" t="s">
        <v>90</v>
      </c>
      <c r="C3088" s="5">
        <v>977</v>
      </c>
      <c r="D3088" s="6">
        <v>4.2300000000000004</v>
      </c>
      <c r="E3088" t="s">
        <v>12</v>
      </c>
    </row>
    <row r="3089" spans="1:5" x14ac:dyDescent="0.25">
      <c r="A3089" t="str">
        <f>HYPERLINK("https://www.773grp.com/globalSearch/SN74ABT861NT/page-1", "SN74ABT861NT")</f>
        <v>SN74ABT861NT</v>
      </c>
      <c r="B3089" s="3" t="s">
        <v>90</v>
      </c>
      <c r="C3089" s="5">
        <v>1498</v>
      </c>
      <c r="D3089" s="6">
        <v>4.2300000000000004</v>
      </c>
      <c r="E3089" t="s">
        <v>12</v>
      </c>
    </row>
    <row r="3090" spans="1:5" x14ac:dyDescent="0.25">
      <c r="A3090" t="str">
        <f>HYPERLINK("https://www.773grp.com/globalSearch/SN74ALS540-1N/page-1", "SN74ALS540-1N")</f>
        <v>SN74ALS540-1N</v>
      </c>
      <c r="B3090" s="3" t="s">
        <v>90</v>
      </c>
      <c r="C3090" s="5">
        <v>14682</v>
      </c>
      <c r="D3090" s="6">
        <v>4.2300000000000004</v>
      </c>
      <c r="E3090" t="s">
        <v>12</v>
      </c>
    </row>
    <row r="3091" spans="1:5" x14ac:dyDescent="0.25">
      <c r="A3091" t="str">
        <f>HYPERLINK("https://www.773grp.com/globalSearch/SN74ALS540N/page-1", "SN74ALS540N")</f>
        <v>SN74ALS540N</v>
      </c>
      <c r="B3091" s="3" t="s">
        <v>90</v>
      </c>
      <c r="C3091" s="5">
        <v>1119</v>
      </c>
      <c r="D3091" s="6">
        <v>4.2300000000000004</v>
      </c>
      <c r="E3091" t="s">
        <v>12</v>
      </c>
    </row>
    <row r="3092" spans="1:5" x14ac:dyDescent="0.25">
      <c r="A3092" t="str">
        <f>HYPERLINK("https://www.773grp.com/globalSearch/SN74ALS540NE4/page-1", "SN74ALS540NE4")</f>
        <v>SN74ALS540NE4</v>
      </c>
      <c r="B3092" s="3" t="s">
        <v>90</v>
      </c>
      <c r="C3092" s="5">
        <v>195</v>
      </c>
      <c r="D3092" s="6">
        <v>4.2300000000000004</v>
      </c>
      <c r="E3092" t="s">
        <v>12</v>
      </c>
    </row>
    <row r="3093" spans="1:5" x14ac:dyDescent="0.25">
      <c r="A3093" t="str">
        <f>HYPERLINK("https://www.773grp.com/globalSearch/SN74ALVCH16823DGGR/page-1", "SN74ALVCH16823DGGR")</f>
        <v>SN74ALVCH16823DGGR</v>
      </c>
      <c r="B3093" s="3" t="s">
        <v>90</v>
      </c>
      <c r="C3093" s="5">
        <v>8004</v>
      </c>
      <c r="D3093" s="6">
        <v>4.2300000000000004</v>
      </c>
      <c r="E3093" t="s">
        <v>12</v>
      </c>
    </row>
    <row r="3094" spans="1:5" x14ac:dyDescent="0.25">
      <c r="A3094" t="str">
        <f>HYPERLINK("https://www.773grp.com/globalSearch/SN74ALVCH16823DGVR/page-1", "SN74ALVCH16823DGVR")</f>
        <v>SN74ALVCH16823DGVR</v>
      </c>
      <c r="B3094" s="3" t="s">
        <v>90</v>
      </c>
      <c r="C3094" s="5">
        <v>3750</v>
      </c>
      <c r="D3094" s="6">
        <v>4.2300000000000004</v>
      </c>
      <c r="E3094" t="s">
        <v>12</v>
      </c>
    </row>
    <row r="3095" spans="1:5" x14ac:dyDescent="0.25">
      <c r="A3095" t="str">
        <f>HYPERLINK("https://www.773grp.com/globalSearch/SN74AVC16T245DGGR/page-1", "SN74AVC16T245DGGR")</f>
        <v>SN74AVC16T245DGGR</v>
      </c>
      <c r="B3095" s="3" t="s">
        <v>90</v>
      </c>
      <c r="C3095" s="5">
        <v>1190</v>
      </c>
      <c r="D3095" s="6">
        <v>4.2300000000000004</v>
      </c>
      <c r="E3095" t="s">
        <v>12</v>
      </c>
    </row>
    <row r="3096" spans="1:5" x14ac:dyDescent="0.25">
      <c r="A3096" t="str">
        <f>HYPERLINK("https://www.773grp.com/globalSearch/SN74AVC16T245DGVR/page-1", "SN74AVC16T245DGVR")</f>
        <v>SN74AVC16T245DGVR</v>
      </c>
      <c r="B3096" s="3" t="s">
        <v>90</v>
      </c>
      <c r="C3096" s="5">
        <v>14589</v>
      </c>
      <c r="D3096" s="6">
        <v>4.2300000000000004</v>
      </c>
      <c r="E3096" t="s">
        <v>12</v>
      </c>
    </row>
    <row r="3097" spans="1:5" x14ac:dyDescent="0.25">
      <c r="A3097" t="str">
        <f>HYPERLINK("https://www.773grp.com/globalSearch/SN74AVC16T245GQLR/page-1", "SN74AVC16T245GQLR")</f>
        <v>SN74AVC16T245GQLR</v>
      </c>
      <c r="B3097" s="3" t="s">
        <v>90</v>
      </c>
      <c r="C3097" s="5">
        <v>5750</v>
      </c>
      <c r="D3097" s="6">
        <v>4.2300000000000004</v>
      </c>
      <c r="E3097" t="s">
        <v>12</v>
      </c>
    </row>
    <row r="3098" spans="1:5" x14ac:dyDescent="0.25">
      <c r="A3098" t="str">
        <f>HYPERLINK("https://www.773grp.com/globalSearch/SN74AVCA164245KR/page-1", "SN74AVCA164245KR")</f>
        <v>SN74AVCA164245KR</v>
      </c>
      <c r="B3098" s="3" t="s">
        <v>90</v>
      </c>
      <c r="C3098" s="5">
        <v>50000</v>
      </c>
      <c r="D3098" s="6">
        <v>4.2300000000000004</v>
      </c>
      <c r="E3098" t="s">
        <v>12</v>
      </c>
    </row>
    <row r="3099" spans="1:5" x14ac:dyDescent="0.25">
      <c r="A3099" t="str">
        <f>HYPERLINK("https://www.773grp.com/globalSearch/SN74AVCAH164245KR/page-1", "SN74AVCAH164245KR")</f>
        <v>SN74AVCAH164245KR</v>
      </c>
      <c r="B3099" s="3" t="s">
        <v>90</v>
      </c>
      <c r="C3099" s="5">
        <v>67334</v>
      </c>
      <c r="D3099" s="6">
        <v>4.2300000000000004</v>
      </c>
      <c r="E3099" t="s">
        <v>12</v>
      </c>
    </row>
    <row r="3100" spans="1:5" x14ac:dyDescent="0.25">
      <c r="A3100" t="str">
        <f>HYPERLINK("https://www.773grp.com/globalSearch/SN74BCT541ADW/page-1", "SN74BCT541ADW")</f>
        <v>SN74BCT541ADW</v>
      </c>
      <c r="B3100" s="3" t="s">
        <v>90</v>
      </c>
      <c r="C3100" s="5">
        <v>3479</v>
      </c>
      <c r="D3100" s="6">
        <v>4.2300000000000004</v>
      </c>
      <c r="E3100" t="s">
        <v>12</v>
      </c>
    </row>
    <row r="3101" spans="1:5" x14ac:dyDescent="0.25">
      <c r="A3101" t="str">
        <f>HYPERLINK("https://www.773grp.com/globalSearch/SN74CB3Q16244DLR/page-1", "SN74CB3Q16244DLR")</f>
        <v>SN74CB3Q16244DLR</v>
      </c>
      <c r="B3101" s="3" t="s">
        <v>90</v>
      </c>
      <c r="C3101" s="5">
        <v>4000</v>
      </c>
      <c r="D3101" s="6">
        <v>4.2300000000000004</v>
      </c>
      <c r="E3101" t="s">
        <v>12</v>
      </c>
    </row>
    <row r="3102" spans="1:5" x14ac:dyDescent="0.25">
      <c r="A3102" t="str">
        <f>HYPERLINK("https://www.773grp.com/globalSearch/SN74CB3Q16245DLR/page-1", "SN74CB3Q16245DLR")</f>
        <v>SN74CB3Q16245DLR</v>
      </c>
      <c r="B3102" s="3" t="s">
        <v>90</v>
      </c>
      <c r="C3102" s="5">
        <v>4000</v>
      </c>
      <c r="D3102" s="6">
        <v>4.2300000000000004</v>
      </c>
      <c r="E3102" t="s">
        <v>12</v>
      </c>
    </row>
    <row r="3103" spans="1:5" x14ac:dyDescent="0.25">
      <c r="A3103" t="str">
        <f>HYPERLINK("https://www.773grp.com/globalSearch/SN74CB3T16211DLR/page-1", "SN74CB3T16211DLR")</f>
        <v>SN74CB3T16211DLR</v>
      </c>
      <c r="B3103" s="3" t="s">
        <v>90</v>
      </c>
      <c r="C3103" s="5">
        <v>3000</v>
      </c>
      <c r="D3103" s="6">
        <v>4.2300000000000004</v>
      </c>
      <c r="E3103" t="s">
        <v>12</v>
      </c>
    </row>
    <row r="3104" spans="1:5" x14ac:dyDescent="0.25">
      <c r="A3104" t="str">
        <f>HYPERLINK("https://www.773grp.com/globalSearch/SN74ALS244BN/page-1", "SN74ALS244BN")</f>
        <v>SN74ALS244BN</v>
      </c>
      <c r="B3104" s="3" t="s">
        <v>90</v>
      </c>
      <c r="C3104" s="5">
        <v>95</v>
      </c>
      <c r="D3104" s="6">
        <v>4.6900000000000004</v>
      </c>
      <c r="E3104" t="s">
        <v>12</v>
      </c>
    </row>
    <row r="3105" spans="1:5" x14ac:dyDescent="0.25">
      <c r="A3105" t="str">
        <f>HYPERLINK("https://www.773grp.com/globalSearch/SN74ALVC162268DL/page-1", "SN74ALVC162268DL")</f>
        <v>SN74ALVC162268DL</v>
      </c>
      <c r="B3105" s="3" t="s">
        <v>90</v>
      </c>
      <c r="C3105" s="5">
        <v>1085</v>
      </c>
      <c r="D3105" s="6">
        <v>4.6900000000000004</v>
      </c>
      <c r="E3105" t="s">
        <v>12</v>
      </c>
    </row>
    <row r="3106" spans="1:5" x14ac:dyDescent="0.25">
      <c r="A3106" t="str">
        <f>HYPERLINK("https://www.773grp.com/globalSearch/SN74ALVC162820DL/page-1", "SN74ALVC162820DL")</f>
        <v>SN74ALVC162820DL</v>
      </c>
      <c r="B3106" s="3" t="s">
        <v>90</v>
      </c>
      <c r="C3106" s="5">
        <v>5230</v>
      </c>
      <c r="D3106" s="6">
        <v>4.6900000000000004</v>
      </c>
      <c r="E3106" t="s">
        <v>12</v>
      </c>
    </row>
    <row r="3107" spans="1:5" x14ac:dyDescent="0.25">
      <c r="A3107" t="str">
        <f>HYPERLINK("https://www.773grp.com/globalSearch/SN74ALVC16373DL/page-1", "SN74ALVC16373DL")</f>
        <v>SN74ALVC16373DL</v>
      </c>
      <c r="B3107" s="3" t="s">
        <v>90</v>
      </c>
      <c r="C3107" s="5">
        <v>6516</v>
      </c>
      <c r="D3107" s="6">
        <v>4.6900000000000004</v>
      </c>
      <c r="E3107" t="s">
        <v>12</v>
      </c>
    </row>
    <row r="3108" spans="1:5" x14ac:dyDescent="0.25">
      <c r="A3108" t="str">
        <f>HYPERLINK("https://www.773grp.com/globalSearch/SN74ALVC16721DL/page-1", "SN74ALVC16721DL")</f>
        <v>SN74ALVC16721DL</v>
      </c>
      <c r="B3108" s="3" t="s">
        <v>90</v>
      </c>
      <c r="C3108" s="5">
        <v>2470</v>
      </c>
      <c r="D3108" s="6">
        <v>4.6900000000000004</v>
      </c>
      <c r="E3108" t="s">
        <v>12</v>
      </c>
    </row>
    <row r="3109" spans="1:5" x14ac:dyDescent="0.25">
      <c r="A3109" t="str">
        <f>HYPERLINK("https://www.773grp.com/globalSearch/SN74ALVC16820DL/page-1", "SN74ALVC16820DL")</f>
        <v>SN74ALVC16820DL</v>
      </c>
      <c r="B3109" s="3" t="s">
        <v>90</v>
      </c>
      <c r="C3109" s="5">
        <v>732</v>
      </c>
      <c r="D3109" s="6">
        <v>4.6900000000000004</v>
      </c>
      <c r="E3109" t="s">
        <v>12</v>
      </c>
    </row>
    <row r="3110" spans="1:5" x14ac:dyDescent="0.25">
      <c r="A3110" t="str">
        <f>HYPERLINK("https://www.773grp.com/globalSearch/SN74LV244AMDWREP/page-1", "SN74LV244AMDWREP")</f>
        <v>SN74LV244AMDWREP</v>
      </c>
      <c r="B3110" s="3" t="s">
        <v>90</v>
      </c>
      <c r="C3110" s="5">
        <v>2607</v>
      </c>
      <c r="D3110" s="6">
        <v>4.74</v>
      </c>
      <c r="E3110" t="s">
        <v>12</v>
      </c>
    </row>
    <row r="3111" spans="1:5" x14ac:dyDescent="0.25">
      <c r="A3111" t="str">
        <f>HYPERLINK("https://www.773grp.com/globalSearch/CY74FCT162244ATPAC/page-1", "CY74FCT162244ATPAC")</f>
        <v>CY74FCT162244ATPAC</v>
      </c>
      <c r="B3111" s="3" t="s">
        <v>90</v>
      </c>
      <c r="C3111" s="5">
        <v>524</v>
      </c>
      <c r="D3111" s="6">
        <v>4.3</v>
      </c>
      <c r="E3111" t="s">
        <v>12</v>
      </c>
    </row>
    <row r="3112" spans="1:5" x14ac:dyDescent="0.25">
      <c r="A3112" t="str">
        <f>HYPERLINK("https://www.773grp.com/globalSearch/CY74FCT162244CTPAC/page-1", "CY74FCT162244CTPAC")</f>
        <v>CY74FCT162244CTPAC</v>
      </c>
      <c r="B3112" s="3" t="s">
        <v>90</v>
      </c>
      <c r="C3112" s="5">
        <v>1578</v>
      </c>
      <c r="D3112" s="6">
        <v>4.3</v>
      </c>
      <c r="E3112" t="s">
        <v>12</v>
      </c>
    </row>
    <row r="3113" spans="1:5" x14ac:dyDescent="0.25">
      <c r="A3113" t="str">
        <f>HYPERLINK("https://www.773grp.com/globalSearch/SN74ALVCH16270DGGR/page-1", "SN74ALVCH16270DGGR")</f>
        <v>SN74ALVCH16270DGGR</v>
      </c>
      <c r="B3113" s="3" t="s">
        <v>90</v>
      </c>
      <c r="C3113" s="5">
        <v>44923</v>
      </c>
      <c r="D3113" s="6">
        <v>4.79</v>
      </c>
      <c r="E3113" t="s">
        <v>12</v>
      </c>
    </row>
    <row r="3114" spans="1:5" x14ac:dyDescent="0.25">
      <c r="A3114" t="str">
        <f>HYPERLINK("https://www.773grp.com/globalSearch/SN74ALVCH16270DL/page-1", "SN74ALVCH16270DL")</f>
        <v>SN74ALVCH16270DL</v>
      </c>
      <c r="B3114" s="3" t="s">
        <v>90</v>
      </c>
      <c r="C3114" s="5">
        <v>4848</v>
      </c>
      <c r="D3114" s="6">
        <v>4.79</v>
      </c>
      <c r="E3114" t="s">
        <v>12</v>
      </c>
    </row>
    <row r="3115" spans="1:5" x14ac:dyDescent="0.25">
      <c r="A3115" t="str">
        <f>HYPERLINK("https://www.773grp.com/globalSearch/SN74ALVCH16270DLR/page-1", "SN74ALVCH16270DLR")</f>
        <v>SN74ALVCH16270DLR</v>
      </c>
      <c r="B3115" s="3" t="s">
        <v>90</v>
      </c>
      <c r="C3115" s="5">
        <v>50000</v>
      </c>
      <c r="D3115" s="6">
        <v>4.79</v>
      </c>
      <c r="E3115" t="s">
        <v>12</v>
      </c>
    </row>
    <row r="3116" spans="1:5" x14ac:dyDescent="0.25">
      <c r="A3116" t="str">
        <f>HYPERLINK("https://www.773grp.com/globalSearch/SN74ALVCH162820DL/page-1", "SN74ALVCH162820DL")</f>
        <v>SN74ALVCH162820DL</v>
      </c>
      <c r="B3116" s="3" t="s">
        <v>90</v>
      </c>
      <c r="C3116" s="5">
        <v>8419</v>
      </c>
      <c r="D3116" s="6">
        <v>4.79</v>
      </c>
      <c r="E3116" t="s">
        <v>12</v>
      </c>
    </row>
    <row r="3117" spans="1:5" x14ac:dyDescent="0.25">
      <c r="A3117" t="str">
        <f>HYPERLINK("https://www.773grp.com/globalSearch/SN74ALVCH162820DLR/page-1", "SN74ALVCH162820DLR")</f>
        <v>SN74ALVCH162820DLR</v>
      </c>
      <c r="B3117" s="3" t="s">
        <v>90</v>
      </c>
      <c r="C3117" s="5">
        <v>10500</v>
      </c>
      <c r="D3117" s="6">
        <v>4.79</v>
      </c>
      <c r="E3117" t="s">
        <v>12</v>
      </c>
    </row>
    <row r="3118" spans="1:5" x14ac:dyDescent="0.25">
      <c r="A3118" t="str">
        <f>HYPERLINK("https://www.773grp.com/globalSearch/SN74ALVCH16825DGGR/page-1", "SN74ALVCH16825DGGR")</f>
        <v>SN74ALVCH16825DGGR</v>
      </c>
      <c r="B3118" s="3" t="s">
        <v>90</v>
      </c>
      <c r="C3118" s="5">
        <v>4000</v>
      </c>
      <c r="D3118" s="6">
        <v>4.79</v>
      </c>
      <c r="E3118" t="s">
        <v>12</v>
      </c>
    </row>
    <row r="3119" spans="1:5" x14ac:dyDescent="0.25">
      <c r="A3119" t="str">
        <f>HYPERLINK("https://www.773grp.com/globalSearch/SN74ALVCH16825DL/page-1", "SN74ALVCH16825DL")</f>
        <v>SN74ALVCH16825DL</v>
      </c>
      <c r="B3119" s="3" t="s">
        <v>90</v>
      </c>
      <c r="C3119" s="5">
        <v>8406</v>
      </c>
      <c r="D3119" s="6">
        <v>4.79</v>
      </c>
      <c r="E3119" t="s">
        <v>12</v>
      </c>
    </row>
    <row r="3120" spans="1:5" x14ac:dyDescent="0.25">
      <c r="A3120" t="str">
        <f>HYPERLINK("https://www.773grp.com/globalSearch/SN74ALVCH16825DLR/page-1", "SN74ALVCH16825DLR")</f>
        <v>SN74ALVCH16825DLR</v>
      </c>
      <c r="B3120" s="3" t="s">
        <v>90</v>
      </c>
      <c r="C3120" s="5">
        <v>8000</v>
      </c>
      <c r="D3120" s="6">
        <v>4.79</v>
      </c>
      <c r="E3120" t="s">
        <v>12</v>
      </c>
    </row>
    <row r="3121" spans="1:5" x14ac:dyDescent="0.25">
      <c r="A3121" t="str">
        <f>HYPERLINK("https://www.773grp.com/globalSearch/SN74ABT162841DGGR/page-1", "SN74ABT162841DGGR")</f>
        <v>SN74ABT162841DGGR</v>
      </c>
      <c r="B3121" s="3" t="s">
        <v>90</v>
      </c>
      <c r="C3121" s="5">
        <v>7470</v>
      </c>
      <c r="D3121" s="6">
        <v>4.3899999999999997</v>
      </c>
      <c r="E3121" t="s">
        <v>12</v>
      </c>
    </row>
    <row r="3122" spans="1:5" x14ac:dyDescent="0.25">
      <c r="A3122" t="str">
        <f>HYPERLINK("https://www.773grp.com/globalSearch/SN74ABT162841DL/page-1", "SN74ABT162841DL")</f>
        <v>SN74ABT162841DL</v>
      </c>
      <c r="B3122" s="3" t="s">
        <v>90</v>
      </c>
      <c r="C3122" s="5">
        <v>12055</v>
      </c>
      <c r="D3122" s="6">
        <v>4.3899999999999997</v>
      </c>
      <c r="E3122" t="s">
        <v>12</v>
      </c>
    </row>
    <row r="3123" spans="1:5" x14ac:dyDescent="0.25">
      <c r="A3123" t="str">
        <f>HYPERLINK("https://www.773grp.com/globalSearch/SN74ABT162841DLR/page-1", "SN74ABT162841DLR")</f>
        <v>SN74ABT162841DLR</v>
      </c>
      <c r="B3123" s="3" t="s">
        <v>90</v>
      </c>
      <c r="C3123" s="5">
        <v>9500</v>
      </c>
      <c r="D3123" s="6">
        <v>4.3899999999999997</v>
      </c>
      <c r="E3123" t="s">
        <v>12</v>
      </c>
    </row>
    <row r="3124" spans="1:5" x14ac:dyDescent="0.25">
      <c r="A3124" t="str">
        <f>HYPERLINK("https://www.773grp.com/globalSearch/74ACT16374DLR/page-1", "74ACT16374DLR")</f>
        <v>74ACT16374DLR</v>
      </c>
      <c r="B3124" s="3" t="s">
        <v>90</v>
      </c>
      <c r="C3124" s="5">
        <v>520</v>
      </c>
      <c r="D3124" s="6">
        <v>4.8600000000000003</v>
      </c>
      <c r="E3124" t="s">
        <v>12</v>
      </c>
    </row>
    <row r="3125" spans="1:5" x14ac:dyDescent="0.25">
      <c r="A3125" t="str">
        <f>HYPERLINK("https://www.773grp.com/globalSearch/CD74HC640E/page-1", "CD74HC640E")</f>
        <v>CD74HC640E</v>
      </c>
      <c r="B3125" s="3" t="s">
        <v>90</v>
      </c>
      <c r="C3125" s="5">
        <v>1920</v>
      </c>
      <c r="D3125" s="6">
        <v>4.43</v>
      </c>
      <c r="E3125" t="s">
        <v>12</v>
      </c>
    </row>
    <row r="3126" spans="1:5" x14ac:dyDescent="0.25">
      <c r="A3126" t="str">
        <f>HYPERLINK("https://www.773grp.com/globalSearch/CY74FCT162543CTPVC/page-1", "CY74FCT162543CTPVC")</f>
        <v>CY74FCT162543CTPVC</v>
      </c>
      <c r="B3126" s="3" t="s">
        <v>90</v>
      </c>
      <c r="C3126" s="5">
        <v>2115</v>
      </c>
      <c r="D3126" s="6">
        <v>4.43</v>
      </c>
      <c r="E3126" t="s">
        <v>12</v>
      </c>
    </row>
    <row r="3127" spans="1:5" x14ac:dyDescent="0.25">
      <c r="A3127" t="str">
        <f>HYPERLINK("https://www.773grp.com/globalSearch/CY74FCT162652CTPVC/page-1", "CY74FCT162652CTPVC")</f>
        <v>CY74FCT162652CTPVC</v>
      </c>
      <c r="B3127" s="3" t="s">
        <v>90</v>
      </c>
      <c r="C3127" s="5">
        <v>7680</v>
      </c>
      <c r="D3127" s="6">
        <v>4.43</v>
      </c>
      <c r="E3127" t="s">
        <v>12</v>
      </c>
    </row>
    <row r="3128" spans="1:5" x14ac:dyDescent="0.25">
      <c r="A3128" t="str">
        <f>HYPERLINK("https://www.773grp.com/globalSearch/CY74FCT16646ATPVC/page-1", "CY74FCT16646ATPVC")</f>
        <v>CY74FCT16646ATPVC</v>
      </c>
      <c r="B3128" s="3" t="s">
        <v>90</v>
      </c>
      <c r="C3128" s="5">
        <v>8356</v>
      </c>
      <c r="D3128" s="6">
        <v>4.43</v>
      </c>
      <c r="E3128" t="s">
        <v>12</v>
      </c>
    </row>
    <row r="3129" spans="1:5" x14ac:dyDescent="0.25">
      <c r="A3129" t="str">
        <f>HYPERLINK("https://www.773grp.com/globalSearch/CY74FCT16646CTPVC/page-1", "CY74FCT16646CTPVC")</f>
        <v>CY74FCT16646CTPVC</v>
      </c>
      <c r="B3129" s="3" t="s">
        <v>90</v>
      </c>
      <c r="C3129" s="5">
        <v>15722</v>
      </c>
      <c r="D3129" s="6">
        <v>4.43</v>
      </c>
      <c r="E3129" t="s">
        <v>12</v>
      </c>
    </row>
    <row r="3130" spans="1:5" x14ac:dyDescent="0.25">
      <c r="A3130" t="str">
        <f>HYPERLINK("https://www.773grp.com/globalSearch/CY74FCT16827ATPVCT/page-1", "CY74FCT16827ATPVCT")</f>
        <v>CY74FCT16827ATPVCT</v>
      </c>
      <c r="B3130" s="3" t="s">
        <v>90</v>
      </c>
      <c r="C3130" s="5">
        <v>5640</v>
      </c>
      <c r="D3130" s="6">
        <v>4.43</v>
      </c>
      <c r="E3130" t="s">
        <v>12</v>
      </c>
    </row>
    <row r="3131" spans="1:5" x14ac:dyDescent="0.25">
      <c r="A3131" t="str">
        <f>HYPERLINK("https://www.773grp.com/globalSearch/CY74FCT16841CTPVC/page-1", "CY74FCT16841CTPVC")</f>
        <v>CY74FCT16841CTPVC</v>
      </c>
      <c r="B3131" s="3" t="s">
        <v>90</v>
      </c>
      <c r="C3131" s="5">
        <v>19210</v>
      </c>
      <c r="D3131" s="6">
        <v>4.43</v>
      </c>
      <c r="E3131" t="s">
        <v>12</v>
      </c>
    </row>
    <row r="3132" spans="1:5" x14ac:dyDescent="0.25">
      <c r="A3132" t="str">
        <f>HYPERLINK("https://www.773grp.com/globalSearch/SN64BCT125AN/page-1", "SN64BCT125AN")</f>
        <v>SN64BCT125AN</v>
      </c>
      <c r="B3132" s="3" t="s">
        <v>90</v>
      </c>
      <c r="C3132" s="5">
        <v>4935</v>
      </c>
      <c r="D3132" s="6">
        <v>4.43</v>
      </c>
      <c r="E3132" t="s">
        <v>12</v>
      </c>
    </row>
    <row r="3133" spans="1:5" x14ac:dyDescent="0.25">
      <c r="A3133" t="str">
        <f>HYPERLINK("https://www.773grp.com/globalSearch/SN64BCT126ADR/page-1", "SN64BCT126ADR")</f>
        <v>SN64BCT126ADR</v>
      </c>
      <c r="B3133" s="3" t="s">
        <v>90</v>
      </c>
      <c r="C3133" s="5">
        <v>2500</v>
      </c>
      <c r="D3133" s="6">
        <v>4.43</v>
      </c>
      <c r="E3133" t="s">
        <v>12</v>
      </c>
    </row>
    <row r="3134" spans="1:5" x14ac:dyDescent="0.25">
      <c r="A3134" t="str">
        <f>HYPERLINK("https://www.773grp.com/globalSearch/SN74ALVCH16827DL/page-1", "SN74ALVCH16827DL")</f>
        <v>SN74ALVCH16827DL</v>
      </c>
      <c r="B3134" s="3" t="s">
        <v>90</v>
      </c>
      <c r="C3134" s="5">
        <v>23067</v>
      </c>
      <c r="D3134" s="6">
        <v>4.43</v>
      </c>
      <c r="E3134" t="s">
        <v>12</v>
      </c>
    </row>
    <row r="3135" spans="1:5" x14ac:dyDescent="0.25">
      <c r="A3135" t="str">
        <f>HYPERLINK("https://www.773grp.com/globalSearch/SN74ALVCHR16269AL/page-1", "SN74ALVCHR16269AL")</f>
        <v>SN74ALVCHR16269AL</v>
      </c>
      <c r="B3135" s="3" t="s">
        <v>90</v>
      </c>
      <c r="C3135" s="5">
        <v>13510</v>
      </c>
      <c r="D3135" s="6">
        <v>4.43</v>
      </c>
      <c r="E3135" t="s">
        <v>12</v>
      </c>
    </row>
    <row r="3136" spans="1:5" x14ac:dyDescent="0.25">
      <c r="A3136" t="str">
        <f>HYPERLINK("https://www.773grp.com/globalSearch/SN74ALVCHR16601DL/page-1", "SN74ALVCHR16601DL")</f>
        <v>SN74ALVCHR16601DL</v>
      </c>
      <c r="B3136" s="3" t="s">
        <v>90</v>
      </c>
      <c r="C3136" s="5">
        <v>12280</v>
      </c>
      <c r="D3136" s="6">
        <v>4.43</v>
      </c>
      <c r="E3136" t="s">
        <v>12</v>
      </c>
    </row>
    <row r="3137" spans="1:5" x14ac:dyDescent="0.25">
      <c r="A3137" t="str">
        <f>HYPERLINK("https://www.773grp.com/globalSearch/SN74BCT125ADR/page-1", "SN74BCT125ADR")</f>
        <v>SN74BCT125ADR</v>
      </c>
      <c r="B3137" s="3" t="s">
        <v>90</v>
      </c>
      <c r="C3137" s="5">
        <v>2500</v>
      </c>
      <c r="D3137" s="6">
        <v>4.43</v>
      </c>
      <c r="E3137" t="s">
        <v>12</v>
      </c>
    </row>
    <row r="3138" spans="1:5" x14ac:dyDescent="0.25">
      <c r="A3138" t="str">
        <f>HYPERLINK("https://www.773grp.com/globalSearch/SN74BCT126AN/page-1", "SN74BCT126AN")</f>
        <v>SN74BCT126AN</v>
      </c>
      <c r="B3138" s="3" t="s">
        <v>90</v>
      </c>
      <c r="C3138" s="5">
        <v>11791</v>
      </c>
      <c r="D3138" s="6">
        <v>4.43</v>
      </c>
      <c r="E3138" t="s">
        <v>12</v>
      </c>
    </row>
    <row r="3139" spans="1:5" x14ac:dyDescent="0.25">
      <c r="A3139" t="str">
        <f>HYPERLINK("https://www.773grp.com/globalSearch/SN74CB3T16210DGGR/page-1", "SN74CB3T16210DGGR")</f>
        <v>SN74CB3T16210DGGR</v>
      </c>
      <c r="B3139" s="3" t="s">
        <v>90</v>
      </c>
      <c r="C3139" s="5">
        <v>3684</v>
      </c>
      <c r="D3139" s="6">
        <v>4.43</v>
      </c>
      <c r="E3139" t="s">
        <v>12</v>
      </c>
    </row>
    <row r="3140" spans="1:5" x14ac:dyDescent="0.25">
      <c r="A3140" t="str">
        <f>HYPERLINK("https://www.773grp.com/globalSearch/SN74CBT16861DGGR/page-1", "SN74CBT16861DGGR")</f>
        <v>SN74CBT16861DGGR</v>
      </c>
      <c r="B3140" s="3" t="s">
        <v>90</v>
      </c>
      <c r="C3140" s="5">
        <v>10000</v>
      </c>
      <c r="D3140" s="6">
        <v>4.43</v>
      </c>
      <c r="E3140" t="s">
        <v>12</v>
      </c>
    </row>
    <row r="3141" spans="1:5" x14ac:dyDescent="0.25">
      <c r="A3141" t="str">
        <f>HYPERLINK("https://www.773grp.com/globalSearch/SN74CBT16861DGVR/page-1", "SN74CBT16861DGVR")</f>
        <v>SN74CBT16861DGVR</v>
      </c>
      <c r="B3141" s="3" t="s">
        <v>90</v>
      </c>
      <c r="C3141" s="5">
        <v>29972</v>
      </c>
      <c r="D3141" s="6">
        <v>4.43</v>
      </c>
      <c r="E3141" t="s">
        <v>12</v>
      </c>
    </row>
    <row r="3142" spans="1:5" x14ac:dyDescent="0.25">
      <c r="A3142" t="str">
        <f>HYPERLINK("https://www.773grp.com/globalSearch/SN74CBT34X245DBBR/page-1", "SN74CBT34X245DBBR")</f>
        <v>SN74CBT34X245DBBR</v>
      </c>
      <c r="B3142" s="3" t="s">
        <v>90</v>
      </c>
      <c r="C3142" s="5">
        <v>1449</v>
      </c>
      <c r="D3142" s="6">
        <v>4.43</v>
      </c>
      <c r="E3142" t="s">
        <v>12</v>
      </c>
    </row>
    <row r="3143" spans="1:5" x14ac:dyDescent="0.25">
      <c r="A3143" t="str">
        <f>HYPERLINK("https://www.773grp.com/globalSearch/SN74CBTD16210DGGR/page-1", "SN74CBTD16210DGGR")</f>
        <v>SN74CBTD16210DGGR</v>
      </c>
      <c r="B3143" s="3" t="s">
        <v>90</v>
      </c>
      <c r="C3143" s="5">
        <v>15944</v>
      </c>
      <c r="D3143" s="6">
        <v>4.43</v>
      </c>
      <c r="E3143" t="s">
        <v>12</v>
      </c>
    </row>
    <row r="3144" spans="1:5" x14ac:dyDescent="0.25">
      <c r="A3144" t="str">
        <f>HYPERLINK("https://www.773grp.com/globalSearch/SN74CBTD16210DGVR/page-1", "SN74CBTD16210DGVR")</f>
        <v>SN74CBTD16210DGVR</v>
      </c>
      <c r="B3144" s="3" t="s">
        <v>90</v>
      </c>
      <c r="C3144" s="5">
        <v>4940</v>
      </c>
      <c r="D3144" s="6">
        <v>4.43</v>
      </c>
      <c r="E3144" t="s">
        <v>12</v>
      </c>
    </row>
    <row r="3145" spans="1:5" x14ac:dyDescent="0.25">
      <c r="A3145" t="str">
        <f>HYPERLINK("https://www.773grp.com/globalSearch/SN74CBTLV16211DL/page-1", "SN74CBTLV16211DL")</f>
        <v>SN74CBTLV16211DL</v>
      </c>
      <c r="B3145" s="3" t="s">
        <v>90</v>
      </c>
      <c r="C3145" s="5">
        <v>3130</v>
      </c>
      <c r="D3145" s="6">
        <v>4.43</v>
      </c>
      <c r="E3145" t="s">
        <v>12</v>
      </c>
    </row>
    <row r="3146" spans="1:5" x14ac:dyDescent="0.25">
      <c r="A3146" t="str">
        <f>HYPERLINK("https://www.773grp.com/globalSearch/SN74LS243N/page-1", "SN74LS243N")</f>
        <v>SN74LS243N</v>
      </c>
      <c r="B3146" s="3" t="s">
        <v>90</v>
      </c>
      <c r="C3146" s="5">
        <v>313</v>
      </c>
      <c r="D3146" s="6">
        <v>4.43</v>
      </c>
      <c r="E3146" t="s">
        <v>12</v>
      </c>
    </row>
    <row r="3147" spans="1:5" x14ac:dyDescent="0.25">
      <c r="A3147" t="str">
        <f>HYPERLINK("https://www.773grp.com/globalSearch/SN74LS641-1N/page-1", "SN74LS641-1N")</f>
        <v>SN74LS641-1N</v>
      </c>
      <c r="B3147" s="3" t="s">
        <v>90</v>
      </c>
      <c r="C3147" s="5">
        <v>1371</v>
      </c>
      <c r="D3147" s="6">
        <v>4.43</v>
      </c>
      <c r="E3147" t="s">
        <v>12</v>
      </c>
    </row>
    <row r="3148" spans="1:5" x14ac:dyDescent="0.25">
      <c r="A3148" t="str">
        <f>HYPERLINK("https://www.773grp.com/globalSearch/SN74LS641N/page-1", "SN74LS641N")</f>
        <v>SN74LS641N</v>
      </c>
      <c r="B3148" s="3" t="s">
        <v>90</v>
      </c>
      <c r="C3148" s="5">
        <v>574</v>
      </c>
      <c r="D3148" s="6">
        <v>4.43</v>
      </c>
      <c r="E3148" t="s">
        <v>12</v>
      </c>
    </row>
    <row r="3149" spans="1:5" x14ac:dyDescent="0.25">
      <c r="A3149" t="str">
        <f>HYPERLINK("https://www.773grp.com/globalSearch/SN74LS641NS/page-1", "SN74LS641NS")</f>
        <v>SN74LS641NS</v>
      </c>
      <c r="B3149" s="3" t="s">
        <v>90</v>
      </c>
      <c r="C3149" s="5">
        <v>1920</v>
      </c>
      <c r="D3149" s="6">
        <v>4.43</v>
      </c>
      <c r="E3149" t="s">
        <v>12</v>
      </c>
    </row>
    <row r="3150" spans="1:5" x14ac:dyDescent="0.25">
      <c r="A3150" t="str">
        <f>HYPERLINK("https://www.773grp.com/globalSearch/SN74LVCH16540ADGGR/page-1", "SN74LVCH16540ADGGR")</f>
        <v>SN74LVCH16540ADGGR</v>
      </c>
      <c r="B3150" s="3" t="s">
        <v>90</v>
      </c>
      <c r="C3150" s="5">
        <v>3940</v>
      </c>
      <c r="D3150" s="6">
        <v>4.43</v>
      </c>
      <c r="E3150" t="s">
        <v>12</v>
      </c>
    </row>
    <row r="3151" spans="1:5" x14ac:dyDescent="0.25">
      <c r="A3151" t="str">
        <f>HYPERLINK("https://www.773grp.com/globalSearch/SN74LVCH16540ADGVR/page-1", "SN74LVCH16540ADGVR")</f>
        <v>SN74LVCH16540ADGVR</v>
      </c>
      <c r="B3151" s="3" t="s">
        <v>90</v>
      </c>
      <c r="C3151" s="5">
        <v>4000</v>
      </c>
      <c r="D3151" s="6">
        <v>4.43</v>
      </c>
      <c r="E3151" t="s">
        <v>12</v>
      </c>
    </row>
    <row r="3152" spans="1:5" x14ac:dyDescent="0.25">
      <c r="A3152" t="str">
        <f>HYPERLINK("https://www.773grp.com/globalSearch/SN74LVCH16540ADLR/page-1", "SN74LVCH16540ADLR")</f>
        <v>SN74LVCH16540ADLR</v>
      </c>
      <c r="B3152" s="3" t="s">
        <v>90</v>
      </c>
      <c r="C3152" s="5">
        <v>8000</v>
      </c>
      <c r="D3152" s="6">
        <v>4.43</v>
      </c>
      <c r="E3152" t="s">
        <v>12</v>
      </c>
    </row>
    <row r="3153" spans="1:5" x14ac:dyDescent="0.25">
      <c r="A3153" t="str">
        <f>HYPERLINK("https://www.773grp.com/globalSearch/SN74LVT162245DLR/page-1", "SN74LVT162245DLR")</f>
        <v>SN74LVT162245DLR</v>
      </c>
      <c r="B3153" s="3" t="s">
        <v>90</v>
      </c>
      <c r="C3153" s="5">
        <v>2000</v>
      </c>
      <c r="D3153" s="6">
        <v>4.43</v>
      </c>
      <c r="E3153" t="s">
        <v>12</v>
      </c>
    </row>
    <row r="3154" spans="1:5" x14ac:dyDescent="0.25">
      <c r="A3154" t="str">
        <f>HYPERLINK("https://www.773grp.com/globalSearch/SN74LVT16245ADLR/page-1", "SN74LVT16245ADLR")</f>
        <v>SN74LVT16245ADLR</v>
      </c>
      <c r="B3154" s="3" t="s">
        <v>90</v>
      </c>
      <c r="C3154" s="5">
        <v>5000</v>
      </c>
      <c r="D3154" s="6">
        <v>4.43</v>
      </c>
      <c r="E3154" t="s">
        <v>12</v>
      </c>
    </row>
    <row r="3155" spans="1:5" x14ac:dyDescent="0.25">
      <c r="A3155" t="str">
        <f>HYPERLINK("https://www.773grp.com/globalSearch/74FCT162244ATPACT/page-1", "74FCT162244ATPACT")</f>
        <v>74FCT162244ATPACT</v>
      </c>
      <c r="B3155" s="3" t="str">
        <f>HYPERLINK("https://www.773grp.com/manufacturer/texas-instruments?pageNo=8", "Texas Instruments")</f>
        <v>Texas Instruments</v>
      </c>
      <c r="C3155" s="5">
        <v>135947</v>
      </c>
      <c r="D3155" s="6">
        <v>4.91</v>
      </c>
      <c r="E3155" t="s">
        <v>12</v>
      </c>
    </row>
    <row r="3156" spans="1:5" x14ac:dyDescent="0.25">
      <c r="A3156" t="str">
        <f>HYPERLINK("https://www.773grp.com/globalSearch/74FCT162245ATPACT/page-1", "74FCT162245ATPACT")</f>
        <v>74FCT162245ATPACT</v>
      </c>
      <c r="B3156" s="3" t="str">
        <f>HYPERLINK("https://www.773grp.com/manufacturer/texas-instruments?pageNo=10", "Texas Instruments")</f>
        <v>Texas Instruments</v>
      </c>
      <c r="C3156" s="5">
        <v>554560</v>
      </c>
      <c r="D3156" s="6">
        <v>4.91</v>
      </c>
      <c r="E3156" t="s">
        <v>12</v>
      </c>
    </row>
    <row r="3157" spans="1:5" x14ac:dyDescent="0.25">
      <c r="A3157" t="str">
        <f>HYPERLINK("https://www.773grp.com/globalSearch/74FCT162245ATPACT/page-1", "74FCT162245ATPACT")</f>
        <v>74FCT162245ATPACT</v>
      </c>
      <c r="B3157" s="3" t="str">
        <f>HYPERLINK("https://www.773grp.com/manufacturer/texas-instruments?pageNo=11", "Texas Instruments")</f>
        <v>Texas Instruments</v>
      </c>
      <c r="C3157" s="5">
        <v>76000</v>
      </c>
      <c r="D3157" s="6">
        <v>4.91</v>
      </c>
      <c r="E3157" t="s">
        <v>12</v>
      </c>
    </row>
    <row r="3158" spans="1:5" x14ac:dyDescent="0.25">
      <c r="A3158" t="str">
        <f>HYPERLINK("https://www.773grp.com/globalSearch/74FCT162245CTPACT/page-1", "74FCT162245CTPACT")</f>
        <v>74FCT162245CTPACT</v>
      </c>
      <c r="B3158" s="3" t="str">
        <f>HYPERLINK("https://www.773grp.com/manufacturer/texas-instruments?pageNo=12", "Texas Instruments")</f>
        <v>Texas Instruments</v>
      </c>
      <c r="C3158" s="5">
        <v>16000</v>
      </c>
      <c r="D3158" s="6">
        <v>4.91</v>
      </c>
      <c r="E3158" t="s">
        <v>12</v>
      </c>
    </row>
    <row r="3159" spans="1:5" x14ac:dyDescent="0.25">
      <c r="A3159" t="str">
        <f>HYPERLINK("https://www.773grp.com/globalSearch/74FCT162373ATPACT/page-1", "74FCT162373ATPACT")</f>
        <v>74FCT162373ATPACT</v>
      </c>
      <c r="B3159" s="3" t="str">
        <f>HYPERLINK("https://www.773grp.com/manufacturer/texas-instruments?pageNo=13", "Texas Instruments")</f>
        <v>Texas Instruments</v>
      </c>
      <c r="C3159" s="5">
        <v>2000</v>
      </c>
      <c r="D3159" s="6">
        <v>4.91</v>
      </c>
      <c r="E3159" t="s">
        <v>12</v>
      </c>
    </row>
    <row r="3160" spans="1:5" x14ac:dyDescent="0.25">
      <c r="A3160" t="str">
        <f>HYPERLINK("https://www.773grp.com/globalSearch/74FCT162374ATPACT/page-1", "74FCT162374ATPACT")</f>
        <v>74FCT162374ATPACT</v>
      </c>
      <c r="B3160" s="3" t="str">
        <f>HYPERLINK("https://www.773grp.com/manufacturer/texas-instruments?pageNo=15", "Texas Instruments")</f>
        <v>Texas Instruments</v>
      </c>
      <c r="C3160" s="5">
        <v>26000</v>
      </c>
      <c r="D3160" s="6">
        <v>4.91</v>
      </c>
      <c r="E3160" t="s">
        <v>12</v>
      </c>
    </row>
    <row r="3161" spans="1:5" x14ac:dyDescent="0.25">
      <c r="A3161" t="str">
        <f>HYPERLINK("https://www.773grp.com/globalSearch/74FCT162501ATPVCT/page-1", "74FCT162501ATPVCT")</f>
        <v>74FCT162501ATPVCT</v>
      </c>
      <c r="B3161" s="3" t="str">
        <f>HYPERLINK("https://www.773grp.com/manufacturer/texas-instruments?pageNo=16", "Texas Instruments")</f>
        <v>Texas Instruments</v>
      </c>
      <c r="C3161" s="5">
        <v>9000</v>
      </c>
      <c r="D3161" s="6">
        <v>4.91</v>
      </c>
      <c r="E3161" t="s">
        <v>12</v>
      </c>
    </row>
    <row r="3162" spans="1:5" x14ac:dyDescent="0.25">
      <c r="A3162" t="str">
        <f>HYPERLINK("https://www.773grp.com/globalSearch/74FCT162827CTPACT/page-1", "74FCT162827CTPACT")</f>
        <v>74FCT162827CTPACT</v>
      </c>
      <c r="B3162" s="3" t="str">
        <f>HYPERLINK("https://www.773grp.com/manufacturer/texas-instruments?pageNo=18", "Texas Instruments")</f>
        <v>Texas Instruments</v>
      </c>
      <c r="C3162" s="5">
        <v>6000</v>
      </c>
      <c r="D3162" s="6">
        <v>4.91</v>
      </c>
      <c r="E3162" t="s">
        <v>12</v>
      </c>
    </row>
    <row r="3163" spans="1:5" x14ac:dyDescent="0.25">
      <c r="A3163" t="str">
        <f>HYPERLINK("https://www.773grp.com/globalSearch/74FCT162841CTPACT/page-1", "74FCT162841CTPACT")</f>
        <v>74FCT162841CTPACT</v>
      </c>
      <c r="B3163" s="3" t="str">
        <f>HYPERLINK("https://www.773grp.com/manufacturer/texas-instruments?pageNo=19", "Texas Instruments")</f>
        <v>Texas Instruments</v>
      </c>
      <c r="C3163" s="5">
        <v>2000</v>
      </c>
      <c r="D3163" s="6">
        <v>4.91</v>
      </c>
      <c r="E3163" t="s">
        <v>12</v>
      </c>
    </row>
    <row r="3164" spans="1:5" x14ac:dyDescent="0.25">
      <c r="A3164" t="str">
        <f>HYPERLINK("https://www.773grp.com/globalSearch/74FCT162H245ATPACT/page-1", "74FCT162H245ATPACT")</f>
        <v>74FCT162H245ATPACT</v>
      </c>
      <c r="B3164" s="3" t="str">
        <f>HYPERLINK("https://www.773grp.com/manufacturer/texas-instruments?pageNo=20", "Texas Instruments")</f>
        <v>Texas Instruments</v>
      </c>
      <c r="C3164" s="5">
        <v>5576</v>
      </c>
      <c r="D3164" s="6">
        <v>4.91</v>
      </c>
      <c r="E3164" t="s">
        <v>12</v>
      </c>
    </row>
    <row r="3165" spans="1:5" x14ac:dyDescent="0.25">
      <c r="A3165" t="str">
        <f>HYPERLINK("https://www.773grp.com/globalSearch/74FCT162H245CTPACT/page-1", "74FCT162H245CTPACT")</f>
        <v>74FCT162H245CTPACT</v>
      </c>
      <c r="B3165" s="3" t="str">
        <f>HYPERLINK("https://www.773grp.com/manufacturer/texas-instruments?pageNo=21", "Texas Instruments")</f>
        <v>Texas Instruments</v>
      </c>
      <c r="C3165" s="5">
        <v>10304</v>
      </c>
      <c r="D3165" s="6">
        <v>4.91</v>
      </c>
      <c r="E3165" t="s">
        <v>12</v>
      </c>
    </row>
    <row r="3166" spans="1:5" x14ac:dyDescent="0.25">
      <c r="A3166" t="str">
        <f>HYPERLINK("https://www.773grp.com/globalSearch/CY74FCT162244ATPVC/page-1", "CY74FCT162244ATPVC")</f>
        <v>CY74FCT162244ATPVC</v>
      </c>
      <c r="B3166" s="3" t="str">
        <f>HYPERLINK("https://www.773grp.com/manufacturer/texas-instruments?pageNo=24", "Texas Instruments")</f>
        <v>Texas Instruments</v>
      </c>
      <c r="C3166" s="5">
        <v>9295</v>
      </c>
      <c r="D3166" s="6">
        <v>4.91</v>
      </c>
      <c r="E3166" t="s">
        <v>12</v>
      </c>
    </row>
    <row r="3167" spans="1:5" x14ac:dyDescent="0.25">
      <c r="A3167" t="str">
        <f>HYPERLINK("https://www.773grp.com/globalSearch/CY74FCT162244TPVC/page-1", "CY74FCT162244TPVC")</f>
        <v>CY74FCT162244TPVC</v>
      </c>
      <c r="B3167" s="3" t="str">
        <f>HYPERLINK("https://www.773grp.com/manufacturer/texas-instruments?pageNo=25", "Texas Instruments")</f>
        <v>Texas Instruments</v>
      </c>
      <c r="C3167" s="5">
        <v>3957</v>
      </c>
      <c r="D3167" s="6">
        <v>4.91</v>
      </c>
      <c r="E3167" t="s">
        <v>12</v>
      </c>
    </row>
    <row r="3168" spans="1:5" x14ac:dyDescent="0.25">
      <c r="A3168" t="str">
        <f>HYPERLINK("https://www.773grp.com/globalSearch/CY74FCT162245ATPVC/page-1", "CY74FCT162245ATPVC")</f>
        <v>CY74FCT162245ATPVC</v>
      </c>
      <c r="B3168" s="3" t="str">
        <f>HYPERLINK("https://www.773grp.com/manufacturer/texas-instruments?pageNo=26", "Texas Instruments")</f>
        <v>Texas Instruments</v>
      </c>
      <c r="C3168" s="5">
        <v>10148</v>
      </c>
      <c r="D3168" s="6">
        <v>4.91</v>
      </c>
      <c r="E3168" t="s">
        <v>12</v>
      </c>
    </row>
    <row r="3169" spans="1:5" x14ac:dyDescent="0.25">
      <c r="A3169" t="str">
        <f>HYPERLINK("https://www.773grp.com/globalSearch/CY74FCT162245CTPVC/page-1", "CY74FCT162245CTPVC")</f>
        <v>CY74FCT162245CTPVC</v>
      </c>
      <c r="B3169" s="3" t="str">
        <f>HYPERLINK("https://www.773grp.com/manufacturer/texas-instruments?pageNo=27", "Texas Instruments")</f>
        <v>Texas Instruments</v>
      </c>
      <c r="C3169" s="5">
        <v>21936</v>
      </c>
      <c r="D3169" s="6">
        <v>4.91</v>
      </c>
      <c r="E3169" t="s">
        <v>12</v>
      </c>
    </row>
    <row r="3170" spans="1:5" x14ac:dyDescent="0.25">
      <c r="A3170" t="str">
        <f>HYPERLINK("https://www.773grp.com/globalSearch/CY74FCT162373ATPVC/page-1", "CY74FCT162373ATPVC")</f>
        <v>CY74FCT162373ATPVC</v>
      </c>
      <c r="B3170" s="3" t="str">
        <f>HYPERLINK("https://www.773grp.com/manufacturer/texas-instruments?pageNo=28", "Texas Instruments")</f>
        <v>Texas Instruments</v>
      </c>
      <c r="C3170" s="5">
        <v>9423</v>
      </c>
      <c r="D3170" s="6">
        <v>4.91</v>
      </c>
      <c r="E3170" t="s">
        <v>12</v>
      </c>
    </row>
    <row r="3171" spans="1:5" x14ac:dyDescent="0.25">
      <c r="A3171" t="str">
        <f>HYPERLINK("https://www.773grp.com/globalSearch/CY74FCT162374CTPVC/page-1", "CY74FCT162374CTPVC")</f>
        <v>CY74FCT162374CTPVC</v>
      </c>
      <c r="B3171" s="3" t="str">
        <f>HYPERLINK("https://www.773grp.com/manufacturer/texas-instruments?pageNo=29", "Texas Instruments")</f>
        <v>Texas Instruments</v>
      </c>
      <c r="C3171" s="5">
        <v>9555</v>
      </c>
      <c r="D3171" s="6">
        <v>4.91</v>
      </c>
      <c r="E3171" t="s">
        <v>12</v>
      </c>
    </row>
    <row r="3172" spans="1:5" x14ac:dyDescent="0.25">
      <c r="A3172" t="str">
        <f>HYPERLINK("https://www.773grp.com/globalSearch/CY74FCT16245CTPVC/page-1", "CY74FCT16245CTPVC")</f>
        <v>CY74FCT16245CTPVC</v>
      </c>
      <c r="B3172" s="3" t="str">
        <f>HYPERLINK("https://www.773grp.com/manufacturer/texas-instruments?pageNo=30", "Texas Instruments")</f>
        <v>Texas Instruments</v>
      </c>
      <c r="C3172" s="5">
        <v>23572</v>
      </c>
      <c r="D3172" s="6">
        <v>4.91</v>
      </c>
      <c r="E3172" t="s">
        <v>12</v>
      </c>
    </row>
    <row r="3173" spans="1:5" x14ac:dyDescent="0.25">
      <c r="A3173" t="str">
        <f>HYPERLINK("https://www.773grp.com/globalSearch/SN74ABT646ADW/page-1", "SN74ABT646ADW")</f>
        <v>SN74ABT646ADW</v>
      </c>
      <c r="B3173" s="3" t="str">
        <f>HYPERLINK("https://www.773grp.com/manufacturer/texas-instruments?pageNo=58", "Texas Instruments")</f>
        <v>Texas Instruments</v>
      </c>
      <c r="C3173" s="5">
        <v>171</v>
      </c>
      <c r="D3173" s="6">
        <v>4.91</v>
      </c>
      <c r="E3173" t="s">
        <v>12</v>
      </c>
    </row>
    <row r="3174" spans="1:5" x14ac:dyDescent="0.25">
      <c r="A3174" t="str">
        <f>HYPERLINK("https://www.773grp.com/globalSearch/SN74ABT646APW/page-1", "SN74ABT646APW")</f>
        <v>SN74ABT646APW</v>
      </c>
      <c r="B3174" s="3" t="str">
        <f>HYPERLINK("https://www.773grp.com/manufacturer/texas-instruments?pageNo=59", "Texas Instruments")</f>
        <v>Texas Instruments</v>
      </c>
      <c r="C3174" s="5">
        <v>4537</v>
      </c>
      <c r="D3174" s="6">
        <v>4.91</v>
      </c>
      <c r="E3174" t="s">
        <v>12</v>
      </c>
    </row>
    <row r="3175" spans="1:5" x14ac:dyDescent="0.25">
      <c r="A3175" t="str">
        <f>HYPERLINK("https://www.773grp.com/globalSearch/SN74ABT646DW/page-1", "SN74ABT646DW")</f>
        <v>SN74ABT646DW</v>
      </c>
      <c r="B3175" s="3" t="str">
        <f>HYPERLINK("https://www.773grp.com/manufacturer/texas-instruments?pageNo=60", "Texas Instruments")</f>
        <v>Texas Instruments</v>
      </c>
      <c r="C3175" s="5">
        <v>26650</v>
      </c>
      <c r="D3175" s="6">
        <v>4.91</v>
      </c>
      <c r="E3175" t="s">
        <v>12</v>
      </c>
    </row>
    <row r="3176" spans="1:5" x14ac:dyDescent="0.25">
      <c r="A3176" t="str">
        <f>HYPERLINK("https://www.773grp.com/globalSearch/SN74ABT646PW/page-1", "SN74ABT646PW")</f>
        <v>SN74ABT646PW</v>
      </c>
      <c r="B3176" s="3" t="str">
        <f>HYPERLINK("https://www.773grp.com/manufacturer/texas-instruments?pageNo=61", "Texas Instruments")</f>
        <v>Texas Instruments</v>
      </c>
      <c r="C3176" s="5">
        <v>60</v>
      </c>
      <c r="D3176" s="6">
        <v>4.91</v>
      </c>
      <c r="E3176" t="s">
        <v>12</v>
      </c>
    </row>
    <row r="3177" spans="1:5" x14ac:dyDescent="0.25">
      <c r="A3177" t="str">
        <f>HYPERLINK("https://www.773grp.com/globalSearch/SN74ABT821ADBR/page-1", "SN74ABT821ADBR")</f>
        <v>SN74ABT821ADBR</v>
      </c>
      <c r="B3177" s="3" t="str">
        <f>HYPERLINK("https://www.773grp.com/manufacturer/texas-instruments?pageNo=62", "Texas Instruments")</f>
        <v>Texas Instruments</v>
      </c>
      <c r="C3177" s="5">
        <v>21660</v>
      </c>
      <c r="D3177" s="6">
        <v>4.91</v>
      </c>
      <c r="E3177" t="s">
        <v>12</v>
      </c>
    </row>
    <row r="3178" spans="1:5" x14ac:dyDescent="0.25">
      <c r="A3178" t="str">
        <f>HYPERLINK("https://www.773grp.com/globalSearch/SN74ABT827DWR/page-1", "SN74ABT827DWR")</f>
        <v>SN74ABT827DWR</v>
      </c>
      <c r="B3178" s="3" t="str">
        <f>HYPERLINK("https://www.773grp.com/manufacturer/texas-instruments?pageNo=63", "Texas Instruments")</f>
        <v>Texas Instruments</v>
      </c>
      <c r="C3178" s="5">
        <v>7936</v>
      </c>
      <c r="D3178" s="6">
        <v>4.91</v>
      </c>
      <c r="E3178" t="s">
        <v>12</v>
      </c>
    </row>
    <row r="3179" spans="1:5" x14ac:dyDescent="0.25">
      <c r="A3179" t="str">
        <f>HYPERLINK("https://www.773grp.com/globalSearch/SN74ABT833DWR/page-1", "SN74ABT833DWR")</f>
        <v>SN74ABT833DWR</v>
      </c>
      <c r="B3179" s="3" t="str">
        <f>HYPERLINK("https://www.773grp.com/manufacturer/texas-instruments?pageNo=64", "Texas Instruments")</f>
        <v>Texas Instruments</v>
      </c>
      <c r="C3179" s="5">
        <v>4000</v>
      </c>
      <c r="D3179" s="6">
        <v>4.91</v>
      </c>
      <c r="E3179" t="s">
        <v>12</v>
      </c>
    </row>
    <row r="3180" spans="1:5" x14ac:dyDescent="0.25">
      <c r="A3180" t="str">
        <f>HYPERLINK("https://www.773grp.com/globalSearch/SN74ABT841ADBR/page-1", "SN74ABT841ADBR")</f>
        <v>SN74ABT841ADBR</v>
      </c>
      <c r="B3180" s="3" t="str">
        <f>HYPERLINK("https://www.773grp.com/manufacturer/texas-instruments?pageNo=65", "Texas Instruments")</f>
        <v>Texas Instruments</v>
      </c>
      <c r="C3180" s="5">
        <v>37987</v>
      </c>
      <c r="D3180" s="6">
        <v>4.91</v>
      </c>
      <c r="E3180" t="s">
        <v>12</v>
      </c>
    </row>
    <row r="3181" spans="1:5" x14ac:dyDescent="0.25">
      <c r="A3181" t="str">
        <f>HYPERLINK("https://www.773grp.com/globalSearch/SN74ABT841ANSR/page-1", "SN74ABT841ANSR")</f>
        <v>SN74ABT841ANSR</v>
      </c>
      <c r="B3181" s="3" t="str">
        <f>HYPERLINK("https://www.773grp.com/manufacturer/texas-instruments?pageNo=66", "Texas Instruments")</f>
        <v>Texas Instruments</v>
      </c>
      <c r="C3181" s="5">
        <v>3600</v>
      </c>
      <c r="D3181" s="6">
        <v>4.91</v>
      </c>
      <c r="E3181" t="s">
        <v>12</v>
      </c>
    </row>
    <row r="3182" spans="1:5" x14ac:dyDescent="0.25">
      <c r="A3182" t="str">
        <f>HYPERLINK("https://www.773grp.com/globalSearch/SN74ABT843DBR/page-1", "SN74ABT843DBR")</f>
        <v>SN74ABT843DBR</v>
      </c>
      <c r="B3182" s="3" t="str">
        <f>HYPERLINK("https://www.773grp.com/manufacturer/texas-instruments?pageNo=67", "Texas Instruments")</f>
        <v>Texas Instruments</v>
      </c>
      <c r="C3182" s="5">
        <v>4000</v>
      </c>
      <c r="D3182" s="6">
        <v>4.91</v>
      </c>
      <c r="E3182" t="s">
        <v>12</v>
      </c>
    </row>
    <row r="3183" spans="1:5" x14ac:dyDescent="0.25">
      <c r="A3183" t="str">
        <f>HYPERLINK("https://www.773grp.com/globalSearch/SN74AC564N/page-1", "SN74AC564N")</f>
        <v>SN74AC564N</v>
      </c>
      <c r="B3183" s="3" t="str">
        <f>HYPERLINK("https://www.773grp.com/manufacturer/texas-instruments?pageNo=68", "Texas Instruments")</f>
        <v>Texas Instruments</v>
      </c>
      <c r="C3183" s="5">
        <v>35276</v>
      </c>
      <c r="D3183" s="6">
        <v>4.91</v>
      </c>
      <c r="E3183" t="s">
        <v>12</v>
      </c>
    </row>
    <row r="3184" spans="1:5" x14ac:dyDescent="0.25">
      <c r="A3184" t="str">
        <f>HYPERLINK("https://www.773grp.com/globalSearch/SN74AHCT16540DGGR/page-1", "SN74AHCT16540DGGR")</f>
        <v>SN74AHCT16540DGGR</v>
      </c>
      <c r="B3184" s="3" t="str">
        <f>HYPERLINK("https://www.773grp.com/manufacturer/texas-instruments?pageNo=69", "Texas Instruments")</f>
        <v>Texas Instruments</v>
      </c>
      <c r="C3184" s="5">
        <v>12000</v>
      </c>
      <c r="D3184" s="6">
        <v>4.91</v>
      </c>
      <c r="E3184" t="s">
        <v>12</v>
      </c>
    </row>
    <row r="3185" spans="1:5" x14ac:dyDescent="0.25">
      <c r="A3185" t="str">
        <f>HYPERLINK("https://www.773grp.com/globalSearch/SN74AHCT16540DGVR/page-1", "SN74AHCT16540DGVR")</f>
        <v>SN74AHCT16540DGVR</v>
      </c>
      <c r="B3185" s="3" t="str">
        <f>HYPERLINK("https://www.773grp.com/manufacturer/texas-instruments?pageNo=70", "Texas Instruments")</f>
        <v>Texas Instruments</v>
      </c>
      <c r="C3185" s="5">
        <v>4000</v>
      </c>
      <c r="D3185" s="6">
        <v>4.91</v>
      </c>
      <c r="E3185" t="s">
        <v>12</v>
      </c>
    </row>
    <row r="3186" spans="1:5" x14ac:dyDescent="0.25">
      <c r="A3186" t="str">
        <f>HYPERLINK("https://www.773grp.com/globalSearch/SN74AHCT16541DGGR/page-1", "SN74AHCT16541DGGR")</f>
        <v>SN74AHCT16541DGGR</v>
      </c>
      <c r="B3186" s="3" t="str">
        <f>HYPERLINK("https://www.773grp.com/manufacturer/texas-instruments?pageNo=71", "Texas Instruments")</f>
        <v>Texas Instruments</v>
      </c>
      <c r="C3186" s="5">
        <v>5711</v>
      </c>
      <c r="D3186" s="6">
        <v>4.91</v>
      </c>
      <c r="E3186" t="s">
        <v>12</v>
      </c>
    </row>
    <row r="3187" spans="1:5" x14ac:dyDescent="0.25">
      <c r="A3187" t="str">
        <f>HYPERLINK("https://www.773grp.com/globalSearch/SN74ALS645ADWR/page-1", "SN74ALS645ADWR")</f>
        <v>SN74ALS645ADWR</v>
      </c>
      <c r="B3187" s="3" t="str">
        <f>HYPERLINK("https://www.773grp.com/manufacturer/texas-instruments?pageNo=77", "Texas Instruments")</f>
        <v>Texas Instruments</v>
      </c>
      <c r="C3187" s="5">
        <v>4000</v>
      </c>
      <c r="D3187" s="6">
        <v>4.91</v>
      </c>
      <c r="E3187" t="s">
        <v>12</v>
      </c>
    </row>
    <row r="3188" spans="1:5" x14ac:dyDescent="0.25">
      <c r="A3188" t="str">
        <f>HYPERLINK("https://www.773grp.com/globalSearch/SN74ALVCH162244DLR/page-1", "SN74ALVCH162244DLR")</f>
        <v>SN74ALVCH162244DLR</v>
      </c>
      <c r="B3188" s="3" t="str">
        <f>HYPERLINK("https://www.773grp.com/manufacturer/texas-instruments?pageNo=78", "Texas Instruments")</f>
        <v>Texas Instruments</v>
      </c>
      <c r="C3188" s="5">
        <v>4000</v>
      </c>
      <c r="D3188" s="6">
        <v>4.91</v>
      </c>
      <c r="E3188" t="s">
        <v>12</v>
      </c>
    </row>
    <row r="3189" spans="1:5" x14ac:dyDescent="0.25">
      <c r="A3189" t="str">
        <f>HYPERLINK("https://www.773grp.com/globalSearch/SN74ALVCH162268GR/page-1", "SN74ALVCH162268GR")</f>
        <v>SN74ALVCH162268GR</v>
      </c>
      <c r="B3189" s="3" t="str">
        <f>HYPERLINK("https://www.773grp.com/manufacturer/texas-instruments?pageNo=80", "Texas Instruments")</f>
        <v>Texas Instruments</v>
      </c>
      <c r="C3189" s="5">
        <v>135989</v>
      </c>
      <c r="D3189" s="6">
        <v>4.91</v>
      </c>
      <c r="E3189" t="s">
        <v>12</v>
      </c>
    </row>
    <row r="3190" spans="1:5" x14ac:dyDescent="0.25">
      <c r="A3190" t="str">
        <f>HYPERLINK("https://www.773grp.com/globalSearch/SN74ALVCH16240DLR/page-1", "SN74ALVCH16240DLR")</f>
        <v>SN74ALVCH16240DLR</v>
      </c>
      <c r="B3190" s="3" t="str">
        <f>HYPERLINK("https://www.773grp.com/manufacturer/texas-instruments?pageNo=81", "Texas Instruments")</f>
        <v>Texas Instruments</v>
      </c>
      <c r="C3190" s="5">
        <v>15500</v>
      </c>
      <c r="D3190" s="6">
        <v>4.91</v>
      </c>
      <c r="E3190" t="s">
        <v>12</v>
      </c>
    </row>
    <row r="3191" spans="1:5" x14ac:dyDescent="0.25">
      <c r="A3191" t="str">
        <f>HYPERLINK("https://www.773grp.com/globalSearch/SN74ALVCH16244DLR/page-1", "SN74ALVCH16244DLR")</f>
        <v>SN74ALVCH16244DLR</v>
      </c>
      <c r="B3191" s="3" t="str">
        <f>HYPERLINK("https://www.773grp.com/manufacturer/texas-instruments?pageNo=82", "Texas Instruments")</f>
        <v>Texas Instruments</v>
      </c>
      <c r="C3191" s="5">
        <v>13000</v>
      </c>
      <c r="D3191" s="6">
        <v>4.91</v>
      </c>
      <c r="E3191" t="s">
        <v>12</v>
      </c>
    </row>
    <row r="3192" spans="1:5" x14ac:dyDescent="0.25">
      <c r="A3192" t="str">
        <f>HYPERLINK("https://www.773grp.com/globalSearch/SN74ALVCH16245DLR/page-1", "SN74ALVCH16245DLR")</f>
        <v>SN74ALVCH16245DLR</v>
      </c>
      <c r="B3192" s="3" t="str">
        <f>HYPERLINK("https://www.773grp.com/manufacturer/texas-instruments?pageNo=83", "Texas Instruments")</f>
        <v>Texas Instruments</v>
      </c>
      <c r="C3192" s="5">
        <v>5321</v>
      </c>
      <c r="D3192" s="6">
        <v>4.91</v>
      </c>
      <c r="E3192" t="s">
        <v>12</v>
      </c>
    </row>
    <row r="3193" spans="1:5" x14ac:dyDescent="0.25">
      <c r="A3193" t="str">
        <f>HYPERLINK("https://www.773grp.com/globalSearch/SN74ALVCH162601DLR/page-1", "SN74ALVCH162601DLR")</f>
        <v>SN74ALVCH162601DLR</v>
      </c>
      <c r="B3193" s="3" t="str">
        <f>HYPERLINK("https://www.773grp.com/manufacturer/texas-instruments?pageNo=84", "Texas Instruments")</f>
        <v>Texas Instruments</v>
      </c>
      <c r="C3193" s="5">
        <v>13920</v>
      </c>
      <c r="D3193" s="6">
        <v>4.91</v>
      </c>
      <c r="E3193" t="s">
        <v>12</v>
      </c>
    </row>
    <row r="3194" spans="1:5" x14ac:dyDescent="0.25">
      <c r="A3194" t="str">
        <f>HYPERLINK("https://www.773grp.com/globalSearch/SN74ALVCH16269DGGR/page-1", "SN74ALVCH16269DGGR")</f>
        <v>SN74ALVCH16269DGGR</v>
      </c>
      <c r="B3194" s="3" t="str">
        <f>HYPERLINK("https://www.773grp.com/manufacturer/texas-instruments?pageNo=86", "Texas Instruments")</f>
        <v>Texas Instruments</v>
      </c>
      <c r="C3194" s="5">
        <v>14344</v>
      </c>
      <c r="D3194" s="6">
        <v>4.91</v>
      </c>
      <c r="E3194" t="s">
        <v>12</v>
      </c>
    </row>
    <row r="3195" spans="1:5" x14ac:dyDescent="0.25">
      <c r="A3195" t="str">
        <f>HYPERLINK("https://www.773grp.com/globalSearch/SN74ALVCH16373DLR/page-1", "SN74ALVCH16373DLR")</f>
        <v>SN74ALVCH16373DLR</v>
      </c>
      <c r="B3195" s="3" t="str">
        <f>HYPERLINK("https://www.773grp.com/manufacturer/texas-instruments?pageNo=87", "Texas Instruments")</f>
        <v>Texas Instruments</v>
      </c>
      <c r="C3195" s="5">
        <v>22000</v>
      </c>
      <c r="D3195" s="6">
        <v>4.91</v>
      </c>
      <c r="E3195" t="s">
        <v>12</v>
      </c>
    </row>
    <row r="3196" spans="1:5" x14ac:dyDescent="0.25">
      <c r="A3196" t="str">
        <f>HYPERLINK("https://www.773grp.com/globalSearch/SN74ALVCH16374DL/page-1", "SN74ALVCH16374DL")</f>
        <v>SN74ALVCH16374DL</v>
      </c>
      <c r="B3196" s="3" t="str">
        <f>HYPERLINK("https://www.773grp.com/manufacturer/texas-instruments?pageNo=88", "Texas Instruments")</f>
        <v>Texas Instruments</v>
      </c>
      <c r="C3196" s="5">
        <v>3955</v>
      </c>
      <c r="D3196" s="6">
        <v>4.91</v>
      </c>
      <c r="E3196" t="s">
        <v>12</v>
      </c>
    </row>
    <row r="3197" spans="1:5" x14ac:dyDescent="0.25">
      <c r="A3197" t="str">
        <f>HYPERLINK("https://www.773grp.com/globalSearch/SN74ALVCH16501DGGR/page-1", "SN74ALVCH16501DGGR")</f>
        <v>SN74ALVCH16501DGGR</v>
      </c>
      <c r="B3197" s="3" t="str">
        <f>HYPERLINK("https://www.773grp.com/manufacturer/texas-instruments?pageNo=89", "Texas Instruments")</f>
        <v>Texas Instruments</v>
      </c>
      <c r="C3197" s="5">
        <v>6000</v>
      </c>
      <c r="D3197" s="6">
        <v>4.91</v>
      </c>
      <c r="E3197" t="s">
        <v>12</v>
      </c>
    </row>
    <row r="3198" spans="1:5" x14ac:dyDescent="0.25">
      <c r="A3198" t="str">
        <f>HYPERLINK("https://www.773grp.com/globalSearch/SN74ALVCH16543DGG/page-1", "SN74ALVCH16543DGG")</f>
        <v>SN74ALVCH16543DGG</v>
      </c>
      <c r="B3198" s="3" t="str">
        <f>HYPERLINK("https://www.773grp.com/manufacturer/texas-instruments?pageNo=90", "Texas Instruments")</f>
        <v>Texas Instruments</v>
      </c>
      <c r="C3198" s="5">
        <v>1155</v>
      </c>
      <c r="D3198" s="6">
        <v>4.91</v>
      </c>
      <c r="E3198" t="s">
        <v>12</v>
      </c>
    </row>
    <row r="3199" spans="1:5" x14ac:dyDescent="0.25">
      <c r="A3199" t="str">
        <f>HYPERLINK("https://www.773grp.com/globalSearch/SN74ALVCH16721DGG/page-1", "SN74ALVCH16721DGG")</f>
        <v>SN74ALVCH16721DGG</v>
      </c>
      <c r="B3199" s="3" t="str">
        <f>HYPERLINK("https://www.773grp.com/manufacturer/texas-instruments?pageNo=91", "Texas Instruments")</f>
        <v>Texas Instruments</v>
      </c>
      <c r="C3199" s="5">
        <v>3580</v>
      </c>
      <c r="D3199" s="6">
        <v>4.91</v>
      </c>
      <c r="E3199" t="s">
        <v>12</v>
      </c>
    </row>
    <row r="3200" spans="1:5" x14ac:dyDescent="0.25">
      <c r="A3200" t="str">
        <f>HYPERLINK("https://www.773grp.com/globalSearch/SN74ALVCH16721DGGR/page-1", "SN74ALVCH16721DGGR")</f>
        <v>SN74ALVCH16721DGGR</v>
      </c>
      <c r="B3200" s="3" t="str">
        <f>HYPERLINK("https://www.773grp.com/manufacturer/texas-instruments?pageNo=92", "Texas Instruments")</f>
        <v>Texas Instruments</v>
      </c>
      <c r="C3200" s="5">
        <v>45681</v>
      </c>
      <c r="D3200" s="6">
        <v>4.91</v>
      </c>
      <c r="E3200" t="s">
        <v>12</v>
      </c>
    </row>
    <row r="3201" spans="1:5" x14ac:dyDescent="0.25">
      <c r="A3201" t="str">
        <f>HYPERLINK("https://www.773grp.com/globalSearch/SN74ALVCH16721DGVR/page-1", "SN74ALVCH16721DGVR")</f>
        <v>SN74ALVCH16721DGVR</v>
      </c>
      <c r="B3201" s="3" t="str">
        <f>HYPERLINK("https://www.773grp.com/manufacturer/texas-instruments?pageNo=93", "Texas Instruments")</f>
        <v>Texas Instruments</v>
      </c>
      <c r="C3201" s="5">
        <v>3901</v>
      </c>
      <c r="D3201" s="6">
        <v>4.91</v>
      </c>
      <c r="E3201" t="s">
        <v>12</v>
      </c>
    </row>
    <row r="3202" spans="1:5" x14ac:dyDescent="0.25">
      <c r="A3202" t="str">
        <f>HYPERLINK("https://www.773grp.com/globalSearch/SN74ALVTH162244DL/page-1", "SN74ALVTH162244DL")</f>
        <v>SN74ALVTH162244DL</v>
      </c>
      <c r="B3202" s="3" t="str">
        <f>HYPERLINK("https://www.773grp.com/manufacturer/texas-instruments?pageNo=94", "Texas Instruments")</f>
        <v>Texas Instruments</v>
      </c>
      <c r="C3202" s="5">
        <v>32992</v>
      </c>
      <c r="D3202" s="6">
        <v>4.91</v>
      </c>
      <c r="E3202" t="s">
        <v>12</v>
      </c>
    </row>
    <row r="3203" spans="1:5" x14ac:dyDescent="0.25">
      <c r="A3203" t="str">
        <f>HYPERLINK("https://www.773grp.com/globalSearch/SN74ALVTH162245DL/page-1", "SN74ALVTH162245DL")</f>
        <v>SN74ALVTH162245DL</v>
      </c>
      <c r="B3203" s="3" t="str">
        <f>HYPERLINK("https://www.773grp.com/manufacturer/texas-instruments?pageNo=95", "Texas Instruments")</f>
        <v>Texas Instruments</v>
      </c>
      <c r="C3203" s="5">
        <v>6058</v>
      </c>
      <c r="D3203" s="6">
        <v>4.91</v>
      </c>
      <c r="E3203" t="s">
        <v>12</v>
      </c>
    </row>
    <row r="3204" spans="1:5" x14ac:dyDescent="0.25">
      <c r="A3204" t="str">
        <f>HYPERLINK("https://www.773grp.com/globalSearch/SN74ALVTH16244DL/page-1", "SN74ALVTH16244DL")</f>
        <v>SN74ALVTH16244DL</v>
      </c>
      <c r="B3204" s="3" t="str">
        <f>HYPERLINK("https://www.773grp.com/manufacturer/texas-instruments?pageNo=96", "Texas Instruments")</f>
        <v>Texas Instruments</v>
      </c>
      <c r="C3204" s="5">
        <v>4378</v>
      </c>
      <c r="D3204" s="6">
        <v>4.91</v>
      </c>
      <c r="E3204" t="s">
        <v>12</v>
      </c>
    </row>
    <row r="3205" spans="1:5" x14ac:dyDescent="0.25">
      <c r="A3205" t="str">
        <f>HYPERLINK("https://www.773grp.com/globalSearch/SN74ALVTH16373DL/page-1", "SN74ALVTH16373DL")</f>
        <v>SN74ALVTH16373DL</v>
      </c>
      <c r="B3205" s="3" t="str">
        <f>HYPERLINK("https://www.773grp.com/manufacturer/texas-instruments?pageNo=97", "Texas Instruments")</f>
        <v>Texas Instruments</v>
      </c>
      <c r="C3205" s="5">
        <v>6850</v>
      </c>
      <c r="D3205" s="6">
        <v>4.91</v>
      </c>
      <c r="E3205" t="s">
        <v>12</v>
      </c>
    </row>
    <row r="3206" spans="1:5" x14ac:dyDescent="0.25">
      <c r="A3206" t="str">
        <f>HYPERLINK("https://www.773grp.com/globalSearch/SN74ALVTH16374DL/page-1", "SN74ALVTH16374DL")</f>
        <v>SN74ALVTH16374DL</v>
      </c>
      <c r="B3206" s="3" t="str">
        <f>HYPERLINK("https://www.773grp.com/manufacturer/texas-instruments?pageNo=98", "Texas Instruments")</f>
        <v>Texas Instruments</v>
      </c>
      <c r="C3206" s="5">
        <v>6120</v>
      </c>
      <c r="D3206" s="6">
        <v>4.91</v>
      </c>
      <c r="E3206" t="s">
        <v>12</v>
      </c>
    </row>
    <row r="3207" spans="1:5" x14ac:dyDescent="0.25">
      <c r="A3207" t="str">
        <f>HYPERLINK("https://www.773grp.com/globalSearch/SN74AS373N3/page-1", "SN74AS373N3")</f>
        <v>SN74AS373N3</v>
      </c>
      <c r="B3207" s="3" t="str">
        <f>HYPERLINK("https://www.773grp.com/manufacturer/texas-instruments?pageNo=101", "Texas Instruments")</f>
        <v>Texas Instruments</v>
      </c>
      <c r="C3207" s="5">
        <v>2444</v>
      </c>
      <c r="D3207" s="6">
        <v>4.91</v>
      </c>
      <c r="E3207" t="s">
        <v>12</v>
      </c>
    </row>
    <row r="3208" spans="1:5" x14ac:dyDescent="0.25">
      <c r="A3208" t="str">
        <f>HYPERLINK("https://www.773grp.com/globalSearch/SN74CB3T3125RGYR/page-1", "SN74CB3T3125RGYR")</f>
        <v>SN74CB3T3125RGYR</v>
      </c>
      <c r="B3208" s="3" t="str">
        <f>HYPERLINK("https://www.773grp.com/manufacturer/texas-instruments?pageNo=102", "Texas Instruments")</f>
        <v>Texas Instruments</v>
      </c>
      <c r="C3208" s="5">
        <v>17000</v>
      </c>
      <c r="D3208" s="6">
        <v>4.91</v>
      </c>
      <c r="E3208" t="s">
        <v>12</v>
      </c>
    </row>
    <row r="3209" spans="1:5" x14ac:dyDescent="0.25">
      <c r="A3209" t="str">
        <f>HYPERLINK("https://www.773grp.com/globalSearch/SN74CB3T3245DBQR/page-1", "SN74CB3T3245DBQR")</f>
        <v>SN74CB3T3245DBQR</v>
      </c>
      <c r="B3209" s="3" t="str">
        <f>HYPERLINK("https://www.773grp.com/manufacturer/texas-instruments?pageNo=103", "Texas Instruments")</f>
        <v>Texas Instruments</v>
      </c>
      <c r="C3209" s="5">
        <v>102500</v>
      </c>
      <c r="D3209" s="6">
        <v>4.91</v>
      </c>
      <c r="E3209" t="s">
        <v>12</v>
      </c>
    </row>
    <row r="3210" spans="1:5" x14ac:dyDescent="0.25">
      <c r="A3210" t="str">
        <f>HYPERLINK("https://www.773grp.com/globalSearch/SN74CBT16800CDL/page-1", "SN74CBT16800CDL")</f>
        <v>SN74CBT16800CDL</v>
      </c>
      <c r="B3210" s="3" t="str">
        <f>HYPERLINK("https://www.773grp.com/manufacturer/texas-instruments?pageNo=107", "Texas Instruments")</f>
        <v>Texas Instruments</v>
      </c>
      <c r="C3210" s="5">
        <v>11469</v>
      </c>
      <c r="D3210" s="6">
        <v>4.91</v>
      </c>
      <c r="E3210" t="s">
        <v>12</v>
      </c>
    </row>
    <row r="3211" spans="1:5" x14ac:dyDescent="0.25">
      <c r="A3211" t="str">
        <f>HYPERLINK("https://www.773grp.com/globalSearch/SN74CBT16811CDL/page-1", "SN74CBT16811CDL")</f>
        <v>SN74CBT16811CDL</v>
      </c>
      <c r="B3211" s="3" t="str">
        <f>HYPERLINK("https://www.773grp.com/manufacturer/texas-instruments?pageNo=108", "Texas Instruments")</f>
        <v>Texas Instruments</v>
      </c>
      <c r="C3211" s="5">
        <v>8120</v>
      </c>
      <c r="D3211" s="6">
        <v>4.91</v>
      </c>
      <c r="E3211" t="s">
        <v>12</v>
      </c>
    </row>
    <row r="3212" spans="1:5" x14ac:dyDescent="0.25">
      <c r="A3212" t="str">
        <f>HYPERLINK("https://www.773grp.com/globalSearch/SN74CBT6800ADGVR/page-1", "SN74CBT6800ADGVR")</f>
        <v>SN74CBT6800ADGVR</v>
      </c>
      <c r="B3212" s="3" t="str">
        <f>HYPERLINK("https://www.773grp.com/manufacturer/texas-instruments?pageNo=109", "Texas Instruments")</f>
        <v>Texas Instruments</v>
      </c>
      <c r="C3212" s="5">
        <v>4000</v>
      </c>
      <c r="D3212" s="6">
        <v>4.91</v>
      </c>
      <c r="E3212" t="s">
        <v>12</v>
      </c>
    </row>
    <row r="3213" spans="1:5" x14ac:dyDescent="0.25">
      <c r="A3213" t="str">
        <f>HYPERLINK("https://www.773grp.com/globalSearch/SN74CBT6800APWR/page-1", "SN74CBT6800APWR")</f>
        <v>SN74CBT6800APWR</v>
      </c>
      <c r="B3213" s="3" t="str">
        <f>HYPERLINK("https://www.773grp.com/manufacturer/texas-instruments?pageNo=110", "Texas Instruments")</f>
        <v>Texas Instruments</v>
      </c>
      <c r="C3213" s="5">
        <v>5815</v>
      </c>
      <c r="D3213" s="6">
        <v>4.91</v>
      </c>
      <c r="E3213" t="s">
        <v>12</v>
      </c>
    </row>
    <row r="3214" spans="1:5" x14ac:dyDescent="0.25">
      <c r="A3214" t="str">
        <f>HYPERLINK("https://www.773grp.com/globalSearch/SN74CBT6800CDGVR/page-1", "SN74CBT6800CDGVR")</f>
        <v>SN74CBT6800CDGVR</v>
      </c>
      <c r="B3214" s="3" t="str">
        <f>HYPERLINK("https://www.773grp.com/manufacturer/texas-instruments?pageNo=111", "Texas Instruments")</f>
        <v>Texas Instruments</v>
      </c>
      <c r="C3214" s="5">
        <v>5000</v>
      </c>
      <c r="D3214" s="6">
        <v>4.91</v>
      </c>
      <c r="E3214" t="s">
        <v>12</v>
      </c>
    </row>
    <row r="3215" spans="1:5" x14ac:dyDescent="0.25">
      <c r="A3215" t="str">
        <f>HYPERLINK("https://www.773grp.com/globalSearch/SN74CBT6800CDWR/page-1", "SN74CBT6800CDWR")</f>
        <v>SN74CBT6800CDWR</v>
      </c>
      <c r="B3215" s="3" t="str">
        <f>HYPERLINK("https://www.773grp.com/manufacturer/texas-instruments?pageNo=112", "Texas Instruments")</f>
        <v>Texas Instruments</v>
      </c>
      <c r="C3215" s="5">
        <v>56000</v>
      </c>
      <c r="D3215" s="6">
        <v>4.91</v>
      </c>
      <c r="E3215" t="s">
        <v>12</v>
      </c>
    </row>
    <row r="3216" spans="1:5" x14ac:dyDescent="0.25">
      <c r="A3216" t="str">
        <f>HYPERLINK("https://www.773grp.com/globalSearch/SN74CBT6800CPWR/page-1", "SN74CBT6800CPWR")</f>
        <v>SN74CBT6800CPWR</v>
      </c>
      <c r="B3216" s="3" t="str">
        <f>HYPERLINK("https://www.773grp.com/manufacturer/texas-instruments?pageNo=113", "Texas Instruments")</f>
        <v>Texas Instruments</v>
      </c>
      <c r="C3216" s="5">
        <v>15500</v>
      </c>
      <c r="D3216" s="6">
        <v>4.91</v>
      </c>
      <c r="E3216" t="s">
        <v>12</v>
      </c>
    </row>
    <row r="3217" spans="1:5" x14ac:dyDescent="0.25">
      <c r="A3217" t="str">
        <f>HYPERLINK("https://www.773grp.com/globalSearch/SN74CBT6800DBLE/page-1", "SN74CBT6800DBLE")</f>
        <v>SN74CBT6800DBLE</v>
      </c>
      <c r="B3217" s="3" t="str">
        <f>HYPERLINK("https://www.773grp.com/manufacturer/texas-instruments?pageNo=114", "Texas Instruments")</f>
        <v>Texas Instruments</v>
      </c>
      <c r="C3217" s="5">
        <v>5000</v>
      </c>
      <c r="D3217" s="6">
        <v>4.91</v>
      </c>
      <c r="E3217" t="s">
        <v>12</v>
      </c>
    </row>
    <row r="3218" spans="1:5" x14ac:dyDescent="0.25">
      <c r="A3218" t="str">
        <f>HYPERLINK("https://www.773grp.com/globalSearch/SN74CBT6800DBQR/page-1", "SN74CBT6800DBQR")</f>
        <v>SN74CBT6800DBQR</v>
      </c>
      <c r="B3218" s="3" t="str">
        <f>HYPERLINK("https://www.773grp.com/manufacturer/texas-instruments?pageNo=115", "Texas Instruments")</f>
        <v>Texas Instruments</v>
      </c>
      <c r="C3218" s="5">
        <v>165000</v>
      </c>
      <c r="D3218" s="6">
        <v>4.91</v>
      </c>
      <c r="E3218" t="s">
        <v>12</v>
      </c>
    </row>
    <row r="3219" spans="1:5" x14ac:dyDescent="0.25">
      <c r="A3219" t="str">
        <f>HYPERLINK("https://www.773grp.com/globalSearch/SN74CBT6800DBR/page-1", "SN74CBT6800DBR")</f>
        <v>SN74CBT6800DBR</v>
      </c>
      <c r="B3219" s="3" t="str">
        <f>HYPERLINK("https://www.773grp.com/manufacturer/texas-instruments?pageNo=116", "Texas Instruments")</f>
        <v>Texas Instruments</v>
      </c>
      <c r="C3219" s="5">
        <v>2000</v>
      </c>
      <c r="D3219" s="6">
        <v>4.91</v>
      </c>
      <c r="E3219" t="s">
        <v>12</v>
      </c>
    </row>
    <row r="3220" spans="1:5" x14ac:dyDescent="0.25">
      <c r="A3220" t="str">
        <f>HYPERLINK("https://www.773grp.com/globalSearch/SN74CBT6800DGVR/page-1", "SN74CBT6800DGVR")</f>
        <v>SN74CBT6800DGVR</v>
      </c>
      <c r="B3220" s="3" t="str">
        <f>HYPERLINK("https://www.773grp.com/manufacturer/texas-instruments?pageNo=117", "Texas Instruments")</f>
        <v>Texas Instruments</v>
      </c>
      <c r="C3220" s="5">
        <v>4000</v>
      </c>
      <c r="D3220" s="6">
        <v>4.91</v>
      </c>
      <c r="E3220" t="s">
        <v>12</v>
      </c>
    </row>
    <row r="3221" spans="1:5" x14ac:dyDescent="0.25">
      <c r="A3221" t="str">
        <f>HYPERLINK("https://www.773grp.com/globalSearch/SN74CBT6800DW/page-1", "SN74CBT6800DW")</f>
        <v>SN74CBT6800DW</v>
      </c>
      <c r="B3221" s="3" t="str">
        <f>HYPERLINK("https://www.773grp.com/manufacturer/texas-instruments?pageNo=118", "Texas Instruments")</f>
        <v>Texas Instruments</v>
      </c>
      <c r="C3221" s="5">
        <v>2925</v>
      </c>
      <c r="D3221" s="6">
        <v>4.91</v>
      </c>
      <c r="E3221" t="s">
        <v>12</v>
      </c>
    </row>
    <row r="3222" spans="1:5" x14ac:dyDescent="0.25">
      <c r="A3222" t="str">
        <f>HYPERLINK("https://www.773grp.com/globalSearch/SN74CBT6800PWR/page-1", "SN74CBT6800PWR")</f>
        <v>SN74CBT6800PWR</v>
      </c>
      <c r="B3222" s="3" t="str">
        <f>HYPERLINK("https://www.773grp.com/manufacturer/texas-instruments?pageNo=119", "Texas Instruments")</f>
        <v>Texas Instruments</v>
      </c>
      <c r="C3222" s="5">
        <v>8000</v>
      </c>
      <c r="D3222" s="6">
        <v>4.91</v>
      </c>
      <c r="E3222" t="s">
        <v>12</v>
      </c>
    </row>
    <row r="3223" spans="1:5" x14ac:dyDescent="0.25">
      <c r="A3223" t="str">
        <f>HYPERLINK("https://www.773grp.com/globalSearch/SN74CBTK6800DGVR/page-1", "SN74CBTK6800DGVR")</f>
        <v>SN74CBTK6800DGVR</v>
      </c>
      <c r="B3223" s="3" t="str">
        <f>HYPERLINK("https://www.773grp.com/manufacturer/texas-instruments?pageNo=120", "Texas Instruments")</f>
        <v>Texas Instruments</v>
      </c>
      <c r="C3223" s="5">
        <v>6000</v>
      </c>
      <c r="D3223" s="6">
        <v>4.91</v>
      </c>
      <c r="E3223" t="s">
        <v>12</v>
      </c>
    </row>
    <row r="3224" spans="1:5" x14ac:dyDescent="0.25">
      <c r="A3224" t="str">
        <f>HYPERLINK("https://www.773grp.com/globalSearch/SN74CBTK6800DWR/page-1", "SN74CBTK6800DWR")</f>
        <v>SN74CBTK6800DWR</v>
      </c>
      <c r="B3224" s="3" t="str">
        <f>HYPERLINK("https://www.773grp.com/manufacturer/texas-instruments?pageNo=121", "Texas Instruments")</f>
        <v>Texas Instruments</v>
      </c>
      <c r="C3224" s="5">
        <v>6000</v>
      </c>
      <c r="D3224" s="6">
        <v>4.91</v>
      </c>
      <c r="E3224" t="s">
        <v>12</v>
      </c>
    </row>
    <row r="3225" spans="1:5" x14ac:dyDescent="0.25">
      <c r="A3225" t="str">
        <f>HYPERLINK("https://www.773grp.com/globalSearch/SN74CBTK6800PWR/page-1", "SN74CBTK6800PWR")</f>
        <v>SN74CBTK6800PWR</v>
      </c>
      <c r="B3225" s="3" t="str">
        <f>HYPERLINK("https://www.773grp.com/manufacturer/texas-instruments?pageNo=123", "Texas Instruments")</f>
        <v>Texas Instruments</v>
      </c>
      <c r="C3225" s="5">
        <v>8000</v>
      </c>
      <c r="D3225" s="6">
        <v>4.91</v>
      </c>
      <c r="E3225" t="s">
        <v>12</v>
      </c>
    </row>
    <row r="3226" spans="1:5" x14ac:dyDescent="0.25">
      <c r="A3226" t="str">
        <f>HYPERLINK("https://www.773grp.com/globalSearch/SN74CBTS6800DBR/page-1", "SN74CBTS6800DBR")</f>
        <v>SN74CBTS6800DBR</v>
      </c>
      <c r="B3226" s="3" t="str">
        <f>HYPERLINK("https://www.773grp.com/manufacturer/texas-instruments?pageNo=124", "Texas Instruments")</f>
        <v>Texas Instruments</v>
      </c>
      <c r="C3226" s="5">
        <v>6000</v>
      </c>
      <c r="D3226" s="6">
        <v>4.91</v>
      </c>
      <c r="E3226" t="s">
        <v>12</v>
      </c>
    </row>
    <row r="3227" spans="1:5" x14ac:dyDescent="0.25">
      <c r="A3227" t="str">
        <f>HYPERLINK("https://www.773grp.com/globalSearch/SN74CBTS6800DGVR/page-1", "SN74CBTS6800DGVR")</f>
        <v>SN74CBTS6800DGVR</v>
      </c>
      <c r="B3227" s="3" t="str">
        <f>HYPERLINK("https://www.773grp.com/manufacturer/texas-instruments?pageNo=125", "Texas Instruments")</f>
        <v>Texas Instruments</v>
      </c>
      <c r="C3227" s="5">
        <v>12000</v>
      </c>
      <c r="D3227" s="6">
        <v>4.91</v>
      </c>
      <c r="E3227" t="s">
        <v>12</v>
      </c>
    </row>
    <row r="3228" spans="1:5" x14ac:dyDescent="0.25">
      <c r="A3228" t="str">
        <f>HYPERLINK("https://www.773grp.com/globalSearch/SN74CBTS6800DWR/page-1", "SN74CBTS6800DWR")</f>
        <v>SN74CBTS6800DWR</v>
      </c>
      <c r="B3228" s="3" t="str">
        <f>HYPERLINK("https://www.773grp.com/manufacturer/texas-instruments?pageNo=126", "Texas Instruments")</f>
        <v>Texas Instruments</v>
      </c>
      <c r="C3228" s="5">
        <v>8000</v>
      </c>
      <c r="D3228" s="6">
        <v>4.91</v>
      </c>
      <c r="E3228" t="s">
        <v>12</v>
      </c>
    </row>
    <row r="3229" spans="1:5" x14ac:dyDescent="0.25">
      <c r="A3229" t="str">
        <f>HYPERLINK("https://www.773grp.com/globalSearch/SN74CBTS6800PWR/page-1", "SN74CBTS6800PWR")</f>
        <v>SN74CBTS6800PWR</v>
      </c>
      <c r="B3229" s="3" t="str">
        <f>HYPERLINK("https://www.773grp.com/manufacturer/texas-instruments?pageNo=127", "Texas Instruments")</f>
        <v>Texas Instruments</v>
      </c>
      <c r="C3229" s="5">
        <v>10000</v>
      </c>
      <c r="D3229" s="6">
        <v>4.91</v>
      </c>
      <c r="E3229" t="s">
        <v>12</v>
      </c>
    </row>
    <row r="3230" spans="1:5" x14ac:dyDescent="0.25">
      <c r="A3230" t="str">
        <f>HYPERLINK("https://www.773grp.com/globalSearch/SN74LS640-1N/page-1", "SN74LS640-1N")</f>
        <v>SN74LS640-1N</v>
      </c>
      <c r="B3230" s="3" t="str">
        <f>HYPERLINK("https://www.773grp.com/manufacturer/texas-instruments?pageNo=134", "Texas Instruments")</f>
        <v>Texas Instruments</v>
      </c>
      <c r="C3230" s="5">
        <v>200</v>
      </c>
      <c r="D3230" s="6">
        <v>4.91</v>
      </c>
      <c r="E3230" t="s">
        <v>12</v>
      </c>
    </row>
    <row r="3231" spans="1:5" x14ac:dyDescent="0.25">
      <c r="A3231" t="str">
        <f>HYPERLINK("https://www.773grp.com/globalSearch/SN74LS640N/page-1", "SN74LS640N")</f>
        <v>SN74LS640N</v>
      </c>
      <c r="B3231" s="3" t="str">
        <f>HYPERLINK("https://www.773grp.com/manufacturer/texas-instruments?pageNo=135", "Texas Instruments")</f>
        <v>Texas Instruments</v>
      </c>
      <c r="C3231" s="5">
        <v>654</v>
      </c>
      <c r="D3231" s="6">
        <v>4.91</v>
      </c>
      <c r="E3231" t="s">
        <v>12</v>
      </c>
    </row>
    <row r="3232" spans="1:5" x14ac:dyDescent="0.25">
      <c r="A3232" t="str">
        <f>HYPERLINK("https://www.773grp.com/globalSearch/SN74LS645DW/page-1", "SN74LS645DW")</f>
        <v>SN74LS645DW</v>
      </c>
      <c r="B3232" s="3" t="str">
        <f>HYPERLINK("https://www.773grp.com/manufacturer/texas-instruments?pageNo=136", "Texas Instruments")</f>
        <v>Texas Instruments</v>
      </c>
      <c r="C3232" s="5">
        <v>2457</v>
      </c>
      <c r="D3232" s="6">
        <v>4.91</v>
      </c>
      <c r="E3232" t="s">
        <v>12</v>
      </c>
    </row>
    <row r="3233" spans="1:5" x14ac:dyDescent="0.25">
      <c r="A3233" t="str">
        <f>HYPERLINK("https://www.773grp.com/globalSearch/SN74LVC162244ADGGR/page-1", "SN74LVC162244ADGGR")</f>
        <v>SN74LVC162244ADGGR</v>
      </c>
      <c r="B3233" s="3" t="str">
        <f>HYPERLINK("https://www.773grp.com/manufacturer/texas-instruments?pageNo=141", "Texas Instruments")</f>
        <v>Texas Instruments</v>
      </c>
      <c r="C3233" s="5">
        <v>28689</v>
      </c>
      <c r="D3233" s="6">
        <v>4.91</v>
      </c>
      <c r="E3233" t="s">
        <v>12</v>
      </c>
    </row>
    <row r="3234" spans="1:5" x14ac:dyDescent="0.25">
      <c r="A3234" t="str">
        <f>HYPERLINK("https://www.773grp.com/globalSearch/SN74LVC16245AGQLR/page-1", "SN74LVC16245AGQLR")</f>
        <v>SN74LVC16245AGQLR</v>
      </c>
      <c r="B3234" s="3" t="str">
        <f>HYPERLINK("https://www.773grp.com/manufacturer/texas-instruments?pageNo=142", "Texas Instruments")</f>
        <v>Texas Instruments</v>
      </c>
      <c r="C3234" s="5">
        <v>104900</v>
      </c>
      <c r="D3234" s="6">
        <v>4.91</v>
      </c>
      <c r="E3234" t="s">
        <v>12</v>
      </c>
    </row>
    <row r="3235" spans="1:5" x14ac:dyDescent="0.25">
      <c r="A3235" t="str">
        <f>HYPERLINK("https://www.773grp.com/globalSearch/SN74LVC16245AGRDR/page-1", "SN74LVC16245AGRDR")</f>
        <v>SN74LVC16245AGRDR</v>
      </c>
      <c r="B3235" s="3" t="str">
        <f>HYPERLINK("https://www.773grp.com/manufacturer/texas-instruments?pageNo=143", "Texas Instruments")</f>
        <v>Texas Instruments</v>
      </c>
      <c r="C3235" s="5">
        <v>13000</v>
      </c>
      <c r="D3235" s="6">
        <v>4.91</v>
      </c>
      <c r="E3235" t="s">
        <v>12</v>
      </c>
    </row>
    <row r="3236" spans="1:5" x14ac:dyDescent="0.25">
      <c r="A3236" t="str">
        <f>HYPERLINK("https://www.773grp.com/globalSearch/SN74LVC16245AZQLR/page-1", "SN74LVC16245AZQLR")</f>
        <v>SN74LVC16245AZQLR</v>
      </c>
      <c r="B3236" s="3" t="str">
        <f>HYPERLINK("https://www.773grp.com/manufacturer/texas-instruments?pageNo=145", "Texas Instruments")</f>
        <v>Texas Instruments</v>
      </c>
      <c r="C3236" s="5">
        <v>17812</v>
      </c>
      <c r="D3236" s="6">
        <v>4.91</v>
      </c>
      <c r="E3236" t="s">
        <v>12</v>
      </c>
    </row>
    <row r="3237" spans="1:5" x14ac:dyDescent="0.25">
      <c r="A3237" t="str">
        <f>HYPERLINK("https://www.773grp.com/globalSearch/SN74LVC16245AZRDR/page-1", "SN74LVC16245AZRDR")</f>
        <v>SN74LVC16245AZRDR</v>
      </c>
      <c r="B3237" s="3" t="str">
        <f>HYPERLINK("https://www.773grp.com/manufacturer/texas-instruments?pageNo=146", "Texas Instruments")</f>
        <v>Texas Instruments</v>
      </c>
      <c r="C3237" s="5">
        <v>18000</v>
      </c>
      <c r="D3237" s="6">
        <v>4.91</v>
      </c>
      <c r="E3237" t="s">
        <v>12</v>
      </c>
    </row>
    <row r="3238" spans="1:5" x14ac:dyDescent="0.25">
      <c r="A3238" t="str">
        <f>HYPERLINK("https://www.773grp.com/globalSearch/SN74LVC16374AGQLR/page-1", "SN74LVC16374AGQLR")</f>
        <v>SN74LVC16374AGQLR</v>
      </c>
      <c r="B3238" s="3" t="str">
        <f>HYPERLINK("https://www.773grp.com/manufacturer/texas-instruments?pageNo=147", "Texas Instruments")</f>
        <v>Texas Instruments</v>
      </c>
      <c r="C3238" s="5">
        <v>4000</v>
      </c>
      <c r="D3238" s="6">
        <v>4.91</v>
      </c>
      <c r="E3238" t="s">
        <v>12</v>
      </c>
    </row>
    <row r="3239" spans="1:5" x14ac:dyDescent="0.25">
      <c r="A3239" t="str">
        <f>HYPERLINK("https://www.773grp.com/globalSearch/SN74LVC16374AGRDR/page-1", "SN74LVC16374AGRDR")</f>
        <v>SN74LVC16374AGRDR</v>
      </c>
      <c r="B3239" s="3" t="str">
        <f>HYPERLINK("https://www.773grp.com/manufacturer/texas-instruments?pageNo=148", "Texas Instruments")</f>
        <v>Texas Instruments</v>
      </c>
      <c r="C3239" s="5">
        <v>6000</v>
      </c>
      <c r="D3239" s="6">
        <v>4.91</v>
      </c>
      <c r="E3239" t="s">
        <v>12</v>
      </c>
    </row>
    <row r="3240" spans="1:5" x14ac:dyDescent="0.25">
      <c r="A3240" t="str">
        <f>HYPERLINK("https://www.773grp.com/globalSearch/SN74LVC16374AZRDR/page-1", "SN74LVC16374AZRDR")</f>
        <v>SN74LVC16374AZRDR</v>
      </c>
      <c r="B3240" s="3" t="str">
        <f>HYPERLINK("https://www.773grp.com/manufacturer/texas-instruments?pageNo=149", "Texas Instruments")</f>
        <v>Texas Instruments</v>
      </c>
      <c r="C3240" s="5">
        <v>9000</v>
      </c>
      <c r="D3240" s="6">
        <v>4.91</v>
      </c>
      <c r="E3240" t="s">
        <v>12</v>
      </c>
    </row>
    <row r="3241" spans="1:5" x14ac:dyDescent="0.25">
      <c r="A3241" t="str">
        <f>HYPERLINK("https://www.773grp.com/globalSearch/SN74LVC16646ADGVR/page-1", "SN74LVC16646ADGVR")</f>
        <v>SN74LVC16646ADGVR</v>
      </c>
      <c r="B3241" s="3" t="str">
        <f>HYPERLINK("https://www.773grp.com/manufacturer/texas-instruments?pageNo=150", "Texas Instruments")</f>
        <v>Texas Instruments</v>
      </c>
      <c r="C3241" s="5">
        <v>2000</v>
      </c>
      <c r="D3241" s="6">
        <v>4.91</v>
      </c>
      <c r="E3241" t="s">
        <v>12</v>
      </c>
    </row>
    <row r="3242" spans="1:5" x14ac:dyDescent="0.25">
      <c r="A3242" t="str">
        <f>HYPERLINK("https://www.773grp.com/globalSearch/SN74LVC646APWT/page-1", "SN74LVC646APWT")</f>
        <v>SN74LVC646APWT</v>
      </c>
      <c r="B3242" s="3" t="str">
        <f>HYPERLINK("https://www.773grp.com/manufacturer/texas-instruments?pageNo=151", "Texas Instruments")</f>
        <v>Texas Instruments</v>
      </c>
      <c r="C3242" s="5">
        <v>1000</v>
      </c>
      <c r="D3242" s="6">
        <v>4.91</v>
      </c>
      <c r="E3242" t="s">
        <v>12</v>
      </c>
    </row>
    <row r="3243" spans="1:5" x14ac:dyDescent="0.25">
      <c r="A3243" t="str">
        <f>HYPERLINK("https://www.773grp.com/globalSearch/SN74LVCR162245KR/page-1", "SN74LVCR162245KR")</f>
        <v>SN74LVCR162245KR</v>
      </c>
      <c r="B3243" s="3" t="str">
        <f>HYPERLINK("https://www.773grp.com/manufacturer/texas-instruments?pageNo=152", "Texas Instruments")</f>
        <v>Texas Instruments</v>
      </c>
      <c r="C3243" s="5">
        <v>11000</v>
      </c>
      <c r="D3243" s="6">
        <v>4.91</v>
      </c>
      <c r="E3243" t="s">
        <v>12</v>
      </c>
    </row>
    <row r="3244" spans="1:5" x14ac:dyDescent="0.25">
      <c r="A3244" t="str">
        <f>HYPERLINK("https://www.773grp.com/globalSearch/SN74LVTH162244DL/page-1", "SN74LVTH162244DL")</f>
        <v>SN74LVTH162244DL</v>
      </c>
      <c r="B3244" s="3" t="str">
        <f>HYPERLINK("https://www.773grp.com/manufacturer/texas-instruments?pageNo=153", "Texas Instruments")</f>
        <v>Texas Instruments</v>
      </c>
      <c r="C3244" s="5">
        <v>7901</v>
      </c>
      <c r="D3244" s="6">
        <v>4.91</v>
      </c>
      <c r="E3244" t="s">
        <v>12</v>
      </c>
    </row>
    <row r="3245" spans="1:5" x14ac:dyDescent="0.25">
      <c r="A3245" t="str">
        <f>HYPERLINK("https://www.773grp.com/globalSearch/SN74LVTH16543DGGR/page-1", "SN74LVTH16543DGGR")</f>
        <v>SN74LVTH16543DGGR</v>
      </c>
      <c r="B3245" s="3" t="str">
        <f>HYPERLINK("https://www.773grp.com/manufacturer/texas-instruments?pageNo=155", "Texas Instruments")</f>
        <v>Texas Instruments</v>
      </c>
      <c r="C3245" s="5">
        <v>7176</v>
      </c>
      <c r="D3245" s="6">
        <v>4.91</v>
      </c>
      <c r="E3245" t="s">
        <v>12</v>
      </c>
    </row>
    <row r="3246" spans="1:5" x14ac:dyDescent="0.25">
      <c r="A3246" t="str">
        <f>HYPERLINK("https://www.773grp.com/globalSearch/SN74LVTH541DW/page-1", "SN74LVTH541DW")</f>
        <v>SN74LVTH541DW</v>
      </c>
      <c r="B3246" s="3" t="str">
        <f>HYPERLINK("https://www.773grp.com/manufacturer/texas-instruments?pageNo=156", "Texas Instruments")</f>
        <v>Texas Instruments</v>
      </c>
      <c r="C3246" s="5">
        <v>4611</v>
      </c>
      <c r="D3246" s="6">
        <v>4.91</v>
      </c>
      <c r="E3246" t="s">
        <v>12</v>
      </c>
    </row>
    <row r="3247" spans="1:5" x14ac:dyDescent="0.25">
      <c r="A3247" t="str">
        <f>HYPERLINK("https://www.773grp.com/globalSearch/SN74LVTH541DWE4/page-1", "SN74LVTH541DWE4")</f>
        <v>SN74LVTH541DWE4</v>
      </c>
      <c r="B3247" s="3" t="str">
        <f>HYPERLINK("https://www.773grp.com/manufacturer/texas-instruments?pageNo=157", "Texas Instruments")</f>
        <v>Texas Instruments</v>
      </c>
      <c r="C3247" s="5">
        <v>161</v>
      </c>
      <c r="D3247" s="6">
        <v>4.91</v>
      </c>
      <c r="E3247" t="s">
        <v>12</v>
      </c>
    </row>
    <row r="3248" spans="1:5" x14ac:dyDescent="0.25">
      <c r="A3248" t="str">
        <f>HYPERLINK("https://www.773grp.com/globalSearch/SN74LVTH541PW/page-1", "SN74LVTH541PW")</f>
        <v>SN74LVTH541PW</v>
      </c>
      <c r="B3248" s="3" t="str">
        <f>HYPERLINK("https://www.773grp.com/manufacturer/texas-instruments?pageNo=158", "Texas Instruments")</f>
        <v>Texas Instruments</v>
      </c>
      <c r="C3248" s="5">
        <v>1304</v>
      </c>
      <c r="D3248" s="6">
        <v>4.91</v>
      </c>
      <c r="E3248" t="s">
        <v>12</v>
      </c>
    </row>
    <row r="3249" spans="1:5" x14ac:dyDescent="0.25">
      <c r="A3249" t="str">
        <f>HYPERLINK("https://www.773grp.com/globalSearch/SN74LVT16952DGGR/page-1", "SN74LVT16952DGGR")</f>
        <v>SN74LVT16952DGGR</v>
      </c>
      <c r="B3249" s="3" t="str">
        <f>HYPERLINK("https://www.773grp.com/manufacturer/texas-instruments?pageNo=249", "Texas Instruments")</f>
        <v>Texas Instruments</v>
      </c>
      <c r="C3249" s="5">
        <v>1962</v>
      </c>
      <c r="D3249" s="6">
        <v>4.4800000000000004</v>
      </c>
      <c r="E3249" t="s">
        <v>12</v>
      </c>
    </row>
    <row r="3250" spans="1:5" x14ac:dyDescent="0.25">
      <c r="A3250" t="str">
        <f>HYPERLINK("https://www.773grp.com/globalSearch/74AC16244DLR/page-1", "74AC16244DLR")</f>
        <v>74AC16244DLR</v>
      </c>
      <c r="B3250" s="3" t="str">
        <f>HYPERLINK("https://www.773grp.com/manufacturer/texas-instruments?pageNo=254", "Texas Instruments")</f>
        <v>Texas Instruments</v>
      </c>
      <c r="C3250" s="5">
        <v>47950</v>
      </c>
      <c r="D3250" s="6">
        <v>4.96</v>
      </c>
      <c r="E3250" t="s">
        <v>12</v>
      </c>
    </row>
    <row r="3251" spans="1:5" x14ac:dyDescent="0.25">
      <c r="A3251" t="str">
        <f>HYPERLINK("https://www.773grp.com/globalSearch/74LVCR162245ZQLR/page-1", "74LVCR162245ZQLR")</f>
        <v>74LVCR162245ZQLR</v>
      </c>
      <c r="B3251" s="3" t="str">
        <f>HYPERLINK("https://www.773grp.com/manufacturer/texas-instruments?pageNo=255", "Texas Instruments")</f>
        <v>Texas Instruments</v>
      </c>
      <c r="C3251" s="5">
        <v>12000</v>
      </c>
      <c r="D3251" s="6">
        <v>4.96</v>
      </c>
      <c r="E3251" t="s">
        <v>12</v>
      </c>
    </row>
    <row r="3252" spans="1:5" x14ac:dyDescent="0.25">
      <c r="A3252" t="str">
        <f>HYPERLINK("https://www.773grp.com/globalSearch/SN74ALVCH162374DLR/page-1", "SN74ALVCH162374DLR")</f>
        <v>SN74ALVCH162374DLR</v>
      </c>
      <c r="B3252" s="3" t="str">
        <f>HYPERLINK("https://www.773grp.com/manufacturer/texas-instruments?pageNo=273", "Texas Instruments")</f>
        <v>Texas Instruments</v>
      </c>
      <c r="C3252" s="5">
        <v>3000</v>
      </c>
      <c r="D3252" s="6">
        <v>4.96</v>
      </c>
      <c r="E3252" t="s">
        <v>12</v>
      </c>
    </row>
    <row r="3253" spans="1:5" x14ac:dyDescent="0.25">
      <c r="A3253" t="str">
        <f>HYPERLINK("https://www.773grp.com/globalSearch/SN74HCT652DWR/page-1", "SN74HCT652DWR")</f>
        <v>SN74HCT652DWR</v>
      </c>
      <c r="B3253" s="3" t="str">
        <f>HYPERLINK("https://www.773grp.com/manufacturer/texas-instruments?pageNo=278", "Texas Instruments")</f>
        <v>Texas Instruments</v>
      </c>
      <c r="C3253" s="5">
        <v>1000</v>
      </c>
      <c r="D3253" s="6">
        <v>4.96</v>
      </c>
      <c r="E3253" t="s">
        <v>12</v>
      </c>
    </row>
    <row r="3254" spans="1:5" x14ac:dyDescent="0.25">
      <c r="A3254" t="str">
        <f>HYPERLINK("https://www.773grp.com/globalSearch/SN74ACT16245QDLREP/page-1", "SN74ACT16245QDLREP")</f>
        <v>SN74ACT16245QDLREP</v>
      </c>
      <c r="B3254" s="3" t="str">
        <f>HYPERLINK("https://www.773grp.com/manufacturer/texas-instruments?pageNo=348", "Texas Instruments")</f>
        <v>Texas Instruments</v>
      </c>
      <c r="C3254" s="5">
        <v>2888</v>
      </c>
      <c r="D3254" s="6">
        <v>4.5</v>
      </c>
      <c r="E3254" t="s">
        <v>12</v>
      </c>
    </row>
    <row r="3255" spans="1:5" x14ac:dyDescent="0.25">
      <c r="A3255" t="str">
        <f>HYPERLINK("https://www.773grp.com/globalSearch/SN74ACT16373QDLREP/page-1", "SN74ACT16373QDLREP")</f>
        <v>SN74ACT16373QDLREP</v>
      </c>
      <c r="B3255" s="3" t="str">
        <f>HYPERLINK("https://www.773grp.com/manufacturer/texas-instruments?pageNo=349", "Texas Instruments")</f>
        <v>Texas Instruments</v>
      </c>
      <c r="C3255" s="5">
        <v>1800</v>
      </c>
      <c r="D3255" s="6">
        <v>4.5</v>
      </c>
      <c r="E3255" t="s">
        <v>12</v>
      </c>
    </row>
    <row r="3256" spans="1:5" x14ac:dyDescent="0.25">
      <c r="A3256" t="str">
        <f>HYPERLINK("https://www.773grp.com/globalSearch/SN74AVC16T245ZQLR/page-1", "SN74AVC16T245ZQLR")</f>
        <v>SN74AVC16T245ZQLR</v>
      </c>
      <c r="B3256" s="3" t="str">
        <f>HYPERLINK("https://www.773grp.com/manufacturer/texas-instruments?pageNo=351", "Texas Instruments")</f>
        <v>Texas Instruments</v>
      </c>
      <c r="C3256" s="5">
        <v>488587</v>
      </c>
      <c r="D3256" s="6">
        <v>4.5</v>
      </c>
      <c r="E3256" t="s">
        <v>12</v>
      </c>
    </row>
    <row r="3257" spans="1:5" x14ac:dyDescent="0.25">
      <c r="A3257" t="str">
        <f>HYPERLINK("https://www.773grp.com/globalSearch/SN74AVC20T245DGGR/page-1", "SN74AVC20T245DGGR")</f>
        <v>SN74AVC20T245DGGR</v>
      </c>
      <c r="B3257" s="3" t="str">
        <f>HYPERLINK("https://www.773grp.com/manufacturer/texas-instruments?pageNo=352", "Texas Instruments")</f>
        <v>Texas Instruments</v>
      </c>
      <c r="C3257" s="5">
        <v>11204</v>
      </c>
      <c r="D3257" s="6">
        <v>4.5</v>
      </c>
      <c r="E3257" t="s">
        <v>12</v>
      </c>
    </row>
    <row r="3258" spans="1:5" x14ac:dyDescent="0.25">
      <c r="A3258" t="str">
        <f>HYPERLINK("https://www.773grp.com/globalSearch/SN74AVC20T245GQLR/page-1", "SN74AVC20T245GQLR")</f>
        <v>SN74AVC20T245GQLR</v>
      </c>
      <c r="B3258" s="3" t="str">
        <f>HYPERLINK("https://www.773grp.com/manufacturer/texas-instruments?pageNo=354", "Texas Instruments")</f>
        <v>Texas Instruments</v>
      </c>
      <c r="C3258" s="5">
        <v>20324</v>
      </c>
      <c r="D3258" s="6">
        <v>4.5</v>
      </c>
      <c r="E3258" t="s">
        <v>12</v>
      </c>
    </row>
    <row r="3259" spans="1:5" x14ac:dyDescent="0.25">
      <c r="A3259" t="str">
        <f>HYPERLINK("https://www.773grp.com/globalSearch/SN74AVCH20T245GR/page-1", "SN74AVCH20T245GR")</f>
        <v>SN74AVCH20T245GR</v>
      </c>
      <c r="B3259" s="3" t="str">
        <f>HYPERLINK("https://www.773grp.com/manufacturer/texas-instruments?pageNo=355", "Texas Instruments")</f>
        <v>Texas Instruments</v>
      </c>
      <c r="C3259" s="5">
        <v>2984</v>
      </c>
      <c r="D3259" s="6">
        <v>4.5</v>
      </c>
      <c r="E3259" t="s">
        <v>12</v>
      </c>
    </row>
    <row r="3260" spans="1:5" x14ac:dyDescent="0.25">
      <c r="A3260" t="str">
        <f>HYPERLINK("https://www.773grp.com/globalSearch/SN74AVCH20T245KR/page-1", "SN74AVCH20T245KR")</f>
        <v>SN74AVCH20T245KR</v>
      </c>
      <c r="B3260" s="3" t="str">
        <f>HYPERLINK("https://www.773grp.com/manufacturer/texas-instruments?pageNo=356", "Texas Instruments")</f>
        <v>Texas Instruments</v>
      </c>
      <c r="C3260" s="5">
        <v>3000</v>
      </c>
      <c r="D3260" s="6">
        <v>4.5</v>
      </c>
      <c r="E3260" t="s">
        <v>12</v>
      </c>
    </row>
    <row r="3261" spans="1:5" x14ac:dyDescent="0.25">
      <c r="A3261" t="str">
        <f>HYPERLINK("https://www.773grp.com/globalSearch/SN74AVCH20T245VR/page-1", "SN74AVCH20T245VR")</f>
        <v>SN74AVCH20T245VR</v>
      </c>
      <c r="B3261" s="3" t="str">
        <f>HYPERLINK("https://www.773grp.com/manufacturer/texas-instruments?pageNo=357", "Texas Instruments")</f>
        <v>Texas Instruments</v>
      </c>
      <c r="C3261" s="5">
        <v>7470</v>
      </c>
      <c r="D3261" s="6">
        <v>4.5</v>
      </c>
      <c r="E3261" t="s">
        <v>12</v>
      </c>
    </row>
    <row r="3262" spans="1:5" x14ac:dyDescent="0.25">
      <c r="A3262" t="str">
        <f>HYPERLINK("https://www.773grp.com/globalSearch/SN74CBTR16861DGGR/page-1", "SN74CBTR16861DGGR")</f>
        <v>SN74CBTR16861DGGR</v>
      </c>
      <c r="B3262" s="3" t="str">
        <f>HYPERLINK("https://www.773grp.com/manufacturer/texas-instruments?pageNo=358", "Texas Instruments")</f>
        <v>Texas Instruments</v>
      </c>
      <c r="C3262" s="5">
        <v>6000</v>
      </c>
      <c r="D3262" s="6">
        <v>4.5</v>
      </c>
      <c r="E3262" t="s">
        <v>12</v>
      </c>
    </row>
    <row r="3263" spans="1:5" x14ac:dyDescent="0.25">
      <c r="A3263" t="str">
        <f>HYPERLINK("https://www.773grp.com/globalSearch/SN74CBTR16861DGVR/page-1", "SN74CBTR16861DGVR")</f>
        <v>SN74CBTR16861DGVR</v>
      </c>
      <c r="B3263" s="3" t="str">
        <f>HYPERLINK("https://www.773grp.com/manufacturer/texas-instruments?pageNo=359", "Texas Instruments")</f>
        <v>Texas Instruments</v>
      </c>
      <c r="C3263" s="5">
        <v>23650</v>
      </c>
      <c r="D3263" s="6">
        <v>4.5</v>
      </c>
      <c r="E3263" t="s">
        <v>12</v>
      </c>
    </row>
    <row r="3264" spans="1:5" x14ac:dyDescent="0.25">
      <c r="A3264" t="str">
        <f>HYPERLINK("https://www.773grp.com/globalSearch/SN74CBTR16861DLR/page-1", "SN74CBTR16861DLR")</f>
        <v>SN74CBTR16861DLR</v>
      </c>
      <c r="B3264" s="3" t="str">
        <f>HYPERLINK("https://www.773grp.com/manufacturer/texas-instruments?pageNo=360", "Texas Instruments")</f>
        <v>Texas Instruments</v>
      </c>
      <c r="C3264" s="5">
        <v>4000</v>
      </c>
      <c r="D3264" s="6">
        <v>4.5</v>
      </c>
      <c r="E3264" t="s">
        <v>12</v>
      </c>
    </row>
    <row r="3265" spans="1:5" x14ac:dyDescent="0.25">
      <c r="A3265" t="str">
        <f>HYPERLINK("https://www.773grp.com/globalSearch/SN74LVTZ245DW/page-1", "SN74LVTZ245DW")</f>
        <v>SN74LVTZ245DW</v>
      </c>
      <c r="B3265" s="3" t="str">
        <f>HYPERLINK("https://www.773grp.com/manufacturer/texas-instruments?pageNo=361", "Texas Instruments")</f>
        <v>Texas Instruments</v>
      </c>
      <c r="C3265" s="5">
        <v>9265</v>
      </c>
      <c r="D3265" s="6">
        <v>4.5</v>
      </c>
      <c r="E3265" t="s">
        <v>12</v>
      </c>
    </row>
    <row r="3266" spans="1:5" x14ac:dyDescent="0.25">
      <c r="A3266" t="str">
        <f>HYPERLINK("https://www.773grp.com/globalSearch/SN74LVTZ245DWR/page-1", "SN74LVTZ245DWR")</f>
        <v>SN74LVTZ245DWR</v>
      </c>
      <c r="B3266" s="3" t="str">
        <f>HYPERLINK("https://www.773grp.com/manufacturer/texas-instruments?pageNo=362", "Texas Instruments")</f>
        <v>Texas Instruments</v>
      </c>
      <c r="C3266" s="5">
        <v>5000</v>
      </c>
      <c r="D3266" s="6">
        <v>4.5</v>
      </c>
      <c r="E3266" t="s">
        <v>12</v>
      </c>
    </row>
    <row r="3267" spans="1:5" x14ac:dyDescent="0.25">
      <c r="A3267" t="str">
        <f>HYPERLINK("https://www.773grp.com/globalSearch/SN74ALVC16374DGGR/page-1", "SN74ALVC16374DGGR")</f>
        <v>SN74ALVC16374DGGR</v>
      </c>
      <c r="B3267" s="3" t="str">
        <f>HYPERLINK("https://www.773grp.com/manufacturer/texas-instruments?pageNo=434", "Texas Instruments")</f>
        <v>Texas Instruments</v>
      </c>
      <c r="C3267" s="5">
        <v>2880</v>
      </c>
      <c r="D3267" s="6">
        <v>4.53</v>
      </c>
      <c r="E3267" t="s">
        <v>12</v>
      </c>
    </row>
    <row r="3268" spans="1:5" x14ac:dyDescent="0.25">
      <c r="A3268" t="str">
        <f>HYPERLINK("https://www.773grp.com/globalSearch/SN74ALVC16374DL/page-1", "SN74ALVC16374DL")</f>
        <v>SN74ALVC16374DL</v>
      </c>
      <c r="B3268" s="3" t="str">
        <f>HYPERLINK("https://www.773grp.com/manufacturer/texas-instruments?pageNo=435", "Texas Instruments")</f>
        <v>Texas Instruments</v>
      </c>
      <c r="C3268" s="5">
        <v>5960</v>
      </c>
      <c r="D3268" s="6">
        <v>4.53</v>
      </c>
      <c r="E3268" t="s">
        <v>12</v>
      </c>
    </row>
    <row r="3269" spans="1:5" x14ac:dyDescent="0.25">
      <c r="A3269" t="str">
        <f>HYPERLINK("https://www.773grp.com/globalSearch/SN74CBT16244DL/page-1", "SN74CBT16244DL")</f>
        <v>SN74CBT16244DL</v>
      </c>
      <c r="B3269" s="3" t="str">
        <f>HYPERLINK("https://www.773grp.com/manufacturer/texas-instruments?pageNo=560", "Texas Instruments")</f>
        <v>Texas Instruments</v>
      </c>
      <c r="C3269" s="5">
        <v>4571</v>
      </c>
      <c r="D3269" s="6">
        <v>5.01</v>
      </c>
      <c r="E3269" t="s">
        <v>12</v>
      </c>
    </row>
    <row r="3270" spans="1:5" x14ac:dyDescent="0.25">
      <c r="A3270" t="str">
        <f>HYPERLINK("https://www.773grp.com/globalSearch/SN74LVT240DWR/page-1", "SN74LVT240DWR")</f>
        <v>SN74LVT240DWR</v>
      </c>
      <c r="B3270" s="3" t="str">
        <f>HYPERLINK("https://www.773grp.com/manufacturer/texas-instruments?pageNo=769", "Texas Instruments")</f>
        <v>Texas Instruments</v>
      </c>
      <c r="C3270" s="5">
        <v>2000</v>
      </c>
      <c r="D3270" s="6">
        <v>4.5599999999999996</v>
      </c>
      <c r="E3270" t="s">
        <v>12</v>
      </c>
    </row>
    <row r="3271" spans="1:5" x14ac:dyDescent="0.25">
      <c r="A3271" t="str">
        <f>HYPERLINK("https://www.773grp.com/globalSearch/CY74FCT2574ATQC/page-1", "CY74FCT2574ATQC")</f>
        <v>CY74FCT2574ATQC</v>
      </c>
      <c r="B3271" s="3" t="str">
        <f>HYPERLINK("https://www.773grp.com/manufacturer/texas-instruments?pageNo=784", "Texas Instruments")</f>
        <v>Texas Instruments</v>
      </c>
      <c r="C3271" s="5">
        <v>550</v>
      </c>
      <c r="D3271" s="6">
        <v>5.0599999999999996</v>
      </c>
      <c r="E3271" t="s">
        <v>12</v>
      </c>
    </row>
    <row r="3272" spans="1:5" x14ac:dyDescent="0.25">
      <c r="A3272" t="str">
        <f>HYPERLINK("https://www.773grp.com/globalSearch/CY74FCT573ATQC/page-1", "CY74FCT573ATQC")</f>
        <v>CY74FCT573ATQC</v>
      </c>
      <c r="B3272" s="3" t="str">
        <f>HYPERLINK("https://www.773grp.com/manufacturer/texas-instruments?pageNo=788", "Texas Instruments")</f>
        <v>Texas Instruments</v>
      </c>
      <c r="C3272" s="5">
        <v>1995</v>
      </c>
      <c r="D3272" s="6">
        <v>5.0599999999999996</v>
      </c>
      <c r="E3272" t="s">
        <v>12</v>
      </c>
    </row>
    <row r="3273" spans="1:5" x14ac:dyDescent="0.25">
      <c r="A3273" t="str">
        <f>HYPERLINK("https://www.773grp.com/globalSearch/74AC11244DBR/page-1", "74AC11244DBR")</f>
        <v>74AC11244DBR</v>
      </c>
      <c r="B3273" s="3" t="str">
        <f>HYPERLINK("https://www.773grp.com/manufacturer/texas-instruments?pageNo=863", "Texas Instruments")</f>
        <v>Texas Instruments</v>
      </c>
      <c r="C3273" s="5">
        <v>2000</v>
      </c>
      <c r="D3273" s="6">
        <v>4.6100000000000003</v>
      </c>
      <c r="E3273" t="s">
        <v>12</v>
      </c>
    </row>
    <row r="3274" spans="1:5" x14ac:dyDescent="0.25">
      <c r="A3274" t="str">
        <f>HYPERLINK("https://www.773grp.com/globalSearch/74ALVCH16646DLG4/page-1", "74ALVCH16646DLG4")</f>
        <v>74ALVCH16646DLG4</v>
      </c>
      <c r="B3274" s="3" t="str">
        <f>HYPERLINK("https://www.773grp.com/manufacturer/texas-instruments?pageNo=865", "Texas Instruments")</f>
        <v>Texas Instruments</v>
      </c>
      <c r="C3274" s="5">
        <v>340</v>
      </c>
      <c r="D3274" s="6">
        <v>4.6100000000000003</v>
      </c>
      <c r="E3274" t="s">
        <v>12</v>
      </c>
    </row>
    <row r="3275" spans="1:5" x14ac:dyDescent="0.25">
      <c r="A3275" t="str">
        <f>HYPERLINK("https://www.773grp.com/globalSearch/74FCT162652ATPVCT/page-1", "74FCT162652ATPVCT")</f>
        <v>74FCT162652ATPVCT</v>
      </c>
      <c r="B3275" s="3" t="str">
        <f>HYPERLINK("https://www.773grp.com/manufacturer/texas-instruments?pageNo=866", "Texas Instruments")</f>
        <v>Texas Instruments</v>
      </c>
      <c r="C3275" s="5">
        <v>13590</v>
      </c>
      <c r="D3275" s="6">
        <v>4.6100000000000003</v>
      </c>
      <c r="E3275" t="s">
        <v>12</v>
      </c>
    </row>
    <row r="3276" spans="1:5" x14ac:dyDescent="0.25">
      <c r="A3276" t="str">
        <f>HYPERLINK("https://www.773grp.com/globalSearch/74FCT162652CTPACT/page-1", "74FCT162652CTPACT")</f>
        <v>74FCT162652CTPACT</v>
      </c>
      <c r="B3276" s="3" t="str">
        <f>HYPERLINK("https://www.773grp.com/manufacturer/texas-instruments?pageNo=867", "Texas Instruments")</f>
        <v>Texas Instruments</v>
      </c>
      <c r="C3276" s="5">
        <v>7643</v>
      </c>
      <c r="D3276" s="6">
        <v>4.6100000000000003</v>
      </c>
      <c r="E3276" t="s">
        <v>12</v>
      </c>
    </row>
    <row r="3277" spans="1:5" x14ac:dyDescent="0.25">
      <c r="A3277" t="str">
        <f>HYPERLINK("https://www.773grp.com/globalSearch/CD74ACT646EN/page-1", "CD74ACT646EN")</f>
        <v>CD74ACT646EN</v>
      </c>
      <c r="B3277" s="3" t="str">
        <f>HYPERLINK("https://www.773grp.com/manufacturer/texas-instruments?pageNo=868", "Texas Instruments")</f>
        <v>Texas Instruments</v>
      </c>
      <c r="C3277" s="5">
        <v>727</v>
      </c>
      <c r="D3277" s="6">
        <v>4.6100000000000003</v>
      </c>
      <c r="E3277" t="s">
        <v>12</v>
      </c>
    </row>
    <row r="3278" spans="1:5" x14ac:dyDescent="0.25">
      <c r="A3278" t="str">
        <f>HYPERLINK("https://www.773grp.com/globalSearch/CY74FCT2646ATQCT/page-1", "CY74FCT2646ATQCT")</f>
        <v>CY74FCT2646ATQCT</v>
      </c>
      <c r="B3278" s="3" t="str">
        <f>HYPERLINK("https://www.773grp.com/manufacturer/texas-instruments?pageNo=871", "Texas Instruments")</f>
        <v>Texas Instruments</v>
      </c>
      <c r="C3278" s="5">
        <v>18600</v>
      </c>
      <c r="D3278" s="6">
        <v>4.6100000000000003</v>
      </c>
      <c r="E3278" t="s">
        <v>12</v>
      </c>
    </row>
    <row r="3279" spans="1:5" x14ac:dyDescent="0.25">
      <c r="A3279" t="str">
        <f>HYPERLINK("https://www.773grp.com/globalSearch/CY74FCT2827ATQCT/page-1", "CY74FCT2827ATQCT")</f>
        <v>CY74FCT2827ATQCT</v>
      </c>
      <c r="B3279" s="3" t="str">
        <f>HYPERLINK("https://www.773grp.com/manufacturer/texas-instruments?pageNo=872", "Texas Instruments")</f>
        <v>Texas Instruments</v>
      </c>
      <c r="C3279" s="5">
        <v>131676</v>
      </c>
      <c r="D3279" s="6">
        <v>4.6100000000000003</v>
      </c>
      <c r="E3279" t="s">
        <v>12</v>
      </c>
    </row>
    <row r="3280" spans="1:5" x14ac:dyDescent="0.25">
      <c r="A3280" t="str">
        <f>HYPERLINK("https://www.773grp.com/globalSearch/CY74FCT2827CTQCT/page-1", "CY74FCT2827CTQCT")</f>
        <v>CY74FCT2827CTQCT</v>
      </c>
      <c r="B3280" s="3" t="str">
        <f>HYPERLINK("https://www.773grp.com/manufacturer/texas-instruments?pageNo=873", "Texas Instruments")</f>
        <v>Texas Instruments</v>
      </c>
      <c r="C3280" s="5">
        <v>81975</v>
      </c>
      <c r="D3280" s="6">
        <v>4.6100000000000003</v>
      </c>
      <c r="E3280" t="s">
        <v>12</v>
      </c>
    </row>
    <row r="3281" spans="1:5" x14ac:dyDescent="0.25">
      <c r="A3281" t="str">
        <f>HYPERLINK("https://www.773grp.com/globalSearch/SN64BCT125AD/page-1", "SN64BCT125AD")</f>
        <v>SN64BCT125AD</v>
      </c>
      <c r="B3281" s="3" t="str">
        <f>HYPERLINK("https://www.773grp.com/manufacturer/texas-instruments?pageNo=879", "Texas Instruments")</f>
        <v>Texas Instruments</v>
      </c>
      <c r="C3281" s="5">
        <v>30626</v>
      </c>
      <c r="D3281" s="6">
        <v>4.6100000000000003</v>
      </c>
      <c r="E3281" t="s">
        <v>12</v>
      </c>
    </row>
    <row r="3282" spans="1:5" x14ac:dyDescent="0.25">
      <c r="A3282" t="str">
        <f>HYPERLINK("https://www.773grp.com/globalSearch/SN64BCT126AN/page-1", "SN64BCT126AN")</f>
        <v>SN64BCT126AN</v>
      </c>
      <c r="B3282" s="3" t="str">
        <f>HYPERLINK("https://www.773grp.com/manufacturer/texas-instruments?pageNo=880", "Texas Instruments")</f>
        <v>Texas Instruments</v>
      </c>
      <c r="C3282" s="5">
        <v>31230</v>
      </c>
      <c r="D3282" s="6">
        <v>4.6100000000000003</v>
      </c>
      <c r="E3282" t="s">
        <v>12</v>
      </c>
    </row>
    <row r="3283" spans="1:5" x14ac:dyDescent="0.25">
      <c r="A3283" t="str">
        <f>HYPERLINK("https://www.773grp.com/globalSearch/SN64BCT126ANSR/page-1", "SN64BCT126ANSR")</f>
        <v>SN64BCT126ANSR</v>
      </c>
      <c r="B3283" s="3" t="str">
        <f>HYPERLINK("https://www.773grp.com/manufacturer/texas-instruments?pageNo=881", "Texas Instruments")</f>
        <v>Texas Instruments</v>
      </c>
      <c r="C3283" s="5">
        <v>14000</v>
      </c>
      <c r="D3283" s="6">
        <v>4.6100000000000003</v>
      </c>
      <c r="E3283" t="s">
        <v>12</v>
      </c>
    </row>
    <row r="3284" spans="1:5" x14ac:dyDescent="0.25">
      <c r="A3284" t="str">
        <f>HYPERLINK("https://www.773grp.com/globalSearch/SN74ALS540DW/page-1", "SN74ALS540DW")</f>
        <v>SN74ALS540DW</v>
      </c>
      <c r="B3284" s="3" t="str">
        <f>HYPERLINK("https://www.773grp.com/manufacturer/texas-instruments?pageNo=890", "Texas Instruments")</f>
        <v>Texas Instruments</v>
      </c>
      <c r="C3284" s="5">
        <v>2637</v>
      </c>
      <c r="D3284" s="6">
        <v>4.6100000000000003</v>
      </c>
      <c r="E3284" t="s">
        <v>12</v>
      </c>
    </row>
    <row r="3285" spans="1:5" x14ac:dyDescent="0.25">
      <c r="A3285" t="str">
        <f>HYPERLINK("https://www.773grp.com/globalSearch/SN74ALS640B-1N3/page-1", "SN74ALS640B-1N3")</f>
        <v>SN74ALS640B-1N3</v>
      </c>
      <c r="B3285" s="3" t="str">
        <f>HYPERLINK("https://www.773grp.com/manufacturer/texas-instruments?pageNo=891", "Texas Instruments")</f>
        <v>Texas Instruments</v>
      </c>
      <c r="C3285" s="5">
        <v>2320</v>
      </c>
      <c r="D3285" s="6">
        <v>4.6100000000000003</v>
      </c>
      <c r="E3285" t="s">
        <v>12</v>
      </c>
    </row>
    <row r="3286" spans="1:5" x14ac:dyDescent="0.25">
      <c r="A3286" t="str">
        <f>HYPERLINK("https://www.773grp.com/globalSearch/SN74ALVCH16646DL/page-1", "SN74ALVCH16646DL")</f>
        <v>SN74ALVCH16646DL</v>
      </c>
      <c r="B3286" s="3" t="str">
        <f>HYPERLINK("https://www.773grp.com/manufacturer/texas-instruments?pageNo=892", "Texas Instruments")</f>
        <v>Texas Instruments</v>
      </c>
      <c r="C3286" s="5">
        <v>15900</v>
      </c>
      <c r="D3286" s="6">
        <v>4.6100000000000003</v>
      </c>
      <c r="E3286" t="s">
        <v>12</v>
      </c>
    </row>
    <row r="3287" spans="1:5" x14ac:dyDescent="0.25">
      <c r="A3287" t="str">
        <f>HYPERLINK("https://www.773grp.com/globalSearch/SN74ALVCH16973DGGR/page-1", "SN74ALVCH16973DGGR")</f>
        <v>SN74ALVCH16973DGGR</v>
      </c>
      <c r="B3287" s="3" t="str">
        <f>HYPERLINK("https://www.773grp.com/manufacturer/texas-instruments?pageNo=893", "Texas Instruments")</f>
        <v>Texas Instruments</v>
      </c>
      <c r="C3287" s="5">
        <v>2000</v>
      </c>
      <c r="D3287" s="6">
        <v>4.6100000000000003</v>
      </c>
      <c r="E3287" t="s">
        <v>12</v>
      </c>
    </row>
    <row r="3288" spans="1:5" x14ac:dyDescent="0.25">
      <c r="A3288" t="str">
        <f>HYPERLINK("https://www.773grp.com/globalSearch/SN74ALVCH16973DLR/page-1", "SN74ALVCH16973DLR")</f>
        <v>SN74ALVCH16973DLR</v>
      </c>
      <c r="B3288" s="3" t="str">
        <f>HYPERLINK("https://www.773grp.com/manufacturer/texas-instruments?pageNo=894", "Texas Instruments")</f>
        <v>Texas Instruments</v>
      </c>
      <c r="C3288" s="5">
        <v>8000</v>
      </c>
      <c r="D3288" s="6">
        <v>4.6100000000000003</v>
      </c>
      <c r="E3288" t="s">
        <v>12</v>
      </c>
    </row>
    <row r="3289" spans="1:5" x14ac:dyDescent="0.25">
      <c r="A3289" t="str">
        <f>HYPERLINK("https://www.773grp.com/globalSearch/SN74AS241ADW/page-1", "SN74AS241ADW")</f>
        <v>SN74AS241ADW</v>
      </c>
      <c r="B3289" s="3" t="str">
        <f>HYPERLINK("https://www.773grp.com/manufacturer/texas-instruments?pageNo=901", "Texas Instruments")</f>
        <v>Texas Instruments</v>
      </c>
      <c r="C3289" s="5">
        <v>4995</v>
      </c>
      <c r="D3289" s="6">
        <v>4.6100000000000003</v>
      </c>
      <c r="E3289" t="s">
        <v>12</v>
      </c>
    </row>
    <row r="3290" spans="1:5" x14ac:dyDescent="0.25">
      <c r="A3290" t="str">
        <f>HYPERLINK("https://www.773grp.com/globalSearch/SN74AS241ADWR/page-1", "SN74AS241ADWR")</f>
        <v>SN74AS241ADWR</v>
      </c>
      <c r="B3290" s="3" t="str">
        <f>HYPERLINK("https://www.773grp.com/manufacturer/texas-instruments?pageNo=902", "Texas Instruments")</f>
        <v>Texas Instruments</v>
      </c>
      <c r="C3290" s="5">
        <v>2000</v>
      </c>
      <c r="D3290" s="6">
        <v>4.6100000000000003</v>
      </c>
      <c r="E3290" t="s">
        <v>12</v>
      </c>
    </row>
    <row r="3291" spans="1:5" x14ac:dyDescent="0.25">
      <c r="A3291" t="str">
        <f>HYPERLINK("https://www.773grp.com/globalSearch/SN74BCT125AN/page-1", "SN74BCT125AN")</f>
        <v>SN74BCT125AN</v>
      </c>
      <c r="B3291" s="3" t="str">
        <f>HYPERLINK("https://www.773grp.com/manufacturer/texas-instruments?pageNo=909", "Texas Instruments")</f>
        <v>Texas Instruments</v>
      </c>
      <c r="C3291" s="5">
        <v>22425</v>
      </c>
      <c r="D3291" s="6">
        <v>4.6100000000000003</v>
      </c>
      <c r="E3291" t="s">
        <v>12</v>
      </c>
    </row>
    <row r="3292" spans="1:5" x14ac:dyDescent="0.25">
      <c r="A3292" t="str">
        <f>HYPERLINK("https://www.773grp.com/globalSearch/SN74CBT32245ZKER/page-1", "SN74CBT32245ZKER")</f>
        <v>SN74CBT32245ZKER</v>
      </c>
      <c r="B3292" s="3" t="str">
        <f>HYPERLINK("https://www.773grp.com/manufacturer/texas-instruments?pageNo=911", "Texas Instruments")</f>
        <v>Texas Instruments</v>
      </c>
      <c r="C3292" s="5">
        <v>9000</v>
      </c>
      <c r="D3292" s="6">
        <v>4.6100000000000003</v>
      </c>
      <c r="E3292" t="s">
        <v>12</v>
      </c>
    </row>
    <row r="3293" spans="1:5" x14ac:dyDescent="0.25">
      <c r="A3293" t="str">
        <f>HYPERLINK("https://www.773grp.com/globalSearch/SN74CBTLV16212DL/page-1", "SN74CBTLV16212DL")</f>
        <v>SN74CBTLV16212DL</v>
      </c>
      <c r="B3293" s="3" t="str">
        <f>HYPERLINK("https://www.773grp.com/manufacturer/texas-instruments?pageNo=912", "Texas Instruments")</f>
        <v>Texas Instruments</v>
      </c>
      <c r="C3293" s="5">
        <v>1253</v>
      </c>
      <c r="D3293" s="6">
        <v>4.6100000000000003</v>
      </c>
      <c r="E3293" t="s">
        <v>12</v>
      </c>
    </row>
    <row r="3294" spans="1:5" x14ac:dyDescent="0.25">
      <c r="A3294" t="str">
        <f>HYPERLINK("https://www.773grp.com/globalSearch/SN74CBTLV16800DL/page-1", "SN74CBTLV16800DL")</f>
        <v>SN74CBTLV16800DL</v>
      </c>
      <c r="B3294" s="3" t="str">
        <f>HYPERLINK("https://www.773grp.com/manufacturer/texas-instruments?pageNo=913", "Texas Instruments")</f>
        <v>Texas Instruments</v>
      </c>
      <c r="C3294" s="5">
        <v>7350</v>
      </c>
      <c r="D3294" s="6">
        <v>4.6100000000000003</v>
      </c>
      <c r="E3294" t="s">
        <v>12</v>
      </c>
    </row>
    <row r="3295" spans="1:5" x14ac:dyDescent="0.25">
      <c r="A3295" t="str">
        <f>HYPERLINK("https://www.773grp.com/globalSearch/SN74F622DW/page-1", "SN74F622DW")</f>
        <v>SN74F622DW</v>
      </c>
      <c r="B3295" s="3" t="str">
        <f>HYPERLINK("https://www.773grp.com/manufacturer/texas-instruments?pageNo=914", "Texas Instruments")</f>
        <v>Texas Instruments</v>
      </c>
      <c r="C3295" s="5">
        <v>340</v>
      </c>
      <c r="D3295" s="6">
        <v>4.6100000000000003</v>
      </c>
      <c r="E3295" t="s">
        <v>12</v>
      </c>
    </row>
    <row r="3296" spans="1:5" x14ac:dyDescent="0.25">
      <c r="A3296" t="str">
        <f>HYPERLINK("https://www.773grp.com/globalSearch/SN74F623DWR/page-1", "SN74F623DWR")</f>
        <v>SN74F623DWR</v>
      </c>
      <c r="B3296" s="3" t="str">
        <f>HYPERLINK("https://www.773grp.com/manufacturer/texas-instruments?pageNo=915", "Texas Instruments")</f>
        <v>Texas Instruments</v>
      </c>
      <c r="C3296" s="5">
        <v>2000</v>
      </c>
      <c r="D3296" s="6">
        <v>4.6100000000000003</v>
      </c>
      <c r="E3296" t="s">
        <v>12</v>
      </c>
    </row>
    <row r="3297" spans="1:5" x14ac:dyDescent="0.25">
      <c r="A3297" t="str">
        <f>HYPERLINK("https://www.773grp.com/globalSearch/SN74F623N/page-1", "SN74F623N")</f>
        <v>SN74F623N</v>
      </c>
      <c r="B3297" s="3" t="str">
        <f>HYPERLINK("https://www.773grp.com/manufacturer/texas-instruments?pageNo=916", "Texas Instruments")</f>
        <v>Texas Instruments</v>
      </c>
      <c r="C3297" s="5">
        <v>194</v>
      </c>
      <c r="D3297" s="6">
        <v>4.6100000000000003</v>
      </c>
      <c r="E3297" t="s">
        <v>12</v>
      </c>
    </row>
    <row r="3298" spans="1:5" x14ac:dyDescent="0.25">
      <c r="A3298" t="str">
        <f>HYPERLINK("https://www.773grp.com/globalSearch/SN74GTLP1394DGVR/page-1", "SN74GTLP1394DGVR")</f>
        <v>SN74GTLP1394DGVR</v>
      </c>
      <c r="B3298" s="3" t="str">
        <f>HYPERLINK("https://www.773grp.com/manufacturer/texas-instruments?pageNo=917", "Texas Instruments")</f>
        <v>Texas Instruments</v>
      </c>
      <c r="C3298" s="5">
        <v>7864</v>
      </c>
      <c r="D3298" s="6">
        <v>4.6100000000000003</v>
      </c>
      <c r="E3298" t="s">
        <v>12</v>
      </c>
    </row>
    <row r="3299" spans="1:5" x14ac:dyDescent="0.25">
      <c r="A3299" t="str">
        <f>HYPERLINK("https://www.773grp.com/globalSearch/SN74GTLP1394DR/page-1", "SN74GTLP1394DR")</f>
        <v>SN74GTLP1394DR</v>
      </c>
      <c r="B3299" s="3" t="str">
        <f>HYPERLINK("https://www.773grp.com/manufacturer/texas-instruments?pageNo=918", "Texas Instruments")</f>
        <v>Texas Instruments</v>
      </c>
      <c r="C3299" s="5">
        <v>37500</v>
      </c>
      <c r="D3299" s="6">
        <v>4.6100000000000003</v>
      </c>
      <c r="E3299" t="s">
        <v>12</v>
      </c>
    </row>
    <row r="3300" spans="1:5" x14ac:dyDescent="0.25">
      <c r="A3300" t="str">
        <f>HYPERLINK("https://www.773grp.com/globalSearch/SN74GTLP1394PWR/page-1", "SN74GTLP1394PWR")</f>
        <v>SN74GTLP1394PWR</v>
      </c>
      <c r="B3300" s="3" t="str">
        <f>HYPERLINK("https://www.773grp.com/manufacturer/texas-instruments?pageNo=919", "Texas Instruments")</f>
        <v>Texas Instruments</v>
      </c>
      <c r="C3300" s="5">
        <v>4655</v>
      </c>
      <c r="D3300" s="6">
        <v>4.6100000000000003</v>
      </c>
      <c r="E3300" t="s">
        <v>12</v>
      </c>
    </row>
    <row r="3301" spans="1:5" x14ac:dyDescent="0.25">
      <c r="A3301" t="str">
        <f>HYPERLINK("https://www.773grp.com/globalSearch/SN74LVCH16652ADL/page-1", "SN74LVCH16652ADL")</f>
        <v>SN74LVCH16652ADL</v>
      </c>
      <c r="B3301" s="3" t="str">
        <f>HYPERLINK("https://www.773grp.com/manufacturer/texas-instruments?pageNo=921", "Texas Instruments")</f>
        <v>Texas Instruments</v>
      </c>
      <c r="C3301" s="5">
        <v>17782</v>
      </c>
      <c r="D3301" s="6">
        <v>4.6100000000000003</v>
      </c>
      <c r="E3301" t="s">
        <v>12</v>
      </c>
    </row>
    <row r="3302" spans="1:5" x14ac:dyDescent="0.25">
      <c r="A3302" t="str">
        <f>HYPERLINK("https://www.773grp.com/globalSearch/SN74LVCR16245ADL/page-1", "SN74LVCR16245ADL")</f>
        <v>SN74LVCR16245ADL</v>
      </c>
      <c r="B3302" s="3" t="str">
        <f>HYPERLINK("https://www.773grp.com/manufacturer/texas-instruments?pageNo=922", "Texas Instruments")</f>
        <v>Texas Instruments</v>
      </c>
      <c r="C3302" s="5">
        <v>15495</v>
      </c>
      <c r="D3302" s="6">
        <v>4.6100000000000003</v>
      </c>
      <c r="E3302" t="s">
        <v>12</v>
      </c>
    </row>
    <row r="3303" spans="1:5" x14ac:dyDescent="0.25">
      <c r="A3303" t="str">
        <f>HYPERLINK("https://www.773grp.com/globalSearch/SN74LVCZ16240ADGGR/page-1", "SN74LVCZ16240ADGGR")</f>
        <v>SN74LVCZ16240ADGGR</v>
      </c>
      <c r="B3303" s="3" t="str">
        <f>HYPERLINK("https://www.773grp.com/manufacturer/texas-instruments?pageNo=923", "Texas Instruments")</f>
        <v>Texas Instruments</v>
      </c>
      <c r="C3303" s="5">
        <v>14000</v>
      </c>
      <c r="D3303" s="6">
        <v>4.6100000000000003</v>
      </c>
      <c r="E3303" t="s">
        <v>12</v>
      </c>
    </row>
    <row r="3304" spans="1:5" x14ac:dyDescent="0.25">
      <c r="A3304" t="str">
        <f>HYPERLINK("https://www.773grp.com/globalSearch/SN74LVCZ16240ADGVR/page-1", "SN74LVCZ16240ADGVR")</f>
        <v>SN74LVCZ16240ADGVR</v>
      </c>
      <c r="B3304" s="3" t="str">
        <f>HYPERLINK("https://www.773grp.com/manufacturer/texas-instruments?pageNo=924", "Texas Instruments")</f>
        <v>Texas Instruments</v>
      </c>
      <c r="C3304" s="5">
        <v>2000</v>
      </c>
      <c r="D3304" s="6">
        <v>4.6100000000000003</v>
      </c>
      <c r="E3304" t="s">
        <v>12</v>
      </c>
    </row>
    <row r="3305" spans="1:5" x14ac:dyDescent="0.25">
      <c r="A3305" t="str">
        <f>HYPERLINK("https://www.773grp.com/globalSearch/SN74LVCZ16240ADLR/page-1", "SN74LVCZ16240ADLR")</f>
        <v>SN74LVCZ16240ADLR</v>
      </c>
      <c r="B3305" s="3" t="str">
        <f>HYPERLINK("https://www.773grp.com/manufacturer/texas-instruments?pageNo=925", "Texas Instruments")</f>
        <v>Texas Instruments</v>
      </c>
      <c r="C3305" s="5">
        <v>5000</v>
      </c>
      <c r="D3305" s="6">
        <v>4.6100000000000003</v>
      </c>
      <c r="E3305" t="s">
        <v>12</v>
      </c>
    </row>
    <row r="3306" spans="1:5" x14ac:dyDescent="0.25">
      <c r="A3306" t="str">
        <f>HYPERLINK("https://www.773grp.com/globalSearch/SN74LVTH16952DL/page-1", "SN74LVTH16952DL")</f>
        <v>SN74LVTH16952DL</v>
      </c>
      <c r="B3306" s="3" t="str">
        <f>HYPERLINK("https://www.773grp.com/manufacturer/texas-instruments?pageNo=926", "Texas Instruments")</f>
        <v>Texas Instruments</v>
      </c>
      <c r="C3306" s="5">
        <v>2286</v>
      </c>
      <c r="D3306" s="6">
        <v>4.6100000000000003</v>
      </c>
      <c r="E3306" t="s">
        <v>12</v>
      </c>
    </row>
    <row r="3307" spans="1:5" x14ac:dyDescent="0.25">
      <c r="A3307" t="str">
        <f>HYPERLINK("https://www.773grp.com/globalSearch/SN74LVTH32244ZKER/page-1", "SN74LVTH32244ZKER")</f>
        <v>SN74LVTH32244ZKER</v>
      </c>
      <c r="B3307" s="3" t="str">
        <f>HYPERLINK("https://www.773grp.com/manufacturer/texas-instruments?pageNo=927", "Texas Instruments")</f>
        <v>Texas Instruments</v>
      </c>
      <c r="C3307" s="5">
        <v>27000</v>
      </c>
      <c r="D3307" s="6">
        <v>4.6100000000000003</v>
      </c>
      <c r="E3307" t="s">
        <v>12</v>
      </c>
    </row>
    <row r="3308" spans="1:5" x14ac:dyDescent="0.25">
      <c r="A3308" t="str">
        <f>HYPERLINK("https://www.773grp.com/globalSearch/74AC11373DBR/page-1", "74AC11373DBR")</f>
        <v>74AC11373DBR</v>
      </c>
      <c r="B3308" s="3" t="str">
        <f>HYPERLINK("https://www.773grp.com/manufacturer/texas-instruments?pageNo=957", "Texas Instruments")</f>
        <v>Texas Instruments</v>
      </c>
      <c r="C3308" s="5">
        <v>3785</v>
      </c>
      <c r="D3308" s="6">
        <v>5.1100000000000003</v>
      </c>
      <c r="E3308" t="s">
        <v>12</v>
      </c>
    </row>
    <row r="3309" spans="1:5" x14ac:dyDescent="0.25">
      <c r="A3309" t="str">
        <f>HYPERLINK("https://www.773grp.com/globalSearch/74AC11374DBR/page-1", "74AC11374DBR")</f>
        <v>74AC11374DBR</v>
      </c>
      <c r="B3309" s="3" t="str">
        <f>HYPERLINK("https://www.773grp.com/manufacturer/texas-instruments?pageNo=958", "Texas Instruments")</f>
        <v>Texas Instruments</v>
      </c>
      <c r="C3309" s="5">
        <v>2000</v>
      </c>
      <c r="D3309" s="6">
        <v>5.1100000000000003</v>
      </c>
      <c r="E3309" t="s">
        <v>12</v>
      </c>
    </row>
    <row r="3310" spans="1:5" x14ac:dyDescent="0.25">
      <c r="A3310" t="str">
        <f>HYPERLINK("https://www.773grp.com/globalSearch/SN74ALS540N3/page-1", "SN74ALS540N3")</f>
        <v>SN74ALS540N3</v>
      </c>
      <c r="B3310" s="3" t="str">
        <f>HYPERLINK("https://www.773grp.com/manufacturer/texas-instruments?pageNo=973", "Texas Instruments")</f>
        <v>Texas Instruments</v>
      </c>
      <c r="C3310" s="5">
        <v>2021</v>
      </c>
      <c r="D3310" s="6">
        <v>5.1100000000000003</v>
      </c>
      <c r="E3310" t="s">
        <v>12</v>
      </c>
    </row>
    <row r="3311" spans="1:5" x14ac:dyDescent="0.25">
      <c r="A3311" t="str">
        <f>HYPERLINK("https://www.773grp.com/globalSearch/SN74ALVCHR16245KR/page-1", "SN74ALVCHR16245KR")</f>
        <v>SN74ALVCHR16245KR</v>
      </c>
      <c r="B3311" s="3" t="str">
        <f>HYPERLINK("https://www.773grp.com/manufacturer/texas-instruments?pageNo=974", "Texas Instruments")</f>
        <v>Texas Instruments</v>
      </c>
      <c r="C3311" s="5">
        <v>2000</v>
      </c>
      <c r="D3311" s="6">
        <v>5.1100000000000003</v>
      </c>
      <c r="E3311" t="s">
        <v>12</v>
      </c>
    </row>
    <row r="3312" spans="1:5" x14ac:dyDescent="0.25">
      <c r="A3312" t="str">
        <f>HYPERLINK("https://www.773grp.com/globalSearch/SN74CBT16211CDGGR/page-1", "SN74CBT16211CDGGR")</f>
        <v>SN74CBT16211CDGGR</v>
      </c>
      <c r="B3312" s="3" t="str">
        <f>HYPERLINK("https://www.773grp.com/manufacturer/texas-instruments?pageNo=975", "Texas Instruments")</f>
        <v>Texas Instruments</v>
      </c>
      <c r="C3312" s="5">
        <v>16000</v>
      </c>
      <c r="D3312" s="6">
        <v>5.1100000000000003</v>
      </c>
      <c r="E3312" t="s">
        <v>12</v>
      </c>
    </row>
    <row r="3313" spans="1:5" x14ac:dyDescent="0.25">
      <c r="A3313" t="str">
        <f>HYPERLINK("https://www.773grp.com/globalSearch/SN74LVC841DW/page-1", "SN74LVC841DW")</f>
        <v>SN74LVC841DW</v>
      </c>
      <c r="B3313" s="3" t="str">
        <f>HYPERLINK("https://www.773grp.com/manufacturer/texas-instruments?pageNo=977", "Texas Instruments")</f>
        <v>Texas Instruments</v>
      </c>
      <c r="C3313" s="5">
        <v>9650</v>
      </c>
      <c r="D3313" s="6">
        <v>5.1100000000000003</v>
      </c>
      <c r="E3313" t="s">
        <v>12</v>
      </c>
    </row>
    <row r="3314" spans="1:5" x14ac:dyDescent="0.25">
      <c r="A3314" t="str">
        <f>HYPERLINK("https://www.773grp.com/globalSearch/SN74ABT543APWLE/page-1", "SN74ABT543APWLE")</f>
        <v>SN74ABT543APWLE</v>
      </c>
      <c r="B3314" s="3" t="s">
        <v>90</v>
      </c>
      <c r="C3314" s="5">
        <v>1000</v>
      </c>
      <c r="D3314" s="6">
        <v>4.68</v>
      </c>
      <c r="E3314" t="s">
        <v>12</v>
      </c>
    </row>
    <row r="3315" spans="1:5" x14ac:dyDescent="0.25">
      <c r="A3315" t="str">
        <f>HYPERLINK("https://www.773grp.com/globalSearch/SN74ALVCH16823DLR/page-1", "SN74ALVCH16823DLR")</f>
        <v>SN74ALVCH16823DLR</v>
      </c>
      <c r="B3315" s="3" t="s">
        <v>90</v>
      </c>
      <c r="C3315" s="5">
        <v>7000</v>
      </c>
      <c r="D3315" s="6">
        <v>4.68</v>
      </c>
      <c r="E3315" t="s">
        <v>12</v>
      </c>
    </row>
    <row r="3316" spans="1:5" x14ac:dyDescent="0.25">
      <c r="A3316" t="str">
        <f>HYPERLINK("https://www.773grp.com/globalSearch/74ACT11240DBLE/page-1", "74ACT11240DBLE")</f>
        <v>74ACT11240DBLE</v>
      </c>
      <c r="B3316" s="3" t="s">
        <v>90</v>
      </c>
      <c r="C3316" s="5">
        <v>4000</v>
      </c>
      <c r="D3316" s="6">
        <v>5.16</v>
      </c>
      <c r="E3316" t="s">
        <v>12</v>
      </c>
    </row>
    <row r="3317" spans="1:5" x14ac:dyDescent="0.25">
      <c r="A3317" t="str">
        <f>HYPERLINK("https://www.773grp.com/globalSearch/74LVCH16T245ZQLR/page-1", "74LVCH16T245ZQLR")</f>
        <v>74LVCH16T245ZQLR</v>
      </c>
      <c r="B3317" s="3" t="s">
        <v>90</v>
      </c>
      <c r="C3317" s="5">
        <v>34000</v>
      </c>
      <c r="D3317" s="6">
        <v>5.16</v>
      </c>
      <c r="E3317" t="s">
        <v>12</v>
      </c>
    </row>
    <row r="3318" spans="1:5" x14ac:dyDescent="0.25">
      <c r="A3318" t="str">
        <f>HYPERLINK("https://www.773grp.com/globalSearch/CY74FCT841BTPC/page-1", "CY74FCT841BTPC")</f>
        <v>CY74FCT841BTPC</v>
      </c>
      <c r="B3318" s="3" t="s">
        <v>90</v>
      </c>
      <c r="C3318" s="5">
        <v>3572</v>
      </c>
      <c r="D3318" s="6">
        <v>5.16</v>
      </c>
      <c r="E3318" t="s">
        <v>12</v>
      </c>
    </row>
    <row r="3319" spans="1:5" x14ac:dyDescent="0.25">
      <c r="A3319" t="str">
        <f>HYPERLINK("https://www.773grp.com/globalSearch/SN74ALVCH16525DGGR/page-1", "SN74ALVCH16525DGGR")</f>
        <v>SN74ALVCH16525DGGR</v>
      </c>
      <c r="B3319" s="3" t="s">
        <v>90</v>
      </c>
      <c r="C3319" s="5">
        <v>6000</v>
      </c>
      <c r="D3319" s="6">
        <v>5.16</v>
      </c>
      <c r="E3319" t="s">
        <v>12</v>
      </c>
    </row>
    <row r="3320" spans="1:5" x14ac:dyDescent="0.25">
      <c r="A3320" t="str">
        <f>HYPERLINK("https://www.773grp.com/globalSearch/SN74ALVCH16525DL/page-1", "SN74ALVCH16525DL")</f>
        <v>SN74ALVCH16525DL</v>
      </c>
      <c r="B3320" s="3" t="s">
        <v>90</v>
      </c>
      <c r="C3320" s="5">
        <v>6015</v>
      </c>
      <c r="D3320" s="6">
        <v>5.16</v>
      </c>
      <c r="E3320" t="s">
        <v>12</v>
      </c>
    </row>
    <row r="3321" spans="1:5" x14ac:dyDescent="0.25">
      <c r="A3321" t="str">
        <f>HYPERLINK("https://www.773grp.com/globalSearch/SN74LVC16T245DGVR/page-1", "SN74LVC16T245DGVR")</f>
        <v>SN74LVC16T245DGVR</v>
      </c>
      <c r="B3321" s="3" t="s">
        <v>90</v>
      </c>
      <c r="C3321" s="5">
        <v>9499</v>
      </c>
      <c r="D3321" s="6">
        <v>5.16</v>
      </c>
      <c r="E3321" t="s">
        <v>12</v>
      </c>
    </row>
    <row r="3322" spans="1:5" x14ac:dyDescent="0.25">
      <c r="A3322" t="str">
        <f>HYPERLINK("https://www.773grp.com/globalSearch/SN74LVC16T245DLR/page-1", "SN74LVC16T245DLR")</f>
        <v>SN74LVC16T245DLR</v>
      </c>
      <c r="B3322" s="3" t="s">
        <v>90</v>
      </c>
      <c r="C3322" s="5">
        <v>37000</v>
      </c>
      <c r="D3322" s="6">
        <v>5.16</v>
      </c>
      <c r="E3322" t="s">
        <v>12</v>
      </c>
    </row>
    <row r="3323" spans="1:5" x14ac:dyDescent="0.25">
      <c r="A3323" t="str">
        <f>HYPERLINK("https://www.773grp.com/globalSearch/SN74LVCH16T245DLR/page-1", "SN74LVCH16T245DLR")</f>
        <v>SN74LVCH16T245DLR</v>
      </c>
      <c r="B3323" s="3" t="s">
        <v>90</v>
      </c>
      <c r="C3323" s="5">
        <v>3000</v>
      </c>
      <c r="D3323" s="6">
        <v>5.16</v>
      </c>
      <c r="E3323" t="s">
        <v>12</v>
      </c>
    </row>
    <row r="3324" spans="1:5" x14ac:dyDescent="0.25">
      <c r="A3324" t="str">
        <f>HYPERLINK("https://www.773grp.com/globalSearch/CY74FCT162373ATPAC/page-1", "CY74FCT162373ATPAC")</f>
        <v>CY74FCT162373ATPAC</v>
      </c>
      <c r="B3324" s="3" t="s">
        <v>90</v>
      </c>
      <c r="C3324" s="5">
        <v>4</v>
      </c>
      <c r="D3324" s="6">
        <v>4.6900000000000004</v>
      </c>
      <c r="E3324" t="s">
        <v>12</v>
      </c>
    </row>
    <row r="3325" spans="1:5" x14ac:dyDescent="0.25">
      <c r="A3325" t="str">
        <f>HYPERLINK("https://www.773grp.com/globalSearch/CY74FCT16245ETPVC/page-1", "CY74FCT16245ETPVC")</f>
        <v>CY74FCT16245ETPVC</v>
      </c>
      <c r="B3325" s="3" t="s">
        <v>90</v>
      </c>
      <c r="C3325" s="5">
        <v>10391</v>
      </c>
      <c r="D3325" s="6">
        <v>4.6900000000000004</v>
      </c>
      <c r="E3325" t="s">
        <v>12</v>
      </c>
    </row>
    <row r="3326" spans="1:5" x14ac:dyDescent="0.25">
      <c r="A3326" t="str">
        <f>HYPERLINK("https://www.773grp.com/globalSearch/CY74FCT163373CPAC/page-1", "CY74FCT163373CPAC")</f>
        <v>CY74FCT163373CPAC</v>
      </c>
      <c r="B3326" s="3" t="s">
        <v>90</v>
      </c>
      <c r="C3326" s="5">
        <v>4630</v>
      </c>
      <c r="D3326" s="6">
        <v>4.6900000000000004</v>
      </c>
      <c r="E3326" t="s">
        <v>12</v>
      </c>
    </row>
    <row r="3327" spans="1:5" x14ac:dyDescent="0.25">
      <c r="A3327" t="str">
        <f>HYPERLINK("https://www.773grp.com/globalSearch/CY74FCT163374CPAC/page-1", "CY74FCT163374CPAC")</f>
        <v>CY74FCT163374CPAC</v>
      </c>
      <c r="B3327" s="3" t="s">
        <v>90</v>
      </c>
      <c r="C3327" s="5">
        <v>13</v>
      </c>
      <c r="D3327" s="6">
        <v>4.6900000000000004</v>
      </c>
      <c r="E3327" t="s">
        <v>12</v>
      </c>
    </row>
    <row r="3328" spans="1:5" x14ac:dyDescent="0.25">
      <c r="A3328" t="str">
        <f>HYPERLINK("https://www.773grp.com/globalSearch/CY74FCT16373ATPAC/page-1", "CY74FCT16373ATPAC")</f>
        <v>CY74FCT16373ATPAC</v>
      </c>
      <c r="B3328" s="3" t="s">
        <v>90</v>
      </c>
      <c r="C3328" s="5">
        <v>6769</v>
      </c>
      <c r="D3328" s="6">
        <v>4.6900000000000004</v>
      </c>
      <c r="E3328" t="s">
        <v>12</v>
      </c>
    </row>
    <row r="3329" spans="1:5" x14ac:dyDescent="0.25">
      <c r="A3329" t="str">
        <f>HYPERLINK("https://www.773grp.com/globalSearch/CY74FCT16374CTPAC/page-1", "CY74FCT16374CTPAC")</f>
        <v>CY74FCT16374CTPAC</v>
      </c>
      <c r="B3329" s="3" t="s">
        <v>90</v>
      </c>
      <c r="C3329" s="5">
        <v>5845</v>
      </c>
      <c r="D3329" s="6">
        <v>4.6900000000000004</v>
      </c>
      <c r="E3329" t="s">
        <v>12</v>
      </c>
    </row>
    <row r="3330" spans="1:5" x14ac:dyDescent="0.25">
      <c r="A3330" t="str">
        <f>HYPERLINK("https://www.773grp.com/globalSearch/SN74ALS2242D/page-1", "SN74ALS2242D")</f>
        <v>SN74ALS2242D</v>
      </c>
      <c r="B3330" s="3" t="s">
        <v>90</v>
      </c>
      <c r="C3330" s="5">
        <v>1944</v>
      </c>
      <c r="D3330" s="6">
        <v>4.6900000000000004</v>
      </c>
      <c r="E3330" t="s">
        <v>12</v>
      </c>
    </row>
    <row r="3331" spans="1:5" x14ac:dyDescent="0.25">
      <c r="A3331" t="str">
        <f>HYPERLINK("https://www.773grp.com/globalSearch/CAVCH4T245MRSVREP/page-1", "CAVCH4T245MRSVREP")</f>
        <v>CAVCH4T245MRSVREP</v>
      </c>
      <c r="B3331" s="3" t="s">
        <v>90</v>
      </c>
      <c r="C3331" s="5">
        <v>5500</v>
      </c>
      <c r="D3331" s="6">
        <v>5.21</v>
      </c>
      <c r="E3331" t="s">
        <v>12</v>
      </c>
    </row>
    <row r="3332" spans="1:5" x14ac:dyDescent="0.25">
      <c r="A3332" t="str">
        <f>HYPERLINK("https://www.773grp.com/globalSearch/SN74CBT6800DWR/page-1", "SN74CBT6800DWR")</f>
        <v>SN74CBT6800DWR</v>
      </c>
      <c r="B3332" s="3" t="s">
        <v>90</v>
      </c>
      <c r="C3332" s="5">
        <v>49000</v>
      </c>
      <c r="D3332" s="6">
        <v>5.21</v>
      </c>
      <c r="E3332" t="s">
        <v>12</v>
      </c>
    </row>
    <row r="3333" spans="1:5" x14ac:dyDescent="0.25">
      <c r="A3333" t="str">
        <f>HYPERLINK("https://www.773grp.com/globalSearch/SN74ABT162823ADL/page-1", "SN74ABT162823ADL")</f>
        <v>SN74ABT162823ADL</v>
      </c>
      <c r="B3333" s="3" t="s">
        <v>90</v>
      </c>
      <c r="C3333" s="5">
        <v>7418</v>
      </c>
      <c r="D3333" s="6">
        <v>4.76</v>
      </c>
      <c r="E3333" t="s">
        <v>12</v>
      </c>
    </row>
    <row r="3334" spans="1:5" x14ac:dyDescent="0.25">
      <c r="A3334" t="str">
        <f>HYPERLINK("https://www.773grp.com/globalSearch/SN74ABT16652DL/page-1", "SN74ABT16652DL")</f>
        <v>SN74ABT16652DL</v>
      </c>
      <c r="B3334" s="3" t="s">
        <v>90</v>
      </c>
      <c r="C3334" s="5">
        <v>2328</v>
      </c>
      <c r="D3334" s="6">
        <v>4.76</v>
      </c>
      <c r="E3334" t="s">
        <v>12</v>
      </c>
    </row>
    <row r="3335" spans="1:5" x14ac:dyDescent="0.25">
      <c r="A3335" t="str">
        <f>HYPERLINK("https://www.773grp.com/globalSearch/SN74ABT16652DLR/page-1", "SN74ABT16652DLR")</f>
        <v>SN74ABT16652DLR</v>
      </c>
      <c r="B3335" s="3" t="s">
        <v>90</v>
      </c>
      <c r="C3335" s="5">
        <v>4930</v>
      </c>
      <c r="D3335" s="6">
        <v>4.76</v>
      </c>
      <c r="E3335" t="s">
        <v>12</v>
      </c>
    </row>
    <row r="3336" spans="1:5" x14ac:dyDescent="0.25">
      <c r="A3336" t="str">
        <f>HYPERLINK("https://www.773grp.com/globalSearch/SN74AVC20T245ZQLR/page-1", "SN74AVC20T245ZQLR")</f>
        <v>SN74AVC20T245ZQLR</v>
      </c>
      <c r="B3336" s="3" t="s">
        <v>90</v>
      </c>
      <c r="C3336" s="5">
        <v>101303</v>
      </c>
      <c r="D3336" s="6">
        <v>4.78</v>
      </c>
      <c r="E3336" t="s">
        <v>12</v>
      </c>
    </row>
    <row r="3337" spans="1:5" x14ac:dyDescent="0.25">
      <c r="A3337" t="str">
        <f>HYPERLINK("https://www.773grp.com/globalSearch/74ACT11245DBR/page-1", "74ACT11245DBR")</f>
        <v>74ACT11245DBR</v>
      </c>
      <c r="B3337" s="3" t="s">
        <v>90</v>
      </c>
      <c r="C3337" s="5">
        <v>10000</v>
      </c>
      <c r="D3337" s="6">
        <v>4.8099999999999996</v>
      </c>
      <c r="E3337" t="s">
        <v>12</v>
      </c>
    </row>
    <row r="3338" spans="1:5" x14ac:dyDescent="0.25">
      <c r="A3338" t="str">
        <f>HYPERLINK("https://www.773grp.com/globalSearch/74ALVTH32373ZKER/page-1", "74ALVTH32373ZKER")</f>
        <v>74ALVTH32373ZKER</v>
      </c>
      <c r="B3338" s="3" t="s">
        <v>90</v>
      </c>
      <c r="C3338" s="5">
        <v>16000</v>
      </c>
      <c r="D3338" s="6">
        <v>4.8099999999999996</v>
      </c>
      <c r="E3338" t="s">
        <v>12</v>
      </c>
    </row>
    <row r="3339" spans="1:5" x14ac:dyDescent="0.25">
      <c r="A3339" t="str">
        <f>HYPERLINK("https://www.773grp.com/globalSearch/SN74ABT16823DLR/page-1", "SN74ABT16823DLR")</f>
        <v>SN74ABT16823DLR</v>
      </c>
      <c r="B3339" s="3" t="s">
        <v>90</v>
      </c>
      <c r="C3339" s="5">
        <v>3000</v>
      </c>
      <c r="D3339" s="6">
        <v>4.8099999999999996</v>
      </c>
      <c r="E3339" t="s">
        <v>12</v>
      </c>
    </row>
    <row r="3340" spans="1:5" x14ac:dyDescent="0.25">
      <c r="A3340" t="str">
        <f>HYPERLINK("https://www.773grp.com/globalSearch/SN74ABT16843DGGR/page-1", "SN74ABT16843DGGR")</f>
        <v>SN74ABT16843DGGR</v>
      </c>
      <c r="B3340" s="3" t="s">
        <v>90</v>
      </c>
      <c r="C3340" s="5">
        <v>2000</v>
      </c>
      <c r="D3340" s="6">
        <v>4.8099999999999996</v>
      </c>
      <c r="E3340" t="s">
        <v>12</v>
      </c>
    </row>
    <row r="3341" spans="1:5" x14ac:dyDescent="0.25">
      <c r="A3341" t="str">
        <f>HYPERLINK("https://www.773grp.com/globalSearch/SN74ALS640BDWR/page-1", "SN74ALS640BDWR")</f>
        <v>SN74ALS640BDWR</v>
      </c>
      <c r="B3341" s="3" t="s">
        <v>90</v>
      </c>
      <c r="C3341" s="5">
        <v>3000</v>
      </c>
      <c r="D3341" s="6">
        <v>4.8099999999999996</v>
      </c>
      <c r="E3341" t="s">
        <v>12</v>
      </c>
    </row>
    <row r="3342" spans="1:5" x14ac:dyDescent="0.25">
      <c r="A3342" t="str">
        <f>HYPERLINK("https://www.773grp.com/globalSearch/SN74ALVC16244AGRDR/page-1", "SN74ALVC16244AGRDR")</f>
        <v>SN74ALVC16244AGRDR</v>
      </c>
      <c r="B3342" s="3" t="s">
        <v>90</v>
      </c>
      <c r="C3342" s="5">
        <v>3846</v>
      </c>
      <c r="D3342" s="6">
        <v>4.8099999999999996</v>
      </c>
      <c r="E3342" t="s">
        <v>12</v>
      </c>
    </row>
    <row r="3343" spans="1:5" x14ac:dyDescent="0.25">
      <c r="A3343" t="str">
        <f>HYPERLINK("https://www.773grp.com/globalSearch/SN74ALVC16244AZQLR/page-1", "SN74ALVC16244AZQLR")</f>
        <v>SN74ALVC16244AZQLR</v>
      </c>
      <c r="B3343" s="3" t="s">
        <v>90</v>
      </c>
      <c r="C3343" s="5">
        <v>3850</v>
      </c>
      <c r="D3343" s="6">
        <v>4.8099999999999996</v>
      </c>
      <c r="E3343" t="s">
        <v>12</v>
      </c>
    </row>
    <row r="3344" spans="1:5" x14ac:dyDescent="0.25">
      <c r="A3344" t="str">
        <f>HYPERLINK("https://www.773grp.com/globalSearch/SN74ALVC16244AZRDR/page-1", "SN74ALVC16244AZRDR")</f>
        <v>SN74ALVC16244AZRDR</v>
      </c>
      <c r="B3344" s="3" t="s">
        <v>90</v>
      </c>
      <c r="C3344" s="5">
        <v>8971</v>
      </c>
      <c r="D3344" s="6">
        <v>4.8099999999999996</v>
      </c>
      <c r="E3344" t="s">
        <v>12</v>
      </c>
    </row>
    <row r="3345" spans="1:5" x14ac:dyDescent="0.25">
      <c r="A3345" t="str">
        <f>HYPERLINK("https://www.773grp.com/globalSearch/SN74ALVTH32244KR/page-1", "SN74ALVTH32244KR")</f>
        <v>SN74ALVTH32244KR</v>
      </c>
      <c r="B3345" s="3" t="s">
        <v>90</v>
      </c>
      <c r="C3345" s="5">
        <v>1000</v>
      </c>
      <c r="D3345" s="6">
        <v>4.8099999999999996</v>
      </c>
      <c r="E3345" t="s">
        <v>12</v>
      </c>
    </row>
    <row r="3346" spans="1:5" x14ac:dyDescent="0.25">
      <c r="A3346" t="str">
        <f>HYPERLINK("https://www.773grp.com/globalSearch/SN74ALVTH32373KR/page-1", "SN74ALVTH32373KR")</f>
        <v>SN74ALVTH32373KR</v>
      </c>
      <c r="B3346" s="3" t="s">
        <v>90</v>
      </c>
      <c r="C3346" s="5">
        <v>19000</v>
      </c>
      <c r="D3346" s="6">
        <v>4.8099999999999996</v>
      </c>
      <c r="E3346" t="s">
        <v>12</v>
      </c>
    </row>
    <row r="3347" spans="1:5" x14ac:dyDescent="0.25">
      <c r="A3347" t="str">
        <f>HYPERLINK("https://www.773grp.com/globalSearch/SN74CBTD16211DGGR/page-1", "SN74CBTD16211DGGR")</f>
        <v>SN74CBTD16211DGGR</v>
      </c>
      <c r="B3347" s="3" t="s">
        <v>90</v>
      </c>
      <c r="C3347" s="5">
        <v>1082</v>
      </c>
      <c r="D3347" s="6">
        <v>4.8099999999999996</v>
      </c>
      <c r="E3347" t="s">
        <v>12</v>
      </c>
    </row>
    <row r="3348" spans="1:5" x14ac:dyDescent="0.25">
      <c r="A3348" t="str">
        <f>HYPERLINK("https://www.773grp.com/globalSearch/SN74CBTD16211DGVR/page-1", "SN74CBTD16211DGVR")</f>
        <v>SN74CBTD16211DGVR</v>
      </c>
      <c r="B3348" s="3" t="s">
        <v>90</v>
      </c>
      <c r="C3348" s="5">
        <v>3664</v>
      </c>
      <c r="D3348" s="6">
        <v>4.8099999999999996</v>
      </c>
      <c r="E3348" t="s">
        <v>12</v>
      </c>
    </row>
    <row r="3349" spans="1:5" x14ac:dyDescent="0.25">
      <c r="A3349" t="str">
        <f>HYPERLINK("https://www.773grp.com/globalSearch/SN74CBTD16211DLR/page-1", "SN74CBTD16211DLR")</f>
        <v>SN74CBTD16211DLR</v>
      </c>
      <c r="B3349" s="3" t="s">
        <v>90</v>
      </c>
      <c r="C3349" s="5">
        <v>20000</v>
      </c>
      <c r="D3349" s="6">
        <v>4.8099999999999996</v>
      </c>
      <c r="E3349" t="s">
        <v>12</v>
      </c>
    </row>
    <row r="3350" spans="1:5" x14ac:dyDescent="0.25">
      <c r="A3350" t="str">
        <f>HYPERLINK("https://www.773grp.com/globalSearch/SN74LS243D/page-1", "SN74LS243D")</f>
        <v>SN74LS243D</v>
      </c>
      <c r="B3350" s="3" t="s">
        <v>90</v>
      </c>
      <c r="C3350" s="5">
        <v>6150</v>
      </c>
      <c r="D3350" s="6">
        <v>4.8099999999999996</v>
      </c>
      <c r="E3350" t="s">
        <v>12</v>
      </c>
    </row>
    <row r="3351" spans="1:5" x14ac:dyDescent="0.25">
      <c r="A3351" t="str">
        <f>HYPERLINK("https://www.773grp.com/globalSearch/SN74LS641-1DW/page-1", "SN74LS641-1DW")</f>
        <v>SN74LS641-1DW</v>
      </c>
      <c r="B3351" s="3" t="s">
        <v>90</v>
      </c>
      <c r="C3351" s="5">
        <v>7727</v>
      </c>
      <c r="D3351" s="6">
        <v>4.8099999999999996</v>
      </c>
      <c r="E3351" t="s">
        <v>12</v>
      </c>
    </row>
    <row r="3352" spans="1:5" x14ac:dyDescent="0.25">
      <c r="A3352" t="str">
        <f>HYPERLINK("https://www.773grp.com/globalSearch/SN74LS641DW/page-1", "SN74LS641DW")</f>
        <v>SN74LS641DW</v>
      </c>
      <c r="B3352" s="3" t="s">
        <v>90</v>
      </c>
      <c r="C3352" s="5">
        <v>1039</v>
      </c>
      <c r="D3352" s="6">
        <v>4.8099999999999996</v>
      </c>
      <c r="E3352" t="s">
        <v>12</v>
      </c>
    </row>
    <row r="3353" spans="1:5" x14ac:dyDescent="0.25">
      <c r="A3353" t="str">
        <f>HYPERLINK("https://www.773grp.com/globalSearch/SN74LVCH16T245KR/page-1", "SN74LVCH16T245KR")</f>
        <v>SN74LVCH16T245KR</v>
      </c>
      <c r="B3353" s="3" t="s">
        <v>90</v>
      </c>
      <c r="C3353" s="5">
        <v>845</v>
      </c>
      <c r="D3353" s="6">
        <v>4.8099999999999996</v>
      </c>
      <c r="E3353" t="s">
        <v>12</v>
      </c>
    </row>
    <row r="3354" spans="1:5" x14ac:dyDescent="0.25">
      <c r="A3354" t="str">
        <f>HYPERLINK("https://www.773grp.com/globalSearch/SN74CBTR16861DL/page-1", "SN74CBTR16861DL")</f>
        <v>SN74CBTR16861DL</v>
      </c>
      <c r="B3354" s="3" t="s">
        <v>90</v>
      </c>
      <c r="C3354" s="5">
        <v>1875</v>
      </c>
      <c r="D3354" s="6">
        <v>4.8600000000000003</v>
      </c>
      <c r="E3354" t="s">
        <v>12</v>
      </c>
    </row>
    <row r="3355" spans="1:5" x14ac:dyDescent="0.25">
      <c r="A3355" t="str">
        <f>HYPERLINK("https://www.773grp.com/globalSearch/CY74FCT163373CPACT/page-1", "CY74FCT163373CPACT")</f>
        <v>CY74FCT163373CPACT</v>
      </c>
      <c r="B3355" s="3" t="s">
        <v>90</v>
      </c>
      <c r="C3355" s="5">
        <v>8000</v>
      </c>
      <c r="D3355" s="6">
        <v>4.9000000000000004</v>
      </c>
      <c r="E3355" t="s">
        <v>12</v>
      </c>
    </row>
    <row r="3356" spans="1:5" x14ac:dyDescent="0.25">
      <c r="A3356" t="str">
        <f>HYPERLINK("https://www.773grp.com/globalSearch/SN74AS640DW/page-1", "SN74AS640DW")</f>
        <v>SN74AS640DW</v>
      </c>
      <c r="B3356" s="3" t="s">
        <v>90</v>
      </c>
      <c r="C3356" s="5">
        <v>1183</v>
      </c>
      <c r="D3356" s="6">
        <v>4.9000000000000004</v>
      </c>
      <c r="E3356" t="s">
        <v>12</v>
      </c>
    </row>
    <row r="3357" spans="1:5" x14ac:dyDescent="0.25">
      <c r="A3357" t="str">
        <f>HYPERLINK("https://www.773grp.com/globalSearch/SN74ABT2240DWR/page-1", "SN74ABT2240DWR")</f>
        <v>SN74ABT2240DWR</v>
      </c>
      <c r="B3357" s="3" t="s">
        <v>90</v>
      </c>
      <c r="C3357" s="5">
        <v>9980</v>
      </c>
      <c r="D3357" s="6">
        <v>4.93</v>
      </c>
      <c r="E3357" t="s">
        <v>12</v>
      </c>
    </row>
    <row r="3358" spans="1:5" x14ac:dyDescent="0.25">
      <c r="A3358" t="str">
        <f>HYPERLINK("https://www.773grp.com/globalSearch/SN74AVC24T245ZRGR/page-1", "SN74AVC24T245ZRGR")</f>
        <v>SN74AVC24T245ZRGR</v>
      </c>
      <c r="B3358" s="3" t="s">
        <v>90</v>
      </c>
      <c r="C3358" s="5">
        <v>40500</v>
      </c>
      <c r="D3358" s="6">
        <v>4.93</v>
      </c>
      <c r="E3358" t="s">
        <v>12</v>
      </c>
    </row>
    <row r="3359" spans="1:5" x14ac:dyDescent="0.25">
      <c r="A3359" t="str">
        <f>HYPERLINK("https://www.773grp.com/globalSearch/SN74AVCH24T245ZRGR/page-1", "SN74AVCH24T245ZRGR")</f>
        <v>SN74AVCH24T245ZRGR</v>
      </c>
      <c r="B3359" s="3" t="s">
        <v>90</v>
      </c>
      <c r="C3359" s="5">
        <v>6000</v>
      </c>
      <c r="D3359" s="6">
        <v>4.93</v>
      </c>
      <c r="E3359" t="s">
        <v>12</v>
      </c>
    </row>
    <row r="3360" spans="1:5" x14ac:dyDescent="0.25">
      <c r="A3360" t="str">
        <f>HYPERLINK("https://www.773grp.com/globalSearch/SN74CBT3384DW/page-1", "SN74CBT3384DW")</f>
        <v>SN74CBT3384DW</v>
      </c>
      <c r="B3360" s="3" t="s">
        <v>90</v>
      </c>
      <c r="C3360" s="5">
        <v>736</v>
      </c>
      <c r="D3360" s="6">
        <v>4.93</v>
      </c>
      <c r="E3360" t="s">
        <v>12</v>
      </c>
    </row>
    <row r="3361" spans="1:5" x14ac:dyDescent="0.25">
      <c r="A3361" t="str">
        <f>HYPERLINK("https://www.773grp.com/globalSearch/SN74CBT3384DWR/page-1", "SN74CBT3384DWR")</f>
        <v>SN74CBT3384DWR</v>
      </c>
      <c r="B3361" s="3" t="s">
        <v>90</v>
      </c>
      <c r="C3361" s="5">
        <v>21000</v>
      </c>
      <c r="D3361" s="6">
        <v>4.93</v>
      </c>
      <c r="E3361" t="s">
        <v>12</v>
      </c>
    </row>
    <row r="3362" spans="1:5" x14ac:dyDescent="0.25">
      <c r="A3362" t="str">
        <f>HYPERLINK("https://www.773grp.com/globalSearch/SNJ54125W/page-1", "SNJ54125W")</f>
        <v>SNJ54125W</v>
      </c>
      <c r="B3362" s="3" t="s">
        <v>90</v>
      </c>
      <c r="C3362" s="5">
        <v>248</v>
      </c>
      <c r="D3362" s="6">
        <v>4.95</v>
      </c>
      <c r="E3362" t="s">
        <v>12</v>
      </c>
    </row>
    <row r="3363" spans="1:5" x14ac:dyDescent="0.25">
      <c r="A3363" t="str">
        <f>HYPERLINK("https://www.773grp.com/globalSearch/SN74ALS466AN/page-1", "SN74ALS466AN")</f>
        <v>SN74ALS466AN</v>
      </c>
      <c r="B3363" s="3" t="s">
        <v>90</v>
      </c>
      <c r="C3363" s="5">
        <v>245</v>
      </c>
      <c r="D3363" s="6">
        <v>5.01</v>
      </c>
      <c r="E3363" t="s">
        <v>12</v>
      </c>
    </row>
    <row r="3364" spans="1:5" x14ac:dyDescent="0.25">
      <c r="A3364" t="str">
        <f>HYPERLINK("https://www.773grp.com/globalSearch/SN74ALS467AN3/page-1", "SN74ALS467AN3")</f>
        <v>SN74ALS467AN3</v>
      </c>
      <c r="B3364" s="3" t="s">
        <v>90</v>
      </c>
      <c r="C3364" s="5">
        <v>3467</v>
      </c>
      <c r="D3364" s="6">
        <v>5.01</v>
      </c>
      <c r="E3364" t="s">
        <v>12</v>
      </c>
    </row>
    <row r="3365" spans="1:5" x14ac:dyDescent="0.25">
      <c r="A3365" t="str">
        <f>HYPERLINK("https://www.773grp.com/globalSearch/SN74ALS468AN/page-1", "SN74ALS468AN")</f>
        <v>SN74ALS468AN</v>
      </c>
      <c r="B3365" s="3" t="s">
        <v>90</v>
      </c>
      <c r="C3365" s="5">
        <v>3137</v>
      </c>
      <c r="D3365" s="6">
        <v>5.01</v>
      </c>
      <c r="E3365" t="s">
        <v>12</v>
      </c>
    </row>
    <row r="3366" spans="1:5" x14ac:dyDescent="0.25">
      <c r="A3366" t="str">
        <f>HYPERLINK("https://www.773grp.com/globalSearch/74AC11240DWR/page-1", "74AC11240DWR")</f>
        <v>74AC11240DWR</v>
      </c>
      <c r="B3366" s="3" t="s">
        <v>90</v>
      </c>
      <c r="C3366" s="5">
        <v>16000</v>
      </c>
      <c r="D3366" s="6">
        <v>5.03</v>
      </c>
      <c r="E3366" t="s">
        <v>12</v>
      </c>
    </row>
    <row r="3367" spans="1:5" x14ac:dyDescent="0.25">
      <c r="A3367" t="str">
        <f>HYPERLINK("https://www.773grp.com/globalSearch/74AC11240NT/page-1", "74AC11240NT")</f>
        <v>74AC11240NT</v>
      </c>
      <c r="B3367" s="3" t="s">
        <v>90</v>
      </c>
      <c r="C3367" s="5">
        <v>2247</v>
      </c>
      <c r="D3367" s="6">
        <v>5.03</v>
      </c>
      <c r="E3367" t="s">
        <v>12</v>
      </c>
    </row>
    <row r="3368" spans="1:5" x14ac:dyDescent="0.25">
      <c r="A3368" t="str">
        <f>HYPERLINK("https://www.773grp.com/globalSearch/74AC11244DW/page-1", "74AC11244DW")</f>
        <v>74AC11244DW</v>
      </c>
      <c r="B3368" s="3" t="s">
        <v>90</v>
      </c>
      <c r="C3368" s="5">
        <v>15525</v>
      </c>
      <c r="D3368" s="6">
        <v>5.03</v>
      </c>
      <c r="E3368" t="s">
        <v>12</v>
      </c>
    </row>
    <row r="3369" spans="1:5" x14ac:dyDescent="0.25">
      <c r="A3369" t="str">
        <f>HYPERLINK("https://www.773grp.com/globalSearch/74AC11244PW/page-1", "74AC11244PW")</f>
        <v>74AC11244PW</v>
      </c>
      <c r="B3369" s="3" t="s">
        <v>90</v>
      </c>
      <c r="C3369" s="5">
        <v>277</v>
      </c>
      <c r="D3369" s="6">
        <v>5.03</v>
      </c>
      <c r="E3369" t="s">
        <v>12</v>
      </c>
    </row>
    <row r="3370" spans="1:5" x14ac:dyDescent="0.25">
      <c r="A3370" t="str">
        <f>HYPERLINK("https://www.773grp.com/globalSearch/74AC11245DWR/page-1", "74AC11245DWR")</f>
        <v>74AC11245DWR</v>
      </c>
      <c r="B3370" s="3" t="s">
        <v>90</v>
      </c>
      <c r="C3370" s="5">
        <v>3000</v>
      </c>
      <c r="D3370" s="6">
        <v>5.03</v>
      </c>
      <c r="E3370" t="s">
        <v>12</v>
      </c>
    </row>
    <row r="3371" spans="1:5" x14ac:dyDescent="0.25">
      <c r="A3371" t="str">
        <f>HYPERLINK("https://www.773grp.com/globalSearch/74ACT11827DWR/page-1", "74ACT11827DWR")</f>
        <v>74ACT11827DWR</v>
      </c>
      <c r="B3371" s="3" t="s">
        <v>90</v>
      </c>
      <c r="C3371" s="5">
        <v>1000</v>
      </c>
      <c r="D3371" s="6">
        <v>5.03</v>
      </c>
      <c r="E3371" t="s">
        <v>12</v>
      </c>
    </row>
    <row r="3372" spans="1:5" x14ac:dyDescent="0.25">
      <c r="A3372" t="str">
        <f>HYPERLINK("https://www.773grp.com/globalSearch/CD74HCT640E/page-1", "CD74HCT640E")</f>
        <v>CD74HCT640E</v>
      </c>
      <c r="B3372" s="3" t="s">
        <v>90</v>
      </c>
      <c r="C3372" s="5">
        <v>3683</v>
      </c>
      <c r="D3372" s="6">
        <v>5.03</v>
      </c>
      <c r="E3372" t="s">
        <v>12</v>
      </c>
    </row>
    <row r="3373" spans="1:5" x14ac:dyDescent="0.25">
      <c r="A3373" t="str">
        <f>HYPERLINK("https://www.773grp.com/globalSearch/CD74HCT640EE4/page-1", "CD74HCT640EE4")</f>
        <v>CD74HCT640EE4</v>
      </c>
      <c r="B3373" s="3" t="s">
        <v>90</v>
      </c>
      <c r="C3373" s="5">
        <v>760</v>
      </c>
      <c r="D3373" s="6">
        <v>5.03</v>
      </c>
      <c r="E3373" t="s">
        <v>12</v>
      </c>
    </row>
    <row r="3374" spans="1:5" x14ac:dyDescent="0.25">
      <c r="A3374" t="str">
        <f>HYPERLINK("https://www.773grp.com/globalSearch/CY74FCT16646ATPVCT/page-1", "CY74FCT16646ATPVCT")</f>
        <v>CY74FCT16646ATPVCT</v>
      </c>
      <c r="B3374" s="3" t="s">
        <v>90</v>
      </c>
      <c r="C3374" s="5">
        <v>5000</v>
      </c>
      <c r="D3374" s="6">
        <v>5.03</v>
      </c>
      <c r="E3374" t="s">
        <v>12</v>
      </c>
    </row>
    <row r="3375" spans="1:5" x14ac:dyDescent="0.25">
      <c r="A3375" t="str">
        <f>HYPERLINK("https://www.773grp.com/globalSearch/CY74FCT16646CTPVCT/page-1", "CY74FCT16646CTPVCT")</f>
        <v>CY74FCT16646CTPVCT</v>
      </c>
      <c r="B3375" s="3" t="s">
        <v>90</v>
      </c>
      <c r="C3375" s="5">
        <v>2500</v>
      </c>
      <c r="D3375" s="6">
        <v>5.03</v>
      </c>
      <c r="E3375" t="s">
        <v>12</v>
      </c>
    </row>
    <row r="3376" spans="1:5" x14ac:dyDescent="0.25">
      <c r="A3376" t="str">
        <f>HYPERLINK("https://www.773grp.com/globalSearch/CY74FCT16646TPVCT/page-1", "CY74FCT16646TPVCT")</f>
        <v>CY74FCT16646TPVCT</v>
      </c>
      <c r="B3376" s="3" t="s">
        <v>90</v>
      </c>
      <c r="C3376" s="5">
        <v>1850</v>
      </c>
      <c r="D3376" s="6">
        <v>5.03</v>
      </c>
      <c r="E3376" t="s">
        <v>12</v>
      </c>
    </row>
    <row r="3377" spans="1:5" x14ac:dyDescent="0.25">
      <c r="A3377" t="str">
        <f>HYPERLINK("https://www.773grp.com/globalSearch/CY74FCT16827ATPACT/page-1", "CY74FCT16827ATPACT")</f>
        <v>CY74FCT16827ATPACT</v>
      </c>
      <c r="B3377" s="3" t="s">
        <v>90</v>
      </c>
      <c r="C3377" s="5">
        <v>2000</v>
      </c>
      <c r="D3377" s="6">
        <v>5.03</v>
      </c>
      <c r="E3377" t="s">
        <v>12</v>
      </c>
    </row>
    <row r="3378" spans="1:5" x14ac:dyDescent="0.25">
      <c r="A3378" t="str">
        <f>HYPERLINK("https://www.773grp.com/globalSearch/CY74FCT16827ATPVC/page-1", "CY74FCT16827ATPVC")</f>
        <v>CY74FCT16827ATPVC</v>
      </c>
      <c r="B3378" s="3" t="s">
        <v>90</v>
      </c>
      <c r="C3378" s="5">
        <v>3046</v>
      </c>
      <c r="D3378" s="6">
        <v>5.03</v>
      </c>
      <c r="E3378" t="s">
        <v>12</v>
      </c>
    </row>
    <row r="3379" spans="1:5" x14ac:dyDescent="0.25">
      <c r="A3379" t="str">
        <f>HYPERLINK("https://www.773grp.com/globalSearch/CY74FCT16827CTPACT/page-1", "CY74FCT16827CTPACT")</f>
        <v>CY74FCT16827CTPACT</v>
      </c>
      <c r="B3379" s="3" t="s">
        <v>90</v>
      </c>
      <c r="C3379" s="5">
        <v>2000</v>
      </c>
      <c r="D3379" s="6">
        <v>5.03</v>
      </c>
      <c r="E3379" t="s">
        <v>12</v>
      </c>
    </row>
    <row r="3380" spans="1:5" x14ac:dyDescent="0.25">
      <c r="A3380" t="str">
        <f>HYPERLINK("https://www.773grp.com/globalSearch/CY74FCT16827CTPVC/page-1", "CY74FCT16827CTPVC")</f>
        <v>CY74FCT16827CTPVC</v>
      </c>
      <c r="B3380" s="3" t="s">
        <v>90</v>
      </c>
      <c r="C3380" s="5">
        <v>5451</v>
      </c>
      <c r="D3380" s="6">
        <v>5.03</v>
      </c>
      <c r="E3380" t="s">
        <v>12</v>
      </c>
    </row>
    <row r="3381" spans="1:5" x14ac:dyDescent="0.25">
      <c r="A3381" t="str">
        <f>HYPERLINK("https://www.773grp.com/globalSearch/SN64BCT126AD/page-1", "SN64BCT126AD")</f>
        <v>SN64BCT126AD</v>
      </c>
      <c r="B3381" s="3" t="s">
        <v>90</v>
      </c>
      <c r="C3381" s="5">
        <v>9494</v>
      </c>
      <c r="D3381" s="6">
        <v>5.03</v>
      </c>
      <c r="E3381" t="s">
        <v>12</v>
      </c>
    </row>
    <row r="3382" spans="1:5" x14ac:dyDescent="0.25">
      <c r="A3382" t="str">
        <f>HYPERLINK("https://www.773grp.com/globalSearch/SN74ABT16646DL/page-1", "SN74ABT16646DL")</f>
        <v>SN74ABT16646DL</v>
      </c>
      <c r="B3382" s="3" t="s">
        <v>90</v>
      </c>
      <c r="C3382" s="5">
        <v>20223</v>
      </c>
      <c r="D3382" s="6">
        <v>5.03</v>
      </c>
      <c r="E3382" t="s">
        <v>12</v>
      </c>
    </row>
    <row r="3383" spans="1:5" x14ac:dyDescent="0.25">
      <c r="A3383" t="str">
        <f>HYPERLINK("https://www.773grp.com/globalSearch/SN74ALVC162834GR/page-1", "SN74ALVC162834GR")</f>
        <v>SN74ALVC162834GR</v>
      </c>
      <c r="B3383" s="3" t="s">
        <v>90</v>
      </c>
      <c r="C3383" s="5">
        <v>12000</v>
      </c>
      <c r="D3383" s="6">
        <v>5.03</v>
      </c>
      <c r="E3383" t="s">
        <v>12</v>
      </c>
    </row>
    <row r="3384" spans="1:5" x14ac:dyDescent="0.25">
      <c r="A3384" t="str">
        <f>HYPERLINK("https://www.773grp.com/globalSearch/SN74ALVC162834VR/page-1", "SN74ALVC162834VR")</f>
        <v>SN74ALVC162834VR</v>
      </c>
      <c r="B3384" s="3" t="s">
        <v>90</v>
      </c>
      <c r="C3384" s="5">
        <v>1563</v>
      </c>
      <c r="D3384" s="6">
        <v>5.03</v>
      </c>
      <c r="E3384" t="s">
        <v>12</v>
      </c>
    </row>
    <row r="3385" spans="1:5" x14ac:dyDescent="0.25">
      <c r="A3385" t="str">
        <f>HYPERLINK("https://www.773grp.com/globalSearch/SN74AUC32245ZKER/page-1", "SN74AUC32245ZKER")</f>
        <v>SN74AUC32245ZKER</v>
      </c>
      <c r="B3385" s="3" t="s">
        <v>90</v>
      </c>
      <c r="C3385" s="5">
        <v>90000</v>
      </c>
      <c r="D3385" s="6">
        <v>5.03</v>
      </c>
      <c r="E3385" t="s">
        <v>12</v>
      </c>
    </row>
    <row r="3386" spans="1:5" x14ac:dyDescent="0.25">
      <c r="A3386" t="str">
        <f>HYPERLINK("https://www.773grp.com/globalSearch/SN74BCT125AD/page-1", "SN74BCT125AD")</f>
        <v>SN74BCT125AD</v>
      </c>
      <c r="B3386" s="3" t="s">
        <v>90</v>
      </c>
      <c r="C3386" s="5">
        <v>334</v>
      </c>
      <c r="D3386" s="6">
        <v>5.03</v>
      </c>
      <c r="E3386" t="s">
        <v>12</v>
      </c>
    </row>
    <row r="3387" spans="1:5" x14ac:dyDescent="0.25">
      <c r="A3387" t="str">
        <f>HYPERLINK("https://www.773grp.com/globalSearch/SN74CB3Q16244DL/page-1", "SN74CB3Q16244DL")</f>
        <v>SN74CB3Q16244DL</v>
      </c>
      <c r="B3387" s="3" t="s">
        <v>90</v>
      </c>
      <c r="C3387" s="5">
        <v>13141</v>
      </c>
      <c r="D3387" s="6">
        <v>5.03</v>
      </c>
      <c r="E3387" t="s">
        <v>12</v>
      </c>
    </row>
    <row r="3388" spans="1:5" x14ac:dyDescent="0.25">
      <c r="A3388" t="str">
        <f>HYPERLINK("https://www.773grp.com/globalSearch/SN74CB3Q16245DL/page-1", "SN74CB3Q16245DL")</f>
        <v>SN74CB3Q16245DL</v>
      </c>
      <c r="B3388" s="3" t="s">
        <v>90</v>
      </c>
      <c r="C3388" s="5">
        <v>9650</v>
      </c>
      <c r="D3388" s="6">
        <v>5.03</v>
      </c>
      <c r="E3388" t="s">
        <v>12</v>
      </c>
    </row>
    <row r="3389" spans="1:5" x14ac:dyDescent="0.25">
      <c r="A3389" t="str">
        <f>HYPERLINK("https://www.773grp.com/globalSearch/SN74CB3T16211DL/page-1", "SN74CB3T16211DL")</f>
        <v>SN74CB3T16211DL</v>
      </c>
      <c r="B3389" s="3" t="s">
        <v>90</v>
      </c>
      <c r="C3389" s="5">
        <v>2787</v>
      </c>
      <c r="D3389" s="6">
        <v>5.03</v>
      </c>
      <c r="E3389" t="s">
        <v>12</v>
      </c>
    </row>
    <row r="3390" spans="1:5" x14ac:dyDescent="0.25">
      <c r="A3390" t="str">
        <f>HYPERLINK("https://www.773grp.com/globalSearch/SN74CBT16861DLR/page-1", "SN74CBT16861DLR")</f>
        <v>SN74CBT16861DLR</v>
      </c>
      <c r="B3390" s="3" t="s">
        <v>90</v>
      </c>
      <c r="C3390" s="5">
        <v>5000</v>
      </c>
      <c r="D3390" s="6">
        <v>5.03</v>
      </c>
      <c r="E3390" t="s">
        <v>12</v>
      </c>
    </row>
    <row r="3391" spans="1:5" x14ac:dyDescent="0.25">
      <c r="A3391" t="str">
        <f>HYPERLINK("https://www.773grp.com/globalSearch/SN74CBTD16210DLR/page-1", "SN74CBTD16210DLR")</f>
        <v>SN74CBTD16210DLR</v>
      </c>
      <c r="B3391" s="3" t="s">
        <v>90</v>
      </c>
      <c r="C3391" s="5">
        <v>3</v>
      </c>
      <c r="D3391" s="6">
        <v>5.03</v>
      </c>
      <c r="E3391" t="s">
        <v>12</v>
      </c>
    </row>
    <row r="3392" spans="1:5" x14ac:dyDescent="0.25">
      <c r="A3392" t="str">
        <f>HYPERLINK("https://www.773grp.com/globalSearch/SN74LVCH16540ADL/page-1", "SN74LVCH16540ADL")</f>
        <v>SN74LVCH16540ADL</v>
      </c>
      <c r="B3392" s="3" t="s">
        <v>90</v>
      </c>
      <c r="C3392" s="5">
        <v>24965</v>
      </c>
      <c r="D3392" s="6">
        <v>5.03</v>
      </c>
      <c r="E3392" t="s">
        <v>12</v>
      </c>
    </row>
    <row r="3393" spans="1:5" x14ac:dyDescent="0.25">
      <c r="A3393" t="str">
        <f>HYPERLINK("https://www.773grp.com/globalSearch/SN74LVT2952DBR/page-1", "SN74LVT2952DBR")</f>
        <v>SN74LVT2952DBR</v>
      </c>
      <c r="B3393" s="3" t="s">
        <v>90</v>
      </c>
      <c r="C3393" s="5">
        <v>2000</v>
      </c>
      <c r="D3393" s="6">
        <v>5.03</v>
      </c>
      <c r="E3393" t="s">
        <v>12</v>
      </c>
    </row>
    <row r="3394" spans="1:5" x14ac:dyDescent="0.25">
      <c r="A3394" t="str">
        <f>HYPERLINK("https://www.773grp.com/globalSearch/SN74LVT2952DW/page-1", "SN74LVT2952DW")</f>
        <v>SN74LVT2952DW</v>
      </c>
      <c r="B3394" s="3" t="s">
        <v>90</v>
      </c>
      <c r="C3394" s="5">
        <v>781</v>
      </c>
      <c r="D3394" s="6">
        <v>5.03</v>
      </c>
      <c r="E3394" t="s">
        <v>12</v>
      </c>
    </row>
    <row r="3395" spans="1:5" x14ac:dyDescent="0.25">
      <c r="A3395" t="str">
        <f>HYPERLINK("https://www.773grp.com/globalSearch/SN74AVC32T245ZKER/page-1", "SN74AVC32T245ZKER")</f>
        <v>SN74AVC32T245ZKER</v>
      </c>
      <c r="B3395" s="3" t="s">
        <v>90</v>
      </c>
      <c r="C3395" s="5">
        <v>5699</v>
      </c>
      <c r="D3395" s="6">
        <v>5.0599999999999996</v>
      </c>
      <c r="E3395" t="s">
        <v>12</v>
      </c>
    </row>
    <row r="3396" spans="1:5" x14ac:dyDescent="0.25">
      <c r="A3396" t="str">
        <f>HYPERLINK("https://www.773grp.com/globalSearch/SN74AVC32T245ZRLR/page-1", "SN74AVC32T245ZRLR")</f>
        <v>SN74AVC32T245ZRLR</v>
      </c>
      <c r="B3396" s="3" t="s">
        <v>90</v>
      </c>
      <c r="C3396" s="5">
        <v>4700</v>
      </c>
      <c r="D3396" s="6">
        <v>5.0599999999999996</v>
      </c>
      <c r="E3396" t="s">
        <v>12</v>
      </c>
    </row>
    <row r="3397" spans="1:5" x14ac:dyDescent="0.25">
      <c r="A3397" t="str">
        <f>HYPERLINK("https://www.773grp.com/globalSearch/SN74AVCH32T245ZKER/page-1", "SN74AVCH32T245ZKER")</f>
        <v>SN74AVCH32T245ZKER</v>
      </c>
      <c r="B3397" s="3" t="s">
        <v>90</v>
      </c>
      <c r="C3397" s="5">
        <v>16000</v>
      </c>
      <c r="D3397" s="6">
        <v>5.0599999999999996</v>
      </c>
      <c r="E3397" t="s">
        <v>12</v>
      </c>
    </row>
    <row r="3398" spans="1:5" x14ac:dyDescent="0.25">
      <c r="A3398" t="str">
        <f>HYPERLINK("https://www.773grp.com/globalSearch/CY74FCT163H245CPVC/page-1", "CY74FCT163H245CPVC")</f>
        <v>CY74FCT163H245CPVC</v>
      </c>
      <c r="B3398" s="3" t="s">
        <v>90</v>
      </c>
      <c r="C3398" s="5">
        <v>2668</v>
      </c>
      <c r="D3398" s="6">
        <v>5.0999999999999996</v>
      </c>
      <c r="E3398" t="s">
        <v>12</v>
      </c>
    </row>
    <row r="3399" spans="1:5" x14ac:dyDescent="0.25">
      <c r="A3399" t="str">
        <f>HYPERLINK("https://www.773grp.com/globalSearch/74ACT11640DW/page-1", "74ACT11640DW")</f>
        <v>74ACT11640DW</v>
      </c>
      <c r="B3399" s="3" t="s">
        <v>90</v>
      </c>
      <c r="C3399" s="5">
        <v>306</v>
      </c>
      <c r="D3399" s="6">
        <v>5.1100000000000003</v>
      </c>
      <c r="E3399" t="s">
        <v>12</v>
      </c>
    </row>
    <row r="3400" spans="1:5" x14ac:dyDescent="0.25">
      <c r="A3400" t="str">
        <f>HYPERLINK("https://www.773grp.com/globalSearch/SN74AS242D/page-1", "SN74AS242D")</f>
        <v>SN74AS242D</v>
      </c>
      <c r="B3400" s="3" t="s">
        <v>90</v>
      </c>
      <c r="C3400" s="5">
        <v>40</v>
      </c>
      <c r="D3400" s="6">
        <v>5.18</v>
      </c>
      <c r="E3400" t="s">
        <v>12</v>
      </c>
    </row>
    <row r="3401" spans="1:5" x14ac:dyDescent="0.25">
      <c r="A3401" t="str">
        <f>HYPERLINK("https://www.773grp.com/globalSearch/74ACT11244DW/page-1", "74ACT11244DW")</f>
        <v>74ACT11244DW</v>
      </c>
      <c r="B3401" s="3" t="s">
        <v>90</v>
      </c>
      <c r="C3401" s="5">
        <v>2399</v>
      </c>
      <c r="D3401" s="6">
        <v>5.24</v>
      </c>
      <c r="E3401" t="s">
        <v>12</v>
      </c>
    </row>
    <row r="3402" spans="1:5" x14ac:dyDescent="0.25">
      <c r="A3402" t="str">
        <f>HYPERLINK("https://www.773grp.com/globalSearch/74ACT11244PW/page-1", "74ACT11244PW")</f>
        <v>74ACT11244PW</v>
      </c>
      <c r="B3402" s="3" t="s">
        <v>90</v>
      </c>
      <c r="C3402" s="5">
        <v>1964</v>
      </c>
      <c r="D3402" s="6">
        <v>5.24</v>
      </c>
      <c r="E3402" t="s">
        <v>12</v>
      </c>
    </row>
    <row r="3403" spans="1:5" x14ac:dyDescent="0.25">
      <c r="A3403" t="str">
        <f>HYPERLINK("https://www.773grp.com/globalSearch/74ACT11245DW/page-1", "74ACT11245DW")</f>
        <v>74ACT11245DW</v>
      </c>
      <c r="B3403" s="3" t="s">
        <v>90</v>
      </c>
      <c r="C3403" s="5">
        <v>1737</v>
      </c>
      <c r="D3403" s="6">
        <v>5.24</v>
      </c>
      <c r="E3403" t="s">
        <v>12</v>
      </c>
    </row>
    <row r="3404" spans="1:5" x14ac:dyDescent="0.25">
      <c r="A3404" t="str">
        <f>HYPERLINK("https://www.773grp.com/globalSearch/74ACT11373DW/page-1", "74ACT11373DW")</f>
        <v>74ACT11373DW</v>
      </c>
      <c r="B3404" s="3" t="s">
        <v>90</v>
      </c>
      <c r="C3404" s="5">
        <v>22332</v>
      </c>
      <c r="D3404" s="6">
        <v>5.24</v>
      </c>
      <c r="E3404" t="s">
        <v>12</v>
      </c>
    </row>
    <row r="3405" spans="1:5" x14ac:dyDescent="0.25">
      <c r="A3405" t="str">
        <f>HYPERLINK("https://www.773grp.com/globalSearch/SN74ABT162823ADLR/page-1", "SN74ABT162823ADLR")</f>
        <v>SN74ABT162823ADLR</v>
      </c>
      <c r="B3405" s="3" t="s">
        <v>90</v>
      </c>
      <c r="C3405" s="5">
        <v>54000</v>
      </c>
      <c r="D3405" s="6">
        <v>5.24</v>
      </c>
      <c r="E3405" t="s">
        <v>12</v>
      </c>
    </row>
    <row r="3406" spans="1:5" x14ac:dyDescent="0.25">
      <c r="A3406" t="str">
        <f>HYPERLINK("https://www.773grp.com/globalSearch/SN74ABT16500BDGGR/page-1", "SN74ABT16500BDGGR")</f>
        <v>SN74ABT16500BDGGR</v>
      </c>
      <c r="B3406" s="3" t="s">
        <v>90</v>
      </c>
      <c r="C3406" s="5">
        <v>2000</v>
      </c>
      <c r="D3406" s="6">
        <v>5.24</v>
      </c>
      <c r="E3406" t="s">
        <v>12</v>
      </c>
    </row>
    <row r="3407" spans="1:5" x14ac:dyDescent="0.25">
      <c r="A3407" t="str">
        <f>HYPERLINK("https://www.773grp.com/globalSearch/SN74ALVTH162827LR/page-1", "SN74ALVTH162827LR")</f>
        <v>SN74ALVTH162827LR</v>
      </c>
      <c r="B3407" s="3" t="s">
        <v>90</v>
      </c>
      <c r="C3407" s="5">
        <v>6000</v>
      </c>
      <c r="D3407" s="6">
        <v>5.24</v>
      </c>
      <c r="E3407" t="s">
        <v>12</v>
      </c>
    </row>
    <row r="3408" spans="1:5" x14ac:dyDescent="0.25">
      <c r="A3408" t="str">
        <f>HYPERLINK("https://www.773grp.com/globalSearch/SN74ALVTH162827VR/page-1", "SN74ALVTH162827VR")</f>
        <v>SN74ALVTH162827VR</v>
      </c>
      <c r="B3408" s="3" t="s">
        <v>90</v>
      </c>
      <c r="C3408" s="5">
        <v>12111</v>
      </c>
      <c r="D3408" s="6">
        <v>5.24</v>
      </c>
      <c r="E3408" t="s">
        <v>12</v>
      </c>
    </row>
    <row r="3409" spans="1:5" x14ac:dyDescent="0.25">
      <c r="A3409" t="str">
        <f>HYPERLINK("https://www.773grp.com/globalSearch/SN74AUC16244GQLR/page-1", "SN74AUC16244GQLR")</f>
        <v>SN74AUC16244GQLR</v>
      </c>
      <c r="B3409" s="3" t="s">
        <v>90</v>
      </c>
      <c r="C3409" s="5">
        <v>8000</v>
      </c>
      <c r="D3409" s="6">
        <v>5.24</v>
      </c>
      <c r="E3409" t="s">
        <v>12</v>
      </c>
    </row>
    <row r="3410" spans="1:5" x14ac:dyDescent="0.25">
      <c r="A3410" t="str">
        <f>HYPERLINK("https://www.773grp.com/globalSearch/SN74AUC16244ZQLR/page-1", "SN74AUC16244ZQLR")</f>
        <v>SN74AUC16244ZQLR</v>
      </c>
      <c r="B3410" s="3" t="s">
        <v>90</v>
      </c>
      <c r="C3410" s="5">
        <v>32000</v>
      </c>
      <c r="D3410" s="6">
        <v>5.24</v>
      </c>
      <c r="E3410" t="s">
        <v>12</v>
      </c>
    </row>
    <row r="3411" spans="1:5" x14ac:dyDescent="0.25">
      <c r="A3411" t="str">
        <f>HYPERLINK("https://www.773grp.com/globalSearch/SN74AUC16245GQLR/page-1", "SN74AUC16245GQLR")</f>
        <v>SN74AUC16245GQLR</v>
      </c>
      <c r="B3411" s="3" t="s">
        <v>90</v>
      </c>
      <c r="C3411" s="5">
        <v>9900</v>
      </c>
      <c r="D3411" s="6">
        <v>5.24</v>
      </c>
      <c r="E3411" t="s">
        <v>12</v>
      </c>
    </row>
    <row r="3412" spans="1:5" x14ac:dyDescent="0.25">
      <c r="A3412" t="str">
        <f>HYPERLINK("https://www.773grp.com/globalSearch/SN74AUC16245ZQLR/page-1", "SN74AUC16245ZQLR")</f>
        <v>SN74AUC16245ZQLR</v>
      </c>
      <c r="B3412" s="3" t="s">
        <v>90</v>
      </c>
      <c r="C3412" s="5">
        <v>89000</v>
      </c>
      <c r="D3412" s="6">
        <v>5.24</v>
      </c>
      <c r="E3412" t="s">
        <v>12</v>
      </c>
    </row>
    <row r="3413" spans="1:5" x14ac:dyDescent="0.25">
      <c r="A3413" t="str">
        <f>HYPERLINK("https://www.773grp.com/globalSearch/SN74AUCH16244ZQLR/page-1", "SN74AUCH16244ZQLR")</f>
        <v>SN74AUCH16244ZQLR</v>
      </c>
      <c r="B3413" s="3" t="s">
        <v>90</v>
      </c>
      <c r="C3413" s="5">
        <v>2000</v>
      </c>
      <c r="D3413" s="6">
        <v>5.24</v>
      </c>
      <c r="E3413" t="s">
        <v>12</v>
      </c>
    </row>
    <row r="3414" spans="1:5" x14ac:dyDescent="0.25">
      <c r="A3414" t="str">
        <f>HYPERLINK("https://www.773grp.com/globalSearch/SN74AUCH16374GQLR/page-1", "SN74AUCH16374GQLR")</f>
        <v>SN74AUCH16374GQLR</v>
      </c>
      <c r="B3414" s="3" t="s">
        <v>90</v>
      </c>
      <c r="C3414" s="5">
        <v>4900</v>
      </c>
      <c r="D3414" s="6">
        <v>5.24</v>
      </c>
      <c r="E3414" t="s">
        <v>12</v>
      </c>
    </row>
    <row r="3415" spans="1:5" x14ac:dyDescent="0.25">
      <c r="A3415" t="str">
        <f>HYPERLINK("https://www.773grp.com/globalSearch/SN74AUCH32374ZKER/page-1", "SN74AUCH32374ZKER")</f>
        <v>SN74AUCH32374ZKER</v>
      </c>
      <c r="B3415" s="3" t="s">
        <v>90</v>
      </c>
      <c r="C3415" s="5">
        <v>11000</v>
      </c>
      <c r="D3415" s="6">
        <v>5.24</v>
      </c>
      <c r="E3415" t="s">
        <v>12</v>
      </c>
    </row>
    <row r="3416" spans="1:5" x14ac:dyDescent="0.25">
      <c r="A3416" t="str">
        <f>HYPERLINK("https://www.773grp.com/globalSearch/SN74AVC20T245DGG/page-1", "SN74AVC20T245DGG")</f>
        <v>SN74AVC20T245DGG</v>
      </c>
      <c r="B3416" s="3" t="s">
        <v>90</v>
      </c>
      <c r="C3416" s="5">
        <v>2130</v>
      </c>
      <c r="D3416" s="6">
        <v>5.24</v>
      </c>
      <c r="E3416" t="s">
        <v>12</v>
      </c>
    </row>
    <row r="3417" spans="1:5" x14ac:dyDescent="0.25">
      <c r="A3417" t="str">
        <f>HYPERLINK("https://www.773grp.com/globalSearch/SN74BCT240DBR/page-1", "SN74BCT240DBR")</f>
        <v>SN74BCT240DBR</v>
      </c>
      <c r="B3417" s="3" t="s">
        <v>90</v>
      </c>
      <c r="C3417" s="5">
        <v>1450</v>
      </c>
      <c r="D3417" s="6">
        <v>5.24</v>
      </c>
      <c r="E3417" t="s">
        <v>12</v>
      </c>
    </row>
    <row r="3418" spans="1:5" x14ac:dyDescent="0.25">
      <c r="A3418" t="str">
        <f>HYPERLINK("https://www.773grp.com/globalSearch/SN74BCT241DWR/page-1", "SN74BCT241DWR")</f>
        <v>SN74BCT241DWR</v>
      </c>
      <c r="B3418" s="3" t="s">
        <v>90</v>
      </c>
      <c r="C3418" s="5">
        <v>1000</v>
      </c>
      <c r="D3418" s="6">
        <v>5.24</v>
      </c>
      <c r="E3418" t="s">
        <v>12</v>
      </c>
    </row>
    <row r="3419" spans="1:5" x14ac:dyDescent="0.25">
      <c r="A3419" t="str">
        <f>HYPERLINK("https://www.773grp.com/globalSearch/SN74BCT244DBR/page-1", "SN74BCT244DBR")</f>
        <v>SN74BCT244DBR</v>
      </c>
      <c r="B3419" s="3" t="s">
        <v>90</v>
      </c>
      <c r="C3419" s="5">
        <v>31348</v>
      </c>
      <c r="D3419" s="6">
        <v>5.24</v>
      </c>
      <c r="E3419" t="s">
        <v>12</v>
      </c>
    </row>
    <row r="3420" spans="1:5" x14ac:dyDescent="0.25">
      <c r="A3420" t="str">
        <f>HYPERLINK("https://www.773grp.com/globalSearch/SN74BCT374DWR/page-1", "SN74BCT374DWR")</f>
        <v>SN74BCT374DWR</v>
      </c>
      <c r="B3420" s="3" t="s">
        <v>90</v>
      </c>
      <c r="C3420" s="5">
        <v>16000</v>
      </c>
      <c r="D3420" s="6">
        <v>5.24</v>
      </c>
      <c r="E3420" t="s">
        <v>12</v>
      </c>
    </row>
    <row r="3421" spans="1:5" x14ac:dyDescent="0.25">
      <c r="A3421" t="str">
        <f>HYPERLINK("https://www.773grp.com/globalSearch/SN74BCT756DWR/page-1", "SN74BCT756DWR")</f>
        <v>SN74BCT756DWR</v>
      </c>
      <c r="B3421" s="3" t="s">
        <v>90</v>
      </c>
      <c r="C3421" s="5">
        <v>10000</v>
      </c>
      <c r="D3421" s="6">
        <v>5.24</v>
      </c>
      <c r="E3421" t="s">
        <v>12</v>
      </c>
    </row>
    <row r="3422" spans="1:5" x14ac:dyDescent="0.25">
      <c r="A3422" t="str">
        <f>HYPERLINK("https://www.773grp.com/globalSearch/SN74LVC16543DLR/page-1", "SN74LVC16543DLR")</f>
        <v>SN74LVC16543DLR</v>
      </c>
      <c r="B3422" s="3" t="s">
        <v>90</v>
      </c>
      <c r="C3422" s="5">
        <v>10303</v>
      </c>
      <c r="D3422" s="6">
        <v>5.24</v>
      </c>
      <c r="E3422" t="s">
        <v>12</v>
      </c>
    </row>
    <row r="3423" spans="1:5" x14ac:dyDescent="0.25">
      <c r="A3423" t="str">
        <f>HYPERLINK("https://www.773grp.com/globalSearch/SN74LVC32374AZKER/page-1", "SN74LVC32374AZKER")</f>
        <v>SN74LVC32374AZKER</v>
      </c>
      <c r="B3423" s="3" t="s">
        <v>90</v>
      </c>
      <c r="C3423" s="5">
        <v>14000</v>
      </c>
      <c r="D3423" s="6">
        <v>5.24</v>
      </c>
      <c r="E3423" t="s">
        <v>12</v>
      </c>
    </row>
    <row r="3424" spans="1:5" x14ac:dyDescent="0.25">
      <c r="A3424" t="str">
        <f>HYPERLINK("https://www.773grp.com/globalSearch/SN74LVT162245DL/page-1", "SN74LVT162245DL")</f>
        <v>SN74LVT162245DL</v>
      </c>
      <c r="B3424" s="3" t="s">
        <v>90</v>
      </c>
      <c r="C3424" s="5">
        <v>3807</v>
      </c>
      <c r="D3424" s="6">
        <v>5.24</v>
      </c>
      <c r="E3424" t="s">
        <v>12</v>
      </c>
    </row>
    <row r="3425" spans="1:5" x14ac:dyDescent="0.25">
      <c r="A3425" t="str">
        <f>HYPERLINK("https://www.773grp.com/globalSearch/SN74LVT16245ADL/page-1", "SN74LVT16245ADL")</f>
        <v>SN74LVT16245ADL</v>
      </c>
      <c r="B3425" s="3" t="s">
        <v>90</v>
      </c>
      <c r="C3425" s="5">
        <v>28656</v>
      </c>
      <c r="D3425" s="6">
        <v>5.24</v>
      </c>
      <c r="E3425" t="s">
        <v>12</v>
      </c>
    </row>
    <row r="3426" spans="1:5" x14ac:dyDescent="0.25">
      <c r="A3426" t="str">
        <f>HYPERLINK("https://www.773grp.com/globalSearch/74ACT11478DW/page-1", "74ACT11478DW")</f>
        <v>74ACT11478DW</v>
      </c>
      <c r="B3426" s="3" t="s">
        <v>90</v>
      </c>
      <c r="C3426" s="5">
        <v>893</v>
      </c>
      <c r="D3426" s="6">
        <v>5.26</v>
      </c>
      <c r="E3426" t="s">
        <v>12</v>
      </c>
    </row>
    <row r="3427" spans="1:5" x14ac:dyDescent="0.25">
      <c r="A3427" t="str">
        <f>HYPERLINK("https://www.773grp.com/globalSearch/SN74LVT245DW/page-1", "SN74LVT245DW")</f>
        <v>SN74LVT245DW</v>
      </c>
      <c r="B3427" s="3" t="s">
        <v>90</v>
      </c>
      <c r="C3427" s="5">
        <v>924</v>
      </c>
      <c r="D3427" s="6">
        <v>5.26</v>
      </c>
      <c r="E3427" t="s">
        <v>12</v>
      </c>
    </row>
    <row r="3428" spans="1:5" x14ac:dyDescent="0.25">
      <c r="A3428" t="str">
        <f>HYPERLINK("https://www.773grp.com/globalSearch/SN74LVT245DWR/page-1", "SN74LVT245DWR")</f>
        <v>SN74LVT245DWR</v>
      </c>
      <c r="B3428" s="3" t="s">
        <v>90</v>
      </c>
      <c r="C3428" s="5">
        <v>9000</v>
      </c>
      <c r="D3428" s="6">
        <v>5.26</v>
      </c>
      <c r="E3428" t="s">
        <v>12</v>
      </c>
    </row>
    <row r="3429" spans="1:5" x14ac:dyDescent="0.25">
      <c r="A3429" t="str">
        <f>HYPERLINK("https://www.773grp.com/globalSearch/74FCT163H245CPACT/page-1", "74FCT163H245CPACT")</f>
        <v>74FCT163H245CPACT</v>
      </c>
      <c r="B3429" s="3" t="s">
        <v>90</v>
      </c>
      <c r="C3429" s="5">
        <v>3850</v>
      </c>
      <c r="D3429" s="6">
        <v>5.31</v>
      </c>
      <c r="E3429" t="s">
        <v>12</v>
      </c>
    </row>
    <row r="3430" spans="1:5" x14ac:dyDescent="0.25">
      <c r="A3430" t="str">
        <f>HYPERLINK("https://www.773grp.com/globalSearch/CD74FCT373M/page-1", "CD74FCT373M")</f>
        <v>CD74FCT373M</v>
      </c>
      <c r="B3430" s="3" t="s">
        <v>90</v>
      </c>
      <c r="C3430" s="5">
        <v>17</v>
      </c>
      <c r="D3430" s="6">
        <v>5.35</v>
      </c>
      <c r="E3430" t="s">
        <v>12</v>
      </c>
    </row>
    <row r="3431" spans="1:5" x14ac:dyDescent="0.25">
      <c r="A3431" t="str">
        <f>HYPERLINK("https://www.773grp.com/globalSearch/CD74FCT373M96/page-1", "CD74FCT373M96")</f>
        <v>CD74FCT373M96</v>
      </c>
      <c r="B3431" s="3" t="s">
        <v>90</v>
      </c>
      <c r="C3431" s="5">
        <v>7810</v>
      </c>
      <c r="D3431" s="6">
        <v>5.35</v>
      </c>
      <c r="E3431" t="s">
        <v>12</v>
      </c>
    </row>
    <row r="3432" spans="1:5" x14ac:dyDescent="0.25">
      <c r="A3432" t="str">
        <f>HYPERLINK("https://www.773grp.com/globalSearch/SN74ALS623ADWR/page-1", "SN74ALS623ADWR")</f>
        <v>SN74ALS623ADWR</v>
      </c>
      <c r="B3432" s="3" t="s">
        <v>90</v>
      </c>
      <c r="C3432" s="5">
        <v>4000</v>
      </c>
      <c r="D3432" s="6">
        <v>5.35</v>
      </c>
      <c r="E3432" t="s">
        <v>12</v>
      </c>
    </row>
    <row r="3433" spans="1:5" x14ac:dyDescent="0.25">
      <c r="A3433" t="str">
        <f>HYPERLINK("https://www.773grp.com/globalSearch/SN74AS373DWR/page-1", "SN74AS373DWR")</f>
        <v>SN74AS373DWR</v>
      </c>
      <c r="B3433" s="3" t="s">
        <v>90</v>
      </c>
      <c r="C3433" s="5">
        <v>4000</v>
      </c>
      <c r="D3433" s="6">
        <v>5.4</v>
      </c>
      <c r="E3433" t="s">
        <v>12</v>
      </c>
    </row>
    <row r="3434" spans="1:5" x14ac:dyDescent="0.25">
      <c r="A3434" t="str">
        <f>HYPERLINK("https://www.773grp.com/globalSearch/SN74AS573ADWR/page-1", "SN74AS573ADWR")</f>
        <v>SN74AS573ADWR</v>
      </c>
      <c r="B3434" s="3" t="s">
        <v>90</v>
      </c>
      <c r="C3434" s="5">
        <v>2000</v>
      </c>
      <c r="D3434" s="6">
        <v>5.4</v>
      </c>
      <c r="E3434" t="s">
        <v>12</v>
      </c>
    </row>
    <row r="3435" spans="1:5" x14ac:dyDescent="0.25">
      <c r="A3435" t="str">
        <f>HYPERLINK("https://www.773grp.com/globalSearch/74CBTLV16211CGRDR/page-1", "74CBTLV16211CGRDR")</f>
        <v>74CBTLV16211CGRDR</v>
      </c>
      <c r="B3435" s="3" t="s">
        <v>90</v>
      </c>
      <c r="C3435" s="5">
        <v>34000</v>
      </c>
      <c r="D3435" s="6">
        <v>5.44</v>
      </c>
      <c r="E3435" t="s">
        <v>12</v>
      </c>
    </row>
    <row r="3436" spans="1:5" x14ac:dyDescent="0.25">
      <c r="A3436" t="str">
        <f>HYPERLINK("https://www.773grp.com/globalSearch/CY74FCT245DTQC/page-1", "CY74FCT245DTQC")</f>
        <v>CY74FCT245DTQC</v>
      </c>
      <c r="B3436" s="3" t="s">
        <v>90</v>
      </c>
      <c r="C3436" s="5">
        <v>2780</v>
      </c>
      <c r="D3436" s="6">
        <v>5.44</v>
      </c>
      <c r="E3436" t="s">
        <v>12</v>
      </c>
    </row>
    <row r="3437" spans="1:5" x14ac:dyDescent="0.25">
      <c r="A3437" t="str">
        <f>HYPERLINK("https://www.773grp.com/globalSearch/CY74FCT2652ATQCT/page-1", "CY74FCT2652ATQCT")</f>
        <v>CY74FCT2652ATQCT</v>
      </c>
      <c r="B3437" s="3" t="s">
        <v>90</v>
      </c>
      <c r="C3437" s="5">
        <v>18872</v>
      </c>
      <c r="D3437" s="6">
        <v>5.44</v>
      </c>
      <c r="E3437" t="s">
        <v>12</v>
      </c>
    </row>
    <row r="3438" spans="1:5" x14ac:dyDescent="0.25">
      <c r="A3438" t="str">
        <f>HYPERLINK("https://www.773grp.com/globalSearch/SN74ABT16843DLR/page-1", "SN74ABT16843DLR")</f>
        <v>SN74ABT16843DLR</v>
      </c>
      <c r="B3438" s="3" t="s">
        <v>90</v>
      </c>
      <c r="C3438" s="5">
        <v>6000</v>
      </c>
      <c r="D3438" s="6">
        <v>5.44</v>
      </c>
      <c r="E3438" t="s">
        <v>12</v>
      </c>
    </row>
    <row r="3439" spans="1:5" x14ac:dyDescent="0.25">
      <c r="A3439" t="str">
        <f>HYPERLINK("https://www.773grp.com/globalSearch/SN74ALS640B-1N/page-1", "SN74ALS640B-1N")</f>
        <v>SN74ALS640B-1N</v>
      </c>
      <c r="B3439" s="3" t="s">
        <v>90</v>
      </c>
      <c r="C3439" s="5">
        <v>2514</v>
      </c>
      <c r="D3439" s="6">
        <v>5.44</v>
      </c>
      <c r="E3439" t="s">
        <v>12</v>
      </c>
    </row>
    <row r="3440" spans="1:5" x14ac:dyDescent="0.25">
      <c r="A3440" t="str">
        <f>HYPERLINK("https://www.773grp.com/globalSearch/SN74ALS640BN/page-1", "SN74ALS640BN")</f>
        <v>SN74ALS640BN</v>
      </c>
      <c r="B3440" s="3" t="s">
        <v>90</v>
      </c>
      <c r="C3440" s="5">
        <v>2624</v>
      </c>
      <c r="D3440" s="6">
        <v>5.44</v>
      </c>
      <c r="E3440" t="s">
        <v>12</v>
      </c>
    </row>
    <row r="3441" spans="1:5" x14ac:dyDescent="0.25">
      <c r="A3441" t="str">
        <f>HYPERLINK("https://www.773grp.com/globalSearch/SN74ALVC16835DGGR/page-1", "SN74ALVC16835DGGR")</f>
        <v>SN74ALVC16835DGGR</v>
      </c>
      <c r="B3441" s="3" t="s">
        <v>90</v>
      </c>
      <c r="C3441" s="5">
        <v>102000</v>
      </c>
      <c r="D3441" s="6">
        <v>5.44</v>
      </c>
      <c r="E3441" t="s">
        <v>12</v>
      </c>
    </row>
    <row r="3442" spans="1:5" x14ac:dyDescent="0.25">
      <c r="A3442" t="str">
        <f>HYPERLINK("https://www.773grp.com/globalSearch/SN74ALVC16835DGVR/page-1", "SN74ALVC16835DGVR")</f>
        <v>SN74ALVC16835DGVR</v>
      </c>
      <c r="B3442" s="3" t="s">
        <v>90</v>
      </c>
      <c r="C3442" s="5">
        <v>10000</v>
      </c>
      <c r="D3442" s="6">
        <v>5.44</v>
      </c>
      <c r="E3442" t="s">
        <v>12</v>
      </c>
    </row>
    <row r="3443" spans="1:5" x14ac:dyDescent="0.25">
      <c r="A3443" t="str">
        <f>HYPERLINK("https://www.773grp.com/globalSearch/SN74ALVCH16823DL/page-1", "SN74ALVCH16823DL")</f>
        <v>SN74ALVCH16823DL</v>
      </c>
      <c r="B3443" s="3" t="s">
        <v>90</v>
      </c>
      <c r="C3443" s="5">
        <v>26335</v>
      </c>
      <c r="D3443" s="6">
        <v>5.44</v>
      </c>
      <c r="E3443" t="s">
        <v>12</v>
      </c>
    </row>
    <row r="3444" spans="1:5" x14ac:dyDescent="0.25">
      <c r="A3444" t="str">
        <f>HYPERLINK("https://www.773grp.com/globalSearch/SN74AS244ADWR/page-1", "SN74AS244ADWR")</f>
        <v>SN74AS244ADWR</v>
      </c>
      <c r="B3444" s="3" t="s">
        <v>90</v>
      </c>
      <c r="C3444" s="5">
        <v>8000</v>
      </c>
      <c r="D3444" s="6">
        <v>5.44</v>
      </c>
      <c r="E3444" t="s">
        <v>12</v>
      </c>
    </row>
    <row r="3445" spans="1:5" x14ac:dyDescent="0.25">
      <c r="A3445" t="str">
        <f>HYPERLINK("https://www.773grp.com/globalSearch/SN74BCT2240DW/page-1", "SN74BCT2240DW")</f>
        <v>SN74BCT2240DW</v>
      </c>
      <c r="B3445" s="3" t="s">
        <v>90</v>
      </c>
      <c r="C3445" s="5">
        <v>2747</v>
      </c>
      <c r="D3445" s="6">
        <v>5.44</v>
      </c>
      <c r="E3445" t="s">
        <v>12</v>
      </c>
    </row>
    <row r="3446" spans="1:5" x14ac:dyDescent="0.25">
      <c r="A3446" t="str">
        <f>HYPERLINK("https://www.773grp.com/globalSearch/SN74BCT2241N/page-1", "SN74BCT2241N")</f>
        <v>SN74BCT2241N</v>
      </c>
      <c r="B3446" s="3" t="s">
        <v>90</v>
      </c>
      <c r="C3446" s="5">
        <v>15970</v>
      </c>
      <c r="D3446" s="6">
        <v>5.44</v>
      </c>
      <c r="E3446" t="s">
        <v>12</v>
      </c>
    </row>
    <row r="3447" spans="1:5" x14ac:dyDescent="0.25">
      <c r="A3447" t="str">
        <f>HYPERLINK("https://www.773grp.com/globalSearch/SN74CBTD16211DL/page-1", "SN74CBTD16211DL")</f>
        <v>SN74CBTD16211DL</v>
      </c>
      <c r="B3447" s="3" t="s">
        <v>90</v>
      </c>
      <c r="C3447" s="5">
        <v>4000</v>
      </c>
      <c r="D3447" s="6">
        <v>5.44</v>
      </c>
      <c r="E3447" t="s">
        <v>12</v>
      </c>
    </row>
    <row r="3448" spans="1:5" x14ac:dyDescent="0.25">
      <c r="A3448" t="str">
        <f>HYPERLINK("https://www.773grp.com/globalSearch/SN74CBTH16211DGGR/page-1", "SN74CBTH16211DGGR")</f>
        <v>SN74CBTH16211DGGR</v>
      </c>
      <c r="B3448" s="3" t="s">
        <v>90</v>
      </c>
      <c r="C3448" s="5">
        <v>10000</v>
      </c>
      <c r="D3448" s="6">
        <v>5.44</v>
      </c>
      <c r="E3448" t="s">
        <v>12</v>
      </c>
    </row>
    <row r="3449" spans="1:5" x14ac:dyDescent="0.25">
      <c r="A3449" t="str">
        <f>HYPERLINK("https://www.773grp.com/globalSearch/SN74LVCR16245AZQLR/page-1", "SN74LVCR16245AZQLR")</f>
        <v>SN74LVCR16245AZQLR</v>
      </c>
      <c r="B3449" s="3" t="s">
        <v>90</v>
      </c>
      <c r="C3449" s="5">
        <v>30800</v>
      </c>
      <c r="D3449" s="6">
        <v>5.44</v>
      </c>
      <c r="E3449" t="s">
        <v>12</v>
      </c>
    </row>
    <row r="3450" spans="1:5" x14ac:dyDescent="0.25">
      <c r="A3450" t="str">
        <f>HYPERLINK("https://www.773grp.com/globalSearch/SN74LVCR32245AZKER/page-1", "SN74LVCR32245AZKER")</f>
        <v>SN74LVCR32245AZKER</v>
      </c>
      <c r="B3450" s="3" t="s">
        <v>90</v>
      </c>
      <c r="C3450" s="5">
        <v>71000</v>
      </c>
      <c r="D3450" s="6">
        <v>5.44</v>
      </c>
      <c r="E3450" t="s">
        <v>12</v>
      </c>
    </row>
    <row r="3451" spans="1:5" x14ac:dyDescent="0.25">
      <c r="A3451" t="str">
        <f>HYPERLINK("https://www.773grp.com/globalSearch/SN74LVTH16500DL/page-1", "SN74LVTH16500DL")</f>
        <v>SN74LVTH16500DL</v>
      </c>
      <c r="B3451" s="3" t="s">
        <v>90</v>
      </c>
      <c r="C3451" s="5">
        <v>4893</v>
      </c>
      <c r="D3451" s="6">
        <v>5.44</v>
      </c>
      <c r="E3451" t="s">
        <v>12</v>
      </c>
    </row>
    <row r="3452" spans="1:5" x14ac:dyDescent="0.25">
      <c r="A3452" t="str">
        <f>HYPERLINK("https://www.773grp.com/globalSearch/SN74S244DWR/page-1", "SN74S244DWR")</f>
        <v>SN74S244DWR</v>
      </c>
      <c r="B3452" s="3" t="s">
        <v>90</v>
      </c>
      <c r="C3452" s="5">
        <v>7000</v>
      </c>
      <c r="D3452" s="6">
        <v>5.44</v>
      </c>
      <c r="E3452" t="s">
        <v>12</v>
      </c>
    </row>
    <row r="3453" spans="1:5" x14ac:dyDescent="0.25">
      <c r="A3453" t="str">
        <f>HYPERLINK("https://www.773grp.com/globalSearch/SN74ALVTH16374GR/page-1", "SN74ALVTH16374GR")</f>
        <v>SN74ALVTH16374GR</v>
      </c>
      <c r="B3453" s="3" t="s">
        <v>90</v>
      </c>
      <c r="C3453" s="5">
        <v>3310</v>
      </c>
      <c r="D3453" s="6">
        <v>5.45</v>
      </c>
      <c r="E3453" t="s">
        <v>12</v>
      </c>
    </row>
    <row r="3454" spans="1:5" x14ac:dyDescent="0.25">
      <c r="A3454" t="str">
        <f>HYPERLINK("https://www.773grp.com/globalSearch/74AVCA164245ZQLR/page-1", "74AVCA164245ZQLR")</f>
        <v>74AVCA164245ZQLR</v>
      </c>
      <c r="B3454" s="3" t="s">
        <v>90</v>
      </c>
      <c r="C3454" s="5">
        <v>18260</v>
      </c>
      <c r="D3454" s="6">
        <v>5.49</v>
      </c>
      <c r="E3454" t="s">
        <v>12</v>
      </c>
    </row>
    <row r="3455" spans="1:5" x14ac:dyDescent="0.25">
      <c r="A3455" t="str">
        <f>HYPERLINK("https://www.773grp.com/globalSearch/74AVCAH164245ZQLR/page-1", "74AVCAH164245ZQLR")</f>
        <v>74AVCAH164245ZQLR</v>
      </c>
      <c r="B3455" s="3" t="s">
        <v>90</v>
      </c>
      <c r="C3455" s="5">
        <v>16508</v>
      </c>
      <c r="D3455" s="6">
        <v>5.49</v>
      </c>
      <c r="E3455" t="s">
        <v>12</v>
      </c>
    </row>
    <row r="3456" spans="1:5" x14ac:dyDescent="0.25">
      <c r="A3456" t="str">
        <f>HYPERLINK("https://www.773grp.com/globalSearch/SN74ABT16657DL/page-1", "SN74ABT16657DL")</f>
        <v>SN74ABT16657DL</v>
      </c>
      <c r="B3456" s="3" t="s">
        <v>90</v>
      </c>
      <c r="C3456" s="5">
        <v>3667</v>
      </c>
      <c r="D3456" s="6">
        <v>5.49</v>
      </c>
      <c r="E3456" t="s">
        <v>12</v>
      </c>
    </row>
    <row r="3457" spans="1:5" x14ac:dyDescent="0.25">
      <c r="A3457" t="str">
        <f>HYPERLINK("https://www.773grp.com/globalSearch/SN74ABT16657DLR/page-1", "SN74ABT16657DLR")</f>
        <v>SN74ABT16657DLR</v>
      </c>
      <c r="B3457" s="3" t="s">
        <v>90</v>
      </c>
      <c r="C3457" s="5">
        <v>3000</v>
      </c>
      <c r="D3457" s="6">
        <v>5.49</v>
      </c>
      <c r="E3457" t="s">
        <v>12</v>
      </c>
    </row>
    <row r="3458" spans="1:5" x14ac:dyDescent="0.25">
      <c r="A3458" t="str">
        <f>HYPERLINK("https://www.773grp.com/globalSearch/SN74ALS231DW/page-1", "SN74ALS231DW")</f>
        <v>SN74ALS231DW</v>
      </c>
      <c r="B3458" s="3" t="s">
        <v>90</v>
      </c>
      <c r="C3458" s="5">
        <v>2457</v>
      </c>
      <c r="D3458" s="6">
        <v>5.49</v>
      </c>
      <c r="E3458" t="s">
        <v>12</v>
      </c>
    </row>
    <row r="3459" spans="1:5" x14ac:dyDescent="0.25">
      <c r="A3459" t="str">
        <f>HYPERLINK("https://www.773grp.com/globalSearch/SN74ALS231N/page-1", "SN74ALS231N")</f>
        <v>SN74ALS231N</v>
      </c>
      <c r="B3459" s="3" t="s">
        <v>90</v>
      </c>
      <c r="C3459" s="5">
        <v>1020</v>
      </c>
      <c r="D3459" s="6">
        <v>5.49</v>
      </c>
      <c r="E3459" t="s">
        <v>12</v>
      </c>
    </row>
    <row r="3460" spans="1:5" x14ac:dyDescent="0.25">
      <c r="A3460" t="str">
        <f>HYPERLINK("https://www.773grp.com/globalSearch/SN74ALS763N/page-1", "SN74ALS763N")</f>
        <v>SN74ALS763N</v>
      </c>
      <c r="B3460" s="3" t="s">
        <v>90</v>
      </c>
      <c r="C3460" s="5">
        <v>1215</v>
      </c>
      <c r="D3460" s="6">
        <v>5.49</v>
      </c>
      <c r="E3460" t="s">
        <v>12</v>
      </c>
    </row>
    <row r="3461" spans="1:5" x14ac:dyDescent="0.25">
      <c r="A3461" t="str">
        <f>HYPERLINK("https://www.773grp.com/globalSearch/SN74ALVC16501DL/page-1", "SN74ALVC16501DL")</f>
        <v>SN74ALVC16501DL</v>
      </c>
      <c r="B3461" s="3" t="s">
        <v>90</v>
      </c>
      <c r="C3461" s="5">
        <v>863</v>
      </c>
      <c r="D3461" s="6">
        <v>5.49</v>
      </c>
      <c r="E3461" t="s">
        <v>12</v>
      </c>
    </row>
    <row r="3462" spans="1:5" x14ac:dyDescent="0.25">
      <c r="A3462" t="str">
        <f>HYPERLINK("https://www.773grp.com/globalSearch/SN74ALVCH16901DGGR/page-1", "SN74ALVCH16901DGGR")</f>
        <v>SN74ALVCH16901DGGR</v>
      </c>
      <c r="B3462" s="3" t="s">
        <v>90</v>
      </c>
      <c r="C3462" s="5">
        <v>11988</v>
      </c>
      <c r="D3462" s="6">
        <v>5.49</v>
      </c>
      <c r="E3462" t="s">
        <v>12</v>
      </c>
    </row>
    <row r="3463" spans="1:5" x14ac:dyDescent="0.25">
      <c r="A3463" t="str">
        <f>HYPERLINK("https://www.773grp.com/globalSearch/SN74AVCA164245VR/page-1", "SN74AVCA164245VR")</f>
        <v>SN74AVCA164245VR</v>
      </c>
      <c r="B3463" s="3" t="s">
        <v>90</v>
      </c>
      <c r="C3463" s="5">
        <v>7169</v>
      </c>
      <c r="D3463" s="6">
        <v>5.49</v>
      </c>
      <c r="E3463" t="s">
        <v>12</v>
      </c>
    </row>
    <row r="3464" spans="1:5" x14ac:dyDescent="0.25">
      <c r="A3464" t="str">
        <f>HYPERLINK("https://www.773grp.com/globalSearch/SN74AVCAH164245VR/page-1", "SN74AVCAH164245VR")</f>
        <v>SN74AVCAH164245VR</v>
      </c>
      <c r="B3464" s="3" t="s">
        <v>90</v>
      </c>
      <c r="C3464" s="5">
        <v>9240</v>
      </c>
      <c r="D3464" s="6">
        <v>5.49</v>
      </c>
      <c r="E3464" t="s">
        <v>12</v>
      </c>
    </row>
    <row r="3465" spans="1:5" x14ac:dyDescent="0.25">
      <c r="A3465" t="str">
        <f>HYPERLINK("https://www.773grp.com/globalSearch/CY74FCT163501CPVC/page-1", "CY74FCT163501CPVC")</f>
        <v>CY74FCT163501CPVC</v>
      </c>
      <c r="B3465" s="3" t="s">
        <v>90</v>
      </c>
      <c r="C3465" s="5">
        <v>5261</v>
      </c>
      <c r="D3465" s="6">
        <v>5.51</v>
      </c>
      <c r="E3465" t="s">
        <v>12</v>
      </c>
    </row>
    <row r="3466" spans="1:5" x14ac:dyDescent="0.25">
      <c r="A3466" t="str">
        <f>HYPERLINK("https://www.773grp.com/globalSearch/CY74FCT163543CPAC/page-1", "CY74FCT163543CPAC")</f>
        <v>CY74FCT163543CPAC</v>
      </c>
      <c r="B3466" s="3" t="s">
        <v>90</v>
      </c>
      <c r="C3466" s="5">
        <v>1331</v>
      </c>
      <c r="D3466" s="6">
        <v>5.51</v>
      </c>
      <c r="E3466" t="s">
        <v>12</v>
      </c>
    </row>
    <row r="3467" spans="1:5" x14ac:dyDescent="0.25">
      <c r="A3467" t="str">
        <f>HYPERLINK("https://www.773grp.com/globalSearch/74ACT11240DWR/page-1", "74ACT11240DWR")</f>
        <v>74ACT11240DWR</v>
      </c>
      <c r="B3467" s="3" t="s">
        <v>90</v>
      </c>
      <c r="C3467" s="5">
        <v>96457</v>
      </c>
      <c r="D3467" s="6">
        <v>5.6</v>
      </c>
      <c r="E3467" t="s">
        <v>12</v>
      </c>
    </row>
    <row r="3468" spans="1:5" x14ac:dyDescent="0.25">
      <c r="A3468" t="str">
        <f>HYPERLINK("https://www.773grp.com/globalSearch/74ACT11374DWR/page-1", "74ACT11374DWR")</f>
        <v>74ACT11374DWR</v>
      </c>
      <c r="B3468" s="3" t="s">
        <v>90</v>
      </c>
      <c r="C3468" s="5">
        <v>20000</v>
      </c>
      <c r="D3468" s="6">
        <v>5.6</v>
      </c>
      <c r="E3468" t="s">
        <v>12</v>
      </c>
    </row>
    <row r="3469" spans="1:5" x14ac:dyDescent="0.25">
      <c r="A3469" t="str">
        <f>HYPERLINK("https://www.773grp.com/globalSearch/74AC11240DBR/page-1", "74AC11240DBR")</f>
        <v>74AC11240DBR</v>
      </c>
      <c r="B3469" s="3" t="s">
        <v>90</v>
      </c>
      <c r="C3469" s="5">
        <v>31850</v>
      </c>
      <c r="D3469" s="6">
        <v>5.63</v>
      </c>
      <c r="E3469" t="s">
        <v>12</v>
      </c>
    </row>
    <row r="3470" spans="1:5" x14ac:dyDescent="0.25">
      <c r="A3470" t="str">
        <f>HYPERLINK("https://www.773grp.com/globalSearch/74ACT11240DBR/page-1", "74ACT11240DBR")</f>
        <v>74ACT11240DBR</v>
      </c>
      <c r="B3470" s="3" t="s">
        <v>90</v>
      </c>
      <c r="C3470" s="5">
        <v>5339</v>
      </c>
      <c r="D3470" s="6">
        <v>5.63</v>
      </c>
      <c r="E3470" t="s">
        <v>12</v>
      </c>
    </row>
    <row r="3471" spans="1:5" x14ac:dyDescent="0.25">
      <c r="A3471" t="str">
        <f>HYPERLINK("https://www.773grp.com/globalSearch/CY29FCT52CTSOCT/page-1", "CY29FCT52CTSOCT")</f>
        <v>CY29FCT52CTSOCT</v>
      </c>
      <c r="B3471" s="3" t="s">
        <v>90</v>
      </c>
      <c r="C3471" s="5">
        <v>6000</v>
      </c>
      <c r="D3471" s="6">
        <v>5.63</v>
      </c>
      <c r="E3471" t="s">
        <v>12</v>
      </c>
    </row>
    <row r="3472" spans="1:5" x14ac:dyDescent="0.25">
      <c r="A3472" t="str">
        <f>HYPERLINK("https://www.773grp.com/globalSearch/SN64BCT240DW/page-1", "SN64BCT240DW")</f>
        <v>SN64BCT240DW</v>
      </c>
      <c r="B3472" s="3" t="s">
        <v>90</v>
      </c>
      <c r="C3472" s="5">
        <v>3975</v>
      </c>
      <c r="D3472" s="6">
        <v>5.63</v>
      </c>
      <c r="E3472" t="s">
        <v>12</v>
      </c>
    </row>
    <row r="3473" spans="1:5" x14ac:dyDescent="0.25">
      <c r="A3473" t="str">
        <f>HYPERLINK("https://www.773grp.com/globalSearch/SN64BCT240N/page-1", "SN64BCT240N")</f>
        <v>SN64BCT240N</v>
      </c>
      <c r="B3473" s="3" t="s">
        <v>90</v>
      </c>
      <c r="C3473" s="5">
        <v>360</v>
      </c>
      <c r="D3473" s="6">
        <v>5.63</v>
      </c>
      <c r="E3473" t="s">
        <v>12</v>
      </c>
    </row>
    <row r="3474" spans="1:5" x14ac:dyDescent="0.25">
      <c r="A3474" t="str">
        <f>HYPERLINK("https://www.773grp.com/globalSearch/SN64BCT541AN/page-1", "SN64BCT541AN")</f>
        <v>SN64BCT541AN</v>
      </c>
      <c r="B3474" s="3" t="s">
        <v>90</v>
      </c>
      <c r="C3474" s="5">
        <v>2916</v>
      </c>
      <c r="D3474" s="6">
        <v>5.63</v>
      </c>
      <c r="E3474" t="s">
        <v>12</v>
      </c>
    </row>
    <row r="3475" spans="1:5" x14ac:dyDescent="0.25">
      <c r="A3475" t="str">
        <f>HYPERLINK("https://www.773grp.com/globalSearch/SN74ABT16500BDLR/page-1", "SN74ABT16500BDLR")</f>
        <v>SN74ABT16500BDLR</v>
      </c>
      <c r="B3475" s="3" t="s">
        <v>90</v>
      </c>
      <c r="C3475" s="5">
        <v>4375</v>
      </c>
      <c r="D3475" s="6">
        <v>5.63</v>
      </c>
      <c r="E3475" t="s">
        <v>12</v>
      </c>
    </row>
    <row r="3476" spans="1:5" x14ac:dyDescent="0.25">
      <c r="A3476" t="str">
        <f>HYPERLINK("https://www.773grp.com/globalSearch/SN74ABT16823DL/page-1", "SN74ABT16823DL")</f>
        <v>SN74ABT16823DL</v>
      </c>
      <c r="B3476" s="3" t="s">
        <v>90</v>
      </c>
      <c r="C3476" s="5">
        <v>1682</v>
      </c>
      <c r="D3476" s="6">
        <v>5.63</v>
      </c>
      <c r="E3476" t="s">
        <v>12</v>
      </c>
    </row>
    <row r="3477" spans="1:5" x14ac:dyDescent="0.25">
      <c r="A3477" t="str">
        <f>HYPERLINK("https://www.773grp.com/globalSearch/SN74ABT574N/page-1", "SN74ABT574N")</f>
        <v>SN74ABT574N</v>
      </c>
      <c r="B3477" s="3" t="s">
        <v>90</v>
      </c>
      <c r="C3477" s="5">
        <v>11</v>
      </c>
      <c r="D3477" s="6">
        <v>5.63</v>
      </c>
      <c r="E3477" t="s">
        <v>12</v>
      </c>
    </row>
    <row r="3478" spans="1:5" x14ac:dyDescent="0.25">
      <c r="A3478" t="str">
        <f>HYPERLINK("https://www.773grp.com/globalSearch/SN74ALS580BDWR/page-1", "SN74ALS580BDWR")</f>
        <v>SN74ALS580BDWR</v>
      </c>
      <c r="B3478" s="3" t="s">
        <v>90</v>
      </c>
      <c r="C3478" s="5">
        <v>15819</v>
      </c>
      <c r="D3478" s="6">
        <v>5.63</v>
      </c>
      <c r="E3478" t="s">
        <v>12</v>
      </c>
    </row>
    <row r="3479" spans="1:5" x14ac:dyDescent="0.25">
      <c r="A3479" t="str">
        <f>HYPERLINK("https://www.773grp.com/globalSearch/SN74ALVC162834DLR/page-1", "SN74ALVC162834DLR")</f>
        <v>SN74ALVC162834DLR</v>
      </c>
      <c r="B3479" s="3" t="s">
        <v>90</v>
      </c>
      <c r="C3479" s="5">
        <v>4000</v>
      </c>
      <c r="D3479" s="6">
        <v>5.63</v>
      </c>
      <c r="E3479" t="s">
        <v>12</v>
      </c>
    </row>
    <row r="3480" spans="1:5" x14ac:dyDescent="0.25">
      <c r="A3480" t="str">
        <f>HYPERLINK("https://www.773grp.com/globalSearch/SN74AVCB164245DGG/page-1", "SN74AVCB164245DGG")</f>
        <v>SN74AVCB164245DGG</v>
      </c>
      <c r="B3480" s="3" t="s">
        <v>90</v>
      </c>
      <c r="C3480" s="5">
        <v>5560</v>
      </c>
      <c r="D3480" s="6">
        <v>5.63</v>
      </c>
      <c r="E3480" t="s">
        <v>12</v>
      </c>
    </row>
    <row r="3481" spans="1:5" x14ac:dyDescent="0.25">
      <c r="A3481" t="str">
        <f>HYPERLINK("https://www.773grp.com/globalSearch/SN74AVCB164245VR/page-1", "SN74AVCB164245VR")</f>
        <v>SN74AVCB164245VR</v>
      </c>
      <c r="B3481" s="3" t="s">
        <v>90</v>
      </c>
      <c r="C3481" s="5">
        <v>8000</v>
      </c>
      <c r="D3481" s="6">
        <v>5.63</v>
      </c>
      <c r="E3481" t="s">
        <v>12</v>
      </c>
    </row>
    <row r="3482" spans="1:5" x14ac:dyDescent="0.25">
      <c r="A3482" t="str">
        <f>HYPERLINK("https://www.773grp.com/globalSearch/SN74BCT533N/page-1", "SN74BCT533N")</f>
        <v>SN74BCT533N</v>
      </c>
      <c r="B3482" s="3" t="s">
        <v>90</v>
      </c>
      <c r="C3482" s="5">
        <v>920</v>
      </c>
      <c r="D3482" s="6">
        <v>5.63</v>
      </c>
      <c r="E3482" t="s">
        <v>12</v>
      </c>
    </row>
    <row r="3483" spans="1:5" x14ac:dyDescent="0.25">
      <c r="A3483" t="str">
        <f>HYPERLINK("https://www.773grp.com/globalSearch/SN74BCT534DW/page-1", "SN74BCT534DW")</f>
        <v>SN74BCT534DW</v>
      </c>
      <c r="B3483" s="3" t="s">
        <v>90</v>
      </c>
      <c r="C3483" s="5">
        <v>65</v>
      </c>
      <c r="D3483" s="6">
        <v>5.63</v>
      </c>
      <c r="E3483" t="s">
        <v>12</v>
      </c>
    </row>
    <row r="3484" spans="1:5" x14ac:dyDescent="0.25">
      <c r="A3484" t="str">
        <f>HYPERLINK("https://www.773grp.com/globalSearch/SN74BCT534DWR/page-1", "SN74BCT534DWR")</f>
        <v>SN74BCT534DWR</v>
      </c>
      <c r="B3484" s="3" t="s">
        <v>90</v>
      </c>
      <c r="C3484" s="5">
        <v>2000</v>
      </c>
      <c r="D3484" s="6">
        <v>5.63</v>
      </c>
      <c r="E3484" t="s">
        <v>12</v>
      </c>
    </row>
    <row r="3485" spans="1:5" x14ac:dyDescent="0.25">
      <c r="A3485" t="str">
        <f>HYPERLINK("https://www.773grp.com/globalSearch/SN74BCT756N/page-1", "SN74BCT756N")</f>
        <v>SN74BCT756N</v>
      </c>
      <c r="B3485" s="3" t="s">
        <v>90</v>
      </c>
      <c r="C3485" s="5">
        <v>9294</v>
      </c>
      <c r="D3485" s="6">
        <v>5.63</v>
      </c>
      <c r="E3485" t="s">
        <v>12</v>
      </c>
    </row>
    <row r="3486" spans="1:5" x14ac:dyDescent="0.25">
      <c r="A3486" t="str">
        <f>HYPERLINK("https://www.773grp.com/globalSearch/SN74CBT16211DL/page-1", "SN74CBT16211DL")</f>
        <v>SN74CBT16211DL</v>
      </c>
      <c r="B3486" s="3" t="s">
        <v>90</v>
      </c>
      <c r="C3486" s="5">
        <v>21587</v>
      </c>
      <c r="D3486" s="6">
        <v>5.63</v>
      </c>
      <c r="E3486" t="s">
        <v>12</v>
      </c>
    </row>
    <row r="3487" spans="1:5" x14ac:dyDescent="0.25">
      <c r="A3487" t="str">
        <f>HYPERLINK("https://www.773grp.com/globalSearch/SN74CBT16211DLR/page-1", "SN74CBT16211DLR")</f>
        <v>SN74CBT16211DLR</v>
      </c>
      <c r="B3487" s="3" t="s">
        <v>90</v>
      </c>
      <c r="C3487" s="5">
        <v>2000</v>
      </c>
      <c r="D3487" s="6">
        <v>5.63</v>
      </c>
      <c r="E3487" t="s">
        <v>12</v>
      </c>
    </row>
    <row r="3488" spans="1:5" x14ac:dyDescent="0.25">
      <c r="A3488" t="str">
        <f>HYPERLINK("https://www.773grp.com/globalSearch/SN74GTLP1394D/page-1", "SN74GTLP1394D")</f>
        <v>SN74GTLP1394D</v>
      </c>
      <c r="B3488" s="3" t="s">
        <v>90</v>
      </c>
      <c r="C3488" s="5">
        <v>71975</v>
      </c>
      <c r="D3488" s="6">
        <v>5.63</v>
      </c>
      <c r="E3488" t="s">
        <v>12</v>
      </c>
    </row>
    <row r="3489" spans="1:5" x14ac:dyDescent="0.25">
      <c r="A3489" t="str">
        <f>HYPERLINK("https://www.773grp.com/globalSearch/SN74GTLP1394PW/page-1", "SN74GTLP1394PW")</f>
        <v>SN74GTLP1394PW</v>
      </c>
      <c r="B3489" s="3" t="s">
        <v>90</v>
      </c>
      <c r="C3489" s="5">
        <v>11398</v>
      </c>
      <c r="D3489" s="6">
        <v>5.63</v>
      </c>
      <c r="E3489" t="s">
        <v>12</v>
      </c>
    </row>
    <row r="3490" spans="1:5" x14ac:dyDescent="0.25">
      <c r="A3490" t="str">
        <f>HYPERLINK("https://www.773grp.com/globalSearch/SN74LVT125D/page-1", "SN74LVT125D")</f>
        <v>SN74LVT125D</v>
      </c>
      <c r="B3490" s="3" t="s">
        <v>90</v>
      </c>
      <c r="C3490" s="5">
        <v>23200</v>
      </c>
      <c r="D3490" s="6">
        <v>5.63</v>
      </c>
      <c r="E3490" t="s">
        <v>12</v>
      </c>
    </row>
    <row r="3491" spans="1:5" x14ac:dyDescent="0.25">
      <c r="A3491" t="str">
        <f>HYPERLINK("https://www.773grp.com/globalSearch/74ACT11244NT/page-1", "74ACT11244NT")</f>
        <v>74ACT11244NT</v>
      </c>
      <c r="B3491" s="3" t="s">
        <v>90</v>
      </c>
      <c r="C3491" s="5">
        <v>2461</v>
      </c>
      <c r="D3491" s="6">
        <v>5.65</v>
      </c>
      <c r="E3491" t="s">
        <v>12</v>
      </c>
    </row>
    <row r="3492" spans="1:5" x14ac:dyDescent="0.25">
      <c r="A3492" t="str">
        <f>HYPERLINK("https://www.773grp.com/globalSearch/74ACT11245NT/page-1", "74ACT11245NT")</f>
        <v>74ACT11245NT</v>
      </c>
      <c r="B3492" s="3" t="s">
        <v>90</v>
      </c>
      <c r="C3492" s="5">
        <v>3610</v>
      </c>
      <c r="D3492" s="6">
        <v>5.65</v>
      </c>
      <c r="E3492" t="s">
        <v>12</v>
      </c>
    </row>
    <row r="3493" spans="1:5" x14ac:dyDescent="0.25">
      <c r="A3493" t="str">
        <f>HYPERLINK("https://www.773grp.com/globalSearch/74ACT11373NT/page-1", "74ACT11373NT")</f>
        <v>74ACT11373NT</v>
      </c>
      <c r="B3493" s="3" t="s">
        <v>90</v>
      </c>
      <c r="C3493" s="5">
        <v>2043</v>
      </c>
      <c r="D3493" s="6">
        <v>5.65</v>
      </c>
      <c r="E3493" t="s">
        <v>12</v>
      </c>
    </row>
    <row r="3494" spans="1:5" x14ac:dyDescent="0.25">
      <c r="A3494" t="str">
        <f>HYPERLINK("https://www.773grp.com/globalSearch/CD74FCT373E/page-1", "CD74FCT373E")</f>
        <v>CD74FCT373E</v>
      </c>
      <c r="B3494" s="3" t="s">
        <v>90</v>
      </c>
      <c r="C3494" s="5">
        <v>1700</v>
      </c>
      <c r="D3494" s="6">
        <v>5.65</v>
      </c>
      <c r="E3494" t="s">
        <v>12</v>
      </c>
    </row>
    <row r="3495" spans="1:5" x14ac:dyDescent="0.25">
      <c r="A3495" t="str">
        <f>HYPERLINK("https://www.773grp.com/globalSearch/CD74FCT573ATE/page-1", "CD74FCT573ATE")</f>
        <v>CD74FCT573ATE</v>
      </c>
      <c r="B3495" s="3" t="s">
        <v>90</v>
      </c>
      <c r="C3495" s="5">
        <v>1860</v>
      </c>
      <c r="D3495" s="6">
        <v>5.65</v>
      </c>
      <c r="E3495" t="s">
        <v>12</v>
      </c>
    </row>
    <row r="3496" spans="1:5" x14ac:dyDescent="0.25">
      <c r="A3496" t="str">
        <f>HYPERLINK("https://www.773grp.com/globalSearch/CD74FCT574M/page-1", "CD74FCT574M")</f>
        <v>CD74FCT574M</v>
      </c>
      <c r="B3496" s="3" t="s">
        <v>90</v>
      </c>
      <c r="C3496" s="5">
        <v>4632</v>
      </c>
      <c r="D3496" s="6">
        <v>5.65</v>
      </c>
      <c r="E3496" t="s">
        <v>12</v>
      </c>
    </row>
    <row r="3497" spans="1:5" x14ac:dyDescent="0.25">
      <c r="A3497" t="str">
        <f>HYPERLINK("https://www.773grp.com/globalSearch/CY74FCT163500CPVCT/page-1", "CY74FCT163500CPVCT")</f>
        <v>CY74FCT163500CPVCT</v>
      </c>
      <c r="B3497" s="3" t="s">
        <v>90</v>
      </c>
      <c r="C3497" s="5">
        <v>2000</v>
      </c>
      <c r="D3497" s="6">
        <v>5.7</v>
      </c>
      <c r="E3497" t="s">
        <v>12</v>
      </c>
    </row>
    <row r="3498" spans="1:5" x14ac:dyDescent="0.25">
      <c r="A3498" t="str">
        <f>HYPERLINK("https://www.773grp.com/globalSearch/CY74FCT163543CPVCT/page-1", "CY74FCT163543CPVCT")</f>
        <v>CY74FCT163543CPVCT</v>
      </c>
      <c r="B3498" s="3" t="s">
        <v>90</v>
      </c>
      <c r="C3498" s="5">
        <v>1000</v>
      </c>
      <c r="D3498" s="6">
        <v>5.7</v>
      </c>
      <c r="E3498" t="s">
        <v>12</v>
      </c>
    </row>
    <row r="3499" spans="1:5" x14ac:dyDescent="0.25">
      <c r="A3499" t="str">
        <f>HYPERLINK("https://www.773grp.com/globalSearch/SN74ALS646DW/page-1", "SN74ALS646DW")</f>
        <v>SN74ALS646DW</v>
      </c>
      <c r="B3499" s="3" t="s">
        <v>90</v>
      </c>
      <c r="C3499" s="5">
        <v>20</v>
      </c>
      <c r="D3499" s="6">
        <v>5.78</v>
      </c>
      <c r="E3499" t="s">
        <v>12</v>
      </c>
    </row>
    <row r="3500" spans="1:5" x14ac:dyDescent="0.25">
      <c r="A3500" t="str">
        <f>HYPERLINK("https://www.773grp.com/globalSearch/SN74AVCBH164245G/page-1", "SN74AVCBH164245G")</f>
        <v>SN74AVCBH164245G</v>
      </c>
      <c r="B3500" s="3" t="s">
        <v>90</v>
      </c>
      <c r="C3500" s="5">
        <v>80</v>
      </c>
      <c r="D3500" s="6">
        <v>5.78</v>
      </c>
      <c r="E3500" t="s">
        <v>12</v>
      </c>
    </row>
    <row r="3501" spans="1:5" x14ac:dyDescent="0.25">
      <c r="A3501" t="str">
        <f>HYPERLINK("https://www.773grp.com/globalSearch/SN74AVCBH164245GR/page-1", "SN74AVCBH164245GR")</f>
        <v>SN74AVCBH164245GR</v>
      </c>
      <c r="B3501" s="3" t="s">
        <v>90</v>
      </c>
      <c r="C3501" s="5">
        <v>1944</v>
      </c>
      <c r="D3501" s="6">
        <v>5.78</v>
      </c>
      <c r="E3501" t="s">
        <v>12</v>
      </c>
    </row>
    <row r="3502" spans="1:5" x14ac:dyDescent="0.25">
      <c r="A3502" t="str">
        <f>HYPERLINK("https://www.773grp.com/globalSearch/CD74FCT2952AM/page-1", "CD74FCT2952AM")</f>
        <v>CD74FCT2952AM</v>
      </c>
      <c r="B3502" s="3" t="s">
        <v>90</v>
      </c>
      <c r="C3502" s="5">
        <v>1750</v>
      </c>
      <c r="D3502" s="6">
        <v>5.79</v>
      </c>
      <c r="E3502" t="s">
        <v>12</v>
      </c>
    </row>
    <row r="3503" spans="1:5" x14ac:dyDescent="0.25">
      <c r="A3503" t="str">
        <f>HYPERLINK("https://www.773grp.com/globalSearch/SN74AS241N/page-1", "SN74AS241N")</f>
        <v>SN74AS241N</v>
      </c>
      <c r="B3503" s="3" t="s">
        <v>90</v>
      </c>
      <c r="C3503" s="5">
        <v>204</v>
      </c>
      <c r="D3503" s="6">
        <v>5.79</v>
      </c>
      <c r="E3503" t="s">
        <v>12</v>
      </c>
    </row>
    <row r="3504" spans="1:5" x14ac:dyDescent="0.25">
      <c r="A3504" t="str">
        <f>HYPERLINK("https://www.773grp.com/globalSearch/SN74AS645DWR/page-1", "SN74AS645DWR")</f>
        <v>SN74AS645DWR</v>
      </c>
      <c r="B3504" s="3" t="s">
        <v>90</v>
      </c>
      <c r="C3504" s="5">
        <v>4000</v>
      </c>
      <c r="D3504" s="6">
        <v>5.79</v>
      </c>
      <c r="E3504" t="s">
        <v>12</v>
      </c>
    </row>
    <row r="3505" spans="1:5" x14ac:dyDescent="0.25">
      <c r="A3505" t="str">
        <f>HYPERLINK("https://www.773grp.com/globalSearch/74ACT11623DW/page-1", "74ACT11623DW")</f>
        <v>74ACT11623DW</v>
      </c>
      <c r="B3505" s="3" t="s">
        <v>90</v>
      </c>
      <c r="C3505" s="5">
        <v>1750</v>
      </c>
      <c r="D3505" s="6">
        <v>5.83</v>
      </c>
      <c r="E3505" t="s">
        <v>12</v>
      </c>
    </row>
    <row r="3506" spans="1:5" x14ac:dyDescent="0.25">
      <c r="A3506" t="str">
        <f>HYPERLINK("https://www.773grp.com/globalSearch/74ACT11623DW/page-1", "74ACT11623DW")</f>
        <v>74ACT11623DW</v>
      </c>
      <c r="B3506" s="3" t="s">
        <v>90</v>
      </c>
      <c r="C3506" s="5">
        <v>503</v>
      </c>
      <c r="D3506" s="6">
        <v>5.83</v>
      </c>
      <c r="E3506" t="s">
        <v>12</v>
      </c>
    </row>
    <row r="3507" spans="1:5" x14ac:dyDescent="0.25">
      <c r="A3507" t="str">
        <f>HYPERLINK("https://www.773grp.com/globalSearch/CD74HCT652M/page-1", "CD74HCT652M")</f>
        <v>CD74HCT652M</v>
      </c>
      <c r="B3507" s="3" t="s">
        <v>90</v>
      </c>
      <c r="C3507" s="5">
        <v>1200</v>
      </c>
      <c r="D3507" s="6">
        <v>5.83</v>
      </c>
      <c r="E3507" t="s">
        <v>12</v>
      </c>
    </row>
    <row r="3508" spans="1:5" x14ac:dyDescent="0.25">
      <c r="A3508" t="str">
        <f>HYPERLINK("https://www.773grp.com/globalSearch/CD74HCT652M/page-1", "CD74HCT652M")</f>
        <v>CD74HCT652M</v>
      </c>
      <c r="B3508" s="3" t="s">
        <v>90</v>
      </c>
      <c r="C3508" s="5">
        <v>1825</v>
      </c>
      <c r="D3508" s="6">
        <v>5.83</v>
      </c>
      <c r="E3508" t="s">
        <v>12</v>
      </c>
    </row>
    <row r="3509" spans="1:5" x14ac:dyDescent="0.25">
      <c r="A3509" t="str">
        <f>HYPERLINK("https://www.773grp.com/globalSearch/SN74ALS533ADWR/page-1", "SN74ALS533ADWR")</f>
        <v>SN74ALS533ADWR</v>
      </c>
      <c r="B3509" s="3" t="s">
        <v>90</v>
      </c>
      <c r="C3509" s="5">
        <v>9000</v>
      </c>
      <c r="D3509" s="6">
        <v>5.83</v>
      </c>
      <c r="E3509" t="s">
        <v>12</v>
      </c>
    </row>
    <row r="3510" spans="1:5" x14ac:dyDescent="0.25">
      <c r="A3510" t="str">
        <f>HYPERLINK("https://www.773grp.com/globalSearch/SN74ALS534AN/page-1", "SN74ALS534AN")</f>
        <v>SN74ALS534AN</v>
      </c>
      <c r="B3510" s="3" t="s">
        <v>90</v>
      </c>
      <c r="C3510" s="5">
        <v>4010</v>
      </c>
      <c r="D3510" s="6">
        <v>5.83</v>
      </c>
      <c r="E3510" t="s">
        <v>12</v>
      </c>
    </row>
    <row r="3511" spans="1:5" x14ac:dyDescent="0.25">
      <c r="A3511" t="str">
        <f>HYPERLINK("https://www.773grp.com/globalSearch/SN74ALS534ANSR/page-1", "SN74ALS534ANSR")</f>
        <v>SN74ALS534ANSR</v>
      </c>
      <c r="B3511" s="3" t="s">
        <v>90</v>
      </c>
      <c r="C3511" s="5">
        <v>10000</v>
      </c>
      <c r="D3511" s="6">
        <v>5.83</v>
      </c>
      <c r="E3511" t="s">
        <v>12</v>
      </c>
    </row>
    <row r="3512" spans="1:5" x14ac:dyDescent="0.25">
      <c r="A3512" t="str">
        <f>HYPERLINK("https://www.773grp.com/globalSearch/SN74ALS640B-1DW/page-1", "SN74ALS640B-1DW")</f>
        <v>SN74ALS640B-1DW</v>
      </c>
      <c r="B3512" s="3" t="s">
        <v>90</v>
      </c>
      <c r="C3512" s="5">
        <v>4037</v>
      </c>
      <c r="D3512" s="6">
        <v>5.83</v>
      </c>
      <c r="E3512" t="s">
        <v>12</v>
      </c>
    </row>
    <row r="3513" spans="1:5" x14ac:dyDescent="0.25">
      <c r="A3513" t="str">
        <f>HYPERLINK("https://www.773grp.com/globalSearch/SN74ALS640BDW/page-1", "SN74ALS640BDW")</f>
        <v>SN74ALS640BDW</v>
      </c>
      <c r="B3513" s="3" t="s">
        <v>90</v>
      </c>
      <c r="C3513" s="5">
        <v>2</v>
      </c>
      <c r="D3513" s="6">
        <v>5.83</v>
      </c>
      <c r="E3513" t="s">
        <v>12</v>
      </c>
    </row>
    <row r="3514" spans="1:5" x14ac:dyDescent="0.25">
      <c r="A3514" t="str">
        <f>HYPERLINK("https://www.773grp.com/globalSearch/SN74ALVC16835DL/page-1", "SN74ALVC16835DL")</f>
        <v>SN74ALVC16835DL</v>
      </c>
      <c r="B3514" s="3" t="s">
        <v>90</v>
      </c>
      <c r="C3514" s="5">
        <v>9824</v>
      </c>
      <c r="D3514" s="6">
        <v>5.83</v>
      </c>
      <c r="E3514" t="s">
        <v>12</v>
      </c>
    </row>
    <row r="3515" spans="1:5" x14ac:dyDescent="0.25">
      <c r="A3515" t="str">
        <f>HYPERLINK("https://www.773grp.com/globalSearch/SN74ALVTH162827DL/page-1", "SN74ALVTH162827DL")</f>
        <v>SN74ALVTH162827DL</v>
      </c>
      <c r="B3515" s="3" t="s">
        <v>90</v>
      </c>
      <c r="C3515" s="5">
        <v>13887</v>
      </c>
      <c r="D3515" s="6">
        <v>5.83</v>
      </c>
      <c r="E3515" t="s">
        <v>12</v>
      </c>
    </row>
    <row r="3516" spans="1:5" x14ac:dyDescent="0.25">
      <c r="A3516" t="str">
        <f>HYPERLINK("https://www.773grp.com/globalSearch/SN74AS240AN/page-1", "SN74AS240AN")</f>
        <v>SN74AS240AN</v>
      </c>
      <c r="B3516" s="3" t="s">
        <v>90</v>
      </c>
      <c r="C3516" s="5">
        <v>18408</v>
      </c>
      <c r="D3516" s="6">
        <v>5.83</v>
      </c>
      <c r="E3516" t="s">
        <v>12</v>
      </c>
    </row>
    <row r="3517" spans="1:5" x14ac:dyDescent="0.25">
      <c r="A3517" t="str">
        <f>HYPERLINK("https://www.773grp.com/globalSearch/SN74AS240ANSR/page-1", "SN74AS240ANSR")</f>
        <v>SN74AS240ANSR</v>
      </c>
      <c r="B3517" s="3" t="s">
        <v>90</v>
      </c>
      <c r="C3517" s="5">
        <v>5700</v>
      </c>
      <c r="D3517" s="6">
        <v>5.83</v>
      </c>
      <c r="E3517" t="s">
        <v>12</v>
      </c>
    </row>
    <row r="3518" spans="1:5" x14ac:dyDescent="0.25">
      <c r="A3518" t="str">
        <f>HYPERLINK("https://www.773grp.com/globalSearch/SN74AS373N/page-1", "SN74AS373N")</f>
        <v>SN74AS373N</v>
      </c>
      <c r="B3518" s="3" t="s">
        <v>90</v>
      </c>
      <c r="C3518" s="5">
        <v>918</v>
      </c>
      <c r="D3518" s="6">
        <v>5.83</v>
      </c>
      <c r="E3518" t="s">
        <v>12</v>
      </c>
    </row>
    <row r="3519" spans="1:5" x14ac:dyDescent="0.25">
      <c r="A3519" t="str">
        <f>HYPERLINK("https://www.773grp.com/globalSearch/SN74AS374N/page-1", "SN74AS374N")</f>
        <v>SN74AS374N</v>
      </c>
      <c r="B3519" s="3" t="s">
        <v>90</v>
      </c>
      <c r="C3519" s="5">
        <v>23943</v>
      </c>
      <c r="D3519" s="6">
        <v>5.83</v>
      </c>
      <c r="E3519" t="s">
        <v>12</v>
      </c>
    </row>
    <row r="3520" spans="1:5" x14ac:dyDescent="0.25">
      <c r="A3520" t="str">
        <f>HYPERLINK("https://www.773grp.com/globalSearch/SN74AS374NSR/page-1", "SN74AS374NSR")</f>
        <v>SN74AS374NSR</v>
      </c>
      <c r="B3520" s="3" t="s">
        <v>90</v>
      </c>
      <c r="C3520" s="5">
        <v>2000</v>
      </c>
      <c r="D3520" s="6">
        <v>5.83</v>
      </c>
      <c r="E3520" t="s">
        <v>12</v>
      </c>
    </row>
    <row r="3521" spans="1:5" x14ac:dyDescent="0.25">
      <c r="A3521" t="str">
        <f>HYPERLINK("https://www.773grp.com/globalSearch/SN74AS573AN/page-1", "SN74AS573AN")</f>
        <v>SN74AS573AN</v>
      </c>
      <c r="B3521" s="3" t="s">
        <v>90</v>
      </c>
      <c r="C3521" s="5">
        <v>864</v>
      </c>
      <c r="D3521" s="6">
        <v>5.83</v>
      </c>
      <c r="E3521" t="s">
        <v>12</v>
      </c>
    </row>
    <row r="3522" spans="1:5" x14ac:dyDescent="0.25">
      <c r="A3522" t="str">
        <f>HYPERLINK("https://www.773grp.com/globalSearch/SN74AS574N/page-1", "SN74AS574N")</f>
        <v>SN74AS574N</v>
      </c>
      <c r="B3522" s="3" t="s">
        <v>90</v>
      </c>
      <c r="C3522" s="5">
        <v>251</v>
      </c>
      <c r="D3522" s="6">
        <v>5.83</v>
      </c>
      <c r="E3522" t="s">
        <v>12</v>
      </c>
    </row>
    <row r="3523" spans="1:5" x14ac:dyDescent="0.25">
      <c r="A3523" t="str">
        <f>HYPERLINK("https://www.773grp.com/globalSearch/SN74BCT29827BDWR/page-1", "SN74BCT29827BDWR")</f>
        <v>SN74BCT29827BDWR</v>
      </c>
      <c r="B3523" s="3" t="s">
        <v>90</v>
      </c>
      <c r="C3523" s="5">
        <v>2000</v>
      </c>
      <c r="D3523" s="6">
        <v>5.83</v>
      </c>
      <c r="E3523" t="s">
        <v>12</v>
      </c>
    </row>
    <row r="3524" spans="1:5" x14ac:dyDescent="0.25">
      <c r="A3524" t="str">
        <f>HYPERLINK("https://www.773grp.com/globalSearch/SN74BCT760N/page-1", "SN74BCT760N")</f>
        <v>SN74BCT760N</v>
      </c>
      <c r="B3524" s="3" t="s">
        <v>90</v>
      </c>
      <c r="C3524" s="5">
        <v>10607</v>
      </c>
      <c r="D3524" s="6">
        <v>5.83</v>
      </c>
      <c r="E3524" t="s">
        <v>12</v>
      </c>
    </row>
    <row r="3525" spans="1:5" x14ac:dyDescent="0.25">
      <c r="A3525" t="str">
        <f>HYPERLINK("https://www.773grp.com/globalSearch/SN74CB3T16211GQLR/page-1", "SN74CB3T16211GQLR")</f>
        <v>SN74CB3T16211GQLR</v>
      </c>
      <c r="B3525" s="3" t="s">
        <v>90</v>
      </c>
      <c r="C3525" s="5">
        <v>4000</v>
      </c>
      <c r="D3525" s="6">
        <v>5.83</v>
      </c>
      <c r="E3525" t="s">
        <v>12</v>
      </c>
    </row>
    <row r="3526" spans="1:5" x14ac:dyDescent="0.25">
      <c r="A3526" t="str">
        <f>HYPERLINK("https://www.773grp.com/globalSearch/SN74CB3T16211ZQLR/page-1", "SN74CB3T16211ZQLR")</f>
        <v>SN74CB3T16211ZQLR</v>
      </c>
      <c r="B3526" s="3" t="s">
        <v>90</v>
      </c>
      <c r="C3526" s="5">
        <v>26425</v>
      </c>
      <c r="D3526" s="6">
        <v>5.83</v>
      </c>
      <c r="E3526" t="s">
        <v>12</v>
      </c>
    </row>
    <row r="3527" spans="1:5" x14ac:dyDescent="0.25">
      <c r="A3527" t="str">
        <f>HYPERLINK("https://www.773grp.com/globalSearch/SN74CB3T16212ZQLR/page-1", "SN74CB3T16212ZQLR")</f>
        <v>SN74CB3T16212ZQLR</v>
      </c>
      <c r="B3527" s="3" t="s">
        <v>90</v>
      </c>
      <c r="C3527" s="5">
        <v>5100</v>
      </c>
      <c r="D3527" s="6">
        <v>5.83</v>
      </c>
      <c r="E3527" t="s">
        <v>12</v>
      </c>
    </row>
    <row r="3528" spans="1:5" x14ac:dyDescent="0.25">
      <c r="A3528" t="str">
        <f>HYPERLINK("https://www.773grp.com/globalSearch/SN74CBT16861DL/page-1", "SN74CBT16861DL")</f>
        <v>SN74CBT16861DL</v>
      </c>
      <c r="B3528" s="3" t="s">
        <v>90</v>
      </c>
      <c r="C3528" s="5">
        <v>4243</v>
      </c>
      <c r="D3528" s="6">
        <v>5.83</v>
      </c>
      <c r="E3528" t="s">
        <v>12</v>
      </c>
    </row>
    <row r="3529" spans="1:5" x14ac:dyDescent="0.25">
      <c r="A3529" t="str">
        <f>HYPERLINK("https://www.773grp.com/globalSearch/SN74CBTD16210DL/page-1", "SN74CBTD16210DL")</f>
        <v>SN74CBTD16210DL</v>
      </c>
      <c r="B3529" s="3" t="s">
        <v>90</v>
      </c>
      <c r="C3529" s="5">
        <v>309</v>
      </c>
      <c r="D3529" s="6">
        <v>5.83</v>
      </c>
      <c r="E3529" t="s">
        <v>12</v>
      </c>
    </row>
    <row r="3530" spans="1:5" x14ac:dyDescent="0.25">
      <c r="A3530" t="str">
        <f>HYPERLINK("https://www.773grp.com/globalSearch/SN74S240N/page-1", "SN74S240N")</f>
        <v>SN74S240N</v>
      </c>
      <c r="B3530" s="3" t="s">
        <v>90</v>
      </c>
      <c r="C3530" s="5">
        <v>14273</v>
      </c>
      <c r="D3530" s="6">
        <v>5.83</v>
      </c>
      <c r="E3530" t="s">
        <v>12</v>
      </c>
    </row>
    <row r="3531" spans="1:5" x14ac:dyDescent="0.25">
      <c r="A3531" t="str">
        <f>HYPERLINK("https://www.773grp.com/globalSearch/SN74S241N/page-1", "SN74S241N")</f>
        <v>SN74S241N</v>
      </c>
      <c r="B3531" s="3" t="s">
        <v>90</v>
      </c>
      <c r="C3531" s="5">
        <v>5936</v>
      </c>
      <c r="D3531" s="6">
        <v>5.83</v>
      </c>
      <c r="E3531" t="s">
        <v>12</v>
      </c>
    </row>
    <row r="3532" spans="1:5" x14ac:dyDescent="0.25">
      <c r="A3532" t="str">
        <f>HYPERLINK("https://www.773grp.com/globalSearch/SN74S244N/page-1", "SN74S244N")</f>
        <v>SN74S244N</v>
      </c>
      <c r="B3532" s="3" t="s">
        <v>90</v>
      </c>
      <c r="C3532" s="5">
        <v>5268</v>
      </c>
      <c r="D3532" s="6">
        <v>5.83</v>
      </c>
      <c r="E3532" t="s">
        <v>12</v>
      </c>
    </row>
    <row r="3533" spans="1:5" x14ac:dyDescent="0.25">
      <c r="A3533" t="str">
        <f>HYPERLINK("https://www.773grp.com/globalSearch/SN74ABT162827ADGGR/page-1", "SN74ABT162827ADGGR")</f>
        <v>SN74ABT162827ADGGR</v>
      </c>
      <c r="B3533" s="3" t="s">
        <v>90</v>
      </c>
      <c r="C3533" s="5">
        <v>6000</v>
      </c>
      <c r="D3533" s="6">
        <v>5.85</v>
      </c>
      <c r="E3533" t="s">
        <v>12</v>
      </c>
    </row>
    <row r="3534" spans="1:5" x14ac:dyDescent="0.25">
      <c r="A3534" t="str">
        <f>HYPERLINK("https://www.773grp.com/globalSearch/SN74ABT162827ADL/page-1", "SN74ABT162827ADL")</f>
        <v>SN74ABT162827ADL</v>
      </c>
      <c r="B3534" s="3" t="s">
        <v>90</v>
      </c>
      <c r="C3534" s="5">
        <v>7395</v>
      </c>
      <c r="D3534" s="6">
        <v>5.85</v>
      </c>
      <c r="E3534" t="s">
        <v>12</v>
      </c>
    </row>
    <row r="3535" spans="1:5" x14ac:dyDescent="0.25">
      <c r="A3535" t="str">
        <f>HYPERLINK("https://www.773grp.com/globalSearch/SN74ABT162827ADLR/page-1", "SN74ABT162827ADLR")</f>
        <v>SN74ABT162827ADLR</v>
      </c>
      <c r="B3535" s="3" t="s">
        <v>90</v>
      </c>
      <c r="C3535" s="5">
        <v>1000</v>
      </c>
      <c r="D3535" s="6">
        <v>5.85</v>
      </c>
      <c r="E3535" t="s">
        <v>12</v>
      </c>
    </row>
    <row r="3536" spans="1:5" x14ac:dyDescent="0.25">
      <c r="A3536" t="str">
        <f>HYPERLINK("https://www.773grp.com/globalSearch/SN74ABT5400ADWR/page-1", "SN74ABT5400ADWR")</f>
        <v>SN74ABT5400ADWR</v>
      </c>
      <c r="B3536" s="3" t="s">
        <v>90</v>
      </c>
      <c r="C3536" s="5">
        <v>4000</v>
      </c>
      <c r="D3536" s="6">
        <v>5.85</v>
      </c>
      <c r="E3536" t="s">
        <v>12</v>
      </c>
    </row>
    <row r="3537" spans="1:5" x14ac:dyDescent="0.25">
      <c r="A3537" t="str">
        <f>HYPERLINK("https://www.773grp.com/globalSearch/SN74AVC16245DGVR/page-1", "SN74AVC16245DGVR")</f>
        <v>SN74AVC16245DGVR</v>
      </c>
      <c r="B3537" s="3" t="s">
        <v>90</v>
      </c>
      <c r="C3537" s="5">
        <v>6191</v>
      </c>
      <c r="D3537" s="6">
        <v>5.85</v>
      </c>
      <c r="E3537" t="s">
        <v>12</v>
      </c>
    </row>
    <row r="3538" spans="1:5" x14ac:dyDescent="0.25">
      <c r="A3538" t="str">
        <f>HYPERLINK("https://www.773grp.com/globalSearch/SN74BCT2828BDW/page-1", "SN74BCT2828BDW")</f>
        <v>SN74BCT2828BDW</v>
      </c>
      <c r="B3538" s="3" t="s">
        <v>90</v>
      </c>
      <c r="C3538" s="5">
        <v>2375</v>
      </c>
      <c r="D3538" s="6">
        <v>5.85</v>
      </c>
      <c r="E3538" t="s">
        <v>12</v>
      </c>
    </row>
    <row r="3539" spans="1:5" x14ac:dyDescent="0.25">
      <c r="A3539" t="str">
        <f>HYPERLINK("https://www.773grp.com/globalSearch/74AVCH16T245ZQLR/page-1", "74AVCH16T245ZQLR")</f>
        <v>74AVCH16T245ZQLR</v>
      </c>
      <c r="B3539" s="3" t="s">
        <v>90</v>
      </c>
      <c r="C3539" s="5">
        <v>17737</v>
      </c>
      <c r="D3539" s="6">
        <v>5.91</v>
      </c>
      <c r="E3539" t="s">
        <v>12</v>
      </c>
    </row>
    <row r="3540" spans="1:5" x14ac:dyDescent="0.25">
      <c r="A3540" t="str">
        <f>HYPERLINK("https://www.773grp.com/globalSearch/SN74AVC16646DGG/page-1", "SN74AVC16646DGG")</f>
        <v>SN74AVC16646DGG</v>
      </c>
      <c r="B3540" s="3" t="s">
        <v>90</v>
      </c>
      <c r="C3540" s="5">
        <v>1136</v>
      </c>
      <c r="D3540" s="6">
        <v>5.91</v>
      </c>
      <c r="E3540" t="s">
        <v>12</v>
      </c>
    </row>
    <row r="3541" spans="1:5" x14ac:dyDescent="0.25">
      <c r="A3541" t="str">
        <f>HYPERLINK("https://www.773grp.com/globalSearch/SN74AVCH16T245GQLR/page-1", "SN74AVCH16T245GQLR")</f>
        <v>SN74AVCH16T245GQLR</v>
      </c>
      <c r="B3541" s="3" t="s">
        <v>90</v>
      </c>
      <c r="C3541" s="5">
        <v>30000</v>
      </c>
      <c r="D3541" s="6">
        <v>5.91</v>
      </c>
      <c r="E3541" t="s">
        <v>12</v>
      </c>
    </row>
    <row r="3542" spans="1:5" x14ac:dyDescent="0.25">
      <c r="A3542" t="str">
        <f>HYPERLINK("https://www.773grp.com/globalSearch/SN74LS623NS/page-1", "SN74LS623NS")</f>
        <v>SN74LS623NS</v>
      </c>
      <c r="B3542" s="3" t="s">
        <v>90</v>
      </c>
      <c r="C3542" s="5">
        <v>5576</v>
      </c>
      <c r="D3542" s="6">
        <v>5.91</v>
      </c>
      <c r="E3542" t="s">
        <v>12</v>
      </c>
    </row>
    <row r="3543" spans="1:5" x14ac:dyDescent="0.25">
      <c r="A3543" t="str">
        <f>HYPERLINK("https://www.773grp.com/globalSearch/SN74S374N/page-1", "SN74S374N")</f>
        <v>SN74S374N</v>
      </c>
      <c r="B3543" s="3" t="s">
        <v>90</v>
      </c>
      <c r="C3543" s="5">
        <v>3738</v>
      </c>
      <c r="D3543" s="6">
        <v>5.94</v>
      </c>
      <c r="E3543" t="s">
        <v>12</v>
      </c>
    </row>
    <row r="3544" spans="1:5" x14ac:dyDescent="0.25">
      <c r="A3544" t="str">
        <f>HYPERLINK("https://www.773grp.com/globalSearch/CD74FCT573E/page-1", "CD74FCT573E")</f>
        <v>CD74FCT573E</v>
      </c>
      <c r="B3544" s="3" t="s">
        <v>90</v>
      </c>
      <c r="C3544" s="5">
        <v>2880</v>
      </c>
      <c r="D3544" s="6">
        <v>5.99</v>
      </c>
      <c r="E3544" t="s">
        <v>12</v>
      </c>
    </row>
    <row r="3545" spans="1:5" x14ac:dyDescent="0.25">
      <c r="A3545" t="str">
        <f>HYPERLINK("https://www.773grp.com/globalSearch/74AC11240DW/page-1", "74AC11240DW")</f>
        <v>74AC11240DW</v>
      </c>
      <c r="B3545" s="3" t="s">
        <v>90</v>
      </c>
      <c r="C3545" s="5">
        <v>15751</v>
      </c>
      <c r="D3545" s="6">
        <v>6.03</v>
      </c>
      <c r="E3545" t="s">
        <v>12</v>
      </c>
    </row>
    <row r="3546" spans="1:5" x14ac:dyDescent="0.25">
      <c r="A3546" t="str">
        <f>HYPERLINK("https://www.773grp.com/globalSearch/74AC11240PW/page-1", "74AC11240PW")</f>
        <v>74AC11240PW</v>
      </c>
      <c r="B3546" s="3" t="s">
        <v>90</v>
      </c>
      <c r="C3546" s="5">
        <v>3692</v>
      </c>
      <c r="D3546" s="6">
        <v>6.03</v>
      </c>
      <c r="E3546" t="s">
        <v>12</v>
      </c>
    </row>
    <row r="3547" spans="1:5" x14ac:dyDescent="0.25">
      <c r="A3547" t="str">
        <f>HYPERLINK("https://www.773grp.com/globalSearch/74AC11245DW/page-1", "74AC11245DW")</f>
        <v>74AC11245DW</v>
      </c>
      <c r="B3547" s="3" t="s">
        <v>90</v>
      </c>
      <c r="C3547" s="5">
        <v>11226</v>
      </c>
      <c r="D3547" s="6">
        <v>6.03</v>
      </c>
      <c r="E3547" t="s">
        <v>12</v>
      </c>
    </row>
    <row r="3548" spans="1:5" x14ac:dyDescent="0.25">
      <c r="A3548" t="str">
        <f>HYPERLINK("https://www.773grp.com/globalSearch/74ALVCH32973ZKER/page-1", "74ALVCH32973ZKER")</f>
        <v>74ALVCH32973ZKER</v>
      </c>
      <c r="B3548" s="3" t="s">
        <v>90</v>
      </c>
      <c r="C3548" s="5">
        <v>6375</v>
      </c>
      <c r="D3548" s="6">
        <v>6.03</v>
      </c>
      <c r="E3548" t="s">
        <v>12</v>
      </c>
    </row>
    <row r="3549" spans="1:5" x14ac:dyDescent="0.25">
      <c r="A3549" t="str">
        <f>HYPERLINK("https://www.773grp.com/globalSearch/SN64BCT244DWR/page-1", "SN64BCT244DWR")</f>
        <v>SN64BCT244DWR</v>
      </c>
      <c r="B3549" s="3" t="s">
        <v>90</v>
      </c>
      <c r="C3549" s="5">
        <v>18000</v>
      </c>
      <c r="D3549" s="6">
        <v>6.03</v>
      </c>
      <c r="E3549" t="s">
        <v>12</v>
      </c>
    </row>
    <row r="3550" spans="1:5" x14ac:dyDescent="0.25">
      <c r="A3550" t="str">
        <f>HYPERLINK("https://www.773grp.com/globalSearch/SN64BCT245N/page-1", "SN64BCT245N")</f>
        <v>SN64BCT245N</v>
      </c>
      <c r="B3550" s="3" t="s">
        <v>90</v>
      </c>
      <c r="C3550" s="5">
        <v>5063</v>
      </c>
      <c r="D3550" s="6">
        <v>6.03</v>
      </c>
      <c r="E3550" t="s">
        <v>12</v>
      </c>
    </row>
    <row r="3551" spans="1:5" x14ac:dyDescent="0.25">
      <c r="A3551" t="str">
        <f>HYPERLINK("https://www.773grp.com/globalSearch/SN74ABT16501DGGR/page-1", "SN74ABT16501DGGR")</f>
        <v>SN74ABT16501DGGR</v>
      </c>
      <c r="B3551" s="3" t="s">
        <v>90</v>
      </c>
      <c r="C3551" s="5">
        <v>6975</v>
      </c>
      <c r="D3551" s="6">
        <v>6.03</v>
      </c>
      <c r="E3551" t="s">
        <v>12</v>
      </c>
    </row>
    <row r="3552" spans="1:5" x14ac:dyDescent="0.25">
      <c r="A3552" t="str">
        <f>HYPERLINK("https://www.773grp.com/globalSearch/SN74ABT16821DGGR/page-1", "SN74ABT16821DGGR")</f>
        <v>SN74ABT16821DGGR</v>
      </c>
      <c r="B3552" s="3" t="s">
        <v>90</v>
      </c>
      <c r="C3552" s="5">
        <v>2000</v>
      </c>
      <c r="D3552" s="6">
        <v>6.03</v>
      </c>
      <c r="E3552" t="s">
        <v>12</v>
      </c>
    </row>
    <row r="3553" spans="1:5" x14ac:dyDescent="0.25">
      <c r="A3553" t="str">
        <f>HYPERLINK("https://www.773grp.com/globalSearch/SN74ABT5402DW/page-1", "SN74ABT5402DW")</f>
        <v>SN74ABT5402DW</v>
      </c>
      <c r="B3553" s="3" t="s">
        <v>90</v>
      </c>
      <c r="C3553" s="5">
        <v>2170</v>
      </c>
      <c r="D3553" s="6">
        <v>6.03</v>
      </c>
      <c r="E3553" t="s">
        <v>12</v>
      </c>
    </row>
    <row r="3554" spans="1:5" x14ac:dyDescent="0.25">
      <c r="A3554" t="str">
        <f>HYPERLINK("https://www.773grp.com/globalSearch/SN74ALS580BN/page-1", "SN74ALS580BN")</f>
        <v>SN74ALS580BN</v>
      </c>
      <c r="B3554" s="3" t="s">
        <v>90</v>
      </c>
      <c r="C3554" s="5">
        <v>11634</v>
      </c>
      <c r="D3554" s="6">
        <v>6.03</v>
      </c>
      <c r="E3554" t="s">
        <v>12</v>
      </c>
    </row>
    <row r="3555" spans="1:5" x14ac:dyDescent="0.25">
      <c r="A3555" t="str">
        <f>HYPERLINK("https://www.773grp.com/globalSearch/SN74ALS580BNSR/page-1", "SN74ALS580BNSR")</f>
        <v>SN74ALS580BNSR</v>
      </c>
      <c r="B3555" s="3" t="s">
        <v>90</v>
      </c>
      <c r="C3555" s="5">
        <v>6048</v>
      </c>
      <c r="D3555" s="6">
        <v>6.03</v>
      </c>
      <c r="E3555" t="s">
        <v>12</v>
      </c>
    </row>
    <row r="3556" spans="1:5" x14ac:dyDescent="0.25">
      <c r="A3556" t="str">
        <f>HYPERLINK("https://www.773grp.com/globalSearch/SN74ALVCH16973DL/page-1", "SN74ALVCH16973DL")</f>
        <v>SN74ALVCH16973DL</v>
      </c>
      <c r="B3556" s="3" t="s">
        <v>90</v>
      </c>
      <c r="C3556" s="5">
        <v>9625</v>
      </c>
      <c r="D3556" s="6">
        <v>6.03</v>
      </c>
      <c r="E3556" t="s">
        <v>12</v>
      </c>
    </row>
    <row r="3557" spans="1:5" x14ac:dyDescent="0.25">
      <c r="A3557" t="str">
        <f>HYPERLINK("https://www.773grp.com/globalSearch/SN74ALVCH32973KR/page-1", "SN74ALVCH32973KR")</f>
        <v>SN74ALVCH32973KR</v>
      </c>
      <c r="B3557" s="3" t="s">
        <v>90</v>
      </c>
      <c r="C3557" s="5">
        <v>3388</v>
      </c>
      <c r="D3557" s="6">
        <v>6.03</v>
      </c>
      <c r="E3557" t="s">
        <v>12</v>
      </c>
    </row>
    <row r="3558" spans="1:5" x14ac:dyDescent="0.25">
      <c r="A3558" t="str">
        <f>HYPERLINK("https://www.773grp.com/globalSearch/SN74ALVTH16601GR/page-1", "SN74ALVTH16601GR")</f>
        <v>SN74ALVTH16601GR</v>
      </c>
      <c r="B3558" s="3" t="s">
        <v>90</v>
      </c>
      <c r="C3558" s="5">
        <v>1047</v>
      </c>
      <c r="D3558" s="6">
        <v>6.03</v>
      </c>
      <c r="E3558" t="s">
        <v>12</v>
      </c>
    </row>
    <row r="3559" spans="1:5" x14ac:dyDescent="0.25">
      <c r="A3559" t="str">
        <f>HYPERLINK("https://www.773grp.com/globalSearch/SN74ALVTH16821GR/page-1", "SN74ALVTH16821GR")</f>
        <v>SN74ALVTH16821GR</v>
      </c>
      <c r="B3559" s="3" t="s">
        <v>90</v>
      </c>
      <c r="C3559" s="5">
        <v>7331</v>
      </c>
      <c r="D3559" s="6">
        <v>6.03</v>
      </c>
      <c r="E3559" t="s">
        <v>12</v>
      </c>
    </row>
    <row r="3560" spans="1:5" x14ac:dyDescent="0.25">
      <c r="A3560" t="str">
        <f>HYPERLINK("https://www.773grp.com/globalSearch/SN74ALVTH16827GR/page-1", "SN74ALVTH16827GR")</f>
        <v>SN74ALVTH16827GR</v>
      </c>
      <c r="B3560" s="3" t="s">
        <v>90</v>
      </c>
      <c r="C3560" s="5">
        <v>44000</v>
      </c>
      <c r="D3560" s="6">
        <v>6.03</v>
      </c>
      <c r="E3560" t="s">
        <v>12</v>
      </c>
    </row>
    <row r="3561" spans="1:5" x14ac:dyDescent="0.25">
      <c r="A3561" t="str">
        <f>HYPERLINK("https://www.773grp.com/globalSearch/SN74ALVTH16827VR/page-1", "SN74ALVTH16827VR")</f>
        <v>SN74ALVTH16827VR</v>
      </c>
      <c r="B3561" s="3" t="s">
        <v>90</v>
      </c>
      <c r="C3561" s="5">
        <v>13850</v>
      </c>
      <c r="D3561" s="6">
        <v>6.03</v>
      </c>
      <c r="E3561" t="s">
        <v>12</v>
      </c>
    </row>
    <row r="3562" spans="1:5" x14ac:dyDescent="0.25">
      <c r="A3562" t="str">
        <f>HYPERLINK("https://www.773grp.com/globalSearch/SN74AS244AN/page-1", "SN74AS244AN")</f>
        <v>SN74AS244AN</v>
      </c>
      <c r="B3562" s="3" t="s">
        <v>90</v>
      </c>
      <c r="C3562" s="5">
        <v>10528</v>
      </c>
      <c r="D3562" s="6">
        <v>6.03</v>
      </c>
      <c r="E3562" t="s">
        <v>12</v>
      </c>
    </row>
    <row r="3563" spans="1:5" x14ac:dyDescent="0.25">
      <c r="A3563" t="str">
        <f>HYPERLINK("https://www.773grp.com/globalSearch/SN74AS244ANSR/page-1", "SN74AS244ANSR")</f>
        <v>SN74AS244ANSR</v>
      </c>
      <c r="B3563" s="3" t="s">
        <v>90</v>
      </c>
      <c r="C3563" s="5">
        <v>8000</v>
      </c>
      <c r="D3563" s="6">
        <v>6.03</v>
      </c>
      <c r="E3563" t="s">
        <v>12</v>
      </c>
    </row>
    <row r="3564" spans="1:5" x14ac:dyDescent="0.25">
      <c r="A3564" t="str">
        <f>HYPERLINK("https://www.773grp.com/globalSearch/SN74AS245N/page-1", "SN74AS245N")</f>
        <v>SN74AS245N</v>
      </c>
      <c r="B3564" s="3" t="s">
        <v>90</v>
      </c>
      <c r="C3564" s="5">
        <v>4876</v>
      </c>
      <c r="D3564" s="6">
        <v>6.03</v>
      </c>
      <c r="E3564" t="s">
        <v>12</v>
      </c>
    </row>
    <row r="3565" spans="1:5" x14ac:dyDescent="0.25">
      <c r="A3565" t="str">
        <f>HYPERLINK("https://www.773grp.com/globalSearch/SN74AUC16501DGGR/page-1", "SN74AUC16501DGGR")</f>
        <v>SN74AUC16501DGGR</v>
      </c>
      <c r="B3565" s="3" t="s">
        <v>90</v>
      </c>
      <c r="C3565" s="5">
        <v>4000</v>
      </c>
      <c r="D3565" s="6">
        <v>6.03</v>
      </c>
      <c r="E3565" t="s">
        <v>12</v>
      </c>
    </row>
    <row r="3566" spans="1:5" x14ac:dyDescent="0.25">
      <c r="A3566" t="str">
        <f>HYPERLINK("https://www.773grp.com/globalSearch/SN74AUC16501DGVR/page-1", "SN74AUC16501DGVR")</f>
        <v>SN74AUC16501DGVR</v>
      </c>
      <c r="B3566" s="3" t="s">
        <v>90</v>
      </c>
      <c r="C3566" s="5">
        <v>4000</v>
      </c>
      <c r="D3566" s="6">
        <v>6.03</v>
      </c>
      <c r="E3566" t="s">
        <v>12</v>
      </c>
    </row>
    <row r="3567" spans="1:5" x14ac:dyDescent="0.25">
      <c r="A3567" t="str">
        <f>HYPERLINK("https://www.773grp.com/globalSearch/SN74AVC16827DGGR/page-1", "SN74AVC16827DGGR")</f>
        <v>SN74AVC16827DGGR</v>
      </c>
      <c r="B3567" s="3" t="s">
        <v>90</v>
      </c>
      <c r="C3567" s="5">
        <v>4000</v>
      </c>
      <c r="D3567" s="6">
        <v>6.03</v>
      </c>
      <c r="E3567" t="s">
        <v>12</v>
      </c>
    </row>
    <row r="3568" spans="1:5" x14ac:dyDescent="0.25">
      <c r="A3568" t="str">
        <f>HYPERLINK("https://www.773grp.com/globalSearch/SN74AVC16827DGVR/page-1", "SN74AVC16827DGVR")</f>
        <v>SN74AVC16827DGVR</v>
      </c>
      <c r="B3568" s="3" t="s">
        <v>90</v>
      </c>
      <c r="C3568" s="5">
        <v>17920</v>
      </c>
      <c r="D3568" s="6">
        <v>6.03</v>
      </c>
      <c r="E3568" t="s">
        <v>12</v>
      </c>
    </row>
    <row r="3569" spans="1:5" x14ac:dyDescent="0.25">
      <c r="A3569" t="str">
        <f>HYPERLINK("https://www.773grp.com/globalSearch/SN74BCT29822DW/page-1", "SN74BCT29822DW")</f>
        <v>SN74BCT29822DW</v>
      </c>
      <c r="B3569" s="3" t="s">
        <v>90</v>
      </c>
      <c r="C3569" s="5">
        <v>100</v>
      </c>
      <c r="D3569" s="6">
        <v>6.03</v>
      </c>
      <c r="E3569" t="s">
        <v>12</v>
      </c>
    </row>
    <row r="3570" spans="1:5" x14ac:dyDescent="0.25">
      <c r="A3570" t="str">
        <f>HYPERLINK("https://www.773grp.com/globalSearch/SN74CBTS16211DGGR/page-1", "SN74CBTS16211DGGR")</f>
        <v>SN74CBTS16211DGGR</v>
      </c>
      <c r="B3570" s="3" t="s">
        <v>90</v>
      </c>
      <c r="C3570" s="5">
        <v>11566</v>
      </c>
      <c r="D3570" s="6">
        <v>6.03</v>
      </c>
      <c r="E3570" t="s">
        <v>12</v>
      </c>
    </row>
    <row r="3571" spans="1:5" x14ac:dyDescent="0.25">
      <c r="A3571" t="str">
        <f>HYPERLINK("https://www.773grp.com/globalSearch/SN74CBTS16212DGGR/page-1", "SN74CBTS16212DGGR")</f>
        <v>SN74CBTS16212DGGR</v>
      </c>
      <c r="B3571" s="3" t="s">
        <v>90</v>
      </c>
      <c r="C3571" s="5">
        <v>20488</v>
      </c>
      <c r="D3571" s="6">
        <v>6.03</v>
      </c>
      <c r="E3571" t="s">
        <v>12</v>
      </c>
    </row>
    <row r="3572" spans="1:5" x14ac:dyDescent="0.25">
      <c r="A3572" t="str">
        <f>HYPERLINK("https://www.773grp.com/globalSearch/SN74GTLP1395DGVR/page-1", "SN74GTLP1395DGVR")</f>
        <v>SN74GTLP1395DGVR</v>
      </c>
      <c r="B3572" s="3" t="s">
        <v>90</v>
      </c>
      <c r="C3572" s="5">
        <v>6000</v>
      </c>
      <c r="D3572" s="6">
        <v>6.03</v>
      </c>
      <c r="E3572" t="s">
        <v>12</v>
      </c>
    </row>
    <row r="3573" spans="1:5" x14ac:dyDescent="0.25">
      <c r="A3573" t="str">
        <f>HYPERLINK("https://www.773grp.com/globalSearch/SN74GTLP1395DWR/page-1", "SN74GTLP1395DWR")</f>
        <v>SN74GTLP1395DWR</v>
      </c>
      <c r="B3573" s="3" t="s">
        <v>90</v>
      </c>
      <c r="C3573" s="5">
        <v>14000</v>
      </c>
      <c r="D3573" s="6">
        <v>6.03</v>
      </c>
      <c r="E3573" t="s">
        <v>12</v>
      </c>
    </row>
    <row r="3574" spans="1:5" x14ac:dyDescent="0.25">
      <c r="A3574" t="str">
        <f>HYPERLINK("https://www.773grp.com/globalSearch/SN74GTLP1395PWR/page-1", "SN74GTLP1395PWR")</f>
        <v>SN74GTLP1395PWR</v>
      </c>
      <c r="B3574" s="3" t="s">
        <v>90</v>
      </c>
      <c r="C3574" s="5">
        <v>6000</v>
      </c>
      <c r="D3574" s="6">
        <v>6.03</v>
      </c>
      <c r="E3574" t="s">
        <v>12</v>
      </c>
    </row>
    <row r="3575" spans="1:5" x14ac:dyDescent="0.25">
      <c r="A3575" t="str">
        <f>HYPERLINK("https://www.773grp.com/globalSearch/SN74GTLP21395DGVR/page-1", "SN74GTLP21395DGVR")</f>
        <v>SN74GTLP21395DGVR</v>
      </c>
      <c r="B3575" s="3" t="s">
        <v>90</v>
      </c>
      <c r="C3575" s="5">
        <v>18000</v>
      </c>
      <c r="D3575" s="6">
        <v>6.03</v>
      </c>
      <c r="E3575" t="s">
        <v>12</v>
      </c>
    </row>
    <row r="3576" spans="1:5" x14ac:dyDescent="0.25">
      <c r="A3576" t="str">
        <f>HYPERLINK("https://www.773grp.com/globalSearch/SN74GTLP21395DWR/page-1", "SN74GTLP21395DWR")</f>
        <v>SN74GTLP21395DWR</v>
      </c>
      <c r="B3576" s="3" t="s">
        <v>90</v>
      </c>
      <c r="C3576" s="5">
        <v>22000</v>
      </c>
      <c r="D3576" s="6">
        <v>6.03</v>
      </c>
      <c r="E3576" t="s">
        <v>12</v>
      </c>
    </row>
    <row r="3577" spans="1:5" x14ac:dyDescent="0.25">
      <c r="A3577" t="str">
        <f>HYPERLINK("https://www.773grp.com/globalSearch/SN74LS641-1N3/page-1", "SN74LS641-1N3")</f>
        <v>SN74LS641-1N3</v>
      </c>
      <c r="B3577" s="3" t="s">
        <v>90</v>
      </c>
      <c r="C3577" s="5">
        <v>2141</v>
      </c>
      <c r="D3577" s="6">
        <v>6.03</v>
      </c>
      <c r="E3577" t="s">
        <v>12</v>
      </c>
    </row>
    <row r="3578" spans="1:5" x14ac:dyDescent="0.25">
      <c r="A3578" t="str">
        <f>HYPERLINK("https://www.773grp.com/globalSearch/SN74LVCR16245AGQLR/page-1", "SN74LVCR16245AGQLR")</f>
        <v>SN74LVCR16245AGQLR</v>
      </c>
      <c r="B3578" s="3" t="s">
        <v>90</v>
      </c>
      <c r="C3578" s="5">
        <v>4000</v>
      </c>
      <c r="D3578" s="6">
        <v>6.03</v>
      </c>
      <c r="E3578" t="s">
        <v>12</v>
      </c>
    </row>
    <row r="3579" spans="1:5" x14ac:dyDescent="0.25">
      <c r="A3579" t="str">
        <f>HYPERLINK("https://www.773grp.com/globalSearch/SN74ABT162501DL/page-1", "SN74ABT162501DL")</f>
        <v>SN74ABT162501DL</v>
      </c>
      <c r="B3579" s="3" t="s">
        <v>90</v>
      </c>
      <c r="C3579" s="5">
        <v>13477</v>
      </c>
      <c r="D3579" s="6">
        <v>6.04</v>
      </c>
      <c r="E3579" t="s">
        <v>12</v>
      </c>
    </row>
    <row r="3580" spans="1:5" x14ac:dyDescent="0.25">
      <c r="A3580" t="str">
        <f>HYPERLINK("https://www.773grp.com/globalSearch/SN74ALVC162334DGGR/page-1", "SN74ALVC162334DGGR")</f>
        <v>SN74ALVC162334DGGR</v>
      </c>
      <c r="B3580" s="3" t="s">
        <v>90</v>
      </c>
      <c r="C3580" s="5">
        <v>8600</v>
      </c>
      <c r="D3580" s="6">
        <v>6.04</v>
      </c>
      <c r="E3580" t="s">
        <v>12</v>
      </c>
    </row>
    <row r="3581" spans="1:5" x14ac:dyDescent="0.25">
      <c r="A3581" t="str">
        <f>HYPERLINK("https://www.773grp.com/globalSearch/SN74ALVC162334DGVR/page-1", "SN74ALVC162334DGVR")</f>
        <v>SN74ALVC162334DGVR</v>
      </c>
      <c r="B3581" s="3" t="s">
        <v>90</v>
      </c>
      <c r="C3581" s="5">
        <v>4000</v>
      </c>
      <c r="D3581" s="6">
        <v>6.04</v>
      </c>
      <c r="E3581" t="s">
        <v>12</v>
      </c>
    </row>
    <row r="3582" spans="1:5" x14ac:dyDescent="0.25">
      <c r="A3582" t="str">
        <f>HYPERLINK("https://www.773grp.com/globalSearch/SN74ALVC162334DL/page-1", "SN74ALVC162334DL")</f>
        <v>SN74ALVC162334DL</v>
      </c>
      <c r="B3582" s="3" t="s">
        <v>90</v>
      </c>
      <c r="C3582" s="5">
        <v>12161</v>
      </c>
      <c r="D3582" s="6">
        <v>6.04</v>
      </c>
      <c r="E3582" t="s">
        <v>12</v>
      </c>
    </row>
    <row r="3583" spans="1:5" x14ac:dyDescent="0.25">
      <c r="A3583" t="str">
        <f>HYPERLINK("https://www.773grp.com/globalSearch/SN74ALVC162334DLR/page-1", "SN74ALVC162334DLR")</f>
        <v>SN74ALVC162334DLR</v>
      </c>
      <c r="B3583" s="3" t="s">
        <v>90</v>
      </c>
      <c r="C3583" s="5">
        <v>6000</v>
      </c>
      <c r="D3583" s="6">
        <v>6.04</v>
      </c>
      <c r="E3583" t="s">
        <v>12</v>
      </c>
    </row>
    <row r="3584" spans="1:5" x14ac:dyDescent="0.25">
      <c r="A3584" t="str">
        <f>HYPERLINK("https://www.773grp.com/globalSearch/SN74ALVCH16334DL/page-1", "SN74ALVCH16334DL")</f>
        <v>SN74ALVCH16334DL</v>
      </c>
      <c r="B3584" s="3" t="s">
        <v>90</v>
      </c>
      <c r="C3584" s="5">
        <v>19651</v>
      </c>
      <c r="D3584" s="6">
        <v>6.04</v>
      </c>
      <c r="E3584" t="s">
        <v>12</v>
      </c>
    </row>
    <row r="3585" spans="1:5" x14ac:dyDescent="0.25">
      <c r="A3585" t="str">
        <f>HYPERLINK("https://www.773grp.com/globalSearch/SN74ALVCH16344DGGR/page-1", "SN74ALVCH16344DGGR")</f>
        <v>SN74ALVCH16344DGGR</v>
      </c>
      <c r="B3585" s="3" t="s">
        <v>90</v>
      </c>
      <c r="C3585" s="5">
        <v>11000</v>
      </c>
      <c r="D3585" s="6">
        <v>6.04</v>
      </c>
      <c r="E3585" t="s">
        <v>12</v>
      </c>
    </row>
    <row r="3586" spans="1:5" x14ac:dyDescent="0.25">
      <c r="A3586" t="str">
        <f>HYPERLINK("https://www.773grp.com/globalSearch/SN74ALVCH16344DL/page-1", "SN74ALVCH16344DL")</f>
        <v>SN74ALVCH16344DL</v>
      </c>
      <c r="B3586" s="3" t="s">
        <v>90</v>
      </c>
      <c r="C3586" s="5">
        <v>6913</v>
      </c>
      <c r="D3586" s="6">
        <v>6.04</v>
      </c>
      <c r="E3586" t="s">
        <v>12</v>
      </c>
    </row>
    <row r="3587" spans="1:5" x14ac:dyDescent="0.25">
      <c r="A3587" t="str">
        <f>HYPERLINK("https://www.773grp.com/globalSearch/SN74ALS756N/page-1", "SN74ALS756N")</f>
        <v>SN74ALS756N</v>
      </c>
      <c r="B3587" s="3" t="s">
        <v>90</v>
      </c>
      <c r="C3587" s="5">
        <v>269</v>
      </c>
      <c r="D3587" s="6">
        <v>6.11</v>
      </c>
      <c r="E3587" t="s">
        <v>12</v>
      </c>
    </row>
    <row r="3588" spans="1:5" x14ac:dyDescent="0.25">
      <c r="A3588" t="str">
        <f>HYPERLINK("https://www.773grp.com/globalSearch/SN74BCT29823DW/page-1", "SN74BCT29823DW")</f>
        <v>SN74BCT29823DW</v>
      </c>
      <c r="B3588" s="3" t="s">
        <v>90</v>
      </c>
      <c r="C3588" s="5">
        <v>161</v>
      </c>
      <c r="D3588" s="6">
        <v>6.11</v>
      </c>
      <c r="E3588" t="s">
        <v>12</v>
      </c>
    </row>
    <row r="3589" spans="1:5" x14ac:dyDescent="0.25">
      <c r="A3589" t="str">
        <f>HYPERLINK("https://www.773grp.com/globalSearch/SN74BCT29823NT/page-1", "SN74BCT29823NT")</f>
        <v>SN74BCT29823NT</v>
      </c>
      <c r="B3589" s="3" t="s">
        <v>90</v>
      </c>
      <c r="C3589" s="5">
        <v>1305</v>
      </c>
      <c r="D3589" s="6">
        <v>6.11</v>
      </c>
      <c r="E3589" t="s">
        <v>12</v>
      </c>
    </row>
    <row r="3590" spans="1:5" x14ac:dyDescent="0.25">
      <c r="A3590" t="str">
        <f>HYPERLINK("https://www.773grp.com/globalSearch/SN74BCT29834DW/page-1", "SN74BCT29834DW")</f>
        <v>SN74BCT29834DW</v>
      </c>
      <c r="B3590" s="3" t="s">
        <v>90</v>
      </c>
      <c r="C3590" s="5">
        <v>1325</v>
      </c>
      <c r="D3590" s="6">
        <v>6.11</v>
      </c>
      <c r="E3590" t="s">
        <v>12</v>
      </c>
    </row>
    <row r="3591" spans="1:5" x14ac:dyDescent="0.25">
      <c r="A3591" t="str">
        <f>HYPERLINK("https://www.773grp.com/globalSearch/SN74BCT29834DWR/page-1", "SN74BCT29834DWR")</f>
        <v>SN74BCT29834DWR</v>
      </c>
      <c r="B3591" s="3" t="s">
        <v>90</v>
      </c>
      <c r="C3591" s="5">
        <v>1000</v>
      </c>
      <c r="D3591" s="6">
        <v>6.11</v>
      </c>
      <c r="E3591" t="s">
        <v>12</v>
      </c>
    </row>
    <row r="3592" spans="1:5" x14ac:dyDescent="0.25">
      <c r="A3592" t="str">
        <f>HYPERLINK("https://www.773grp.com/globalSearch/SN74BCT29853DW/page-1", "SN74BCT29853DW")</f>
        <v>SN74BCT29853DW</v>
      </c>
      <c r="B3592" s="3" t="s">
        <v>90</v>
      </c>
      <c r="C3592" s="5">
        <v>140</v>
      </c>
      <c r="D3592" s="6">
        <v>6.11</v>
      </c>
      <c r="E3592" t="s">
        <v>12</v>
      </c>
    </row>
    <row r="3593" spans="1:5" x14ac:dyDescent="0.25">
      <c r="A3593" t="str">
        <f>HYPERLINK("https://www.773grp.com/globalSearch/SN74BCT29853DWR/page-1", "SN74BCT29853DWR")</f>
        <v>SN74BCT29853DWR</v>
      </c>
      <c r="B3593" s="3" t="s">
        <v>90</v>
      </c>
      <c r="C3593" s="5">
        <v>2000</v>
      </c>
      <c r="D3593" s="6">
        <v>6.11</v>
      </c>
      <c r="E3593" t="s">
        <v>12</v>
      </c>
    </row>
    <row r="3594" spans="1:5" x14ac:dyDescent="0.25">
      <c r="A3594" t="str">
        <f>HYPERLINK("https://www.773grp.com/globalSearch/CD74FCT540M/page-1", "CD74FCT540M")</f>
        <v>CD74FCT540M</v>
      </c>
      <c r="B3594" s="3" t="s">
        <v>90</v>
      </c>
      <c r="C3594" s="5">
        <v>3045</v>
      </c>
      <c r="D3594" s="6">
        <v>6.16</v>
      </c>
      <c r="E3594" t="s">
        <v>12</v>
      </c>
    </row>
    <row r="3595" spans="1:5" x14ac:dyDescent="0.25">
      <c r="A3595" t="str">
        <f>HYPERLINK("https://www.773grp.com/globalSearch/SN74CBTK16245DGGR/page-1", "SN74CBTK16245DGGR")</f>
        <v>SN74CBTK16245DGGR</v>
      </c>
      <c r="B3595" s="3" t="s">
        <v>90</v>
      </c>
      <c r="C3595" s="5">
        <v>4000</v>
      </c>
      <c r="D3595" s="6">
        <v>6.19</v>
      </c>
      <c r="E3595" t="s">
        <v>12</v>
      </c>
    </row>
    <row r="3596" spans="1:5" x14ac:dyDescent="0.25">
      <c r="A3596" t="str">
        <f>HYPERLINK("https://www.773grp.com/globalSearch/SN74CBTK16245DGVR/page-1", "SN74CBTK16245DGVR")</f>
        <v>SN74CBTK16245DGVR</v>
      </c>
      <c r="B3596" s="3" t="s">
        <v>90</v>
      </c>
      <c r="C3596" s="5">
        <v>1600</v>
      </c>
      <c r="D3596" s="6">
        <v>6.19</v>
      </c>
      <c r="E3596" t="s">
        <v>12</v>
      </c>
    </row>
    <row r="3597" spans="1:5" x14ac:dyDescent="0.25">
      <c r="A3597" t="str">
        <f>HYPERLINK("https://www.773grp.com/globalSearch/SN74CBTK16245DL/page-1", "SN74CBTK16245DL")</f>
        <v>SN74CBTK16245DL</v>
      </c>
      <c r="B3597" s="3" t="s">
        <v>90</v>
      </c>
      <c r="C3597" s="5">
        <v>15551</v>
      </c>
      <c r="D3597" s="6">
        <v>6.19</v>
      </c>
      <c r="E3597" t="s">
        <v>12</v>
      </c>
    </row>
    <row r="3598" spans="1:5" x14ac:dyDescent="0.25">
      <c r="A3598" t="str">
        <f>HYPERLINK("https://www.773grp.com/globalSearch/SN74CBTK16245DLR/page-1", "SN74CBTK16245DLR")</f>
        <v>SN74CBTK16245DLR</v>
      </c>
      <c r="B3598" s="3" t="s">
        <v>90</v>
      </c>
      <c r="C3598" s="5">
        <v>3000</v>
      </c>
      <c r="D3598" s="6">
        <v>6.19</v>
      </c>
      <c r="E3598" t="s">
        <v>12</v>
      </c>
    </row>
    <row r="3599" spans="1:5" x14ac:dyDescent="0.25">
      <c r="A3599" t="str">
        <f>HYPERLINK("https://www.773grp.com/globalSearch/SN74LS644DW/page-1", "SN74LS644DW")</f>
        <v>SN74LS644DW</v>
      </c>
      <c r="B3599" s="3" t="s">
        <v>90</v>
      </c>
      <c r="C3599" s="5">
        <v>1154</v>
      </c>
      <c r="D3599" s="6">
        <v>6.19</v>
      </c>
      <c r="E3599" t="s">
        <v>12</v>
      </c>
    </row>
    <row r="3600" spans="1:5" x14ac:dyDescent="0.25">
      <c r="A3600" t="str">
        <f>HYPERLINK("https://www.773grp.com/globalSearch/74AC11245NT/page-1", "74AC11245NT")</f>
        <v>74AC11245NT</v>
      </c>
      <c r="B3600" s="3" t="s">
        <v>90</v>
      </c>
      <c r="C3600" s="5">
        <v>9026</v>
      </c>
      <c r="D3600" s="6">
        <v>6.21</v>
      </c>
      <c r="E3600" t="s">
        <v>12</v>
      </c>
    </row>
    <row r="3601" spans="1:5" x14ac:dyDescent="0.25">
      <c r="A3601" t="str">
        <f>HYPERLINK("https://www.773grp.com/globalSearch/SN74ABT16841DLR/page-1", "SN74ABT16841DLR")</f>
        <v>SN74ABT16841DLR</v>
      </c>
      <c r="B3601" s="3" t="s">
        <v>90</v>
      </c>
      <c r="C3601" s="5">
        <v>11850</v>
      </c>
      <c r="D3601" s="6">
        <v>6.21</v>
      </c>
      <c r="E3601" t="s">
        <v>12</v>
      </c>
    </row>
    <row r="3602" spans="1:5" x14ac:dyDescent="0.25">
      <c r="A3602" t="str">
        <f>HYPERLINK("https://www.773grp.com/globalSearch/SN74ABT651DBR/page-1", "SN74ABT651DBR")</f>
        <v>SN74ABT651DBR</v>
      </c>
      <c r="B3602" s="3" t="s">
        <v>90</v>
      </c>
      <c r="C3602" s="5">
        <v>4000</v>
      </c>
      <c r="D3602" s="6">
        <v>6.21</v>
      </c>
      <c r="E3602" t="s">
        <v>12</v>
      </c>
    </row>
    <row r="3603" spans="1:5" x14ac:dyDescent="0.25">
      <c r="A3603" t="str">
        <f>HYPERLINK("https://www.773grp.com/globalSearch/SN74ALS641A-1DWR/page-1", "SN74ALS641A-1DWR")</f>
        <v>SN74ALS641A-1DWR</v>
      </c>
      <c r="B3603" s="3" t="s">
        <v>90</v>
      </c>
      <c r="C3603" s="5">
        <v>2000</v>
      </c>
      <c r="D3603" s="6">
        <v>6.21</v>
      </c>
      <c r="E3603" t="s">
        <v>12</v>
      </c>
    </row>
    <row r="3604" spans="1:5" x14ac:dyDescent="0.25">
      <c r="A3604" t="str">
        <f>HYPERLINK("https://www.773grp.com/globalSearch/SN74ALS760DWR/page-1", "SN74ALS760DWR")</f>
        <v>SN74ALS760DWR</v>
      </c>
      <c r="B3604" s="3" t="s">
        <v>90</v>
      </c>
      <c r="C3604" s="5">
        <v>5900</v>
      </c>
      <c r="D3604" s="6">
        <v>6.21</v>
      </c>
      <c r="E3604" t="s">
        <v>12</v>
      </c>
    </row>
    <row r="3605" spans="1:5" x14ac:dyDescent="0.25">
      <c r="A3605" t="str">
        <f>HYPERLINK("https://www.773grp.com/globalSearch/SN74ALVCH162721DLR/page-1", "SN74ALVCH162721DLR")</f>
        <v>SN74ALVCH162721DLR</v>
      </c>
      <c r="B3605" s="3" t="s">
        <v>90</v>
      </c>
      <c r="C3605" s="5">
        <v>15500</v>
      </c>
      <c r="D3605" s="6">
        <v>6.21</v>
      </c>
      <c r="E3605" t="s">
        <v>12</v>
      </c>
    </row>
    <row r="3606" spans="1:5" x14ac:dyDescent="0.25">
      <c r="A3606" t="str">
        <f>HYPERLINK("https://www.773grp.com/globalSearch/SN74ALVCH16820DGGR/page-1", "SN74ALVCH16820DGGR")</f>
        <v>SN74ALVCH16820DGGR</v>
      </c>
      <c r="B3606" s="3" t="s">
        <v>90</v>
      </c>
      <c r="C3606" s="5">
        <v>2000</v>
      </c>
      <c r="D3606" s="6">
        <v>6.21</v>
      </c>
      <c r="E3606" t="s">
        <v>12</v>
      </c>
    </row>
    <row r="3607" spans="1:5" x14ac:dyDescent="0.25">
      <c r="A3607" t="str">
        <f>HYPERLINK("https://www.773grp.com/globalSearch/SN74ALVCH16820DL/page-1", "SN74ALVCH16820DL")</f>
        <v>SN74ALVCH16820DL</v>
      </c>
      <c r="B3607" s="3" t="s">
        <v>90</v>
      </c>
      <c r="C3607" s="5">
        <v>4185</v>
      </c>
      <c r="D3607" s="6">
        <v>6.21</v>
      </c>
      <c r="E3607" t="s">
        <v>12</v>
      </c>
    </row>
    <row r="3608" spans="1:5" x14ac:dyDescent="0.25">
      <c r="A3608" t="str">
        <f>HYPERLINK("https://www.773grp.com/globalSearch/SN74ALVCH16821DGGR/page-1", "SN74ALVCH16821DGGR")</f>
        <v>SN74ALVCH16821DGGR</v>
      </c>
      <c r="B3608" s="3" t="s">
        <v>90</v>
      </c>
      <c r="C3608" s="5">
        <v>190</v>
      </c>
      <c r="D3608" s="6">
        <v>6.21</v>
      </c>
      <c r="E3608" t="s">
        <v>12</v>
      </c>
    </row>
    <row r="3609" spans="1:5" x14ac:dyDescent="0.25">
      <c r="A3609" t="str">
        <f>HYPERLINK("https://www.773grp.com/globalSearch/SN74BCT756DW/page-1", "SN74BCT756DW")</f>
        <v>SN74BCT756DW</v>
      </c>
      <c r="B3609" s="3" t="s">
        <v>90</v>
      </c>
      <c r="C3609" s="5">
        <v>2054</v>
      </c>
      <c r="D3609" s="6">
        <v>6.21</v>
      </c>
      <c r="E3609" t="s">
        <v>12</v>
      </c>
    </row>
    <row r="3610" spans="1:5" x14ac:dyDescent="0.25">
      <c r="A3610" t="str">
        <f>HYPERLINK("https://www.773grp.com/globalSearch/SN74LVCHR32245AKR/page-1", "SN74LVCHR32245AKR")</f>
        <v>SN74LVCHR32245AKR</v>
      </c>
      <c r="B3610" s="3" t="s">
        <v>90</v>
      </c>
      <c r="C3610" s="5">
        <v>4684</v>
      </c>
      <c r="D3610" s="6">
        <v>6.21</v>
      </c>
      <c r="E3610" t="s">
        <v>12</v>
      </c>
    </row>
    <row r="3611" spans="1:5" x14ac:dyDescent="0.25">
      <c r="A3611" t="str">
        <f>HYPERLINK("https://www.773grp.com/globalSearch/SN74LVTH16500GQLR/page-1", "SN74LVTH16500GQLR")</f>
        <v>SN74LVTH16500GQLR</v>
      </c>
      <c r="B3611" s="3" t="s">
        <v>90</v>
      </c>
      <c r="C3611" s="5">
        <v>799</v>
      </c>
      <c r="D3611" s="6">
        <v>6.21</v>
      </c>
      <c r="E3611" t="s">
        <v>12</v>
      </c>
    </row>
    <row r="3612" spans="1:5" x14ac:dyDescent="0.25">
      <c r="A3612" t="str">
        <f>HYPERLINK("https://www.773grp.com/globalSearch/SN74BCT373DBR/page-1", "SN74BCT373DBR")</f>
        <v>SN74BCT373DBR</v>
      </c>
      <c r="B3612" s="3" t="s">
        <v>90</v>
      </c>
      <c r="C3612" s="5">
        <v>3210</v>
      </c>
      <c r="D3612" s="6">
        <v>6.28</v>
      </c>
      <c r="E3612" t="s">
        <v>12</v>
      </c>
    </row>
    <row r="3613" spans="1:5" x14ac:dyDescent="0.25">
      <c r="A3613" t="str">
        <f>HYPERLINK("https://www.773grp.com/globalSearch/CY74FCT162501ATPAC/page-1", "CY74FCT162501ATPAC")</f>
        <v>CY74FCT162501ATPAC</v>
      </c>
      <c r="B3613" s="3" t="s">
        <v>90</v>
      </c>
      <c r="C3613" s="5">
        <v>737</v>
      </c>
      <c r="D3613" s="6">
        <v>6.3</v>
      </c>
      <c r="E3613" t="s">
        <v>12</v>
      </c>
    </row>
    <row r="3614" spans="1:5" x14ac:dyDescent="0.25">
      <c r="A3614" t="str">
        <f>HYPERLINK("https://www.773grp.com/globalSearch/CY74FCT162543CTPAC/page-1", "CY74FCT162543CTPAC")</f>
        <v>CY74FCT162543CTPAC</v>
      </c>
      <c r="B3614" s="3" t="s">
        <v>90</v>
      </c>
      <c r="C3614" s="5">
        <v>1414</v>
      </c>
      <c r="D3614" s="6">
        <v>6.3</v>
      </c>
      <c r="E3614" t="s">
        <v>12</v>
      </c>
    </row>
    <row r="3615" spans="1:5" x14ac:dyDescent="0.25">
      <c r="A3615" t="str">
        <f>HYPERLINK("https://www.773grp.com/globalSearch/CY74FCT162646ATPAC/page-1", "CY74FCT162646ATPAC")</f>
        <v>CY74FCT162646ATPAC</v>
      </c>
      <c r="B3615" s="3" t="s">
        <v>90</v>
      </c>
      <c r="C3615" s="5">
        <v>7575</v>
      </c>
      <c r="D3615" s="6">
        <v>6.3</v>
      </c>
      <c r="E3615" t="s">
        <v>12</v>
      </c>
    </row>
    <row r="3616" spans="1:5" x14ac:dyDescent="0.25">
      <c r="A3616" t="str">
        <f>HYPERLINK("https://www.773grp.com/globalSearch/CY74FCT162823ATPAC/page-1", "CY74FCT162823ATPAC")</f>
        <v>CY74FCT162823ATPAC</v>
      </c>
      <c r="B3616" s="3" t="s">
        <v>90</v>
      </c>
      <c r="C3616" s="5">
        <v>2897</v>
      </c>
      <c r="D3616" s="6">
        <v>6.3</v>
      </c>
      <c r="E3616" t="s">
        <v>12</v>
      </c>
    </row>
    <row r="3617" spans="1:5" x14ac:dyDescent="0.25">
      <c r="A3617" t="str">
        <f>HYPERLINK("https://www.773grp.com/globalSearch/CY74FCT162823CTPAC/page-1", "CY74FCT162823CTPAC")</f>
        <v>CY74FCT162823CTPAC</v>
      </c>
      <c r="B3617" s="3" t="s">
        <v>90</v>
      </c>
      <c r="C3617" s="5">
        <v>486</v>
      </c>
      <c r="D3617" s="6">
        <v>6.3</v>
      </c>
      <c r="E3617" t="s">
        <v>12</v>
      </c>
    </row>
    <row r="3618" spans="1:5" x14ac:dyDescent="0.25">
      <c r="A3618" t="str">
        <f>HYPERLINK("https://www.773grp.com/globalSearch/CY74FCT162827CTPAC/page-1", "CY74FCT162827CTPAC")</f>
        <v>CY74FCT162827CTPAC</v>
      </c>
      <c r="B3618" s="3" t="s">
        <v>90</v>
      </c>
      <c r="C3618" s="5">
        <v>2185</v>
      </c>
      <c r="D3618" s="6">
        <v>6.3</v>
      </c>
      <c r="E3618" t="s">
        <v>12</v>
      </c>
    </row>
    <row r="3619" spans="1:5" x14ac:dyDescent="0.25">
      <c r="A3619" t="str">
        <f>HYPERLINK("https://www.773grp.com/globalSearch/CY74FCT163H952CPVC/page-1", "CY74FCT163H952CPVC")</f>
        <v>CY74FCT163H952CPVC</v>
      </c>
      <c r="B3619" s="3" t="s">
        <v>90</v>
      </c>
      <c r="C3619" s="5">
        <v>10385</v>
      </c>
      <c r="D3619" s="6">
        <v>6.3</v>
      </c>
      <c r="E3619" t="s">
        <v>12</v>
      </c>
    </row>
    <row r="3620" spans="1:5" x14ac:dyDescent="0.25">
      <c r="A3620" t="str">
        <f>HYPERLINK("https://www.773grp.com/globalSearch/74AVCH20T245ZQLR/page-1", "74AVCH20T245ZQLR")</f>
        <v>74AVCH20T245ZQLR</v>
      </c>
      <c r="B3620" s="3" t="s">
        <v>90</v>
      </c>
      <c r="C3620" s="5">
        <v>7000</v>
      </c>
      <c r="D3620" s="6">
        <v>6.33</v>
      </c>
      <c r="E3620" t="s">
        <v>12</v>
      </c>
    </row>
    <row r="3621" spans="1:5" x14ac:dyDescent="0.25">
      <c r="A3621" t="str">
        <f>HYPERLINK("https://www.773grp.com/globalSearch/CABT16245AMDLREP/page-1", "CABT16245AMDLREP")</f>
        <v>CABT16245AMDLREP</v>
      </c>
      <c r="B3621" s="3" t="s">
        <v>90</v>
      </c>
      <c r="C3621" s="5">
        <v>1000</v>
      </c>
      <c r="D3621" s="6">
        <v>6.33</v>
      </c>
      <c r="E3621" t="s">
        <v>12</v>
      </c>
    </row>
    <row r="3622" spans="1:5" x14ac:dyDescent="0.25">
      <c r="A3622" t="str">
        <f>HYPERLINK("https://www.773grp.com/globalSearch/CALVC164245MDGGREP/page-1", "CALVC164245MDGGREP")</f>
        <v>CALVC164245MDGGREP</v>
      </c>
      <c r="B3622" s="3" t="s">
        <v>90</v>
      </c>
      <c r="C3622" s="5">
        <v>591</v>
      </c>
      <c r="D3622" s="6">
        <v>6.33</v>
      </c>
      <c r="E3622" t="s">
        <v>12</v>
      </c>
    </row>
    <row r="3623" spans="1:5" x14ac:dyDescent="0.25">
      <c r="A3623" t="str">
        <f>HYPERLINK("https://www.773grp.com/globalSearch/CALVC164245MDGGREP/page-1", "CALVC164245MDGGREP")</f>
        <v>CALVC164245MDGGREP</v>
      </c>
      <c r="B3623" s="3" t="s">
        <v>90</v>
      </c>
      <c r="C3623" s="5">
        <v>1670</v>
      </c>
      <c r="D3623" s="6">
        <v>6.33</v>
      </c>
      <c r="E3623" t="s">
        <v>12</v>
      </c>
    </row>
    <row r="3624" spans="1:5" x14ac:dyDescent="0.25">
      <c r="A3624" t="str">
        <f>HYPERLINK("https://www.773grp.com/globalSearch/CLVTH16245AMDLREP/page-1", "CLVTH16245AMDLREP")</f>
        <v>CLVTH16245AMDLREP</v>
      </c>
      <c r="B3624" s="3" t="s">
        <v>90</v>
      </c>
      <c r="C3624" s="5">
        <v>1629</v>
      </c>
      <c r="D3624" s="6">
        <v>6.33</v>
      </c>
      <c r="E3624" t="s">
        <v>12</v>
      </c>
    </row>
    <row r="3625" spans="1:5" x14ac:dyDescent="0.25">
      <c r="A3625" t="str">
        <f>HYPERLINK("https://www.773grp.com/globalSearch/TSS721AD/page-1", "TSS721AD")</f>
        <v>TSS721AD</v>
      </c>
      <c r="B3625" s="3" t="s">
        <v>90</v>
      </c>
      <c r="C3625" s="5">
        <v>667</v>
      </c>
      <c r="D3625" s="6">
        <v>6.33</v>
      </c>
      <c r="E3625" t="s">
        <v>12</v>
      </c>
    </row>
    <row r="3626" spans="1:5" x14ac:dyDescent="0.25">
      <c r="A3626" t="str">
        <f>HYPERLINK("https://www.773grp.com/globalSearch/SN74ALS541-1DBR/page-1", "SN74ALS541-1DBR")</f>
        <v>SN74ALS541-1DBR</v>
      </c>
      <c r="B3626" s="3" t="s">
        <v>90</v>
      </c>
      <c r="C3626" s="5">
        <v>1860</v>
      </c>
      <c r="D3626" s="6">
        <v>6.36</v>
      </c>
      <c r="E3626" t="s">
        <v>12</v>
      </c>
    </row>
    <row r="3627" spans="1:5" x14ac:dyDescent="0.25">
      <c r="A3627" t="str">
        <f>HYPERLINK("https://www.773grp.com/globalSearch/SN74ALS541-1DWR/page-1", "SN74ALS541-1DWR")</f>
        <v>SN74ALS541-1DWR</v>
      </c>
      <c r="B3627" s="3" t="s">
        <v>90</v>
      </c>
      <c r="C3627" s="5">
        <v>6000</v>
      </c>
      <c r="D3627" s="6">
        <v>6.36</v>
      </c>
      <c r="E3627" t="s">
        <v>12</v>
      </c>
    </row>
    <row r="3628" spans="1:5" x14ac:dyDescent="0.25">
      <c r="A3628" t="str">
        <f>HYPERLINK("https://www.773grp.com/globalSearch/74FCT162646CTPACT/page-1", "74FCT162646CTPACT")</f>
        <v>74FCT162646CTPACT</v>
      </c>
      <c r="B3628" s="3" t="s">
        <v>90</v>
      </c>
      <c r="C3628" s="5">
        <v>7000</v>
      </c>
      <c r="D3628" s="6">
        <v>6.45</v>
      </c>
      <c r="E3628" t="s">
        <v>12</v>
      </c>
    </row>
    <row r="3629" spans="1:5" x14ac:dyDescent="0.25">
      <c r="A3629" t="str">
        <f>HYPERLINK("https://www.773grp.com/globalSearch/74FCT162646CTPVCT/page-1", "74FCT162646CTPVCT")</f>
        <v>74FCT162646CTPVCT</v>
      </c>
      <c r="B3629" s="3" t="s">
        <v>90</v>
      </c>
      <c r="C3629" s="5">
        <v>900</v>
      </c>
      <c r="D3629" s="6">
        <v>6.45</v>
      </c>
      <c r="E3629" t="s">
        <v>12</v>
      </c>
    </row>
    <row r="3630" spans="1:5" x14ac:dyDescent="0.25">
      <c r="A3630" t="str">
        <f>HYPERLINK("https://www.773grp.com/globalSearch/CY74FCT162646ATPVC/page-1", "CY74FCT162646ATPVC")</f>
        <v>CY74FCT162646ATPVC</v>
      </c>
      <c r="B3630" s="3" t="s">
        <v>90</v>
      </c>
      <c r="C3630" s="5">
        <v>165</v>
      </c>
      <c r="D3630" s="6">
        <v>6.45</v>
      </c>
      <c r="E3630" t="s">
        <v>12</v>
      </c>
    </row>
    <row r="3631" spans="1:5" x14ac:dyDescent="0.25">
      <c r="A3631" t="str">
        <f>HYPERLINK("https://www.773grp.com/globalSearch/SN74ABT16843DL/page-1", "SN74ABT16843DL")</f>
        <v>SN74ABT16843DL</v>
      </c>
      <c r="B3631" s="3" t="s">
        <v>90</v>
      </c>
      <c r="C3631" s="5">
        <v>10593</v>
      </c>
      <c r="D3631" s="6">
        <v>6.45</v>
      </c>
      <c r="E3631" t="s">
        <v>12</v>
      </c>
    </row>
    <row r="3632" spans="1:5" x14ac:dyDescent="0.25">
      <c r="A3632" t="str">
        <f>HYPERLINK("https://www.773grp.com/globalSearch/SN74ABT16952DGGR/page-1", "SN74ABT16952DGGR")</f>
        <v>SN74ABT16952DGGR</v>
      </c>
      <c r="B3632" s="3" t="s">
        <v>90</v>
      </c>
      <c r="C3632" s="5">
        <v>6000</v>
      </c>
      <c r="D3632" s="6">
        <v>6.45</v>
      </c>
      <c r="E3632" t="s">
        <v>12</v>
      </c>
    </row>
    <row r="3633" spans="1:5" x14ac:dyDescent="0.25">
      <c r="A3633" t="str">
        <f>HYPERLINK("https://www.773grp.com/globalSearch/SN74ABT5400ADW/page-1", "SN74ABT5400ADW")</f>
        <v>SN74ABT5400ADW</v>
      </c>
      <c r="B3633" s="3" t="s">
        <v>90</v>
      </c>
      <c r="C3633" s="5">
        <v>11122</v>
      </c>
      <c r="D3633" s="6">
        <v>6.45</v>
      </c>
      <c r="E3633" t="s">
        <v>12</v>
      </c>
    </row>
    <row r="3634" spans="1:5" x14ac:dyDescent="0.25">
      <c r="A3634" t="str">
        <f>HYPERLINK("https://www.773grp.com/globalSearch/SN74ABT5401DW/page-1", "SN74ABT5401DW")</f>
        <v>SN74ABT5401DW</v>
      </c>
      <c r="B3634" s="3" t="s">
        <v>90</v>
      </c>
      <c r="C3634" s="5">
        <v>6142</v>
      </c>
      <c r="D3634" s="6">
        <v>6.45</v>
      </c>
      <c r="E3634" t="s">
        <v>12</v>
      </c>
    </row>
    <row r="3635" spans="1:5" x14ac:dyDescent="0.25">
      <c r="A3635" t="str">
        <f>HYPERLINK("https://www.773grp.com/globalSearch/SN74ALS533AN/page-1", "SN74ALS533AN")</f>
        <v>SN74ALS533AN</v>
      </c>
      <c r="B3635" s="3" t="s">
        <v>90</v>
      </c>
      <c r="C3635" s="5">
        <v>27491</v>
      </c>
      <c r="D3635" s="6">
        <v>6.45</v>
      </c>
      <c r="E3635" t="s">
        <v>12</v>
      </c>
    </row>
    <row r="3636" spans="1:5" x14ac:dyDescent="0.25">
      <c r="A3636" t="str">
        <f>HYPERLINK("https://www.773grp.com/globalSearch/SN74ALS533ANSR/page-1", "SN74ALS533ANSR")</f>
        <v>SN74ALS533ANSR</v>
      </c>
      <c r="B3636" s="3" t="s">
        <v>90</v>
      </c>
      <c r="C3636" s="5">
        <v>22000</v>
      </c>
      <c r="D3636" s="6">
        <v>6.45</v>
      </c>
      <c r="E3636" t="s">
        <v>12</v>
      </c>
    </row>
    <row r="3637" spans="1:5" x14ac:dyDescent="0.25">
      <c r="A3637" t="str">
        <f>HYPERLINK("https://www.773grp.com/globalSearch/SN74ALS874BDWR/page-1", "SN74ALS874BDWR")</f>
        <v>SN74ALS874BDWR</v>
      </c>
      <c r="B3637" s="3" t="str">
        <f>HYPERLINK("https://www.773grp.com/manufacturer/texas-instruments?pageNo=2", "Texas Instruments")</f>
        <v>Texas Instruments</v>
      </c>
      <c r="C3637" s="5">
        <v>5000</v>
      </c>
      <c r="D3637" s="6">
        <v>6.45</v>
      </c>
      <c r="E3637" t="s">
        <v>12</v>
      </c>
    </row>
    <row r="3638" spans="1:5" x14ac:dyDescent="0.25">
      <c r="A3638" t="str">
        <f>HYPERLINK("https://www.773grp.com/globalSearch/SN74AS240ADW/page-1", "SN74AS240ADW")</f>
        <v>SN74AS240ADW</v>
      </c>
      <c r="B3638" s="3" t="str">
        <f>HYPERLINK("https://www.773grp.com/manufacturer/texas-instruments?pageNo=8", "Texas Instruments")</f>
        <v>Texas Instruments</v>
      </c>
      <c r="C3638" s="5">
        <v>8645</v>
      </c>
      <c r="D3638" s="6">
        <v>6.45</v>
      </c>
      <c r="E3638" t="s">
        <v>12</v>
      </c>
    </row>
    <row r="3639" spans="1:5" x14ac:dyDescent="0.25">
      <c r="A3639" t="str">
        <f>HYPERLINK("https://www.773grp.com/globalSearch/SN74AS373DW/page-1", "SN74AS373DW")</f>
        <v>SN74AS373DW</v>
      </c>
      <c r="B3639" s="3" t="str">
        <f>HYPERLINK("https://www.773grp.com/manufacturer/texas-instruments?pageNo=9", "Texas Instruments")</f>
        <v>Texas Instruments</v>
      </c>
      <c r="C3639" s="5">
        <v>3406</v>
      </c>
      <c r="D3639" s="6">
        <v>6.45</v>
      </c>
      <c r="E3639" t="s">
        <v>12</v>
      </c>
    </row>
    <row r="3640" spans="1:5" x14ac:dyDescent="0.25">
      <c r="A3640" t="str">
        <f>HYPERLINK("https://www.773grp.com/globalSearch/SN74AS374DW/page-1", "SN74AS374DW")</f>
        <v>SN74AS374DW</v>
      </c>
      <c r="B3640" s="3" t="str">
        <f>HYPERLINK("https://www.773grp.com/manufacturer/texas-instruments?pageNo=10", "Texas Instruments")</f>
        <v>Texas Instruments</v>
      </c>
      <c r="C3640" s="5">
        <v>13800</v>
      </c>
      <c r="D3640" s="6">
        <v>6.45</v>
      </c>
      <c r="E3640" t="s">
        <v>12</v>
      </c>
    </row>
    <row r="3641" spans="1:5" x14ac:dyDescent="0.25">
      <c r="A3641" t="str">
        <f>HYPERLINK("https://www.773grp.com/globalSearch/SN74AS573ADW/page-1", "SN74AS573ADW")</f>
        <v>SN74AS573ADW</v>
      </c>
      <c r="B3641" s="3" t="str">
        <f>HYPERLINK("https://www.773grp.com/manufacturer/texas-instruments?pageNo=11", "Texas Instruments")</f>
        <v>Texas Instruments</v>
      </c>
      <c r="C3641" s="5">
        <v>4475</v>
      </c>
      <c r="D3641" s="6">
        <v>6.45</v>
      </c>
      <c r="E3641" t="s">
        <v>12</v>
      </c>
    </row>
    <row r="3642" spans="1:5" x14ac:dyDescent="0.25">
      <c r="A3642" t="str">
        <f>HYPERLINK("https://www.773grp.com/globalSearch/SN74AS574DW/page-1", "SN74AS574DW")</f>
        <v>SN74AS574DW</v>
      </c>
      <c r="B3642" s="3" t="str">
        <f>HYPERLINK("https://www.773grp.com/manufacturer/texas-instruments?pageNo=12", "Texas Instruments")</f>
        <v>Texas Instruments</v>
      </c>
      <c r="C3642" s="5">
        <v>9981</v>
      </c>
      <c r="D3642" s="6">
        <v>6.45</v>
      </c>
      <c r="E3642" t="s">
        <v>12</v>
      </c>
    </row>
    <row r="3643" spans="1:5" x14ac:dyDescent="0.25">
      <c r="A3643" t="str">
        <f>HYPERLINK("https://www.773grp.com/globalSearch/SN74AVC16334DGGR/page-1", "SN74AVC16334DGGR")</f>
        <v>SN74AVC16334DGGR</v>
      </c>
      <c r="B3643" s="3" t="str">
        <f>HYPERLINK("https://www.773grp.com/manufacturer/texas-instruments?pageNo=13", "Texas Instruments")</f>
        <v>Texas Instruments</v>
      </c>
      <c r="C3643" s="5">
        <v>4000</v>
      </c>
      <c r="D3643" s="6">
        <v>6.45</v>
      </c>
      <c r="E3643" t="s">
        <v>12</v>
      </c>
    </row>
    <row r="3644" spans="1:5" x14ac:dyDescent="0.25">
      <c r="A3644" t="str">
        <f>HYPERLINK("https://www.773grp.com/globalSearch/SN74AVC16334DGVR/page-1", "SN74AVC16334DGVR")</f>
        <v>SN74AVC16334DGVR</v>
      </c>
      <c r="B3644" s="3" t="str">
        <f>HYPERLINK("https://www.773grp.com/manufacturer/texas-instruments?pageNo=14", "Texas Instruments")</f>
        <v>Texas Instruments</v>
      </c>
      <c r="C3644" s="5">
        <v>8000</v>
      </c>
      <c r="D3644" s="6">
        <v>6.45</v>
      </c>
      <c r="E3644" t="s">
        <v>12</v>
      </c>
    </row>
    <row r="3645" spans="1:5" x14ac:dyDescent="0.25">
      <c r="A3645" t="str">
        <f>HYPERLINK("https://www.773grp.com/globalSearch/SN74AVC16374DGG/page-1", "SN74AVC16374DGG")</f>
        <v>SN74AVC16374DGG</v>
      </c>
      <c r="B3645" s="3" t="str">
        <f>HYPERLINK("https://www.773grp.com/manufacturer/texas-instruments?pageNo=15", "Texas Instruments")</f>
        <v>Texas Instruments</v>
      </c>
      <c r="C3645" s="5">
        <v>2150</v>
      </c>
      <c r="D3645" s="6">
        <v>6.45</v>
      </c>
      <c r="E3645" t="s">
        <v>12</v>
      </c>
    </row>
    <row r="3646" spans="1:5" x14ac:dyDescent="0.25">
      <c r="A3646" t="str">
        <f>HYPERLINK("https://www.773grp.com/globalSearch/SN74AVC16374DGGR/page-1", "SN74AVC16374DGGR")</f>
        <v>SN74AVC16374DGGR</v>
      </c>
      <c r="B3646" s="3" t="str">
        <f>HYPERLINK("https://www.773grp.com/manufacturer/texas-instruments?pageNo=16", "Texas Instruments")</f>
        <v>Texas Instruments</v>
      </c>
      <c r="C3646" s="5">
        <v>4000</v>
      </c>
      <c r="D3646" s="6">
        <v>6.45</v>
      </c>
      <c r="E3646" t="s">
        <v>12</v>
      </c>
    </row>
    <row r="3647" spans="1:5" x14ac:dyDescent="0.25">
      <c r="A3647" t="str">
        <f>HYPERLINK("https://www.773grp.com/globalSearch/SN74AVC16374DGVR/page-1", "SN74AVC16374DGVR")</f>
        <v>SN74AVC16374DGVR</v>
      </c>
      <c r="B3647" s="3" t="str">
        <f>HYPERLINK("https://www.773grp.com/manufacturer/texas-instruments?pageNo=17", "Texas Instruments")</f>
        <v>Texas Instruments</v>
      </c>
      <c r="C3647" s="5">
        <v>15199</v>
      </c>
      <c r="D3647" s="6">
        <v>6.45</v>
      </c>
      <c r="E3647" t="s">
        <v>12</v>
      </c>
    </row>
    <row r="3648" spans="1:5" x14ac:dyDescent="0.25">
      <c r="A3648" t="str">
        <f>HYPERLINK("https://www.773grp.com/globalSearch/SN74BCT241DW/page-1", "SN74BCT241DW")</f>
        <v>SN74BCT241DW</v>
      </c>
      <c r="B3648" s="3" t="str">
        <f>HYPERLINK("https://www.773grp.com/manufacturer/texas-instruments?pageNo=18", "Texas Instruments")</f>
        <v>Texas Instruments</v>
      </c>
      <c r="C3648" s="5">
        <v>9321</v>
      </c>
      <c r="D3648" s="6">
        <v>6.45</v>
      </c>
      <c r="E3648" t="s">
        <v>12</v>
      </c>
    </row>
    <row r="3649" spans="1:5" x14ac:dyDescent="0.25">
      <c r="A3649" t="str">
        <f>HYPERLINK("https://www.773grp.com/globalSearch/SN74BCT373DWR/page-1", "SN74BCT373DWR")</f>
        <v>SN74BCT373DWR</v>
      </c>
      <c r="B3649" s="3" t="str">
        <f>HYPERLINK("https://www.773grp.com/manufacturer/texas-instruments?pageNo=19", "Texas Instruments")</f>
        <v>Texas Instruments</v>
      </c>
      <c r="C3649" s="5">
        <v>4000</v>
      </c>
      <c r="D3649" s="6">
        <v>6.45</v>
      </c>
      <c r="E3649" t="s">
        <v>12</v>
      </c>
    </row>
    <row r="3650" spans="1:5" x14ac:dyDescent="0.25">
      <c r="A3650" t="str">
        <f>HYPERLINK("https://www.773grp.com/globalSearch/SN74BCT374DW/page-1", "SN74BCT374DW")</f>
        <v>SN74BCT374DW</v>
      </c>
      <c r="B3650" s="3" t="str">
        <f>HYPERLINK("https://www.773grp.com/manufacturer/texas-instruments?pageNo=20", "Texas Instruments")</f>
        <v>Texas Instruments</v>
      </c>
      <c r="C3650" s="5">
        <v>674</v>
      </c>
      <c r="D3650" s="6">
        <v>6.45</v>
      </c>
      <c r="E3650" t="s">
        <v>12</v>
      </c>
    </row>
    <row r="3651" spans="1:5" x14ac:dyDescent="0.25">
      <c r="A3651" t="str">
        <f>HYPERLINK("https://www.773grp.com/globalSearch/SN74BCT574DWR/page-1", "SN74BCT574DWR")</f>
        <v>SN74BCT574DWR</v>
      </c>
      <c r="B3651" s="3" t="str">
        <f>HYPERLINK("https://www.773grp.com/manufacturer/texas-instruments?pageNo=21", "Texas Instruments")</f>
        <v>Texas Instruments</v>
      </c>
      <c r="C3651" s="5">
        <v>2000</v>
      </c>
      <c r="D3651" s="6">
        <v>6.45</v>
      </c>
      <c r="E3651" t="s">
        <v>12</v>
      </c>
    </row>
    <row r="3652" spans="1:5" x14ac:dyDescent="0.25">
      <c r="A3652" t="str">
        <f>HYPERLINK("https://www.773grp.com/globalSearch/SN74BCT760DW/page-1", "SN74BCT760DW")</f>
        <v>SN74BCT760DW</v>
      </c>
      <c r="B3652" s="3" t="str">
        <f>HYPERLINK("https://www.773grp.com/manufacturer/texas-instruments?pageNo=22", "Texas Instruments")</f>
        <v>Texas Instruments</v>
      </c>
      <c r="C3652" s="5">
        <v>1036</v>
      </c>
      <c r="D3652" s="6">
        <v>6.45</v>
      </c>
      <c r="E3652" t="s">
        <v>12</v>
      </c>
    </row>
    <row r="3653" spans="1:5" x14ac:dyDescent="0.25">
      <c r="A3653" t="str">
        <f>HYPERLINK("https://www.773grp.com/globalSearch/SN74LVCH16952ADGGR/page-1", "SN74LVCH16952ADGGR")</f>
        <v>SN74LVCH16952ADGGR</v>
      </c>
      <c r="B3653" s="3" t="str">
        <f>HYPERLINK("https://www.773grp.com/manufacturer/texas-instruments?pageNo=24", "Texas Instruments")</f>
        <v>Texas Instruments</v>
      </c>
      <c r="C3653" s="5">
        <v>43474</v>
      </c>
      <c r="D3653" s="6">
        <v>6.45</v>
      </c>
      <c r="E3653" t="s">
        <v>12</v>
      </c>
    </row>
    <row r="3654" spans="1:5" x14ac:dyDescent="0.25">
      <c r="A3654" t="str">
        <f>HYPERLINK("https://www.773grp.com/globalSearch/SN74LVCH16952ADGVR/page-1", "SN74LVCH16952ADGVR")</f>
        <v>SN74LVCH16952ADGVR</v>
      </c>
      <c r="B3654" s="3" t="str">
        <f>HYPERLINK("https://www.773grp.com/manufacturer/texas-instruments?pageNo=25", "Texas Instruments")</f>
        <v>Texas Instruments</v>
      </c>
      <c r="C3654" s="5">
        <v>8000</v>
      </c>
      <c r="D3654" s="6">
        <v>6.45</v>
      </c>
      <c r="E3654" t="s">
        <v>12</v>
      </c>
    </row>
    <row r="3655" spans="1:5" x14ac:dyDescent="0.25">
      <c r="A3655" t="str">
        <f>HYPERLINK("https://www.773grp.com/globalSearch/SN74LVT16500DL/page-1", "SN74LVT16500DL")</f>
        <v>SN74LVT16500DL</v>
      </c>
      <c r="B3655" s="3" t="str">
        <f>HYPERLINK("https://www.773grp.com/manufacturer/texas-instruments?pageNo=26", "Texas Instruments")</f>
        <v>Texas Instruments</v>
      </c>
      <c r="C3655" s="5">
        <v>4286</v>
      </c>
      <c r="D3655" s="6">
        <v>6.45</v>
      </c>
      <c r="E3655" t="s">
        <v>12</v>
      </c>
    </row>
    <row r="3656" spans="1:5" x14ac:dyDescent="0.25">
      <c r="A3656" t="str">
        <f>HYPERLINK("https://www.773grp.com/globalSearch/SN74S240DW/page-1", "SN74S240DW")</f>
        <v>SN74S240DW</v>
      </c>
      <c r="B3656" s="3" t="str">
        <f>HYPERLINK("https://www.773grp.com/manufacturer/texas-instruments?pageNo=27", "Texas Instruments")</f>
        <v>Texas Instruments</v>
      </c>
      <c r="C3656" s="5">
        <v>5799</v>
      </c>
      <c r="D3656" s="6">
        <v>6.45</v>
      </c>
      <c r="E3656" t="s">
        <v>12</v>
      </c>
    </row>
    <row r="3657" spans="1:5" x14ac:dyDescent="0.25">
      <c r="A3657" t="str">
        <f>HYPERLINK("https://www.773grp.com/globalSearch/SN74S241DW/page-1", "SN74S241DW")</f>
        <v>SN74S241DW</v>
      </c>
      <c r="B3657" s="3" t="str">
        <f>HYPERLINK("https://www.773grp.com/manufacturer/texas-instruments?pageNo=28", "Texas Instruments")</f>
        <v>Texas Instruments</v>
      </c>
      <c r="C3657" s="5">
        <v>5700</v>
      </c>
      <c r="D3657" s="6">
        <v>6.45</v>
      </c>
      <c r="E3657" t="s">
        <v>12</v>
      </c>
    </row>
    <row r="3658" spans="1:5" x14ac:dyDescent="0.25">
      <c r="A3658" t="str">
        <f>HYPERLINK("https://www.773grp.com/globalSearch/SN74S244DW/page-1", "SN74S244DW")</f>
        <v>SN74S244DW</v>
      </c>
      <c r="B3658" s="3" t="str">
        <f>HYPERLINK("https://www.773grp.com/manufacturer/texas-instruments?pageNo=29", "Texas Instruments")</f>
        <v>Texas Instruments</v>
      </c>
      <c r="C3658" s="5">
        <v>13060</v>
      </c>
      <c r="D3658" s="6">
        <v>6.45</v>
      </c>
      <c r="E3658" t="s">
        <v>12</v>
      </c>
    </row>
    <row r="3659" spans="1:5" x14ac:dyDescent="0.25">
      <c r="A3659" t="str">
        <f>HYPERLINK("https://www.773grp.com/globalSearch/CD74FCT540E/page-1", "CD74FCT540E")</f>
        <v>CD74FCT540E</v>
      </c>
      <c r="B3659" s="3" t="str">
        <f>HYPERLINK("https://www.773grp.com/manufacturer/texas-instruments?pageNo=67", "Texas Instruments")</f>
        <v>Texas Instruments</v>
      </c>
      <c r="C3659" s="5">
        <v>15219</v>
      </c>
      <c r="D3659" s="6">
        <v>6.46</v>
      </c>
      <c r="E3659" t="s">
        <v>12</v>
      </c>
    </row>
    <row r="3660" spans="1:5" x14ac:dyDescent="0.25">
      <c r="A3660" t="str">
        <f>HYPERLINK("https://www.773grp.com/globalSearch/CD74FCT540M96/page-1", "CD74FCT540M96")</f>
        <v>CD74FCT540M96</v>
      </c>
      <c r="B3660" s="3" t="str">
        <f>HYPERLINK("https://www.773grp.com/manufacturer/texas-instruments?pageNo=68", "Texas Instruments")</f>
        <v>Texas Instruments</v>
      </c>
      <c r="C3660" s="5">
        <v>3970</v>
      </c>
      <c r="D3660" s="6">
        <v>6.46</v>
      </c>
      <c r="E3660" t="s">
        <v>12</v>
      </c>
    </row>
    <row r="3661" spans="1:5" x14ac:dyDescent="0.25">
      <c r="A3661" t="str">
        <f>HYPERLINK("https://www.773grp.com/globalSearch/SN74LVC32244GKER/page-1", "SN74LVC32244GKER")</f>
        <v>SN74LVC32244GKER</v>
      </c>
      <c r="B3661" s="3" t="str">
        <f>HYPERLINK("https://www.773grp.com/manufacturer/texas-instruments?pageNo=177", "Texas Instruments")</f>
        <v>Texas Instruments</v>
      </c>
      <c r="C3661" s="5">
        <v>8542</v>
      </c>
      <c r="D3661" s="6">
        <v>6.5</v>
      </c>
      <c r="E3661" t="s">
        <v>12</v>
      </c>
    </row>
    <row r="3662" spans="1:5" x14ac:dyDescent="0.25">
      <c r="A3662" t="str">
        <f>HYPERLINK("https://www.773grp.com/globalSearch/SN54HC126J/page-1", "SN54HC126J")</f>
        <v>SN54HC126J</v>
      </c>
      <c r="B3662" s="3" t="str">
        <f>HYPERLINK("https://www.773grp.com/manufacturer/texas-instruments?pageNo=232", "Texas Instruments")</f>
        <v>Texas Instruments</v>
      </c>
      <c r="C3662" s="5">
        <v>90</v>
      </c>
      <c r="D3662" s="6">
        <v>6.55</v>
      </c>
      <c r="E3662" t="s">
        <v>12</v>
      </c>
    </row>
    <row r="3663" spans="1:5" x14ac:dyDescent="0.25">
      <c r="A3663" t="str">
        <f>HYPERLINK("https://www.773grp.com/globalSearch/SN74ALS880ADW/page-1", "SN74ALS880ADW")</f>
        <v>SN74ALS880ADW</v>
      </c>
      <c r="B3663" s="3" t="str">
        <f>HYPERLINK("https://www.773grp.com/manufacturer/texas-instruments?pageNo=237", "Texas Instruments")</f>
        <v>Texas Instruments</v>
      </c>
      <c r="C3663" s="5">
        <v>455</v>
      </c>
      <c r="D3663" s="6">
        <v>6.55</v>
      </c>
      <c r="E3663" t="s">
        <v>12</v>
      </c>
    </row>
    <row r="3664" spans="1:5" x14ac:dyDescent="0.25">
      <c r="A3664" t="str">
        <f>HYPERLINK("https://www.773grp.com/globalSearch/SN74ALS880ADWR/page-1", "SN74ALS880ADWR")</f>
        <v>SN74ALS880ADWR</v>
      </c>
      <c r="B3664" s="3" t="str">
        <f>HYPERLINK("https://www.773grp.com/manufacturer/texas-instruments?pageNo=238", "Texas Instruments")</f>
        <v>Texas Instruments</v>
      </c>
      <c r="C3664" s="5">
        <v>1000</v>
      </c>
      <c r="D3664" s="6">
        <v>6.55</v>
      </c>
      <c r="E3664" t="s">
        <v>12</v>
      </c>
    </row>
    <row r="3665" spans="1:5" x14ac:dyDescent="0.25">
      <c r="A3665" t="str">
        <f>HYPERLINK("https://www.773grp.com/globalSearch/74ACT11240DW/page-1", "74ACT11240DW")</f>
        <v>74ACT11240DW</v>
      </c>
      <c r="B3665" s="3" t="str">
        <f>HYPERLINK("https://www.773grp.com/manufacturer/texas-instruments?pageNo=248", "Texas Instruments")</f>
        <v>Texas Instruments</v>
      </c>
      <c r="C3665" s="5">
        <v>8537</v>
      </c>
      <c r="D3665" s="6">
        <v>6.59</v>
      </c>
      <c r="E3665" t="s">
        <v>12</v>
      </c>
    </row>
    <row r="3666" spans="1:5" x14ac:dyDescent="0.25">
      <c r="A3666" t="str">
        <f>HYPERLINK("https://www.773grp.com/globalSearch/74ACT11374DW/page-1", "74ACT11374DW")</f>
        <v>74ACT11374DW</v>
      </c>
      <c r="B3666" s="3" t="str">
        <f>HYPERLINK("https://www.773grp.com/manufacturer/texas-instruments?pageNo=249", "Texas Instruments")</f>
        <v>Texas Instruments</v>
      </c>
      <c r="C3666" s="5">
        <v>15978</v>
      </c>
      <c r="D3666" s="6">
        <v>6.59</v>
      </c>
      <c r="E3666" t="s">
        <v>12</v>
      </c>
    </row>
    <row r="3667" spans="1:5" x14ac:dyDescent="0.25">
      <c r="A3667" t="str">
        <f>HYPERLINK("https://www.773grp.com/globalSearch/SN54HC125J/page-1", "SN54HC125J")</f>
        <v>SN54HC125J</v>
      </c>
      <c r="B3667" s="3" t="str">
        <f>HYPERLINK("https://www.773grp.com/manufacturer/texas-instruments?pageNo=255", "Texas Instruments")</f>
        <v>Texas Instruments</v>
      </c>
      <c r="C3667" s="5">
        <v>3571</v>
      </c>
      <c r="D3667" s="6">
        <v>6.59</v>
      </c>
      <c r="E3667" t="s">
        <v>12</v>
      </c>
    </row>
    <row r="3668" spans="1:5" x14ac:dyDescent="0.25">
      <c r="A3668" t="str">
        <f>HYPERLINK("https://www.773grp.com/globalSearch/SN54ALS574AJ/page-1", "SN54ALS574AJ")</f>
        <v>SN54ALS574AJ</v>
      </c>
      <c r="B3668" s="3" t="str">
        <f>HYPERLINK("https://www.773grp.com/manufacturer/texas-instruments?pageNo=296", "Texas Instruments")</f>
        <v>Texas Instruments</v>
      </c>
      <c r="C3668" s="5">
        <v>130</v>
      </c>
      <c r="D3668" s="6">
        <v>6.61</v>
      </c>
      <c r="E3668" t="s">
        <v>12</v>
      </c>
    </row>
    <row r="3669" spans="1:5" x14ac:dyDescent="0.25">
      <c r="A3669" t="str">
        <f>HYPERLINK("https://www.773grp.com/globalSearch/SN74AVCBH164245KR/page-1", "SN74AVCBH164245KR")</f>
        <v>SN74AVCBH164245KR</v>
      </c>
      <c r="B3669" s="3" t="str">
        <f>HYPERLINK("https://www.773grp.com/manufacturer/texas-instruments?pageNo=301", "Texas Instruments")</f>
        <v>Texas Instruments</v>
      </c>
      <c r="C3669" s="5">
        <v>11885</v>
      </c>
      <c r="D3669" s="6">
        <v>6.61</v>
      </c>
      <c r="E3669" t="s">
        <v>12</v>
      </c>
    </row>
    <row r="3670" spans="1:5" x14ac:dyDescent="0.25">
      <c r="A3670" t="str">
        <f>HYPERLINK("https://www.773grp.com/globalSearch/SN74ABT162500DLR/page-1", "SN74ABT162500DLR")</f>
        <v>SN74ABT162500DLR</v>
      </c>
      <c r="B3670" s="3" t="str">
        <f>HYPERLINK("https://www.773grp.com/manufacturer/texas-instruments?pageNo=354", "Texas Instruments")</f>
        <v>Texas Instruments</v>
      </c>
      <c r="C3670" s="5">
        <v>5000</v>
      </c>
      <c r="D3670" s="6">
        <v>6.64</v>
      </c>
      <c r="E3670" t="s">
        <v>12</v>
      </c>
    </row>
    <row r="3671" spans="1:5" x14ac:dyDescent="0.25">
      <c r="A3671" t="str">
        <f>HYPERLINK("https://www.773grp.com/globalSearch/SN74ABT162501DGGR/page-1", "SN74ABT162501DGGR")</f>
        <v>SN74ABT162501DGGR</v>
      </c>
      <c r="B3671" s="3" t="str">
        <f>HYPERLINK("https://www.773grp.com/manufacturer/texas-instruments?pageNo=355", "Texas Instruments")</f>
        <v>Texas Instruments</v>
      </c>
      <c r="C3671" s="5">
        <v>2000</v>
      </c>
      <c r="D3671" s="6">
        <v>6.64</v>
      </c>
      <c r="E3671" t="s">
        <v>12</v>
      </c>
    </row>
    <row r="3672" spans="1:5" x14ac:dyDescent="0.25">
      <c r="A3672" t="str">
        <f>HYPERLINK("https://www.773grp.com/globalSearch/SN74ABT162501DLR/page-1", "SN74ABT162501DLR")</f>
        <v>SN74ABT162501DLR</v>
      </c>
      <c r="B3672" s="3" t="str">
        <f>HYPERLINK("https://www.773grp.com/manufacturer/texas-instruments?pageNo=356", "Texas Instruments")</f>
        <v>Texas Instruments</v>
      </c>
      <c r="C3672" s="5">
        <v>52588</v>
      </c>
      <c r="D3672" s="6">
        <v>6.64</v>
      </c>
      <c r="E3672" t="s">
        <v>12</v>
      </c>
    </row>
    <row r="3673" spans="1:5" x14ac:dyDescent="0.25">
      <c r="A3673" t="str">
        <f>HYPERLINK("https://www.773grp.com/globalSearch/SN74ABT16500BDL/page-1", "SN74ABT16500BDL")</f>
        <v>SN74ABT16500BDL</v>
      </c>
      <c r="B3673" s="3" t="str">
        <f>HYPERLINK("https://www.773grp.com/manufacturer/texas-instruments?pageNo=357", "Texas Instruments")</f>
        <v>Texas Instruments</v>
      </c>
      <c r="C3673" s="5">
        <v>2171</v>
      </c>
      <c r="D3673" s="6">
        <v>6.64</v>
      </c>
      <c r="E3673" t="s">
        <v>12</v>
      </c>
    </row>
    <row r="3674" spans="1:5" x14ac:dyDescent="0.25">
      <c r="A3674" t="str">
        <f>HYPERLINK("https://www.773grp.com/globalSearch/SN74ABT16501DLR/page-1", "SN74ABT16501DLR")</f>
        <v>SN74ABT16501DLR</v>
      </c>
      <c r="B3674" s="3" t="str">
        <f>HYPERLINK("https://www.773grp.com/manufacturer/texas-instruments?pageNo=358", "Texas Instruments")</f>
        <v>Texas Instruments</v>
      </c>
      <c r="C3674" s="5">
        <v>18062</v>
      </c>
      <c r="D3674" s="6">
        <v>6.64</v>
      </c>
      <c r="E3674" t="s">
        <v>12</v>
      </c>
    </row>
    <row r="3675" spans="1:5" x14ac:dyDescent="0.25">
      <c r="A3675" t="str">
        <f>HYPERLINK("https://www.773grp.com/globalSearch/SN74ABT16821DLR/page-1", "SN74ABT16821DLR")</f>
        <v>SN74ABT16821DLR</v>
      </c>
      <c r="B3675" s="3" t="str">
        <f>HYPERLINK("https://www.773grp.com/manufacturer/texas-instruments?pageNo=359", "Texas Instruments")</f>
        <v>Texas Instruments</v>
      </c>
      <c r="C3675" s="5">
        <v>3894</v>
      </c>
      <c r="D3675" s="6">
        <v>6.64</v>
      </c>
      <c r="E3675" t="s">
        <v>12</v>
      </c>
    </row>
    <row r="3676" spans="1:5" x14ac:dyDescent="0.25">
      <c r="A3676" t="str">
        <f>HYPERLINK("https://www.773grp.com/globalSearch/SN74ALS564BN/page-1", "SN74ALS564BN")</f>
        <v>SN74ALS564BN</v>
      </c>
      <c r="B3676" s="3" t="str">
        <f>HYPERLINK("https://www.773grp.com/manufacturer/texas-instruments?pageNo=360", "Texas Instruments")</f>
        <v>Texas Instruments</v>
      </c>
      <c r="C3676" s="5">
        <v>18788</v>
      </c>
      <c r="D3676" s="6">
        <v>6.64</v>
      </c>
      <c r="E3676" t="s">
        <v>12</v>
      </c>
    </row>
    <row r="3677" spans="1:5" x14ac:dyDescent="0.25">
      <c r="A3677" t="str">
        <f>HYPERLINK("https://www.773grp.com/globalSearch/SN74ALS564BNSR/page-1", "SN74ALS564BNSR")</f>
        <v>SN74ALS564BNSR</v>
      </c>
      <c r="B3677" s="3" t="str">
        <f>HYPERLINK("https://www.773grp.com/manufacturer/texas-instruments?pageNo=361", "Texas Instruments")</f>
        <v>Texas Instruments</v>
      </c>
      <c r="C3677" s="5">
        <v>5975</v>
      </c>
      <c r="D3677" s="6">
        <v>6.64</v>
      </c>
      <c r="E3677" t="s">
        <v>12</v>
      </c>
    </row>
    <row r="3678" spans="1:5" x14ac:dyDescent="0.25">
      <c r="A3678" t="str">
        <f>HYPERLINK("https://www.773grp.com/globalSearch/SN74ALS623ADW/page-1", "SN74ALS623ADW")</f>
        <v>SN74ALS623ADW</v>
      </c>
      <c r="B3678" s="3" t="str">
        <f>HYPERLINK("https://www.773grp.com/manufacturer/texas-instruments?pageNo=362", "Texas Instruments")</f>
        <v>Texas Instruments</v>
      </c>
      <c r="C3678" s="5">
        <v>3129</v>
      </c>
      <c r="D3678" s="6">
        <v>6.64</v>
      </c>
      <c r="E3678" t="s">
        <v>12</v>
      </c>
    </row>
    <row r="3679" spans="1:5" x14ac:dyDescent="0.25">
      <c r="A3679" t="str">
        <f>HYPERLINK("https://www.773grp.com/globalSearch/SN74ALVC162834DL/page-1", "SN74ALVC162834DL")</f>
        <v>SN74ALVC162834DL</v>
      </c>
      <c r="B3679" s="3" t="str">
        <f>HYPERLINK("https://www.773grp.com/manufacturer/texas-instruments?pageNo=363", "Texas Instruments")</f>
        <v>Texas Instruments</v>
      </c>
      <c r="C3679" s="5">
        <v>529</v>
      </c>
      <c r="D3679" s="6">
        <v>6.64</v>
      </c>
      <c r="E3679" t="s">
        <v>12</v>
      </c>
    </row>
    <row r="3680" spans="1:5" x14ac:dyDescent="0.25">
      <c r="A3680" t="str">
        <f>HYPERLINK("https://www.773grp.com/globalSearch/SN74ALVC16834DGGR/page-1", "SN74ALVC16834DGGR")</f>
        <v>SN74ALVC16834DGGR</v>
      </c>
      <c r="B3680" s="3" t="str">
        <f>HYPERLINK("https://www.773grp.com/manufacturer/texas-instruments?pageNo=364", "Texas Instruments")</f>
        <v>Texas Instruments</v>
      </c>
      <c r="C3680" s="5">
        <v>20000</v>
      </c>
      <c r="D3680" s="6">
        <v>6.64</v>
      </c>
      <c r="E3680" t="s">
        <v>12</v>
      </c>
    </row>
    <row r="3681" spans="1:5" x14ac:dyDescent="0.25">
      <c r="A3681" t="str">
        <f>HYPERLINK("https://www.773grp.com/globalSearch/SN74ALVC16834DGVR/page-1", "SN74ALVC16834DGVR")</f>
        <v>SN74ALVC16834DGVR</v>
      </c>
      <c r="B3681" s="3" t="str">
        <f>HYPERLINK("https://www.773grp.com/manufacturer/texas-instruments?pageNo=365", "Texas Instruments")</f>
        <v>Texas Instruments</v>
      </c>
      <c r="C3681" s="5">
        <v>2000</v>
      </c>
      <c r="D3681" s="6">
        <v>6.64</v>
      </c>
      <c r="E3681" t="s">
        <v>12</v>
      </c>
    </row>
    <row r="3682" spans="1:5" x14ac:dyDescent="0.25">
      <c r="A3682" t="str">
        <f>HYPERLINK("https://www.773grp.com/globalSearch/SN74ALVCH16334DGGR/page-1", "SN74ALVCH16334DGGR")</f>
        <v>SN74ALVCH16334DGGR</v>
      </c>
      <c r="B3682" s="3" t="str">
        <f>HYPERLINK("https://www.773grp.com/manufacturer/texas-instruments?pageNo=367", "Texas Instruments")</f>
        <v>Texas Instruments</v>
      </c>
      <c r="C3682" s="5">
        <v>6000</v>
      </c>
      <c r="D3682" s="6">
        <v>6.64</v>
      </c>
      <c r="E3682" t="s">
        <v>12</v>
      </c>
    </row>
    <row r="3683" spans="1:5" x14ac:dyDescent="0.25">
      <c r="A3683" t="str">
        <f>HYPERLINK("https://www.773grp.com/globalSearch/SN74ALVCH16334DGVR/page-1", "SN74ALVCH16334DGVR")</f>
        <v>SN74ALVCH16334DGVR</v>
      </c>
      <c r="B3683" s="3" t="str">
        <f>HYPERLINK("https://www.773grp.com/manufacturer/texas-instruments?pageNo=368", "Texas Instruments")</f>
        <v>Texas Instruments</v>
      </c>
      <c r="C3683" s="5">
        <v>8000</v>
      </c>
      <c r="D3683" s="6">
        <v>6.64</v>
      </c>
      <c r="E3683" t="s">
        <v>12</v>
      </c>
    </row>
    <row r="3684" spans="1:5" x14ac:dyDescent="0.25">
      <c r="A3684" t="str">
        <f>HYPERLINK("https://www.773grp.com/globalSearch/SN74ALVCH16344DLR/page-1", "SN74ALVCH16344DLR")</f>
        <v>SN74ALVCH16344DLR</v>
      </c>
      <c r="B3684" s="3" t="str">
        <f>HYPERLINK("https://www.773grp.com/manufacturer/texas-instruments?pageNo=369", "Texas Instruments")</f>
        <v>Texas Instruments</v>
      </c>
      <c r="C3684" s="5">
        <v>17000</v>
      </c>
      <c r="D3684" s="6">
        <v>6.64</v>
      </c>
      <c r="E3684" t="s">
        <v>12</v>
      </c>
    </row>
    <row r="3685" spans="1:5" x14ac:dyDescent="0.25">
      <c r="A3685" t="str">
        <f>HYPERLINK("https://www.773grp.com/globalSearch/SN74ALVCH16841DGGR/page-1", "SN74ALVCH16841DGGR")</f>
        <v>SN74ALVCH16841DGGR</v>
      </c>
      <c r="B3685" s="3" t="str">
        <f>HYPERLINK("https://www.773grp.com/manufacturer/texas-instruments?pageNo=370", "Texas Instruments")</f>
        <v>Texas Instruments</v>
      </c>
      <c r="C3685" s="5">
        <v>4120</v>
      </c>
      <c r="D3685" s="6">
        <v>6.64</v>
      </c>
      <c r="E3685" t="s">
        <v>12</v>
      </c>
    </row>
    <row r="3686" spans="1:5" x14ac:dyDescent="0.25">
      <c r="A3686" t="str">
        <f>HYPERLINK("https://www.773grp.com/globalSearch/SN74ALVCH16863DGGR/page-1", "SN74ALVCH16863DGGR")</f>
        <v>SN74ALVCH16863DGGR</v>
      </c>
      <c r="B3686" s="3" t="str">
        <f>HYPERLINK("https://www.773grp.com/manufacturer/texas-instruments?pageNo=371", "Texas Instruments")</f>
        <v>Texas Instruments</v>
      </c>
      <c r="C3686" s="5">
        <v>57000</v>
      </c>
      <c r="D3686" s="6">
        <v>6.64</v>
      </c>
      <c r="E3686" t="s">
        <v>12</v>
      </c>
    </row>
    <row r="3687" spans="1:5" x14ac:dyDescent="0.25">
      <c r="A3687" t="str">
        <f>HYPERLINK("https://www.773grp.com/globalSearch/SN74ALVCH16863DL/page-1", "SN74ALVCH16863DL")</f>
        <v>SN74ALVCH16863DL</v>
      </c>
      <c r="B3687" s="3" t="str">
        <f>HYPERLINK("https://www.773grp.com/manufacturer/texas-instruments?pageNo=372", "Texas Instruments")</f>
        <v>Texas Instruments</v>
      </c>
      <c r="C3687" s="5">
        <v>3508</v>
      </c>
      <c r="D3687" s="6">
        <v>6.64</v>
      </c>
      <c r="E3687" t="s">
        <v>12</v>
      </c>
    </row>
    <row r="3688" spans="1:5" x14ac:dyDescent="0.25">
      <c r="A3688" t="str">
        <f>HYPERLINK("https://www.773grp.com/globalSearch/SN74ALVCHR162269DL/page-1", "SN74ALVCHR162269DL")</f>
        <v>SN74ALVCHR162269DL</v>
      </c>
      <c r="B3688" s="3" t="str">
        <f>HYPERLINK("https://www.773grp.com/manufacturer/texas-instruments?pageNo=373", "Texas Instruments")</f>
        <v>Texas Instruments</v>
      </c>
      <c r="C3688" s="5">
        <v>815</v>
      </c>
      <c r="D3688" s="6">
        <v>6.64</v>
      </c>
      <c r="E3688" t="s">
        <v>12</v>
      </c>
    </row>
    <row r="3689" spans="1:5" x14ac:dyDescent="0.25">
      <c r="A3689" t="str">
        <f>HYPERLINK("https://www.773grp.com/globalSearch/SN74ALVTH16601DLR/page-1", "SN74ALVTH16601DLR")</f>
        <v>SN74ALVTH16601DLR</v>
      </c>
      <c r="B3689" s="3" t="str">
        <f>HYPERLINK("https://www.773grp.com/manufacturer/texas-instruments?pageNo=375", "Texas Instruments")</f>
        <v>Texas Instruments</v>
      </c>
      <c r="C3689" s="5">
        <v>6000</v>
      </c>
      <c r="D3689" s="6">
        <v>6.64</v>
      </c>
      <c r="E3689" t="s">
        <v>12</v>
      </c>
    </row>
    <row r="3690" spans="1:5" x14ac:dyDescent="0.25">
      <c r="A3690" t="str">
        <f>HYPERLINK("https://www.773grp.com/globalSearch/SN74ALVTH16821DLR/page-1", "SN74ALVTH16821DLR")</f>
        <v>SN74ALVTH16821DLR</v>
      </c>
      <c r="B3690" s="3" t="str">
        <f>HYPERLINK("https://www.773grp.com/manufacturer/texas-instruments?pageNo=376", "Texas Instruments")</f>
        <v>Texas Instruments</v>
      </c>
      <c r="C3690" s="5">
        <v>9000</v>
      </c>
      <c r="D3690" s="6">
        <v>6.64</v>
      </c>
      <c r="E3690" t="s">
        <v>12</v>
      </c>
    </row>
    <row r="3691" spans="1:5" x14ac:dyDescent="0.25">
      <c r="A3691" t="str">
        <f>HYPERLINK("https://www.773grp.com/globalSearch/SN74ALVTH16827DLR/page-1", "SN74ALVTH16827DLR")</f>
        <v>SN74ALVTH16827DLR</v>
      </c>
      <c r="B3691" s="3" t="str">
        <f>HYPERLINK("https://www.773grp.com/manufacturer/texas-instruments?pageNo=377", "Texas Instruments")</f>
        <v>Texas Instruments</v>
      </c>
      <c r="C3691" s="5">
        <v>6000</v>
      </c>
      <c r="D3691" s="6">
        <v>6.64</v>
      </c>
      <c r="E3691" t="s">
        <v>12</v>
      </c>
    </row>
    <row r="3692" spans="1:5" x14ac:dyDescent="0.25">
      <c r="A3692" t="str">
        <f>HYPERLINK("https://www.773grp.com/globalSearch/SN74AS241AN/page-1", "SN74AS241AN")</f>
        <v>SN74AS241AN</v>
      </c>
      <c r="B3692" s="3" t="str">
        <f>HYPERLINK("https://www.773grp.com/manufacturer/texas-instruments?pageNo=379", "Texas Instruments")</f>
        <v>Texas Instruments</v>
      </c>
      <c r="C3692" s="5">
        <v>14694</v>
      </c>
      <c r="D3692" s="6">
        <v>6.64</v>
      </c>
      <c r="E3692" t="s">
        <v>12</v>
      </c>
    </row>
    <row r="3693" spans="1:5" x14ac:dyDescent="0.25">
      <c r="A3693" t="str">
        <f>HYPERLINK("https://www.773grp.com/globalSearch/SN74AS244ADW/page-1", "SN74AS244ADW")</f>
        <v>SN74AS244ADW</v>
      </c>
      <c r="B3693" s="3" t="str">
        <f>HYPERLINK("https://www.773grp.com/manufacturer/texas-instruments?pageNo=380", "Texas Instruments")</f>
        <v>Texas Instruments</v>
      </c>
      <c r="C3693" s="5">
        <v>32854</v>
      </c>
      <c r="D3693" s="6">
        <v>6.64</v>
      </c>
      <c r="E3693" t="s">
        <v>12</v>
      </c>
    </row>
    <row r="3694" spans="1:5" x14ac:dyDescent="0.25">
      <c r="A3694" t="str">
        <f>HYPERLINK("https://www.773grp.com/globalSearch/SN74AS245DW/page-1", "SN74AS245DW")</f>
        <v>SN74AS245DW</v>
      </c>
      <c r="B3694" s="3" t="str">
        <f>HYPERLINK("https://www.773grp.com/manufacturer/texas-instruments?pageNo=381", "Texas Instruments")</f>
        <v>Texas Instruments</v>
      </c>
      <c r="C3694" s="5">
        <v>3593</v>
      </c>
      <c r="D3694" s="6">
        <v>6.64</v>
      </c>
      <c r="E3694" t="s">
        <v>12</v>
      </c>
    </row>
    <row r="3695" spans="1:5" x14ac:dyDescent="0.25">
      <c r="A3695" t="str">
        <f>HYPERLINK("https://www.773grp.com/globalSearch/SN74BCT2240N/page-1", "SN74BCT2240N")</f>
        <v>SN74BCT2240N</v>
      </c>
      <c r="B3695" s="3" t="str">
        <f>HYPERLINK("https://www.773grp.com/manufacturer/texas-instruments?pageNo=384", "Texas Instruments")</f>
        <v>Texas Instruments</v>
      </c>
      <c r="C3695" s="5">
        <v>18421</v>
      </c>
      <c r="D3695" s="6">
        <v>6.64</v>
      </c>
      <c r="E3695" t="s">
        <v>12</v>
      </c>
    </row>
    <row r="3696" spans="1:5" x14ac:dyDescent="0.25">
      <c r="A3696" t="str">
        <f>HYPERLINK("https://www.773grp.com/globalSearch/SN74BCT2241DW/page-1", "SN74BCT2241DW")</f>
        <v>SN74BCT2241DW</v>
      </c>
      <c r="B3696" s="3" t="str">
        <f>HYPERLINK("https://www.773grp.com/manufacturer/texas-instruments?pageNo=385", "Texas Instruments")</f>
        <v>Texas Instruments</v>
      </c>
      <c r="C3696" s="5">
        <v>3900</v>
      </c>
      <c r="D3696" s="6">
        <v>6.64</v>
      </c>
      <c r="E3696" t="s">
        <v>12</v>
      </c>
    </row>
    <row r="3697" spans="1:5" x14ac:dyDescent="0.25">
      <c r="A3697" t="str">
        <f>HYPERLINK("https://www.773grp.com/globalSearch/SN74BCT2244DWR/page-1", "SN74BCT2244DWR")</f>
        <v>SN74BCT2244DWR</v>
      </c>
      <c r="B3697" s="3" t="str">
        <f>HYPERLINK("https://www.773grp.com/manufacturer/texas-instruments?pageNo=386", "Texas Instruments")</f>
        <v>Texas Instruments</v>
      </c>
      <c r="C3697" s="5">
        <v>6000</v>
      </c>
      <c r="D3697" s="6">
        <v>6.64</v>
      </c>
      <c r="E3697" t="s">
        <v>12</v>
      </c>
    </row>
    <row r="3698" spans="1:5" x14ac:dyDescent="0.25">
      <c r="A3698" t="str">
        <f>HYPERLINK("https://www.773grp.com/globalSearch/SN74LVC32245ZKER/page-1", "SN74LVC32245ZKER")</f>
        <v>SN74LVC32245ZKER</v>
      </c>
      <c r="B3698" s="3" t="str">
        <f>HYPERLINK("https://www.773grp.com/manufacturer/texas-instruments?pageNo=390", "Texas Instruments")</f>
        <v>Texas Instruments</v>
      </c>
      <c r="C3698" s="5">
        <v>1000</v>
      </c>
      <c r="D3698" s="6">
        <v>6.64</v>
      </c>
      <c r="E3698" t="s">
        <v>12</v>
      </c>
    </row>
    <row r="3699" spans="1:5" x14ac:dyDescent="0.25">
      <c r="A3699" t="str">
        <f>HYPERLINK("https://www.773grp.com/globalSearch/SN74LVC32373AZKER/page-1", "SN74LVC32373AZKER")</f>
        <v>SN74LVC32373AZKER</v>
      </c>
      <c r="B3699" s="3" t="str">
        <f>HYPERLINK("https://www.773grp.com/manufacturer/texas-instruments?pageNo=391", "Texas Instruments")</f>
        <v>Texas Instruments</v>
      </c>
      <c r="C3699" s="5">
        <v>7000</v>
      </c>
      <c r="D3699" s="6">
        <v>6.64</v>
      </c>
      <c r="E3699" t="s">
        <v>12</v>
      </c>
    </row>
    <row r="3700" spans="1:5" x14ac:dyDescent="0.25">
      <c r="A3700" t="str">
        <f>HYPERLINK("https://www.773grp.com/globalSearch/SN74LVCH32244AZKER/page-1", "SN74LVCH32244AZKER")</f>
        <v>SN74LVCH32244AZKER</v>
      </c>
      <c r="B3700" s="3" t="str">
        <f>HYPERLINK("https://www.773grp.com/manufacturer/texas-instruments?pageNo=392", "Texas Instruments")</f>
        <v>Texas Instruments</v>
      </c>
      <c r="C3700" s="5">
        <v>9500</v>
      </c>
      <c r="D3700" s="6">
        <v>6.64</v>
      </c>
      <c r="E3700" t="s">
        <v>12</v>
      </c>
    </row>
    <row r="3701" spans="1:5" x14ac:dyDescent="0.25">
      <c r="A3701" t="str">
        <f>HYPERLINK("https://www.773grp.com/globalSearch/74ACT11240NT/page-1", "74ACT11240NT")</f>
        <v>74ACT11240NT</v>
      </c>
      <c r="B3701" s="3" t="str">
        <f>HYPERLINK("https://www.773grp.com/manufacturer/texas-instruments?pageNo=402", "Texas Instruments")</f>
        <v>Texas Instruments</v>
      </c>
      <c r="C3701" s="5">
        <v>9752</v>
      </c>
      <c r="D3701" s="6">
        <v>6.66</v>
      </c>
      <c r="E3701" t="s">
        <v>12</v>
      </c>
    </row>
    <row r="3702" spans="1:5" x14ac:dyDescent="0.25">
      <c r="A3702" t="str">
        <f>HYPERLINK("https://www.773grp.com/globalSearch/74ACT11374NT/page-1", "74ACT11374NT")</f>
        <v>74ACT11374NT</v>
      </c>
      <c r="B3702" s="3" t="str">
        <f>HYPERLINK("https://www.773grp.com/manufacturer/texas-instruments?pageNo=403", "Texas Instruments")</f>
        <v>Texas Instruments</v>
      </c>
      <c r="C3702" s="5">
        <v>583</v>
      </c>
      <c r="D3702" s="6">
        <v>6.66</v>
      </c>
      <c r="E3702" t="s">
        <v>12</v>
      </c>
    </row>
    <row r="3703" spans="1:5" x14ac:dyDescent="0.25">
      <c r="A3703" t="str">
        <f>HYPERLINK("https://www.773grp.com/globalSearch/SN74LVT16835DGGR/page-1", "SN74LVT16835DGGR")</f>
        <v>SN74LVT16835DGGR</v>
      </c>
      <c r="B3703" s="3" t="str">
        <f>HYPERLINK("https://www.773grp.com/manufacturer/texas-instruments?pageNo=435", "Texas Instruments")</f>
        <v>Texas Instruments</v>
      </c>
      <c r="C3703" s="5">
        <v>17880</v>
      </c>
      <c r="D3703" s="6">
        <v>6.71</v>
      </c>
      <c r="E3703" t="s">
        <v>12</v>
      </c>
    </row>
    <row r="3704" spans="1:5" x14ac:dyDescent="0.25">
      <c r="A3704" t="str">
        <f>HYPERLINK("https://www.773grp.com/globalSearch/SN74LVT16835DL/page-1", "SN74LVT16835DL")</f>
        <v>SN74LVT16835DL</v>
      </c>
      <c r="B3704" s="3" t="str">
        <f>HYPERLINK("https://www.773grp.com/manufacturer/texas-instruments?pageNo=436", "Texas Instruments")</f>
        <v>Texas Instruments</v>
      </c>
      <c r="C3704" s="5">
        <v>2843</v>
      </c>
      <c r="D3704" s="6">
        <v>6.71</v>
      </c>
      <c r="E3704" t="s">
        <v>12</v>
      </c>
    </row>
    <row r="3705" spans="1:5" x14ac:dyDescent="0.25">
      <c r="A3705" t="str">
        <f>HYPERLINK("https://www.773grp.com/globalSearch/SN74LVT16835DLR/page-1", "SN74LVT16835DLR")</f>
        <v>SN74LVT16835DLR</v>
      </c>
      <c r="B3705" s="3" t="str">
        <f>HYPERLINK("https://www.773grp.com/manufacturer/texas-instruments?pageNo=437", "Texas Instruments")</f>
        <v>Texas Instruments</v>
      </c>
      <c r="C3705" s="5">
        <v>9000</v>
      </c>
      <c r="D3705" s="6">
        <v>6.71</v>
      </c>
      <c r="E3705" t="s">
        <v>12</v>
      </c>
    </row>
    <row r="3706" spans="1:5" x14ac:dyDescent="0.25">
      <c r="A3706" t="str">
        <f>HYPERLINK("https://www.773grp.com/globalSearch/SN74ALS874BNSR/page-1", "SN74ALS874BNSR")</f>
        <v>SN74ALS874BNSR</v>
      </c>
      <c r="B3706" s="3" t="str">
        <f>HYPERLINK("https://www.773grp.com/manufacturer/texas-instruments?pageNo=493", "Texas Instruments")</f>
        <v>Texas Instruments</v>
      </c>
      <c r="C3706" s="5">
        <v>2000</v>
      </c>
      <c r="D3706" s="6">
        <v>6.75</v>
      </c>
      <c r="E3706" t="s">
        <v>12</v>
      </c>
    </row>
    <row r="3707" spans="1:5" x14ac:dyDescent="0.25">
      <c r="A3707" t="str">
        <f>HYPERLINK("https://www.773grp.com/globalSearch/SN74LVT646DW/page-1", "SN74LVT646DW")</f>
        <v>SN74LVT646DW</v>
      </c>
      <c r="B3707" s="3" t="str">
        <f>HYPERLINK("https://www.773grp.com/manufacturer/texas-instruments?pageNo=495", "Texas Instruments")</f>
        <v>Texas Instruments</v>
      </c>
      <c r="C3707" s="5">
        <v>10850</v>
      </c>
      <c r="D3707" s="6">
        <v>6.75</v>
      </c>
      <c r="E3707" t="s">
        <v>12</v>
      </c>
    </row>
    <row r="3708" spans="1:5" x14ac:dyDescent="0.25">
      <c r="A3708" t="str">
        <f>HYPERLINK("https://www.773grp.com/globalSearch/74LVTH322374ZKER/page-1", "74LVTH322374ZKER")</f>
        <v>74LVTH322374ZKER</v>
      </c>
      <c r="B3708" s="3" t="str">
        <f>HYPERLINK("https://www.773grp.com/manufacturer/texas-instruments?pageNo=587", "Texas Instruments")</f>
        <v>Texas Instruments</v>
      </c>
      <c r="C3708" s="5">
        <v>1688</v>
      </c>
      <c r="D3708" s="6">
        <v>6.84</v>
      </c>
      <c r="E3708" t="s">
        <v>12</v>
      </c>
    </row>
    <row r="3709" spans="1:5" x14ac:dyDescent="0.25">
      <c r="A3709" t="str">
        <f>HYPERLINK("https://www.773grp.com/globalSearch/CY29FCT52CTSOC/page-1", "CY29FCT52CTSOC")</f>
        <v>CY29FCT52CTSOC</v>
      </c>
      <c r="B3709" s="3" t="str">
        <f>HYPERLINK("https://www.773grp.com/manufacturer/texas-instruments?pageNo=592", "Texas Instruments")</f>
        <v>Texas Instruments</v>
      </c>
      <c r="C3709" s="5">
        <v>34569</v>
      </c>
      <c r="D3709" s="6">
        <v>6.84</v>
      </c>
      <c r="E3709" t="s">
        <v>12</v>
      </c>
    </row>
    <row r="3710" spans="1:5" x14ac:dyDescent="0.25">
      <c r="A3710" t="str">
        <f>HYPERLINK("https://www.773grp.com/globalSearch/SN74ABT16841DL/page-1", "SN74ABT16841DL")</f>
        <v>SN74ABT16841DL</v>
      </c>
      <c r="B3710" s="3" t="str">
        <f>HYPERLINK("https://www.773grp.com/manufacturer/texas-instruments?pageNo=598", "Texas Instruments")</f>
        <v>Texas Instruments</v>
      </c>
      <c r="C3710" s="5">
        <v>18321</v>
      </c>
      <c r="D3710" s="6">
        <v>6.84</v>
      </c>
      <c r="E3710" t="s">
        <v>12</v>
      </c>
    </row>
    <row r="3711" spans="1:5" x14ac:dyDescent="0.25">
      <c r="A3711" t="str">
        <f>HYPERLINK("https://www.773grp.com/globalSearch/SN74ABT651DW/page-1", "SN74ABT651DW")</f>
        <v>SN74ABT651DW</v>
      </c>
      <c r="B3711" s="3" t="str">
        <f>HYPERLINK("https://www.773grp.com/manufacturer/texas-instruments?pageNo=599", "Texas Instruments")</f>
        <v>Texas Instruments</v>
      </c>
      <c r="C3711" s="5">
        <v>19694</v>
      </c>
      <c r="D3711" s="6">
        <v>6.84</v>
      </c>
      <c r="E3711" t="s">
        <v>12</v>
      </c>
    </row>
    <row r="3712" spans="1:5" x14ac:dyDescent="0.25">
      <c r="A3712" t="str">
        <f>HYPERLINK("https://www.773grp.com/globalSearch/SN74ABT651NT/page-1", "SN74ABT651NT")</f>
        <v>SN74ABT651NT</v>
      </c>
      <c r="B3712" s="3" t="str">
        <f>HYPERLINK("https://www.773grp.com/manufacturer/texas-instruments?pageNo=600", "Texas Instruments")</f>
        <v>Texas Instruments</v>
      </c>
      <c r="C3712" s="5">
        <v>424</v>
      </c>
      <c r="D3712" s="6">
        <v>6.84</v>
      </c>
      <c r="E3712" t="s">
        <v>12</v>
      </c>
    </row>
    <row r="3713" spans="1:5" x14ac:dyDescent="0.25">
      <c r="A3713" t="str">
        <f>HYPERLINK("https://www.773grp.com/globalSearch/SN74ABT651NTE4/page-1", "SN74ABT651NTE4")</f>
        <v>SN74ABT651NTE4</v>
      </c>
      <c r="B3713" s="3" t="str">
        <f>HYPERLINK("https://www.773grp.com/manufacturer/texas-instruments?pageNo=601", "Texas Instruments")</f>
        <v>Texas Instruments</v>
      </c>
      <c r="C3713" s="5">
        <v>30</v>
      </c>
      <c r="D3713" s="6">
        <v>6.84</v>
      </c>
      <c r="E3713" t="s">
        <v>12</v>
      </c>
    </row>
    <row r="3714" spans="1:5" x14ac:dyDescent="0.25">
      <c r="A3714" t="str">
        <f>HYPERLINK("https://www.773grp.com/globalSearch/SN74ALS641A-1N/page-1", "SN74ALS641A-1N")</f>
        <v>SN74ALS641A-1N</v>
      </c>
      <c r="B3714" s="3" t="str">
        <f>HYPERLINK("https://www.773grp.com/manufacturer/texas-instruments?pageNo=602", "Texas Instruments")</f>
        <v>Texas Instruments</v>
      </c>
      <c r="C3714" s="5">
        <v>1025</v>
      </c>
      <c r="D3714" s="6">
        <v>6.84</v>
      </c>
      <c r="E3714" t="s">
        <v>12</v>
      </c>
    </row>
    <row r="3715" spans="1:5" x14ac:dyDescent="0.25">
      <c r="A3715" t="str">
        <f>HYPERLINK("https://www.773grp.com/globalSearch/SN74ALS641A-1NSR/page-1", "SN74ALS641A-1NSR")</f>
        <v>SN74ALS641A-1NSR</v>
      </c>
      <c r="B3715" s="3" t="str">
        <f>HYPERLINK("https://www.773grp.com/manufacturer/texas-instruments?pageNo=603", "Texas Instruments")</f>
        <v>Texas Instruments</v>
      </c>
      <c r="C3715" s="5">
        <v>3847</v>
      </c>
      <c r="D3715" s="6">
        <v>6.84</v>
      </c>
      <c r="E3715" t="s">
        <v>12</v>
      </c>
    </row>
    <row r="3716" spans="1:5" x14ac:dyDescent="0.25">
      <c r="A3716" t="str">
        <f>HYPERLINK("https://www.773grp.com/globalSearch/SN74ALS641AN/page-1", "SN74ALS641AN")</f>
        <v>SN74ALS641AN</v>
      </c>
      <c r="B3716" s="3" t="str">
        <f>HYPERLINK("https://www.773grp.com/manufacturer/texas-instruments?pageNo=604", "Texas Instruments")</f>
        <v>Texas Instruments</v>
      </c>
      <c r="C3716" s="5">
        <v>2610</v>
      </c>
      <c r="D3716" s="6">
        <v>6.84</v>
      </c>
      <c r="E3716" t="s">
        <v>12</v>
      </c>
    </row>
    <row r="3717" spans="1:5" x14ac:dyDescent="0.25">
      <c r="A3717" t="str">
        <f>HYPERLINK("https://www.773grp.com/globalSearch/SN74ALS641ANSR/page-1", "SN74ALS641ANSR")</f>
        <v>SN74ALS641ANSR</v>
      </c>
      <c r="B3717" s="3" t="str">
        <f>HYPERLINK("https://www.773grp.com/manufacturer/texas-instruments?pageNo=605", "Texas Instruments")</f>
        <v>Texas Instruments</v>
      </c>
      <c r="C3717" s="5">
        <v>2000</v>
      </c>
      <c r="D3717" s="6">
        <v>6.84</v>
      </c>
      <c r="E3717" t="s">
        <v>12</v>
      </c>
    </row>
    <row r="3718" spans="1:5" x14ac:dyDescent="0.25">
      <c r="A3718" t="str">
        <f>HYPERLINK("https://www.773grp.com/globalSearch/SN74ALS760N/page-1", "SN74ALS760N")</f>
        <v>SN74ALS760N</v>
      </c>
      <c r="B3718" s="3" t="str">
        <f>HYPERLINK("https://www.773grp.com/manufacturer/texas-instruments?pageNo=606", "Texas Instruments")</f>
        <v>Texas Instruments</v>
      </c>
      <c r="C3718" s="5">
        <v>3491</v>
      </c>
      <c r="D3718" s="6">
        <v>6.84</v>
      </c>
      <c r="E3718" t="s">
        <v>12</v>
      </c>
    </row>
    <row r="3719" spans="1:5" x14ac:dyDescent="0.25">
      <c r="A3719" t="str">
        <f>HYPERLINK("https://www.773grp.com/globalSearch/SN74BCT540ADW/page-1", "SN74BCT540ADW")</f>
        <v>SN74BCT540ADW</v>
      </c>
      <c r="B3719" s="3" t="str">
        <f>HYPERLINK("https://www.773grp.com/manufacturer/texas-instruments?pageNo=608", "Texas Instruments")</f>
        <v>Texas Instruments</v>
      </c>
      <c r="C3719" s="5">
        <v>8885</v>
      </c>
      <c r="D3719" s="6">
        <v>6.84</v>
      </c>
      <c r="E3719" t="s">
        <v>12</v>
      </c>
    </row>
    <row r="3720" spans="1:5" x14ac:dyDescent="0.25">
      <c r="A3720" t="str">
        <f>HYPERLINK("https://www.773grp.com/globalSearch/SN74BCT623DW/page-1", "SN74BCT623DW")</f>
        <v>SN74BCT623DW</v>
      </c>
      <c r="B3720" s="3" t="str">
        <f>HYPERLINK("https://www.773grp.com/manufacturer/texas-instruments?pageNo=609", "Texas Instruments")</f>
        <v>Texas Instruments</v>
      </c>
      <c r="C3720" s="5">
        <v>3725</v>
      </c>
      <c r="D3720" s="6">
        <v>6.84</v>
      </c>
      <c r="E3720" t="s">
        <v>12</v>
      </c>
    </row>
    <row r="3721" spans="1:5" x14ac:dyDescent="0.25">
      <c r="A3721" t="str">
        <f>HYPERLINK("https://www.773grp.com/globalSearch/SN74BCT640DW/page-1", "SN74BCT640DW")</f>
        <v>SN74BCT640DW</v>
      </c>
      <c r="B3721" s="3" t="str">
        <f>HYPERLINK("https://www.773grp.com/manufacturer/texas-instruments?pageNo=610", "Texas Instruments")</f>
        <v>Texas Instruments</v>
      </c>
      <c r="C3721" s="5">
        <v>425</v>
      </c>
      <c r="D3721" s="6">
        <v>6.84</v>
      </c>
      <c r="E3721" t="s">
        <v>12</v>
      </c>
    </row>
    <row r="3722" spans="1:5" x14ac:dyDescent="0.25">
      <c r="A3722" t="str">
        <f>HYPERLINK("https://www.773grp.com/globalSearch/SN74CB3Q32245ZKER/page-1", "SN74CB3Q32245ZKER")</f>
        <v>SN74CB3Q32245ZKER</v>
      </c>
      <c r="B3722" s="3" t="str">
        <f>HYPERLINK("https://www.773grp.com/manufacturer/texas-instruments?pageNo=611", "Texas Instruments")</f>
        <v>Texas Instruments</v>
      </c>
      <c r="C3722" s="5">
        <v>6800</v>
      </c>
      <c r="D3722" s="6">
        <v>6.84</v>
      </c>
      <c r="E3722" t="s">
        <v>12</v>
      </c>
    </row>
    <row r="3723" spans="1:5" x14ac:dyDescent="0.25">
      <c r="A3723" t="str">
        <f>HYPERLINK("https://www.773grp.com/globalSearch/SN74LVTH322374KR/page-1", "SN74LVTH322374KR")</f>
        <v>SN74LVTH322374KR</v>
      </c>
      <c r="B3723" s="3" t="str">
        <f>HYPERLINK("https://www.773grp.com/manufacturer/texas-instruments?pageNo=613", "Texas Instruments")</f>
        <v>Texas Instruments</v>
      </c>
      <c r="C3723" s="5">
        <v>3060</v>
      </c>
      <c r="D3723" s="6">
        <v>6.84</v>
      </c>
      <c r="E3723" t="s">
        <v>12</v>
      </c>
    </row>
    <row r="3724" spans="1:5" x14ac:dyDescent="0.25">
      <c r="A3724" t="str">
        <f>HYPERLINK("https://www.773grp.com/globalSearch/SN74LVTH32374GKER/page-1", "SN74LVTH32374GKER")</f>
        <v>SN74LVTH32374GKER</v>
      </c>
      <c r="B3724" s="3" t="str">
        <f>HYPERLINK("https://www.773grp.com/manufacturer/texas-instruments?pageNo=614", "Texas Instruments")</f>
        <v>Texas Instruments</v>
      </c>
      <c r="C3724" s="5">
        <v>95000</v>
      </c>
      <c r="D3724" s="6">
        <v>6.84</v>
      </c>
      <c r="E3724" t="s">
        <v>12</v>
      </c>
    </row>
    <row r="3725" spans="1:5" x14ac:dyDescent="0.25">
      <c r="A3725" t="str">
        <f>HYPERLINK("https://www.773grp.com/globalSearch/SNJ54AHC126J/page-1", "SNJ54AHC126J")</f>
        <v>SNJ54AHC126J</v>
      </c>
      <c r="B3725" s="3" t="str">
        <f>HYPERLINK("https://www.773grp.com/manufacturer/texas-instruments?pageNo=698", "Texas Instruments")</f>
        <v>Texas Instruments</v>
      </c>
      <c r="C3725" s="5">
        <v>86</v>
      </c>
      <c r="D3725" s="6">
        <v>6.93</v>
      </c>
      <c r="E3725" t="s">
        <v>12</v>
      </c>
    </row>
    <row r="3726" spans="1:5" x14ac:dyDescent="0.25">
      <c r="A3726" t="str">
        <f>HYPERLINK("https://www.773grp.com/globalSearch/SN54365AJ/page-1", "SN54365AJ")</f>
        <v>SN54365AJ</v>
      </c>
      <c r="B3726" s="3" t="str">
        <f>HYPERLINK("https://www.773grp.com/manufacturer/texas-instruments?pageNo=717", "Texas Instruments")</f>
        <v>Texas Instruments</v>
      </c>
      <c r="C3726" s="5">
        <v>2</v>
      </c>
      <c r="D3726" s="6">
        <v>6.95</v>
      </c>
      <c r="E3726" t="s">
        <v>12</v>
      </c>
    </row>
    <row r="3727" spans="1:5" x14ac:dyDescent="0.25">
      <c r="A3727" t="str">
        <f>HYPERLINK("https://www.773grp.com/globalSearch/SN74ABT5403DW/page-1", "SN74ABT5403DW")</f>
        <v>SN74ABT5403DW</v>
      </c>
      <c r="B3727" s="3" t="str">
        <f>HYPERLINK("https://www.773grp.com/manufacturer/texas-instruments?pageNo=718", "Texas Instruments")</f>
        <v>Texas Instruments</v>
      </c>
      <c r="C3727" s="5">
        <v>5088</v>
      </c>
      <c r="D3727" s="6">
        <v>6.95</v>
      </c>
      <c r="E3727" t="s">
        <v>12</v>
      </c>
    </row>
    <row r="3728" spans="1:5" x14ac:dyDescent="0.25">
      <c r="A3728" t="str">
        <f>HYPERLINK("https://www.773grp.com/globalSearch/SN74BCT29854DWR/page-1", "SN74BCT29854DWR")</f>
        <v>SN74BCT29854DWR</v>
      </c>
      <c r="B3728" s="3" t="str">
        <f>HYPERLINK("https://www.773grp.com/manufacturer/texas-instruments?pageNo=737", "Texas Instruments")</f>
        <v>Texas Instruments</v>
      </c>
      <c r="C3728" s="5">
        <v>4000</v>
      </c>
      <c r="D3728" s="6">
        <v>7</v>
      </c>
      <c r="E3728" t="s">
        <v>12</v>
      </c>
    </row>
    <row r="3729" spans="1:5" x14ac:dyDescent="0.25">
      <c r="A3729" t="str">
        <f>HYPERLINK("https://www.773grp.com/globalSearch/74ACT16646DLR/page-1", "74ACT16646DLR")</f>
        <v>74ACT16646DLR</v>
      </c>
      <c r="B3729" s="3" t="str">
        <f>HYPERLINK("https://www.773grp.com/manufacturer/texas-instruments?pageNo=747", "Texas Instruments")</f>
        <v>Texas Instruments</v>
      </c>
      <c r="C3729" s="5">
        <v>2500</v>
      </c>
      <c r="D3729" s="6">
        <v>7.04</v>
      </c>
      <c r="E3729" t="s">
        <v>12</v>
      </c>
    </row>
    <row r="3730" spans="1:5" x14ac:dyDescent="0.25">
      <c r="A3730" t="str">
        <f>HYPERLINK("https://www.773grp.com/globalSearch/74FCT162543ATPACT/page-1", "74FCT162543ATPACT")</f>
        <v>74FCT162543ATPACT</v>
      </c>
      <c r="B3730" s="3" t="str">
        <f>HYPERLINK("https://www.773grp.com/manufacturer/texas-instruments?pageNo=748", "Texas Instruments")</f>
        <v>Texas Instruments</v>
      </c>
      <c r="C3730" s="5">
        <v>4000</v>
      </c>
      <c r="D3730" s="6">
        <v>7.04</v>
      </c>
      <c r="E3730" t="s">
        <v>12</v>
      </c>
    </row>
    <row r="3731" spans="1:5" x14ac:dyDescent="0.25">
      <c r="A3731" t="str">
        <f>HYPERLINK("https://www.773grp.com/globalSearch/74FCT162H244ATPACT/page-1", "74FCT162H244ATPACT")</f>
        <v>74FCT162H244ATPACT</v>
      </c>
      <c r="B3731" s="3" t="str">
        <f>HYPERLINK("https://www.773grp.com/manufacturer/texas-instruments?pageNo=749", "Texas Instruments")</f>
        <v>Texas Instruments</v>
      </c>
      <c r="C3731" s="5">
        <v>55850</v>
      </c>
      <c r="D3731" s="6">
        <v>7.04</v>
      </c>
      <c r="E3731" t="s">
        <v>12</v>
      </c>
    </row>
    <row r="3732" spans="1:5" x14ac:dyDescent="0.25">
      <c r="A3732" t="str">
        <f>HYPERLINK("https://www.773grp.com/globalSearch/SN74ALS533ADW/page-1", "SN74ALS533ADW")</f>
        <v>SN74ALS533ADW</v>
      </c>
      <c r="B3732" s="3" t="str">
        <f>HYPERLINK("https://www.773grp.com/manufacturer/texas-instruments?pageNo=806", "Texas Instruments")</f>
        <v>Texas Instruments</v>
      </c>
      <c r="C3732" s="5">
        <v>3162</v>
      </c>
      <c r="D3732" s="6">
        <v>7.04</v>
      </c>
      <c r="E3732" t="s">
        <v>12</v>
      </c>
    </row>
    <row r="3733" spans="1:5" x14ac:dyDescent="0.25">
      <c r="A3733" t="str">
        <f>HYPERLINK("https://www.773grp.com/globalSearch/SN74ALVCH162836VR/page-1", "SN74ALVCH162836VR")</f>
        <v>SN74ALVCH162836VR</v>
      </c>
      <c r="B3733" s="3" t="str">
        <f>HYPERLINK("https://www.773grp.com/manufacturer/texas-instruments?pageNo=809", "Texas Instruments")</f>
        <v>Texas Instruments</v>
      </c>
      <c r="C3733" s="5">
        <v>2000</v>
      </c>
      <c r="D3733" s="6">
        <v>7.04</v>
      </c>
      <c r="E3733" t="s">
        <v>12</v>
      </c>
    </row>
    <row r="3734" spans="1:5" x14ac:dyDescent="0.25">
      <c r="A3734" t="str">
        <f>HYPERLINK("https://www.773grp.com/globalSearch/SN74ALVCH16821DLR/page-1", "SN74ALVCH16821DLR")</f>
        <v>SN74ALVCH16821DLR</v>
      </c>
      <c r="B3734" s="3" t="str">
        <f>HYPERLINK("https://www.773grp.com/manufacturer/texas-instruments?pageNo=810", "Texas Instruments")</f>
        <v>Texas Instruments</v>
      </c>
      <c r="C3734" s="5">
        <v>9000</v>
      </c>
      <c r="D3734" s="6">
        <v>7.04</v>
      </c>
      <c r="E3734" t="s">
        <v>12</v>
      </c>
    </row>
    <row r="3735" spans="1:5" x14ac:dyDescent="0.25">
      <c r="A3735" t="str">
        <f>HYPERLINK("https://www.773grp.com/globalSearch/SN74AVC24T245GRGR/page-1", "SN74AVC24T245GRGR")</f>
        <v>SN74AVC24T245GRGR</v>
      </c>
      <c r="B3735" s="3" t="str">
        <f>HYPERLINK("https://www.773grp.com/manufacturer/texas-instruments?pageNo=813", "Texas Instruments")</f>
        <v>Texas Instruments</v>
      </c>
      <c r="C3735" s="5">
        <v>6315</v>
      </c>
      <c r="D3735" s="6">
        <v>7.04</v>
      </c>
      <c r="E3735" t="s">
        <v>12</v>
      </c>
    </row>
    <row r="3736" spans="1:5" x14ac:dyDescent="0.25">
      <c r="A3736" t="str">
        <f>HYPERLINK("https://www.773grp.com/globalSearch/SN74AVC32T245GKER/page-1", "SN74AVC32T245GKER")</f>
        <v>SN74AVC32T245GKER</v>
      </c>
      <c r="B3736" s="3" t="str">
        <f>HYPERLINK("https://www.773grp.com/manufacturer/texas-instruments?pageNo=814", "Texas Instruments")</f>
        <v>Texas Instruments</v>
      </c>
      <c r="C3736" s="5">
        <v>15876</v>
      </c>
      <c r="D3736" s="6">
        <v>7.04</v>
      </c>
      <c r="E3736" t="s">
        <v>12</v>
      </c>
    </row>
    <row r="3737" spans="1:5" x14ac:dyDescent="0.25">
      <c r="A3737" t="str">
        <f>HYPERLINK("https://www.773grp.com/globalSearch/SN74BCT240N/page-1", "SN74BCT240N")</f>
        <v>SN74BCT240N</v>
      </c>
      <c r="B3737" s="3" t="str">
        <f>HYPERLINK("https://www.773grp.com/manufacturer/texas-instruments?pageNo=815", "Texas Instruments")</f>
        <v>Texas Instruments</v>
      </c>
      <c r="C3737" s="5">
        <v>737</v>
      </c>
      <c r="D3737" s="6">
        <v>7.04</v>
      </c>
      <c r="E3737" t="s">
        <v>12</v>
      </c>
    </row>
    <row r="3738" spans="1:5" x14ac:dyDescent="0.25">
      <c r="A3738" t="str">
        <f>HYPERLINK("https://www.773grp.com/globalSearch/SN74BCT241N/page-1", "SN74BCT241N")</f>
        <v>SN74BCT241N</v>
      </c>
      <c r="B3738" s="3" t="str">
        <f>HYPERLINK("https://www.773grp.com/manufacturer/texas-instruments?pageNo=816", "Texas Instruments")</f>
        <v>Texas Instruments</v>
      </c>
      <c r="C3738" s="5">
        <v>6480</v>
      </c>
      <c r="D3738" s="6">
        <v>7.04</v>
      </c>
      <c r="E3738" t="s">
        <v>12</v>
      </c>
    </row>
    <row r="3739" spans="1:5" x14ac:dyDescent="0.25">
      <c r="A3739" t="str">
        <f>HYPERLINK("https://www.773grp.com/globalSearch/SN74BCT244DW/page-1", "SN74BCT244DW")</f>
        <v>SN74BCT244DW</v>
      </c>
      <c r="B3739" s="3" t="str">
        <f>HYPERLINK("https://www.773grp.com/manufacturer/texas-instruments?pageNo=817", "Texas Instruments")</f>
        <v>Texas Instruments</v>
      </c>
      <c r="C3739" s="5">
        <v>5193</v>
      </c>
      <c r="D3739" s="6">
        <v>7.04</v>
      </c>
      <c r="E3739" t="s">
        <v>12</v>
      </c>
    </row>
    <row r="3740" spans="1:5" x14ac:dyDescent="0.25">
      <c r="A3740" t="str">
        <f>HYPERLINK("https://www.773grp.com/globalSearch/SN74BCT244N/page-1", "SN74BCT244N")</f>
        <v>SN74BCT244N</v>
      </c>
      <c r="B3740" s="3" t="str">
        <f>HYPERLINK("https://www.773grp.com/manufacturer/texas-instruments?pageNo=818", "Texas Instruments")</f>
        <v>Texas Instruments</v>
      </c>
      <c r="C3740" s="5">
        <v>2853</v>
      </c>
      <c r="D3740" s="6">
        <v>7.04</v>
      </c>
      <c r="E3740" t="s">
        <v>12</v>
      </c>
    </row>
    <row r="3741" spans="1:5" x14ac:dyDescent="0.25">
      <c r="A3741" t="str">
        <f>HYPERLINK("https://www.773grp.com/globalSearch/SN74BCT245DBR/page-1", "SN74BCT245DBR")</f>
        <v>SN74BCT245DBR</v>
      </c>
      <c r="B3741" s="3" t="str">
        <f>HYPERLINK("https://www.773grp.com/manufacturer/texas-instruments?pageNo=819", "Texas Instruments")</f>
        <v>Texas Instruments</v>
      </c>
      <c r="C3741" s="5">
        <v>67862</v>
      </c>
      <c r="D3741" s="6">
        <v>7.04</v>
      </c>
      <c r="E3741" t="s">
        <v>12</v>
      </c>
    </row>
    <row r="3742" spans="1:5" x14ac:dyDescent="0.25">
      <c r="A3742" t="str">
        <f>HYPERLINK("https://www.773grp.com/globalSearch/SN74BCT245DW/page-1", "SN74BCT245DW")</f>
        <v>SN74BCT245DW</v>
      </c>
      <c r="B3742" s="3" t="str">
        <f>HYPERLINK("https://www.773grp.com/manufacturer/texas-instruments?pageNo=820", "Texas Instruments")</f>
        <v>Texas Instruments</v>
      </c>
      <c r="C3742" s="5">
        <v>1718</v>
      </c>
      <c r="D3742" s="6">
        <v>7.04</v>
      </c>
      <c r="E3742" t="s">
        <v>12</v>
      </c>
    </row>
    <row r="3743" spans="1:5" x14ac:dyDescent="0.25">
      <c r="A3743" t="str">
        <f>HYPERLINK("https://www.773grp.com/globalSearch/SN74BCT245N/page-1", "SN74BCT245N")</f>
        <v>SN74BCT245N</v>
      </c>
      <c r="B3743" s="3" t="str">
        <f>HYPERLINK("https://www.773grp.com/manufacturer/texas-instruments?pageNo=821", "Texas Instruments")</f>
        <v>Texas Instruments</v>
      </c>
      <c r="C3743" s="5">
        <v>75443</v>
      </c>
      <c r="D3743" s="6">
        <v>7.04</v>
      </c>
      <c r="E3743" t="s">
        <v>12</v>
      </c>
    </row>
    <row r="3744" spans="1:5" x14ac:dyDescent="0.25">
      <c r="A3744" t="str">
        <f>HYPERLINK("https://www.773grp.com/globalSearch/SN74BCT2827CDWR/page-1", "SN74BCT2827CDWR")</f>
        <v>SN74BCT2827CDWR</v>
      </c>
      <c r="B3744" s="3" t="str">
        <f>HYPERLINK("https://www.773grp.com/manufacturer/texas-instruments?pageNo=822", "Texas Instruments")</f>
        <v>Texas Instruments</v>
      </c>
      <c r="C3744" s="5">
        <v>3000</v>
      </c>
      <c r="D3744" s="6">
        <v>7.04</v>
      </c>
      <c r="E3744" t="s">
        <v>12</v>
      </c>
    </row>
    <row r="3745" spans="1:5" x14ac:dyDescent="0.25">
      <c r="A3745" t="str">
        <f>HYPERLINK("https://www.773grp.com/globalSearch/SN74BCT29821DW/page-1", "SN74BCT29821DW")</f>
        <v>SN74BCT29821DW</v>
      </c>
      <c r="B3745" s="3" t="str">
        <f>HYPERLINK("https://www.773grp.com/manufacturer/texas-instruments?pageNo=823", "Texas Instruments")</f>
        <v>Texas Instruments</v>
      </c>
      <c r="C3745" s="5">
        <v>905</v>
      </c>
      <c r="D3745" s="6">
        <v>7.04</v>
      </c>
      <c r="E3745" t="s">
        <v>12</v>
      </c>
    </row>
    <row r="3746" spans="1:5" x14ac:dyDescent="0.25">
      <c r="A3746" t="str">
        <f>HYPERLINK("https://www.773grp.com/globalSearch/SN74BCT29821NT/page-1", "SN74BCT29821NT")</f>
        <v>SN74BCT29821NT</v>
      </c>
      <c r="B3746" s="3" t="str">
        <f>HYPERLINK("https://www.773grp.com/manufacturer/texas-instruments?pageNo=824", "Texas Instruments")</f>
        <v>Texas Instruments</v>
      </c>
      <c r="C3746" s="5">
        <v>463</v>
      </c>
      <c r="D3746" s="6">
        <v>7.04</v>
      </c>
      <c r="E3746" t="s">
        <v>12</v>
      </c>
    </row>
    <row r="3747" spans="1:5" x14ac:dyDescent="0.25">
      <c r="A3747" t="str">
        <f>HYPERLINK("https://www.773grp.com/globalSearch/SN74BCT29843DW/page-1", "SN74BCT29843DW")</f>
        <v>SN74BCT29843DW</v>
      </c>
      <c r="B3747" s="3" t="str">
        <f>HYPERLINK("https://www.773grp.com/manufacturer/texas-instruments?pageNo=825", "Texas Instruments")</f>
        <v>Texas Instruments</v>
      </c>
      <c r="C3747" s="5">
        <v>4829</v>
      </c>
      <c r="D3747" s="6">
        <v>7.04</v>
      </c>
      <c r="E3747" t="s">
        <v>12</v>
      </c>
    </row>
    <row r="3748" spans="1:5" x14ac:dyDescent="0.25">
      <c r="A3748" t="str">
        <f>HYPERLINK("https://www.773grp.com/globalSearch/SN74BCT29863BDWR/page-1", "SN74BCT29863BDWR")</f>
        <v>SN74BCT29863BDWR</v>
      </c>
      <c r="B3748" s="3" t="str">
        <f>HYPERLINK("https://www.773grp.com/manufacturer/texas-instruments?pageNo=826", "Texas Instruments")</f>
        <v>Texas Instruments</v>
      </c>
      <c r="C3748" s="5">
        <v>6000</v>
      </c>
      <c r="D3748" s="6">
        <v>7.04</v>
      </c>
      <c r="E3748" t="s">
        <v>12</v>
      </c>
    </row>
    <row r="3749" spans="1:5" x14ac:dyDescent="0.25">
      <c r="A3749" t="str">
        <f>HYPERLINK("https://www.773grp.com/globalSearch/SN74BCT373N/page-1", "SN74BCT373N")</f>
        <v>SN74BCT373N</v>
      </c>
      <c r="B3749" s="3" t="str">
        <f>HYPERLINK("https://www.773grp.com/manufacturer/texas-instruments?pageNo=827", "Texas Instruments")</f>
        <v>Texas Instruments</v>
      </c>
      <c r="C3749" s="5">
        <v>3194</v>
      </c>
      <c r="D3749" s="6">
        <v>7.04</v>
      </c>
      <c r="E3749" t="s">
        <v>12</v>
      </c>
    </row>
    <row r="3750" spans="1:5" x14ac:dyDescent="0.25">
      <c r="A3750" t="str">
        <f>HYPERLINK("https://www.773grp.com/globalSearch/SN74BCT374DB/page-1", "SN74BCT374DB")</f>
        <v>SN74BCT374DB</v>
      </c>
      <c r="B3750" s="3" t="str">
        <f>HYPERLINK("https://www.773grp.com/manufacturer/texas-instruments?pageNo=828", "Texas Instruments")</f>
        <v>Texas Instruments</v>
      </c>
      <c r="C3750" s="5">
        <v>4900</v>
      </c>
      <c r="D3750" s="6">
        <v>7.04</v>
      </c>
      <c r="E3750" t="s">
        <v>12</v>
      </c>
    </row>
    <row r="3751" spans="1:5" x14ac:dyDescent="0.25">
      <c r="A3751" t="str">
        <f>HYPERLINK("https://www.773grp.com/globalSearch/SN74BCT374N/page-1", "SN74BCT374N")</f>
        <v>SN74BCT374N</v>
      </c>
      <c r="B3751" s="3" t="str">
        <f>HYPERLINK("https://www.773grp.com/manufacturer/texas-instruments?pageNo=829", "Texas Instruments")</f>
        <v>Texas Instruments</v>
      </c>
      <c r="C3751" s="5">
        <v>812</v>
      </c>
      <c r="D3751" s="6">
        <v>7.04</v>
      </c>
      <c r="E3751" t="s">
        <v>12</v>
      </c>
    </row>
    <row r="3752" spans="1:5" x14ac:dyDescent="0.25">
      <c r="A3752" t="str">
        <f>HYPERLINK("https://www.773grp.com/globalSearch/SN74BCT573N/page-1", "SN74BCT573N")</f>
        <v>SN74BCT573N</v>
      </c>
      <c r="B3752" s="3" t="str">
        <f>HYPERLINK("https://www.773grp.com/manufacturer/texas-instruments?pageNo=830", "Texas Instruments")</f>
        <v>Texas Instruments</v>
      </c>
      <c r="C3752" s="5">
        <v>1980</v>
      </c>
      <c r="D3752" s="6">
        <v>7.04</v>
      </c>
      <c r="E3752" t="s">
        <v>12</v>
      </c>
    </row>
    <row r="3753" spans="1:5" x14ac:dyDescent="0.25">
      <c r="A3753" t="str">
        <f>HYPERLINK("https://www.773grp.com/globalSearch/SN74BCT574N/page-1", "SN74BCT574N")</f>
        <v>SN74BCT574N</v>
      </c>
      <c r="B3753" s="3" t="str">
        <f>HYPERLINK("https://www.773grp.com/manufacturer/texas-instruments?pageNo=831", "Texas Instruments")</f>
        <v>Texas Instruments</v>
      </c>
      <c r="C3753" s="5">
        <v>580</v>
      </c>
      <c r="D3753" s="6">
        <v>7.04</v>
      </c>
      <c r="E3753" t="s">
        <v>12</v>
      </c>
    </row>
    <row r="3754" spans="1:5" x14ac:dyDescent="0.25">
      <c r="A3754" t="str">
        <f>HYPERLINK("https://www.773grp.com/globalSearch/SN74CBTH16211DL/page-1", "SN74CBTH16211DL")</f>
        <v>SN74CBTH16211DL</v>
      </c>
      <c r="B3754" s="3" t="str">
        <f>HYPERLINK("https://www.773grp.com/manufacturer/texas-instruments?pageNo=832", "Texas Instruments")</f>
        <v>Texas Instruments</v>
      </c>
      <c r="C3754" s="5">
        <v>4710</v>
      </c>
      <c r="D3754" s="6">
        <v>7.04</v>
      </c>
      <c r="E3754" t="s">
        <v>12</v>
      </c>
    </row>
    <row r="3755" spans="1:5" x14ac:dyDescent="0.25">
      <c r="A3755" t="str">
        <f>HYPERLINK("https://www.773grp.com/globalSearch/SN74GTLP817DGVR/page-1", "SN74GTLP817DGVR")</f>
        <v>SN74GTLP817DGVR</v>
      </c>
      <c r="B3755" s="3" t="str">
        <f>HYPERLINK("https://www.773grp.com/manufacturer/texas-instruments?pageNo=833", "Texas Instruments")</f>
        <v>Texas Instruments</v>
      </c>
      <c r="C3755" s="5">
        <v>26000</v>
      </c>
      <c r="D3755" s="6">
        <v>7.04</v>
      </c>
      <c r="E3755" t="s">
        <v>12</v>
      </c>
    </row>
    <row r="3756" spans="1:5" x14ac:dyDescent="0.25">
      <c r="A3756" t="str">
        <f>HYPERLINK("https://www.773grp.com/globalSearch/SN74GTLP817DW/page-1", "SN74GTLP817DW")</f>
        <v>SN74GTLP817DW</v>
      </c>
      <c r="B3756" s="3" t="str">
        <f>HYPERLINK("https://www.773grp.com/manufacturer/texas-instruments?pageNo=834", "Texas Instruments")</f>
        <v>Texas Instruments</v>
      </c>
      <c r="C3756" s="5">
        <v>13450</v>
      </c>
      <c r="D3756" s="6">
        <v>7.04</v>
      </c>
      <c r="E3756" t="s">
        <v>12</v>
      </c>
    </row>
    <row r="3757" spans="1:5" x14ac:dyDescent="0.25">
      <c r="A3757" t="str">
        <f>HYPERLINK("https://www.773grp.com/globalSearch/SN74GTLP817DWR/page-1", "SN74GTLP817DWR")</f>
        <v>SN74GTLP817DWR</v>
      </c>
      <c r="B3757" s="3" t="str">
        <f>HYPERLINK("https://www.773grp.com/manufacturer/texas-instruments?pageNo=835", "Texas Instruments")</f>
        <v>Texas Instruments</v>
      </c>
      <c r="C3757" s="5">
        <v>26000</v>
      </c>
      <c r="D3757" s="6">
        <v>7.04</v>
      </c>
      <c r="E3757" t="s">
        <v>12</v>
      </c>
    </row>
    <row r="3758" spans="1:5" x14ac:dyDescent="0.25">
      <c r="A3758" t="str">
        <f>HYPERLINK("https://www.773grp.com/globalSearch/SN74GTLP817PWR/page-1", "SN74GTLP817PWR")</f>
        <v>SN74GTLP817PWR</v>
      </c>
      <c r="B3758" s="3" t="str">
        <f>HYPERLINK("https://www.773grp.com/manufacturer/texas-instruments?pageNo=836", "Texas Instruments")</f>
        <v>Texas Instruments</v>
      </c>
      <c r="C3758" s="5">
        <v>12800</v>
      </c>
      <c r="D3758" s="6">
        <v>7.04</v>
      </c>
      <c r="E3758" t="s">
        <v>12</v>
      </c>
    </row>
    <row r="3759" spans="1:5" x14ac:dyDescent="0.25">
      <c r="A3759" t="str">
        <f>HYPERLINK("https://www.773grp.com/globalSearch/SN74ALVCH16820DLR/page-1", "SN74ALVCH16820DLR")</f>
        <v>SN74ALVCH16820DLR</v>
      </c>
      <c r="B3759" s="3" t="str">
        <f>HYPERLINK("https://www.773grp.com/manufacturer/texas-instruments?pageNo=911", "Texas Instruments")</f>
        <v>Texas Instruments</v>
      </c>
      <c r="C3759" s="5">
        <v>8500</v>
      </c>
      <c r="D3759" s="6">
        <v>7.05</v>
      </c>
      <c r="E3759" t="s">
        <v>12</v>
      </c>
    </row>
    <row r="3760" spans="1:5" x14ac:dyDescent="0.25">
      <c r="A3760" t="str">
        <f>HYPERLINK("https://www.773grp.com/globalSearch/SN74AS580DW/page-1", "SN74AS580DW")</f>
        <v>SN74AS580DW</v>
      </c>
      <c r="B3760" s="3" t="str">
        <f>HYPERLINK("https://www.773grp.com/manufacturer/texas-instruments?pageNo=912", "Texas Instruments")</f>
        <v>Texas Instruments</v>
      </c>
      <c r="C3760" s="5">
        <v>1130</v>
      </c>
      <c r="D3760" s="6">
        <v>7.05</v>
      </c>
      <c r="E3760" t="s">
        <v>12</v>
      </c>
    </row>
    <row r="3761" spans="1:5" x14ac:dyDescent="0.25">
      <c r="A3761" t="str">
        <f>HYPERLINK("https://www.773grp.com/globalSearch/SN74AS580N/page-1", "SN74AS580N")</f>
        <v>SN74AS580N</v>
      </c>
      <c r="B3761" s="3" t="str">
        <f>HYPERLINK("https://www.773grp.com/manufacturer/texas-instruments?pageNo=913", "Texas Instruments")</f>
        <v>Texas Instruments</v>
      </c>
      <c r="C3761" s="5">
        <v>573</v>
      </c>
      <c r="D3761" s="6">
        <v>7.05</v>
      </c>
      <c r="E3761" t="s">
        <v>12</v>
      </c>
    </row>
    <row r="3762" spans="1:5" x14ac:dyDescent="0.25">
      <c r="A3762" t="str">
        <f>HYPERLINK("https://www.773grp.com/globalSearch/CD74FCT541M96/page-1", "CD74FCT541M96")</f>
        <v>CD74FCT541M96</v>
      </c>
      <c r="B3762" s="3" t="s">
        <v>90</v>
      </c>
      <c r="C3762" s="5">
        <v>12000</v>
      </c>
      <c r="D3762" s="6">
        <v>7.2</v>
      </c>
      <c r="E3762" t="s">
        <v>12</v>
      </c>
    </row>
    <row r="3763" spans="1:5" x14ac:dyDescent="0.25">
      <c r="A3763" t="str">
        <f>HYPERLINK("https://www.773grp.com/globalSearch/SN74LS623DWR/page-1", "SN74LS623DWR")</f>
        <v>SN74LS623DWR</v>
      </c>
      <c r="B3763" s="3" t="s">
        <v>90</v>
      </c>
      <c r="C3763" s="5">
        <v>11000</v>
      </c>
      <c r="D3763" s="6">
        <v>7.2</v>
      </c>
      <c r="E3763" t="s">
        <v>12</v>
      </c>
    </row>
    <row r="3764" spans="1:5" x14ac:dyDescent="0.25">
      <c r="A3764" t="str">
        <f>HYPERLINK("https://www.773grp.com/globalSearch/74ALVCHS162830AGR/page-1", "74ALVCHS162830AGR")</f>
        <v>74ALVCHS162830AGR</v>
      </c>
      <c r="B3764" s="3" t="s">
        <v>90</v>
      </c>
      <c r="C3764" s="5">
        <v>50000</v>
      </c>
      <c r="D3764" s="6">
        <v>7.23</v>
      </c>
      <c r="E3764" t="s">
        <v>12</v>
      </c>
    </row>
    <row r="3765" spans="1:5" x14ac:dyDescent="0.25">
      <c r="A3765" t="str">
        <f>HYPERLINK("https://www.773grp.com/globalSearch/74LVCH322244AZKER/page-1", "74LVCH322244AZKER")</f>
        <v>74LVCH322244AZKER</v>
      </c>
      <c r="B3765" s="3" t="s">
        <v>90</v>
      </c>
      <c r="C3765" s="5">
        <v>12470</v>
      </c>
      <c r="D3765" s="6">
        <v>7.23</v>
      </c>
      <c r="E3765" t="s">
        <v>12</v>
      </c>
    </row>
    <row r="3766" spans="1:5" x14ac:dyDescent="0.25">
      <c r="A3766" t="str">
        <f>HYPERLINK("https://www.773grp.com/globalSearch/SN64BCT244N/page-1", "SN64BCT244N")</f>
        <v>SN64BCT244N</v>
      </c>
      <c r="B3766" s="3" t="s">
        <v>90</v>
      </c>
      <c r="C3766" s="5">
        <v>2800</v>
      </c>
      <c r="D3766" s="6">
        <v>7.23</v>
      </c>
      <c r="E3766" t="s">
        <v>12</v>
      </c>
    </row>
    <row r="3767" spans="1:5" x14ac:dyDescent="0.25">
      <c r="A3767" t="str">
        <f>HYPERLINK("https://www.773grp.com/globalSearch/SN64BCT757N/page-1", "SN64BCT757N")</f>
        <v>SN64BCT757N</v>
      </c>
      <c r="B3767" s="3" t="s">
        <v>90</v>
      </c>
      <c r="C3767" s="5">
        <v>7490</v>
      </c>
      <c r="D3767" s="6">
        <v>7.23</v>
      </c>
      <c r="E3767" t="s">
        <v>12</v>
      </c>
    </row>
    <row r="3768" spans="1:5" x14ac:dyDescent="0.25">
      <c r="A3768" t="str">
        <f>HYPERLINK("https://www.773grp.com/globalSearch/SN74ABT16952DLR/page-1", "SN74ABT16952DLR")</f>
        <v>SN74ABT16952DLR</v>
      </c>
      <c r="B3768" s="3" t="s">
        <v>90</v>
      </c>
      <c r="C3768" s="5">
        <v>47000</v>
      </c>
      <c r="D3768" s="6">
        <v>7.23</v>
      </c>
      <c r="E3768" t="s">
        <v>12</v>
      </c>
    </row>
    <row r="3769" spans="1:5" x14ac:dyDescent="0.25">
      <c r="A3769" t="str">
        <f>HYPERLINK("https://www.773grp.com/globalSearch/SN74ALS564BDW/page-1", "SN74ALS564BDW")</f>
        <v>SN74ALS564BDW</v>
      </c>
      <c r="B3769" s="3" t="s">
        <v>90</v>
      </c>
      <c r="C3769" s="5">
        <v>3245</v>
      </c>
      <c r="D3769" s="6">
        <v>7.23</v>
      </c>
      <c r="E3769" t="s">
        <v>12</v>
      </c>
    </row>
    <row r="3770" spans="1:5" x14ac:dyDescent="0.25">
      <c r="A3770" t="str">
        <f>HYPERLINK("https://www.773grp.com/globalSearch/SN74ALS623AN/page-1", "SN74ALS623AN")</f>
        <v>SN74ALS623AN</v>
      </c>
      <c r="B3770" s="3" t="s">
        <v>90</v>
      </c>
      <c r="C3770" s="5">
        <v>1304</v>
      </c>
      <c r="D3770" s="6">
        <v>7.23</v>
      </c>
      <c r="E3770" t="s">
        <v>12</v>
      </c>
    </row>
    <row r="3771" spans="1:5" x14ac:dyDescent="0.25">
      <c r="A3771" t="str">
        <f>HYPERLINK("https://www.773grp.com/globalSearch/SN74ALS623ANSR/page-1", "SN74ALS623ANSR")</f>
        <v>SN74ALS623ANSR</v>
      </c>
      <c r="B3771" s="3" t="s">
        <v>90</v>
      </c>
      <c r="C3771" s="5">
        <v>4000</v>
      </c>
      <c r="D3771" s="6">
        <v>7.23</v>
      </c>
      <c r="E3771" t="s">
        <v>12</v>
      </c>
    </row>
    <row r="3772" spans="1:5" x14ac:dyDescent="0.25">
      <c r="A3772" t="str">
        <f>HYPERLINK("https://www.773grp.com/globalSearch/SN74ALVCH162334DLR/page-1", "SN74ALVCH162334DLR")</f>
        <v>SN74ALVCH162334DLR</v>
      </c>
      <c r="B3772" s="3" t="s">
        <v>90</v>
      </c>
      <c r="C3772" s="5">
        <v>18000</v>
      </c>
      <c r="D3772" s="6">
        <v>7.23</v>
      </c>
      <c r="E3772" t="s">
        <v>12</v>
      </c>
    </row>
    <row r="3773" spans="1:5" x14ac:dyDescent="0.25">
      <c r="A3773" t="str">
        <f>HYPERLINK("https://www.773grp.com/globalSearch/SN74ALVCH162334GR/page-1", "SN74ALVCH162334GR")</f>
        <v>SN74ALVCH162334GR</v>
      </c>
      <c r="B3773" s="3" t="s">
        <v>90</v>
      </c>
      <c r="C3773" s="5">
        <v>2000</v>
      </c>
      <c r="D3773" s="6">
        <v>7.23</v>
      </c>
      <c r="E3773" t="s">
        <v>12</v>
      </c>
    </row>
    <row r="3774" spans="1:5" x14ac:dyDescent="0.25">
      <c r="A3774" t="str">
        <f>HYPERLINK("https://www.773grp.com/globalSearch/SN74ALVCH162334VR/page-1", "SN74ALVCH162334VR")</f>
        <v>SN74ALVCH162334VR</v>
      </c>
      <c r="B3774" s="3" t="s">
        <v>90</v>
      </c>
      <c r="C3774" s="5">
        <v>2000</v>
      </c>
      <c r="D3774" s="6">
        <v>7.23</v>
      </c>
      <c r="E3774" t="s">
        <v>12</v>
      </c>
    </row>
    <row r="3775" spans="1:5" x14ac:dyDescent="0.25">
      <c r="A3775" t="str">
        <f>HYPERLINK("https://www.773grp.com/globalSearch/SN74ALVCHS162830GR/page-1", "SN74ALVCHS162830GR")</f>
        <v>SN74ALVCHS162830GR</v>
      </c>
      <c r="B3775" s="3" t="s">
        <v>90</v>
      </c>
      <c r="C3775" s="5">
        <v>114000</v>
      </c>
      <c r="D3775" s="6">
        <v>7.23</v>
      </c>
      <c r="E3775" t="s">
        <v>12</v>
      </c>
    </row>
    <row r="3776" spans="1:5" x14ac:dyDescent="0.25">
      <c r="A3776" t="str">
        <f>HYPERLINK("https://www.773grp.com/globalSearch/SN74ALVTH162244VR/page-1", "SN74ALVTH162244VR")</f>
        <v>SN74ALVTH162244VR</v>
      </c>
      <c r="B3776" s="3" t="s">
        <v>90</v>
      </c>
      <c r="C3776" s="5">
        <v>1900</v>
      </c>
      <c r="D3776" s="6">
        <v>7.23</v>
      </c>
      <c r="E3776" t="s">
        <v>12</v>
      </c>
    </row>
    <row r="3777" spans="1:5" x14ac:dyDescent="0.25">
      <c r="A3777" t="str">
        <f>HYPERLINK("https://www.773grp.com/globalSearch/SN74AS534DW/page-1", "SN74AS534DW")</f>
        <v>SN74AS534DW</v>
      </c>
      <c r="B3777" s="3" t="s">
        <v>90</v>
      </c>
      <c r="C3777" s="5">
        <v>2083</v>
      </c>
      <c r="D3777" s="6">
        <v>7.23</v>
      </c>
      <c r="E3777" t="s">
        <v>12</v>
      </c>
    </row>
    <row r="3778" spans="1:5" x14ac:dyDescent="0.25">
      <c r="A3778" t="str">
        <f>HYPERLINK("https://www.773grp.com/globalSearch/SN74AS534N/page-1", "SN74AS534N")</f>
        <v>SN74AS534N</v>
      </c>
      <c r="B3778" s="3" t="s">
        <v>90</v>
      </c>
      <c r="C3778" s="5">
        <v>751</v>
      </c>
      <c r="D3778" s="6">
        <v>7.23</v>
      </c>
      <c r="E3778" t="s">
        <v>12</v>
      </c>
    </row>
    <row r="3779" spans="1:5" x14ac:dyDescent="0.25">
      <c r="A3779" t="str">
        <f>HYPERLINK("https://www.773grp.com/globalSearch/SN74AS640N/page-1", "SN74AS640N")</f>
        <v>SN74AS640N</v>
      </c>
      <c r="B3779" s="3" t="s">
        <v>90</v>
      </c>
      <c r="C3779" s="5">
        <v>1050</v>
      </c>
      <c r="D3779" s="6">
        <v>7.23</v>
      </c>
      <c r="E3779" t="s">
        <v>12</v>
      </c>
    </row>
    <row r="3780" spans="1:5" x14ac:dyDescent="0.25">
      <c r="A3780" t="str">
        <f>HYPERLINK("https://www.773grp.com/globalSearch/SN74AVC16244DGGR/page-1", "SN74AVC16244DGGR")</f>
        <v>SN74AVC16244DGGR</v>
      </c>
      <c r="B3780" s="3" t="s">
        <v>90</v>
      </c>
      <c r="C3780" s="5">
        <v>8800</v>
      </c>
      <c r="D3780" s="6">
        <v>7.23</v>
      </c>
      <c r="E3780" t="s">
        <v>12</v>
      </c>
    </row>
    <row r="3781" spans="1:5" x14ac:dyDescent="0.25">
      <c r="A3781" t="str">
        <f>HYPERLINK("https://www.773grp.com/globalSearch/SN74AVC16244DGVR/page-1", "SN74AVC16244DGVR")</f>
        <v>SN74AVC16244DGVR</v>
      </c>
      <c r="B3781" s="3" t="s">
        <v>90</v>
      </c>
      <c r="C3781" s="5">
        <v>2000</v>
      </c>
      <c r="D3781" s="6">
        <v>7.23</v>
      </c>
      <c r="E3781" t="s">
        <v>12</v>
      </c>
    </row>
    <row r="3782" spans="1:5" x14ac:dyDescent="0.25">
      <c r="A3782" t="str">
        <f>HYPERLINK("https://www.773grp.com/globalSearch/SN74AVC16373DGGR/page-1", "SN74AVC16373DGGR")</f>
        <v>SN74AVC16373DGGR</v>
      </c>
      <c r="B3782" s="3" t="s">
        <v>90</v>
      </c>
      <c r="C3782" s="5">
        <v>7911</v>
      </c>
      <c r="D3782" s="6">
        <v>7.23</v>
      </c>
      <c r="E3782" t="s">
        <v>12</v>
      </c>
    </row>
    <row r="3783" spans="1:5" x14ac:dyDescent="0.25">
      <c r="A3783" t="str">
        <f>HYPERLINK("https://www.773grp.com/globalSearch/SN74BCT2244N/page-1", "SN74BCT2244N")</f>
        <v>SN74BCT2244N</v>
      </c>
      <c r="B3783" s="3" t="s">
        <v>90</v>
      </c>
      <c r="C3783" s="5">
        <v>7142</v>
      </c>
      <c r="D3783" s="6">
        <v>7.23</v>
      </c>
      <c r="E3783" t="s">
        <v>12</v>
      </c>
    </row>
    <row r="3784" spans="1:5" x14ac:dyDescent="0.25">
      <c r="A3784" t="str">
        <f>HYPERLINK("https://www.773grp.com/globalSearch/SN74BCT2244NSR/page-1", "SN74BCT2244NSR")</f>
        <v>SN74BCT2244NSR</v>
      </c>
      <c r="B3784" s="3" t="s">
        <v>90</v>
      </c>
      <c r="C3784" s="5">
        <v>2000</v>
      </c>
      <c r="D3784" s="6">
        <v>7.23</v>
      </c>
      <c r="E3784" t="s">
        <v>12</v>
      </c>
    </row>
    <row r="3785" spans="1:5" x14ac:dyDescent="0.25">
      <c r="A3785" t="str">
        <f>HYPERLINK("https://www.773grp.com/globalSearch/SN74BCT2245N/page-1", "SN74BCT2245N")</f>
        <v>SN74BCT2245N</v>
      </c>
      <c r="B3785" s="3" t="s">
        <v>90</v>
      </c>
      <c r="C3785" s="5">
        <v>4403</v>
      </c>
      <c r="D3785" s="6">
        <v>7.23</v>
      </c>
      <c r="E3785" t="s">
        <v>12</v>
      </c>
    </row>
    <row r="3786" spans="1:5" x14ac:dyDescent="0.25">
      <c r="A3786" t="str">
        <f>HYPERLINK("https://www.773grp.com/globalSearch/SN74GTLP1395PW/page-1", "SN74GTLP1395PW")</f>
        <v>SN74GTLP1395PW</v>
      </c>
      <c r="B3786" s="3" t="s">
        <v>90</v>
      </c>
      <c r="C3786" s="5">
        <v>19960</v>
      </c>
      <c r="D3786" s="6">
        <v>7.23</v>
      </c>
      <c r="E3786" t="s">
        <v>12</v>
      </c>
    </row>
    <row r="3787" spans="1:5" x14ac:dyDescent="0.25">
      <c r="A3787" t="str">
        <f>HYPERLINK("https://www.773grp.com/globalSearch/SN74GTLP21395DW/page-1", "SN74GTLP21395DW")</f>
        <v>SN74GTLP21395DW</v>
      </c>
      <c r="B3787" s="3" t="s">
        <v>90</v>
      </c>
      <c r="C3787" s="5">
        <v>23637</v>
      </c>
      <c r="D3787" s="6">
        <v>7.23</v>
      </c>
      <c r="E3787" t="s">
        <v>12</v>
      </c>
    </row>
    <row r="3788" spans="1:5" x14ac:dyDescent="0.25">
      <c r="A3788" t="str">
        <f>HYPERLINK("https://www.773grp.com/globalSearch/SN74GTLPH306DGVR/page-1", "SN74GTLPH306DGVR")</f>
        <v>SN74GTLPH306DGVR</v>
      </c>
      <c r="B3788" s="3" t="s">
        <v>90</v>
      </c>
      <c r="C3788" s="5">
        <v>10000</v>
      </c>
      <c r="D3788" s="6">
        <v>7.23</v>
      </c>
      <c r="E3788" t="s">
        <v>12</v>
      </c>
    </row>
    <row r="3789" spans="1:5" x14ac:dyDescent="0.25">
      <c r="A3789" t="str">
        <f>HYPERLINK("https://www.773grp.com/globalSearch/SN74GTLPH306PWR/page-1", "SN74GTLPH306PWR")</f>
        <v>SN74GTLPH306PWR</v>
      </c>
      <c r="B3789" s="3" t="s">
        <v>90</v>
      </c>
      <c r="C3789" s="5">
        <v>17130</v>
      </c>
      <c r="D3789" s="6">
        <v>7.23</v>
      </c>
      <c r="E3789" t="s">
        <v>12</v>
      </c>
    </row>
    <row r="3790" spans="1:5" x14ac:dyDescent="0.25">
      <c r="A3790" t="str">
        <f>HYPERLINK("https://www.773grp.com/globalSearch/SN74LVCH16952ADLR/page-1", "SN74LVCH16952ADLR")</f>
        <v>SN74LVCH16952ADLR</v>
      </c>
      <c r="B3790" s="3" t="s">
        <v>90</v>
      </c>
      <c r="C3790" s="5">
        <v>17000</v>
      </c>
      <c r="D3790" s="6">
        <v>7.23</v>
      </c>
      <c r="E3790" t="s">
        <v>12</v>
      </c>
    </row>
    <row r="3791" spans="1:5" x14ac:dyDescent="0.25">
      <c r="A3791" t="str">
        <f>HYPERLINK("https://www.773grp.com/globalSearch/CVMEH22501AIDGGREP/page-1", "CVMEH22501AIDGGREP")</f>
        <v>CVMEH22501AIDGGREP</v>
      </c>
      <c r="B3791" s="3" t="s">
        <v>90</v>
      </c>
      <c r="C3791" s="5">
        <v>1870</v>
      </c>
      <c r="D3791" s="6">
        <v>7.26</v>
      </c>
      <c r="E3791" t="s">
        <v>12</v>
      </c>
    </row>
    <row r="3792" spans="1:5" x14ac:dyDescent="0.25">
      <c r="A3792" t="str">
        <f>HYPERLINK("https://www.773grp.com/globalSearch/5962-9686801QCA/page-1", "5962-9686801QCA")</f>
        <v>5962-9686801QCA</v>
      </c>
      <c r="B3792" s="3" t="s">
        <v>90</v>
      </c>
      <c r="C3792" s="5">
        <v>10</v>
      </c>
      <c r="D3792" s="6">
        <v>7.29</v>
      </c>
      <c r="E3792" t="s">
        <v>12</v>
      </c>
    </row>
    <row r="3793" spans="1:5" x14ac:dyDescent="0.25">
      <c r="A3793" t="str">
        <f>HYPERLINK("https://www.773grp.com/globalSearch/SNJ54AHC125J/page-1", "SNJ54AHC125J")</f>
        <v>SNJ54AHC125J</v>
      </c>
      <c r="B3793" s="3" t="s">
        <v>90</v>
      </c>
      <c r="C3793" s="5">
        <v>560</v>
      </c>
      <c r="D3793" s="6">
        <v>7.29</v>
      </c>
      <c r="E3793" t="s">
        <v>12</v>
      </c>
    </row>
    <row r="3794" spans="1:5" x14ac:dyDescent="0.25">
      <c r="A3794" t="str">
        <f>HYPERLINK("https://www.773grp.com/globalSearch/74AVCB164245GRE4/page-1", "74AVCB164245GRE4")</f>
        <v>74AVCB164245GRE4</v>
      </c>
      <c r="B3794" s="3" t="s">
        <v>90</v>
      </c>
      <c r="C3794" s="5">
        <v>552</v>
      </c>
      <c r="D3794" s="6">
        <v>7.31</v>
      </c>
      <c r="E3794" t="s">
        <v>12</v>
      </c>
    </row>
    <row r="3795" spans="1:5" x14ac:dyDescent="0.25">
      <c r="A3795" t="str">
        <f>HYPERLINK("https://www.773grp.com/globalSearch/CD54HC244F/page-1", "CD54HC244F")</f>
        <v>CD54HC244F</v>
      </c>
      <c r="B3795" s="3" t="s">
        <v>90</v>
      </c>
      <c r="C3795" s="5">
        <v>134</v>
      </c>
      <c r="D3795" s="6">
        <v>7.31</v>
      </c>
      <c r="E3795" t="s">
        <v>12</v>
      </c>
    </row>
    <row r="3796" spans="1:5" x14ac:dyDescent="0.25">
      <c r="A3796" t="str">
        <f>HYPERLINK("https://www.773grp.com/globalSearch/CVMEH22501AIDGVREP/page-1", "CVMEH22501AIDGVREP")</f>
        <v>CVMEH22501AIDGVREP</v>
      </c>
      <c r="B3796" s="3" t="s">
        <v>90</v>
      </c>
      <c r="C3796" s="5">
        <v>1600</v>
      </c>
      <c r="D3796" s="6">
        <v>7.31</v>
      </c>
      <c r="E3796" t="s">
        <v>12</v>
      </c>
    </row>
    <row r="3797" spans="1:5" x14ac:dyDescent="0.25">
      <c r="A3797" t="str">
        <f>HYPERLINK("https://www.773grp.com/globalSearch/CY74FCT162245ETPAC/page-1", "CY74FCT162245ETPAC")</f>
        <v>CY74FCT162245ETPAC</v>
      </c>
      <c r="B3797" s="3" t="s">
        <v>90</v>
      </c>
      <c r="C3797" s="5">
        <v>2287</v>
      </c>
      <c r="D3797" s="6">
        <v>7.31</v>
      </c>
      <c r="E3797" t="s">
        <v>12</v>
      </c>
    </row>
    <row r="3798" spans="1:5" x14ac:dyDescent="0.25">
      <c r="A3798" t="str">
        <f>HYPERLINK("https://www.773grp.com/globalSearch/CY74FCT162374ETPAC/page-1", "CY74FCT162374ETPAC")</f>
        <v>CY74FCT162374ETPAC</v>
      </c>
      <c r="B3798" s="3" t="s">
        <v>90</v>
      </c>
      <c r="C3798" s="5">
        <v>6400</v>
      </c>
      <c r="D3798" s="6">
        <v>7.31</v>
      </c>
      <c r="E3798" t="s">
        <v>12</v>
      </c>
    </row>
    <row r="3799" spans="1:5" x14ac:dyDescent="0.25">
      <c r="A3799" t="str">
        <f>HYPERLINK("https://www.773grp.com/globalSearch/CY74FCT16244ETPVC/page-1", "CY74FCT16244ETPVC")</f>
        <v>CY74FCT16244ETPVC</v>
      </c>
      <c r="B3799" s="3" t="s">
        <v>90</v>
      </c>
      <c r="C3799" s="5">
        <v>14706</v>
      </c>
      <c r="D3799" s="6">
        <v>7.31</v>
      </c>
      <c r="E3799" t="s">
        <v>12</v>
      </c>
    </row>
    <row r="3800" spans="1:5" x14ac:dyDescent="0.25">
      <c r="A3800" t="str">
        <f>HYPERLINK("https://www.773grp.com/globalSearch/CY74FCT16373ETPAC/page-1", "CY74FCT16373ETPAC")</f>
        <v>CY74FCT16373ETPAC</v>
      </c>
      <c r="B3800" s="3" t="s">
        <v>90</v>
      </c>
      <c r="C3800" s="5">
        <v>1127</v>
      </c>
      <c r="D3800" s="6">
        <v>7.31</v>
      </c>
      <c r="E3800" t="s">
        <v>12</v>
      </c>
    </row>
    <row r="3801" spans="1:5" x14ac:dyDescent="0.25">
      <c r="A3801" t="str">
        <f>HYPERLINK("https://www.773grp.com/globalSearch/CY74FCT16374ETPAC/page-1", "CY74FCT16374ETPAC")</f>
        <v>CY74FCT16374ETPAC</v>
      </c>
      <c r="B3801" s="3" t="s">
        <v>90</v>
      </c>
      <c r="C3801" s="5">
        <v>7741</v>
      </c>
      <c r="D3801" s="6">
        <v>7.31</v>
      </c>
      <c r="E3801" t="s">
        <v>12</v>
      </c>
    </row>
    <row r="3802" spans="1:5" x14ac:dyDescent="0.25">
      <c r="A3802" t="str">
        <f>HYPERLINK("https://www.773grp.com/globalSearch/SN74AS534DWR/page-1", "SN74AS534DWR")</f>
        <v>SN74AS534DWR</v>
      </c>
      <c r="B3802" s="3" t="s">
        <v>90</v>
      </c>
      <c r="C3802" s="5">
        <v>2000</v>
      </c>
      <c r="D3802" s="6">
        <v>7.31</v>
      </c>
      <c r="E3802" t="s">
        <v>12</v>
      </c>
    </row>
    <row r="3803" spans="1:5" x14ac:dyDescent="0.25">
      <c r="A3803" t="str">
        <f>HYPERLINK("https://www.773grp.com/globalSearch/SN74AVCB164245GR/page-1", "SN74AVCB164245GR")</f>
        <v>SN74AVCB164245GR</v>
      </c>
      <c r="B3803" s="3" t="s">
        <v>90</v>
      </c>
      <c r="C3803" s="5">
        <v>9947</v>
      </c>
      <c r="D3803" s="6">
        <v>7.31</v>
      </c>
      <c r="E3803" t="s">
        <v>12</v>
      </c>
    </row>
    <row r="3804" spans="1:5" x14ac:dyDescent="0.25">
      <c r="A3804" t="str">
        <f>HYPERLINK("https://www.773grp.com/globalSearch/SN74AVCH24T245GRGR/page-1", "SN74AVCH24T245GRGR")</f>
        <v>SN74AVCH24T245GRGR</v>
      </c>
      <c r="B3804" s="3" t="s">
        <v>90</v>
      </c>
      <c r="C3804" s="5">
        <v>7000</v>
      </c>
      <c r="D3804" s="6">
        <v>7.31</v>
      </c>
      <c r="E3804" t="s">
        <v>12</v>
      </c>
    </row>
    <row r="3805" spans="1:5" x14ac:dyDescent="0.25">
      <c r="A3805" t="str">
        <f>HYPERLINK("https://www.773grp.com/globalSearch/SN54368AJ/page-1", "SN54368AJ")</f>
        <v>SN54368AJ</v>
      </c>
      <c r="B3805" s="3" t="s">
        <v>90</v>
      </c>
      <c r="C3805" s="5">
        <v>116</v>
      </c>
      <c r="D3805" s="6">
        <v>7.38</v>
      </c>
      <c r="E3805" t="s">
        <v>12</v>
      </c>
    </row>
    <row r="3806" spans="1:5" x14ac:dyDescent="0.25">
      <c r="A3806" t="str">
        <f>HYPERLINK("https://www.773grp.com/globalSearch/CD54HC245F/page-1", "CD54HC245F")</f>
        <v>CD54HC245F</v>
      </c>
      <c r="B3806" s="3" t="s">
        <v>90</v>
      </c>
      <c r="C3806" s="5">
        <v>19</v>
      </c>
      <c r="D3806" s="6">
        <v>7.39</v>
      </c>
      <c r="E3806" t="s">
        <v>12</v>
      </c>
    </row>
    <row r="3807" spans="1:5" x14ac:dyDescent="0.25">
      <c r="A3807" t="str">
        <f>HYPERLINK("https://www.773grp.com/globalSearch/74ACT16540DL/page-1", "74ACT16540DL")</f>
        <v>74ACT16540DL</v>
      </c>
      <c r="B3807" s="3" t="s">
        <v>90</v>
      </c>
      <c r="C3807" s="5">
        <v>1700</v>
      </c>
      <c r="D3807" s="6">
        <v>7.43</v>
      </c>
      <c r="E3807" t="s">
        <v>12</v>
      </c>
    </row>
    <row r="3808" spans="1:5" x14ac:dyDescent="0.25">
      <c r="A3808" t="str">
        <f>HYPERLINK("https://www.773grp.com/globalSearch/74ACT16540DLR/page-1", "74ACT16540DLR")</f>
        <v>74ACT16540DLR</v>
      </c>
      <c r="B3808" s="3" t="s">
        <v>90</v>
      </c>
      <c r="C3808" s="5">
        <v>626</v>
      </c>
      <c r="D3808" s="6">
        <v>7.43</v>
      </c>
      <c r="E3808" t="s">
        <v>12</v>
      </c>
    </row>
    <row r="3809" spans="1:5" x14ac:dyDescent="0.25">
      <c r="A3809" t="str">
        <f>HYPERLINK("https://www.773grp.com/globalSearch/SN74ALS621A-1DW/page-1", "SN74ALS621A-1DW")</f>
        <v>SN74ALS621A-1DW</v>
      </c>
      <c r="B3809" s="3" t="s">
        <v>90</v>
      </c>
      <c r="C3809" s="5">
        <v>5370</v>
      </c>
      <c r="D3809" s="6">
        <v>7.43</v>
      </c>
      <c r="E3809" t="s">
        <v>12</v>
      </c>
    </row>
    <row r="3810" spans="1:5" x14ac:dyDescent="0.25">
      <c r="A3810" t="str">
        <f>HYPERLINK("https://www.773grp.com/globalSearch/SN74ALS641A-1DW/page-1", "SN74ALS641A-1DW")</f>
        <v>SN74ALS641A-1DW</v>
      </c>
      <c r="B3810" s="3" t="s">
        <v>90</v>
      </c>
      <c r="C3810" s="5">
        <v>485</v>
      </c>
      <c r="D3810" s="6">
        <v>7.43</v>
      </c>
      <c r="E3810" t="s">
        <v>12</v>
      </c>
    </row>
    <row r="3811" spans="1:5" x14ac:dyDescent="0.25">
      <c r="A3811" t="str">
        <f>HYPERLINK("https://www.773grp.com/globalSearch/SN74ALVC162836DGGR/page-1", "SN74ALVC162836DGGR")</f>
        <v>SN74ALVC162836DGGR</v>
      </c>
      <c r="B3811" s="3" t="s">
        <v>90</v>
      </c>
      <c r="C3811" s="5">
        <v>14000</v>
      </c>
      <c r="D3811" s="6">
        <v>7.43</v>
      </c>
      <c r="E3811" t="s">
        <v>12</v>
      </c>
    </row>
    <row r="3812" spans="1:5" x14ac:dyDescent="0.25">
      <c r="A3812" t="str">
        <f>HYPERLINK("https://www.773grp.com/globalSearch/SN74ALVCH162721DL/page-1", "SN74ALVCH162721DL")</f>
        <v>SN74ALVCH162721DL</v>
      </c>
      <c r="B3812" s="3" t="s">
        <v>90</v>
      </c>
      <c r="C3812" s="5">
        <v>10051</v>
      </c>
      <c r="D3812" s="6">
        <v>7.43</v>
      </c>
      <c r="E3812" t="s">
        <v>12</v>
      </c>
    </row>
    <row r="3813" spans="1:5" x14ac:dyDescent="0.25">
      <c r="A3813" t="str">
        <f>HYPERLINK("https://www.773grp.com/globalSearch/SN74ALVCH16841DLR/page-1", "SN74ALVCH16841DLR")</f>
        <v>SN74ALVCH16841DLR</v>
      </c>
      <c r="B3813" s="3" t="s">
        <v>90</v>
      </c>
      <c r="C3813" s="5">
        <v>3000</v>
      </c>
      <c r="D3813" s="6">
        <v>7.43</v>
      </c>
      <c r="E3813" t="s">
        <v>12</v>
      </c>
    </row>
    <row r="3814" spans="1:5" x14ac:dyDescent="0.25">
      <c r="A3814" t="str">
        <f>HYPERLINK("https://www.773grp.com/globalSearch/SN74ALVCH16863DLR/page-1", "SN74ALVCH16863DLR")</f>
        <v>SN74ALVCH16863DLR</v>
      </c>
      <c r="B3814" s="3" t="s">
        <v>90</v>
      </c>
      <c r="C3814" s="5">
        <v>8500</v>
      </c>
      <c r="D3814" s="6">
        <v>7.43</v>
      </c>
      <c r="E3814" t="s">
        <v>12</v>
      </c>
    </row>
    <row r="3815" spans="1:5" x14ac:dyDescent="0.25">
      <c r="A3815" t="str">
        <f>HYPERLINK("https://www.773grp.com/globalSearch/SN74BCT623N/page-1", "SN74BCT623N")</f>
        <v>SN74BCT623N</v>
      </c>
      <c r="B3815" s="3" t="s">
        <v>90</v>
      </c>
      <c r="C3815" s="5">
        <v>5953</v>
      </c>
      <c r="D3815" s="6">
        <v>7.43</v>
      </c>
      <c r="E3815" t="s">
        <v>12</v>
      </c>
    </row>
    <row r="3816" spans="1:5" x14ac:dyDescent="0.25">
      <c r="A3816" t="str">
        <f>HYPERLINK("https://www.773grp.com/globalSearch/SN74BCT623NSR/page-1", "SN74BCT623NSR")</f>
        <v>SN74BCT623NSR</v>
      </c>
      <c r="B3816" s="3" t="s">
        <v>90</v>
      </c>
      <c r="C3816" s="5">
        <v>98</v>
      </c>
      <c r="D3816" s="6">
        <v>7.43</v>
      </c>
      <c r="E3816" t="s">
        <v>12</v>
      </c>
    </row>
    <row r="3817" spans="1:5" x14ac:dyDescent="0.25">
      <c r="A3817" t="str">
        <f>HYPERLINK("https://www.773grp.com/globalSearch/SN74BCT640N/page-1", "SN74BCT640N")</f>
        <v>SN74BCT640N</v>
      </c>
      <c r="B3817" s="3" t="s">
        <v>90</v>
      </c>
      <c r="C3817" s="5">
        <v>1370</v>
      </c>
      <c r="D3817" s="6">
        <v>7.43</v>
      </c>
      <c r="E3817" t="s">
        <v>12</v>
      </c>
    </row>
    <row r="3818" spans="1:5" x14ac:dyDescent="0.25">
      <c r="A3818" t="str">
        <f>HYPERLINK("https://www.773grp.com/globalSearch/SN74HCT563N/page-1", "SN74HCT563N")</f>
        <v>SN74HCT563N</v>
      </c>
      <c r="B3818" s="3" t="s">
        <v>90</v>
      </c>
      <c r="C3818" s="5">
        <v>2127</v>
      </c>
      <c r="D3818" s="6">
        <v>7.48</v>
      </c>
      <c r="E3818" t="s">
        <v>12</v>
      </c>
    </row>
    <row r="3819" spans="1:5" x14ac:dyDescent="0.25">
      <c r="A3819" t="str">
        <f>HYPERLINK("https://www.773grp.com/globalSearch/CY74FCT16244ETPVCT/page-1", "CY74FCT16244ETPVCT")</f>
        <v>CY74FCT16244ETPVCT</v>
      </c>
      <c r="B3819" s="3" t="s">
        <v>90</v>
      </c>
      <c r="C3819" s="5">
        <v>6000</v>
      </c>
      <c r="D3819" s="6">
        <v>7.51</v>
      </c>
      <c r="E3819" t="s">
        <v>12</v>
      </c>
    </row>
    <row r="3820" spans="1:5" x14ac:dyDescent="0.25">
      <c r="A3820" t="str">
        <f>HYPERLINK("https://www.773grp.com/globalSearch/CY74FCT16373ETPVCT/page-1", "CY74FCT16373ETPVCT")</f>
        <v>CY74FCT16373ETPVCT</v>
      </c>
      <c r="B3820" s="3" t="s">
        <v>90</v>
      </c>
      <c r="C3820" s="5">
        <v>7870</v>
      </c>
      <c r="D3820" s="6">
        <v>7.51</v>
      </c>
      <c r="E3820" t="s">
        <v>12</v>
      </c>
    </row>
    <row r="3821" spans="1:5" x14ac:dyDescent="0.25">
      <c r="A3821" t="str">
        <f>HYPERLINK("https://www.773grp.com/globalSearch/74ACT16640DL/page-1", "74ACT16640DL")</f>
        <v>74ACT16640DL</v>
      </c>
      <c r="B3821" s="3" t="s">
        <v>90</v>
      </c>
      <c r="C3821" s="5">
        <v>145</v>
      </c>
      <c r="D3821" s="6">
        <v>7.63</v>
      </c>
      <c r="E3821" t="s">
        <v>12</v>
      </c>
    </row>
    <row r="3822" spans="1:5" x14ac:dyDescent="0.25">
      <c r="A3822" t="str">
        <f>HYPERLINK("https://www.773grp.com/globalSearch/SN54F245J/page-1", "SN54F245J")</f>
        <v>SN54F245J</v>
      </c>
      <c r="B3822" s="3" t="s">
        <v>90</v>
      </c>
      <c r="C3822" s="5">
        <v>125</v>
      </c>
      <c r="D3822" s="6">
        <v>7.63</v>
      </c>
      <c r="E3822" t="s">
        <v>12</v>
      </c>
    </row>
    <row r="3823" spans="1:5" x14ac:dyDescent="0.25">
      <c r="A3823" t="str">
        <f>HYPERLINK("https://www.773grp.com/globalSearch/SN64BCT244DW/page-1", "SN64BCT244DW")</f>
        <v>SN64BCT244DW</v>
      </c>
      <c r="B3823" s="3" t="s">
        <v>90</v>
      </c>
      <c r="C3823" s="5">
        <v>2028</v>
      </c>
      <c r="D3823" s="6">
        <v>7.63</v>
      </c>
      <c r="E3823" t="s">
        <v>12</v>
      </c>
    </row>
    <row r="3824" spans="1:5" x14ac:dyDescent="0.25">
      <c r="A3824" t="str">
        <f>HYPERLINK("https://www.773grp.com/globalSearch/SN64BCT245DW/page-1", "SN64BCT245DW")</f>
        <v>SN64BCT245DW</v>
      </c>
      <c r="B3824" s="3" t="s">
        <v>90</v>
      </c>
      <c r="C3824" s="5">
        <v>4805</v>
      </c>
      <c r="D3824" s="6">
        <v>7.63</v>
      </c>
      <c r="E3824" t="s">
        <v>12</v>
      </c>
    </row>
    <row r="3825" spans="1:5" x14ac:dyDescent="0.25">
      <c r="A3825" t="str">
        <f>HYPERLINK("https://www.773grp.com/globalSearch/SN74ABT5402ADWR/page-1", "SN74ABT5402ADWR")</f>
        <v>SN74ABT5402ADWR</v>
      </c>
      <c r="B3825" s="3" t="s">
        <v>90</v>
      </c>
      <c r="C3825" s="5">
        <v>2992</v>
      </c>
      <c r="D3825" s="6">
        <v>7.63</v>
      </c>
      <c r="E3825" t="s">
        <v>12</v>
      </c>
    </row>
    <row r="3826" spans="1:5" x14ac:dyDescent="0.25">
      <c r="A3826" t="str">
        <f>HYPERLINK("https://www.773grp.com/globalSearch/SN74ABT853DWR/page-1", "SN74ABT853DWR")</f>
        <v>SN74ABT853DWR</v>
      </c>
      <c r="B3826" s="3" t="s">
        <v>90</v>
      </c>
      <c r="C3826" s="5">
        <v>1000</v>
      </c>
      <c r="D3826" s="6">
        <v>7.63</v>
      </c>
      <c r="E3826" t="s">
        <v>12</v>
      </c>
    </row>
    <row r="3827" spans="1:5" x14ac:dyDescent="0.25">
      <c r="A3827" t="str">
        <f>HYPERLINK("https://www.773grp.com/globalSearch/SN74ALS1245ADW/page-1", "SN74ALS1245ADW")</f>
        <v>SN74ALS1245ADW</v>
      </c>
      <c r="B3827" s="3" t="s">
        <v>90</v>
      </c>
      <c r="C3827" s="5">
        <v>2273</v>
      </c>
      <c r="D3827" s="6">
        <v>7.63</v>
      </c>
      <c r="E3827" t="s">
        <v>12</v>
      </c>
    </row>
    <row r="3828" spans="1:5" x14ac:dyDescent="0.25">
      <c r="A3828" t="str">
        <f>HYPERLINK("https://www.773grp.com/globalSearch/SN74ALS1245ANSR/page-1", "SN74ALS1245ANSR")</f>
        <v>SN74ALS1245ANSR</v>
      </c>
      <c r="B3828" s="3" t="s">
        <v>90</v>
      </c>
      <c r="C3828" s="5">
        <v>6000</v>
      </c>
      <c r="D3828" s="6">
        <v>7.63</v>
      </c>
      <c r="E3828" t="s">
        <v>12</v>
      </c>
    </row>
    <row r="3829" spans="1:5" x14ac:dyDescent="0.25">
      <c r="A3829" t="str">
        <f>HYPERLINK("https://www.773grp.com/globalSearch/SN74ALS760DW/page-1", "SN74ALS760DW")</f>
        <v>SN74ALS760DW</v>
      </c>
      <c r="B3829" s="3" t="s">
        <v>90</v>
      </c>
      <c r="C3829" s="5">
        <v>883</v>
      </c>
      <c r="D3829" s="6">
        <v>7.63</v>
      </c>
      <c r="E3829" t="s">
        <v>12</v>
      </c>
    </row>
    <row r="3830" spans="1:5" x14ac:dyDescent="0.25">
      <c r="A3830" t="str">
        <f>HYPERLINK("https://www.773grp.com/globalSearch/SN74ALS874BNT/page-1", "SN74ALS874BNT")</f>
        <v>SN74ALS874BNT</v>
      </c>
      <c r="B3830" s="3" t="s">
        <v>90</v>
      </c>
      <c r="C3830" s="5">
        <v>805</v>
      </c>
      <c r="D3830" s="6">
        <v>7.63</v>
      </c>
      <c r="E3830" t="s">
        <v>12</v>
      </c>
    </row>
    <row r="3831" spans="1:5" x14ac:dyDescent="0.25">
      <c r="A3831" t="str">
        <f>HYPERLINK("https://www.773grp.com/globalSearch/SN74AS645DW/page-1", "SN74AS645DW")</f>
        <v>SN74AS645DW</v>
      </c>
      <c r="B3831" s="3" t="s">
        <v>90</v>
      </c>
      <c r="C3831" s="5">
        <v>6684</v>
      </c>
      <c r="D3831" s="6">
        <v>7.63</v>
      </c>
      <c r="E3831" t="s">
        <v>12</v>
      </c>
    </row>
    <row r="3832" spans="1:5" x14ac:dyDescent="0.25">
      <c r="A3832" t="str">
        <f>HYPERLINK("https://www.773grp.com/globalSearch/SN74AVC16722DGGR/page-1", "SN74AVC16722DGGR")</f>
        <v>SN74AVC16722DGGR</v>
      </c>
      <c r="B3832" s="3" t="s">
        <v>90</v>
      </c>
      <c r="C3832" s="5">
        <v>2719</v>
      </c>
      <c r="D3832" s="6">
        <v>7.63</v>
      </c>
      <c r="E3832" t="s">
        <v>12</v>
      </c>
    </row>
    <row r="3833" spans="1:5" x14ac:dyDescent="0.25">
      <c r="A3833" t="str">
        <f>HYPERLINK("https://www.773grp.com/globalSearch/SN74BCT240DW/page-1", "SN74BCT240DW")</f>
        <v>SN74BCT240DW</v>
      </c>
      <c r="B3833" s="3" t="s">
        <v>90</v>
      </c>
      <c r="C3833" s="5">
        <v>5768</v>
      </c>
      <c r="D3833" s="6">
        <v>7.63</v>
      </c>
      <c r="E3833" t="s">
        <v>12</v>
      </c>
    </row>
    <row r="3834" spans="1:5" x14ac:dyDescent="0.25">
      <c r="A3834" t="str">
        <f>HYPERLINK("https://www.773grp.com/globalSearch/SN74BCT245PW/page-1", "SN74BCT245PW")</f>
        <v>SN74BCT245PW</v>
      </c>
      <c r="B3834" s="3" t="s">
        <v>90</v>
      </c>
      <c r="C3834" s="5">
        <v>630</v>
      </c>
      <c r="D3834" s="6">
        <v>7.63</v>
      </c>
      <c r="E3834" t="s">
        <v>12</v>
      </c>
    </row>
    <row r="3835" spans="1:5" x14ac:dyDescent="0.25">
      <c r="A3835" t="str">
        <f>HYPERLINK("https://www.773grp.com/globalSearch/SN74BCT373DW/page-1", "SN74BCT373DW")</f>
        <v>SN74BCT373DW</v>
      </c>
      <c r="B3835" s="3" t="s">
        <v>90</v>
      </c>
      <c r="C3835" s="5">
        <v>6091</v>
      </c>
      <c r="D3835" s="6">
        <v>7.63</v>
      </c>
      <c r="E3835" t="s">
        <v>12</v>
      </c>
    </row>
    <row r="3836" spans="1:5" x14ac:dyDescent="0.25">
      <c r="A3836" t="str">
        <f>HYPERLINK("https://www.773grp.com/globalSearch/SN74BCT573DW/page-1", "SN74BCT573DW")</f>
        <v>SN74BCT573DW</v>
      </c>
      <c r="B3836" s="3" t="s">
        <v>90</v>
      </c>
      <c r="C3836" s="5">
        <v>450</v>
      </c>
      <c r="D3836" s="6">
        <v>7.63</v>
      </c>
      <c r="E3836" t="s">
        <v>12</v>
      </c>
    </row>
    <row r="3837" spans="1:5" x14ac:dyDescent="0.25">
      <c r="A3837" t="str">
        <f>HYPERLINK("https://www.773grp.com/globalSearch/SN74BCT574DW/page-1", "SN74BCT574DW")</f>
        <v>SN74BCT574DW</v>
      </c>
      <c r="B3837" s="3" t="s">
        <v>90</v>
      </c>
      <c r="C3837" s="5">
        <v>350</v>
      </c>
      <c r="D3837" s="6">
        <v>7.63</v>
      </c>
      <c r="E3837" t="s">
        <v>12</v>
      </c>
    </row>
    <row r="3838" spans="1:5" x14ac:dyDescent="0.25">
      <c r="A3838" t="str">
        <f>HYPERLINK("https://www.773grp.com/globalSearch/SN74ABT162825DL/page-1", "SN74ABT162825DL")</f>
        <v>SN74ABT162825DL</v>
      </c>
      <c r="B3838" s="3" t="s">
        <v>90</v>
      </c>
      <c r="C3838" s="5">
        <v>10011</v>
      </c>
      <c r="D3838" s="6">
        <v>7.68</v>
      </c>
      <c r="E3838" t="s">
        <v>12</v>
      </c>
    </row>
    <row r="3839" spans="1:5" x14ac:dyDescent="0.25">
      <c r="A3839" t="str">
        <f>HYPERLINK("https://www.773grp.com/globalSearch/SN74ABT162825DLR/page-1", "SN74ABT162825DLR")</f>
        <v>SN74ABT162825DLR</v>
      </c>
      <c r="B3839" s="3" t="s">
        <v>90</v>
      </c>
      <c r="C3839" s="5">
        <v>5000</v>
      </c>
      <c r="D3839" s="6">
        <v>7.68</v>
      </c>
      <c r="E3839" t="s">
        <v>12</v>
      </c>
    </row>
    <row r="3840" spans="1:5" x14ac:dyDescent="0.25">
      <c r="A3840" t="str">
        <f>HYPERLINK("https://www.773grp.com/globalSearch/74FCT162H952ATPACT/page-1", "74FCT162H952ATPACT")</f>
        <v>74FCT162H952ATPACT</v>
      </c>
      <c r="B3840" s="3" t="s">
        <v>90</v>
      </c>
      <c r="C3840" s="5">
        <v>1000</v>
      </c>
      <c r="D3840" s="6">
        <v>7.71</v>
      </c>
      <c r="E3840" t="s">
        <v>12</v>
      </c>
    </row>
    <row r="3841" spans="1:5" x14ac:dyDescent="0.25">
      <c r="A3841" t="str">
        <f>HYPERLINK("https://www.773grp.com/globalSearch/CD54HC125F/page-1", "CD54HC125F")</f>
        <v>CD54HC125F</v>
      </c>
      <c r="B3841" s="3" t="s">
        <v>90</v>
      </c>
      <c r="C3841" s="5">
        <v>402</v>
      </c>
      <c r="D3841" s="6">
        <v>7.81</v>
      </c>
      <c r="E3841" t="s">
        <v>12</v>
      </c>
    </row>
    <row r="3842" spans="1:5" x14ac:dyDescent="0.25">
      <c r="A3842" t="str">
        <f>HYPERLINK("https://www.773grp.com/globalSearch/SN74ALS644A-1DW/page-1", "SN74ALS644A-1DW")</f>
        <v>SN74ALS644A-1DW</v>
      </c>
      <c r="B3842" s="3" t="s">
        <v>90</v>
      </c>
      <c r="C3842" s="5">
        <v>298</v>
      </c>
      <c r="D3842" s="6">
        <v>7.81</v>
      </c>
      <c r="E3842" t="s">
        <v>12</v>
      </c>
    </row>
    <row r="3843" spans="1:5" x14ac:dyDescent="0.25">
      <c r="A3843" t="str">
        <f>HYPERLINK("https://www.773grp.com/globalSearch/CY74FCT162646CTPVC/page-1", "CY74FCT162646CTPVC")</f>
        <v>CY74FCT162646CTPVC</v>
      </c>
      <c r="B3843" s="3" t="s">
        <v>90</v>
      </c>
      <c r="C3843" s="5">
        <v>9537</v>
      </c>
      <c r="D3843" s="6">
        <v>7.85</v>
      </c>
      <c r="E3843" t="s">
        <v>12</v>
      </c>
    </row>
    <row r="3844" spans="1:5" x14ac:dyDescent="0.25">
      <c r="A3844" t="str">
        <f>HYPERLINK("https://www.773grp.com/globalSearch/SN74ABT16501DL/page-1", "SN74ABT16501DL")</f>
        <v>SN74ABT16501DL</v>
      </c>
      <c r="B3844" s="3" t="s">
        <v>90</v>
      </c>
      <c r="C3844" s="5">
        <v>4213</v>
      </c>
      <c r="D3844" s="6">
        <v>7.85</v>
      </c>
      <c r="E3844" t="s">
        <v>12</v>
      </c>
    </row>
    <row r="3845" spans="1:5" x14ac:dyDescent="0.25">
      <c r="A3845" t="str">
        <f>HYPERLINK("https://www.773grp.com/globalSearch/SN74ABT16821DL/page-1", "SN74ABT16821DL")</f>
        <v>SN74ABT16821DL</v>
      </c>
      <c r="B3845" s="3" t="s">
        <v>90</v>
      </c>
      <c r="C3845" s="5">
        <v>6383</v>
      </c>
      <c r="D3845" s="6">
        <v>7.85</v>
      </c>
      <c r="E3845" t="s">
        <v>12</v>
      </c>
    </row>
    <row r="3846" spans="1:5" x14ac:dyDescent="0.25">
      <c r="A3846" t="str">
        <f>HYPERLINK("https://www.773grp.com/globalSearch/SN74ABT25245DW/page-1", "SN74ABT25245DW")</f>
        <v>SN74ABT25245DW</v>
      </c>
      <c r="B3846" s="3" t="s">
        <v>90</v>
      </c>
      <c r="C3846" s="5">
        <v>1667</v>
      </c>
      <c r="D3846" s="6">
        <v>7.85</v>
      </c>
      <c r="E3846" t="s">
        <v>12</v>
      </c>
    </row>
    <row r="3847" spans="1:5" x14ac:dyDescent="0.25">
      <c r="A3847" t="str">
        <f>HYPERLINK("https://www.773grp.com/globalSearch/SN74ABT25245NT/page-1", "SN74ABT25245NT")</f>
        <v>SN74ABT25245NT</v>
      </c>
      <c r="B3847" s="3" t="s">
        <v>90</v>
      </c>
      <c r="C3847" s="5">
        <v>1931</v>
      </c>
      <c r="D3847" s="6">
        <v>7.85</v>
      </c>
      <c r="E3847" t="s">
        <v>12</v>
      </c>
    </row>
    <row r="3848" spans="1:5" x14ac:dyDescent="0.25">
      <c r="A3848" t="str">
        <f>HYPERLINK("https://www.773grp.com/globalSearch/SN74ALS874BDW/page-1", "SN74ALS874BDW")</f>
        <v>SN74ALS874BDW</v>
      </c>
      <c r="B3848" s="3" t="s">
        <v>90</v>
      </c>
      <c r="C3848" s="5">
        <v>2685</v>
      </c>
      <c r="D3848" s="6">
        <v>7.85</v>
      </c>
      <c r="E3848" t="s">
        <v>12</v>
      </c>
    </row>
    <row r="3849" spans="1:5" x14ac:dyDescent="0.25">
      <c r="A3849" t="str">
        <f>HYPERLINK("https://www.773grp.com/globalSearch/SN74ALVCH162836DL/page-1", "SN74ALVCH162836DL")</f>
        <v>SN74ALVCH162836DL</v>
      </c>
      <c r="B3849" s="3" t="s">
        <v>90</v>
      </c>
      <c r="C3849" s="5">
        <v>14341</v>
      </c>
      <c r="D3849" s="6">
        <v>7.85</v>
      </c>
      <c r="E3849" t="s">
        <v>12</v>
      </c>
    </row>
    <row r="3850" spans="1:5" x14ac:dyDescent="0.25">
      <c r="A3850" t="str">
        <f>HYPERLINK("https://www.773grp.com/globalSearch/SN74ALVTH16601DL/page-1", "SN74ALVTH16601DL")</f>
        <v>SN74ALVTH16601DL</v>
      </c>
      <c r="B3850" s="3" t="s">
        <v>90</v>
      </c>
      <c r="C3850" s="5">
        <v>2780</v>
      </c>
      <c r="D3850" s="6">
        <v>7.85</v>
      </c>
      <c r="E3850" t="s">
        <v>12</v>
      </c>
    </row>
    <row r="3851" spans="1:5" x14ac:dyDescent="0.25">
      <c r="A3851" t="str">
        <f>HYPERLINK("https://www.773grp.com/globalSearch/SN74ALVTH16821DL/page-1", "SN74ALVTH16821DL")</f>
        <v>SN74ALVTH16821DL</v>
      </c>
      <c r="B3851" s="3" t="s">
        <v>90</v>
      </c>
      <c r="C3851" s="5">
        <v>9590</v>
      </c>
      <c r="D3851" s="6">
        <v>7.85</v>
      </c>
      <c r="E3851" t="s">
        <v>12</v>
      </c>
    </row>
    <row r="3852" spans="1:5" x14ac:dyDescent="0.25">
      <c r="A3852" t="str">
        <f>HYPERLINK("https://www.773grp.com/globalSearch/SN74ALVTH16827DL/page-1", "SN74ALVTH16827DL")</f>
        <v>SN74ALVTH16827DL</v>
      </c>
      <c r="B3852" s="3" t="s">
        <v>90</v>
      </c>
      <c r="C3852" s="5">
        <v>3757</v>
      </c>
      <c r="D3852" s="6">
        <v>7.85</v>
      </c>
      <c r="E3852" t="s">
        <v>12</v>
      </c>
    </row>
    <row r="3853" spans="1:5" x14ac:dyDescent="0.25">
      <c r="A3853" t="str">
        <f>HYPERLINK("https://www.773grp.com/globalSearch/SN74BCT2244DW/page-1", "SN74BCT2244DW")</f>
        <v>SN74BCT2244DW</v>
      </c>
      <c r="B3853" s="3" t="s">
        <v>90</v>
      </c>
      <c r="C3853" s="5">
        <v>3460</v>
      </c>
      <c r="D3853" s="6">
        <v>7.85</v>
      </c>
      <c r="E3853" t="s">
        <v>12</v>
      </c>
    </row>
    <row r="3854" spans="1:5" x14ac:dyDescent="0.25">
      <c r="A3854" t="str">
        <f>HYPERLINK("https://www.773grp.com/globalSearch/SN74BCT2245DW/page-1", "SN74BCT2245DW")</f>
        <v>SN74BCT2245DW</v>
      </c>
      <c r="B3854" s="3" t="s">
        <v>90</v>
      </c>
      <c r="C3854" s="5">
        <v>2105</v>
      </c>
      <c r="D3854" s="6">
        <v>7.85</v>
      </c>
      <c r="E3854" t="s">
        <v>12</v>
      </c>
    </row>
    <row r="3855" spans="1:5" x14ac:dyDescent="0.25">
      <c r="A3855" t="str">
        <f>HYPERLINK("https://www.773grp.com/globalSearch/SN74CBTS16211DL/page-1", "SN74CBTS16211DL")</f>
        <v>SN74CBTS16211DL</v>
      </c>
      <c r="B3855" s="3" t="s">
        <v>90</v>
      </c>
      <c r="C3855" s="5">
        <v>3030</v>
      </c>
      <c r="D3855" s="6">
        <v>7.85</v>
      </c>
      <c r="E3855" t="s">
        <v>12</v>
      </c>
    </row>
    <row r="3856" spans="1:5" x14ac:dyDescent="0.25">
      <c r="A3856" t="str">
        <f>HYPERLINK("https://www.773grp.com/globalSearch/SN74CBTS16212DL/page-1", "SN74CBTS16212DL")</f>
        <v>SN74CBTS16212DL</v>
      </c>
      <c r="B3856" s="3" t="s">
        <v>90</v>
      </c>
      <c r="C3856" s="5">
        <v>8626</v>
      </c>
      <c r="D3856" s="6">
        <v>7.85</v>
      </c>
      <c r="E3856" t="s">
        <v>12</v>
      </c>
    </row>
    <row r="3857" spans="1:5" x14ac:dyDescent="0.25">
      <c r="A3857" t="str">
        <f>HYPERLINK("https://www.773grp.com/globalSearch/CY74FCT162501ETPAC/page-1", "CY74FCT162501ETPAC")</f>
        <v>CY74FCT162501ETPAC</v>
      </c>
      <c r="B3857" s="3" t="s">
        <v>90</v>
      </c>
      <c r="C3857" s="5">
        <v>6002</v>
      </c>
      <c r="D3857" s="6">
        <v>7.9</v>
      </c>
      <c r="E3857" t="s">
        <v>12</v>
      </c>
    </row>
    <row r="3858" spans="1:5" x14ac:dyDescent="0.25">
      <c r="A3858" t="str">
        <f>HYPERLINK("https://www.773grp.com/globalSearch/CY74FCT162543ETPVC/page-1", "CY74FCT162543ETPVC")</f>
        <v>CY74FCT162543ETPVC</v>
      </c>
      <c r="B3858" s="3" t="s">
        <v>90</v>
      </c>
      <c r="C3858" s="5">
        <v>3</v>
      </c>
      <c r="D3858" s="6">
        <v>7.9</v>
      </c>
      <c r="E3858" t="s">
        <v>12</v>
      </c>
    </row>
    <row r="3859" spans="1:5" x14ac:dyDescent="0.25">
      <c r="A3859" t="str">
        <f>HYPERLINK("https://www.773grp.com/globalSearch/CY74FCT162827ETPAC/page-1", "CY74FCT162827ETPAC")</f>
        <v>CY74FCT162827ETPAC</v>
      </c>
      <c r="B3859" s="3" t="s">
        <v>90</v>
      </c>
      <c r="C3859" s="5">
        <v>1291</v>
      </c>
      <c r="D3859" s="6">
        <v>7.9</v>
      </c>
      <c r="E3859" t="s">
        <v>12</v>
      </c>
    </row>
    <row r="3860" spans="1:5" x14ac:dyDescent="0.25">
      <c r="A3860" t="str">
        <f>HYPERLINK("https://www.773grp.com/globalSearch/CY74FCT16501ETPAC/page-1", "CY74FCT16501ETPAC")</f>
        <v>CY74FCT16501ETPAC</v>
      </c>
      <c r="B3860" s="3" t="s">
        <v>90</v>
      </c>
      <c r="C3860" s="5">
        <v>2940</v>
      </c>
      <c r="D3860" s="6">
        <v>7.9</v>
      </c>
      <c r="E3860" t="s">
        <v>12</v>
      </c>
    </row>
    <row r="3861" spans="1:5" x14ac:dyDescent="0.25">
      <c r="A3861" t="str">
        <f>HYPERLINK("https://www.773grp.com/globalSearch/CY74FCT16543ETPVC/page-1", "CY74FCT16543ETPVC")</f>
        <v>CY74FCT16543ETPVC</v>
      </c>
      <c r="B3861" s="3" t="s">
        <v>90</v>
      </c>
      <c r="C3861" s="5">
        <v>4957</v>
      </c>
      <c r="D3861" s="6">
        <v>7.9</v>
      </c>
      <c r="E3861" t="s">
        <v>12</v>
      </c>
    </row>
    <row r="3862" spans="1:5" x14ac:dyDescent="0.25">
      <c r="A3862" t="str">
        <f>HYPERLINK("https://www.773grp.com/globalSearch/CY74FCT16646ETPVC/page-1", "CY74FCT16646ETPVC")</f>
        <v>CY74FCT16646ETPVC</v>
      </c>
      <c r="B3862" s="3" t="s">
        <v>90</v>
      </c>
      <c r="C3862" s="5">
        <v>398</v>
      </c>
      <c r="D3862" s="6">
        <v>7.9</v>
      </c>
      <c r="E3862" t="s">
        <v>12</v>
      </c>
    </row>
    <row r="3863" spans="1:5" x14ac:dyDescent="0.25">
      <c r="A3863" t="str">
        <f>HYPERLINK("https://www.773grp.com/globalSearch/CY74FCT16823ETPAC/page-1", "CY74FCT16823ETPAC")</f>
        <v>CY74FCT16823ETPAC</v>
      </c>
      <c r="B3863" s="3" t="s">
        <v>90</v>
      </c>
      <c r="C3863" s="5">
        <v>3235</v>
      </c>
      <c r="D3863" s="6">
        <v>7.9</v>
      </c>
      <c r="E3863" t="s">
        <v>12</v>
      </c>
    </row>
    <row r="3864" spans="1:5" x14ac:dyDescent="0.25">
      <c r="A3864" t="str">
        <f>HYPERLINK("https://www.773grp.com/globalSearch/CY74FCT16827ETPAC/page-1", "CY74FCT16827ETPAC")</f>
        <v>CY74FCT16827ETPAC</v>
      </c>
      <c r="B3864" s="3" t="s">
        <v>90</v>
      </c>
      <c r="C3864" s="5">
        <v>4823</v>
      </c>
      <c r="D3864" s="6">
        <v>7.9</v>
      </c>
      <c r="E3864" t="s">
        <v>12</v>
      </c>
    </row>
    <row r="3865" spans="1:5" x14ac:dyDescent="0.25">
      <c r="A3865" t="str">
        <f>HYPERLINK("https://www.773grp.com/globalSearch/CY74FCT16952ETPVC/page-1", "CY74FCT16952ETPVC")</f>
        <v>CY74FCT16952ETPVC</v>
      </c>
      <c r="B3865" s="3" t="s">
        <v>90</v>
      </c>
      <c r="C3865" s="5">
        <v>2041</v>
      </c>
      <c r="D3865" s="6">
        <v>7.9</v>
      </c>
      <c r="E3865" t="s">
        <v>12</v>
      </c>
    </row>
    <row r="3866" spans="1:5" x14ac:dyDescent="0.25">
      <c r="A3866" t="str">
        <f>HYPERLINK("https://www.773grp.com/globalSearch/74ACT16241DL/page-1", "74ACT16241DL")</f>
        <v>74ACT16241DL</v>
      </c>
      <c r="B3866" s="3" t="s">
        <v>90</v>
      </c>
      <c r="C3866" s="5">
        <v>33</v>
      </c>
      <c r="D3866" s="6">
        <v>7.96</v>
      </c>
      <c r="E3866" t="s">
        <v>12</v>
      </c>
    </row>
    <row r="3867" spans="1:5" x14ac:dyDescent="0.25">
      <c r="A3867" t="str">
        <f>HYPERLINK("https://www.773grp.com/globalSearch/SN54F373J/page-1", "SN54F373J")</f>
        <v>SN54F373J</v>
      </c>
      <c r="B3867" s="3" t="s">
        <v>90</v>
      </c>
      <c r="C3867" s="5">
        <v>191</v>
      </c>
      <c r="D3867" s="6">
        <v>7.96</v>
      </c>
      <c r="E3867" t="s">
        <v>12</v>
      </c>
    </row>
    <row r="3868" spans="1:5" x14ac:dyDescent="0.25">
      <c r="A3868" t="str">
        <f>HYPERLINK("https://www.773grp.com/globalSearch/SN74ALS1640AN/page-1", "SN74ALS1640AN")</f>
        <v>SN74ALS1640AN</v>
      </c>
      <c r="B3868" s="3" t="s">
        <v>90</v>
      </c>
      <c r="C3868" s="5">
        <v>4276</v>
      </c>
      <c r="D3868" s="6">
        <v>7.96</v>
      </c>
      <c r="E3868" t="s">
        <v>12</v>
      </c>
    </row>
    <row r="3869" spans="1:5" x14ac:dyDescent="0.25">
      <c r="A3869" t="str">
        <f>HYPERLINK("https://www.773grp.com/globalSearch/SN74ALS842DW/page-1", "SN74ALS842DW")</f>
        <v>SN74ALS842DW</v>
      </c>
      <c r="B3869" s="3" t="s">
        <v>90</v>
      </c>
      <c r="C3869" s="5">
        <v>975</v>
      </c>
      <c r="D3869" s="6">
        <v>7.96</v>
      </c>
      <c r="E3869" t="s">
        <v>12</v>
      </c>
    </row>
    <row r="3870" spans="1:5" x14ac:dyDescent="0.25">
      <c r="A3870" t="str">
        <f>HYPERLINK("https://www.773grp.com/globalSearch/SN54F374J/page-1", "SN54F374J")</f>
        <v>SN54F374J</v>
      </c>
      <c r="B3870" s="3" t="s">
        <v>90</v>
      </c>
      <c r="C3870" s="5">
        <v>1562</v>
      </c>
      <c r="D3870" s="6">
        <v>8.01</v>
      </c>
      <c r="E3870" t="s">
        <v>12</v>
      </c>
    </row>
    <row r="3871" spans="1:5" x14ac:dyDescent="0.25">
      <c r="A3871" t="str">
        <f>HYPERLINK("https://www.773grp.com/globalSearch/CY29FCT52CTQCT/page-1", "CY29FCT52CTQCT")</f>
        <v>CY29FCT52CTQCT</v>
      </c>
      <c r="B3871" s="3" t="s">
        <v>90</v>
      </c>
      <c r="C3871" s="5">
        <v>21471</v>
      </c>
      <c r="D3871" s="6">
        <v>8.0500000000000007</v>
      </c>
      <c r="E3871" t="s">
        <v>12</v>
      </c>
    </row>
    <row r="3872" spans="1:5" x14ac:dyDescent="0.25">
      <c r="A3872" t="str">
        <f>HYPERLINK("https://www.773grp.com/globalSearch/SN54F623J/page-1", "SN54F623J")</f>
        <v>SN54F623J</v>
      </c>
      <c r="B3872" s="3" t="s">
        <v>90</v>
      </c>
      <c r="C3872" s="5">
        <v>392</v>
      </c>
      <c r="D3872" s="6">
        <v>8.0500000000000007</v>
      </c>
      <c r="E3872" t="s">
        <v>12</v>
      </c>
    </row>
    <row r="3873" spans="1:5" x14ac:dyDescent="0.25">
      <c r="A3873" t="str">
        <f>HYPERLINK("https://www.773grp.com/globalSearch/SN74ABT162500DL/page-1", "SN74ABT162500DL")</f>
        <v>SN74ABT162500DL</v>
      </c>
      <c r="B3873" s="3" t="s">
        <v>90</v>
      </c>
      <c r="C3873" s="5">
        <v>5172</v>
      </c>
      <c r="D3873" s="6">
        <v>8.0500000000000007</v>
      </c>
      <c r="E3873" t="s">
        <v>12</v>
      </c>
    </row>
    <row r="3874" spans="1:5" x14ac:dyDescent="0.25">
      <c r="A3874" t="str">
        <f>HYPERLINK("https://www.773grp.com/globalSearch/SN74ALS2541DW/page-1", "SN74ALS2541DW")</f>
        <v>SN74ALS2541DW</v>
      </c>
      <c r="B3874" s="3" t="s">
        <v>90</v>
      </c>
      <c r="C3874" s="5">
        <v>1455</v>
      </c>
      <c r="D3874" s="6">
        <v>8.0500000000000007</v>
      </c>
      <c r="E3874" t="s">
        <v>12</v>
      </c>
    </row>
    <row r="3875" spans="1:5" x14ac:dyDescent="0.25">
      <c r="A3875" t="str">
        <f>HYPERLINK("https://www.773grp.com/globalSearch/SN74ALVC16835GQLR/page-1", "SN74ALVC16835GQLR")</f>
        <v>SN74ALVC16835GQLR</v>
      </c>
      <c r="B3875" s="3" t="s">
        <v>90</v>
      </c>
      <c r="C3875" s="5">
        <v>8000</v>
      </c>
      <c r="D3875" s="6">
        <v>8.0500000000000007</v>
      </c>
      <c r="E3875" t="s">
        <v>12</v>
      </c>
    </row>
    <row r="3876" spans="1:5" x14ac:dyDescent="0.25">
      <c r="A3876" t="str">
        <f>HYPERLINK("https://www.773grp.com/globalSearch/SN74ALVCH162334DL/page-1", "SN74ALVCH162334DL")</f>
        <v>SN74ALVCH162334DL</v>
      </c>
      <c r="B3876" s="3" t="s">
        <v>90</v>
      </c>
      <c r="C3876" s="5">
        <v>10724</v>
      </c>
      <c r="D3876" s="6">
        <v>8.0500000000000007</v>
      </c>
      <c r="E3876" t="s">
        <v>12</v>
      </c>
    </row>
    <row r="3877" spans="1:5" x14ac:dyDescent="0.25">
      <c r="A3877" t="str">
        <f>HYPERLINK("https://www.773grp.com/globalSearch/SN74AVC16269DGGR/page-1", "SN74AVC16269DGGR")</f>
        <v>SN74AVC16269DGGR</v>
      </c>
      <c r="B3877" s="3" t="s">
        <v>90</v>
      </c>
      <c r="C3877" s="5">
        <v>2000</v>
      </c>
      <c r="D3877" s="6">
        <v>8.0500000000000007</v>
      </c>
      <c r="E3877" t="s">
        <v>12</v>
      </c>
    </row>
    <row r="3878" spans="1:5" x14ac:dyDescent="0.25">
      <c r="A3878" t="str">
        <f>HYPERLINK("https://www.773grp.com/globalSearch/SN74LVT162244DGGR/page-1", "SN74LVT162244DGGR")</f>
        <v>SN74LVT162244DGGR</v>
      </c>
      <c r="B3878" s="3" t="s">
        <v>90</v>
      </c>
      <c r="C3878" s="5">
        <v>90000</v>
      </c>
      <c r="D3878" s="6">
        <v>8.0500000000000007</v>
      </c>
      <c r="E3878" t="s">
        <v>12</v>
      </c>
    </row>
    <row r="3879" spans="1:5" x14ac:dyDescent="0.25">
      <c r="A3879" t="str">
        <f>HYPERLINK("https://www.773grp.com/globalSearch/SN74LVT16646DLR/page-1", "SN74LVT16646DLR")</f>
        <v>SN74LVT16646DLR</v>
      </c>
      <c r="B3879" s="3" t="s">
        <v>90</v>
      </c>
      <c r="C3879" s="5">
        <v>6500</v>
      </c>
      <c r="D3879" s="6">
        <v>8.0500000000000007</v>
      </c>
      <c r="E3879" t="s">
        <v>12</v>
      </c>
    </row>
    <row r="3880" spans="1:5" x14ac:dyDescent="0.25">
      <c r="A3880" t="str">
        <f>HYPERLINK("https://www.773grp.com/globalSearch/SN74ALVCHR162245DLR/page-1", "SN74ALVCHR162245DLR")</f>
        <v>SN74ALVCHR162245DLR</v>
      </c>
      <c r="B3880" s="3" t="s">
        <v>90</v>
      </c>
      <c r="C3880" s="5">
        <v>1500</v>
      </c>
      <c r="D3880" s="6">
        <v>8.06</v>
      </c>
      <c r="E3880" t="s">
        <v>12</v>
      </c>
    </row>
    <row r="3881" spans="1:5" x14ac:dyDescent="0.25">
      <c r="A3881" t="str">
        <f>HYPERLINK("https://www.773grp.com/globalSearch/74FCT162646ETPVCT/page-1", "74FCT162646ETPVCT")</f>
        <v>74FCT162646ETPVCT</v>
      </c>
      <c r="B3881" s="3" t="s">
        <v>90</v>
      </c>
      <c r="C3881" s="5">
        <v>6000</v>
      </c>
      <c r="D3881" s="6">
        <v>8.14</v>
      </c>
      <c r="E3881" t="s">
        <v>12</v>
      </c>
    </row>
    <row r="3882" spans="1:5" x14ac:dyDescent="0.25">
      <c r="A3882" t="str">
        <f>HYPERLINK("https://www.773grp.com/globalSearch/74FCT162H501ETPVC/page-1", "74FCT162H501ETPVC")</f>
        <v>74FCT162H501ETPVC</v>
      </c>
      <c r="B3882" s="3" t="s">
        <v>90</v>
      </c>
      <c r="C3882" s="5">
        <v>4256</v>
      </c>
      <c r="D3882" s="6">
        <v>8.14</v>
      </c>
      <c r="E3882" t="s">
        <v>12</v>
      </c>
    </row>
    <row r="3883" spans="1:5" x14ac:dyDescent="0.25">
      <c r="A3883" t="str">
        <f>HYPERLINK("https://www.773grp.com/globalSearch/74FCT162H952ETPAC/page-1", "74FCT162H952ETPAC")</f>
        <v>74FCT162H952ETPAC</v>
      </c>
      <c r="B3883" s="3" t="s">
        <v>90</v>
      </c>
      <c r="C3883" s="5">
        <v>10134</v>
      </c>
      <c r="D3883" s="6">
        <v>8.14</v>
      </c>
      <c r="E3883" t="s">
        <v>12</v>
      </c>
    </row>
    <row r="3884" spans="1:5" x14ac:dyDescent="0.25">
      <c r="A3884" t="str">
        <f>HYPERLINK("https://www.773grp.com/globalSearch/74FCT162H952ETPACT/page-1", "74FCT162H952ETPACT")</f>
        <v>74FCT162H952ETPACT</v>
      </c>
      <c r="B3884" s="3" t="s">
        <v>90</v>
      </c>
      <c r="C3884" s="5">
        <v>16000</v>
      </c>
      <c r="D3884" s="6">
        <v>8.14</v>
      </c>
      <c r="E3884" t="s">
        <v>12</v>
      </c>
    </row>
    <row r="3885" spans="1:5" x14ac:dyDescent="0.25">
      <c r="A3885" t="str">
        <f>HYPERLINK("https://www.773grp.com/globalSearch/CD74FCT844AEN/page-1", "CD74FCT844AEN")</f>
        <v>CD74FCT844AEN</v>
      </c>
      <c r="B3885" s="3" t="s">
        <v>90</v>
      </c>
      <c r="C3885" s="5">
        <v>1852</v>
      </c>
      <c r="D3885" s="6">
        <v>8.14</v>
      </c>
      <c r="E3885" t="s">
        <v>12</v>
      </c>
    </row>
    <row r="3886" spans="1:5" x14ac:dyDescent="0.25">
      <c r="A3886" t="str">
        <f>HYPERLINK("https://www.773grp.com/globalSearch/CY74FCT16501ETPACT/page-1", "CY74FCT16501ETPACT")</f>
        <v>CY74FCT16501ETPACT</v>
      </c>
      <c r="B3886" s="3" t="s">
        <v>90</v>
      </c>
      <c r="C3886" s="5">
        <v>6000</v>
      </c>
      <c r="D3886" s="6">
        <v>8.14</v>
      </c>
      <c r="E3886" t="s">
        <v>12</v>
      </c>
    </row>
    <row r="3887" spans="1:5" x14ac:dyDescent="0.25">
      <c r="A3887" t="str">
        <f>HYPERLINK("https://www.773grp.com/globalSearch/CY74FCT16646ETPVCT/page-1", "CY74FCT16646ETPVCT")</f>
        <v>CY74FCT16646ETPVCT</v>
      </c>
      <c r="B3887" s="3" t="s">
        <v>90</v>
      </c>
      <c r="C3887" s="5">
        <v>4000</v>
      </c>
      <c r="D3887" s="6">
        <v>8.14</v>
      </c>
      <c r="E3887" t="s">
        <v>12</v>
      </c>
    </row>
    <row r="3888" spans="1:5" x14ac:dyDescent="0.25">
      <c r="A3888" t="str">
        <f>HYPERLINK("https://www.773grp.com/globalSearch/CY74FCT16823ETPVC/page-1", "CY74FCT16823ETPVC")</f>
        <v>CY74FCT16823ETPVC</v>
      </c>
      <c r="B3888" s="3" t="s">
        <v>90</v>
      </c>
      <c r="C3888" s="5">
        <v>591</v>
      </c>
      <c r="D3888" s="6">
        <v>8.14</v>
      </c>
      <c r="E3888" t="s">
        <v>12</v>
      </c>
    </row>
    <row r="3889" spans="1:5" x14ac:dyDescent="0.25">
      <c r="A3889" t="str">
        <f>HYPERLINK("https://www.773grp.com/globalSearch/CY74FCT16823ETPVCT/page-1", "CY74FCT16823ETPVCT")</f>
        <v>CY74FCT16823ETPVCT</v>
      </c>
      <c r="B3889" s="3" t="s">
        <v>90</v>
      </c>
      <c r="C3889" s="5">
        <v>5000</v>
      </c>
      <c r="D3889" s="6">
        <v>8.14</v>
      </c>
      <c r="E3889" t="s">
        <v>12</v>
      </c>
    </row>
    <row r="3890" spans="1:5" x14ac:dyDescent="0.25">
      <c r="A3890" t="str">
        <f>HYPERLINK("https://www.773grp.com/globalSearch/CY74FCT16827ETPACT/page-1", "CY74FCT16827ETPACT")</f>
        <v>CY74FCT16827ETPACT</v>
      </c>
      <c r="B3890" s="3" t="s">
        <v>90</v>
      </c>
      <c r="C3890" s="5">
        <v>13000</v>
      </c>
      <c r="D3890" s="6">
        <v>8.14</v>
      </c>
      <c r="E3890" t="s">
        <v>12</v>
      </c>
    </row>
    <row r="3891" spans="1:5" x14ac:dyDescent="0.25">
      <c r="A3891" t="str">
        <f>HYPERLINK("https://www.773grp.com/globalSearch/CD74FCT821AEN/page-1", "CD74FCT821AEN")</f>
        <v>CD74FCT821AEN</v>
      </c>
      <c r="B3891" s="3" t="s">
        <v>90</v>
      </c>
      <c r="C3891" s="5">
        <v>1135</v>
      </c>
      <c r="D3891" s="6">
        <v>8.19</v>
      </c>
      <c r="E3891" t="s">
        <v>12</v>
      </c>
    </row>
    <row r="3892" spans="1:5" x14ac:dyDescent="0.25">
      <c r="A3892" t="str">
        <f>HYPERLINK("https://www.773grp.com/globalSearch/CD74FCT821AM/page-1", "CD74FCT821AM")</f>
        <v>CD74FCT821AM</v>
      </c>
      <c r="B3892" s="3" t="s">
        <v>90</v>
      </c>
      <c r="C3892" s="5">
        <v>600</v>
      </c>
      <c r="D3892" s="6">
        <v>8.19</v>
      </c>
      <c r="E3892" t="s">
        <v>12</v>
      </c>
    </row>
    <row r="3893" spans="1:5" x14ac:dyDescent="0.25">
      <c r="A3893" t="str">
        <f>HYPERLINK("https://www.773grp.com/globalSearch/CD74FCT822AEN/page-1", "CD74FCT822AEN")</f>
        <v>CD74FCT822AEN</v>
      </c>
      <c r="B3893" s="3" t="s">
        <v>90</v>
      </c>
      <c r="C3893" s="5">
        <v>2070</v>
      </c>
      <c r="D3893" s="6">
        <v>8.19</v>
      </c>
      <c r="E3893" t="s">
        <v>12</v>
      </c>
    </row>
    <row r="3894" spans="1:5" x14ac:dyDescent="0.25">
      <c r="A3894" t="str">
        <f>HYPERLINK("https://www.773grp.com/globalSearch/CD74FCT824AEN/page-1", "CD74FCT824AEN")</f>
        <v>CD74FCT824AEN</v>
      </c>
      <c r="B3894" s="3" t="s">
        <v>90</v>
      </c>
      <c r="C3894" s="5">
        <v>790</v>
      </c>
      <c r="D3894" s="6">
        <v>8.19</v>
      </c>
      <c r="E3894" t="s">
        <v>12</v>
      </c>
    </row>
    <row r="3895" spans="1:5" x14ac:dyDescent="0.25">
      <c r="A3895" t="str">
        <f>HYPERLINK("https://www.773grp.com/globalSearch/CD74FCT841AM/page-1", "CD74FCT841AM")</f>
        <v>CD74FCT841AM</v>
      </c>
      <c r="B3895" s="3" t="s">
        <v>90</v>
      </c>
      <c r="C3895" s="5">
        <v>48</v>
      </c>
      <c r="D3895" s="6">
        <v>8.19</v>
      </c>
      <c r="E3895" t="s">
        <v>12</v>
      </c>
    </row>
    <row r="3896" spans="1:5" x14ac:dyDescent="0.25">
      <c r="A3896" t="str">
        <f>HYPERLINK("https://www.773grp.com/globalSearch/SN74LVTH32373GKER/page-1", "SN74LVTH32373GKER")</f>
        <v>SN74LVTH32373GKER</v>
      </c>
      <c r="B3896" s="3" t="s">
        <v>90</v>
      </c>
      <c r="C3896" s="5">
        <v>17926</v>
      </c>
      <c r="D3896" s="6">
        <v>8.19</v>
      </c>
      <c r="E3896" t="s">
        <v>12</v>
      </c>
    </row>
    <row r="3897" spans="1:5" x14ac:dyDescent="0.25">
      <c r="A3897" t="str">
        <f>HYPERLINK("https://www.773grp.com/globalSearch/SN74ALS29863FN/page-1", "SN74ALS29863FN")</f>
        <v>SN74ALS29863FN</v>
      </c>
      <c r="B3897" s="3" t="s">
        <v>90</v>
      </c>
      <c r="C3897" s="5">
        <v>829</v>
      </c>
      <c r="D3897" s="6">
        <v>8.24</v>
      </c>
      <c r="E3897" t="s">
        <v>12</v>
      </c>
    </row>
    <row r="3898" spans="1:5" x14ac:dyDescent="0.25">
      <c r="A3898" t="str">
        <f>HYPERLINK("https://www.773grp.com/globalSearch/SN74ALS621A-1N/page-1", "SN74ALS621A-1N")</f>
        <v>SN74ALS621A-1N</v>
      </c>
      <c r="B3898" s="3" t="s">
        <v>90</v>
      </c>
      <c r="C3898" s="5">
        <v>6133</v>
      </c>
      <c r="D3898" s="6">
        <v>8.24</v>
      </c>
      <c r="E3898" t="s">
        <v>12</v>
      </c>
    </row>
    <row r="3899" spans="1:5" x14ac:dyDescent="0.25">
      <c r="A3899" t="str">
        <f>HYPERLINK("https://www.773grp.com/globalSearch/SN74ALS621AN/page-1", "SN74ALS621AN")</f>
        <v>SN74ALS621AN</v>
      </c>
      <c r="B3899" s="3" t="s">
        <v>90</v>
      </c>
      <c r="C3899" s="5">
        <v>253</v>
      </c>
      <c r="D3899" s="6">
        <v>8.24</v>
      </c>
      <c r="E3899" t="s">
        <v>12</v>
      </c>
    </row>
    <row r="3900" spans="1:5" x14ac:dyDescent="0.25">
      <c r="A3900" t="str">
        <f>HYPERLINK("https://www.773grp.com/globalSearch/SN74ALS639ADW/page-1", "SN74ALS639ADW")</f>
        <v>SN74ALS639ADW</v>
      </c>
      <c r="B3900" s="3" t="s">
        <v>90</v>
      </c>
      <c r="C3900" s="5">
        <v>2800</v>
      </c>
      <c r="D3900" s="6">
        <v>8.24</v>
      </c>
      <c r="E3900" t="s">
        <v>12</v>
      </c>
    </row>
    <row r="3901" spans="1:5" x14ac:dyDescent="0.25">
      <c r="A3901" t="str">
        <f>HYPERLINK("https://www.773grp.com/globalSearch/SN74ALVCH16821DL/page-1", "SN74ALVCH16821DL")</f>
        <v>SN74ALVCH16821DL</v>
      </c>
      <c r="B3901" s="3" t="s">
        <v>90</v>
      </c>
      <c r="C3901" s="5">
        <v>9854</v>
      </c>
      <c r="D3901" s="6">
        <v>8.24</v>
      </c>
      <c r="E3901" t="s">
        <v>12</v>
      </c>
    </row>
    <row r="3902" spans="1:5" x14ac:dyDescent="0.25">
      <c r="A3902" t="str">
        <f>HYPERLINK("https://www.773grp.com/globalSearch/SN74LS646NT3/page-1", "SN74LS646NT3")</f>
        <v>SN74LS646NT3</v>
      </c>
      <c r="B3902" s="3" t="s">
        <v>90</v>
      </c>
      <c r="C3902" s="5">
        <v>3258</v>
      </c>
      <c r="D3902" s="6">
        <v>8.24</v>
      </c>
      <c r="E3902" t="s">
        <v>12</v>
      </c>
    </row>
    <row r="3903" spans="1:5" x14ac:dyDescent="0.25">
      <c r="A3903" t="str">
        <f>HYPERLINK("https://www.773grp.com/globalSearch/SN74ALS2240DW/page-1", "SN74ALS2240DW")</f>
        <v>SN74ALS2240DW</v>
      </c>
      <c r="B3903" s="3" t="s">
        <v>90</v>
      </c>
      <c r="C3903" s="5">
        <v>4100</v>
      </c>
      <c r="D3903" s="6">
        <v>8.35</v>
      </c>
      <c r="E3903" t="s">
        <v>12</v>
      </c>
    </row>
    <row r="3904" spans="1:5" x14ac:dyDescent="0.25">
      <c r="A3904" t="str">
        <f>HYPERLINK("https://www.773grp.com/globalSearch/SN74ALS2240N/page-1", "SN74ALS2240N")</f>
        <v>SN74ALS2240N</v>
      </c>
      <c r="B3904" s="3" t="s">
        <v>90</v>
      </c>
      <c r="C3904" s="5">
        <v>2272</v>
      </c>
      <c r="D3904" s="6">
        <v>8.35</v>
      </c>
      <c r="E3904" t="s">
        <v>12</v>
      </c>
    </row>
    <row r="3905" spans="1:5" x14ac:dyDescent="0.25">
      <c r="A3905" t="str">
        <f>HYPERLINK("https://www.773grp.com/globalSearch/SN54F241J/page-1", "SN54F241J")</f>
        <v>SN54F241J</v>
      </c>
      <c r="B3905" s="3" t="s">
        <v>90</v>
      </c>
      <c r="C3905" s="5">
        <v>12</v>
      </c>
      <c r="D3905" s="6">
        <v>8.4</v>
      </c>
      <c r="E3905" t="s">
        <v>12</v>
      </c>
    </row>
    <row r="3906" spans="1:5" x14ac:dyDescent="0.25">
      <c r="A3906" t="str">
        <f>HYPERLINK("https://www.773grp.com/globalSearch/74ACT16646DL/page-1", "74ACT16646DL")</f>
        <v>74ACT16646DL</v>
      </c>
      <c r="B3906" s="3" t="s">
        <v>90</v>
      </c>
      <c r="C3906" s="5">
        <v>8169</v>
      </c>
      <c r="D3906" s="6">
        <v>8.44</v>
      </c>
      <c r="E3906" t="s">
        <v>12</v>
      </c>
    </row>
    <row r="3907" spans="1:5" x14ac:dyDescent="0.25">
      <c r="A3907" t="str">
        <f>HYPERLINK("https://www.773grp.com/globalSearch/74AVCB164245GRDR/page-1", "74AVCB164245GRDR")</f>
        <v>74AVCB164245GRDR</v>
      </c>
      <c r="B3907" s="3" t="s">
        <v>90</v>
      </c>
      <c r="C3907" s="5">
        <v>2844</v>
      </c>
      <c r="D3907" s="6">
        <v>8.44</v>
      </c>
      <c r="E3907" t="s">
        <v>12</v>
      </c>
    </row>
    <row r="3908" spans="1:5" x14ac:dyDescent="0.25">
      <c r="A3908" t="str">
        <f>HYPERLINK("https://www.773grp.com/globalSearch/74AVCB164245ZQLR/page-1", "74AVCB164245ZQLR")</f>
        <v>74AVCB164245ZQLR</v>
      </c>
      <c r="B3908" s="3" t="s">
        <v>90</v>
      </c>
      <c r="C3908" s="5">
        <v>19000</v>
      </c>
      <c r="D3908" s="6">
        <v>8.44</v>
      </c>
      <c r="E3908" t="s">
        <v>12</v>
      </c>
    </row>
    <row r="3909" spans="1:5" x14ac:dyDescent="0.25">
      <c r="A3909" t="str">
        <f>HYPERLINK("https://www.773grp.com/globalSearch/74AVCB164245ZRDR/page-1", "74AVCB164245ZRDR")</f>
        <v>74AVCB164245ZRDR</v>
      </c>
      <c r="B3909" s="3" t="s">
        <v>90</v>
      </c>
      <c r="C3909" s="5">
        <v>6074</v>
      </c>
      <c r="D3909" s="6">
        <v>8.44</v>
      </c>
      <c r="E3909" t="s">
        <v>12</v>
      </c>
    </row>
    <row r="3910" spans="1:5" x14ac:dyDescent="0.25">
      <c r="A3910" t="str">
        <f>HYPERLINK("https://www.773grp.com/globalSearch/CD74FCT541M/page-1", "CD74FCT541M")</f>
        <v>CD74FCT541M</v>
      </c>
      <c r="B3910" s="3" t="s">
        <v>90</v>
      </c>
      <c r="C3910" s="5">
        <v>17044</v>
      </c>
      <c r="D3910" s="6">
        <v>8.44</v>
      </c>
      <c r="E3910" t="s">
        <v>12</v>
      </c>
    </row>
    <row r="3911" spans="1:5" x14ac:dyDescent="0.25">
      <c r="A3911" t="str">
        <f>HYPERLINK("https://www.773grp.com/globalSearch/SN64BCT241DW/page-1", "SN64BCT241DW")</f>
        <v>SN64BCT241DW</v>
      </c>
      <c r="B3911" s="3" t="s">
        <v>90</v>
      </c>
      <c r="C3911" s="5">
        <v>1000</v>
      </c>
      <c r="D3911" s="6">
        <v>8.44</v>
      </c>
      <c r="E3911" t="s">
        <v>12</v>
      </c>
    </row>
    <row r="3912" spans="1:5" x14ac:dyDescent="0.25">
      <c r="A3912" t="str">
        <f>HYPERLINK("https://www.773grp.com/globalSearch/SN64BCT241N/page-1", "SN64BCT241N")</f>
        <v>SN64BCT241N</v>
      </c>
      <c r="B3912" s="3" t="s">
        <v>90</v>
      </c>
      <c r="C3912" s="5">
        <v>3118</v>
      </c>
      <c r="D3912" s="6">
        <v>8.44</v>
      </c>
      <c r="E3912" t="s">
        <v>12</v>
      </c>
    </row>
    <row r="3913" spans="1:5" x14ac:dyDescent="0.25">
      <c r="A3913" t="str">
        <f>HYPERLINK("https://www.773grp.com/globalSearch/SN64BCT373N/page-1", "SN64BCT373N")</f>
        <v>SN64BCT373N</v>
      </c>
      <c r="B3913" s="3" t="s">
        <v>90</v>
      </c>
      <c r="C3913" s="5">
        <v>448</v>
      </c>
      <c r="D3913" s="6">
        <v>8.44</v>
      </c>
      <c r="E3913" t="s">
        <v>12</v>
      </c>
    </row>
    <row r="3914" spans="1:5" x14ac:dyDescent="0.25">
      <c r="A3914" t="str">
        <f>HYPERLINK("https://www.773grp.com/globalSearch/SN74ABT16952DL/page-1", "SN74ABT16952DL")</f>
        <v>SN74ABT16952DL</v>
      </c>
      <c r="B3914" s="3" t="s">
        <v>90</v>
      </c>
      <c r="C3914" s="5">
        <v>6093</v>
      </c>
      <c r="D3914" s="6">
        <v>8.44</v>
      </c>
      <c r="E3914" t="s">
        <v>12</v>
      </c>
    </row>
    <row r="3915" spans="1:5" x14ac:dyDescent="0.25">
      <c r="A3915" t="str">
        <f>HYPERLINK("https://www.773grp.com/globalSearch/SN74ABT543NT/page-1", "SN74ABT543NT")</f>
        <v>SN74ABT543NT</v>
      </c>
      <c r="B3915" s="3" t="s">
        <v>90</v>
      </c>
      <c r="C3915" s="5">
        <v>100</v>
      </c>
      <c r="D3915" s="6">
        <v>8.44</v>
      </c>
      <c r="E3915" t="s">
        <v>12</v>
      </c>
    </row>
    <row r="3916" spans="1:5" x14ac:dyDescent="0.25">
      <c r="A3916" t="str">
        <f>HYPERLINK("https://www.773grp.com/globalSearch/SN74ALS1245AN/page-1", "SN74ALS1245AN")</f>
        <v>SN74ALS1245AN</v>
      </c>
      <c r="B3916" s="3" t="s">
        <v>90</v>
      </c>
      <c r="C3916" s="5">
        <v>3297</v>
      </c>
      <c r="D3916" s="6">
        <v>8.44</v>
      </c>
      <c r="E3916" t="s">
        <v>12</v>
      </c>
    </row>
    <row r="3917" spans="1:5" x14ac:dyDescent="0.25">
      <c r="A3917" t="str">
        <f>HYPERLINK("https://www.773grp.com/globalSearch/SN74AS645N/page-1", "SN74AS645N")</f>
        <v>SN74AS645N</v>
      </c>
      <c r="B3917" s="3" t="s">
        <v>90</v>
      </c>
      <c r="C3917" s="5">
        <v>15794</v>
      </c>
      <c r="D3917" s="6">
        <v>8.44</v>
      </c>
      <c r="E3917" t="s">
        <v>12</v>
      </c>
    </row>
    <row r="3918" spans="1:5" x14ac:dyDescent="0.25">
      <c r="A3918" t="str">
        <f>HYPERLINK("https://www.773grp.com/globalSearch/SN74AVCB164245KR/page-1", "SN74AVCB164245KR")</f>
        <v>SN74AVCB164245KR</v>
      </c>
      <c r="B3918" s="3" t="s">
        <v>90</v>
      </c>
      <c r="C3918" s="5">
        <v>1000</v>
      </c>
      <c r="D3918" s="6">
        <v>8.44</v>
      </c>
      <c r="E3918" t="s">
        <v>12</v>
      </c>
    </row>
    <row r="3919" spans="1:5" x14ac:dyDescent="0.25">
      <c r="A3919" t="str">
        <f>HYPERLINK("https://www.773grp.com/globalSearch/SN74BCT2827CDW/page-1", "SN74BCT2827CDW")</f>
        <v>SN74BCT2827CDW</v>
      </c>
      <c r="B3919" s="3" t="s">
        <v>90</v>
      </c>
      <c r="C3919" s="5">
        <v>4122</v>
      </c>
      <c r="D3919" s="6">
        <v>8.44</v>
      </c>
      <c r="E3919" t="s">
        <v>12</v>
      </c>
    </row>
    <row r="3920" spans="1:5" x14ac:dyDescent="0.25">
      <c r="A3920" t="str">
        <f>HYPERLINK("https://www.773grp.com/globalSearch/SN74BCT2827CNT/page-1", "SN74BCT2827CNT")</f>
        <v>SN74BCT2827CNT</v>
      </c>
      <c r="B3920" s="3" t="s">
        <v>90</v>
      </c>
      <c r="C3920" s="5">
        <v>19791</v>
      </c>
      <c r="D3920" s="6">
        <v>8.44</v>
      </c>
      <c r="E3920" t="s">
        <v>12</v>
      </c>
    </row>
    <row r="3921" spans="1:5" x14ac:dyDescent="0.25">
      <c r="A3921" t="str">
        <f>HYPERLINK("https://www.773grp.com/globalSearch/SN74BCT29827BDW/page-1", "SN74BCT29827BDW")</f>
        <v>SN74BCT29827BDW</v>
      </c>
      <c r="B3921" s="3" t="s">
        <v>90</v>
      </c>
      <c r="C3921" s="5">
        <v>19541</v>
      </c>
      <c r="D3921" s="6">
        <v>8.44</v>
      </c>
      <c r="E3921" t="s">
        <v>12</v>
      </c>
    </row>
    <row r="3922" spans="1:5" x14ac:dyDescent="0.25">
      <c r="A3922" t="str">
        <f>HYPERLINK("https://www.773grp.com/globalSearch/SN74BCT29827BNT/page-1", "SN74BCT29827BNT")</f>
        <v>SN74BCT29827BNT</v>
      </c>
      <c r="B3922" s="3" t="s">
        <v>90</v>
      </c>
      <c r="C3922" s="5">
        <v>15048</v>
      </c>
      <c r="D3922" s="6">
        <v>8.44</v>
      </c>
      <c r="E3922" t="s">
        <v>12</v>
      </c>
    </row>
    <row r="3923" spans="1:5" x14ac:dyDescent="0.25">
      <c r="A3923" t="str">
        <f>HYPERLINK("https://www.773grp.com/globalSearch/SN74BCT29843NT/page-1", "SN74BCT29843NT")</f>
        <v>SN74BCT29843NT</v>
      </c>
      <c r="B3923" s="3" t="s">
        <v>90</v>
      </c>
      <c r="C3923" s="5">
        <v>825</v>
      </c>
      <c r="D3923" s="6">
        <v>8.44</v>
      </c>
      <c r="E3923" t="s">
        <v>12</v>
      </c>
    </row>
    <row r="3924" spans="1:5" x14ac:dyDescent="0.25">
      <c r="A3924" t="str">
        <f>HYPERLINK("https://www.773grp.com/globalSearch/SN74BCT29854DW/page-1", "SN74BCT29854DW")</f>
        <v>SN74BCT29854DW</v>
      </c>
      <c r="B3924" s="3" t="s">
        <v>90</v>
      </c>
      <c r="C3924" s="5">
        <v>4439</v>
      </c>
      <c r="D3924" s="6">
        <v>8.44</v>
      </c>
      <c r="E3924" t="s">
        <v>12</v>
      </c>
    </row>
    <row r="3925" spans="1:5" x14ac:dyDescent="0.25">
      <c r="A3925" t="str">
        <f>HYPERLINK("https://www.773grp.com/globalSearch/SN74BCT29854NT/page-1", "SN74BCT29854NT")</f>
        <v>SN74BCT29854NT</v>
      </c>
      <c r="B3925" s="3" t="s">
        <v>90</v>
      </c>
      <c r="C3925" s="5">
        <v>1165</v>
      </c>
      <c r="D3925" s="6">
        <v>8.44</v>
      </c>
      <c r="E3925" t="s">
        <v>12</v>
      </c>
    </row>
    <row r="3926" spans="1:5" x14ac:dyDescent="0.25">
      <c r="A3926" t="str">
        <f>HYPERLINK("https://www.773grp.com/globalSearch/SN74BCT29863BDW/page-1", "SN74BCT29863BDW")</f>
        <v>SN74BCT29863BDW</v>
      </c>
      <c r="B3926" s="3" t="s">
        <v>90</v>
      </c>
      <c r="C3926" s="5">
        <v>17361</v>
      </c>
      <c r="D3926" s="6">
        <v>8.44</v>
      </c>
      <c r="E3926" t="s">
        <v>12</v>
      </c>
    </row>
    <row r="3927" spans="1:5" x14ac:dyDescent="0.25">
      <c r="A3927" t="str">
        <f>HYPERLINK("https://www.773grp.com/globalSearch/SN74BCT29863BNT/page-1", "SN74BCT29863BNT")</f>
        <v>SN74BCT29863BNT</v>
      </c>
      <c r="B3927" s="3" t="s">
        <v>90</v>
      </c>
      <c r="C3927" s="5">
        <v>595</v>
      </c>
      <c r="D3927" s="6">
        <v>8.44</v>
      </c>
      <c r="E3927" t="s">
        <v>12</v>
      </c>
    </row>
    <row r="3928" spans="1:5" x14ac:dyDescent="0.25">
      <c r="A3928" t="str">
        <f>HYPERLINK("https://www.773grp.com/globalSearch/SN74GTLPH1645DGGR/page-1", "SN74GTLPH1645DGGR")</f>
        <v>SN74GTLPH1645DGGR</v>
      </c>
      <c r="B3928" s="3" t="s">
        <v>90</v>
      </c>
      <c r="C3928" s="5">
        <v>4000</v>
      </c>
      <c r="D3928" s="6">
        <v>8.44</v>
      </c>
      <c r="E3928" t="s">
        <v>12</v>
      </c>
    </row>
    <row r="3929" spans="1:5" x14ac:dyDescent="0.25">
      <c r="A3929" t="str">
        <f>HYPERLINK("https://www.773grp.com/globalSearch/SN74GTLPH1645DGVR/page-1", "SN74GTLPH1645DGVR")</f>
        <v>SN74GTLPH1645DGVR</v>
      </c>
      <c r="B3929" s="3" t="s">
        <v>90</v>
      </c>
      <c r="C3929" s="5">
        <v>8000</v>
      </c>
      <c r="D3929" s="6">
        <v>8.44</v>
      </c>
      <c r="E3929" t="s">
        <v>12</v>
      </c>
    </row>
    <row r="3930" spans="1:5" x14ac:dyDescent="0.25">
      <c r="A3930" t="str">
        <f>HYPERLINK("https://www.773grp.com/globalSearch/SN74LVCH16952ADL/page-1", "SN74LVCH16952ADL")</f>
        <v>SN74LVCH16952ADL</v>
      </c>
      <c r="B3930" s="3" t="s">
        <v>90</v>
      </c>
      <c r="C3930" s="5">
        <v>19231</v>
      </c>
      <c r="D3930" s="6">
        <v>8.44</v>
      </c>
      <c r="E3930" t="s">
        <v>12</v>
      </c>
    </row>
    <row r="3931" spans="1:5" x14ac:dyDescent="0.25">
      <c r="A3931" t="str">
        <f>HYPERLINK("https://www.773grp.com/globalSearch/SN74LVT16373DL/page-1", "SN74LVT16373DL")</f>
        <v>SN74LVT16373DL</v>
      </c>
      <c r="B3931" s="3" t="s">
        <v>90</v>
      </c>
      <c r="C3931" s="5">
        <v>2100</v>
      </c>
      <c r="D3931" s="6">
        <v>8.44</v>
      </c>
      <c r="E3931" t="s">
        <v>12</v>
      </c>
    </row>
    <row r="3932" spans="1:5" x14ac:dyDescent="0.25">
      <c r="A3932" t="str">
        <f>HYPERLINK("https://www.773grp.com/globalSearch/SN74LVT16373DLR/page-1", "SN74LVT16373DLR")</f>
        <v>SN74LVT16373DLR</v>
      </c>
      <c r="B3932" s="3" t="s">
        <v>90</v>
      </c>
      <c r="C3932" s="5">
        <v>9000</v>
      </c>
      <c r="D3932" s="6">
        <v>8.44</v>
      </c>
      <c r="E3932" t="s">
        <v>12</v>
      </c>
    </row>
    <row r="3933" spans="1:5" x14ac:dyDescent="0.25">
      <c r="A3933" t="str">
        <f>HYPERLINK("https://www.773grp.com/globalSearch/SN74VMEH22501DGVR/page-1", "SN74VMEH22501DGVR")</f>
        <v>SN74VMEH22501DGVR</v>
      </c>
      <c r="B3933" s="3" t="s">
        <v>90</v>
      </c>
      <c r="C3933" s="5">
        <v>4734</v>
      </c>
      <c r="D3933" s="6">
        <v>8.44</v>
      </c>
      <c r="E3933" t="s">
        <v>12</v>
      </c>
    </row>
    <row r="3934" spans="1:5" x14ac:dyDescent="0.25">
      <c r="A3934" t="str">
        <f>HYPERLINK("https://www.773grp.com/globalSearch/SN74ALS1244A-1N/page-1", "SN74ALS1244A-1N")</f>
        <v>SN74ALS1244A-1N</v>
      </c>
      <c r="B3934" s="3" t="s">
        <v>90</v>
      </c>
      <c r="C3934" s="5">
        <v>5080</v>
      </c>
      <c r="D3934" s="6">
        <v>8.49</v>
      </c>
      <c r="E3934" t="s">
        <v>12</v>
      </c>
    </row>
    <row r="3935" spans="1:5" x14ac:dyDescent="0.25">
      <c r="A3935" t="str">
        <f>HYPERLINK("https://www.773grp.com/globalSearch/SN74ALS746-1N/page-1", "SN74ALS746-1N")</f>
        <v>SN74ALS746-1N</v>
      </c>
      <c r="B3935" s="3" t="s">
        <v>90</v>
      </c>
      <c r="C3935" s="5">
        <v>1698</v>
      </c>
      <c r="D3935" s="6">
        <v>8.49</v>
      </c>
      <c r="E3935" t="s">
        <v>12</v>
      </c>
    </row>
    <row r="3936" spans="1:5" x14ac:dyDescent="0.25">
      <c r="A3936" t="str">
        <f>HYPERLINK("https://www.773grp.com/globalSearch/SN74ALS756-1N/page-1", "SN74ALS756-1N")</f>
        <v>SN74ALS756-1N</v>
      </c>
      <c r="B3936" s="3" t="s">
        <v>90</v>
      </c>
      <c r="C3936" s="5">
        <v>2220</v>
      </c>
      <c r="D3936" s="6">
        <v>8.49</v>
      </c>
      <c r="E3936" t="s">
        <v>12</v>
      </c>
    </row>
    <row r="3937" spans="1:5" x14ac:dyDescent="0.25">
      <c r="A3937" t="str">
        <f>HYPERLINK("https://www.773grp.com/globalSearch/SN74ALS841DWR/page-1", "SN74ALS841DWR")</f>
        <v>SN74ALS841DWR</v>
      </c>
      <c r="B3937" s="3" t="s">
        <v>90</v>
      </c>
      <c r="C3937" s="5">
        <v>10000</v>
      </c>
      <c r="D3937" s="6">
        <v>8.5299999999999994</v>
      </c>
      <c r="E3937" t="s">
        <v>12</v>
      </c>
    </row>
    <row r="3938" spans="1:5" x14ac:dyDescent="0.25">
      <c r="A3938" t="str">
        <f>HYPERLINK("https://www.773grp.com/globalSearch/SN74ALS29841DW/page-1", "SN74ALS29841DW")</f>
        <v>SN74ALS29841DW</v>
      </c>
      <c r="B3938" s="3" t="s">
        <v>90</v>
      </c>
      <c r="C3938" s="5">
        <v>542</v>
      </c>
      <c r="D3938" s="6">
        <v>8.5500000000000007</v>
      </c>
      <c r="E3938" t="s">
        <v>12</v>
      </c>
    </row>
    <row r="3939" spans="1:5" x14ac:dyDescent="0.25">
      <c r="A3939" t="str">
        <f>HYPERLINK("https://www.773grp.com/globalSearch/SN74ALS29841NT/page-1", "SN74ALS29841NT")</f>
        <v>SN74ALS29841NT</v>
      </c>
      <c r="B3939" s="3" t="s">
        <v>90</v>
      </c>
      <c r="C3939" s="5">
        <v>174</v>
      </c>
      <c r="D3939" s="6">
        <v>8.5500000000000007</v>
      </c>
      <c r="E3939" t="s">
        <v>12</v>
      </c>
    </row>
    <row r="3940" spans="1:5" x14ac:dyDescent="0.25">
      <c r="A3940" t="str">
        <f>HYPERLINK("https://www.773grp.com/globalSearch/SN74LVTH32244GKER/page-1", "SN74LVTH32244GKER")</f>
        <v>SN74LVTH32244GKER</v>
      </c>
      <c r="B3940" s="3" t="s">
        <v>90</v>
      </c>
      <c r="C3940" s="5">
        <v>34133</v>
      </c>
      <c r="D3940" s="6">
        <v>8.5500000000000007</v>
      </c>
      <c r="E3940" t="s">
        <v>12</v>
      </c>
    </row>
    <row r="3941" spans="1:5" x14ac:dyDescent="0.25">
      <c r="A3941" t="str">
        <f>HYPERLINK("https://www.773grp.com/globalSearch/74AVCBH164245ZQLR/page-1", "74AVCBH164245ZQLR")</f>
        <v>74AVCBH164245ZQLR</v>
      </c>
      <c r="B3941" s="3" t="s">
        <v>90</v>
      </c>
      <c r="C3941" s="5">
        <v>29795</v>
      </c>
      <c r="D3941" s="6">
        <v>8.58</v>
      </c>
      <c r="E3941" t="s">
        <v>12</v>
      </c>
    </row>
    <row r="3942" spans="1:5" x14ac:dyDescent="0.25">
      <c r="A3942" t="str">
        <f>HYPERLINK("https://www.773grp.com/globalSearch/CD74FCT653M/page-1", "CD74FCT653M")</f>
        <v>CD74FCT653M</v>
      </c>
      <c r="B3942" s="3" t="s">
        <v>90</v>
      </c>
      <c r="C3942" s="5">
        <v>214</v>
      </c>
      <c r="D3942" s="6">
        <v>8.61</v>
      </c>
      <c r="E3942" t="s">
        <v>12</v>
      </c>
    </row>
    <row r="3943" spans="1:5" x14ac:dyDescent="0.25">
      <c r="A3943" t="str">
        <f>HYPERLINK("https://www.773grp.com/globalSearch/SN74LVT573DBR/page-1", "SN74LVT573DBR")</f>
        <v>SN74LVT573DBR</v>
      </c>
      <c r="B3943" s="3" t="s">
        <v>90</v>
      </c>
      <c r="C3943" s="5">
        <v>16000</v>
      </c>
      <c r="D3943" s="6">
        <v>8.61</v>
      </c>
      <c r="E3943" t="s">
        <v>12</v>
      </c>
    </row>
    <row r="3944" spans="1:5" x14ac:dyDescent="0.25">
      <c r="A3944" t="str">
        <f>HYPERLINK("https://www.773grp.com/globalSearch/SN74ABT16623DGGR/page-1", "SN74ABT16623DGGR")</f>
        <v>SN74ABT16623DGGR</v>
      </c>
      <c r="B3944" s="3" t="s">
        <v>90</v>
      </c>
      <c r="C3944" s="5">
        <v>4000</v>
      </c>
      <c r="D3944" s="6">
        <v>8.64</v>
      </c>
      <c r="E3944" t="s">
        <v>12</v>
      </c>
    </row>
    <row r="3945" spans="1:5" x14ac:dyDescent="0.25">
      <c r="A3945" t="str">
        <f>HYPERLINK("https://www.773grp.com/globalSearch/SN74ALVC16373DGGR/page-1", "SN74ALVC16373DGGR")</f>
        <v>SN74ALVC16373DGGR</v>
      </c>
      <c r="B3945" s="3" t="s">
        <v>90</v>
      </c>
      <c r="C3945" s="5">
        <v>3500</v>
      </c>
      <c r="D3945" s="6">
        <v>8.64</v>
      </c>
      <c r="E3945" t="s">
        <v>12</v>
      </c>
    </row>
    <row r="3946" spans="1:5" x14ac:dyDescent="0.25">
      <c r="A3946" t="str">
        <f>HYPERLINK("https://www.773grp.com/globalSearch/SN74ALVC16834DL/page-1", "SN74ALVC16834DL")</f>
        <v>SN74ALVC16834DL</v>
      </c>
      <c r="B3946" s="3" t="s">
        <v>90</v>
      </c>
      <c r="C3946" s="5">
        <v>19660</v>
      </c>
      <c r="D3946" s="6">
        <v>8.64</v>
      </c>
      <c r="E3946" t="s">
        <v>12</v>
      </c>
    </row>
    <row r="3947" spans="1:5" x14ac:dyDescent="0.25">
      <c r="A3947" t="str">
        <f>HYPERLINK("https://www.773grp.com/globalSearch/SN74ALVCH16600DGGR/page-1", "SN74ALVCH16600DGGR")</f>
        <v>SN74ALVCH16600DGGR</v>
      </c>
      <c r="B3947" s="3" t="s">
        <v>90</v>
      </c>
      <c r="C3947" s="5">
        <v>6000</v>
      </c>
      <c r="D3947" s="6">
        <v>8.64</v>
      </c>
      <c r="E3947" t="s">
        <v>12</v>
      </c>
    </row>
    <row r="3948" spans="1:5" x14ac:dyDescent="0.25">
      <c r="A3948" t="str">
        <f>HYPERLINK("https://www.773grp.com/globalSearch/SN74ALVCH16600DL/page-1", "SN74ALVCH16600DL")</f>
        <v>SN74ALVCH16600DL</v>
      </c>
      <c r="B3948" s="3" t="s">
        <v>90</v>
      </c>
      <c r="C3948" s="5">
        <v>908</v>
      </c>
      <c r="D3948" s="6">
        <v>8.64</v>
      </c>
      <c r="E3948" t="s">
        <v>12</v>
      </c>
    </row>
    <row r="3949" spans="1:5" x14ac:dyDescent="0.25">
      <c r="A3949" t="str">
        <f>HYPERLINK("https://www.773grp.com/globalSearch/SN74ALVCH16600DLR/page-1", "SN74ALVCH16600DLR")</f>
        <v>SN74ALVCH16600DLR</v>
      </c>
      <c r="B3949" s="3" t="s">
        <v>90</v>
      </c>
      <c r="C3949" s="5">
        <v>11500</v>
      </c>
      <c r="D3949" s="6">
        <v>8.64</v>
      </c>
      <c r="E3949" t="s">
        <v>12</v>
      </c>
    </row>
    <row r="3950" spans="1:5" x14ac:dyDescent="0.25">
      <c r="A3950" t="str">
        <f>HYPERLINK("https://www.773grp.com/globalSearch/SN74ALVCH16841DL/page-1", "SN74ALVCH16841DL")</f>
        <v>SN74ALVCH16841DL</v>
      </c>
      <c r="B3950" s="3" t="s">
        <v>90</v>
      </c>
      <c r="C3950" s="5">
        <v>13781</v>
      </c>
      <c r="D3950" s="6">
        <v>8.64</v>
      </c>
      <c r="E3950" t="s">
        <v>12</v>
      </c>
    </row>
    <row r="3951" spans="1:5" x14ac:dyDescent="0.25">
      <c r="A3951" t="str">
        <f>HYPERLINK("https://www.773grp.com/globalSearch/SN74ALVCHR162601DL/page-1", "SN74ALVCHR162601DL")</f>
        <v>SN74ALVCHR162601DL</v>
      </c>
      <c r="B3951" s="3" t="s">
        <v>90</v>
      </c>
      <c r="C3951" s="5">
        <v>6361</v>
      </c>
      <c r="D3951" s="6">
        <v>8.64</v>
      </c>
      <c r="E3951" t="s">
        <v>12</v>
      </c>
    </row>
    <row r="3952" spans="1:5" x14ac:dyDescent="0.25">
      <c r="A3952" t="str">
        <f>HYPERLINK("https://www.773grp.com/globalSearch/SN74ALVC16245DGGR/page-1", "SN74ALVC16245DGGR")</f>
        <v>SN74ALVC16245DGGR</v>
      </c>
      <c r="B3952" s="3" t="s">
        <v>90</v>
      </c>
      <c r="C3952" s="5">
        <v>7335</v>
      </c>
      <c r="D3952" s="6">
        <v>8.66</v>
      </c>
      <c r="E3952" t="s">
        <v>12</v>
      </c>
    </row>
    <row r="3953" spans="1:5" x14ac:dyDescent="0.25">
      <c r="A3953" t="str">
        <f>HYPERLINK("https://www.773grp.com/globalSearch/SN74LS467N/page-1", "SN74LS467N")</f>
        <v>SN74LS467N</v>
      </c>
      <c r="B3953" s="3" t="s">
        <v>90</v>
      </c>
      <c r="C3953" s="5">
        <v>4309</v>
      </c>
      <c r="D3953" s="6">
        <v>8.66</v>
      </c>
      <c r="E3953" t="s">
        <v>12</v>
      </c>
    </row>
    <row r="3954" spans="1:5" x14ac:dyDescent="0.25">
      <c r="A3954" t="str">
        <f>HYPERLINK("https://www.773grp.com/globalSearch/CLVTH16543MDLREP/page-1", "CLVTH16543MDLREP")</f>
        <v>CLVTH16543MDLREP</v>
      </c>
      <c r="B3954" s="3" t="s">
        <v>90</v>
      </c>
      <c r="C3954" s="5">
        <v>933</v>
      </c>
      <c r="D3954" s="6">
        <v>8.69</v>
      </c>
      <c r="E3954" t="s">
        <v>12</v>
      </c>
    </row>
    <row r="3955" spans="1:5" x14ac:dyDescent="0.25">
      <c r="A3955" t="str">
        <f>HYPERLINK("https://www.773grp.com/globalSearch/CD74FCT543M/page-1", "CD74FCT543M")</f>
        <v>CD74FCT543M</v>
      </c>
      <c r="B3955" s="3" t="s">
        <v>90</v>
      </c>
      <c r="C3955" s="5">
        <v>300</v>
      </c>
      <c r="D3955" s="6">
        <v>8.73</v>
      </c>
      <c r="E3955" t="s">
        <v>12</v>
      </c>
    </row>
    <row r="3956" spans="1:5" x14ac:dyDescent="0.25">
      <c r="A3956" t="str">
        <f>HYPERLINK("https://www.773grp.com/globalSearch/SN74ALS1245A-1DW/page-1", "SN74ALS1245A-1DW")</f>
        <v>SN74ALS1245A-1DW</v>
      </c>
      <c r="B3956" s="3" t="s">
        <v>90</v>
      </c>
      <c r="C3956" s="5">
        <v>225</v>
      </c>
      <c r="D3956" s="6">
        <v>8.73</v>
      </c>
      <c r="E3956" t="s">
        <v>12</v>
      </c>
    </row>
    <row r="3957" spans="1:5" x14ac:dyDescent="0.25">
      <c r="A3957" t="str">
        <f>HYPERLINK("https://www.773grp.com/globalSearch/SN74BCT2953DW/page-1", "SN74BCT2953DW")</f>
        <v>SN74BCT2953DW</v>
      </c>
      <c r="B3957" s="3" t="s">
        <v>90</v>
      </c>
      <c r="C3957" s="5">
        <v>1575</v>
      </c>
      <c r="D3957" s="6">
        <v>8.7799999999999994</v>
      </c>
      <c r="E3957" t="s">
        <v>12</v>
      </c>
    </row>
    <row r="3958" spans="1:5" x14ac:dyDescent="0.25">
      <c r="A3958" t="str">
        <f>HYPERLINK("https://www.773grp.com/globalSearch/SN74BCT2953NT/page-1", "SN74BCT2953NT")</f>
        <v>SN74BCT2953NT</v>
      </c>
      <c r="B3958" s="3" t="s">
        <v>90</v>
      </c>
      <c r="C3958" s="5">
        <v>1330</v>
      </c>
      <c r="D3958" s="6">
        <v>8.7799999999999994</v>
      </c>
      <c r="E3958" t="s">
        <v>12</v>
      </c>
    </row>
    <row r="3959" spans="1:5" x14ac:dyDescent="0.25">
      <c r="A3959" t="str">
        <f>HYPERLINK("https://www.773grp.com/globalSearch/CD74FCT843AM96/page-1", "CD74FCT843AM96")</f>
        <v>CD74FCT843AM96</v>
      </c>
      <c r="B3959" s="3" t="s">
        <v>90</v>
      </c>
      <c r="C3959" s="5">
        <v>7000</v>
      </c>
      <c r="D3959" s="6">
        <v>8.83</v>
      </c>
      <c r="E3959" t="s">
        <v>12</v>
      </c>
    </row>
    <row r="3960" spans="1:5" x14ac:dyDescent="0.25">
      <c r="A3960" t="str">
        <f>HYPERLINK("https://www.773grp.com/globalSearch/CD74FCT843AM96/page-1", "CD74FCT843AM96")</f>
        <v>CD74FCT843AM96</v>
      </c>
      <c r="B3960" s="3" t="s">
        <v>90</v>
      </c>
      <c r="C3960" s="5">
        <v>3000</v>
      </c>
      <c r="D3960" s="6">
        <v>8.83</v>
      </c>
      <c r="E3960" t="s">
        <v>12</v>
      </c>
    </row>
    <row r="3961" spans="1:5" x14ac:dyDescent="0.25">
      <c r="A3961" t="str">
        <f>HYPERLINK("https://www.773grp.com/globalSearch/SN74ABT2952ADBR/page-1", "SN74ABT2952ADBR")</f>
        <v>SN74ABT2952ADBR</v>
      </c>
      <c r="B3961" s="3" t="s">
        <v>90</v>
      </c>
      <c r="C3961" s="5">
        <v>4000</v>
      </c>
      <c r="D3961" s="6">
        <v>8.83</v>
      </c>
      <c r="E3961" t="s">
        <v>12</v>
      </c>
    </row>
    <row r="3962" spans="1:5" x14ac:dyDescent="0.25">
      <c r="A3962" t="str">
        <f>HYPERLINK("https://www.773grp.com/globalSearch/SN74ABT2952ANSR/page-1", "SN74ABT2952ANSR")</f>
        <v>SN74ABT2952ANSR</v>
      </c>
      <c r="B3962" s="3" t="s">
        <v>90</v>
      </c>
      <c r="C3962" s="5">
        <v>1900</v>
      </c>
      <c r="D3962" s="6">
        <v>8.83</v>
      </c>
      <c r="E3962" t="s">
        <v>12</v>
      </c>
    </row>
    <row r="3963" spans="1:5" x14ac:dyDescent="0.25">
      <c r="A3963" t="str">
        <f>HYPERLINK("https://www.773grp.com/globalSearch/SN74ABTH25245DWR/page-1", "SN74ABTH25245DWR")</f>
        <v>SN74ABTH25245DWR</v>
      </c>
      <c r="B3963" s="3" t="s">
        <v>90</v>
      </c>
      <c r="C3963" s="5">
        <v>2000</v>
      </c>
      <c r="D3963" s="6">
        <v>8.83</v>
      </c>
      <c r="E3963" t="s">
        <v>12</v>
      </c>
    </row>
    <row r="3964" spans="1:5" x14ac:dyDescent="0.25">
      <c r="A3964" t="str">
        <f>HYPERLINK("https://www.773grp.com/globalSearch/SN74ALS621ADW/page-1", "SN74ALS621ADW")</f>
        <v>SN74ALS621ADW</v>
      </c>
      <c r="B3964" s="3" t="s">
        <v>90</v>
      </c>
      <c r="C3964" s="5">
        <v>2784</v>
      </c>
      <c r="D3964" s="6">
        <v>8.83</v>
      </c>
      <c r="E3964" t="s">
        <v>12</v>
      </c>
    </row>
    <row r="3965" spans="1:5" x14ac:dyDescent="0.25">
      <c r="A3965" t="str">
        <f>HYPERLINK("https://www.773grp.com/globalSearch/SN74ALS642A-1N/page-1", "SN74ALS642A-1N")</f>
        <v>SN74ALS642A-1N</v>
      </c>
      <c r="B3965" s="3" t="s">
        <v>90</v>
      </c>
      <c r="C3965" s="5">
        <v>550</v>
      </c>
      <c r="D3965" s="6">
        <v>8.83</v>
      </c>
      <c r="E3965" t="s">
        <v>12</v>
      </c>
    </row>
    <row r="3966" spans="1:5" x14ac:dyDescent="0.25">
      <c r="A3966" t="str">
        <f>HYPERLINK("https://www.773grp.com/globalSearch/SN74ALS642AN/page-1", "SN74ALS642AN")</f>
        <v>SN74ALS642AN</v>
      </c>
      <c r="B3966" s="3" t="s">
        <v>90</v>
      </c>
      <c r="C3966" s="5">
        <v>2280</v>
      </c>
      <c r="D3966" s="6">
        <v>8.83</v>
      </c>
      <c r="E3966" t="s">
        <v>12</v>
      </c>
    </row>
    <row r="3967" spans="1:5" x14ac:dyDescent="0.25">
      <c r="A3967" t="str">
        <f>HYPERLINK("https://www.773grp.com/globalSearch/SN74AS230ADW/page-1", "SN74AS230ADW")</f>
        <v>SN74AS230ADW</v>
      </c>
      <c r="B3967" s="3" t="s">
        <v>90</v>
      </c>
      <c r="C3967" s="5">
        <v>3160</v>
      </c>
      <c r="D3967" s="6">
        <v>8.83</v>
      </c>
      <c r="E3967" t="s">
        <v>12</v>
      </c>
    </row>
    <row r="3968" spans="1:5" x14ac:dyDescent="0.25">
      <c r="A3968" t="str">
        <f>HYPERLINK("https://www.773grp.com/globalSearch/SN74AS230AN/page-1", "SN74AS230AN")</f>
        <v>SN74AS230AN</v>
      </c>
      <c r="B3968" s="3" t="s">
        <v>90</v>
      </c>
      <c r="C3968" s="5">
        <v>41</v>
      </c>
      <c r="D3968" s="6">
        <v>8.83</v>
      </c>
      <c r="E3968" t="s">
        <v>12</v>
      </c>
    </row>
    <row r="3969" spans="1:5" x14ac:dyDescent="0.25">
      <c r="A3969" t="str">
        <f>HYPERLINK("https://www.773grp.com/globalSearch/SN74GTLPH16945GR/page-1", "SN74GTLPH16945GR")</f>
        <v>SN74GTLPH16945GR</v>
      </c>
      <c r="B3969" s="3" t="s">
        <v>90</v>
      </c>
      <c r="C3969" s="5">
        <v>2000</v>
      </c>
      <c r="D3969" s="6">
        <v>8.83</v>
      </c>
      <c r="E3969" t="s">
        <v>12</v>
      </c>
    </row>
    <row r="3970" spans="1:5" x14ac:dyDescent="0.25">
      <c r="A3970" t="str">
        <f>HYPERLINK("https://www.773grp.com/globalSearch/SN74GTLPH16945VR/page-1", "SN74GTLPH16945VR")</f>
        <v>SN74GTLPH16945VR</v>
      </c>
      <c r="B3970" s="3" t="s">
        <v>90</v>
      </c>
      <c r="C3970" s="5">
        <v>8000</v>
      </c>
      <c r="D3970" s="6">
        <v>8.83</v>
      </c>
      <c r="E3970" t="s">
        <v>12</v>
      </c>
    </row>
    <row r="3971" spans="1:5" x14ac:dyDescent="0.25">
      <c r="A3971" t="str">
        <f>HYPERLINK("https://www.773grp.com/globalSearch/SN74GTLPH306DW/page-1", "SN74GTLPH306DW")</f>
        <v>SN74GTLPH306DW</v>
      </c>
      <c r="B3971" s="3" t="s">
        <v>90</v>
      </c>
      <c r="C3971" s="5">
        <v>26541</v>
      </c>
      <c r="D3971" s="6">
        <v>8.83</v>
      </c>
      <c r="E3971" t="s">
        <v>12</v>
      </c>
    </row>
    <row r="3972" spans="1:5" x14ac:dyDescent="0.25">
      <c r="A3972" t="str">
        <f>HYPERLINK("https://www.773grp.com/globalSearch/SN74GTLPH306PW/page-1", "SN74GTLPH306PW")</f>
        <v>SN74GTLPH306PW</v>
      </c>
      <c r="B3972" s="3" t="s">
        <v>90</v>
      </c>
      <c r="C3972" s="5">
        <v>10530</v>
      </c>
      <c r="D3972" s="6">
        <v>8.83</v>
      </c>
      <c r="E3972" t="s">
        <v>12</v>
      </c>
    </row>
    <row r="3973" spans="1:5" x14ac:dyDescent="0.25">
      <c r="A3973" t="str">
        <f>HYPERLINK("https://www.773grp.com/globalSearch/SN74LS646DWR/page-1", "SN74LS646DWR")</f>
        <v>SN74LS646DWR</v>
      </c>
      <c r="B3973" s="3" t="s">
        <v>90</v>
      </c>
      <c r="C3973" s="5">
        <v>3000</v>
      </c>
      <c r="D3973" s="6">
        <v>8.83</v>
      </c>
      <c r="E3973" t="s">
        <v>12</v>
      </c>
    </row>
    <row r="3974" spans="1:5" x14ac:dyDescent="0.25">
      <c r="A3974" t="str">
        <f>HYPERLINK("https://www.773grp.com/globalSearch/SN74LVC16646DL/page-1", "SN74LVC16646DL")</f>
        <v>SN74LVC16646DL</v>
      </c>
      <c r="B3974" s="3" t="s">
        <v>90</v>
      </c>
      <c r="C3974" s="5">
        <v>2582</v>
      </c>
      <c r="D3974" s="6">
        <v>8.83</v>
      </c>
      <c r="E3974" t="s">
        <v>12</v>
      </c>
    </row>
    <row r="3975" spans="1:5" x14ac:dyDescent="0.25">
      <c r="A3975" t="str">
        <f>HYPERLINK("https://www.773grp.com/globalSearch/SN74LVC16652DL/page-1", "SN74LVC16652DL")</f>
        <v>SN74LVC16652DL</v>
      </c>
      <c r="B3975" s="3" t="s">
        <v>90</v>
      </c>
      <c r="C3975" s="5">
        <v>3569</v>
      </c>
      <c r="D3975" s="6">
        <v>8.83</v>
      </c>
      <c r="E3975" t="s">
        <v>12</v>
      </c>
    </row>
    <row r="3976" spans="1:5" x14ac:dyDescent="0.25">
      <c r="A3976" t="str">
        <f>HYPERLINK("https://www.773grp.com/globalSearch/SNJ54F245J/page-1", "SNJ54F245J")</f>
        <v>SNJ54F245J</v>
      </c>
      <c r="B3976" s="3" t="s">
        <v>90</v>
      </c>
      <c r="C3976" s="5">
        <v>13</v>
      </c>
      <c r="D3976" s="6">
        <v>8.83</v>
      </c>
      <c r="E3976" t="s">
        <v>12</v>
      </c>
    </row>
    <row r="3977" spans="1:5" x14ac:dyDescent="0.25">
      <c r="A3977" t="str">
        <f>HYPERLINK("https://www.773grp.com/globalSearch/74AC16245DGGR/page-1", "74AC16245DGGR")</f>
        <v>74AC16245DGGR</v>
      </c>
      <c r="B3977" s="3" t="s">
        <v>90</v>
      </c>
      <c r="C3977" s="5">
        <v>770</v>
      </c>
      <c r="D3977" s="6">
        <v>8.89</v>
      </c>
      <c r="E3977" t="s">
        <v>12</v>
      </c>
    </row>
    <row r="3978" spans="1:5" x14ac:dyDescent="0.25">
      <c r="A3978" t="str">
        <f>HYPERLINK("https://www.773grp.com/globalSearch/CD74FCT654EN/page-1", "CD74FCT654EN")</f>
        <v>CD74FCT654EN</v>
      </c>
      <c r="B3978" s="3" t="s">
        <v>90</v>
      </c>
      <c r="C3978" s="5">
        <v>225</v>
      </c>
      <c r="D3978" s="6">
        <v>8.91</v>
      </c>
      <c r="E3978" t="s">
        <v>12</v>
      </c>
    </row>
    <row r="3979" spans="1:5" x14ac:dyDescent="0.25">
      <c r="A3979" t="str">
        <f>HYPERLINK("https://www.773grp.com/globalSearch/SN74AS230ADWR/page-1", "SN74AS230ADWR")</f>
        <v>SN74AS230ADWR</v>
      </c>
      <c r="B3979" s="3" t="s">
        <v>90</v>
      </c>
      <c r="C3979" s="5">
        <v>4600</v>
      </c>
      <c r="D3979" s="6">
        <v>8.91</v>
      </c>
      <c r="E3979" t="s">
        <v>12</v>
      </c>
    </row>
    <row r="3980" spans="1:5" x14ac:dyDescent="0.25">
      <c r="A3980" t="str">
        <f>HYPERLINK("https://www.773grp.com/globalSearch/SNJ54F373J/page-1", "SNJ54F373J")</f>
        <v>SNJ54F373J</v>
      </c>
      <c r="B3980" s="3" t="s">
        <v>90</v>
      </c>
      <c r="C3980" s="5">
        <v>198</v>
      </c>
      <c r="D3980" s="6">
        <v>8.98</v>
      </c>
      <c r="E3980" t="s">
        <v>12</v>
      </c>
    </row>
    <row r="3981" spans="1:5" x14ac:dyDescent="0.25">
      <c r="A3981" t="str">
        <f>HYPERLINK("https://www.773grp.com/globalSearch/5962-9758601QRA/page-1", "5962-9758601QRA")</f>
        <v>5962-9758601QRA</v>
      </c>
      <c r="B3981" s="3" t="s">
        <v>90</v>
      </c>
      <c r="C3981" s="5">
        <v>646</v>
      </c>
      <c r="D3981" s="6">
        <v>9</v>
      </c>
      <c r="E3981" t="s">
        <v>12</v>
      </c>
    </row>
    <row r="3982" spans="1:5" x14ac:dyDescent="0.25">
      <c r="A3982" t="str">
        <f>HYPERLINK("https://www.773grp.com/globalSearch/SN64BCT25245DWR/page-1", "SN64BCT25245DWR")</f>
        <v>SN64BCT25245DWR</v>
      </c>
      <c r="B3982" s="3" t="s">
        <v>90</v>
      </c>
      <c r="C3982" s="5">
        <v>3000</v>
      </c>
      <c r="D3982" s="6">
        <v>9.0299999999999994</v>
      </c>
      <c r="E3982" t="s">
        <v>12</v>
      </c>
    </row>
    <row r="3983" spans="1:5" x14ac:dyDescent="0.25">
      <c r="A3983" t="str">
        <f>HYPERLINK("https://www.773grp.com/globalSearch/SN74ABT853NT/page-1", "SN74ABT853NT")</f>
        <v>SN74ABT853NT</v>
      </c>
      <c r="B3983" s="3" t="s">
        <v>90</v>
      </c>
      <c r="C3983" s="5">
        <v>2100</v>
      </c>
      <c r="D3983" s="6">
        <v>9.0299999999999994</v>
      </c>
      <c r="E3983" t="s">
        <v>12</v>
      </c>
    </row>
    <row r="3984" spans="1:5" x14ac:dyDescent="0.25">
      <c r="A3984" t="str">
        <f>HYPERLINK("https://www.773grp.com/globalSearch/SN74ALB16244DGG/page-1", "SN74ALB16244DGG")</f>
        <v>SN74ALB16244DGG</v>
      </c>
      <c r="B3984" s="3" t="s">
        <v>90</v>
      </c>
      <c r="C3984" s="5">
        <v>4245</v>
      </c>
      <c r="D3984" s="6">
        <v>9.0299999999999994</v>
      </c>
      <c r="E3984" t="s">
        <v>12</v>
      </c>
    </row>
    <row r="3985" spans="1:5" x14ac:dyDescent="0.25">
      <c r="A3985" t="str">
        <f>HYPERLINK("https://www.773grp.com/globalSearch/SN74ALS639AN/page-1", "SN74ALS639AN")</f>
        <v>SN74ALS639AN</v>
      </c>
      <c r="B3985" s="3" t="s">
        <v>90</v>
      </c>
      <c r="C3985" s="5">
        <v>1288</v>
      </c>
      <c r="D3985" s="6">
        <v>9.0299999999999994</v>
      </c>
      <c r="E3985" t="s">
        <v>12</v>
      </c>
    </row>
    <row r="3986" spans="1:5" x14ac:dyDescent="0.25">
      <c r="A3986" t="str">
        <f>HYPERLINK("https://www.773grp.com/globalSearch/SN74BCT25244DWR/page-1", "SN74BCT25244DWR")</f>
        <v>SN74BCT25244DWR</v>
      </c>
      <c r="B3986" s="3" t="s">
        <v>90</v>
      </c>
      <c r="C3986" s="5">
        <v>6642</v>
      </c>
      <c r="D3986" s="6">
        <v>9.0299999999999994</v>
      </c>
      <c r="E3986" t="s">
        <v>12</v>
      </c>
    </row>
    <row r="3987" spans="1:5" x14ac:dyDescent="0.25">
      <c r="A3987" t="str">
        <f>HYPERLINK("https://www.773grp.com/globalSearch/SN74BCT25245DWR/page-1", "SN74BCT25245DWR")</f>
        <v>SN74BCT25245DWR</v>
      </c>
      <c r="B3987" s="3" t="s">
        <v>90</v>
      </c>
      <c r="C3987" s="5">
        <v>1900</v>
      </c>
      <c r="D3987" s="6">
        <v>9.0299999999999994</v>
      </c>
      <c r="E3987" t="s">
        <v>12</v>
      </c>
    </row>
    <row r="3988" spans="1:5" x14ac:dyDescent="0.25">
      <c r="A3988" t="str">
        <f>HYPERLINK("https://www.773grp.com/globalSearch/SN74GTLP1395GQNR/page-1", "SN74GTLP1395GQNR")</f>
        <v>SN74GTLP1395GQNR</v>
      </c>
      <c r="B3988" s="3" t="s">
        <v>90</v>
      </c>
      <c r="C3988" s="5">
        <v>18000</v>
      </c>
      <c r="D3988" s="6">
        <v>9.0299999999999994</v>
      </c>
      <c r="E3988" t="s">
        <v>12</v>
      </c>
    </row>
    <row r="3989" spans="1:5" x14ac:dyDescent="0.25">
      <c r="A3989" t="str">
        <f>HYPERLINK("https://www.773grp.com/globalSearch/SN74GTLP21395GQNR/page-1", "SN74GTLP21395GQNR")</f>
        <v>SN74GTLP21395GQNR</v>
      </c>
      <c r="B3989" s="3" t="s">
        <v>90</v>
      </c>
      <c r="C3989" s="5">
        <v>19000</v>
      </c>
      <c r="D3989" s="6">
        <v>9.0299999999999994</v>
      </c>
      <c r="E3989" t="s">
        <v>12</v>
      </c>
    </row>
    <row r="3990" spans="1:5" x14ac:dyDescent="0.25">
      <c r="A3990" t="str">
        <f>HYPERLINK("https://www.773grp.com/globalSearch/5962-9686601QRA/page-1", "5962-9686601QRA")</f>
        <v>5962-9686601QRA</v>
      </c>
      <c r="B3990" s="3" t="s">
        <v>90</v>
      </c>
      <c r="C3990" s="5">
        <v>273</v>
      </c>
      <c r="D3990" s="6">
        <v>9.06</v>
      </c>
      <c r="E3990" t="s">
        <v>12</v>
      </c>
    </row>
    <row r="3991" spans="1:5" x14ac:dyDescent="0.25">
      <c r="A3991" t="str">
        <f>HYPERLINK("https://www.773grp.com/globalSearch/CD74ACT651M96/page-1", "CD74ACT651M96")</f>
        <v>CD74ACT651M96</v>
      </c>
      <c r="B3991" s="3" t="s">
        <v>90</v>
      </c>
      <c r="C3991" s="5">
        <v>2995</v>
      </c>
      <c r="D3991" s="6">
        <v>9.08</v>
      </c>
      <c r="E3991" t="s">
        <v>12</v>
      </c>
    </row>
    <row r="3992" spans="1:5" x14ac:dyDescent="0.25">
      <c r="A3992" t="str">
        <f>HYPERLINK("https://www.773grp.com/globalSearch/SN74ALS29863DWR/page-1", "SN74ALS29863DWR")</f>
        <v>SN74ALS29863DWR</v>
      </c>
      <c r="B3992" s="3" t="s">
        <v>90</v>
      </c>
      <c r="C3992" s="5">
        <v>6000</v>
      </c>
      <c r="D3992" s="6">
        <v>9.08</v>
      </c>
      <c r="E3992" t="s">
        <v>12</v>
      </c>
    </row>
    <row r="3993" spans="1:5" x14ac:dyDescent="0.25">
      <c r="A3993" t="str">
        <f>HYPERLINK("https://www.773grp.com/globalSearch/SN74LVT16501DGGR/page-1", "SN74LVT16501DGGR")</f>
        <v>SN74LVT16501DGGR</v>
      </c>
      <c r="B3993" s="3" t="s">
        <v>90</v>
      </c>
      <c r="C3993" s="5">
        <v>57717</v>
      </c>
      <c r="D3993" s="6">
        <v>9.11</v>
      </c>
      <c r="E3993" t="s">
        <v>12</v>
      </c>
    </row>
    <row r="3994" spans="1:5" x14ac:dyDescent="0.25">
      <c r="A3994" t="str">
        <f>HYPERLINK("https://www.773grp.com/globalSearch/74ACT11543DW/page-1", "74ACT11543DW")</f>
        <v>74ACT11543DW</v>
      </c>
      <c r="B3994" s="3" t="s">
        <v>90</v>
      </c>
      <c r="C3994" s="5">
        <v>626</v>
      </c>
      <c r="D3994" s="6">
        <v>9.25</v>
      </c>
      <c r="E3994" t="s">
        <v>12</v>
      </c>
    </row>
    <row r="3995" spans="1:5" x14ac:dyDescent="0.25">
      <c r="A3995" t="str">
        <f>HYPERLINK("https://www.773grp.com/globalSearch/74ALVCH32374ZKER/page-1", "74ALVCH32374ZKER")</f>
        <v>74ALVCH32374ZKER</v>
      </c>
      <c r="B3995" s="3" t="s">
        <v>90</v>
      </c>
      <c r="C3995" s="5">
        <v>6000</v>
      </c>
      <c r="D3995" s="6">
        <v>9.25</v>
      </c>
      <c r="E3995" t="s">
        <v>12</v>
      </c>
    </row>
    <row r="3996" spans="1:5" x14ac:dyDescent="0.25">
      <c r="A3996" t="str">
        <f>HYPERLINK("https://www.773grp.com/globalSearch/CD74FCT541E/page-1", "CD74FCT541E")</f>
        <v>CD74FCT541E</v>
      </c>
      <c r="B3996" s="3" t="s">
        <v>90</v>
      </c>
      <c r="C3996" s="5">
        <v>6770</v>
      </c>
      <c r="D3996" s="6">
        <v>9.25</v>
      </c>
      <c r="E3996" t="s">
        <v>12</v>
      </c>
    </row>
    <row r="3997" spans="1:5" x14ac:dyDescent="0.25">
      <c r="A3997" t="str">
        <f>HYPERLINK("https://www.773grp.com/globalSearch/SN74ABT5402ADW/page-1", "SN74ABT5402ADW")</f>
        <v>SN74ABT5402ADW</v>
      </c>
      <c r="B3997" s="3" t="s">
        <v>90</v>
      </c>
      <c r="C3997" s="5">
        <v>17710</v>
      </c>
      <c r="D3997" s="6">
        <v>9.25</v>
      </c>
      <c r="E3997" t="s">
        <v>12</v>
      </c>
    </row>
    <row r="3998" spans="1:5" x14ac:dyDescent="0.25">
      <c r="A3998" t="str">
        <f>HYPERLINK("https://www.773grp.com/globalSearch/SN74ABT853DW/page-1", "SN74ABT853DW")</f>
        <v>SN74ABT853DW</v>
      </c>
      <c r="B3998" s="3" t="s">
        <v>90</v>
      </c>
      <c r="C3998" s="5">
        <v>2325</v>
      </c>
      <c r="D3998" s="6">
        <v>9.25</v>
      </c>
      <c r="E3998" t="s">
        <v>12</v>
      </c>
    </row>
    <row r="3999" spans="1:5" x14ac:dyDescent="0.25">
      <c r="A3999" t="str">
        <f>HYPERLINK("https://www.773grp.com/globalSearch/SN74ALVCH32244KR/page-1", "SN74ALVCH32244KR")</f>
        <v>SN74ALVCH32244KR</v>
      </c>
      <c r="B3999" s="3" t="s">
        <v>90</v>
      </c>
      <c r="C3999" s="5">
        <v>4980</v>
      </c>
      <c r="D3999" s="6">
        <v>9.25</v>
      </c>
      <c r="E3999" t="s">
        <v>12</v>
      </c>
    </row>
    <row r="4000" spans="1:5" x14ac:dyDescent="0.25">
      <c r="A4000" t="str">
        <f>HYPERLINK("https://www.773grp.com/globalSearch/SN74ALVCH32245KR/page-1", "SN74ALVCH32245KR")</f>
        <v>SN74ALVCH32245KR</v>
      </c>
      <c r="B4000" s="3" t="s">
        <v>90</v>
      </c>
      <c r="C4000" s="5">
        <v>29328</v>
      </c>
      <c r="D4000" s="6">
        <v>9.25</v>
      </c>
      <c r="E4000" t="s">
        <v>12</v>
      </c>
    </row>
    <row r="4001" spans="1:5" x14ac:dyDescent="0.25">
      <c r="A4001" t="str">
        <f>HYPERLINK("https://www.773grp.com/globalSearch/SN74ALVCH32374KR/page-1", "SN74ALVCH32374KR")</f>
        <v>SN74ALVCH32374KR</v>
      </c>
      <c r="B4001" s="3" t="s">
        <v>90</v>
      </c>
      <c r="C4001" s="5">
        <v>16760</v>
      </c>
      <c r="D4001" s="6">
        <v>9.25</v>
      </c>
      <c r="E4001" t="s">
        <v>12</v>
      </c>
    </row>
    <row r="4002" spans="1:5" x14ac:dyDescent="0.25">
      <c r="A4002" t="str">
        <f>HYPERLINK("https://www.773grp.com/globalSearch/SN74AS873ANT/page-1", "SN74AS873ANT")</f>
        <v>SN74AS873ANT</v>
      </c>
      <c r="B4002" s="3" t="s">
        <v>90</v>
      </c>
      <c r="C4002" s="5">
        <v>28</v>
      </c>
      <c r="D4002" s="6">
        <v>9.25</v>
      </c>
      <c r="E4002" t="s">
        <v>12</v>
      </c>
    </row>
    <row r="4003" spans="1:5" x14ac:dyDescent="0.25">
      <c r="A4003" t="str">
        <f>HYPERLINK("https://www.773grp.com/globalSearch/SN74AUC32374GKER/page-1", "SN74AUC32374GKER")</f>
        <v>SN74AUC32374GKER</v>
      </c>
      <c r="B4003" s="3" t="s">
        <v>90</v>
      </c>
      <c r="C4003" s="5">
        <v>1974</v>
      </c>
      <c r="D4003" s="6">
        <v>9.25</v>
      </c>
      <c r="E4003" t="s">
        <v>12</v>
      </c>
    </row>
    <row r="4004" spans="1:5" x14ac:dyDescent="0.25">
      <c r="A4004" t="str">
        <f>HYPERLINK("https://www.773grp.com/globalSearch/SN74AUCH32374GKER/page-1", "SN74AUCH32374GKER")</f>
        <v>SN74AUCH32374GKER</v>
      </c>
      <c r="B4004" s="3" t="s">
        <v>90</v>
      </c>
      <c r="C4004" s="5">
        <v>2000</v>
      </c>
      <c r="D4004" s="6">
        <v>9.25</v>
      </c>
      <c r="E4004" t="s">
        <v>12</v>
      </c>
    </row>
    <row r="4005" spans="1:5" x14ac:dyDescent="0.25">
      <c r="A4005" t="str">
        <f>HYPERLINK("https://www.773grp.com/globalSearch/SN74LVTH32245ZKER/page-1", "SN74LVTH32245ZKER")</f>
        <v>SN74LVTH32245ZKER</v>
      </c>
      <c r="B4005" s="3" t="s">
        <v>90</v>
      </c>
      <c r="C4005" s="5">
        <v>15060</v>
      </c>
      <c r="D4005" s="6">
        <v>9.25</v>
      </c>
      <c r="E4005" t="s">
        <v>12</v>
      </c>
    </row>
    <row r="4006" spans="1:5" x14ac:dyDescent="0.25">
      <c r="A4006" t="str">
        <f>HYPERLINK("https://www.773grp.com/globalSearch/5962-9759001QRA/page-1", "5962-9759001QRA")</f>
        <v>5962-9759001QRA</v>
      </c>
      <c r="B4006" s="3" t="s">
        <v>90</v>
      </c>
      <c r="C4006" s="5">
        <v>350</v>
      </c>
      <c r="D4006" s="6">
        <v>9.2899999999999991</v>
      </c>
      <c r="E4006" t="s">
        <v>12</v>
      </c>
    </row>
    <row r="4007" spans="1:5" x14ac:dyDescent="0.25">
      <c r="A4007" t="str">
        <f>HYPERLINK("https://www.773grp.com/globalSearch/74FCT162H543CTPACT/page-1", "74FCT162H543CTPACT")</f>
        <v>74FCT162H543CTPACT</v>
      </c>
      <c r="B4007" s="3" t="s">
        <v>90</v>
      </c>
      <c r="C4007" s="5">
        <v>4000</v>
      </c>
      <c r="D4007" s="6">
        <v>9.2899999999999991</v>
      </c>
      <c r="E4007" t="s">
        <v>12</v>
      </c>
    </row>
    <row r="4008" spans="1:5" x14ac:dyDescent="0.25">
      <c r="A4008" t="str">
        <f>HYPERLINK("https://www.773grp.com/globalSearch/SN74ALS29821DWR/page-1", "SN74ALS29821DWR")</f>
        <v>SN74ALS29821DWR</v>
      </c>
      <c r="B4008" s="3" t="s">
        <v>90</v>
      </c>
      <c r="C4008" s="5">
        <v>1000</v>
      </c>
      <c r="D4008" s="6">
        <v>9.2899999999999991</v>
      </c>
      <c r="E4008" t="s">
        <v>12</v>
      </c>
    </row>
    <row r="4009" spans="1:5" x14ac:dyDescent="0.25">
      <c r="A4009" t="str">
        <f>HYPERLINK("https://www.773grp.com/globalSearch/SN74VMEH22501AZQLR/page-1", "SN74VMEH22501AZQLR")</f>
        <v>SN74VMEH22501AZQLR</v>
      </c>
      <c r="B4009" s="3" t="s">
        <v>90</v>
      </c>
      <c r="C4009" s="5">
        <v>2000</v>
      </c>
      <c r="D4009" s="6">
        <v>9.2899999999999991</v>
      </c>
      <c r="E4009" t="s">
        <v>12</v>
      </c>
    </row>
    <row r="4010" spans="1:5" x14ac:dyDescent="0.25">
      <c r="A4010" t="str">
        <f>HYPERLINK("https://www.773grp.com/globalSearch/SNJ54F374J/page-1", "SNJ54F374J")</f>
        <v>SNJ54F374J</v>
      </c>
      <c r="B4010" s="3" t="s">
        <v>90</v>
      </c>
      <c r="C4010" s="5">
        <v>268</v>
      </c>
      <c r="D4010" s="6">
        <v>9.2899999999999991</v>
      </c>
      <c r="E4010" t="s">
        <v>12</v>
      </c>
    </row>
    <row r="4011" spans="1:5" x14ac:dyDescent="0.25">
      <c r="A4011" t="str">
        <f>HYPERLINK("https://www.773grp.com/globalSearch/SN74ALS874BFN/page-1", "SN74ALS874BFN")</f>
        <v>SN74ALS874BFN</v>
      </c>
      <c r="B4011" s="3" t="s">
        <v>90</v>
      </c>
      <c r="C4011" s="5">
        <v>1804</v>
      </c>
      <c r="D4011" s="6">
        <v>9.31</v>
      </c>
      <c r="E4011" t="s">
        <v>12</v>
      </c>
    </row>
    <row r="4012" spans="1:5" x14ac:dyDescent="0.25">
      <c r="A4012" t="str">
        <f>HYPERLINK("https://www.773grp.com/globalSearch/SN74AS4374BDW/page-1", "SN74AS4374BDW")</f>
        <v>SN74AS4374BDW</v>
      </c>
      <c r="B4012" s="3" t="s">
        <v>90</v>
      </c>
      <c r="C4012" s="5">
        <v>3340</v>
      </c>
      <c r="D4012" s="6">
        <v>9.31</v>
      </c>
      <c r="E4012" t="s">
        <v>12</v>
      </c>
    </row>
    <row r="4013" spans="1:5" x14ac:dyDescent="0.25">
      <c r="A4013" t="str">
        <f>HYPERLINK("https://www.773grp.com/globalSearch/SN74AS4374BN/page-1", "SN74AS4374BN")</f>
        <v>SN74AS4374BN</v>
      </c>
      <c r="B4013" s="3" t="s">
        <v>90</v>
      </c>
      <c r="C4013" s="5">
        <v>504</v>
      </c>
      <c r="D4013" s="6">
        <v>9.31</v>
      </c>
      <c r="E4013" t="s">
        <v>12</v>
      </c>
    </row>
    <row r="4014" spans="1:5" x14ac:dyDescent="0.25">
      <c r="A4014" t="str">
        <f>HYPERLINK("https://www.773grp.com/globalSearch/SN74LS644-1N/page-1", "SN74LS644-1N")</f>
        <v>SN74LS644-1N</v>
      </c>
      <c r="B4014" s="3" t="s">
        <v>90</v>
      </c>
      <c r="C4014" s="5">
        <v>1924</v>
      </c>
      <c r="D4014" s="6">
        <v>9.36</v>
      </c>
      <c r="E4014" t="s">
        <v>12</v>
      </c>
    </row>
    <row r="4015" spans="1:5" x14ac:dyDescent="0.25">
      <c r="A4015" t="str">
        <f>HYPERLINK("https://www.773grp.com/globalSearch/SN74ALS563BDWR/page-1", "SN74ALS563BDWR")</f>
        <v>SN74ALS563BDWR</v>
      </c>
      <c r="B4015" s="3" t="s">
        <v>90</v>
      </c>
      <c r="C4015" s="5">
        <v>2000</v>
      </c>
      <c r="D4015" s="6">
        <v>9.4</v>
      </c>
      <c r="E4015" t="s">
        <v>12</v>
      </c>
    </row>
    <row r="4016" spans="1:5" x14ac:dyDescent="0.25">
      <c r="A4016" t="str">
        <f>HYPERLINK("https://www.773grp.com/globalSearch/SN74LVT32240GKER/page-1", "SN74LVT32240GKER")</f>
        <v>SN74LVT32240GKER</v>
      </c>
      <c r="B4016" s="3" t="s">
        <v>90</v>
      </c>
      <c r="C4016" s="5">
        <v>5000</v>
      </c>
      <c r="D4016" s="6">
        <v>9.4</v>
      </c>
      <c r="E4016" t="s">
        <v>12</v>
      </c>
    </row>
    <row r="4017" spans="1:5" x14ac:dyDescent="0.25">
      <c r="A4017" t="str">
        <f>HYPERLINK("https://www.773grp.com/globalSearch/SNJ54HC125J/page-1", "SNJ54HC125J")</f>
        <v>SNJ54HC125J</v>
      </c>
      <c r="B4017" s="3" t="s">
        <v>90</v>
      </c>
      <c r="C4017" s="5">
        <v>2</v>
      </c>
      <c r="D4017" s="6">
        <v>9.4</v>
      </c>
      <c r="E4017" t="s">
        <v>12</v>
      </c>
    </row>
    <row r="4018" spans="1:5" x14ac:dyDescent="0.25">
      <c r="A4018" t="str">
        <f>HYPERLINK("https://www.773grp.com/globalSearch/SN64BCT757DWR/page-1", "SN64BCT757DWR")</f>
        <v>SN64BCT757DWR</v>
      </c>
      <c r="B4018" s="3" t="s">
        <v>90</v>
      </c>
      <c r="C4018" s="5">
        <v>1940</v>
      </c>
      <c r="D4018" s="6">
        <v>9.4499999999999993</v>
      </c>
      <c r="E4018" t="s">
        <v>12</v>
      </c>
    </row>
    <row r="4019" spans="1:5" x14ac:dyDescent="0.25">
      <c r="A4019" t="str">
        <f>HYPERLINK("https://www.773grp.com/globalSearch/SN74ABT162601DLR/page-1", "SN74ABT162601DLR")</f>
        <v>SN74ABT162601DLR</v>
      </c>
      <c r="B4019" s="3" t="s">
        <v>90</v>
      </c>
      <c r="C4019" s="5">
        <v>42765</v>
      </c>
      <c r="D4019" s="6">
        <v>9.4499999999999993</v>
      </c>
      <c r="E4019" t="s">
        <v>12</v>
      </c>
    </row>
    <row r="4020" spans="1:5" x14ac:dyDescent="0.25">
      <c r="A4020" t="str">
        <f>HYPERLINK("https://www.773grp.com/globalSearch/SN74ALS642A-1DW/page-1", "SN74ALS642A-1DW")</f>
        <v>SN74ALS642A-1DW</v>
      </c>
      <c r="B4020" s="3" t="s">
        <v>90</v>
      </c>
      <c r="C4020" s="5">
        <v>909</v>
      </c>
      <c r="D4020" s="6">
        <v>9.4499999999999993</v>
      </c>
      <c r="E4020" t="s">
        <v>12</v>
      </c>
    </row>
    <row r="4021" spans="1:5" x14ac:dyDescent="0.25">
      <c r="A4021" t="str">
        <f>HYPERLINK("https://www.773grp.com/globalSearch/SN74BCT757N/page-1", "SN74BCT757N")</f>
        <v>SN74BCT757N</v>
      </c>
      <c r="B4021" s="3" t="s">
        <v>90</v>
      </c>
      <c r="C4021" s="5">
        <v>6089</v>
      </c>
      <c r="D4021" s="6">
        <v>9.4499999999999993</v>
      </c>
      <c r="E4021" t="s">
        <v>12</v>
      </c>
    </row>
    <row r="4022" spans="1:5" x14ac:dyDescent="0.25">
      <c r="A4022" t="str">
        <f>HYPERLINK("https://www.773grp.com/globalSearch/SN74HCT623DW/page-1", "SN74HCT623DW")</f>
        <v>SN74HCT623DW</v>
      </c>
      <c r="B4022" s="3" t="s">
        <v>90</v>
      </c>
      <c r="C4022" s="5">
        <v>2429</v>
      </c>
      <c r="D4022" s="6">
        <v>9.4499999999999993</v>
      </c>
      <c r="E4022" t="s">
        <v>12</v>
      </c>
    </row>
    <row r="4023" spans="1:5" x14ac:dyDescent="0.25">
      <c r="A4023" t="str">
        <f>HYPERLINK("https://www.773grp.com/globalSearch/SN54HC374J/page-1", "SN54HC374J")</f>
        <v>SN54HC374J</v>
      </c>
      <c r="B4023" s="3" t="s">
        <v>90</v>
      </c>
      <c r="C4023" s="5">
        <v>389</v>
      </c>
      <c r="D4023" s="6">
        <v>9.49</v>
      </c>
      <c r="E4023" t="s">
        <v>12</v>
      </c>
    </row>
    <row r="4024" spans="1:5" x14ac:dyDescent="0.25">
      <c r="A4024" t="str">
        <f>HYPERLINK("https://www.773grp.com/globalSearch/SN74ALS1645A-1DW/page-1", "SN74ALS1645A-1DW")</f>
        <v>SN74ALS1645A-1DW</v>
      </c>
      <c r="B4024" s="3" t="s">
        <v>90</v>
      </c>
      <c r="C4024" s="5">
        <v>251</v>
      </c>
      <c r="D4024" s="6">
        <v>9.49</v>
      </c>
      <c r="E4024" t="s">
        <v>12</v>
      </c>
    </row>
    <row r="4025" spans="1:5" x14ac:dyDescent="0.25">
      <c r="A4025" t="str">
        <f>HYPERLINK("https://www.773grp.com/globalSearch/SNJ54AHC240J/page-1", "SNJ54AHC240J")</f>
        <v>SNJ54AHC240J</v>
      </c>
      <c r="B4025" s="3" t="s">
        <v>90</v>
      </c>
      <c r="C4025" s="5">
        <v>170</v>
      </c>
      <c r="D4025" s="6">
        <v>9.49</v>
      </c>
      <c r="E4025" t="s">
        <v>12</v>
      </c>
    </row>
    <row r="4026" spans="1:5" x14ac:dyDescent="0.25">
      <c r="A4026" t="str">
        <f>HYPERLINK("https://www.773grp.com/globalSearch/SN54HC373J/page-1", "SN54HC373J")</f>
        <v>SN54HC373J</v>
      </c>
      <c r="B4026" s="3" t="s">
        <v>90</v>
      </c>
      <c r="C4026" s="5">
        <v>87</v>
      </c>
      <c r="D4026" s="6">
        <v>9.6300000000000008</v>
      </c>
      <c r="E4026" t="s">
        <v>12</v>
      </c>
    </row>
    <row r="4027" spans="1:5" x14ac:dyDescent="0.25">
      <c r="A4027" t="str">
        <f>HYPERLINK("https://www.773grp.com/globalSearch/SN74ALS29861DWR/page-1", "SN74ALS29861DWR")</f>
        <v>SN74ALS29861DWR</v>
      </c>
      <c r="B4027" s="3" t="s">
        <v>90</v>
      </c>
      <c r="C4027" s="5">
        <v>1000</v>
      </c>
      <c r="D4027" s="6">
        <v>9.6300000000000008</v>
      </c>
      <c r="E4027" t="s">
        <v>12</v>
      </c>
    </row>
    <row r="4028" spans="1:5" x14ac:dyDescent="0.25">
      <c r="A4028" t="str">
        <f>HYPERLINK("https://www.773grp.com/globalSearch/SN74ALS29861NT/page-1", "SN74ALS29861NT")</f>
        <v>SN74ALS29861NT</v>
      </c>
      <c r="B4028" s="3" t="s">
        <v>90</v>
      </c>
      <c r="C4028" s="5">
        <v>189</v>
      </c>
      <c r="D4028" s="6">
        <v>9.6300000000000008</v>
      </c>
      <c r="E4028" t="s">
        <v>12</v>
      </c>
    </row>
    <row r="4029" spans="1:5" x14ac:dyDescent="0.25">
      <c r="A4029" t="str">
        <f>HYPERLINK("https://www.773grp.com/globalSearch/SN74ABT16623DLR/page-1", "SN74ABT16623DLR")</f>
        <v>SN74ABT16623DLR</v>
      </c>
      <c r="B4029" s="3" t="s">
        <v>90</v>
      </c>
      <c r="C4029" s="5">
        <v>23000</v>
      </c>
      <c r="D4029" s="6">
        <v>9.65</v>
      </c>
      <c r="E4029" t="s">
        <v>12</v>
      </c>
    </row>
    <row r="4030" spans="1:5" x14ac:dyDescent="0.25">
      <c r="A4030" t="str">
        <f>HYPERLINK("https://www.773grp.com/globalSearch/SN74ABT2952ADW/page-1", "SN74ABT2952ADW")</f>
        <v>SN74ABT2952ADW</v>
      </c>
      <c r="B4030" s="3" t="s">
        <v>90</v>
      </c>
      <c r="C4030" s="5">
        <v>16656</v>
      </c>
      <c r="D4030" s="6">
        <v>9.65</v>
      </c>
      <c r="E4030" t="s">
        <v>12</v>
      </c>
    </row>
    <row r="4031" spans="1:5" x14ac:dyDescent="0.25">
      <c r="A4031" t="str">
        <f>HYPERLINK("https://www.773grp.com/globalSearch/SN74ABT651DBLE/page-1", "SN74ABT651DBLE")</f>
        <v>SN74ABT651DBLE</v>
      </c>
      <c r="B4031" s="3" t="s">
        <v>90</v>
      </c>
      <c r="C4031" s="5">
        <v>2000</v>
      </c>
      <c r="D4031" s="6">
        <v>9.65</v>
      </c>
      <c r="E4031" t="s">
        <v>12</v>
      </c>
    </row>
    <row r="4032" spans="1:5" x14ac:dyDescent="0.25">
      <c r="A4032" t="str">
        <f>HYPERLINK("https://www.773grp.com/globalSearch/SN74ALVC162836DL/page-1", "SN74ALVC162836DL")</f>
        <v>SN74ALVC162836DL</v>
      </c>
      <c r="B4032" s="3" t="s">
        <v>90</v>
      </c>
      <c r="C4032" s="5">
        <v>25353</v>
      </c>
      <c r="D4032" s="6">
        <v>9.65</v>
      </c>
      <c r="E4032" t="s">
        <v>12</v>
      </c>
    </row>
    <row r="4033" spans="1:5" x14ac:dyDescent="0.25">
      <c r="A4033" t="str">
        <f>HYPERLINK("https://www.773grp.com/globalSearch/SN74AVC16374ZQLR/page-1", "SN74AVC16374ZQLR")</f>
        <v>SN74AVC16374ZQLR</v>
      </c>
      <c r="B4033" s="3" t="s">
        <v>90</v>
      </c>
      <c r="C4033" s="5">
        <v>8000</v>
      </c>
      <c r="D4033" s="6">
        <v>9.65</v>
      </c>
      <c r="E4033" t="s">
        <v>12</v>
      </c>
    </row>
    <row r="4034" spans="1:5" x14ac:dyDescent="0.25">
      <c r="A4034" t="str">
        <f>HYPERLINK("https://www.773grp.com/globalSearch/SNJ54F241J/page-1", "SNJ54F241J")</f>
        <v>SNJ54F241J</v>
      </c>
      <c r="B4034" s="3" t="s">
        <v>90</v>
      </c>
      <c r="C4034" s="5">
        <v>8</v>
      </c>
      <c r="D4034" s="6">
        <v>9.65</v>
      </c>
      <c r="E4034" t="s">
        <v>12</v>
      </c>
    </row>
    <row r="4035" spans="1:5" x14ac:dyDescent="0.25">
      <c r="A4035" t="str">
        <f>HYPERLINK("https://www.773grp.com/globalSearch/JM38510-34105BRA/page-1", "JM38510-34105BRA")</f>
        <v>JM38510-34105BRA</v>
      </c>
      <c r="B4035" s="3" t="s">
        <v>90</v>
      </c>
      <c r="C4035" s="5">
        <v>52</v>
      </c>
      <c r="D4035" s="6">
        <v>9.68</v>
      </c>
      <c r="E4035" t="s">
        <v>12</v>
      </c>
    </row>
    <row r="4036" spans="1:5" x14ac:dyDescent="0.25">
      <c r="A4036" t="str">
        <f>HYPERLINK("https://www.773grp.com/globalSearch/SN54HC244J/page-1", "SN54HC244J")</f>
        <v>SN54HC244J</v>
      </c>
      <c r="B4036" s="3" t="s">
        <v>90</v>
      </c>
      <c r="C4036" s="5">
        <v>6009</v>
      </c>
      <c r="D4036" s="6">
        <v>9.68</v>
      </c>
      <c r="E4036" t="s">
        <v>12</v>
      </c>
    </row>
    <row r="4037" spans="1:5" x14ac:dyDescent="0.25">
      <c r="A4037" t="str">
        <f>HYPERLINK("https://www.773grp.com/globalSearch/SN74AS576DWR/page-1", "SN74AS576DWR")</f>
        <v>SN74AS576DWR</v>
      </c>
      <c r="B4037" s="3" t="s">
        <v>90</v>
      </c>
      <c r="C4037" s="5">
        <v>1000</v>
      </c>
      <c r="D4037" s="6">
        <v>9.68</v>
      </c>
      <c r="E4037" t="s">
        <v>12</v>
      </c>
    </row>
    <row r="4038" spans="1:5" x14ac:dyDescent="0.25">
      <c r="A4038" t="str">
        <f>HYPERLINK("https://www.773grp.com/globalSearch/SN54HC245J/page-1", "SN54HC245J")</f>
        <v>SN54HC245J</v>
      </c>
      <c r="B4038" s="3" t="s">
        <v>90</v>
      </c>
      <c r="C4038" s="5">
        <v>2028</v>
      </c>
      <c r="D4038" s="6">
        <v>9.7899999999999991</v>
      </c>
      <c r="E4038" t="s">
        <v>12</v>
      </c>
    </row>
    <row r="4039" spans="1:5" x14ac:dyDescent="0.25">
      <c r="A4039" t="str">
        <f>HYPERLINK("https://www.773grp.com/globalSearch/SN54HC241J/page-1", "SN54HC241J")</f>
        <v>SN54HC241J</v>
      </c>
      <c r="B4039" s="3" t="s">
        <v>90</v>
      </c>
      <c r="C4039" s="5">
        <v>13</v>
      </c>
      <c r="D4039" s="6">
        <v>9.83</v>
      </c>
      <c r="E4039" t="s">
        <v>12</v>
      </c>
    </row>
    <row r="4040" spans="1:5" x14ac:dyDescent="0.25">
      <c r="A4040" t="str">
        <f>HYPERLINK("https://www.773grp.com/globalSearch/SN74ALS540-1DW/page-1", "SN74ALS540-1DW")</f>
        <v>SN74ALS540-1DW</v>
      </c>
      <c r="B4040" s="3" t="s">
        <v>90</v>
      </c>
      <c r="C4040" s="5">
        <v>8545</v>
      </c>
      <c r="D4040" s="6">
        <v>9.84</v>
      </c>
      <c r="E4040" t="s">
        <v>12</v>
      </c>
    </row>
    <row r="4041" spans="1:5" x14ac:dyDescent="0.25">
      <c r="A4041" t="str">
        <f>HYPERLINK("https://www.773grp.com/globalSearch/SN74ALVC16245DL/page-1", "SN74ALVC16245DL")</f>
        <v>SN74ALVC16245DL</v>
      </c>
      <c r="B4041" s="3" t="s">
        <v>90</v>
      </c>
      <c r="C4041" s="5">
        <v>433</v>
      </c>
      <c r="D4041" s="6">
        <v>9.84</v>
      </c>
      <c r="E4041" t="s">
        <v>12</v>
      </c>
    </row>
    <row r="4042" spans="1:5" x14ac:dyDescent="0.25">
      <c r="A4042" t="str">
        <f>HYPERLINK("https://www.773grp.com/globalSearch/SN74BCT25245DW/page-1", "SN74BCT25245DW")</f>
        <v>SN74BCT25245DW</v>
      </c>
      <c r="B4042" s="3" t="s">
        <v>90</v>
      </c>
      <c r="C4042" s="5">
        <v>2292</v>
      </c>
      <c r="D4042" s="6">
        <v>9.84</v>
      </c>
      <c r="E4042" t="s">
        <v>12</v>
      </c>
    </row>
    <row r="4043" spans="1:5" x14ac:dyDescent="0.25">
      <c r="A4043" t="str">
        <f>HYPERLINK("https://www.773grp.com/globalSearch/SN74LS468DW/page-1", "SN74LS468DW")</f>
        <v>SN74LS468DW</v>
      </c>
      <c r="B4043" s="3" t="s">
        <v>90</v>
      </c>
      <c r="C4043" s="5">
        <v>1268</v>
      </c>
      <c r="D4043" s="6">
        <v>9.84</v>
      </c>
      <c r="E4043" t="s">
        <v>12</v>
      </c>
    </row>
    <row r="4044" spans="1:5" x14ac:dyDescent="0.25">
      <c r="A4044" t="str">
        <f>HYPERLINK("https://www.773grp.com/globalSearch/SN54HC366J/page-1", "SN54HC366J")</f>
        <v>SN54HC366J</v>
      </c>
      <c r="B4044" s="3" t="s">
        <v>90</v>
      </c>
      <c r="C4044" s="5">
        <v>50</v>
      </c>
      <c r="D4044" s="6">
        <v>9.8800000000000008</v>
      </c>
      <c r="E4044" t="s">
        <v>12</v>
      </c>
    </row>
    <row r="4045" spans="1:5" x14ac:dyDescent="0.25">
      <c r="A4045" t="str">
        <f>HYPERLINK("https://www.773grp.com/globalSearch/SN74CBT32245GKER/page-1", "SN74CBT32245GKER")</f>
        <v>SN74CBT32245GKER</v>
      </c>
      <c r="B4045" s="3" t="s">
        <v>90</v>
      </c>
      <c r="C4045" s="5">
        <v>6496</v>
      </c>
      <c r="D4045" s="6">
        <v>9.93</v>
      </c>
      <c r="E4045" t="s">
        <v>12</v>
      </c>
    </row>
    <row r="4046" spans="1:5" x14ac:dyDescent="0.25">
      <c r="A4046" t="str">
        <f>HYPERLINK("https://www.773grp.com/globalSearch/JM38510-33202BRA/page-1", "JM38510-33202BRA")</f>
        <v>JM38510-33202BRA</v>
      </c>
      <c r="B4046" s="3" t="s">
        <v>90</v>
      </c>
      <c r="C4046" s="5">
        <v>378</v>
      </c>
      <c r="D4046" s="6">
        <v>9.9600000000000009</v>
      </c>
      <c r="E4046" t="s">
        <v>12</v>
      </c>
    </row>
    <row r="4047" spans="1:5" x14ac:dyDescent="0.25">
      <c r="A4047" t="str">
        <f>HYPERLINK("https://www.773grp.com/globalSearch/JM38510-33203BRA/page-1", "JM38510-33203BRA")</f>
        <v>JM38510-33203BRA</v>
      </c>
      <c r="B4047" s="3" t="s">
        <v>90</v>
      </c>
      <c r="C4047" s="5">
        <v>3199</v>
      </c>
      <c r="D4047" s="6">
        <v>9.9600000000000009</v>
      </c>
      <c r="E4047" t="s">
        <v>12</v>
      </c>
    </row>
    <row r="4048" spans="1:5" x14ac:dyDescent="0.25">
      <c r="A4048" t="str">
        <f>HYPERLINK("https://www.773grp.com/globalSearch/5962-9678301QRA/page-1", "5962-9678301QRA")</f>
        <v>5962-9678301QRA</v>
      </c>
      <c r="B4048" s="3" t="s">
        <v>90</v>
      </c>
      <c r="C4048" s="5">
        <v>55</v>
      </c>
      <c r="D4048" s="6">
        <v>9.99</v>
      </c>
      <c r="E4048" t="s">
        <v>12</v>
      </c>
    </row>
    <row r="4049" spans="1:5" x14ac:dyDescent="0.25">
      <c r="A4049" t="str">
        <f>HYPERLINK("https://www.773grp.com/globalSearch/SN74ALS29824NT/page-1", "SN74ALS29824NT")</f>
        <v>SN74ALS29824NT</v>
      </c>
      <c r="B4049" s="3" t="s">
        <v>90</v>
      </c>
      <c r="C4049" s="5">
        <v>258</v>
      </c>
      <c r="D4049" s="6">
        <v>9.99</v>
      </c>
      <c r="E4049" t="s">
        <v>12</v>
      </c>
    </row>
    <row r="4050" spans="1:5" x14ac:dyDescent="0.25">
      <c r="A4050" t="str">
        <f>HYPERLINK("https://www.773grp.com/globalSearch/SN74ALS29825DW/page-1", "SN74ALS29825DW")</f>
        <v>SN74ALS29825DW</v>
      </c>
      <c r="B4050" s="3" t="s">
        <v>90</v>
      </c>
      <c r="C4050" s="5">
        <v>1614</v>
      </c>
      <c r="D4050" s="6">
        <v>9.99</v>
      </c>
      <c r="E4050" t="s">
        <v>12</v>
      </c>
    </row>
    <row r="4051" spans="1:5" x14ac:dyDescent="0.25">
      <c r="A4051" t="str">
        <f>HYPERLINK("https://www.773grp.com/globalSearch/SN74ALS29844NT/page-1", "SN74ALS29844NT")</f>
        <v>SN74ALS29844NT</v>
      </c>
      <c r="B4051" s="3" t="s">
        <v>90</v>
      </c>
      <c r="C4051" s="5">
        <v>1265</v>
      </c>
      <c r="D4051" s="6">
        <v>9.99</v>
      </c>
      <c r="E4051" t="s">
        <v>12</v>
      </c>
    </row>
    <row r="4052" spans="1:5" x14ac:dyDescent="0.25">
      <c r="A4052" t="str">
        <f>HYPERLINK("https://www.773grp.com/globalSearch/SN74ALS29845NT/page-1", "SN74ALS29845NT")</f>
        <v>SN74ALS29845NT</v>
      </c>
      <c r="B4052" s="3" t="s">
        <v>90</v>
      </c>
      <c r="C4052" s="5">
        <v>2390</v>
      </c>
      <c r="D4052" s="6">
        <v>9.99</v>
      </c>
      <c r="E4052" t="s">
        <v>12</v>
      </c>
    </row>
    <row r="4053" spans="1:5" x14ac:dyDescent="0.25">
      <c r="A4053" t="str">
        <f>HYPERLINK("https://www.773grp.com/globalSearch/SN74ALS29846NT/page-1", "SN74ALS29846NT")</f>
        <v>SN74ALS29846NT</v>
      </c>
      <c r="B4053" s="3" t="s">
        <v>90</v>
      </c>
      <c r="C4053" s="5">
        <v>3658</v>
      </c>
      <c r="D4053" s="6">
        <v>9.99</v>
      </c>
      <c r="E4053" t="s">
        <v>12</v>
      </c>
    </row>
    <row r="4054" spans="1:5" x14ac:dyDescent="0.25">
      <c r="A4054" t="str">
        <f>HYPERLINK("https://www.773grp.com/globalSearch/SN74BCT2410DW/page-1", "SN74BCT2410DW")</f>
        <v>SN74BCT2410DW</v>
      </c>
      <c r="B4054" s="3" t="s">
        <v>90</v>
      </c>
      <c r="C4054" s="5">
        <v>596</v>
      </c>
      <c r="D4054" s="6">
        <v>9.99</v>
      </c>
      <c r="E4054" t="s">
        <v>12</v>
      </c>
    </row>
    <row r="4055" spans="1:5" x14ac:dyDescent="0.25">
      <c r="A4055" t="str">
        <f>HYPERLINK("https://www.773grp.com/globalSearch/SNJ54AHCT244J/page-1", "SNJ54AHCT244J")</f>
        <v>SNJ54AHCT244J</v>
      </c>
      <c r="B4055" s="3" t="s">
        <v>90</v>
      </c>
      <c r="C4055" s="5">
        <v>114</v>
      </c>
      <c r="D4055" s="6">
        <v>9.99</v>
      </c>
      <c r="E4055" t="s">
        <v>12</v>
      </c>
    </row>
    <row r="4056" spans="1:5" x14ac:dyDescent="0.25">
      <c r="A4056" t="str">
        <f>HYPERLINK("https://www.773grp.com/globalSearch/SN74ABT162260DL/page-1", "SN74ABT162260DL")</f>
        <v>SN74ABT162260DL</v>
      </c>
      <c r="B4056" s="3" t="s">
        <v>90</v>
      </c>
      <c r="C4056" s="5">
        <v>2475</v>
      </c>
      <c r="D4056" s="6">
        <v>10.039999999999999</v>
      </c>
      <c r="E4056" t="s">
        <v>12</v>
      </c>
    </row>
    <row r="4057" spans="1:5" x14ac:dyDescent="0.25">
      <c r="A4057" t="str">
        <f>HYPERLINK("https://www.773grp.com/globalSearch/SN74ABT162260DLR/page-1", "SN74ABT162260DLR")</f>
        <v>SN74ABT162260DLR</v>
      </c>
      <c r="B4057" s="3" t="s">
        <v>90</v>
      </c>
      <c r="C4057" s="5">
        <v>2500</v>
      </c>
      <c r="D4057" s="6">
        <v>10.039999999999999</v>
      </c>
      <c r="E4057" t="s">
        <v>12</v>
      </c>
    </row>
    <row r="4058" spans="1:5" x14ac:dyDescent="0.25">
      <c r="A4058" t="str">
        <f>HYPERLINK("https://www.773grp.com/globalSearch/SN74ABTH162260DLR/page-1", "SN74ABTH162260DLR")</f>
        <v>SN74ABTH162260DLR</v>
      </c>
      <c r="B4058" s="3" t="s">
        <v>90</v>
      </c>
      <c r="C4058" s="5">
        <v>4895</v>
      </c>
      <c r="D4058" s="6">
        <v>10.039999999999999</v>
      </c>
      <c r="E4058" t="s">
        <v>12</v>
      </c>
    </row>
    <row r="4059" spans="1:5" x14ac:dyDescent="0.25">
      <c r="A4059" t="str">
        <f>HYPERLINK("https://www.773grp.com/globalSearch/SN74ALS2541N/page-1", "SN74ALS2541N")</f>
        <v>SN74ALS2541N</v>
      </c>
      <c r="B4059" s="3" t="s">
        <v>90</v>
      </c>
      <c r="C4059" s="5">
        <v>9730</v>
      </c>
      <c r="D4059" s="6">
        <v>10.039999999999999</v>
      </c>
      <c r="E4059" t="s">
        <v>12</v>
      </c>
    </row>
    <row r="4060" spans="1:5" x14ac:dyDescent="0.25">
      <c r="A4060" t="str">
        <f>HYPERLINK("https://www.773grp.com/globalSearch/SN74ALS746N/page-1", "SN74ALS746N")</f>
        <v>SN74ALS746N</v>
      </c>
      <c r="B4060" s="3" t="s">
        <v>90</v>
      </c>
      <c r="C4060" s="5">
        <v>2724</v>
      </c>
      <c r="D4060" s="6">
        <v>10.039999999999999</v>
      </c>
      <c r="E4060" t="s">
        <v>12</v>
      </c>
    </row>
    <row r="4061" spans="1:5" x14ac:dyDescent="0.25">
      <c r="A4061" t="str">
        <f>HYPERLINK("https://www.773grp.com/globalSearch/SN74ALVC16834ZQLR/page-1", "SN74ALVC16834ZQLR")</f>
        <v>SN74ALVC16834ZQLR</v>
      </c>
      <c r="B4061" s="3" t="s">
        <v>90</v>
      </c>
      <c r="C4061" s="5">
        <v>5000</v>
      </c>
      <c r="D4061" s="6">
        <v>10.039999999999999</v>
      </c>
      <c r="E4061" t="s">
        <v>12</v>
      </c>
    </row>
    <row r="4062" spans="1:5" x14ac:dyDescent="0.25">
      <c r="A4062" t="str">
        <f>HYPERLINK("https://www.773grp.com/globalSearch/SN74AS641DWR/page-1", "SN74AS641DWR")</f>
        <v>SN74AS641DWR</v>
      </c>
      <c r="B4062" s="3" t="s">
        <v>90</v>
      </c>
      <c r="C4062" s="5">
        <v>6000</v>
      </c>
      <c r="D4062" s="6">
        <v>10.039999999999999</v>
      </c>
      <c r="E4062" t="s">
        <v>12</v>
      </c>
    </row>
    <row r="4063" spans="1:5" x14ac:dyDescent="0.25">
      <c r="A4063" t="str">
        <f>HYPERLINK("https://www.773grp.com/globalSearch/74AVCB324245ZKER/page-1", "74AVCB324245ZKER")</f>
        <v>74AVCB324245ZKER</v>
      </c>
      <c r="B4063" s="3" t="s">
        <v>90</v>
      </c>
      <c r="C4063" s="5">
        <v>17573</v>
      </c>
      <c r="D4063" s="6">
        <v>10.08</v>
      </c>
      <c r="E4063" t="s">
        <v>12</v>
      </c>
    </row>
    <row r="4064" spans="1:5" x14ac:dyDescent="0.25">
      <c r="A4064" t="str">
        <f>HYPERLINK("https://www.773grp.com/globalSearch/SN74AVCB324245KR/page-1", "SN74AVCB324245KR")</f>
        <v>SN74AVCB324245KR</v>
      </c>
      <c r="B4064" s="3" t="s">
        <v>90</v>
      </c>
      <c r="C4064" s="5">
        <v>21300</v>
      </c>
      <c r="D4064" s="6">
        <v>10.08</v>
      </c>
      <c r="E4064" t="s">
        <v>12</v>
      </c>
    </row>
    <row r="4065" spans="1:5" x14ac:dyDescent="0.25">
      <c r="A4065" t="str">
        <f>HYPERLINK("https://www.773grp.com/globalSearch/SN74ALS746DWR/page-1", "SN74ALS746DWR")</f>
        <v>SN74ALS746DWR</v>
      </c>
      <c r="B4065" s="3" t="s">
        <v>90</v>
      </c>
      <c r="C4065" s="5">
        <v>7000</v>
      </c>
      <c r="D4065" s="6">
        <v>10.130000000000001</v>
      </c>
      <c r="E4065" t="s">
        <v>12</v>
      </c>
    </row>
    <row r="4066" spans="1:5" x14ac:dyDescent="0.25">
      <c r="A4066" t="str">
        <f>HYPERLINK("https://www.773grp.com/globalSearch/SN74LS644-1N3/page-1", "SN74LS644-1N3")</f>
        <v>SN74LS644-1N3</v>
      </c>
      <c r="B4066" s="3" t="s">
        <v>90</v>
      </c>
      <c r="C4066" s="5">
        <v>6450</v>
      </c>
      <c r="D4066" s="6">
        <v>10.130000000000001</v>
      </c>
      <c r="E4066" t="s">
        <v>12</v>
      </c>
    </row>
    <row r="4067" spans="1:5" x14ac:dyDescent="0.25">
      <c r="A4067" t="str">
        <f>HYPERLINK("https://www.773grp.com/globalSearch/SN74LVT16374DL/page-1", "SN74LVT16374DL")</f>
        <v>SN74LVT16374DL</v>
      </c>
      <c r="B4067" s="3" t="s">
        <v>90</v>
      </c>
      <c r="C4067" s="5">
        <v>4</v>
      </c>
      <c r="D4067" s="6">
        <v>10.130000000000001</v>
      </c>
      <c r="E4067" t="s">
        <v>12</v>
      </c>
    </row>
    <row r="4068" spans="1:5" x14ac:dyDescent="0.25">
      <c r="A4068" t="str">
        <f>HYPERLINK("https://www.773grp.com/globalSearch/74FCT162H501CTPVC/page-1", "74FCT162H501CTPVC")</f>
        <v>74FCT162H501CTPVC</v>
      </c>
      <c r="B4068" s="3" t="s">
        <v>90</v>
      </c>
      <c r="C4068" s="5">
        <v>7380</v>
      </c>
      <c r="D4068" s="6">
        <v>10.24</v>
      </c>
      <c r="E4068" t="s">
        <v>12</v>
      </c>
    </row>
    <row r="4069" spans="1:5" x14ac:dyDescent="0.25">
      <c r="A4069" t="str">
        <f>HYPERLINK("https://www.773grp.com/globalSearch/CD74FCT623M/page-1", "CD74FCT623M")</f>
        <v>CD74FCT623M</v>
      </c>
      <c r="B4069" s="3" t="s">
        <v>90</v>
      </c>
      <c r="C4069" s="5">
        <v>32039</v>
      </c>
      <c r="D4069" s="6">
        <v>10.24</v>
      </c>
      <c r="E4069" t="s">
        <v>12</v>
      </c>
    </row>
    <row r="4070" spans="1:5" x14ac:dyDescent="0.25">
      <c r="A4070" t="str">
        <f>HYPERLINK("https://www.773grp.com/globalSearch/SN74ALS873BNT/page-1", "SN74ALS873BNT")</f>
        <v>SN74ALS873BNT</v>
      </c>
      <c r="B4070" s="3" t="s">
        <v>90</v>
      </c>
      <c r="C4070" s="5">
        <v>1256</v>
      </c>
      <c r="D4070" s="6">
        <v>10.24</v>
      </c>
      <c r="E4070" t="s">
        <v>12</v>
      </c>
    </row>
    <row r="4071" spans="1:5" x14ac:dyDescent="0.25">
      <c r="A4071" t="str">
        <f>HYPERLINK("https://www.773grp.com/globalSearch/SN74AS756DWR/page-1", "SN74AS756DWR")</f>
        <v>SN74AS756DWR</v>
      </c>
      <c r="B4071" s="3" t="s">
        <v>90</v>
      </c>
      <c r="C4071" s="5">
        <v>28881</v>
      </c>
      <c r="D4071" s="6">
        <v>10.24</v>
      </c>
      <c r="E4071" t="s">
        <v>12</v>
      </c>
    </row>
    <row r="4072" spans="1:5" x14ac:dyDescent="0.25">
      <c r="A4072" t="str">
        <f>HYPERLINK("https://www.773grp.com/globalSearch/SN74BCT757DW/page-1", "SN74BCT757DW")</f>
        <v>SN74BCT757DW</v>
      </c>
      <c r="B4072" s="3" t="s">
        <v>90</v>
      </c>
      <c r="C4072" s="5">
        <v>485</v>
      </c>
      <c r="D4072" s="6">
        <v>10.24</v>
      </c>
      <c r="E4072" t="s">
        <v>12</v>
      </c>
    </row>
    <row r="4073" spans="1:5" x14ac:dyDescent="0.25">
      <c r="A4073" t="str">
        <f>HYPERLINK("https://www.773grp.com/globalSearch/SN74LVT573DW/page-1", "SN74LVT573DW")</f>
        <v>SN74LVT573DW</v>
      </c>
      <c r="B4073" s="3" t="s">
        <v>90</v>
      </c>
      <c r="C4073" s="5">
        <v>112890</v>
      </c>
      <c r="D4073" s="6">
        <v>10.24</v>
      </c>
      <c r="E4073" t="s">
        <v>12</v>
      </c>
    </row>
    <row r="4074" spans="1:5" x14ac:dyDescent="0.25">
      <c r="A4074" t="str">
        <f>HYPERLINK("https://www.773grp.com/globalSearch/SN74LVT574DW/page-1", "SN74LVT574DW")</f>
        <v>SN74LVT574DW</v>
      </c>
      <c r="B4074" s="3" t="s">
        <v>90</v>
      </c>
      <c r="C4074" s="5">
        <v>135</v>
      </c>
      <c r="D4074" s="6">
        <v>10.24</v>
      </c>
      <c r="E4074" t="s">
        <v>12</v>
      </c>
    </row>
    <row r="4075" spans="1:5" x14ac:dyDescent="0.25">
      <c r="A4075" t="str">
        <f>HYPERLINK("https://www.773grp.com/globalSearch/SN54LS368AJ/page-1", "SN54LS368AJ")</f>
        <v>SN54LS368AJ</v>
      </c>
      <c r="B4075" s="3" t="s">
        <v>90</v>
      </c>
      <c r="C4075" s="5">
        <v>284</v>
      </c>
      <c r="D4075" s="6">
        <v>10.26</v>
      </c>
      <c r="E4075" t="s">
        <v>12</v>
      </c>
    </row>
    <row r="4076" spans="1:5" x14ac:dyDescent="0.25">
      <c r="A4076" t="str">
        <f>HYPERLINK("https://www.773grp.com/globalSearch/SN54LS240J/page-1", "SN54LS240J")</f>
        <v>SN54LS240J</v>
      </c>
      <c r="B4076" s="3" t="s">
        <v>90</v>
      </c>
      <c r="C4076" s="5">
        <v>31</v>
      </c>
      <c r="D4076" s="6">
        <v>10.3</v>
      </c>
      <c r="E4076" t="s">
        <v>12</v>
      </c>
    </row>
    <row r="4077" spans="1:5" x14ac:dyDescent="0.25">
      <c r="A4077" t="str">
        <f>HYPERLINK("https://www.773grp.com/globalSearch/SN74ALS845NT3/page-1", "SN74ALS845NT3")</f>
        <v>SN74ALS845NT3</v>
      </c>
      <c r="B4077" s="3" t="s">
        <v>90</v>
      </c>
      <c r="C4077" s="5">
        <v>1155</v>
      </c>
      <c r="D4077" s="6">
        <v>10.3</v>
      </c>
      <c r="E4077" t="s">
        <v>12</v>
      </c>
    </row>
    <row r="4078" spans="1:5" x14ac:dyDescent="0.25">
      <c r="A4078" t="str">
        <f>HYPERLINK("https://www.773grp.com/globalSearch/SN54HC367J/page-1", "SN54HC367J")</f>
        <v>SN54HC367J</v>
      </c>
      <c r="B4078" s="3" t="s">
        <v>90</v>
      </c>
      <c r="C4078" s="5">
        <v>79</v>
      </c>
      <c r="D4078" s="6">
        <v>10.35</v>
      </c>
      <c r="E4078" t="s">
        <v>12</v>
      </c>
    </row>
    <row r="4079" spans="1:5" x14ac:dyDescent="0.25">
      <c r="A4079" t="str">
        <f>HYPERLINK("https://www.773grp.com/globalSearch/74AC16240DL/page-1", "74AC16240DL")</f>
        <v>74AC16240DL</v>
      </c>
      <c r="B4079" s="3" t="s">
        <v>90</v>
      </c>
      <c r="C4079" s="5">
        <v>2</v>
      </c>
      <c r="D4079" s="6">
        <v>10.41</v>
      </c>
      <c r="E4079" t="s">
        <v>12</v>
      </c>
    </row>
    <row r="4080" spans="1:5" x14ac:dyDescent="0.25">
      <c r="A4080" t="str">
        <f>HYPERLINK("https://www.773grp.com/globalSearch/SNJ54F533J/page-1", "SNJ54F533J")</f>
        <v>SNJ54F533J</v>
      </c>
      <c r="B4080" s="3" t="s">
        <v>90</v>
      </c>
      <c r="C4080" s="5">
        <v>130</v>
      </c>
      <c r="D4080" s="6">
        <v>10.41</v>
      </c>
      <c r="E4080" t="s">
        <v>12</v>
      </c>
    </row>
    <row r="4081" spans="1:5" x14ac:dyDescent="0.25">
      <c r="A4081" t="str">
        <f>HYPERLINK("https://www.773grp.com/globalSearch/SN74ABT2952ANT/page-1", "SN74ABT2952ANT")</f>
        <v>SN74ABT2952ANT</v>
      </c>
      <c r="B4081" s="3" t="s">
        <v>90</v>
      </c>
      <c r="C4081" s="5">
        <v>7313</v>
      </c>
      <c r="D4081" s="6">
        <v>10.43</v>
      </c>
      <c r="E4081" t="s">
        <v>12</v>
      </c>
    </row>
    <row r="4082" spans="1:5" x14ac:dyDescent="0.25">
      <c r="A4082" t="str">
        <f>HYPERLINK("https://www.773grp.com/globalSearch/SN74ABTH16823DGGR/page-1", "SN74ABTH16823DGGR")</f>
        <v>SN74ABTH16823DGGR</v>
      </c>
      <c r="B4082" s="3" t="s">
        <v>90</v>
      </c>
      <c r="C4082" s="5">
        <v>7000</v>
      </c>
      <c r="D4082" s="6">
        <v>10.43</v>
      </c>
      <c r="E4082" t="s">
        <v>12</v>
      </c>
    </row>
    <row r="4083" spans="1:5" x14ac:dyDescent="0.25">
      <c r="A4083" t="str">
        <f>HYPERLINK("https://www.773grp.com/globalSearch/SN74ABTH16823DL/page-1", "SN74ABTH16823DL")</f>
        <v>SN74ABTH16823DL</v>
      </c>
      <c r="B4083" s="3" t="s">
        <v>90</v>
      </c>
      <c r="C4083" s="5">
        <v>8780</v>
      </c>
      <c r="D4083" s="6">
        <v>10.43</v>
      </c>
      <c r="E4083" t="s">
        <v>12</v>
      </c>
    </row>
    <row r="4084" spans="1:5" x14ac:dyDescent="0.25">
      <c r="A4084" t="str">
        <f>HYPERLINK("https://www.773grp.com/globalSearch/SN74ABTH25245NT/page-1", "SN74ABTH25245NT")</f>
        <v>SN74ABTH25245NT</v>
      </c>
      <c r="B4084" s="3" t="s">
        <v>90</v>
      </c>
      <c r="C4084" s="5">
        <v>12690</v>
      </c>
      <c r="D4084" s="6">
        <v>10.43</v>
      </c>
      <c r="E4084" t="s">
        <v>12</v>
      </c>
    </row>
    <row r="4085" spans="1:5" x14ac:dyDescent="0.25">
      <c r="A4085" t="str">
        <f>HYPERLINK("https://www.773grp.com/globalSearch/SN74ALS648ADWR/page-1", "SN74ALS648ADWR")</f>
        <v>SN74ALS648ADWR</v>
      </c>
      <c r="B4085" s="3" t="s">
        <v>90</v>
      </c>
      <c r="C4085" s="5">
        <v>2000</v>
      </c>
      <c r="D4085" s="6">
        <v>10.43</v>
      </c>
      <c r="E4085" t="s">
        <v>12</v>
      </c>
    </row>
    <row r="4086" spans="1:5" x14ac:dyDescent="0.25">
      <c r="A4086" t="str">
        <f>HYPERLINK("https://www.773grp.com/globalSearch/SN74ALS873BDW/page-1", "SN74ALS873BDW")</f>
        <v>SN74ALS873BDW</v>
      </c>
      <c r="B4086" s="3" t="s">
        <v>90</v>
      </c>
      <c r="C4086" s="5">
        <v>8967</v>
      </c>
      <c r="D4086" s="6">
        <v>10.43</v>
      </c>
      <c r="E4086" t="s">
        <v>12</v>
      </c>
    </row>
    <row r="4087" spans="1:5" x14ac:dyDescent="0.25">
      <c r="A4087" t="str">
        <f>HYPERLINK("https://www.773grp.com/globalSearch/SN74AS623N/page-1", "SN74AS623N")</f>
        <v>SN74AS623N</v>
      </c>
      <c r="B4087" s="3" t="s">
        <v>90</v>
      </c>
      <c r="C4087" s="5">
        <v>520</v>
      </c>
      <c r="D4087" s="6">
        <v>10.43</v>
      </c>
      <c r="E4087" t="s">
        <v>12</v>
      </c>
    </row>
    <row r="4088" spans="1:5" x14ac:dyDescent="0.25">
      <c r="A4088" t="str">
        <f>HYPERLINK("https://www.773grp.com/globalSearch/SN74AVCBH324245KR/page-1", "SN74AVCBH324245KR")</f>
        <v>SN74AVCBH324245KR</v>
      </c>
      <c r="B4088" s="3" t="s">
        <v>90</v>
      </c>
      <c r="C4088" s="5">
        <v>89968</v>
      </c>
      <c r="D4088" s="6">
        <v>10.43</v>
      </c>
      <c r="E4088" t="s">
        <v>12</v>
      </c>
    </row>
    <row r="4089" spans="1:5" x14ac:dyDescent="0.25">
      <c r="A4089" t="str">
        <f>HYPERLINK("https://www.773grp.com/globalSearch/SN74BCT25244NT/page-1", "SN74BCT25244NT")</f>
        <v>SN74BCT25244NT</v>
      </c>
      <c r="B4089" s="3" t="s">
        <v>90</v>
      </c>
      <c r="C4089" s="5">
        <v>4216</v>
      </c>
      <c r="D4089" s="6">
        <v>10.43</v>
      </c>
      <c r="E4089" t="s">
        <v>12</v>
      </c>
    </row>
    <row r="4090" spans="1:5" x14ac:dyDescent="0.25">
      <c r="A4090" t="str">
        <f>HYPERLINK("https://www.773grp.com/globalSearch/SN74HC623DWR/page-1", "SN74HC623DWR")</f>
        <v>SN74HC623DWR</v>
      </c>
      <c r="B4090" s="3" t="s">
        <v>90</v>
      </c>
      <c r="C4090" s="5">
        <v>18000</v>
      </c>
      <c r="D4090" s="6">
        <v>10.43</v>
      </c>
      <c r="E4090" t="s">
        <v>12</v>
      </c>
    </row>
    <row r="4091" spans="1:5" x14ac:dyDescent="0.25">
      <c r="A4091" t="str">
        <f>HYPERLINK("https://www.773grp.com/globalSearch/SN74HCT623N/page-1", "SN74HCT623N")</f>
        <v>SN74HCT623N</v>
      </c>
      <c r="B4091" s="3" t="s">
        <v>90</v>
      </c>
      <c r="C4091" s="5">
        <v>900</v>
      </c>
      <c r="D4091" s="6">
        <v>10.43</v>
      </c>
      <c r="E4091" t="s">
        <v>12</v>
      </c>
    </row>
    <row r="4092" spans="1:5" x14ac:dyDescent="0.25">
      <c r="A4092" t="str">
        <f>HYPERLINK("https://www.773grp.com/globalSearch/SN74LS623N/page-1", "SN74LS623N")</f>
        <v>SN74LS623N</v>
      </c>
      <c r="B4092" s="3" t="s">
        <v>90</v>
      </c>
      <c r="C4092" s="5">
        <v>355</v>
      </c>
      <c r="D4092" s="6">
        <v>10.43</v>
      </c>
      <c r="E4092" t="s">
        <v>12</v>
      </c>
    </row>
    <row r="4093" spans="1:5" x14ac:dyDescent="0.25">
      <c r="A4093" t="str">
        <f>HYPERLINK("https://www.773grp.com/globalSearch/SN74LVCH32373AZKER/page-1", "SN74LVCH32373AZKER")</f>
        <v>SN74LVCH32373AZKER</v>
      </c>
      <c r="B4093" s="3" t="s">
        <v>90</v>
      </c>
      <c r="C4093" s="5">
        <v>519</v>
      </c>
      <c r="D4093" s="6">
        <v>10.43</v>
      </c>
      <c r="E4093" t="s">
        <v>12</v>
      </c>
    </row>
    <row r="4094" spans="1:5" x14ac:dyDescent="0.25">
      <c r="A4094" t="str">
        <f>HYPERLINK("https://www.773grp.com/globalSearch/SN54HC365J/page-1", "SN54HC365J")</f>
        <v>SN54HC365J</v>
      </c>
      <c r="B4094" s="3" t="s">
        <v>90</v>
      </c>
      <c r="C4094" s="5">
        <v>23</v>
      </c>
      <c r="D4094" s="6">
        <v>10.46</v>
      </c>
      <c r="E4094" t="s">
        <v>12</v>
      </c>
    </row>
    <row r="4095" spans="1:5" x14ac:dyDescent="0.25">
      <c r="A4095" t="str">
        <f>HYPERLINK("https://www.773grp.com/globalSearch/SN74LVCH16901DGGR/page-1", "SN74LVCH16901DGGR")</f>
        <v>SN74LVCH16901DGGR</v>
      </c>
      <c r="B4095" s="3" t="s">
        <v>90</v>
      </c>
      <c r="C4095" s="5">
        <v>15000</v>
      </c>
      <c r="D4095" s="6">
        <v>10.55</v>
      </c>
      <c r="E4095" t="s">
        <v>12</v>
      </c>
    </row>
    <row r="4096" spans="1:5" x14ac:dyDescent="0.25">
      <c r="A4096" t="str">
        <f>HYPERLINK("https://www.773grp.com/globalSearch/SN74ALS746DW/page-1", "SN74ALS746DW")</f>
        <v>SN74ALS746DW</v>
      </c>
      <c r="B4096" s="3" t="s">
        <v>90</v>
      </c>
      <c r="C4096" s="5">
        <v>3825</v>
      </c>
      <c r="D4096" s="6">
        <v>10.58</v>
      </c>
      <c r="E4096" t="s">
        <v>12</v>
      </c>
    </row>
    <row r="4097" spans="1:5" x14ac:dyDescent="0.25">
      <c r="A4097" t="str">
        <f>HYPERLINK("https://www.773grp.com/globalSearch/SN74AS2645DW/page-1", "SN74AS2645DW")</f>
        <v>SN74AS2645DW</v>
      </c>
      <c r="B4097" s="3" t="s">
        <v>90</v>
      </c>
      <c r="C4097" s="5">
        <v>1188</v>
      </c>
      <c r="D4097" s="6">
        <v>10.58</v>
      </c>
      <c r="E4097" t="s">
        <v>12</v>
      </c>
    </row>
    <row r="4098" spans="1:5" x14ac:dyDescent="0.25">
      <c r="A4098" t="str">
        <f>HYPERLINK("https://www.773grp.com/globalSearch/SN74AVCH32T245KR/page-1", "SN74AVCH32T245KR")</f>
        <v>SN74AVCH32T245KR</v>
      </c>
      <c r="B4098" s="3" t="s">
        <v>90</v>
      </c>
      <c r="C4098" s="5">
        <v>7767</v>
      </c>
      <c r="D4098" s="6">
        <v>10.6</v>
      </c>
      <c r="E4098" t="s">
        <v>12</v>
      </c>
    </row>
    <row r="4099" spans="1:5" x14ac:dyDescent="0.25">
      <c r="A4099" t="str">
        <f>HYPERLINK("https://www.773grp.com/globalSearch/SN74S373DW/page-1", "SN74S373DW")</f>
        <v>SN74S373DW</v>
      </c>
      <c r="B4099" s="3" t="s">
        <v>90</v>
      </c>
      <c r="C4099" s="5">
        <v>6578</v>
      </c>
      <c r="D4099" s="6">
        <v>10.6</v>
      </c>
      <c r="E4099" t="s">
        <v>12</v>
      </c>
    </row>
    <row r="4100" spans="1:5" x14ac:dyDescent="0.25">
      <c r="A4100" t="str">
        <f>HYPERLINK("https://www.773grp.com/globalSearch/SN64BCT25245DW/page-1", "SN64BCT25245DW")</f>
        <v>SN64BCT25245DW</v>
      </c>
      <c r="B4100" s="3" t="s">
        <v>90</v>
      </c>
      <c r="C4100" s="5">
        <v>1425</v>
      </c>
      <c r="D4100" s="6">
        <v>10.66</v>
      </c>
      <c r="E4100" t="s">
        <v>12</v>
      </c>
    </row>
    <row r="4101" spans="1:5" x14ac:dyDescent="0.25">
      <c r="A4101" t="str">
        <f>HYPERLINK("https://www.773grp.com/globalSearch/SN74ABTH25245DW/page-1", "SN74ABTH25245DW")</f>
        <v>SN74ABTH25245DW</v>
      </c>
      <c r="B4101" s="3" t="s">
        <v>90</v>
      </c>
      <c r="C4101" s="5">
        <v>5692</v>
      </c>
      <c r="D4101" s="6">
        <v>10.66</v>
      </c>
      <c r="E4101" t="s">
        <v>12</v>
      </c>
    </row>
    <row r="4102" spans="1:5" x14ac:dyDescent="0.25">
      <c r="A4102" t="str">
        <f>HYPERLINK("https://www.773grp.com/globalSearch/SN74ALS652ADWR/page-1", "SN74ALS652ADWR")</f>
        <v>SN74ALS652ADWR</v>
      </c>
      <c r="B4102" s="3" t="s">
        <v>90</v>
      </c>
      <c r="C4102" s="5">
        <v>2000</v>
      </c>
      <c r="D4102" s="6">
        <v>10.66</v>
      </c>
      <c r="E4102" t="s">
        <v>12</v>
      </c>
    </row>
    <row r="4103" spans="1:5" x14ac:dyDescent="0.25">
      <c r="A4103" t="str">
        <f>HYPERLINK("https://www.773grp.com/globalSearch/SN74AS760N/page-1", "SN74AS760N")</f>
        <v>SN74AS760N</v>
      </c>
      <c r="B4103" s="3" t="s">
        <v>90</v>
      </c>
      <c r="C4103" s="5">
        <v>8215</v>
      </c>
      <c r="D4103" s="6">
        <v>10.66</v>
      </c>
      <c r="E4103" t="s">
        <v>12</v>
      </c>
    </row>
    <row r="4104" spans="1:5" x14ac:dyDescent="0.25">
      <c r="A4104" t="str">
        <f>HYPERLINK("https://www.773grp.com/globalSearch/SN74AVC16244GQLR/page-1", "SN74AVC16244GQLR")</f>
        <v>SN74AVC16244GQLR</v>
      </c>
      <c r="B4104" s="3" t="s">
        <v>90</v>
      </c>
      <c r="C4104" s="5">
        <v>3000</v>
      </c>
      <c r="D4104" s="6">
        <v>10.66</v>
      </c>
      <c r="E4104" t="s">
        <v>12</v>
      </c>
    </row>
    <row r="4105" spans="1:5" x14ac:dyDescent="0.25">
      <c r="A4105" t="str">
        <f>HYPERLINK("https://www.773grp.com/globalSearch/SN74AVC16244ZQLR/page-1", "SN74AVC16244ZQLR")</f>
        <v>SN74AVC16244ZQLR</v>
      </c>
      <c r="B4105" s="3" t="s">
        <v>90</v>
      </c>
      <c r="C4105" s="5">
        <v>22000</v>
      </c>
      <c r="D4105" s="6">
        <v>10.66</v>
      </c>
      <c r="E4105" t="s">
        <v>12</v>
      </c>
    </row>
    <row r="4106" spans="1:5" x14ac:dyDescent="0.25">
      <c r="A4106" t="str">
        <f>HYPERLINK("https://www.773grp.com/globalSearch/SN74AVC16373ZQLR/page-1", "SN74AVC16373ZQLR")</f>
        <v>SN74AVC16373ZQLR</v>
      </c>
      <c r="B4106" s="3" t="s">
        <v>90</v>
      </c>
      <c r="C4106" s="5">
        <v>10910</v>
      </c>
      <c r="D4106" s="6">
        <v>10.66</v>
      </c>
      <c r="E4106" t="s">
        <v>12</v>
      </c>
    </row>
    <row r="4107" spans="1:5" x14ac:dyDescent="0.25">
      <c r="A4107" t="str">
        <f>HYPERLINK("https://www.773grp.com/globalSearch/SNJ54LS644J/page-1", "SNJ54LS644J")</f>
        <v>SNJ54LS644J</v>
      </c>
      <c r="B4107" s="3" t="s">
        <v>90</v>
      </c>
      <c r="C4107" s="5">
        <v>69</v>
      </c>
      <c r="D4107" s="6">
        <v>10.66</v>
      </c>
      <c r="E4107" t="s">
        <v>12</v>
      </c>
    </row>
    <row r="4108" spans="1:5" x14ac:dyDescent="0.25">
      <c r="A4108" t="str">
        <f>HYPERLINK("https://www.773grp.com/globalSearch/74AC16623DL/page-1", "74AC16623DL")</f>
        <v>74AC16623DL</v>
      </c>
      <c r="B4108" s="3" t="s">
        <v>90</v>
      </c>
      <c r="C4108" s="5">
        <v>137</v>
      </c>
      <c r="D4108" s="6">
        <v>10.69</v>
      </c>
      <c r="E4108" t="s">
        <v>12</v>
      </c>
    </row>
    <row r="4109" spans="1:5" x14ac:dyDescent="0.25">
      <c r="A4109" t="str">
        <f>HYPERLINK("https://www.773grp.com/globalSearch/74AC16640DL/page-1", "74AC16640DL")</f>
        <v>74AC16640DL</v>
      </c>
      <c r="B4109" s="3" t="s">
        <v>90</v>
      </c>
      <c r="C4109" s="5">
        <v>553</v>
      </c>
      <c r="D4109" s="6">
        <v>10.69</v>
      </c>
      <c r="E4109" t="s">
        <v>12</v>
      </c>
    </row>
    <row r="4110" spans="1:5" x14ac:dyDescent="0.25">
      <c r="A4110" t="str">
        <f>HYPERLINK("https://www.773grp.com/globalSearch/SN74LVT16543DGGR/page-1", "SN74LVT16543DGGR")</f>
        <v>SN74LVT16543DGGR</v>
      </c>
      <c r="B4110" s="3" t="s">
        <v>90</v>
      </c>
      <c r="C4110" s="5">
        <v>29159</v>
      </c>
      <c r="D4110" s="6">
        <v>10.71</v>
      </c>
      <c r="E4110" t="s">
        <v>12</v>
      </c>
    </row>
    <row r="4111" spans="1:5" x14ac:dyDescent="0.25">
      <c r="A4111" t="str">
        <f>HYPERLINK("https://www.773grp.com/globalSearch/SN74AUC32245GKER/page-1", "SN74AUC32245GKER")</f>
        <v>SN74AUC32245GKER</v>
      </c>
      <c r="B4111" s="3" t="s">
        <v>90</v>
      </c>
      <c r="C4111" s="5">
        <v>5967</v>
      </c>
      <c r="D4111" s="6">
        <v>10.76</v>
      </c>
      <c r="E4111" t="s">
        <v>12</v>
      </c>
    </row>
    <row r="4112" spans="1:5" x14ac:dyDescent="0.25">
      <c r="A4112" t="str">
        <f>HYPERLINK("https://www.773grp.com/globalSearch/SN74AUCH32244GKER/page-1", "SN74AUCH32244GKER")</f>
        <v>SN74AUCH32244GKER</v>
      </c>
      <c r="B4112" s="3" t="s">
        <v>90</v>
      </c>
      <c r="C4112" s="5">
        <v>4000</v>
      </c>
      <c r="D4112" s="6">
        <v>10.76</v>
      </c>
      <c r="E4112" t="s">
        <v>12</v>
      </c>
    </row>
    <row r="4113" spans="1:5" x14ac:dyDescent="0.25">
      <c r="A4113" t="str">
        <f>HYPERLINK("https://www.773grp.com/globalSearch/SN74LS642-1DW/page-1", "SN74LS642-1DW")</f>
        <v>SN74LS642-1DW</v>
      </c>
      <c r="B4113" s="3" t="s">
        <v>90</v>
      </c>
      <c r="C4113" s="5">
        <v>5950</v>
      </c>
      <c r="D4113" s="6">
        <v>10.84</v>
      </c>
      <c r="E4113" t="s">
        <v>12</v>
      </c>
    </row>
    <row r="4114" spans="1:5" x14ac:dyDescent="0.25">
      <c r="A4114" t="str">
        <f>HYPERLINK("https://www.773grp.com/globalSearch/SN74LS642DW/page-1", "SN74LS642DW")</f>
        <v>SN74LS642DW</v>
      </c>
      <c r="B4114" s="3" t="s">
        <v>90</v>
      </c>
      <c r="C4114" s="5">
        <v>226</v>
      </c>
      <c r="D4114" s="6">
        <v>10.84</v>
      </c>
      <c r="E4114" t="s">
        <v>12</v>
      </c>
    </row>
    <row r="4115" spans="1:5" x14ac:dyDescent="0.25">
      <c r="A4115" t="str">
        <f>HYPERLINK("https://www.773grp.com/globalSearch/SN74ALB16244DGGR/page-1", "SN74ALB16244DGGR")</f>
        <v>SN74ALB16244DGGR</v>
      </c>
      <c r="B4115" s="3" t="s">
        <v>90</v>
      </c>
      <c r="C4115" s="5">
        <v>1750</v>
      </c>
      <c r="D4115" s="6">
        <v>10.85</v>
      </c>
      <c r="E4115" t="s">
        <v>12</v>
      </c>
    </row>
    <row r="4116" spans="1:5" x14ac:dyDescent="0.25">
      <c r="A4116" t="str">
        <f>HYPERLINK("https://www.773grp.com/globalSearch/SN74ALB16245DGGR/page-1", "SN74ALB16245DGGR")</f>
        <v>SN74ALB16245DGGR</v>
      </c>
      <c r="B4116" s="3" t="s">
        <v>90</v>
      </c>
      <c r="C4116" s="5">
        <v>20000</v>
      </c>
      <c r="D4116" s="6">
        <v>10.85</v>
      </c>
      <c r="E4116" t="s">
        <v>12</v>
      </c>
    </row>
    <row r="4117" spans="1:5" x14ac:dyDescent="0.25">
      <c r="A4117" t="str">
        <f>HYPERLINK("https://www.773grp.com/globalSearch/SN74ALB16245DGVR/page-1", "SN74ALB16245DGVR")</f>
        <v>SN74ALB16245DGVR</v>
      </c>
      <c r="B4117" s="3" t="s">
        <v>90</v>
      </c>
      <c r="C4117" s="5">
        <v>6000</v>
      </c>
      <c r="D4117" s="6">
        <v>10.85</v>
      </c>
      <c r="E4117" t="s">
        <v>12</v>
      </c>
    </row>
    <row r="4118" spans="1:5" x14ac:dyDescent="0.25">
      <c r="A4118" t="str">
        <f>HYPERLINK("https://www.773grp.com/globalSearch/SN74BCT25244DW/page-1", "SN74BCT25244DW")</f>
        <v>SN74BCT25244DW</v>
      </c>
      <c r="B4118" s="3" t="s">
        <v>90</v>
      </c>
      <c r="C4118" s="5">
        <v>3220</v>
      </c>
      <c r="D4118" s="6">
        <v>10.85</v>
      </c>
      <c r="E4118" t="s">
        <v>12</v>
      </c>
    </row>
    <row r="4119" spans="1:5" x14ac:dyDescent="0.25">
      <c r="A4119" t="str">
        <f>HYPERLINK("https://www.773grp.com/globalSearch/SN54ALS564AJ/page-1", "SN54ALS564AJ")</f>
        <v>SN54ALS564AJ</v>
      </c>
      <c r="B4119" s="3" t="s">
        <v>90</v>
      </c>
      <c r="C4119" s="5">
        <v>13</v>
      </c>
      <c r="D4119" s="6">
        <v>10.89</v>
      </c>
      <c r="E4119" t="s">
        <v>12</v>
      </c>
    </row>
    <row r="4120" spans="1:5" x14ac:dyDescent="0.25">
      <c r="A4120" t="str">
        <f>HYPERLINK("https://www.773grp.com/globalSearch/SN74ALS638ADW/page-1", "SN74ALS638ADW")</f>
        <v>SN74ALS638ADW</v>
      </c>
      <c r="B4120" s="3" t="s">
        <v>90</v>
      </c>
      <c r="C4120" s="5">
        <v>2613</v>
      </c>
      <c r="D4120" s="6">
        <v>10.98</v>
      </c>
      <c r="E4120" t="s">
        <v>12</v>
      </c>
    </row>
    <row r="4121" spans="1:5" x14ac:dyDescent="0.25">
      <c r="A4121" t="str">
        <f>HYPERLINK("https://www.773grp.com/globalSearch/5962-9680601QRA/page-1", "5962-9680601QRA")</f>
        <v>5962-9680601QRA</v>
      </c>
      <c r="B4121" s="3" t="s">
        <v>90</v>
      </c>
      <c r="C4121" s="5">
        <v>24</v>
      </c>
      <c r="D4121" s="6">
        <v>11.03</v>
      </c>
      <c r="E4121" t="s">
        <v>12</v>
      </c>
    </row>
    <row r="4122" spans="1:5" x14ac:dyDescent="0.25">
      <c r="A4122" t="str">
        <f>HYPERLINK("https://www.773grp.com/globalSearch/CD54HC541F/page-1", "CD54HC541F")</f>
        <v>CD54HC541F</v>
      </c>
      <c r="B4122" s="3" t="s">
        <v>90</v>
      </c>
      <c r="C4122" s="5">
        <v>297</v>
      </c>
      <c r="D4122" s="6">
        <v>11.05</v>
      </c>
      <c r="E4122" t="s">
        <v>12</v>
      </c>
    </row>
    <row r="4123" spans="1:5" x14ac:dyDescent="0.25">
      <c r="A4123" t="str">
        <f>HYPERLINK("https://www.773grp.com/globalSearch/SN64BCT757DW/page-1", "SN64BCT757DW")</f>
        <v>SN64BCT757DW</v>
      </c>
      <c r="B4123" s="3" t="s">
        <v>90</v>
      </c>
      <c r="C4123" s="5">
        <v>4765</v>
      </c>
      <c r="D4123" s="6">
        <v>11.05</v>
      </c>
      <c r="E4123" t="s">
        <v>12</v>
      </c>
    </row>
    <row r="4124" spans="1:5" x14ac:dyDescent="0.25">
      <c r="A4124" t="str">
        <f>HYPERLINK("https://www.773grp.com/globalSearch/SN74ABT16601DGGR/page-1", "SN74ABT16601DGGR")</f>
        <v>SN74ABT16601DGGR</v>
      </c>
      <c r="B4124" s="3" t="s">
        <v>90</v>
      </c>
      <c r="C4124" s="5">
        <v>19613</v>
      </c>
      <c r="D4124" s="6">
        <v>11.05</v>
      </c>
      <c r="E4124" t="s">
        <v>12</v>
      </c>
    </row>
    <row r="4125" spans="1:5" x14ac:dyDescent="0.25">
      <c r="A4125" t="str">
        <f>HYPERLINK("https://www.773grp.com/globalSearch/SN74ALS620ADW/page-1", "SN74ALS620ADW")</f>
        <v>SN74ALS620ADW</v>
      </c>
      <c r="B4125" s="3" t="s">
        <v>90</v>
      </c>
      <c r="C4125" s="5">
        <v>7000</v>
      </c>
      <c r="D4125" s="6">
        <v>11.05</v>
      </c>
      <c r="E4125" t="s">
        <v>12</v>
      </c>
    </row>
    <row r="4126" spans="1:5" x14ac:dyDescent="0.25">
      <c r="A4126" t="str">
        <f>HYPERLINK("https://www.773grp.com/globalSearch/SN74ALS620ADWG4/page-1", "SN74ALS620ADWG4")</f>
        <v>SN74ALS620ADWG4</v>
      </c>
      <c r="B4126" s="3" t="s">
        <v>90</v>
      </c>
      <c r="C4126" s="5">
        <v>75</v>
      </c>
      <c r="D4126" s="6">
        <v>11.05</v>
      </c>
      <c r="E4126" t="s">
        <v>12</v>
      </c>
    </row>
    <row r="4127" spans="1:5" x14ac:dyDescent="0.25">
      <c r="A4127" t="str">
        <f>HYPERLINK("https://www.773grp.com/globalSearch/SN74ALS29827DWR/page-1", "SN74ALS29827DWR")</f>
        <v>SN74ALS29827DWR</v>
      </c>
      <c r="B4127" s="3" t="s">
        <v>90</v>
      </c>
      <c r="C4127" s="5">
        <v>4000</v>
      </c>
      <c r="D4127" s="6">
        <v>11.18</v>
      </c>
      <c r="E4127" t="s">
        <v>12</v>
      </c>
    </row>
    <row r="4128" spans="1:5" x14ac:dyDescent="0.25">
      <c r="A4128" t="str">
        <f>HYPERLINK("https://www.773grp.com/globalSearch/74ALVCH16543DL/page-1", "74ALVCH16543DL")</f>
        <v>74ALVCH16543DL</v>
      </c>
      <c r="B4128" s="3" t="s">
        <v>90</v>
      </c>
      <c r="C4128" s="5">
        <v>1406</v>
      </c>
      <c r="D4128" s="6">
        <v>11.25</v>
      </c>
      <c r="E4128" t="s">
        <v>12</v>
      </c>
    </row>
    <row r="4129" spans="1:5" x14ac:dyDescent="0.25">
      <c r="A4129" t="str">
        <f>HYPERLINK("https://www.773grp.com/globalSearch/SN64BCT29828BNT/page-1", "SN64BCT29828BNT")</f>
        <v>SN64BCT29828BNT</v>
      </c>
      <c r="B4129" s="3" t="s">
        <v>90</v>
      </c>
      <c r="C4129" s="5">
        <v>1387</v>
      </c>
      <c r="D4129" s="6">
        <v>11.25</v>
      </c>
      <c r="E4129" t="s">
        <v>12</v>
      </c>
    </row>
    <row r="4130" spans="1:5" x14ac:dyDescent="0.25">
      <c r="A4130" t="str">
        <f>HYPERLINK("https://www.773grp.com/globalSearch/SN74ABT162601DL/page-1", "SN74ABT162601DL")</f>
        <v>SN74ABT162601DL</v>
      </c>
      <c r="B4130" s="3" t="s">
        <v>90</v>
      </c>
      <c r="C4130" s="5">
        <v>7287</v>
      </c>
      <c r="D4130" s="6">
        <v>11.25</v>
      </c>
      <c r="E4130" t="s">
        <v>12</v>
      </c>
    </row>
    <row r="4131" spans="1:5" x14ac:dyDescent="0.25">
      <c r="A4131" t="str">
        <f>HYPERLINK("https://www.773grp.com/globalSearch/SN74ABT16623DL/page-1", "SN74ABT16623DL")</f>
        <v>SN74ABT16623DL</v>
      </c>
      <c r="B4131" s="3" t="s">
        <v>90</v>
      </c>
      <c r="C4131" s="5">
        <v>25989</v>
      </c>
      <c r="D4131" s="6">
        <v>11.25</v>
      </c>
      <c r="E4131" t="s">
        <v>12</v>
      </c>
    </row>
    <row r="4132" spans="1:5" x14ac:dyDescent="0.25">
      <c r="A4132" t="str">
        <f>HYPERLINK("https://www.773grp.com/globalSearch/SN74ALS747-1DW/page-1", "SN74ALS747-1DW")</f>
        <v>SN74ALS747-1DW</v>
      </c>
      <c r="B4132" s="3" t="s">
        <v>90</v>
      </c>
      <c r="C4132" s="5">
        <v>1239</v>
      </c>
      <c r="D4132" s="6">
        <v>11.25</v>
      </c>
      <c r="E4132" t="s">
        <v>12</v>
      </c>
    </row>
    <row r="4133" spans="1:5" x14ac:dyDescent="0.25">
      <c r="A4133" t="str">
        <f>HYPERLINK("https://www.773grp.com/globalSearch/SN74AS4374BDWR/page-1", "SN74AS4374BDWR")</f>
        <v>SN74AS4374BDWR</v>
      </c>
      <c r="B4133" s="3" t="s">
        <v>90</v>
      </c>
      <c r="C4133" s="5">
        <v>4000</v>
      </c>
      <c r="D4133" s="6">
        <v>11.25</v>
      </c>
      <c r="E4133" t="s">
        <v>12</v>
      </c>
    </row>
    <row r="4134" spans="1:5" x14ac:dyDescent="0.25">
      <c r="A4134" t="str">
        <f>HYPERLINK("https://www.773grp.com/globalSearch/SN74AS756N/page-1", "SN74AS756N")</f>
        <v>SN74AS756N</v>
      </c>
      <c r="B4134" s="3" t="s">
        <v>90</v>
      </c>
      <c r="C4134" s="5">
        <v>14339</v>
      </c>
      <c r="D4134" s="6">
        <v>11.25</v>
      </c>
      <c r="E4134" t="s">
        <v>12</v>
      </c>
    </row>
    <row r="4135" spans="1:5" x14ac:dyDescent="0.25">
      <c r="A4135" t="str">
        <f>HYPERLINK("https://www.773grp.com/globalSearch/SN74LS652DWR/page-1", "SN74LS652DWR")</f>
        <v>SN74LS652DWR</v>
      </c>
      <c r="B4135" s="3" t="s">
        <v>90</v>
      </c>
      <c r="C4135" s="5">
        <v>5000</v>
      </c>
      <c r="D4135" s="6">
        <v>11.25</v>
      </c>
      <c r="E4135" t="s">
        <v>12</v>
      </c>
    </row>
    <row r="4136" spans="1:5" x14ac:dyDescent="0.25">
      <c r="A4136" t="str">
        <f>HYPERLINK("https://www.773grp.com/globalSearch/SN74LVC32374AGKER/page-1", "SN74LVC32374AGKER")</f>
        <v>SN74LVC32374AGKER</v>
      </c>
      <c r="B4136" s="3" t="s">
        <v>90</v>
      </c>
      <c r="C4136" s="5">
        <v>7853</v>
      </c>
      <c r="D4136" s="6">
        <v>11.28</v>
      </c>
      <c r="E4136" t="s">
        <v>12</v>
      </c>
    </row>
    <row r="4137" spans="1:5" x14ac:dyDescent="0.25">
      <c r="A4137" t="str">
        <f>HYPERLINK("https://www.773grp.com/globalSearch/SN74LVCR32245AGKER/page-1", "SN74LVCR32245AGKER")</f>
        <v>SN74LVCR32245AGKER</v>
      </c>
      <c r="B4137" s="3" t="s">
        <v>90</v>
      </c>
      <c r="C4137" s="5">
        <v>40000</v>
      </c>
      <c r="D4137" s="6">
        <v>11.28</v>
      </c>
      <c r="E4137" t="s">
        <v>12</v>
      </c>
    </row>
    <row r="4138" spans="1:5" x14ac:dyDescent="0.25">
      <c r="A4138" t="str">
        <f>HYPERLINK("https://www.773grp.com/globalSearch/SN74LVT32244GKER/page-1", "SN74LVT32244GKER")</f>
        <v>SN74LVT32244GKER</v>
      </c>
      <c r="B4138" s="3" t="s">
        <v>90</v>
      </c>
      <c r="C4138" s="5">
        <v>7881</v>
      </c>
      <c r="D4138" s="6">
        <v>11.28</v>
      </c>
      <c r="E4138" t="s">
        <v>12</v>
      </c>
    </row>
    <row r="4139" spans="1:5" x14ac:dyDescent="0.25">
      <c r="A4139" t="str">
        <f>HYPERLINK("https://www.773grp.com/globalSearch/SN74ABT16863DL/page-1", "SN74ABT16863DL")</f>
        <v>SN74ABT16863DL</v>
      </c>
      <c r="B4139" s="3" t="s">
        <v>90</v>
      </c>
      <c r="C4139" s="5">
        <v>352</v>
      </c>
      <c r="D4139" s="6">
        <v>11.34</v>
      </c>
      <c r="E4139" t="s">
        <v>12</v>
      </c>
    </row>
    <row r="4140" spans="1:5" x14ac:dyDescent="0.25">
      <c r="A4140" t="str">
        <f>HYPERLINK("https://www.773grp.com/globalSearch/SN74ABT16863DLR/page-1", "SN74ABT16863DLR")</f>
        <v>SN74ABT16863DLR</v>
      </c>
      <c r="B4140" s="3" t="s">
        <v>90</v>
      </c>
      <c r="C4140" s="5">
        <v>4000</v>
      </c>
      <c r="D4140" s="6">
        <v>11.34</v>
      </c>
      <c r="E4140" t="s">
        <v>12</v>
      </c>
    </row>
    <row r="4141" spans="1:5" x14ac:dyDescent="0.25">
      <c r="A4141" t="str">
        <f>HYPERLINK("https://www.773grp.com/globalSearch/SNJ54AHCT373J/page-1", "SNJ54AHCT373J")</f>
        <v>SNJ54AHCT373J</v>
      </c>
      <c r="B4141" s="3" t="s">
        <v>90</v>
      </c>
      <c r="C4141" s="5">
        <v>80</v>
      </c>
      <c r="D4141" s="6">
        <v>11.34</v>
      </c>
      <c r="E4141" t="s">
        <v>12</v>
      </c>
    </row>
    <row r="4142" spans="1:5" x14ac:dyDescent="0.25">
      <c r="A4142" t="str">
        <f>HYPERLINK("https://www.773grp.com/globalSearch/SN64BCT25244NT/page-1", "SN64BCT25244NT")</f>
        <v>SN64BCT25244NT</v>
      </c>
      <c r="B4142" s="3" t="s">
        <v>90</v>
      </c>
      <c r="C4142" s="5">
        <v>24792</v>
      </c>
      <c r="D4142" s="6">
        <v>11.44</v>
      </c>
      <c r="E4142" t="s">
        <v>12</v>
      </c>
    </row>
    <row r="4143" spans="1:5" x14ac:dyDescent="0.25">
      <c r="A4143" t="str">
        <f>HYPERLINK("https://www.773grp.com/globalSearch/SN74ALS563BN/page-1", "SN74ALS563BN")</f>
        <v>SN74ALS563BN</v>
      </c>
      <c r="B4143" s="3" t="s">
        <v>90</v>
      </c>
      <c r="C4143" s="5">
        <v>12472</v>
      </c>
      <c r="D4143" s="6">
        <v>11.44</v>
      </c>
      <c r="E4143" t="s">
        <v>12</v>
      </c>
    </row>
    <row r="4144" spans="1:5" x14ac:dyDescent="0.25">
      <c r="A4144" t="str">
        <f>HYPERLINK("https://www.773grp.com/globalSearch/SN74LS623DW/page-1", "SN74LS623DW")</f>
        <v>SN74LS623DW</v>
      </c>
      <c r="B4144" s="3" t="s">
        <v>90</v>
      </c>
      <c r="C4144" s="5">
        <v>3814</v>
      </c>
      <c r="D4144" s="6">
        <v>11.44</v>
      </c>
      <c r="E4144" t="s">
        <v>12</v>
      </c>
    </row>
    <row r="4145" spans="1:5" x14ac:dyDescent="0.25">
      <c r="A4145" t="str">
        <f>HYPERLINK("https://www.773grp.com/globalSearch/SN74AS841ADW/page-1", "SN74AS841ADW")</f>
        <v>SN74AS841ADW</v>
      </c>
      <c r="B4145" s="3" t="s">
        <v>90</v>
      </c>
      <c r="C4145" s="5">
        <v>2841</v>
      </c>
      <c r="D4145" s="6">
        <v>11.53</v>
      </c>
      <c r="E4145" t="s">
        <v>12</v>
      </c>
    </row>
    <row r="4146" spans="1:5" x14ac:dyDescent="0.25">
      <c r="A4146" t="str">
        <f>HYPERLINK("https://www.773grp.com/globalSearch/SN74ALS638A-1DW/page-1", "SN74ALS638A-1DW")</f>
        <v>SN74ALS638A-1DW</v>
      </c>
      <c r="B4146" s="3" t="s">
        <v>90</v>
      </c>
      <c r="C4146" s="5">
        <v>2775</v>
      </c>
      <c r="D4146" s="6">
        <v>11.56</v>
      </c>
      <c r="E4146" t="s">
        <v>12</v>
      </c>
    </row>
    <row r="4147" spans="1:5" x14ac:dyDescent="0.25">
      <c r="A4147" t="str">
        <f>HYPERLINK("https://www.773grp.com/globalSearch/SN74ALS638A-1DWR/page-1", "SN74ALS638A-1DWR")</f>
        <v>SN74ALS638A-1DWR</v>
      </c>
      <c r="B4147" s="3" t="s">
        <v>90</v>
      </c>
      <c r="C4147" s="5">
        <v>26000</v>
      </c>
      <c r="D4147" s="6">
        <v>11.56</v>
      </c>
      <c r="E4147" t="s">
        <v>12</v>
      </c>
    </row>
    <row r="4148" spans="1:5" x14ac:dyDescent="0.25">
      <c r="A4148" t="str">
        <f>HYPERLINK("https://www.773grp.com/globalSearch/SN54HCT541J/page-1", "SN54HCT541J")</f>
        <v>SN54HCT541J</v>
      </c>
      <c r="B4148" s="3" t="s">
        <v>90</v>
      </c>
      <c r="C4148" s="5">
        <v>100</v>
      </c>
      <c r="D4148" s="6">
        <v>11.59</v>
      </c>
      <c r="E4148" t="s">
        <v>12</v>
      </c>
    </row>
    <row r="4149" spans="1:5" x14ac:dyDescent="0.25">
      <c r="A4149" t="str">
        <f>HYPERLINK("https://www.773grp.com/globalSearch/SN54ALS580AJ/page-1", "SN54ALS580AJ")</f>
        <v>SN54ALS580AJ</v>
      </c>
      <c r="B4149" s="3" t="s">
        <v>90</v>
      </c>
      <c r="C4149" s="5">
        <v>86</v>
      </c>
      <c r="D4149" s="6">
        <v>11.61</v>
      </c>
      <c r="E4149" t="s">
        <v>12</v>
      </c>
    </row>
    <row r="4150" spans="1:5" x14ac:dyDescent="0.25">
      <c r="A4150" t="str">
        <f>HYPERLINK("https://www.773grp.com/globalSearch/SN74ALS651ADW/page-1", "SN74ALS651ADW")</f>
        <v>SN74ALS651ADW</v>
      </c>
      <c r="B4150" s="3" t="s">
        <v>90</v>
      </c>
      <c r="C4150" s="5">
        <v>2425</v>
      </c>
      <c r="D4150" s="6">
        <v>11.61</v>
      </c>
      <c r="E4150" t="s">
        <v>12</v>
      </c>
    </row>
    <row r="4151" spans="1:5" x14ac:dyDescent="0.25">
      <c r="A4151" t="str">
        <f>HYPERLINK("https://www.773grp.com/globalSearch/SN74ALS876ADWR/page-1", "SN74ALS876ADWR")</f>
        <v>SN74ALS876ADWR</v>
      </c>
      <c r="B4151" s="3" t="s">
        <v>90</v>
      </c>
      <c r="C4151" s="5">
        <v>1000</v>
      </c>
      <c r="D4151" s="6">
        <v>11.61</v>
      </c>
      <c r="E4151" t="s">
        <v>12</v>
      </c>
    </row>
    <row r="4152" spans="1:5" x14ac:dyDescent="0.25">
      <c r="A4152" t="str">
        <f>HYPERLINK("https://www.773grp.com/globalSearch/SN74LVCH32245AGKER/page-1", "SN74LVCH32245AGKER")</f>
        <v>SN74LVCH32245AGKER</v>
      </c>
      <c r="B4152" s="3" t="s">
        <v>90</v>
      </c>
      <c r="C4152" s="5">
        <v>9661</v>
      </c>
      <c r="D4152" s="6">
        <v>11.61</v>
      </c>
      <c r="E4152" t="s">
        <v>12</v>
      </c>
    </row>
    <row r="4153" spans="1:5" x14ac:dyDescent="0.25">
      <c r="A4153" t="str">
        <f>HYPERLINK("https://www.773grp.com/globalSearch/SN64BCT25244DW/page-1", "SN64BCT25244DW")</f>
        <v>SN64BCT25244DW</v>
      </c>
      <c r="B4153" s="3" t="s">
        <v>90</v>
      </c>
      <c r="C4153" s="5">
        <v>14489</v>
      </c>
      <c r="D4153" s="6">
        <v>11.65</v>
      </c>
      <c r="E4153" t="s">
        <v>12</v>
      </c>
    </row>
    <row r="4154" spans="1:5" x14ac:dyDescent="0.25">
      <c r="A4154" t="str">
        <f>HYPERLINK("https://www.773grp.com/globalSearch/SN74ABTH16823DLR/page-1", "SN74ABTH16823DLR")</f>
        <v>SN74ABTH16823DLR</v>
      </c>
      <c r="B4154" s="3" t="s">
        <v>90</v>
      </c>
      <c r="C4154" s="5">
        <v>6000</v>
      </c>
      <c r="D4154" s="6">
        <v>11.65</v>
      </c>
      <c r="E4154" t="s">
        <v>12</v>
      </c>
    </row>
    <row r="4155" spans="1:5" x14ac:dyDescent="0.25">
      <c r="A4155" t="str">
        <f>HYPERLINK("https://www.773grp.com/globalSearch/SN74ALVCH16832DGGR/page-1", "SN74ALVCH16832DGGR")</f>
        <v>SN74ALVCH16832DGGR</v>
      </c>
      <c r="B4155" s="3" t="s">
        <v>90</v>
      </c>
      <c r="C4155" s="5">
        <v>114000</v>
      </c>
      <c r="D4155" s="6">
        <v>11.65</v>
      </c>
      <c r="E4155" t="s">
        <v>12</v>
      </c>
    </row>
    <row r="4156" spans="1:5" x14ac:dyDescent="0.25">
      <c r="A4156" t="str">
        <f>HYPERLINK("https://www.773grp.com/globalSearch/SN74AS760DW/page-1", "SN74AS760DW")</f>
        <v>SN74AS760DW</v>
      </c>
      <c r="B4156" s="3" t="s">
        <v>90</v>
      </c>
      <c r="C4156" s="5">
        <v>11178</v>
      </c>
      <c r="D4156" s="6">
        <v>11.65</v>
      </c>
      <c r="E4156" t="s">
        <v>12</v>
      </c>
    </row>
    <row r="4157" spans="1:5" x14ac:dyDescent="0.25">
      <c r="A4157" t="str">
        <f>HYPERLINK("https://www.773grp.com/globalSearch/SN74BCT25245NT/page-1", "SN74BCT25245NT")</f>
        <v>SN74BCT25245NT</v>
      </c>
      <c r="B4157" s="3" t="s">
        <v>90</v>
      </c>
      <c r="C4157" s="5">
        <v>3096</v>
      </c>
      <c r="D4157" s="6">
        <v>11.65</v>
      </c>
      <c r="E4157" t="s">
        <v>12</v>
      </c>
    </row>
    <row r="4158" spans="1:5" x14ac:dyDescent="0.25">
      <c r="A4158" t="str">
        <f>HYPERLINK("https://www.773grp.com/globalSearch/SN74BCT29825DW/page-1", "SN74BCT29825DW")</f>
        <v>SN74BCT29825DW</v>
      </c>
      <c r="B4158" s="3" t="s">
        <v>90</v>
      </c>
      <c r="C4158" s="5">
        <v>1182</v>
      </c>
      <c r="D4158" s="6">
        <v>11.65</v>
      </c>
      <c r="E4158" t="s">
        <v>12</v>
      </c>
    </row>
    <row r="4159" spans="1:5" x14ac:dyDescent="0.25">
      <c r="A4159" t="str">
        <f>HYPERLINK("https://www.773grp.com/globalSearch/SN74HC623N/page-1", "SN74HC623N")</f>
        <v>SN74HC623N</v>
      </c>
      <c r="B4159" s="3" t="s">
        <v>90</v>
      </c>
      <c r="C4159" s="5">
        <v>1190</v>
      </c>
      <c r="D4159" s="6">
        <v>11.65</v>
      </c>
      <c r="E4159" t="s">
        <v>12</v>
      </c>
    </row>
    <row r="4160" spans="1:5" x14ac:dyDescent="0.25">
      <c r="A4160" t="str">
        <f>HYPERLINK("https://www.773grp.com/globalSearch/SN74LS646DW/page-1", "SN74LS646DW")</f>
        <v>SN74LS646DW</v>
      </c>
      <c r="B4160" s="3" t="s">
        <v>90</v>
      </c>
      <c r="C4160" s="5">
        <v>2562</v>
      </c>
      <c r="D4160" s="6">
        <v>11.65</v>
      </c>
      <c r="E4160" t="s">
        <v>12</v>
      </c>
    </row>
    <row r="4161" spans="1:5" x14ac:dyDescent="0.25">
      <c r="A4161" t="str">
        <f>HYPERLINK("https://www.773grp.com/globalSearch/CD54HCT541F/page-1", "CD54HCT541F")</f>
        <v>CD54HCT541F</v>
      </c>
      <c r="B4161" s="3" t="s">
        <v>90</v>
      </c>
      <c r="C4161" s="5">
        <v>2</v>
      </c>
      <c r="D4161" s="6">
        <v>11.68</v>
      </c>
      <c r="E4161" t="s">
        <v>12</v>
      </c>
    </row>
    <row r="4162" spans="1:5" x14ac:dyDescent="0.25">
      <c r="A4162" t="str">
        <f>HYPERLINK("https://www.773grp.com/globalSearch/SNJ54LS367AJ/page-1", "SNJ54LS367AJ")</f>
        <v>SNJ54LS367AJ</v>
      </c>
      <c r="B4162" s="3" t="s">
        <v>90</v>
      </c>
      <c r="C4162" s="5">
        <v>243</v>
      </c>
      <c r="D4162" s="6">
        <v>11.73</v>
      </c>
      <c r="E4162" t="s">
        <v>12</v>
      </c>
    </row>
    <row r="4163" spans="1:5" x14ac:dyDescent="0.25">
      <c r="A4163" t="str">
        <f>HYPERLINK("https://www.773grp.com/globalSearch/SN74ALS844DWR/page-1", "SN74ALS844DWR")</f>
        <v>SN74ALS844DWR</v>
      </c>
      <c r="B4163" s="3" t="s">
        <v>90</v>
      </c>
      <c r="C4163" s="5">
        <v>2000</v>
      </c>
      <c r="D4163" s="6">
        <v>11.76</v>
      </c>
      <c r="E4163" t="s">
        <v>12</v>
      </c>
    </row>
    <row r="4164" spans="1:5" x14ac:dyDescent="0.25">
      <c r="A4164" t="str">
        <f>HYPERLINK("https://www.773grp.com/globalSearch/SN74ALVCH162831GR/page-1", "SN74ALVCH162831GR")</f>
        <v>SN74ALVCH162831GR</v>
      </c>
      <c r="B4164" s="3" t="s">
        <v>90</v>
      </c>
      <c r="C4164" s="5">
        <v>2000</v>
      </c>
      <c r="D4164" s="6">
        <v>11.85</v>
      </c>
      <c r="E4164" t="s">
        <v>12</v>
      </c>
    </row>
    <row r="4165" spans="1:5" x14ac:dyDescent="0.25">
      <c r="A4165" t="str">
        <f>HYPERLINK("https://www.773grp.com/globalSearch/SN74LS642-1N/page-1", "SN74LS642-1N")</f>
        <v>SN74LS642-1N</v>
      </c>
      <c r="B4165" s="3" t="s">
        <v>90</v>
      </c>
      <c r="C4165" s="5">
        <v>13108</v>
      </c>
      <c r="D4165" s="6">
        <v>11.85</v>
      </c>
      <c r="E4165" t="s">
        <v>12</v>
      </c>
    </row>
    <row r="4166" spans="1:5" x14ac:dyDescent="0.25">
      <c r="A4166" t="str">
        <f>HYPERLINK("https://www.773grp.com/globalSearch/SN74LS642N/page-1", "SN74LS642N")</f>
        <v>SN74LS642N</v>
      </c>
      <c r="B4166" s="3" t="s">
        <v>90</v>
      </c>
      <c r="C4166" s="5">
        <v>1928</v>
      </c>
      <c r="D4166" s="6">
        <v>11.85</v>
      </c>
      <c r="E4166" t="s">
        <v>12</v>
      </c>
    </row>
    <row r="4167" spans="1:5" x14ac:dyDescent="0.25">
      <c r="A4167" t="str">
        <f>HYPERLINK("https://www.773grp.com/globalSearch/SN74BCT29846NT/page-1", "SN74BCT29846NT")</f>
        <v>SN74BCT29846NT</v>
      </c>
      <c r="B4167" s="3" t="s">
        <v>90</v>
      </c>
      <c r="C4167" s="5">
        <v>465</v>
      </c>
      <c r="D4167" s="6">
        <v>11.86</v>
      </c>
      <c r="E4167" t="s">
        <v>12</v>
      </c>
    </row>
    <row r="4168" spans="1:5" x14ac:dyDescent="0.25">
      <c r="A4168" t="str">
        <f>HYPERLINK("https://www.773grp.com/globalSearch/JM38510-32402BRA/page-1", "JM38510-32402BRA")</f>
        <v>JM38510-32402BRA</v>
      </c>
      <c r="B4168" s="3" t="s">
        <v>90</v>
      </c>
      <c r="C4168" s="5">
        <v>1214</v>
      </c>
      <c r="D4168" s="6">
        <v>11.9</v>
      </c>
      <c r="E4168" t="s">
        <v>12</v>
      </c>
    </row>
    <row r="4169" spans="1:5" x14ac:dyDescent="0.25">
      <c r="A4169" t="str">
        <f>HYPERLINK("https://www.773grp.com/globalSearch/SN74ABT16241DL/page-1", "SN74ABT16241DL")</f>
        <v>SN74ABT16241DL</v>
      </c>
      <c r="B4169" s="3" t="s">
        <v>90</v>
      </c>
      <c r="C4169" s="5">
        <v>285</v>
      </c>
      <c r="D4169" s="6">
        <v>11.95</v>
      </c>
      <c r="E4169" t="s">
        <v>12</v>
      </c>
    </row>
    <row r="4170" spans="1:5" x14ac:dyDescent="0.25">
      <c r="A4170" t="str">
        <f>HYPERLINK("https://www.773grp.com/globalSearch/SNJ54HC534J/page-1", "SNJ54HC534J")</f>
        <v>SNJ54HC534J</v>
      </c>
      <c r="B4170" s="3" t="s">
        <v>90</v>
      </c>
      <c r="C4170" s="5">
        <v>9</v>
      </c>
      <c r="D4170" s="6">
        <v>11.95</v>
      </c>
      <c r="E4170" t="s">
        <v>12</v>
      </c>
    </row>
    <row r="4171" spans="1:5" x14ac:dyDescent="0.25">
      <c r="A4171" t="str">
        <f>HYPERLINK("https://www.773grp.com/globalSearch/SN74BCT8373DW/page-1", "SN74BCT8373DW")</f>
        <v>SN74BCT8373DW</v>
      </c>
      <c r="B4171" s="3" t="s">
        <v>90</v>
      </c>
      <c r="C4171" s="5">
        <v>1401</v>
      </c>
      <c r="D4171" s="6">
        <v>12.04</v>
      </c>
      <c r="E4171" t="s">
        <v>12</v>
      </c>
    </row>
    <row r="4172" spans="1:5" x14ac:dyDescent="0.25">
      <c r="A4172" t="str">
        <f>HYPERLINK("https://www.773grp.com/globalSearch/SN74BCT8373DWR/page-1", "SN74BCT8373DWR")</f>
        <v>SN74BCT8373DWR</v>
      </c>
      <c r="B4172" s="3" t="s">
        <v>90</v>
      </c>
      <c r="C4172" s="5">
        <v>1000</v>
      </c>
      <c r="D4172" s="6">
        <v>12.04</v>
      </c>
      <c r="E4172" t="s">
        <v>12</v>
      </c>
    </row>
    <row r="4173" spans="1:5" x14ac:dyDescent="0.25">
      <c r="A4173" t="str">
        <f>HYPERLINK("https://www.773grp.com/globalSearch/SN74BCT8373NT/page-1", "SN74BCT8373NT")</f>
        <v>SN74BCT8373NT</v>
      </c>
      <c r="B4173" s="3" t="s">
        <v>90</v>
      </c>
      <c r="C4173" s="5">
        <v>127</v>
      </c>
      <c r="D4173" s="6">
        <v>12.04</v>
      </c>
      <c r="E4173" t="s">
        <v>12</v>
      </c>
    </row>
    <row r="4174" spans="1:5" x14ac:dyDescent="0.25">
      <c r="A4174" t="str">
        <f>HYPERLINK("https://www.773grp.com/globalSearch/5962-9681901QRA/page-1", "5962-9681901QRA")</f>
        <v>5962-9681901QRA</v>
      </c>
      <c r="B4174" s="3" t="s">
        <v>90</v>
      </c>
      <c r="C4174" s="5">
        <v>193</v>
      </c>
      <c r="D4174" s="6">
        <v>12.06</v>
      </c>
      <c r="E4174" t="s">
        <v>12</v>
      </c>
    </row>
    <row r="4175" spans="1:5" x14ac:dyDescent="0.25">
      <c r="A4175" t="str">
        <f>HYPERLINK("https://www.773grp.com/globalSearch/SN64BCT25244DWR/page-1", "SN64BCT25244DWR")</f>
        <v>SN64BCT25244DWR</v>
      </c>
      <c r="B4175" s="3" t="s">
        <v>90</v>
      </c>
      <c r="C4175" s="5">
        <v>2000</v>
      </c>
      <c r="D4175" s="6">
        <v>12.06</v>
      </c>
      <c r="E4175" t="s">
        <v>12</v>
      </c>
    </row>
    <row r="4176" spans="1:5" x14ac:dyDescent="0.25">
      <c r="A4176" t="str">
        <f>HYPERLINK("https://www.773grp.com/globalSearch/SN74ABT16601DLR/page-1", "SN74ABT16601DLR")</f>
        <v>SN74ABT16601DLR</v>
      </c>
      <c r="B4176" s="3" t="s">
        <v>90</v>
      </c>
      <c r="C4176" s="5">
        <v>5486</v>
      </c>
      <c r="D4176" s="6">
        <v>12.06</v>
      </c>
      <c r="E4176" t="s">
        <v>12</v>
      </c>
    </row>
    <row r="4177" spans="1:5" x14ac:dyDescent="0.25">
      <c r="A4177" t="str">
        <f>HYPERLINK("https://www.773grp.com/globalSearch/SN74ABTH162260DL/page-1", "SN74ABTH162260DL")</f>
        <v>SN74ABTH162260DL</v>
      </c>
      <c r="B4177" s="3" t="s">
        <v>90</v>
      </c>
      <c r="C4177" s="5">
        <v>1048</v>
      </c>
      <c r="D4177" s="6">
        <v>12.06</v>
      </c>
      <c r="E4177" t="s">
        <v>12</v>
      </c>
    </row>
    <row r="4178" spans="1:5" x14ac:dyDescent="0.25">
      <c r="A4178" t="str">
        <f>HYPERLINK("https://www.773grp.com/globalSearch/SN74ALB16244DLR/page-1", "SN74ALB16244DLR")</f>
        <v>SN74ALB16244DLR</v>
      </c>
      <c r="B4178" s="3" t="s">
        <v>90</v>
      </c>
      <c r="C4178" s="5">
        <v>22491</v>
      </c>
      <c r="D4178" s="6">
        <v>12.06</v>
      </c>
      <c r="E4178" t="s">
        <v>12</v>
      </c>
    </row>
    <row r="4179" spans="1:5" x14ac:dyDescent="0.25">
      <c r="A4179" t="str">
        <f>HYPERLINK("https://www.773grp.com/globalSearch/SN74ALB16245DLR/page-1", "SN74ALB16245DLR")</f>
        <v>SN74ALB16245DLR</v>
      </c>
      <c r="B4179" s="3" t="s">
        <v>90</v>
      </c>
      <c r="C4179" s="5">
        <v>33000</v>
      </c>
      <c r="D4179" s="6">
        <v>12.06</v>
      </c>
      <c r="E4179" t="s">
        <v>12</v>
      </c>
    </row>
    <row r="4180" spans="1:5" x14ac:dyDescent="0.25">
      <c r="A4180" t="str">
        <f>HYPERLINK("https://www.773grp.com/globalSearch/SN74ALS29863DW/page-1", "SN74ALS29863DW")</f>
        <v>SN74ALS29863DW</v>
      </c>
      <c r="B4180" s="3" t="s">
        <v>90</v>
      </c>
      <c r="C4180" s="5">
        <v>26485</v>
      </c>
      <c r="D4180" s="6">
        <v>12.06</v>
      </c>
      <c r="E4180" t="s">
        <v>12</v>
      </c>
    </row>
    <row r="4181" spans="1:5" x14ac:dyDescent="0.25">
      <c r="A4181" t="str">
        <f>HYPERLINK("https://www.773grp.com/globalSearch/SN74ALS620AN/page-1", "SN74ALS620AN")</f>
        <v>SN74ALS620AN</v>
      </c>
      <c r="B4181" s="3" t="s">
        <v>90</v>
      </c>
      <c r="C4181" s="5">
        <v>361</v>
      </c>
      <c r="D4181" s="6">
        <v>12.06</v>
      </c>
      <c r="E4181" t="s">
        <v>12</v>
      </c>
    </row>
    <row r="4182" spans="1:5" x14ac:dyDescent="0.25">
      <c r="A4182" t="str">
        <f>HYPERLINK("https://www.773grp.com/globalSearch/SN74LVTH182504APM/page-1", "SN74LVTH182504APM")</f>
        <v>SN74LVTH182504APM</v>
      </c>
      <c r="B4182" s="3" t="s">
        <v>90</v>
      </c>
      <c r="C4182" s="5">
        <v>15717</v>
      </c>
      <c r="D4182" s="6">
        <v>12.06</v>
      </c>
      <c r="E4182" t="s">
        <v>12</v>
      </c>
    </row>
    <row r="4183" spans="1:5" x14ac:dyDescent="0.25">
      <c r="A4183" t="str">
        <f>HYPERLINK("https://www.773grp.com/globalSearch/SN74LVTH18512DGGR/page-1", "SN74LVTH18512DGGR")</f>
        <v>SN74LVTH18512DGGR</v>
      </c>
      <c r="B4183" s="3" t="s">
        <v>90</v>
      </c>
      <c r="C4183" s="5">
        <v>21</v>
      </c>
      <c r="D4183" s="6">
        <v>12.06</v>
      </c>
      <c r="E4183" t="s">
        <v>12</v>
      </c>
    </row>
    <row r="4184" spans="1:5" x14ac:dyDescent="0.25">
      <c r="A4184" t="str">
        <f>HYPERLINK("https://www.773grp.com/globalSearch/SN74LVTH18514DGGR/page-1", "SN74LVTH18514DGGR")</f>
        <v>SN74LVTH18514DGGR</v>
      </c>
      <c r="B4184" s="3" t="s">
        <v>90</v>
      </c>
      <c r="C4184" s="5">
        <v>1900</v>
      </c>
      <c r="D4184" s="6">
        <v>12.06</v>
      </c>
      <c r="E4184" t="s">
        <v>12</v>
      </c>
    </row>
    <row r="4185" spans="1:5" x14ac:dyDescent="0.25">
      <c r="A4185" t="str">
        <f>HYPERLINK("https://www.773grp.com/globalSearch/SN54AS822JT/page-1", "SN54AS822JT")</f>
        <v>SN54AS822JT</v>
      </c>
      <c r="B4185" s="3" t="s">
        <v>90</v>
      </c>
      <c r="C4185" s="5">
        <v>58</v>
      </c>
      <c r="D4185" s="6">
        <v>12.1</v>
      </c>
      <c r="E4185" t="s">
        <v>12</v>
      </c>
    </row>
    <row r="4186" spans="1:5" x14ac:dyDescent="0.25">
      <c r="A4186" t="str">
        <f>HYPERLINK("https://www.773grp.com/globalSearch/CD74FCT646EN/page-1", "CD74FCT646EN")</f>
        <v>CD74FCT646EN</v>
      </c>
      <c r="B4186" s="3" t="str">
        <f>HYPERLINK("https://www.773grp.com/manufacturer/texas-instruments?pageNo=1", "Texas Instruments")</f>
        <v>Texas Instruments</v>
      </c>
      <c r="C4186" s="5">
        <v>2141</v>
      </c>
      <c r="D4186" s="6">
        <v>12.11</v>
      </c>
      <c r="E4186" t="s">
        <v>12</v>
      </c>
    </row>
    <row r="4187" spans="1:5" x14ac:dyDescent="0.25">
      <c r="A4187" t="str">
        <f>HYPERLINK("https://www.773grp.com/globalSearch/SN74AS646DWR/page-1", "SN74AS646DWR")</f>
        <v>SN74AS646DWR</v>
      </c>
      <c r="B4187" s="3" t="str">
        <f>HYPERLINK("https://www.773grp.com/manufacturer/texas-instruments?pageNo=6", "Texas Instruments")</f>
        <v>Texas Instruments</v>
      </c>
      <c r="C4187" s="5">
        <v>3000</v>
      </c>
      <c r="D4187" s="6">
        <v>12.11</v>
      </c>
      <c r="E4187" t="s">
        <v>12</v>
      </c>
    </row>
    <row r="4188" spans="1:5" x14ac:dyDescent="0.25">
      <c r="A4188" t="str">
        <f>HYPERLINK("https://www.773grp.com/globalSearch/SNJ54LS240J/page-1", "SNJ54LS240J")</f>
        <v>SNJ54LS240J</v>
      </c>
      <c r="B4188" s="3" t="str">
        <f>HYPERLINK("https://www.773grp.com/manufacturer/texas-instruments?pageNo=7", "Texas Instruments")</f>
        <v>Texas Instruments</v>
      </c>
      <c r="C4188" s="5">
        <v>859</v>
      </c>
      <c r="D4188" s="6">
        <v>12.11</v>
      </c>
      <c r="E4188" t="s">
        <v>12</v>
      </c>
    </row>
    <row r="4189" spans="1:5" x14ac:dyDescent="0.25">
      <c r="A4189" t="str">
        <f>HYPERLINK("https://www.773grp.com/globalSearch/SN74ALS2541DWR/page-1", "SN74ALS2541DWR")</f>
        <v>SN74ALS2541DWR</v>
      </c>
      <c r="B4189" s="3" t="str">
        <f>HYPERLINK("https://www.773grp.com/manufacturer/texas-instruments?pageNo=31", "Texas Instruments")</f>
        <v>Texas Instruments</v>
      </c>
      <c r="C4189" s="5">
        <v>13000</v>
      </c>
      <c r="D4189" s="6">
        <v>12.19</v>
      </c>
      <c r="E4189" t="s">
        <v>12</v>
      </c>
    </row>
    <row r="4190" spans="1:5" x14ac:dyDescent="0.25">
      <c r="A4190" t="str">
        <f>HYPERLINK("https://www.773grp.com/globalSearch/SN74AS763DW/page-1", "SN74AS763DW")</f>
        <v>SN74AS763DW</v>
      </c>
      <c r="B4190" s="3" t="str">
        <f>HYPERLINK("https://www.773grp.com/manufacturer/texas-instruments?pageNo=32", "Texas Instruments")</f>
        <v>Texas Instruments</v>
      </c>
      <c r="C4190" s="5">
        <v>1521</v>
      </c>
      <c r="D4190" s="6">
        <v>12.19</v>
      </c>
      <c r="E4190" t="s">
        <v>12</v>
      </c>
    </row>
    <row r="4191" spans="1:5" x14ac:dyDescent="0.25">
      <c r="A4191" t="str">
        <f>HYPERLINK("https://www.773grp.com/globalSearch/SN74AS763DWR/page-1", "SN74AS763DWR")</f>
        <v>SN74AS763DWR</v>
      </c>
      <c r="B4191" s="3" t="str">
        <f>HYPERLINK("https://www.773grp.com/manufacturer/texas-instruments?pageNo=33", "Texas Instruments")</f>
        <v>Texas Instruments</v>
      </c>
      <c r="C4191" s="5">
        <v>1000</v>
      </c>
      <c r="D4191" s="6">
        <v>12.19</v>
      </c>
      <c r="E4191" t="s">
        <v>12</v>
      </c>
    </row>
    <row r="4192" spans="1:5" x14ac:dyDescent="0.25">
      <c r="A4192" t="str">
        <f>HYPERLINK("https://www.773grp.com/globalSearch/SN74AS763N/page-1", "SN74AS763N")</f>
        <v>SN74AS763N</v>
      </c>
      <c r="B4192" s="3" t="str">
        <f>HYPERLINK("https://www.773grp.com/manufacturer/texas-instruments?pageNo=34", "Texas Instruments")</f>
        <v>Texas Instruments</v>
      </c>
      <c r="C4192" s="5">
        <v>765</v>
      </c>
      <c r="D4192" s="6">
        <v>12.19</v>
      </c>
      <c r="E4192" t="s">
        <v>12</v>
      </c>
    </row>
    <row r="4193" spans="1:5" x14ac:dyDescent="0.25">
      <c r="A4193" t="str">
        <f>HYPERLINK("https://www.773grp.com/globalSearch/SN74ALS29821DW/page-1", "SN74ALS29821DW")</f>
        <v>SN74ALS29821DW</v>
      </c>
      <c r="B4193" s="3" t="str">
        <f>HYPERLINK("https://www.773grp.com/manufacturer/texas-instruments?pageNo=71", "Texas Instruments")</f>
        <v>Texas Instruments</v>
      </c>
      <c r="C4193" s="5">
        <v>21680</v>
      </c>
      <c r="D4193" s="6">
        <v>12.26</v>
      </c>
      <c r="E4193" t="s">
        <v>12</v>
      </c>
    </row>
    <row r="4194" spans="1:5" x14ac:dyDescent="0.25">
      <c r="A4194" t="str">
        <f>HYPERLINK("https://www.773grp.com/globalSearch/SN74AS756DWE4/page-1", "SN74AS756DWE4")</f>
        <v>SN74AS756DWE4</v>
      </c>
      <c r="B4194" s="3" t="str">
        <f>HYPERLINK("https://www.773grp.com/manufacturer/texas-instruments?pageNo=73", "Texas Instruments")</f>
        <v>Texas Instruments</v>
      </c>
      <c r="C4194" s="5">
        <v>153</v>
      </c>
      <c r="D4194" s="6">
        <v>12.26</v>
      </c>
      <c r="E4194" t="s">
        <v>12</v>
      </c>
    </row>
    <row r="4195" spans="1:5" x14ac:dyDescent="0.25">
      <c r="A4195" t="str">
        <f>HYPERLINK("https://www.773grp.com/globalSearch/SN74AS874DW/page-1", "SN74AS874DW")</f>
        <v>SN74AS874DW</v>
      </c>
      <c r="B4195" s="3" t="str">
        <f>HYPERLINK("https://www.773grp.com/manufacturer/texas-instruments?pageNo=74", "Texas Instruments")</f>
        <v>Texas Instruments</v>
      </c>
      <c r="C4195" s="5">
        <v>3110</v>
      </c>
      <c r="D4195" s="6">
        <v>12.26</v>
      </c>
      <c r="E4195" t="s">
        <v>12</v>
      </c>
    </row>
    <row r="4196" spans="1:5" x14ac:dyDescent="0.25">
      <c r="A4196" t="str">
        <f>HYPERLINK("https://www.773grp.com/globalSearch/SN74CB3Q32245GKER/page-1", "SN74CB3Q32245GKER")</f>
        <v>SN74CB3Q32245GKER</v>
      </c>
      <c r="B4196" s="3" t="str">
        <f>HYPERLINK("https://www.773grp.com/manufacturer/texas-instruments?pageNo=80", "Texas Instruments")</f>
        <v>Texas Instruments</v>
      </c>
      <c r="C4196" s="5">
        <v>12000</v>
      </c>
      <c r="D4196" s="6">
        <v>12.29</v>
      </c>
      <c r="E4196" t="s">
        <v>12</v>
      </c>
    </row>
    <row r="4197" spans="1:5" x14ac:dyDescent="0.25">
      <c r="A4197" t="str">
        <f>HYPERLINK("https://www.773grp.com/globalSearch/SN74S373N/page-1", "SN74S373N")</f>
        <v>SN74S373N</v>
      </c>
      <c r="B4197" s="3" t="str">
        <f>HYPERLINK("https://www.773grp.com/manufacturer/texas-instruments?pageNo=82", "Texas Instruments")</f>
        <v>Texas Instruments</v>
      </c>
      <c r="C4197" s="5">
        <v>1722</v>
      </c>
      <c r="D4197" s="6">
        <v>12.29</v>
      </c>
      <c r="E4197" t="s">
        <v>12</v>
      </c>
    </row>
    <row r="4198" spans="1:5" x14ac:dyDescent="0.25">
      <c r="A4198" t="str">
        <f>HYPERLINK("https://www.773grp.com/globalSearch/SN54HCT244J/page-1", "SN54HCT244J")</f>
        <v>SN54HCT244J</v>
      </c>
      <c r="B4198" s="3" t="str">
        <f>HYPERLINK("https://www.773grp.com/manufacturer/texas-instruments?pageNo=162", "Texas Instruments")</f>
        <v>Texas Instruments</v>
      </c>
      <c r="C4198" s="5">
        <v>2547</v>
      </c>
      <c r="D4198" s="6">
        <v>12.4</v>
      </c>
      <c r="E4198" t="s">
        <v>12</v>
      </c>
    </row>
    <row r="4199" spans="1:5" x14ac:dyDescent="0.25">
      <c r="A4199" t="str">
        <f>HYPERLINK("https://www.773grp.com/globalSearch/CD54HCT244F/page-1", "CD54HCT244F")</f>
        <v>CD54HCT244F</v>
      </c>
      <c r="B4199" s="3" t="str">
        <f>HYPERLINK("https://www.773grp.com/manufacturer/texas-instruments?pageNo=165", "Texas Instruments")</f>
        <v>Texas Instruments</v>
      </c>
      <c r="C4199" s="5">
        <v>470</v>
      </c>
      <c r="D4199" s="6">
        <v>12.44</v>
      </c>
      <c r="E4199" t="s">
        <v>12</v>
      </c>
    </row>
    <row r="4200" spans="1:5" x14ac:dyDescent="0.25">
      <c r="A4200" t="str">
        <f>HYPERLINK("https://www.773grp.com/globalSearch/74ACT16544DL/page-1", "74ACT16544DL")</f>
        <v>74ACT16544DL</v>
      </c>
      <c r="B4200" s="3" t="str">
        <f>HYPERLINK("https://www.773grp.com/manufacturer/texas-instruments?pageNo=169", "Texas Instruments")</f>
        <v>Texas Instruments</v>
      </c>
      <c r="C4200" s="5">
        <v>1235</v>
      </c>
      <c r="D4200" s="6">
        <v>12.45</v>
      </c>
      <c r="E4200" t="s">
        <v>12</v>
      </c>
    </row>
    <row r="4201" spans="1:5" x14ac:dyDescent="0.25">
      <c r="A4201" t="str">
        <f>HYPERLINK("https://www.773grp.com/globalSearch/SN54HCT240J/page-1", "SN54HCT240J")</f>
        <v>SN54HCT240J</v>
      </c>
      <c r="B4201" s="3" t="str">
        <f>HYPERLINK("https://www.773grp.com/manufacturer/texas-instruments?pageNo=173", "Texas Instruments")</f>
        <v>Texas Instruments</v>
      </c>
      <c r="C4201" s="5">
        <v>320</v>
      </c>
      <c r="D4201" s="6">
        <v>12.45</v>
      </c>
      <c r="E4201" t="s">
        <v>12</v>
      </c>
    </row>
    <row r="4202" spans="1:5" x14ac:dyDescent="0.25">
      <c r="A4202" t="str">
        <f>HYPERLINK("https://www.773grp.com/globalSearch/SN74ABT16640DGGR/page-1", "SN74ABT16640DGGR")</f>
        <v>SN74ABT16640DGGR</v>
      </c>
      <c r="B4202" s="3" t="str">
        <f>HYPERLINK("https://www.773grp.com/manufacturer/texas-instruments?pageNo=174", "Texas Instruments")</f>
        <v>Texas Instruments</v>
      </c>
      <c r="C4202" s="5">
        <v>7830</v>
      </c>
      <c r="D4202" s="6">
        <v>12.45</v>
      </c>
      <c r="E4202" t="s">
        <v>12</v>
      </c>
    </row>
    <row r="4203" spans="1:5" x14ac:dyDescent="0.25">
      <c r="A4203" t="str">
        <f>HYPERLINK("https://www.773grp.com/globalSearch/SN74ALS29828FN/page-1", "SN74ALS29828FN")</f>
        <v>SN74ALS29828FN</v>
      </c>
      <c r="B4203" s="3" t="str">
        <f>HYPERLINK("https://www.773grp.com/manufacturer/texas-instruments?pageNo=175", "Texas Instruments")</f>
        <v>Texas Instruments</v>
      </c>
      <c r="C4203" s="5">
        <v>1181</v>
      </c>
      <c r="D4203" s="6">
        <v>12.45</v>
      </c>
      <c r="E4203" t="s">
        <v>12</v>
      </c>
    </row>
    <row r="4204" spans="1:5" x14ac:dyDescent="0.25">
      <c r="A4204" t="str">
        <f>HYPERLINK("https://www.773grp.com/globalSearch/SN74ALS563BDW/page-1", "SN74ALS563BDW")</f>
        <v>SN74ALS563BDW</v>
      </c>
      <c r="B4204" s="3" t="str">
        <f>HYPERLINK("https://www.773grp.com/manufacturer/texas-instruments?pageNo=176", "Texas Instruments")</f>
        <v>Texas Instruments</v>
      </c>
      <c r="C4204" s="5">
        <v>15933</v>
      </c>
      <c r="D4204" s="6">
        <v>12.45</v>
      </c>
      <c r="E4204" t="s">
        <v>12</v>
      </c>
    </row>
    <row r="4205" spans="1:5" x14ac:dyDescent="0.25">
      <c r="A4205" t="str">
        <f>HYPERLINK("https://www.773grp.com/globalSearch/SN74VMEH22501GQLR/page-1", "SN74VMEH22501GQLR")</f>
        <v>SN74VMEH22501GQLR</v>
      </c>
      <c r="B4205" s="3" t="str">
        <f>HYPERLINK("https://www.773grp.com/manufacturer/texas-instruments?pageNo=177", "Texas Instruments")</f>
        <v>Texas Instruments</v>
      </c>
      <c r="C4205" s="5">
        <v>8380</v>
      </c>
      <c r="D4205" s="6">
        <v>12.45</v>
      </c>
      <c r="E4205" t="s">
        <v>12</v>
      </c>
    </row>
    <row r="4206" spans="1:5" x14ac:dyDescent="0.25">
      <c r="A4206" t="str">
        <f>HYPERLINK("https://www.773grp.com/globalSearch/SNJ54F534FK/page-1", "SNJ54F534FK")</f>
        <v>SNJ54F534FK</v>
      </c>
      <c r="B4206" s="3" t="str">
        <f>HYPERLINK("https://www.773grp.com/manufacturer/texas-instruments?pageNo=185", "Texas Instruments")</f>
        <v>Texas Instruments</v>
      </c>
      <c r="C4206" s="5">
        <v>146</v>
      </c>
      <c r="D4206" s="6">
        <v>12.45</v>
      </c>
      <c r="E4206" t="s">
        <v>12</v>
      </c>
    </row>
    <row r="4207" spans="1:5" x14ac:dyDescent="0.25">
      <c r="A4207" t="str">
        <f>HYPERLINK("https://www.773grp.com/globalSearch/SNJ54F623FK/page-1", "SNJ54F623FK")</f>
        <v>SNJ54F623FK</v>
      </c>
      <c r="B4207" s="3" t="str">
        <f>HYPERLINK("https://www.773grp.com/manufacturer/texas-instruments?pageNo=186", "Texas Instruments")</f>
        <v>Texas Instruments</v>
      </c>
      <c r="C4207" s="5">
        <v>6</v>
      </c>
      <c r="D4207" s="6">
        <v>12.45</v>
      </c>
      <c r="E4207" t="s">
        <v>12</v>
      </c>
    </row>
    <row r="4208" spans="1:5" x14ac:dyDescent="0.25">
      <c r="A4208" t="str">
        <f>HYPERLINK("https://www.773grp.com/globalSearch/SN74AS651DW/page-1", "SN74AS651DW")</f>
        <v>SN74AS651DW</v>
      </c>
      <c r="B4208" s="3" t="str">
        <f>HYPERLINK("https://www.773grp.com/manufacturer/texas-instruments?pageNo=195", "Texas Instruments")</f>
        <v>Texas Instruments</v>
      </c>
      <c r="C4208" s="5">
        <v>1176</v>
      </c>
      <c r="D4208" s="6">
        <v>12.49</v>
      </c>
      <c r="E4208" t="s">
        <v>12</v>
      </c>
    </row>
    <row r="4209" spans="1:5" x14ac:dyDescent="0.25">
      <c r="A4209" t="str">
        <f>HYPERLINK("https://www.773grp.com/globalSearch/SN74AS651NT/page-1", "SN74AS651NT")</f>
        <v>SN74AS651NT</v>
      </c>
      <c r="B4209" s="3" t="str">
        <f>HYPERLINK("https://www.773grp.com/manufacturer/texas-instruments?pageNo=196", "Texas Instruments")</f>
        <v>Texas Instruments</v>
      </c>
      <c r="C4209" s="5">
        <v>1796</v>
      </c>
      <c r="D4209" s="6">
        <v>12.49</v>
      </c>
      <c r="E4209" t="s">
        <v>12</v>
      </c>
    </row>
    <row r="4210" spans="1:5" x14ac:dyDescent="0.25">
      <c r="A4210" t="str">
        <f>HYPERLINK("https://www.773grp.com/globalSearch/CDC391DR/page-1", "CDC391DR")</f>
        <v>CDC391DR</v>
      </c>
      <c r="B4210" s="3" t="str">
        <f>HYPERLINK("https://www.773grp.com/manufacturer/texas-instruments?pageNo=243", "Texas Instruments")</f>
        <v>Texas Instruments</v>
      </c>
      <c r="C4210" s="5">
        <v>20000</v>
      </c>
      <c r="D4210" s="6">
        <v>12.54</v>
      </c>
      <c r="E4210" t="s">
        <v>12</v>
      </c>
    </row>
    <row r="4211" spans="1:5" x14ac:dyDescent="0.25">
      <c r="A4211" t="str">
        <f>HYPERLINK("https://www.773grp.com/globalSearch/SNJ54LS373J/page-1", "SNJ54LS373J")</f>
        <v>SNJ54LS373J</v>
      </c>
      <c r="B4211" s="3" t="str">
        <f>HYPERLINK("https://www.773grp.com/manufacturer/texas-instruments?pageNo=256", "Texas Instruments")</f>
        <v>Texas Instruments</v>
      </c>
      <c r="C4211" s="5">
        <v>1</v>
      </c>
      <c r="D4211" s="6">
        <v>12.58</v>
      </c>
      <c r="E4211" t="s">
        <v>12</v>
      </c>
    </row>
    <row r="4212" spans="1:5" x14ac:dyDescent="0.25">
      <c r="A4212" t="str">
        <f>HYPERLINK("https://www.773grp.com/globalSearch/SN54LS125AJ/page-1", "SN54LS125AJ")</f>
        <v>SN54LS125AJ</v>
      </c>
      <c r="B4212" s="3" t="str">
        <f>HYPERLINK("https://www.773grp.com/manufacturer/texas-instruments?pageNo=265", "Texas Instruments")</f>
        <v>Texas Instruments</v>
      </c>
      <c r="C4212" s="5">
        <v>434</v>
      </c>
      <c r="D4212" s="6">
        <v>12.63</v>
      </c>
      <c r="E4212" t="s">
        <v>12</v>
      </c>
    </row>
    <row r="4213" spans="1:5" x14ac:dyDescent="0.25">
      <c r="A4213" t="str">
        <f>HYPERLINK("https://www.773grp.com/globalSearch/SN74ABT8245DW/page-1", "SN74ABT8245DW")</f>
        <v>SN74ABT8245DW</v>
      </c>
      <c r="B4213" s="3" t="str">
        <f>HYPERLINK("https://www.773grp.com/manufacturer/texas-instruments?pageNo=285", "Texas Instruments")</f>
        <v>Texas Instruments</v>
      </c>
      <c r="C4213" s="5">
        <v>2243</v>
      </c>
      <c r="D4213" s="6">
        <v>12.66</v>
      </c>
      <c r="E4213" t="s">
        <v>12</v>
      </c>
    </row>
    <row r="4214" spans="1:5" x14ac:dyDescent="0.25">
      <c r="A4214" t="str">
        <f>HYPERLINK("https://www.773grp.com/globalSearch/SN74ABT8245DWG4/page-1", "SN74ABT8245DWG4")</f>
        <v>SN74ABT8245DWG4</v>
      </c>
      <c r="B4214" s="3" t="str">
        <f>HYPERLINK("https://www.773grp.com/manufacturer/texas-instruments?pageNo=286", "Texas Instruments")</f>
        <v>Texas Instruments</v>
      </c>
      <c r="C4214" s="5">
        <v>500</v>
      </c>
      <c r="D4214" s="6">
        <v>12.66</v>
      </c>
      <c r="E4214" t="s">
        <v>12</v>
      </c>
    </row>
    <row r="4215" spans="1:5" x14ac:dyDescent="0.25">
      <c r="A4215" t="str">
        <f>HYPERLINK("https://www.773grp.com/globalSearch/SN74ALS646A-1DWR/page-1", "SN74ALS646A-1DWR")</f>
        <v>SN74ALS646A-1DWR</v>
      </c>
      <c r="B4215" s="3" t="str">
        <f>HYPERLINK("https://www.773grp.com/manufacturer/texas-instruments?pageNo=292", "Texas Instruments")</f>
        <v>Texas Instruments</v>
      </c>
      <c r="C4215" s="5">
        <v>4000</v>
      </c>
      <c r="D4215" s="6">
        <v>12.66</v>
      </c>
      <c r="E4215" t="s">
        <v>12</v>
      </c>
    </row>
    <row r="4216" spans="1:5" x14ac:dyDescent="0.25">
      <c r="A4216" t="str">
        <f>HYPERLINK("https://www.773grp.com/globalSearch/SN74GTLPH1645GQLR/page-1", "SN74GTLPH1645GQLR")</f>
        <v>SN74GTLPH1645GQLR</v>
      </c>
      <c r="B4216" s="3" t="str">
        <f>HYPERLINK("https://www.773grp.com/manufacturer/texas-instruments?pageNo=294", "Texas Instruments")</f>
        <v>Texas Instruments</v>
      </c>
      <c r="C4216" s="5">
        <v>2892</v>
      </c>
      <c r="D4216" s="6">
        <v>12.66</v>
      </c>
      <c r="E4216" t="s">
        <v>12</v>
      </c>
    </row>
    <row r="4217" spans="1:5" x14ac:dyDescent="0.25">
      <c r="A4217" t="str">
        <f>HYPERLINK("https://www.773grp.com/globalSearch/SN74LS466DWR/page-1", "SN74LS466DWR")</f>
        <v>SN74LS466DWR</v>
      </c>
      <c r="B4217" s="3" t="str">
        <f>HYPERLINK("https://www.773grp.com/manufacturer/texas-instruments?pageNo=296", "Texas Instruments")</f>
        <v>Texas Instruments</v>
      </c>
      <c r="C4217" s="5">
        <v>4000</v>
      </c>
      <c r="D4217" s="6">
        <v>12.66</v>
      </c>
      <c r="E4217" t="s">
        <v>12</v>
      </c>
    </row>
    <row r="4218" spans="1:5" x14ac:dyDescent="0.25">
      <c r="A4218" t="str">
        <f>HYPERLINK("https://www.773grp.com/globalSearch/SN74LVCZ32244AGKER/page-1", "SN74LVCZ32244AGKER")</f>
        <v>SN74LVCZ32244AGKER</v>
      </c>
      <c r="B4218" s="3" t="str">
        <f>HYPERLINK("https://www.773grp.com/manufacturer/texas-instruments?pageNo=299", "Texas Instruments")</f>
        <v>Texas Instruments</v>
      </c>
      <c r="C4218" s="5">
        <v>1000</v>
      </c>
      <c r="D4218" s="6">
        <v>12.66</v>
      </c>
      <c r="E4218" t="s">
        <v>12</v>
      </c>
    </row>
    <row r="4219" spans="1:5" x14ac:dyDescent="0.25">
      <c r="A4219" t="str">
        <f>HYPERLINK("https://www.773grp.com/globalSearch/SN74ALS29864NT/page-1", "SN74ALS29864NT")</f>
        <v>SN74ALS29864NT</v>
      </c>
      <c r="B4219" s="3" t="str">
        <f>HYPERLINK("https://www.773grp.com/manufacturer/texas-instruments?pageNo=328", "Texas Instruments")</f>
        <v>Texas Instruments</v>
      </c>
      <c r="C4219" s="5">
        <v>5245</v>
      </c>
      <c r="D4219" s="6">
        <v>12.69</v>
      </c>
      <c r="E4219" t="s">
        <v>12</v>
      </c>
    </row>
    <row r="4220" spans="1:5" x14ac:dyDescent="0.25">
      <c r="A4220" t="str">
        <f>HYPERLINK("https://www.773grp.com/globalSearch/SN54HCT373J/page-1", "SN54HCT373J")</f>
        <v>SN54HCT373J</v>
      </c>
      <c r="B4220" s="3" t="str">
        <f>HYPERLINK("https://www.773grp.com/manufacturer/texas-instruments?pageNo=338", "Texas Instruments")</f>
        <v>Texas Instruments</v>
      </c>
      <c r="C4220" s="5">
        <v>1100</v>
      </c>
      <c r="D4220" s="6">
        <v>12.71</v>
      </c>
      <c r="E4220" t="s">
        <v>12</v>
      </c>
    </row>
    <row r="4221" spans="1:5" x14ac:dyDescent="0.25">
      <c r="A4221" t="str">
        <f>HYPERLINK("https://www.773grp.com/globalSearch/JM38510-32403BRA/page-1", "JM38510-32403BRA")</f>
        <v>JM38510-32403BRA</v>
      </c>
      <c r="B4221" s="3" t="str">
        <f>HYPERLINK("https://www.773grp.com/manufacturer/texas-instruments?pageNo=358", "Texas Instruments")</f>
        <v>Texas Instruments</v>
      </c>
      <c r="C4221" s="5">
        <v>101</v>
      </c>
      <c r="D4221" s="6">
        <v>12.78</v>
      </c>
      <c r="E4221" t="s">
        <v>12</v>
      </c>
    </row>
    <row r="4222" spans="1:5" x14ac:dyDescent="0.25">
      <c r="A4222" t="str">
        <f>HYPERLINK("https://www.773grp.com/globalSearch/SN54LS374J/page-1", "SN54LS374J")</f>
        <v>SN54LS374J</v>
      </c>
      <c r="B4222" s="3" t="str">
        <f>HYPERLINK("https://www.773grp.com/manufacturer/texas-instruments?pageNo=362", "Texas Instruments")</f>
        <v>Texas Instruments</v>
      </c>
      <c r="C4222" s="5">
        <v>6</v>
      </c>
      <c r="D4222" s="6">
        <v>12.78</v>
      </c>
      <c r="E4222" t="s">
        <v>12</v>
      </c>
    </row>
    <row r="4223" spans="1:5" x14ac:dyDescent="0.25">
      <c r="A4223" t="str">
        <f>HYPERLINK("https://www.773grp.com/globalSearch/CD54HCT373F/page-1", "CD54HCT373F")</f>
        <v>CD54HCT373F</v>
      </c>
      <c r="B4223" s="3" t="str">
        <f>HYPERLINK("https://www.773grp.com/manufacturer/texas-instruments?pageNo=367", "Texas Instruments")</f>
        <v>Texas Instruments</v>
      </c>
      <c r="C4223" s="5">
        <v>2445</v>
      </c>
      <c r="D4223" s="6">
        <v>12.79</v>
      </c>
      <c r="E4223" t="s">
        <v>12</v>
      </c>
    </row>
    <row r="4224" spans="1:5" x14ac:dyDescent="0.25">
      <c r="A4224" t="str">
        <f>HYPERLINK("https://www.773grp.com/globalSearch/SN54HCT374J/page-1", "SN54HCT374J")</f>
        <v>SN54HCT374J</v>
      </c>
      <c r="B4224" s="3" t="str">
        <f>HYPERLINK("https://www.773grp.com/manufacturer/texas-instruments?pageNo=389", "Texas Instruments")</f>
        <v>Texas Instruments</v>
      </c>
      <c r="C4224" s="5">
        <v>55</v>
      </c>
      <c r="D4224" s="6">
        <v>12.83</v>
      </c>
      <c r="E4224" t="s">
        <v>12</v>
      </c>
    </row>
    <row r="4225" spans="1:5" x14ac:dyDescent="0.25">
      <c r="A4225" t="str">
        <f>HYPERLINK("https://www.773grp.com/globalSearch/CD74FCT843AM/page-1", "CD74FCT843AM")</f>
        <v>CD74FCT843AM</v>
      </c>
      <c r="B4225" s="3" t="str">
        <f>HYPERLINK("https://www.773grp.com/manufacturer/texas-instruments?pageNo=405", "Texas Instruments")</f>
        <v>Texas Instruments</v>
      </c>
      <c r="C4225" s="5">
        <v>31</v>
      </c>
      <c r="D4225" s="6">
        <v>12.86</v>
      </c>
      <c r="E4225" t="s">
        <v>12</v>
      </c>
    </row>
    <row r="4226" spans="1:5" x14ac:dyDescent="0.25">
      <c r="A4226" t="str">
        <f>HYPERLINK("https://www.773grp.com/globalSearch/CD74FCT843AM/page-1", "CD74FCT843AM")</f>
        <v>CD74FCT843AM</v>
      </c>
      <c r="B4226" s="3" t="str">
        <f>HYPERLINK("https://www.773grp.com/manufacturer/texas-instruments?pageNo=406", "Texas Instruments")</f>
        <v>Texas Instruments</v>
      </c>
      <c r="C4226" s="5">
        <v>20436</v>
      </c>
      <c r="D4226" s="6">
        <v>12.86</v>
      </c>
      <c r="E4226" t="s">
        <v>12</v>
      </c>
    </row>
    <row r="4227" spans="1:5" x14ac:dyDescent="0.25">
      <c r="A4227" t="str">
        <f>HYPERLINK("https://www.773grp.com/globalSearch/SN74ALS652A-1DW/page-1", "SN74ALS652A-1DW")</f>
        <v>SN74ALS652A-1DW</v>
      </c>
      <c r="B4227" s="3" t="str">
        <f>HYPERLINK("https://www.773grp.com/manufacturer/texas-instruments?pageNo=408", "Texas Instruments")</f>
        <v>Texas Instruments</v>
      </c>
      <c r="C4227" s="5">
        <v>4026</v>
      </c>
      <c r="D4227" s="6">
        <v>12.86</v>
      </c>
      <c r="E4227" t="s">
        <v>12</v>
      </c>
    </row>
    <row r="4228" spans="1:5" x14ac:dyDescent="0.25">
      <c r="A4228" t="str">
        <f>HYPERLINK("https://www.773grp.com/globalSearch/SN74ALS652ADW/page-1", "SN74ALS652ADW")</f>
        <v>SN74ALS652ADW</v>
      </c>
      <c r="B4228" s="3" t="str">
        <f>HYPERLINK("https://www.773grp.com/manufacturer/texas-instruments?pageNo=409", "Texas Instruments")</f>
        <v>Texas Instruments</v>
      </c>
      <c r="C4228" s="5">
        <v>9195</v>
      </c>
      <c r="D4228" s="6">
        <v>12.86</v>
      </c>
      <c r="E4228" t="s">
        <v>12</v>
      </c>
    </row>
    <row r="4229" spans="1:5" x14ac:dyDescent="0.25">
      <c r="A4229" t="str">
        <f>HYPERLINK("https://www.773grp.com/globalSearch/SN74AS576DW/page-1", "SN74AS576DW")</f>
        <v>SN74AS576DW</v>
      </c>
      <c r="B4229" s="3" t="str">
        <f>HYPERLINK("https://www.773grp.com/manufacturer/texas-instruments?pageNo=410", "Texas Instruments")</f>
        <v>Texas Instruments</v>
      </c>
      <c r="C4229" s="5">
        <v>4725</v>
      </c>
      <c r="D4229" s="6">
        <v>12.86</v>
      </c>
      <c r="E4229" t="s">
        <v>12</v>
      </c>
    </row>
    <row r="4230" spans="1:5" x14ac:dyDescent="0.25">
      <c r="A4230" t="str">
        <f>HYPERLINK("https://www.773grp.com/globalSearch/SN74LVT16500DLR/page-1", "SN74LVT16500DLR")</f>
        <v>SN74LVT16500DLR</v>
      </c>
      <c r="B4230" s="3" t="str">
        <f>HYPERLINK("https://www.773grp.com/manufacturer/texas-instruments?pageNo=468", "Texas Instruments")</f>
        <v>Texas Instruments</v>
      </c>
      <c r="C4230" s="5">
        <v>3990</v>
      </c>
      <c r="D4230" s="6">
        <v>12.96</v>
      </c>
      <c r="E4230" t="s">
        <v>12</v>
      </c>
    </row>
    <row r="4231" spans="1:5" x14ac:dyDescent="0.25">
      <c r="A4231" t="str">
        <f>HYPERLINK("https://www.773grp.com/globalSearch/SN74LVT16501DLR/page-1", "SN74LVT16501DLR")</f>
        <v>SN74LVT16501DLR</v>
      </c>
      <c r="B4231" s="3" t="str">
        <f>HYPERLINK("https://www.773grp.com/manufacturer/texas-instruments?pageNo=469", "Texas Instruments")</f>
        <v>Texas Instruments</v>
      </c>
      <c r="C4231" s="5">
        <v>13022</v>
      </c>
      <c r="D4231" s="6">
        <v>12.96</v>
      </c>
      <c r="E4231" t="s">
        <v>12</v>
      </c>
    </row>
    <row r="4232" spans="1:5" x14ac:dyDescent="0.25">
      <c r="A4232" t="str">
        <f>HYPERLINK("https://www.773grp.com/globalSearch/SN74LVT16543DLR/page-1", "SN74LVT16543DLR")</f>
        <v>SN74LVT16543DLR</v>
      </c>
      <c r="B4232" s="3" t="str">
        <f>HYPERLINK("https://www.773grp.com/manufacturer/texas-instruments?pageNo=470", "Texas Instruments")</f>
        <v>Texas Instruments</v>
      </c>
      <c r="C4232" s="5">
        <v>1000</v>
      </c>
      <c r="D4232" s="6">
        <v>12.96</v>
      </c>
      <c r="E4232" t="s">
        <v>12</v>
      </c>
    </row>
    <row r="4233" spans="1:5" x14ac:dyDescent="0.25">
      <c r="A4233" t="str">
        <f>HYPERLINK("https://www.773grp.com/globalSearch/JM38510-32401BRA/page-1", "JM38510-32401BRA")</f>
        <v>JM38510-32401BRA</v>
      </c>
      <c r="B4233" s="3" t="str">
        <f>HYPERLINK("https://www.773grp.com/manufacturer/texas-instruments?pageNo=479", "Texas Instruments")</f>
        <v>Texas Instruments</v>
      </c>
      <c r="C4233" s="5">
        <v>286</v>
      </c>
      <c r="D4233" s="6">
        <v>13</v>
      </c>
      <c r="E4233" t="s">
        <v>12</v>
      </c>
    </row>
    <row r="4234" spans="1:5" x14ac:dyDescent="0.25">
      <c r="A4234" t="str">
        <f>HYPERLINK("https://www.773grp.com/globalSearch/SN74ALS29828DW/page-1", "SN74ALS29828DW")</f>
        <v>SN74ALS29828DW</v>
      </c>
      <c r="B4234" s="3" t="str">
        <f>HYPERLINK("https://www.773grp.com/manufacturer/texas-instruments?pageNo=504", "Texas Instruments")</f>
        <v>Texas Instruments</v>
      </c>
      <c r="C4234" s="5">
        <v>1213</v>
      </c>
      <c r="D4234" s="6">
        <v>13.05</v>
      </c>
      <c r="E4234" t="s">
        <v>12</v>
      </c>
    </row>
    <row r="4235" spans="1:5" x14ac:dyDescent="0.25">
      <c r="A4235" t="str">
        <f>HYPERLINK("https://www.773grp.com/globalSearch/SN74ALS29828NT/page-1", "SN74ALS29828NT")</f>
        <v>SN74ALS29828NT</v>
      </c>
      <c r="B4235" s="3" t="str">
        <f>HYPERLINK("https://www.773grp.com/manufacturer/texas-instruments?pageNo=505", "Texas Instruments")</f>
        <v>Texas Instruments</v>
      </c>
      <c r="C4235" s="5">
        <v>6219</v>
      </c>
      <c r="D4235" s="6">
        <v>13.05</v>
      </c>
      <c r="E4235" t="s">
        <v>12</v>
      </c>
    </row>
    <row r="4236" spans="1:5" x14ac:dyDescent="0.25">
      <c r="A4236" t="str">
        <f>HYPERLINK("https://www.773grp.com/globalSearch/SN74ALS575ADW/page-1", "SN74ALS575ADW")</f>
        <v>SN74ALS575ADW</v>
      </c>
      <c r="B4236" s="3" t="str">
        <f>HYPERLINK("https://www.773grp.com/manufacturer/texas-instruments?pageNo=506", "Texas Instruments")</f>
        <v>Texas Instruments</v>
      </c>
      <c r="C4236" s="5">
        <v>17294</v>
      </c>
      <c r="D4236" s="6">
        <v>13.05</v>
      </c>
      <c r="E4236" t="s">
        <v>12</v>
      </c>
    </row>
    <row r="4237" spans="1:5" x14ac:dyDescent="0.25">
      <c r="A4237" t="str">
        <f>HYPERLINK("https://www.773grp.com/globalSearch/SN74ALS843DWR/page-1", "SN74ALS843DWR")</f>
        <v>SN74ALS843DWR</v>
      </c>
      <c r="B4237" s="3" t="str">
        <f>HYPERLINK("https://www.773grp.com/manufacturer/texas-instruments?pageNo=507", "Texas Instruments")</f>
        <v>Texas Instruments</v>
      </c>
      <c r="C4237" s="5">
        <v>5000</v>
      </c>
      <c r="D4237" s="6">
        <v>13.05</v>
      </c>
      <c r="E4237" t="s">
        <v>12</v>
      </c>
    </row>
    <row r="4238" spans="1:5" x14ac:dyDescent="0.25">
      <c r="A4238" t="str">
        <f>HYPERLINK("https://www.773grp.com/globalSearch/74AC16640DLR/page-1", "74AC16640DLR")</f>
        <v>74AC16640DLR</v>
      </c>
      <c r="B4238" s="3" t="str">
        <f>HYPERLINK("https://www.773grp.com/manufacturer/texas-instruments?pageNo=538", "Texas Instruments")</f>
        <v>Texas Instruments</v>
      </c>
      <c r="C4238" s="5">
        <v>500</v>
      </c>
      <c r="D4238" s="6">
        <v>13.11</v>
      </c>
      <c r="E4238" t="s">
        <v>12</v>
      </c>
    </row>
    <row r="4239" spans="1:5" x14ac:dyDescent="0.25">
      <c r="A4239" t="str">
        <f>HYPERLINK("https://www.773grp.com/globalSearch/SN54HCT245J/page-1", "SN54HCT245J")</f>
        <v>SN54HCT245J</v>
      </c>
      <c r="B4239" s="3" t="str">
        <f>HYPERLINK("https://www.773grp.com/manufacturer/texas-instruments?pageNo=542", "Texas Instruments")</f>
        <v>Texas Instruments</v>
      </c>
      <c r="C4239" s="5">
        <v>66</v>
      </c>
      <c r="D4239" s="6">
        <v>13.11</v>
      </c>
      <c r="E4239" t="s">
        <v>12</v>
      </c>
    </row>
    <row r="4240" spans="1:5" x14ac:dyDescent="0.25">
      <c r="A4240" t="str">
        <f>HYPERLINK("https://www.773grp.com/globalSearch/SN74ALS29822NT/page-1", "SN74ALS29822NT")</f>
        <v>SN74ALS29822NT</v>
      </c>
      <c r="B4240" s="3" t="str">
        <f>HYPERLINK("https://www.773grp.com/manufacturer/texas-instruments?pageNo=543", "Texas Instruments")</f>
        <v>Texas Instruments</v>
      </c>
      <c r="C4240" s="5">
        <v>1960</v>
      </c>
      <c r="D4240" s="6">
        <v>13.11</v>
      </c>
      <c r="E4240" t="s">
        <v>12</v>
      </c>
    </row>
    <row r="4241" spans="1:5" x14ac:dyDescent="0.25">
      <c r="A4241" t="str">
        <f>HYPERLINK("https://www.773grp.com/globalSearch/CD54HCT245F/page-1", "CD54HCT245F")</f>
        <v>CD54HCT245F</v>
      </c>
      <c r="B4241" s="3" t="str">
        <f>HYPERLINK("https://www.773grp.com/manufacturer/texas-instruments?pageNo=564", "Texas Instruments")</f>
        <v>Texas Instruments</v>
      </c>
      <c r="C4241" s="5">
        <v>2100</v>
      </c>
      <c r="D4241" s="6">
        <v>13.21</v>
      </c>
      <c r="E4241" t="s">
        <v>12</v>
      </c>
    </row>
    <row r="4242" spans="1:5" x14ac:dyDescent="0.25">
      <c r="A4242" t="str">
        <f>HYPERLINK("https://www.773grp.com/globalSearch/SNJ54HC244J/page-1", "SNJ54HC244J")</f>
        <v>SNJ54HC244J</v>
      </c>
      <c r="B4242" s="3" t="str">
        <f>HYPERLINK("https://www.773grp.com/manufacturer/texas-instruments?pageNo=572", "Texas Instruments")</f>
        <v>Texas Instruments</v>
      </c>
      <c r="C4242" s="5">
        <v>68</v>
      </c>
      <c r="D4242" s="6">
        <v>13.21</v>
      </c>
      <c r="E4242" t="s">
        <v>12</v>
      </c>
    </row>
    <row r="4243" spans="1:5" x14ac:dyDescent="0.25">
      <c r="A4243" t="str">
        <f>HYPERLINK("https://www.773grp.com/globalSearch/SN74AS641DW/page-1", "SN74AS641DW")</f>
        <v>SN74AS641DW</v>
      </c>
      <c r="B4243" s="3" t="str">
        <f>HYPERLINK("https://www.773grp.com/manufacturer/texas-instruments?pageNo=598", "Texas Instruments")</f>
        <v>Texas Instruments</v>
      </c>
      <c r="C4243" s="5">
        <v>4696</v>
      </c>
      <c r="D4243" s="6">
        <v>13.25</v>
      </c>
      <c r="E4243" t="s">
        <v>12</v>
      </c>
    </row>
    <row r="4244" spans="1:5" x14ac:dyDescent="0.25">
      <c r="A4244" t="str">
        <f>HYPERLINK("https://www.773grp.com/globalSearch/SN74GTLP2033DGVR/page-1", "SN74GTLP2033DGVR")</f>
        <v>SN74GTLP2033DGVR</v>
      </c>
      <c r="B4244" s="3" t="str">
        <f>HYPERLINK("https://www.773grp.com/manufacturer/texas-instruments?pageNo=599", "Texas Instruments")</f>
        <v>Texas Instruments</v>
      </c>
      <c r="C4244" s="5">
        <v>4000</v>
      </c>
      <c r="D4244" s="6">
        <v>13.25</v>
      </c>
      <c r="E4244" t="s">
        <v>12</v>
      </c>
    </row>
    <row r="4245" spans="1:5" x14ac:dyDescent="0.25">
      <c r="A4245" t="str">
        <f>HYPERLINK("https://www.773grp.com/globalSearch/SN74GTLP2034DGGR/page-1", "SN74GTLP2034DGGR")</f>
        <v>SN74GTLP2034DGGR</v>
      </c>
      <c r="B4245" s="3" t="str">
        <f>HYPERLINK("https://www.773grp.com/manufacturer/texas-instruments?pageNo=600", "Texas Instruments")</f>
        <v>Texas Instruments</v>
      </c>
      <c r="C4245" s="5">
        <v>2000</v>
      </c>
      <c r="D4245" s="6">
        <v>13.25</v>
      </c>
      <c r="E4245" t="s">
        <v>12</v>
      </c>
    </row>
    <row r="4246" spans="1:5" x14ac:dyDescent="0.25">
      <c r="A4246" t="str">
        <f>HYPERLINK("https://www.773grp.com/globalSearch/SN74GTLP2034DGVR/page-1", "SN74GTLP2034DGVR")</f>
        <v>SN74GTLP2034DGVR</v>
      </c>
      <c r="B4246" s="3" t="str">
        <f>HYPERLINK("https://www.773grp.com/manufacturer/texas-instruments?pageNo=601", "Texas Instruments")</f>
        <v>Texas Instruments</v>
      </c>
      <c r="C4246" s="5">
        <v>2000</v>
      </c>
      <c r="D4246" s="6">
        <v>13.25</v>
      </c>
      <c r="E4246" t="s">
        <v>12</v>
      </c>
    </row>
    <row r="4247" spans="1:5" x14ac:dyDescent="0.25">
      <c r="A4247" t="str">
        <f>HYPERLINK("https://www.773grp.com/globalSearch/SN74GTLP22033DGGR/page-1", "SN74GTLP22033DGGR")</f>
        <v>SN74GTLP22033DGGR</v>
      </c>
      <c r="B4247" s="3" t="str">
        <f>HYPERLINK("https://www.773grp.com/manufacturer/texas-instruments?pageNo=602", "Texas Instruments")</f>
        <v>Texas Instruments</v>
      </c>
      <c r="C4247" s="5">
        <v>8000</v>
      </c>
      <c r="D4247" s="6">
        <v>13.25</v>
      </c>
      <c r="E4247" t="s">
        <v>12</v>
      </c>
    </row>
    <row r="4248" spans="1:5" x14ac:dyDescent="0.25">
      <c r="A4248" t="str">
        <f>HYPERLINK("https://www.773grp.com/globalSearch/SN74GTLP22033DGVR/page-1", "SN74GTLP22033DGVR")</f>
        <v>SN74GTLP22033DGVR</v>
      </c>
      <c r="B4248" s="3" t="str">
        <f>HYPERLINK("https://www.773grp.com/manufacturer/texas-instruments?pageNo=603", "Texas Instruments")</f>
        <v>Texas Instruments</v>
      </c>
      <c r="C4248" s="5">
        <v>4000</v>
      </c>
      <c r="D4248" s="6">
        <v>13.25</v>
      </c>
      <c r="E4248" t="s">
        <v>12</v>
      </c>
    </row>
    <row r="4249" spans="1:5" x14ac:dyDescent="0.25">
      <c r="A4249" t="str">
        <f>HYPERLINK("https://www.773grp.com/globalSearch/SN74GTLP22034DGGR/page-1", "SN74GTLP22034DGGR")</f>
        <v>SN74GTLP22034DGGR</v>
      </c>
      <c r="B4249" s="3" t="str">
        <f>HYPERLINK("https://www.773grp.com/manufacturer/texas-instruments?pageNo=604", "Texas Instruments")</f>
        <v>Texas Instruments</v>
      </c>
      <c r="C4249" s="5">
        <v>10000</v>
      </c>
      <c r="D4249" s="6">
        <v>13.25</v>
      </c>
      <c r="E4249" t="s">
        <v>12</v>
      </c>
    </row>
    <row r="4250" spans="1:5" x14ac:dyDescent="0.25">
      <c r="A4250" t="str">
        <f>HYPERLINK("https://www.773grp.com/globalSearch/SN74GTLP22034DGVR/page-1", "SN74GTLP22034DGVR")</f>
        <v>SN74GTLP22034DGVR</v>
      </c>
      <c r="B4250" s="3" t="str">
        <f>HYPERLINK("https://www.773grp.com/manufacturer/texas-instruments?pageNo=605", "Texas Instruments")</f>
        <v>Texas Instruments</v>
      </c>
      <c r="C4250" s="5">
        <v>4000</v>
      </c>
      <c r="D4250" s="6">
        <v>13.25</v>
      </c>
      <c r="E4250" t="s">
        <v>12</v>
      </c>
    </row>
    <row r="4251" spans="1:5" x14ac:dyDescent="0.25">
      <c r="A4251" t="str">
        <f>HYPERLINK("https://www.773grp.com/globalSearch/SN74LVTH18511DGGR/page-1", "SN74LVTH18511DGGR")</f>
        <v>SN74LVTH18511DGGR</v>
      </c>
      <c r="B4251" s="3" t="str">
        <f>HYPERLINK("https://www.773grp.com/manufacturer/texas-instruments?pageNo=607", "Texas Instruments")</f>
        <v>Texas Instruments</v>
      </c>
      <c r="C4251" s="5">
        <v>4000</v>
      </c>
      <c r="D4251" s="6">
        <v>13.25</v>
      </c>
      <c r="E4251" t="s">
        <v>12</v>
      </c>
    </row>
    <row r="4252" spans="1:5" x14ac:dyDescent="0.25">
      <c r="A4252" t="str">
        <f>HYPERLINK("https://www.773grp.com/globalSearch/SN74ALS29823DW/page-1", "SN74ALS29823DW")</f>
        <v>SN74ALS29823DW</v>
      </c>
      <c r="B4252" s="3" t="str">
        <f>HYPERLINK("https://www.773grp.com/manufacturer/texas-instruments?pageNo=629", "Texas Instruments")</f>
        <v>Texas Instruments</v>
      </c>
      <c r="C4252" s="5">
        <v>325</v>
      </c>
      <c r="D4252" s="6">
        <v>13.3</v>
      </c>
      <c r="E4252" t="s">
        <v>12</v>
      </c>
    </row>
    <row r="4253" spans="1:5" x14ac:dyDescent="0.25">
      <c r="A4253" t="str">
        <f>HYPERLINK("https://www.773grp.com/globalSearch/SN74ALS29823NT/page-1", "SN74ALS29823NT")</f>
        <v>SN74ALS29823NT</v>
      </c>
      <c r="B4253" s="3" t="str">
        <f>HYPERLINK("https://www.773grp.com/manufacturer/texas-instruments?pageNo=630", "Texas Instruments")</f>
        <v>Texas Instruments</v>
      </c>
      <c r="C4253" s="5">
        <v>70</v>
      </c>
      <c r="D4253" s="6">
        <v>13.3</v>
      </c>
      <c r="E4253" t="s">
        <v>12</v>
      </c>
    </row>
    <row r="4254" spans="1:5" x14ac:dyDescent="0.25">
      <c r="A4254" t="str">
        <f>HYPERLINK("https://www.773grp.com/globalSearch/CD54HC373F3A/page-1", "CD54HC373F3A")</f>
        <v>CD54HC373F3A</v>
      </c>
      <c r="B4254" s="3" t="str">
        <f>HYPERLINK("https://www.773grp.com/manufacturer/texas-instruments?pageNo=688", "Texas Instruments")</f>
        <v>Texas Instruments</v>
      </c>
      <c r="C4254" s="5">
        <v>6</v>
      </c>
      <c r="D4254" s="6">
        <v>13.39</v>
      </c>
      <c r="E4254" t="s">
        <v>12</v>
      </c>
    </row>
    <row r="4255" spans="1:5" x14ac:dyDescent="0.25">
      <c r="A4255" t="str">
        <f>HYPERLINK("https://www.773grp.com/globalSearch/CD54HC240F3A/page-1", "CD54HC240F3A")</f>
        <v>CD54HC240F3A</v>
      </c>
      <c r="B4255" s="3" t="str">
        <f>HYPERLINK("https://www.773grp.com/manufacturer/texas-instruments?pageNo=693", "Texas Instruments")</f>
        <v>Texas Instruments</v>
      </c>
      <c r="C4255" s="5">
        <v>79</v>
      </c>
      <c r="D4255" s="6">
        <v>13.41</v>
      </c>
      <c r="E4255" t="s">
        <v>12</v>
      </c>
    </row>
    <row r="4256" spans="1:5" x14ac:dyDescent="0.25">
      <c r="A4256" t="str">
        <f>HYPERLINK("https://www.773grp.com/globalSearch/SNJ54HC374J/page-1", "SNJ54HC374J")</f>
        <v>SNJ54HC374J</v>
      </c>
      <c r="B4256" s="3" t="str">
        <f>HYPERLINK("https://www.773grp.com/manufacturer/texas-instruments?pageNo=703", "Texas Instruments")</f>
        <v>Texas Instruments</v>
      </c>
      <c r="C4256" s="5">
        <v>2</v>
      </c>
      <c r="D4256" s="6">
        <v>13.45</v>
      </c>
      <c r="E4256" t="s">
        <v>12</v>
      </c>
    </row>
    <row r="4257" spans="1:5" x14ac:dyDescent="0.25">
      <c r="A4257" t="str">
        <f>HYPERLINK("https://www.773grp.com/globalSearch/74AC11652DW/page-1", "74AC11652DW")</f>
        <v>74AC11652DW</v>
      </c>
      <c r="B4257" s="3" t="str">
        <f>HYPERLINK("https://www.773grp.com/manufacturer/texas-instruments?pageNo=712", "Texas Instruments")</f>
        <v>Texas Instruments</v>
      </c>
      <c r="C4257" s="5">
        <v>426</v>
      </c>
      <c r="D4257" s="6">
        <v>13.46</v>
      </c>
      <c r="E4257" t="s">
        <v>12</v>
      </c>
    </row>
    <row r="4258" spans="1:5" x14ac:dyDescent="0.25">
      <c r="A4258" t="str">
        <f>HYPERLINK("https://www.773grp.com/globalSearch/SN74ALS841DW/page-1", "SN74ALS841DW")</f>
        <v>SN74ALS841DW</v>
      </c>
      <c r="B4258" s="3" t="str">
        <f>HYPERLINK("https://www.773grp.com/manufacturer/texas-instruments?pageNo=718", "Texas Instruments")</f>
        <v>Texas Instruments</v>
      </c>
      <c r="C4258" s="5">
        <v>6785</v>
      </c>
      <c r="D4258" s="6">
        <v>13.46</v>
      </c>
      <c r="E4258" t="s">
        <v>12</v>
      </c>
    </row>
    <row r="4259" spans="1:5" x14ac:dyDescent="0.25">
      <c r="A4259" t="str">
        <f>HYPERLINK("https://www.773grp.com/globalSearch/SN74LS646NT/page-1", "SN74LS646NT")</f>
        <v>SN74LS646NT</v>
      </c>
      <c r="B4259" s="3" t="str">
        <f>HYPERLINK("https://www.773grp.com/manufacturer/texas-instruments?pageNo=720", "Texas Instruments")</f>
        <v>Texas Instruments</v>
      </c>
      <c r="C4259" s="5">
        <v>1880</v>
      </c>
      <c r="D4259" s="6">
        <v>13.46</v>
      </c>
      <c r="E4259" t="s">
        <v>12</v>
      </c>
    </row>
    <row r="4260" spans="1:5" x14ac:dyDescent="0.25">
      <c r="A4260" t="str">
        <f>HYPERLINK("https://www.773grp.com/globalSearch/SN74ALS1244ADWR/page-1", "SN74ALS1244ADWR")</f>
        <v>SN74ALS1244ADWR</v>
      </c>
      <c r="B4260" s="3" t="str">
        <f>HYPERLINK("https://www.773grp.com/manufacturer/texas-instruments?pageNo=746", "Texas Instruments")</f>
        <v>Texas Instruments</v>
      </c>
      <c r="C4260" s="5">
        <v>5000</v>
      </c>
      <c r="D4260" s="6">
        <v>13.5</v>
      </c>
      <c r="E4260" t="s">
        <v>12</v>
      </c>
    </row>
    <row r="4261" spans="1:5" x14ac:dyDescent="0.25">
      <c r="A4261" t="str">
        <f>HYPERLINK("https://www.773grp.com/globalSearch/5962-8682801EA/page-1", "5962-8682801EA")</f>
        <v>5962-8682801EA</v>
      </c>
      <c r="B4261" s="3" t="str">
        <f>HYPERLINK("https://www.773grp.com/manufacturer/texas-instruments?pageNo=765", "Texas Instruments")</f>
        <v>Texas Instruments</v>
      </c>
      <c r="C4261" s="5">
        <v>127</v>
      </c>
      <c r="D4261" s="6">
        <v>13.54</v>
      </c>
      <c r="E4261" t="s">
        <v>12</v>
      </c>
    </row>
    <row r="4262" spans="1:5" x14ac:dyDescent="0.25">
      <c r="A4262" t="str">
        <f>HYPERLINK("https://www.773grp.com/globalSearch/CD54HC244F3A/page-1", "CD54HC244F3A")</f>
        <v>CD54HC244F3A</v>
      </c>
      <c r="B4262" s="3" t="str">
        <f>HYPERLINK("https://www.773grp.com/manufacturer/texas-instruments?pageNo=795", "Texas Instruments")</f>
        <v>Texas Instruments</v>
      </c>
      <c r="C4262" s="5">
        <v>155</v>
      </c>
      <c r="D4262" s="6">
        <v>13.61</v>
      </c>
      <c r="E4262" t="s">
        <v>12</v>
      </c>
    </row>
    <row r="4263" spans="1:5" x14ac:dyDescent="0.25">
      <c r="A4263" t="str">
        <f>HYPERLINK("https://www.773grp.com/globalSearch/SN54ALS373J/page-1", "SN54ALS373J")</f>
        <v>SN54ALS373J</v>
      </c>
      <c r="B4263" s="3" t="str">
        <f>HYPERLINK("https://www.773grp.com/manufacturer/texas-instruments?pageNo=833", "Texas Instruments")</f>
        <v>Texas Instruments</v>
      </c>
      <c r="C4263" s="5">
        <v>17</v>
      </c>
      <c r="D4263" s="6">
        <v>13.68</v>
      </c>
      <c r="E4263" t="s">
        <v>12</v>
      </c>
    </row>
    <row r="4264" spans="1:5" x14ac:dyDescent="0.25">
      <c r="A4264" t="str">
        <f>HYPERLINK("https://www.773grp.com/globalSearch/SN74ABT16640DLR/page-1", "SN74ABT16640DLR")</f>
        <v>SN74ABT16640DLR</v>
      </c>
      <c r="B4264" s="3" t="str">
        <f>HYPERLINK("https://www.773grp.com/manufacturer/texas-instruments?pageNo=834", "Texas Instruments")</f>
        <v>Texas Instruments</v>
      </c>
      <c r="C4264" s="5">
        <v>500</v>
      </c>
      <c r="D4264" s="6">
        <v>13.68</v>
      </c>
      <c r="E4264" t="s">
        <v>12</v>
      </c>
    </row>
    <row r="4265" spans="1:5" x14ac:dyDescent="0.25">
      <c r="A4265" t="str">
        <f>HYPERLINK("https://www.773grp.com/globalSearch/SN74ALVC16270DL/page-1", "SN74ALVC16270DL")</f>
        <v>SN74ALVC16270DL</v>
      </c>
      <c r="B4265" s="3" t="str">
        <f>HYPERLINK("https://www.773grp.com/manufacturer/texas-instruments?pageNo=836", "Texas Instruments")</f>
        <v>Texas Instruments</v>
      </c>
      <c r="C4265" s="5">
        <v>448</v>
      </c>
      <c r="D4265" s="6">
        <v>13.68</v>
      </c>
      <c r="E4265" t="s">
        <v>12</v>
      </c>
    </row>
    <row r="4266" spans="1:5" x14ac:dyDescent="0.25">
      <c r="A4266" t="str">
        <f>HYPERLINK("https://www.773grp.com/globalSearch/SN74ALVC16270DLR/page-1", "SN74ALVC16270DLR")</f>
        <v>SN74ALVC16270DLR</v>
      </c>
      <c r="B4266" s="3" t="str">
        <f>HYPERLINK("https://www.773grp.com/manufacturer/texas-instruments?pageNo=837", "Texas Instruments")</f>
        <v>Texas Instruments</v>
      </c>
      <c r="C4266" s="5">
        <v>6000</v>
      </c>
      <c r="D4266" s="6">
        <v>13.68</v>
      </c>
      <c r="E4266" t="s">
        <v>12</v>
      </c>
    </row>
    <row r="4267" spans="1:5" x14ac:dyDescent="0.25">
      <c r="A4267" t="str">
        <f>HYPERLINK("https://www.773grp.com/globalSearch/SN74ALS29863NT/page-1", "SN74ALS29863NT")</f>
        <v>SN74ALS29863NT</v>
      </c>
      <c r="B4267" s="3" t="str">
        <f>HYPERLINK("https://www.773grp.com/manufacturer/texas-instruments?pageNo=929", "Texas Instruments")</f>
        <v>Texas Instruments</v>
      </c>
      <c r="C4267" s="5">
        <v>5517</v>
      </c>
      <c r="D4267" s="6">
        <v>13.88</v>
      </c>
      <c r="E4267" t="s">
        <v>12</v>
      </c>
    </row>
    <row r="4268" spans="1:5" x14ac:dyDescent="0.25">
      <c r="A4268" t="str">
        <f>HYPERLINK("https://www.773grp.com/globalSearch/SN74ALS652A-1NT/page-1", "SN74ALS652A-1NT")</f>
        <v>SN74ALS652A-1NT</v>
      </c>
      <c r="B4268" s="3" t="str">
        <f>HYPERLINK("https://www.773grp.com/manufacturer/texas-instruments?pageNo=930", "Texas Instruments")</f>
        <v>Texas Instruments</v>
      </c>
      <c r="C4268" s="5">
        <v>6675</v>
      </c>
      <c r="D4268" s="6">
        <v>13.88</v>
      </c>
      <c r="E4268" t="s">
        <v>12</v>
      </c>
    </row>
    <row r="4269" spans="1:5" x14ac:dyDescent="0.25">
      <c r="A4269" t="str">
        <f>HYPERLINK("https://www.773grp.com/globalSearch/SN74ALS652ANT/page-1", "SN74ALS652ANT")</f>
        <v>SN74ALS652ANT</v>
      </c>
      <c r="B4269" s="3" t="str">
        <f>HYPERLINK("https://www.773grp.com/manufacturer/texas-instruments?pageNo=931", "Texas Instruments")</f>
        <v>Texas Instruments</v>
      </c>
      <c r="C4269" s="5">
        <v>745</v>
      </c>
      <c r="D4269" s="6">
        <v>13.88</v>
      </c>
      <c r="E4269" t="s">
        <v>12</v>
      </c>
    </row>
    <row r="4270" spans="1:5" x14ac:dyDescent="0.25">
      <c r="A4270" t="str">
        <f>HYPERLINK("https://www.773grp.com/globalSearch/SN74AS2640N/page-1", "SN74AS2640N")</f>
        <v>SN74AS2640N</v>
      </c>
      <c r="B4270" s="3" t="str">
        <f>HYPERLINK("https://www.773grp.com/manufacturer/texas-instruments?pageNo=932", "Texas Instruments")</f>
        <v>Texas Instruments</v>
      </c>
      <c r="C4270" s="5">
        <v>450</v>
      </c>
      <c r="D4270" s="6">
        <v>13.88</v>
      </c>
      <c r="E4270" t="s">
        <v>12</v>
      </c>
    </row>
    <row r="4271" spans="1:5" x14ac:dyDescent="0.25">
      <c r="A4271" t="str">
        <f>HYPERLINK("https://www.773grp.com/globalSearch/SN74AS825ADW/page-1", "SN74AS825ADW")</f>
        <v>SN74AS825ADW</v>
      </c>
      <c r="B4271" s="3" t="str">
        <f>HYPERLINK("https://www.773grp.com/manufacturer/texas-instruments?pageNo=933", "Texas Instruments")</f>
        <v>Texas Instruments</v>
      </c>
      <c r="C4271" s="5">
        <v>900</v>
      </c>
      <c r="D4271" s="6">
        <v>13.88</v>
      </c>
      <c r="E4271" t="s">
        <v>12</v>
      </c>
    </row>
    <row r="4272" spans="1:5" x14ac:dyDescent="0.25">
      <c r="A4272" t="str">
        <f>HYPERLINK("https://www.773grp.com/globalSearch/SN74AS825ANT/page-1", "SN74AS825ANT")</f>
        <v>SN74AS825ANT</v>
      </c>
      <c r="B4272" s="3" t="str">
        <f>HYPERLINK("https://www.773grp.com/manufacturer/texas-instruments?pageNo=934", "Texas Instruments")</f>
        <v>Texas Instruments</v>
      </c>
      <c r="C4272" s="5">
        <v>3869</v>
      </c>
      <c r="D4272" s="6">
        <v>13.88</v>
      </c>
      <c r="E4272" t="s">
        <v>12</v>
      </c>
    </row>
    <row r="4273" spans="1:5" x14ac:dyDescent="0.25">
      <c r="A4273" t="str">
        <f>HYPERLINK("https://www.773grp.com/globalSearch/SN74AS841ADWR/page-1", "SN74AS841ADWR")</f>
        <v>SN74AS841ADWR</v>
      </c>
      <c r="B4273" s="3" t="str">
        <f>HYPERLINK("https://www.773grp.com/manufacturer/texas-instruments?pageNo=935", "Texas Instruments")</f>
        <v>Texas Instruments</v>
      </c>
      <c r="C4273" s="5">
        <v>1000</v>
      </c>
      <c r="D4273" s="6">
        <v>13.88</v>
      </c>
      <c r="E4273" t="s">
        <v>12</v>
      </c>
    </row>
    <row r="4274" spans="1:5" x14ac:dyDescent="0.25">
      <c r="A4274" t="str">
        <f>HYPERLINK("https://www.773grp.com/globalSearch/SN74AS841ANT/page-1", "SN74AS841ANT")</f>
        <v>SN74AS841ANT</v>
      </c>
      <c r="B4274" s="3" t="str">
        <f>HYPERLINK("https://www.773grp.com/manufacturer/texas-instruments?pageNo=936", "Texas Instruments")</f>
        <v>Texas Instruments</v>
      </c>
      <c r="C4274" s="5">
        <v>1935</v>
      </c>
      <c r="D4274" s="6">
        <v>13.88</v>
      </c>
      <c r="E4274" t="s">
        <v>12</v>
      </c>
    </row>
    <row r="4275" spans="1:5" x14ac:dyDescent="0.25">
      <c r="A4275" t="str">
        <f>HYPERLINK("https://www.773grp.com/globalSearch/74ACT16623DL/page-1", "74ACT16623DL")</f>
        <v>74ACT16623DL</v>
      </c>
      <c r="B4275" s="3" t="s">
        <v>90</v>
      </c>
      <c r="C4275" s="5">
        <v>2798</v>
      </c>
      <c r="D4275" s="6">
        <v>14.06</v>
      </c>
      <c r="E4275" t="s">
        <v>12</v>
      </c>
    </row>
    <row r="4276" spans="1:5" x14ac:dyDescent="0.25">
      <c r="A4276" t="str">
        <f>HYPERLINK("https://www.773grp.com/globalSearch/SN74ABT16240DL/page-1", "SN74ABT16240DL")</f>
        <v>SN74ABT16240DL</v>
      </c>
      <c r="B4276" s="3" t="s">
        <v>90</v>
      </c>
      <c r="C4276" s="5">
        <v>507</v>
      </c>
      <c r="D4276" s="6">
        <v>14.06</v>
      </c>
      <c r="E4276" t="s">
        <v>12</v>
      </c>
    </row>
    <row r="4277" spans="1:5" x14ac:dyDescent="0.25">
      <c r="A4277" t="str">
        <f>HYPERLINK("https://www.773grp.com/globalSearch/SN74ALS29821NT/page-1", "SN74ALS29821NT")</f>
        <v>SN74ALS29821NT</v>
      </c>
      <c r="B4277" s="3" t="s">
        <v>90</v>
      </c>
      <c r="C4277" s="5">
        <v>10163</v>
      </c>
      <c r="D4277" s="6">
        <v>14.06</v>
      </c>
      <c r="E4277" t="s">
        <v>12</v>
      </c>
    </row>
    <row r="4278" spans="1:5" x14ac:dyDescent="0.25">
      <c r="A4278" t="str">
        <f>HYPERLINK("https://www.773grp.com/globalSearch/SN74ALS29827NT/page-1", "SN74ALS29827NT")</f>
        <v>SN74ALS29827NT</v>
      </c>
      <c r="B4278" s="3" t="s">
        <v>90</v>
      </c>
      <c r="C4278" s="5">
        <v>10657</v>
      </c>
      <c r="D4278" s="6">
        <v>14.06</v>
      </c>
      <c r="E4278" t="s">
        <v>12</v>
      </c>
    </row>
    <row r="4279" spans="1:5" x14ac:dyDescent="0.25">
      <c r="A4279" t="str">
        <f>HYPERLINK("https://www.773grp.com/globalSearch/SN74ALVCH162832GR/page-1", "SN74ALVCH162832GR")</f>
        <v>SN74ALVCH162832GR</v>
      </c>
      <c r="B4279" s="3" t="s">
        <v>90</v>
      </c>
      <c r="C4279" s="5">
        <v>2000</v>
      </c>
      <c r="D4279" s="6">
        <v>14.06</v>
      </c>
      <c r="E4279" t="s">
        <v>12</v>
      </c>
    </row>
    <row r="4280" spans="1:5" x14ac:dyDescent="0.25">
      <c r="A4280" t="str">
        <f>HYPERLINK("https://www.773grp.com/globalSearch/SN74AS2620N/page-1", "SN74AS2620N")</f>
        <v>SN74AS2620N</v>
      </c>
      <c r="B4280" s="3" t="s">
        <v>90</v>
      </c>
      <c r="C4280" s="5">
        <v>674</v>
      </c>
      <c r="D4280" s="6">
        <v>14.06</v>
      </c>
      <c r="E4280" t="s">
        <v>12</v>
      </c>
    </row>
    <row r="4281" spans="1:5" x14ac:dyDescent="0.25">
      <c r="A4281" t="str">
        <f>HYPERLINK("https://www.773grp.com/globalSearch/SN74AS576N/page-1", "SN74AS576N")</f>
        <v>SN74AS576N</v>
      </c>
      <c r="B4281" s="3" t="s">
        <v>90</v>
      </c>
      <c r="C4281" s="5">
        <v>30</v>
      </c>
      <c r="D4281" s="6">
        <v>14.06</v>
      </c>
      <c r="E4281" t="s">
        <v>12</v>
      </c>
    </row>
    <row r="4282" spans="1:5" x14ac:dyDescent="0.25">
      <c r="A4282" t="str">
        <f>HYPERLINK("https://www.773grp.com/globalSearch/SN74AS622DW/page-1", "SN74AS622DW")</f>
        <v>SN74AS622DW</v>
      </c>
      <c r="B4282" s="3" t="s">
        <v>90</v>
      </c>
      <c r="C4282" s="5">
        <v>605</v>
      </c>
      <c r="D4282" s="6">
        <v>14.06</v>
      </c>
      <c r="E4282" t="s">
        <v>12</v>
      </c>
    </row>
    <row r="4283" spans="1:5" x14ac:dyDescent="0.25">
      <c r="A4283" t="str">
        <f>HYPERLINK("https://www.773grp.com/globalSearch/SN74AS874NT/page-1", "SN74AS874NT")</f>
        <v>SN74AS874NT</v>
      </c>
      <c r="B4283" s="3" t="s">
        <v>90</v>
      </c>
      <c r="C4283" s="5">
        <v>2318</v>
      </c>
      <c r="D4283" s="6">
        <v>14.06</v>
      </c>
      <c r="E4283" t="s">
        <v>12</v>
      </c>
    </row>
    <row r="4284" spans="1:5" x14ac:dyDescent="0.25">
      <c r="A4284" t="str">
        <f>HYPERLINK("https://www.773grp.com/globalSearch/SN74BCT25642DWR/page-1", "SN74BCT25642DWR")</f>
        <v>SN74BCT25642DWR</v>
      </c>
      <c r="B4284" s="3" t="s">
        <v>90</v>
      </c>
      <c r="C4284" s="5">
        <v>32000</v>
      </c>
      <c r="D4284" s="6">
        <v>14.06</v>
      </c>
      <c r="E4284" t="s">
        <v>12</v>
      </c>
    </row>
    <row r="4285" spans="1:5" x14ac:dyDescent="0.25">
      <c r="A4285" t="str">
        <f>HYPERLINK("https://www.773grp.com/globalSearch/SN74BCT544DW/page-1", "SN74BCT544DW")</f>
        <v>SN74BCT544DW</v>
      </c>
      <c r="B4285" s="3" t="s">
        <v>90</v>
      </c>
      <c r="C4285" s="5">
        <v>471</v>
      </c>
      <c r="D4285" s="6">
        <v>14.06</v>
      </c>
      <c r="E4285" t="s">
        <v>12</v>
      </c>
    </row>
    <row r="4286" spans="1:5" x14ac:dyDescent="0.25">
      <c r="A4286" t="str">
        <f>HYPERLINK("https://www.773grp.com/globalSearch/SN74BCT544NT/page-1", "SN74BCT544NT")</f>
        <v>SN74BCT544NT</v>
      </c>
      <c r="B4286" s="3" t="s">
        <v>90</v>
      </c>
      <c r="C4286" s="5">
        <v>1680</v>
      </c>
      <c r="D4286" s="6">
        <v>14.06</v>
      </c>
      <c r="E4286" t="s">
        <v>12</v>
      </c>
    </row>
    <row r="4287" spans="1:5" x14ac:dyDescent="0.25">
      <c r="A4287" t="str">
        <f>HYPERLINK("https://www.773grp.com/globalSearch/SN74GTLPH16912GR/page-1", "SN74GTLPH16912GR")</f>
        <v>SN74GTLPH16912GR</v>
      </c>
      <c r="B4287" s="3" t="s">
        <v>90</v>
      </c>
      <c r="C4287" s="5">
        <v>2000</v>
      </c>
      <c r="D4287" s="6">
        <v>14.06</v>
      </c>
      <c r="E4287" t="s">
        <v>12</v>
      </c>
    </row>
    <row r="4288" spans="1:5" x14ac:dyDescent="0.25">
      <c r="A4288" t="str">
        <f>HYPERLINK("https://www.773grp.com/globalSearch/SN74GTLPH16912VR/page-1", "SN74GTLPH16912VR")</f>
        <v>SN74GTLPH16912VR</v>
      </c>
      <c r="B4288" s="3" t="s">
        <v>90</v>
      </c>
      <c r="C4288" s="5">
        <v>2000</v>
      </c>
      <c r="D4288" s="6">
        <v>14.06</v>
      </c>
      <c r="E4288" t="s">
        <v>12</v>
      </c>
    </row>
    <row r="4289" spans="1:5" x14ac:dyDescent="0.25">
      <c r="A4289" t="str">
        <f>HYPERLINK("https://www.773grp.com/globalSearch/SN74LS652NT/page-1", "SN74LS652NT")</f>
        <v>SN74LS652NT</v>
      </c>
      <c r="B4289" s="3" t="s">
        <v>90</v>
      </c>
      <c r="C4289" s="5">
        <v>2603</v>
      </c>
      <c r="D4289" s="6">
        <v>14.06</v>
      </c>
      <c r="E4289" t="s">
        <v>12</v>
      </c>
    </row>
    <row r="4290" spans="1:5" x14ac:dyDescent="0.25">
      <c r="A4290" t="str">
        <f>HYPERLINK("https://www.773grp.com/globalSearch/SN54AS821JT/page-1", "SN54AS821JT")</f>
        <v>SN54AS821JT</v>
      </c>
      <c r="B4290" s="3" t="s">
        <v>90</v>
      </c>
      <c r="C4290" s="5">
        <v>116</v>
      </c>
      <c r="D4290" s="6">
        <v>14.09</v>
      </c>
      <c r="E4290" t="s">
        <v>12</v>
      </c>
    </row>
    <row r="4291" spans="1:5" x14ac:dyDescent="0.25">
      <c r="A4291" t="str">
        <f>HYPERLINK("https://www.773grp.com/globalSearch/SN54AS873JT/page-1", "SN54AS873JT")</f>
        <v>SN54AS873JT</v>
      </c>
      <c r="B4291" s="3" t="s">
        <v>90</v>
      </c>
      <c r="C4291" s="5">
        <v>89</v>
      </c>
      <c r="D4291" s="6">
        <v>14.09</v>
      </c>
      <c r="E4291" t="s">
        <v>12</v>
      </c>
    </row>
    <row r="4292" spans="1:5" x14ac:dyDescent="0.25">
      <c r="A4292" t="str">
        <f>HYPERLINK("https://www.773grp.com/globalSearch/SN74BCT760MDWREP/page-1", "SN74BCT760MDWREP")</f>
        <v>SN74BCT760MDWREP</v>
      </c>
      <c r="B4292" s="3" t="s">
        <v>90</v>
      </c>
      <c r="C4292" s="5">
        <v>1800</v>
      </c>
      <c r="D4292" s="6">
        <v>14.13</v>
      </c>
      <c r="E4292" t="s">
        <v>12</v>
      </c>
    </row>
    <row r="4293" spans="1:5" x14ac:dyDescent="0.25">
      <c r="A4293" t="str">
        <f>HYPERLINK("https://www.773grp.com/globalSearch/SN54LS245J/page-1", "SN54LS245J")</f>
        <v>SN54LS245J</v>
      </c>
      <c r="B4293" s="3" t="s">
        <v>90</v>
      </c>
      <c r="C4293" s="5">
        <v>125</v>
      </c>
      <c r="D4293" s="6">
        <v>14.14</v>
      </c>
      <c r="E4293" t="s">
        <v>12</v>
      </c>
    </row>
    <row r="4294" spans="1:5" x14ac:dyDescent="0.25">
      <c r="A4294" t="str">
        <f>HYPERLINK("https://www.773grp.com/globalSearch/SN74LVC32373AGKER/page-1", "SN74LVC32373AGKER")</f>
        <v>SN74LVC32373AGKER</v>
      </c>
      <c r="B4294" s="3" t="s">
        <v>90</v>
      </c>
      <c r="C4294" s="5">
        <v>2960</v>
      </c>
      <c r="D4294" s="6">
        <v>14.18</v>
      </c>
      <c r="E4294" t="s">
        <v>12</v>
      </c>
    </row>
    <row r="4295" spans="1:5" x14ac:dyDescent="0.25">
      <c r="A4295" t="str">
        <f>HYPERLINK("https://www.773grp.com/globalSearch/SN74LVCH32244AGKER/page-1", "SN74LVCH32244AGKER")</f>
        <v>SN74LVCH32244AGKER</v>
      </c>
      <c r="B4295" s="3" t="s">
        <v>90</v>
      </c>
      <c r="C4295" s="5">
        <v>4000</v>
      </c>
      <c r="D4295" s="6">
        <v>14.18</v>
      </c>
      <c r="E4295" t="s">
        <v>12</v>
      </c>
    </row>
    <row r="4296" spans="1:5" x14ac:dyDescent="0.25">
      <c r="A4296" t="str">
        <f>HYPERLINK("https://www.773grp.com/globalSearch/SN74ABT16601DL/page-1", "SN74ABT16601DL")</f>
        <v>SN74ABT16601DL</v>
      </c>
      <c r="B4296" s="3" t="s">
        <v>90</v>
      </c>
      <c r="C4296" s="5">
        <v>1493</v>
      </c>
      <c r="D4296" s="6">
        <v>14.26</v>
      </c>
      <c r="E4296" t="s">
        <v>12</v>
      </c>
    </row>
    <row r="4297" spans="1:5" x14ac:dyDescent="0.25">
      <c r="A4297" t="str">
        <f>HYPERLINK("https://www.773grp.com/globalSearch/SN74ALB16244DL/page-1", "SN74ALB16244DL")</f>
        <v>SN74ALB16244DL</v>
      </c>
      <c r="B4297" s="3" t="s">
        <v>90</v>
      </c>
      <c r="C4297" s="5">
        <v>24853</v>
      </c>
      <c r="D4297" s="6">
        <v>14.26</v>
      </c>
      <c r="E4297" t="s">
        <v>12</v>
      </c>
    </row>
    <row r="4298" spans="1:5" x14ac:dyDescent="0.25">
      <c r="A4298" t="str">
        <f>HYPERLINK("https://www.773grp.com/globalSearch/SN74ALB16245DL/page-1", "SN74ALB16245DL")</f>
        <v>SN74ALB16245DL</v>
      </c>
      <c r="B4298" s="3" t="s">
        <v>90</v>
      </c>
      <c r="C4298" s="5">
        <v>8173</v>
      </c>
      <c r="D4298" s="6">
        <v>14.26</v>
      </c>
      <c r="E4298" t="s">
        <v>12</v>
      </c>
    </row>
    <row r="4299" spans="1:5" x14ac:dyDescent="0.25">
      <c r="A4299" t="str">
        <f>HYPERLINK("https://www.773grp.com/globalSearch/CD54HC366F3A/page-1", "CD54HC366F3A")</f>
        <v>CD54HC366F3A</v>
      </c>
      <c r="B4299" s="3" t="s">
        <v>90</v>
      </c>
      <c r="C4299" s="5">
        <v>29</v>
      </c>
      <c r="D4299" s="6">
        <v>14.29</v>
      </c>
      <c r="E4299" t="s">
        <v>12</v>
      </c>
    </row>
    <row r="4300" spans="1:5" x14ac:dyDescent="0.25">
      <c r="A4300" t="str">
        <f>HYPERLINK("https://www.773grp.com/globalSearch/SN54AS575JT/page-1", "SN54AS575JT")</f>
        <v>SN54AS575JT</v>
      </c>
      <c r="B4300" s="3" t="s">
        <v>90</v>
      </c>
      <c r="C4300" s="5">
        <v>344</v>
      </c>
      <c r="D4300" s="6">
        <v>14.29</v>
      </c>
      <c r="E4300" t="s">
        <v>12</v>
      </c>
    </row>
    <row r="4301" spans="1:5" x14ac:dyDescent="0.25">
      <c r="A4301" t="str">
        <f>HYPERLINK("https://www.773grp.com/globalSearch/SN74ABT162827DGGR/page-1", "SN74ABT162827DGGR")</f>
        <v>SN74ABT162827DGGR</v>
      </c>
      <c r="B4301" s="3" t="s">
        <v>90</v>
      </c>
      <c r="C4301" s="5">
        <v>1000</v>
      </c>
      <c r="D4301" s="6">
        <v>14.29</v>
      </c>
      <c r="E4301" t="s">
        <v>12</v>
      </c>
    </row>
    <row r="4302" spans="1:5" x14ac:dyDescent="0.25">
      <c r="A4302" t="str">
        <f>HYPERLINK("https://www.773grp.com/globalSearch/SN54LS241J/page-1", "SN54LS241J")</f>
        <v>SN54LS241J</v>
      </c>
      <c r="B4302" s="3" t="s">
        <v>90</v>
      </c>
      <c r="C4302" s="5">
        <v>1042</v>
      </c>
      <c r="D4302" s="6">
        <v>14.31</v>
      </c>
      <c r="E4302" t="s">
        <v>12</v>
      </c>
    </row>
    <row r="4303" spans="1:5" x14ac:dyDescent="0.25">
      <c r="A4303" t="str">
        <f>HYPERLINK("https://www.773grp.com/globalSearch/SN74LS648NT/page-1", "SN74LS648NT")</f>
        <v>SN74LS648NT</v>
      </c>
      <c r="B4303" s="3" t="s">
        <v>90</v>
      </c>
      <c r="C4303" s="5">
        <v>80</v>
      </c>
      <c r="D4303" s="6">
        <v>14.31</v>
      </c>
      <c r="E4303" t="s">
        <v>12</v>
      </c>
    </row>
    <row r="4304" spans="1:5" x14ac:dyDescent="0.25">
      <c r="A4304" t="str">
        <f>HYPERLINK("https://www.773grp.com/globalSearch/SN74ALS841FN/page-1", "SN74ALS841FN")</f>
        <v>SN74ALS841FN</v>
      </c>
      <c r="B4304" s="3" t="s">
        <v>90</v>
      </c>
      <c r="C4304" s="5">
        <v>683</v>
      </c>
      <c r="D4304" s="6">
        <v>14.38</v>
      </c>
      <c r="E4304" t="s">
        <v>12</v>
      </c>
    </row>
    <row r="4305" spans="1:5" x14ac:dyDescent="0.25">
      <c r="A4305" t="str">
        <f>HYPERLINK("https://www.773grp.com/globalSearch/SN74ALS845FN/page-1", "SN74ALS845FN")</f>
        <v>SN74ALS845FN</v>
      </c>
      <c r="B4305" s="3" t="s">
        <v>90</v>
      </c>
      <c r="C4305" s="5">
        <v>343</v>
      </c>
      <c r="D4305" s="6">
        <v>14.38</v>
      </c>
      <c r="E4305" t="s">
        <v>12</v>
      </c>
    </row>
    <row r="4306" spans="1:5" x14ac:dyDescent="0.25">
      <c r="A4306" t="str">
        <f>HYPERLINK("https://www.773grp.com/globalSearch/SN74ALS646NT/page-1", "SN74ALS646NT")</f>
        <v>SN74ALS646NT</v>
      </c>
      <c r="B4306" s="3" t="s">
        <v>90</v>
      </c>
      <c r="C4306" s="5">
        <v>640</v>
      </c>
      <c r="D4306" s="6">
        <v>14.4</v>
      </c>
      <c r="E4306" t="s">
        <v>12</v>
      </c>
    </row>
    <row r="4307" spans="1:5" x14ac:dyDescent="0.25">
      <c r="A4307" t="str">
        <f>HYPERLINK("https://www.773grp.com/globalSearch/SN74ALS646ANT/page-1", "SN74ALS646ANT")</f>
        <v>SN74ALS646ANT</v>
      </c>
      <c r="B4307" s="3" t="s">
        <v>90</v>
      </c>
      <c r="C4307" s="5">
        <v>482</v>
      </c>
      <c r="D4307" s="6">
        <v>14.46</v>
      </c>
      <c r="E4307" t="s">
        <v>12</v>
      </c>
    </row>
    <row r="4308" spans="1:5" x14ac:dyDescent="0.25">
      <c r="A4308" t="str">
        <f>HYPERLINK("https://www.773grp.com/globalSearch/SN74AS641N/page-1", "SN74AS641N")</f>
        <v>SN74AS641N</v>
      </c>
      <c r="B4308" s="3" t="s">
        <v>90</v>
      </c>
      <c r="C4308" s="5">
        <v>3871</v>
      </c>
      <c r="D4308" s="6">
        <v>14.46</v>
      </c>
      <c r="E4308" t="s">
        <v>12</v>
      </c>
    </row>
    <row r="4309" spans="1:5" x14ac:dyDescent="0.25">
      <c r="A4309" t="str">
        <f>HYPERLINK("https://www.773grp.com/globalSearch/SN74BCT8240ADWR/page-1", "SN74BCT8240ADWR")</f>
        <v>SN74BCT8240ADWR</v>
      </c>
      <c r="B4309" s="3" t="s">
        <v>90</v>
      </c>
      <c r="C4309" s="5">
        <v>30000</v>
      </c>
      <c r="D4309" s="6">
        <v>14.46</v>
      </c>
      <c r="E4309" t="s">
        <v>12</v>
      </c>
    </row>
    <row r="4310" spans="1:5" x14ac:dyDescent="0.25">
      <c r="A4310" t="str">
        <f>HYPERLINK("https://www.773grp.com/globalSearch/SN74BCT8240ANT/page-1", "SN74BCT8240ANT")</f>
        <v>SN74BCT8240ANT</v>
      </c>
      <c r="B4310" s="3" t="s">
        <v>90</v>
      </c>
      <c r="C4310" s="5">
        <v>1404</v>
      </c>
      <c r="D4310" s="6">
        <v>14.46</v>
      </c>
      <c r="E4310" t="s">
        <v>12</v>
      </c>
    </row>
    <row r="4311" spans="1:5" x14ac:dyDescent="0.25">
      <c r="A4311" t="str">
        <f>HYPERLINK("https://www.773grp.com/globalSearch/SN74BCT8373ADWR/page-1", "SN74BCT8373ADWR")</f>
        <v>SN74BCT8373ADWR</v>
      </c>
      <c r="B4311" s="3" t="s">
        <v>90</v>
      </c>
      <c r="C4311" s="5">
        <v>34000</v>
      </c>
      <c r="D4311" s="6">
        <v>14.46</v>
      </c>
      <c r="E4311" t="s">
        <v>12</v>
      </c>
    </row>
    <row r="4312" spans="1:5" x14ac:dyDescent="0.25">
      <c r="A4312" t="str">
        <f>HYPERLINK("https://www.773grp.com/globalSearch/SN74BCT8374ADWR/page-1", "SN74BCT8374ADWR")</f>
        <v>SN74BCT8374ADWR</v>
      </c>
      <c r="B4312" s="3" t="s">
        <v>90</v>
      </c>
      <c r="C4312" s="5">
        <v>1000</v>
      </c>
      <c r="D4312" s="6">
        <v>14.46</v>
      </c>
      <c r="E4312" t="s">
        <v>12</v>
      </c>
    </row>
    <row r="4313" spans="1:5" x14ac:dyDescent="0.25">
      <c r="A4313" t="str">
        <f>HYPERLINK("https://www.773grp.com/globalSearch/CD54HC367F3A/page-1", "CD54HC367F3A")</f>
        <v>CD54HC367F3A</v>
      </c>
      <c r="B4313" s="3" t="s">
        <v>90</v>
      </c>
      <c r="C4313" s="5">
        <v>27</v>
      </c>
      <c r="D4313" s="6">
        <v>14.51</v>
      </c>
      <c r="E4313" t="s">
        <v>12</v>
      </c>
    </row>
    <row r="4314" spans="1:5" x14ac:dyDescent="0.25">
      <c r="A4314" t="str">
        <f>HYPERLINK("https://www.773grp.com/globalSearch/SN74ALS841NT/page-1", "SN74ALS841NT")</f>
        <v>SN74ALS841NT</v>
      </c>
      <c r="B4314" s="3" t="s">
        <v>90</v>
      </c>
      <c r="C4314" s="5">
        <v>2650</v>
      </c>
      <c r="D4314" s="6">
        <v>14.51</v>
      </c>
      <c r="E4314" t="s">
        <v>12</v>
      </c>
    </row>
    <row r="4315" spans="1:5" x14ac:dyDescent="0.25">
      <c r="A4315" t="str">
        <f>HYPERLINK("https://www.773grp.com/globalSearch/SN74LVT16501DL/page-1", "SN74LVT16501DL")</f>
        <v>SN74LVT16501DL</v>
      </c>
      <c r="B4315" s="3" t="s">
        <v>90</v>
      </c>
      <c r="C4315" s="5">
        <v>2820</v>
      </c>
      <c r="D4315" s="6">
        <v>14.55</v>
      </c>
      <c r="E4315" t="s">
        <v>12</v>
      </c>
    </row>
    <row r="4316" spans="1:5" x14ac:dyDescent="0.25">
      <c r="A4316" t="str">
        <f>HYPERLINK("https://www.773grp.com/globalSearch/5962-9065101MCA/page-1", "5962-9065101MCA")</f>
        <v>5962-9065101MCA</v>
      </c>
      <c r="B4316" s="3" t="s">
        <v>90</v>
      </c>
      <c r="C4316" s="5">
        <v>7</v>
      </c>
      <c r="D4316" s="6">
        <v>14.56</v>
      </c>
      <c r="E4316" t="s">
        <v>12</v>
      </c>
    </row>
    <row r="4317" spans="1:5" x14ac:dyDescent="0.25">
      <c r="A4317" t="str">
        <f>HYPERLINK("https://www.773grp.com/globalSearch/8500101EA/page-1", "8500101EA")</f>
        <v>8500101EA</v>
      </c>
      <c r="B4317" s="3" t="s">
        <v>90</v>
      </c>
      <c r="C4317" s="5">
        <v>34</v>
      </c>
      <c r="D4317" s="6">
        <v>14.56</v>
      </c>
      <c r="E4317" t="s">
        <v>12</v>
      </c>
    </row>
    <row r="4318" spans="1:5" x14ac:dyDescent="0.25">
      <c r="A4318" t="str">
        <f>HYPERLINK("https://www.773grp.com/globalSearch/SNJ54HC365J/page-1", "SNJ54HC365J")</f>
        <v>SNJ54HC365J</v>
      </c>
      <c r="B4318" s="3" t="s">
        <v>90</v>
      </c>
      <c r="C4318" s="5">
        <v>87</v>
      </c>
      <c r="D4318" s="6">
        <v>14.56</v>
      </c>
      <c r="E4318" t="s">
        <v>12</v>
      </c>
    </row>
    <row r="4319" spans="1:5" x14ac:dyDescent="0.25">
      <c r="A4319" t="str">
        <f>HYPERLINK("https://www.773grp.com/globalSearch/74AC16823DLR/page-1", "74AC16823DLR")</f>
        <v>74AC16823DLR</v>
      </c>
      <c r="B4319" s="3" t="s">
        <v>90</v>
      </c>
      <c r="C4319" s="5">
        <v>2000</v>
      </c>
      <c r="D4319" s="6">
        <v>14.63</v>
      </c>
      <c r="E4319" t="s">
        <v>12</v>
      </c>
    </row>
    <row r="4320" spans="1:5" x14ac:dyDescent="0.25">
      <c r="A4320" t="str">
        <f>HYPERLINK("https://www.773grp.com/globalSearch/74ACT16833DL/page-1", "74ACT16833DL")</f>
        <v>74ACT16833DL</v>
      </c>
      <c r="B4320" s="3" t="s">
        <v>90</v>
      </c>
      <c r="C4320" s="5">
        <v>707</v>
      </c>
      <c r="D4320" s="6">
        <v>14.63</v>
      </c>
      <c r="E4320" t="s">
        <v>12</v>
      </c>
    </row>
    <row r="4321" spans="1:5" x14ac:dyDescent="0.25">
      <c r="A4321" t="str">
        <f>HYPERLINK("https://www.773grp.com/globalSearch/SNJ54LS125AJ/page-1", "SNJ54LS125AJ")</f>
        <v>SNJ54LS125AJ</v>
      </c>
      <c r="B4321" s="3" t="s">
        <v>90</v>
      </c>
      <c r="C4321" s="5">
        <v>98</v>
      </c>
      <c r="D4321" s="6">
        <v>14.63</v>
      </c>
      <c r="E4321" t="s">
        <v>12</v>
      </c>
    </row>
    <row r="4322" spans="1:5" x14ac:dyDescent="0.25">
      <c r="A4322" t="str">
        <f>HYPERLINK("https://www.773grp.com/globalSearch/8500201EA/page-1", "8500201EA")</f>
        <v>8500201EA</v>
      </c>
      <c r="B4322" s="3" t="s">
        <v>90</v>
      </c>
      <c r="C4322" s="5">
        <v>16</v>
      </c>
      <c r="D4322" s="6">
        <v>14.65</v>
      </c>
      <c r="E4322" t="s">
        <v>12</v>
      </c>
    </row>
    <row r="4323" spans="1:5" x14ac:dyDescent="0.25">
      <c r="A4323" t="str">
        <f>HYPERLINK("https://www.773grp.com/globalSearch/SN74ALS29827DW/page-1", "SN74ALS29827DW")</f>
        <v>SN74ALS29827DW</v>
      </c>
      <c r="B4323" s="3" t="s">
        <v>90</v>
      </c>
      <c r="C4323" s="5">
        <v>12345</v>
      </c>
      <c r="D4323" s="6">
        <v>14.65</v>
      </c>
      <c r="E4323" t="s">
        <v>12</v>
      </c>
    </row>
    <row r="4324" spans="1:5" x14ac:dyDescent="0.25">
      <c r="A4324" t="str">
        <f>HYPERLINK("https://www.773grp.com/globalSearch/SN74LS652DW/page-1", "SN74LS652DW")</f>
        <v>SN74LS652DW</v>
      </c>
      <c r="B4324" s="3" t="s">
        <v>90</v>
      </c>
      <c r="C4324" s="5">
        <v>13167</v>
      </c>
      <c r="D4324" s="6">
        <v>14.65</v>
      </c>
      <c r="E4324" t="s">
        <v>12</v>
      </c>
    </row>
    <row r="4325" spans="1:5" x14ac:dyDescent="0.25">
      <c r="A4325" t="str">
        <f>HYPERLINK("https://www.773grp.com/globalSearch/SN74LVTH182502APMR/page-1", "SN74LVTH182502APMR")</f>
        <v>SN74LVTH182502APMR</v>
      </c>
      <c r="B4325" s="3" t="s">
        <v>90</v>
      </c>
      <c r="C4325" s="5">
        <v>4000</v>
      </c>
      <c r="D4325" s="6">
        <v>14.65</v>
      </c>
      <c r="E4325" t="s">
        <v>12</v>
      </c>
    </row>
    <row r="4326" spans="1:5" x14ac:dyDescent="0.25">
      <c r="A4326" t="str">
        <f>HYPERLINK("https://www.773grp.com/globalSearch/SN74LVTH18504APMR/page-1", "SN74LVTH18504APMR")</f>
        <v>SN74LVTH18504APMR</v>
      </c>
      <c r="B4326" s="3" t="s">
        <v>90</v>
      </c>
      <c r="C4326" s="5">
        <v>13600</v>
      </c>
      <c r="D4326" s="6">
        <v>14.65</v>
      </c>
      <c r="E4326" t="s">
        <v>12</v>
      </c>
    </row>
    <row r="4327" spans="1:5" x14ac:dyDescent="0.25">
      <c r="A4327" t="str">
        <f>HYPERLINK("https://www.773grp.com/globalSearch/SNJ54HC367J/page-1", "SNJ54HC367J")</f>
        <v>SNJ54HC367J</v>
      </c>
      <c r="B4327" s="3" t="s">
        <v>90</v>
      </c>
      <c r="C4327" s="5">
        <v>75</v>
      </c>
      <c r="D4327" s="6">
        <v>14.65</v>
      </c>
      <c r="E4327" t="s">
        <v>12</v>
      </c>
    </row>
    <row r="4328" spans="1:5" x14ac:dyDescent="0.25">
      <c r="A4328" t="str">
        <f>HYPERLINK("https://www.773grp.com/globalSearch/5962-8681201EA/page-1", "5962-8681201EA")</f>
        <v>5962-8681201EA</v>
      </c>
      <c r="B4328" s="3" t="s">
        <v>90</v>
      </c>
      <c r="C4328" s="5">
        <v>224</v>
      </c>
      <c r="D4328" s="6">
        <v>14.69</v>
      </c>
      <c r="E4328" t="s">
        <v>12</v>
      </c>
    </row>
    <row r="4329" spans="1:5" x14ac:dyDescent="0.25">
      <c r="A4329" t="str">
        <f>HYPERLINK("https://www.773grp.com/globalSearch/CD54HC365F3A/page-1", "CD54HC365F3A")</f>
        <v>CD54HC365F3A</v>
      </c>
      <c r="B4329" s="3" t="s">
        <v>90</v>
      </c>
      <c r="C4329" s="5">
        <v>88</v>
      </c>
      <c r="D4329" s="6">
        <v>14.71</v>
      </c>
      <c r="E4329" t="s">
        <v>12</v>
      </c>
    </row>
    <row r="4330" spans="1:5" x14ac:dyDescent="0.25">
      <c r="A4330" t="str">
        <f>HYPERLINK("https://www.773grp.com/globalSearch/SN74ALS29818NT/page-1", "SN74ALS29818NT")</f>
        <v>SN74ALS29818NT</v>
      </c>
      <c r="B4330" s="3" t="s">
        <v>90</v>
      </c>
      <c r="C4330" s="5">
        <v>822</v>
      </c>
      <c r="D4330" s="6">
        <v>14.8</v>
      </c>
      <c r="E4330" t="s">
        <v>12</v>
      </c>
    </row>
    <row r="4331" spans="1:5" x14ac:dyDescent="0.25">
      <c r="A4331" t="str">
        <f>HYPERLINK("https://www.773grp.com/globalSearch/SN74ABT16600DGGR/page-1", "SN74ABT16600DGGR")</f>
        <v>SN74ABT16600DGGR</v>
      </c>
      <c r="B4331" s="3" t="s">
        <v>90</v>
      </c>
      <c r="C4331" s="5">
        <v>2000</v>
      </c>
      <c r="D4331" s="6">
        <v>14.89</v>
      </c>
      <c r="E4331" t="s">
        <v>12</v>
      </c>
    </row>
    <row r="4332" spans="1:5" x14ac:dyDescent="0.25">
      <c r="A4332" t="str">
        <f>HYPERLINK("https://www.773grp.com/globalSearch/SN74ABT16600DLR/page-1", "SN74ABT16600DLR")</f>
        <v>SN74ABT16600DLR</v>
      </c>
      <c r="B4332" s="3" t="s">
        <v>90</v>
      </c>
      <c r="C4332" s="5">
        <v>3000</v>
      </c>
      <c r="D4332" s="6">
        <v>14.89</v>
      </c>
      <c r="E4332" t="s">
        <v>12</v>
      </c>
    </row>
    <row r="4333" spans="1:5" x14ac:dyDescent="0.25">
      <c r="A4333" t="str">
        <f>HYPERLINK("https://www.773grp.com/globalSearch/SN74ALS1244ADW/page-1", "SN74ALS1244ADW")</f>
        <v>SN74ALS1244ADW</v>
      </c>
      <c r="B4333" s="3" t="s">
        <v>90</v>
      </c>
      <c r="C4333" s="5">
        <v>5815</v>
      </c>
      <c r="D4333" s="6">
        <v>14.89</v>
      </c>
      <c r="E4333" t="s">
        <v>12</v>
      </c>
    </row>
    <row r="4334" spans="1:5" x14ac:dyDescent="0.25">
      <c r="A4334" t="str">
        <f>HYPERLINK("https://www.773grp.com/globalSearch/SN74ALS577ANT/page-1", "SN74ALS577ANT")</f>
        <v>SN74ALS577ANT</v>
      </c>
      <c r="B4334" s="3" t="s">
        <v>90</v>
      </c>
      <c r="C4334" s="5">
        <v>12578</v>
      </c>
      <c r="D4334" s="6">
        <v>14.89</v>
      </c>
      <c r="E4334" t="s">
        <v>12</v>
      </c>
    </row>
    <row r="4335" spans="1:5" x14ac:dyDescent="0.25">
      <c r="A4335" t="str">
        <f>HYPERLINK("https://www.773grp.com/globalSearch/SN74GTLPH16612GR/page-1", "SN74GTLPH16612GR")</f>
        <v>SN74GTLPH16612GR</v>
      </c>
      <c r="B4335" s="3" t="s">
        <v>90</v>
      </c>
      <c r="C4335" s="5">
        <v>71450</v>
      </c>
      <c r="D4335" s="6">
        <v>14.89</v>
      </c>
      <c r="E4335" t="s">
        <v>12</v>
      </c>
    </row>
    <row r="4336" spans="1:5" x14ac:dyDescent="0.25">
      <c r="A4336" t="str">
        <f>HYPERLINK("https://www.773grp.com/globalSearch/SN74LVCZ32240AGKER/page-1", "SN74LVCZ32240AGKER")</f>
        <v>SN74LVCZ32240AGKER</v>
      </c>
      <c r="B4336" s="3" t="s">
        <v>90</v>
      </c>
      <c r="C4336" s="5">
        <v>10524</v>
      </c>
      <c r="D4336" s="6">
        <v>14.89</v>
      </c>
      <c r="E4336" t="s">
        <v>12</v>
      </c>
    </row>
    <row r="4337" spans="1:5" x14ac:dyDescent="0.25">
      <c r="A4337" t="str">
        <f>HYPERLINK("https://www.773grp.com/globalSearch/SN74LVCZ32245AGKER/page-1", "SN74LVCZ32245AGKER")</f>
        <v>SN74LVCZ32245AGKER</v>
      </c>
      <c r="B4337" s="3" t="s">
        <v>90</v>
      </c>
      <c r="C4337" s="5">
        <v>14945</v>
      </c>
      <c r="D4337" s="6">
        <v>14.89</v>
      </c>
      <c r="E4337" t="s">
        <v>12</v>
      </c>
    </row>
    <row r="4338" spans="1:5" x14ac:dyDescent="0.25">
      <c r="A4338" t="str">
        <f>HYPERLINK("https://www.773grp.com/globalSearch/CDC391D/page-1", "CDC391D")</f>
        <v>CDC391D</v>
      </c>
      <c r="B4338" s="3" t="s">
        <v>90</v>
      </c>
      <c r="C4338" s="5">
        <v>2065</v>
      </c>
      <c r="D4338" s="6">
        <v>14.94</v>
      </c>
      <c r="E4338" t="s">
        <v>12</v>
      </c>
    </row>
    <row r="4339" spans="1:5" x14ac:dyDescent="0.25">
      <c r="A4339" t="str">
        <f>HYPERLINK("https://www.773grp.com/globalSearch/8550501RA/page-1", "8550501RA")</f>
        <v>8550501RA</v>
      </c>
      <c r="B4339" s="3" t="s">
        <v>90</v>
      </c>
      <c r="C4339" s="5">
        <v>6</v>
      </c>
      <c r="D4339" s="6">
        <v>14.99</v>
      </c>
      <c r="E4339" t="s">
        <v>12</v>
      </c>
    </row>
    <row r="4340" spans="1:5" x14ac:dyDescent="0.25">
      <c r="A4340" t="str">
        <f>HYPERLINK("https://www.773grp.com/globalSearch/SN74AS821FN/page-1", "SN74AS821FN")</f>
        <v>SN74AS821FN</v>
      </c>
      <c r="B4340" s="3" t="s">
        <v>90</v>
      </c>
      <c r="C4340" s="5">
        <v>1862</v>
      </c>
      <c r="D4340" s="6">
        <v>14.99</v>
      </c>
      <c r="E4340" t="s">
        <v>12</v>
      </c>
    </row>
    <row r="4341" spans="1:5" x14ac:dyDescent="0.25">
      <c r="A4341" t="str">
        <f>HYPERLINK("https://www.773grp.com/globalSearch/SN74BCT29828BDW/page-1", "SN74BCT29828BDW")</f>
        <v>SN74BCT29828BDW</v>
      </c>
      <c r="B4341" s="3" t="s">
        <v>90</v>
      </c>
      <c r="C4341" s="5">
        <v>950</v>
      </c>
      <c r="D4341" s="6">
        <v>14.99</v>
      </c>
      <c r="E4341" t="s">
        <v>12</v>
      </c>
    </row>
    <row r="4342" spans="1:5" x14ac:dyDescent="0.25">
      <c r="A4342" t="str">
        <f>HYPERLINK("https://www.773grp.com/globalSearch/SN74BCT29828BNT/page-1", "SN74BCT29828BNT")</f>
        <v>SN74BCT29828BNT</v>
      </c>
      <c r="B4342" s="3" t="s">
        <v>90</v>
      </c>
      <c r="C4342" s="5">
        <v>370</v>
      </c>
      <c r="D4342" s="6">
        <v>14.99</v>
      </c>
      <c r="E4342" t="s">
        <v>12</v>
      </c>
    </row>
    <row r="4343" spans="1:5" x14ac:dyDescent="0.25">
      <c r="A4343" t="str">
        <f>HYPERLINK("https://www.773grp.com/globalSearch/SN74BCT29861BNT/page-1", "SN74BCT29861BNT")</f>
        <v>SN74BCT29861BNT</v>
      </c>
      <c r="B4343" s="3" t="s">
        <v>90</v>
      </c>
      <c r="C4343" s="5">
        <v>1605</v>
      </c>
      <c r="D4343" s="6">
        <v>14.99</v>
      </c>
      <c r="E4343" t="s">
        <v>12</v>
      </c>
    </row>
    <row r="4344" spans="1:5" x14ac:dyDescent="0.25">
      <c r="A4344" t="str">
        <f>HYPERLINK("https://www.773grp.com/globalSearch/SN74BCT29862BDWR/page-1", "SN74BCT29862BDWR")</f>
        <v>SN74BCT29862BDWR</v>
      </c>
      <c r="B4344" s="3" t="s">
        <v>90</v>
      </c>
      <c r="C4344" s="5">
        <v>1000</v>
      </c>
      <c r="D4344" s="6">
        <v>14.99</v>
      </c>
      <c r="E4344" t="s">
        <v>12</v>
      </c>
    </row>
    <row r="4345" spans="1:5" x14ac:dyDescent="0.25">
      <c r="A4345" t="str">
        <f>HYPERLINK("https://www.773grp.com/globalSearch/SN74BCT29862BNT/page-1", "SN74BCT29862BNT")</f>
        <v>SN74BCT29862BNT</v>
      </c>
      <c r="B4345" s="3" t="s">
        <v>90</v>
      </c>
      <c r="C4345" s="5">
        <v>1010</v>
      </c>
      <c r="D4345" s="6">
        <v>14.99</v>
      </c>
      <c r="E4345" t="s">
        <v>12</v>
      </c>
    </row>
    <row r="4346" spans="1:5" x14ac:dyDescent="0.25">
      <c r="A4346" t="str">
        <f>HYPERLINK("https://www.773grp.com/globalSearch/SNJ54HCT240J/page-1", "SNJ54HCT240J")</f>
        <v>SNJ54HCT240J</v>
      </c>
      <c r="B4346" s="3" t="s">
        <v>90</v>
      </c>
      <c r="C4346" s="5">
        <v>206</v>
      </c>
      <c r="D4346" s="6">
        <v>14.99</v>
      </c>
      <c r="E4346" t="s">
        <v>12</v>
      </c>
    </row>
    <row r="4347" spans="1:5" x14ac:dyDescent="0.25">
      <c r="A4347" t="str">
        <f>HYPERLINK("https://www.773grp.com/globalSearch/SNJ54HCT374J/page-1", "SNJ54HCT374J")</f>
        <v>SNJ54HCT374J</v>
      </c>
      <c r="B4347" s="3" t="s">
        <v>90</v>
      </c>
      <c r="C4347" s="5">
        <v>1323</v>
      </c>
      <c r="D4347" s="6">
        <v>15.03</v>
      </c>
      <c r="E4347" t="s">
        <v>12</v>
      </c>
    </row>
    <row r="4348" spans="1:5" x14ac:dyDescent="0.25">
      <c r="A4348" t="str">
        <f>HYPERLINK("https://www.773grp.com/globalSearch/SN74ALS575ANT/page-1", "SN74ALS575ANT")</f>
        <v>SN74ALS575ANT</v>
      </c>
      <c r="B4348" s="3" t="s">
        <v>90</v>
      </c>
      <c r="C4348" s="5">
        <v>52</v>
      </c>
      <c r="D4348" s="6">
        <v>15.08</v>
      </c>
      <c r="E4348" t="s">
        <v>12</v>
      </c>
    </row>
    <row r="4349" spans="1:5" x14ac:dyDescent="0.25">
      <c r="A4349" t="str">
        <f>HYPERLINK("https://www.773grp.com/globalSearch/SN74ALS646A-1DW/page-1", "SN74ALS646A-1DW")</f>
        <v>SN74ALS646A-1DW</v>
      </c>
      <c r="B4349" s="3" t="s">
        <v>90</v>
      </c>
      <c r="C4349" s="5">
        <v>7051</v>
      </c>
      <c r="D4349" s="6">
        <v>15.08</v>
      </c>
      <c r="E4349" t="s">
        <v>12</v>
      </c>
    </row>
    <row r="4350" spans="1:5" x14ac:dyDescent="0.25">
      <c r="A4350" t="str">
        <f>HYPERLINK("https://www.773grp.com/globalSearch/SN74ALS646ADW/page-1", "SN74ALS646ADW")</f>
        <v>SN74ALS646ADW</v>
      </c>
      <c r="B4350" s="3" t="s">
        <v>90</v>
      </c>
      <c r="C4350" s="5">
        <v>101</v>
      </c>
      <c r="D4350" s="6">
        <v>15.08</v>
      </c>
      <c r="E4350" t="s">
        <v>12</v>
      </c>
    </row>
    <row r="4351" spans="1:5" x14ac:dyDescent="0.25">
      <c r="A4351" t="str">
        <f>HYPERLINK("https://www.773grp.com/globalSearch/SN74ALS646ADW/page-1", "SN74ALS646ADW")</f>
        <v>SN74ALS646ADW</v>
      </c>
      <c r="B4351" s="3" t="s">
        <v>90</v>
      </c>
      <c r="C4351" s="5">
        <v>5081</v>
      </c>
      <c r="D4351" s="6">
        <v>15.08</v>
      </c>
      <c r="E4351" t="s">
        <v>12</v>
      </c>
    </row>
    <row r="4352" spans="1:5" x14ac:dyDescent="0.25">
      <c r="A4352" t="str">
        <f>HYPERLINK("https://www.773grp.com/globalSearch/SN74ALVCH16282DBBR/page-1", "SN74ALVCH16282DBBR")</f>
        <v>SN74ALVCH16282DBBR</v>
      </c>
      <c r="B4352" s="3" t="s">
        <v>90</v>
      </c>
      <c r="C4352" s="5">
        <v>19500</v>
      </c>
      <c r="D4352" s="6">
        <v>15.08</v>
      </c>
      <c r="E4352" t="s">
        <v>12</v>
      </c>
    </row>
    <row r="4353" spans="1:5" x14ac:dyDescent="0.25">
      <c r="A4353" t="str">
        <f>HYPERLINK("https://www.773grp.com/globalSearch/SN74SSTL16837ADGGR/page-1", "SN74SSTL16837ADGGR")</f>
        <v>SN74SSTL16837ADGGR</v>
      </c>
      <c r="B4353" s="3" t="s">
        <v>90</v>
      </c>
      <c r="C4353" s="5">
        <v>4000</v>
      </c>
      <c r="D4353" s="6">
        <v>15.08</v>
      </c>
      <c r="E4353" t="s">
        <v>12</v>
      </c>
    </row>
    <row r="4354" spans="1:5" x14ac:dyDescent="0.25">
      <c r="A4354" t="str">
        <f>HYPERLINK("https://www.773grp.com/globalSearch/SN74SSTL16847DGGR/page-1", "SN74SSTL16847DGGR")</f>
        <v>SN74SSTL16847DGGR</v>
      </c>
      <c r="B4354" s="3" t="s">
        <v>90</v>
      </c>
      <c r="C4354" s="5">
        <v>15602</v>
      </c>
      <c r="D4354" s="6">
        <v>15.08</v>
      </c>
      <c r="E4354" t="s">
        <v>12</v>
      </c>
    </row>
    <row r="4355" spans="1:5" x14ac:dyDescent="0.25">
      <c r="A4355" t="str">
        <f>HYPERLINK("https://www.773grp.com/globalSearch/CD54HCT374F3A/page-1", "CD54HCT374F3A")</f>
        <v>CD54HCT374F3A</v>
      </c>
      <c r="B4355" s="3" t="s">
        <v>90</v>
      </c>
      <c r="C4355" s="5">
        <v>48</v>
      </c>
      <c r="D4355" s="6">
        <v>15.14</v>
      </c>
      <c r="E4355" t="s">
        <v>12</v>
      </c>
    </row>
    <row r="4356" spans="1:5" x14ac:dyDescent="0.25">
      <c r="A4356" t="str">
        <f>HYPERLINK("https://www.773grp.com/globalSearch/7705701RA/page-1", "7705701RA")</f>
        <v>7705701RA</v>
      </c>
      <c r="B4356" s="3" t="s">
        <v>90</v>
      </c>
      <c r="C4356" s="5">
        <v>950</v>
      </c>
      <c r="D4356" s="6">
        <v>15.15</v>
      </c>
      <c r="E4356" t="s">
        <v>12</v>
      </c>
    </row>
    <row r="4357" spans="1:5" x14ac:dyDescent="0.25">
      <c r="A4357" t="str">
        <f>HYPERLINK("https://www.773grp.com/globalSearch/CD54HCT125F3A/page-1", "CD54HCT125F3A")</f>
        <v>CD54HCT125F3A</v>
      </c>
      <c r="B4357" s="3" t="s">
        <v>90</v>
      </c>
      <c r="C4357" s="5">
        <v>8</v>
      </c>
      <c r="D4357" s="6">
        <v>15.15</v>
      </c>
      <c r="E4357" t="s">
        <v>12</v>
      </c>
    </row>
    <row r="4358" spans="1:5" x14ac:dyDescent="0.25">
      <c r="A4358" t="str">
        <f>HYPERLINK("https://www.773grp.com/globalSearch/SNJ54F245FK/page-1", "SNJ54F245FK")</f>
        <v>SNJ54F245FK</v>
      </c>
      <c r="B4358" s="3" t="s">
        <v>90</v>
      </c>
      <c r="C4358" s="5">
        <v>72</v>
      </c>
      <c r="D4358" s="6">
        <v>15.23</v>
      </c>
      <c r="E4358" t="s">
        <v>12</v>
      </c>
    </row>
    <row r="4359" spans="1:5" x14ac:dyDescent="0.25">
      <c r="A4359" t="str">
        <f>HYPERLINK("https://www.773grp.com/globalSearch/JM38510-32201BEA/page-1", "JM38510-32201BEA")</f>
        <v>JM38510-32201BEA</v>
      </c>
      <c r="B4359" s="3" t="s">
        <v>90</v>
      </c>
      <c r="C4359" s="5">
        <v>461</v>
      </c>
      <c r="D4359" s="6">
        <v>15.28</v>
      </c>
      <c r="E4359" t="s">
        <v>12</v>
      </c>
    </row>
    <row r="4360" spans="1:5" x14ac:dyDescent="0.25">
      <c r="A4360" t="str">
        <f>HYPERLINK("https://www.773grp.com/globalSearch/SN74ALS876ADW/page-1", "SN74ALS876ADW")</f>
        <v>SN74ALS876ADW</v>
      </c>
      <c r="B4360" s="3" t="s">
        <v>90</v>
      </c>
      <c r="C4360" s="5">
        <v>7862</v>
      </c>
      <c r="D4360" s="6">
        <v>15.28</v>
      </c>
      <c r="E4360" t="s">
        <v>12</v>
      </c>
    </row>
    <row r="4361" spans="1:5" x14ac:dyDescent="0.25">
      <c r="A4361" t="str">
        <f>HYPERLINK("https://www.773grp.com/globalSearch/SNJ54F373FK/page-1", "SNJ54F373FK")</f>
        <v>SNJ54F373FK</v>
      </c>
      <c r="B4361" s="3" t="s">
        <v>90</v>
      </c>
      <c r="C4361" s="5">
        <v>37</v>
      </c>
      <c r="D4361" s="6">
        <v>15.36</v>
      </c>
      <c r="E4361" t="s">
        <v>12</v>
      </c>
    </row>
    <row r="4362" spans="1:5" x14ac:dyDescent="0.25">
      <c r="A4362" t="str">
        <f>HYPERLINK("https://www.773grp.com/globalSearch/74ACT16823DLR/page-1", "74ACT16823DLR")</f>
        <v>74ACT16823DLR</v>
      </c>
      <c r="B4362" s="3" t="s">
        <v>90</v>
      </c>
      <c r="C4362" s="5">
        <v>10000</v>
      </c>
      <c r="D4362" s="6">
        <v>15.48</v>
      </c>
      <c r="E4362" t="s">
        <v>12</v>
      </c>
    </row>
    <row r="4363" spans="1:5" x14ac:dyDescent="0.25">
      <c r="A4363" t="str">
        <f>HYPERLINK("https://www.773grp.com/globalSearch/74ACT16861DLR/page-1", "74ACT16861DLR")</f>
        <v>74ACT16861DLR</v>
      </c>
      <c r="B4363" s="3" t="s">
        <v>90</v>
      </c>
      <c r="C4363" s="5">
        <v>1168</v>
      </c>
      <c r="D4363" s="6">
        <v>15.48</v>
      </c>
      <c r="E4363" t="s">
        <v>12</v>
      </c>
    </row>
    <row r="4364" spans="1:5" x14ac:dyDescent="0.25">
      <c r="A4364" t="str">
        <f>HYPERLINK("https://www.773grp.com/globalSearch/74ACT16863DL/page-1", "74ACT16863DL")</f>
        <v>74ACT16863DL</v>
      </c>
      <c r="B4364" s="3" t="s">
        <v>90</v>
      </c>
      <c r="C4364" s="5">
        <v>1644</v>
      </c>
      <c r="D4364" s="6">
        <v>15.48</v>
      </c>
      <c r="E4364" t="s">
        <v>12</v>
      </c>
    </row>
    <row r="4365" spans="1:5" x14ac:dyDescent="0.25">
      <c r="A4365" t="str">
        <f>HYPERLINK("https://www.773grp.com/globalSearch/SN74ABTH16260DLR/page-1", "SN74ABTH16260DLR")</f>
        <v>SN74ABTH16260DLR</v>
      </c>
      <c r="B4365" s="3" t="s">
        <v>90</v>
      </c>
      <c r="C4365" s="5">
        <v>11000</v>
      </c>
      <c r="D4365" s="6">
        <v>15.48</v>
      </c>
      <c r="E4365" t="s">
        <v>12</v>
      </c>
    </row>
    <row r="4366" spans="1:5" x14ac:dyDescent="0.25">
      <c r="A4366" t="str">
        <f>HYPERLINK("https://www.773grp.com/globalSearch/SN74ALS577ADW/page-1", "SN74ALS577ADW")</f>
        <v>SN74ALS577ADW</v>
      </c>
      <c r="B4366" s="3" t="s">
        <v>90</v>
      </c>
      <c r="C4366" s="5">
        <v>1000</v>
      </c>
      <c r="D4366" s="6">
        <v>15.48</v>
      </c>
      <c r="E4366" t="s">
        <v>12</v>
      </c>
    </row>
    <row r="4367" spans="1:5" x14ac:dyDescent="0.25">
      <c r="A4367" t="str">
        <f>HYPERLINK("https://www.773grp.com/globalSearch/SN74F657NT/page-1", "SN74F657NT")</f>
        <v>SN74F657NT</v>
      </c>
      <c r="B4367" s="3" t="s">
        <v>90</v>
      </c>
      <c r="C4367" s="5">
        <v>10011</v>
      </c>
      <c r="D4367" s="6">
        <v>15.48</v>
      </c>
      <c r="E4367" t="s">
        <v>12</v>
      </c>
    </row>
    <row r="4368" spans="1:5" x14ac:dyDescent="0.25">
      <c r="A4368" t="str">
        <f>HYPERLINK("https://www.773grp.com/globalSearch/SN74GTL1655DGGR/page-1", "SN74GTL1655DGGR")</f>
        <v>SN74GTL1655DGGR</v>
      </c>
      <c r="B4368" s="3" t="s">
        <v>90</v>
      </c>
      <c r="C4368" s="5">
        <v>9655</v>
      </c>
      <c r="D4368" s="6">
        <v>15.56</v>
      </c>
      <c r="E4368" t="s">
        <v>12</v>
      </c>
    </row>
    <row r="4369" spans="1:5" x14ac:dyDescent="0.25">
      <c r="A4369" t="str">
        <f>HYPERLINK("https://www.773grp.com/globalSearch/SN74GTLPH1655DGGR/page-1", "SN74GTLPH1655DGGR")</f>
        <v>SN74GTLPH1655DGGR</v>
      </c>
      <c r="B4369" s="3" t="s">
        <v>90</v>
      </c>
      <c r="C4369" s="5">
        <v>26000</v>
      </c>
      <c r="D4369" s="6">
        <v>15.56</v>
      </c>
      <c r="E4369" t="s">
        <v>12</v>
      </c>
    </row>
    <row r="4370" spans="1:5" x14ac:dyDescent="0.25">
      <c r="A4370" t="str">
        <f>HYPERLINK("https://www.773grp.com/globalSearch/SNJ54F374FK/page-1", "SNJ54F374FK")</f>
        <v>SNJ54F374FK</v>
      </c>
      <c r="B4370" s="3" t="s">
        <v>90</v>
      </c>
      <c r="C4370" s="5">
        <v>233</v>
      </c>
      <c r="D4370" s="6">
        <v>15.58</v>
      </c>
      <c r="E4370" t="s">
        <v>12</v>
      </c>
    </row>
    <row r="4371" spans="1:5" x14ac:dyDescent="0.25">
      <c r="A4371" t="str">
        <f>HYPERLINK("https://www.773grp.com/globalSearch/SN74LVCH322244AKR/page-1", "SN74LVCH322244AKR")</f>
        <v>SN74LVCH322244AKR</v>
      </c>
      <c r="B4371" s="3" t="s">
        <v>90</v>
      </c>
      <c r="C4371" s="5">
        <v>8000</v>
      </c>
      <c r="D4371" s="6">
        <v>15.64</v>
      </c>
      <c r="E4371" t="s">
        <v>12</v>
      </c>
    </row>
    <row r="4372" spans="1:5" x14ac:dyDescent="0.25">
      <c r="A4372" t="str">
        <f>HYPERLINK("https://www.773grp.com/globalSearch/SN74ALS648ANT/page-1", "SN74ALS648ANT")</f>
        <v>SN74ALS648ANT</v>
      </c>
      <c r="B4372" s="3" t="s">
        <v>90</v>
      </c>
      <c r="C4372" s="5">
        <v>1120</v>
      </c>
      <c r="D4372" s="6">
        <v>15.66</v>
      </c>
      <c r="E4372" t="s">
        <v>12</v>
      </c>
    </row>
    <row r="4373" spans="1:5" x14ac:dyDescent="0.25">
      <c r="A4373" t="str">
        <f>HYPERLINK("https://www.773grp.com/globalSearch/SN74ALS843DW/page-1", "SN74ALS843DW")</f>
        <v>SN74ALS843DW</v>
      </c>
      <c r="B4373" s="3" t="s">
        <v>90</v>
      </c>
      <c r="C4373" s="5">
        <v>49337</v>
      </c>
      <c r="D4373" s="6">
        <v>15.66</v>
      </c>
      <c r="E4373" t="s">
        <v>12</v>
      </c>
    </row>
    <row r="4374" spans="1:5" x14ac:dyDescent="0.25">
      <c r="A4374" t="str">
        <f>HYPERLINK("https://www.773grp.com/globalSearch/SN74AS639DW/page-1", "SN74AS639DW")</f>
        <v>SN74AS639DW</v>
      </c>
      <c r="B4374" s="3" t="s">
        <v>90</v>
      </c>
      <c r="C4374" s="5">
        <v>1600</v>
      </c>
      <c r="D4374" s="6">
        <v>15.66</v>
      </c>
      <c r="E4374" t="s">
        <v>12</v>
      </c>
    </row>
    <row r="4375" spans="1:5" x14ac:dyDescent="0.25">
      <c r="A4375" t="str">
        <f>HYPERLINK("https://www.773grp.com/globalSearch/SN54F240J/page-1", "SN54F240J")</f>
        <v>SN54F240J</v>
      </c>
      <c r="B4375" s="3" t="s">
        <v>90</v>
      </c>
      <c r="C4375" s="5">
        <v>57</v>
      </c>
      <c r="D4375" s="6">
        <v>15.73</v>
      </c>
      <c r="E4375" t="s">
        <v>12</v>
      </c>
    </row>
    <row r="4376" spans="1:5" x14ac:dyDescent="0.25">
      <c r="A4376" t="str">
        <f>HYPERLINK("https://www.773grp.com/globalSearch/SN74ABT16460DL/page-1", "SN74ABT16460DL")</f>
        <v>SN74ABT16460DL</v>
      </c>
      <c r="B4376" s="3" t="s">
        <v>90</v>
      </c>
      <c r="C4376" s="5">
        <v>4</v>
      </c>
      <c r="D4376" s="6">
        <v>15.81</v>
      </c>
      <c r="E4376" t="s">
        <v>12</v>
      </c>
    </row>
    <row r="4377" spans="1:5" x14ac:dyDescent="0.25">
      <c r="A4377" t="str">
        <f>HYPERLINK("https://www.773grp.com/globalSearch/SN74BCT25240DW/page-1", "SN74BCT25240DW")</f>
        <v>SN74BCT25240DW</v>
      </c>
      <c r="B4377" s="3" t="s">
        <v>90</v>
      </c>
      <c r="C4377" s="5">
        <v>1150</v>
      </c>
      <c r="D4377" s="6">
        <v>15.81</v>
      </c>
      <c r="E4377" t="s">
        <v>12</v>
      </c>
    </row>
    <row r="4378" spans="1:5" x14ac:dyDescent="0.25">
      <c r="A4378" t="str">
        <f>HYPERLINK("https://www.773grp.com/globalSearch/SN74ALS638A-1N/page-1", "SN74ALS638A-1N")</f>
        <v>SN74ALS638A-1N</v>
      </c>
      <c r="B4378" s="3" t="s">
        <v>90</v>
      </c>
      <c r="C4378" s="5">
        <v>4779</v>
      </c>
      <c r="D4378" s="6">
        <v>15.86</v>
      </c>
      <c r="E4378" t="s">
        <v>12</v>
      </c>
    </row>
    <row r="4379" spans="1:5" x14ac:dyDescent="0.25">
      <c r="A4379" t="str">
        <f>HYPERLINK("https://www.773grp.com/globalSearch/SN74ALS638AN/page-1", "SN74ALS638AN")</f>
        <v>SN74ALS638AN</v>
      </c>
      <c r="B4379" s="3" t="s">
        <v>90</v>
      </c>
      <c r="C4379" s="5">
        <v>4730</v>
      </c>
      <c r="D4379" s="6">
        <v>15.86</v>
      </c>
      <c r="E4379" t="s">
        <v>12</v>
      </c>
    </row>
    <row r="4380" spans="1:5" x14ac:dyDescent="0.25">
      <c r="A4380" t="str">
        <f>HYPERLINK("https://www.773grp.com/globalSearch/SN74ALVCH162409DL/page-1", "SN74ALVCH162409DL")</f>
        <v>SN74ALVCH162409DL</v>
      </c>
      <c r="B4380" s="3" t="s">
        <v>90</v>
      </c>
      <c r="C4380" s="5">
        <v>12164</v>
      </c>
      <c r="D4380" s="6">
        <v>15.86</v>
      </c>
      <c r="E4380" t="s">
        <v>12</v>
      </c>
    </row>
    <row r="4381" spans="1:5" x14ac:dyDescent="0.25">
      <c r="A4381" t="str">
        <f>HYPERLINK("https://www.773grp.com/globalSearch/SN74ALVCH162409DLR/page-1", "SN74ALVCH162409DLR")</f>
        <v>SN74ALVCH162409DLR</v>
      </c>
      <c r="B4381" s="3" t="s">
        <v>90</v>
      </c>
      <c r="C4381" s="5">
        <v>12000</v>
      </c>
      <c r="D4381" s="6">
        <v>15.86</v>
      </c>
      <c r="E4381" t="s">
        <v>12</v>
      </c>
    </row>
    <row r="4382" spans="1:5" x14ac:dyDescent="0.25">
      <c r="A4382" t="str">
        <f>HYPERLINK("https://www.773grp.com/globalSearch/SN74ALVCHR16409GR/page-1", "SN74ALVCHR16409GR")</f>
        <v>SN74ALVCHR16409GR</v>
      </c>
      <c r="B4382" s="3" t="s">
        <v>90</v>
      </c>
      <c r="C4382" s="5">
        <v>2000</v>
      </c>
      <c r="D4382" s="6">
        <v>15.86</v>
      </c>
      <c r="E4382" t="s">
        <v>12</v>
      </c>
    </row>
    <row r="4383" spans="1:5" x14ac:dyDescent="0.25">
      <c r="A4383" t="str">
        <f>HYPERLINK("https://www.773grp.com/globalSearch/SN54LS243J/page-1", "SN54LS243J")</f>
        <v>SN54LS243J</v>
      </c>
      <c r="B4383" s="3" t="s">
        <v>90</v>
      </c>
      <c r="C4383" s="5">
        <v>17</v>
      </c>
      <c r="D4383" s="6">
        <v>15.9</v>
      </c>
      <c r="E4383" t="s">
        <v>12</v>
      </c>
    </row>
    <row r="4384" spans="1:5" x14ac:dyDescent="0.25">
      <c r="A4384" t="str">
        <f>HYPERLINK("https://www.773grp.com/globalSearch/SNJ54LS368AJ/page-1", "SNJ54LS368AJ")</f>
        <v>SNJ54LS368AJ</v>
      </c>
      <c r="B4384" s="3" t="s">
        <v>90</v>
      </c>
      <c r="C4384" s="5">
        <v>343</v>
      </c>
      <c r="D4384" s="6">
        <v>15.9</v>
      </c>
      <c r="E4384" t="s">
        <v>12</v>
      </c>
    </row>
    <row r="4385" spans="1:5" x14ac:dyDescent="0.25">
      <c r="A4385" t="str">
        <f>HYPERLINK("https://www.773grp.com/globalSearch/SN74BCT29825NT/page-1", "SN74BCT29825NT")</f>
        <v>SN74BCT29825NT</v>
      </c>
      <c r="B4385" s="3" t="s">
        <v>90</v>
      </c>
      <c r="C4385" s="5">
        <v>661</v>
      </c>
      <c r="D4385" s="6">
        <v>16</v>
      </c>
      <c r="E4385" t="s">
        <v>12</v>
      </c>
    </row>
    <row r="4386" spans="1:5" x14ac:dyDescent="0.25">
      <c r="A4386" t="str">
        <f>HYPERLINK("https://www.773grp.com/globalSearch/SN74BCT29864BNT/page-1", "SN74BCT29864BNT")</f>
        <v>SN74BCT29864BNT</v>
      </c>
      <c r="B4386" s="3" t="s">
        <v>90</v>
      </c>
      <c r="C4386" s="5">
        <v>75</v>
      </c>
      <c r="D4386" s="6">
        <v>16</v>
      </c>
      <c r="E4386" t="s">
        <v>12</v>
      </c>
    </row>
    <row r="4387" spans="1:5" x14ac:dyDescent="0.25">
      <c r="A4387" t="str">
        <f>HYPERLINK("https://www.773grp.com/globalSearch/SN74ALS646A-1NT/page-1", "SN74ALS646A-1NT")</f>
        <v>SN74ALS646A-1NT</v>
      </c>
      <c r="B4387" s="3" t="s">
        <v>90</v>
      </c>
      <c r="C4387" s="5">
        <v>2887</v>
      </c>
      <c r="D4387" s="6">
        <v>16.04</v>
      </c>
      <c r="E4387" t="s">
        <v>12</v>
      </c>
    </row>
    <row r="4388" spans="1:5" x14ac:dyDescent="0.25">
      <c r="A4388" t="str">
        <f>HYPERLINK("https://www.773grp.com/globalSearch/SN74ALS845DW/page-1", "SN74ALS845DW")</f>
        <v>SN74ALS845DW</v>
      </c>
      <c r="B4388" s="3" t="s">
        <v>90</v>
      </c>
      <c r="C4388" s="5">
        <v>1245</v>
      </c>
      <c r="D4388" s="6">
        <v>16.04</v>
      </c>
      <c r="E4388" t="s">
        <v>12</v>
      </c>
    </row>
    <row r="4389" spans="1:5" x14ac:dyDescent="0.25">
      <c r="A4389" t="str">
        <f>HYPERLINK("https://www.773grp.com/globalSearch/SN74ALS845NT/page-1", "SN74ALS845NT")</f>
        <v>SN74ALS845NT</v>
      </c>
      <c r="B4389" s="3" t="s">
        <v>90</v>
      </c>
      <c r="C4389" s="5">
        <v>1237</v>
      </c>
      <c r="D4389" s="6">
        <v>16.04</v>
      </c>
      <c r="E4389" t="s">
        <v>12</v>
      </c>
    </row>
    <row r="4390" spans="1:5" x14ac:dyDescent="0.25">
      <c r="A4390" t="str">
        <f>HYPERLINK("https://www.773grp.com/globalSearch/74ACT16470DL/page-1", "74ACT16470DL")</f>
        <v>74ACT16470DL</v>
      </c>
      <c r="B4390" s="3" t="s">
        <v>90</v>
      </c>
      <c r="C4390" s="5">
        <v>1287</v>
      </c>
      <c r="D4390" s="6">
        <v>16.059999999999999</v>
      </c>
      <c r="E4390" t="s">
        <v>12</v>
      </c>
    </row>
    <row r="4391" spans="1:5" x14ac:dyDescent="0.25">
      <c r="A4391" t="str">
        <f>HYPERLINK("https://www.773grp.com/globalSearch/SN74ABT16853DGGR/page-1", "SN74ABT16853DGGR")</f>
        <v>SN74ABT16853DGGR</v>
      </c>
      <c r="B4391" s="3" t="s">
        <v>90</v>
      </c>
      <c r="C4391" s="5">
        <v>1984</v>
      </c>
      <c r="D4391" s="6">
        <v>16.059999999999999</v>
      </c>
      <c r="E4391" t="s">
        <v>12</v>
      </c>
    </row>
    <row r="4392" spans="1:5" x14ac:dyDescent="0.25">
      <c r="A4392" t="str">
        <f>HYPERLINK("https://www.773grp.com/globalSearch/SN74ABT16853DL/page-1", "SN74ABT16853DL")</f>
        <v>SN74ABT16853DL</v>
      </c>
      <c r="B4392" s="3" t="s">
        <v>90</v>
      </c>
      <c r="C4392" s="5">
        <v>2139</v>
      </c>
      <c r="D4392" s="6">
        <v>16.059999999999999</v>
      </c>
      <c r="E4392" t="s">
        <v>12</v>
      </c>
    </row>
    <row r="4393" spans="1:5" x14ac:dyDescent="0.25">
      <c r="A4393" t="str">
        <f>HYPERLINK("https://www.773grp.com/globalSearch/SN74ABT16853DLR/page-1", "SN74ABT16853DLR")</f>
        <v>SN74ABT16853DLR</v>
      </c>
      <c r="B4393" s="3" t="s">
        <v>90</v>
      </c>
      <c r="C4393" s="5">
        <v>1000</v>
      </c>
      <c r="D4393" s="6">
        <v>16.059999999999999</v>
      </c>
      <c r="E4393" t="s">
        <v>12</v>
      </c>
    </row>
    <row r="4394" spans="1:5" x14ac:dyDescent="0.25">
      <c r="A4394" t="str">
        <f>HYPERLINK("https://www.773grp.com/globalSearch/SN74ALS996NT3/page-1", "SN74ALS996NT3")</f>
        <v>SN74ALS996NT3</v>
      </c>
      <c r="B4394" s="3" t="s">
        <v>90</v>
      </c>
      <c r="C4394" s="5">
        <v>2660</v>
      </c>
      <c r="D4394" s="6">
        <v>16.059999999999999</v>
      </c>
      <c r="E4394" t="s">
        <v>12</v>
      </c>
    </row>
    <row r="4395" spans="1:5" x14ac:dyDescent="0.25">
      <c r="A4395" t="str">
        <f>HYPERLINK("https://www.773grp.com/globalSearch/SN74ALVCH16524DGGR/page-1", "SN74ALVCH16524DGGR")</f>
        <v>SN74ALVCH16524DGGR</v>
      </c>
      <c r="B4395" s="3" t="s">
        <v>90</v>
      </c>
      <c r="C4395" s="5">
        <v>6500</v>
      </c>
      <c r="D4395" s="6">
        <v>16.059999999999999</v>
      </c>
      <c r="E4395" t="s">
        <v>12</v>
      </c>
    </row>
    <row r="4396" spans="1:5" x14ac:dyDescent="0.25">
      <c r="A4396" t="str">
        <f>HYPERLINK("https://www.773grp.com/globalSearch/SN74ALVCH16524DLR/page-1", "SN74ALVCH16524DLR")</f>
        <v>SN74ALVCH16524DLR</v>
      </c>
      <c r="B4396" s="3" t="s">
        <v>90</v>
      </c>
      <c r="C4396" s="5">
        <v>8000</v>
      </c>
      <c r="D4396" s="6">
        <v>16.059999999999999</v>
      </c>
      <c r="E4396" t="s">
        <v>12</v>
      </c>
    </row>
    <row r="4397" spans="1:5" x14ac:dyDescent="0.25">
      <c r="A4397" t="str">
        <f>HYPERLINK("https://www.773grp.com/globalSearch/SN74AS646DW/page-1", "SN74AS646DW")</f>
        <v>SN74AS646DW</v>
      </c>
      <c r="B4397" s="3" t="s">
        <v>90</v>
      </c>
      <c r="C4397" s="5">
        <v>6122</v>
      </c>
      <c r="D4397" s="6">
        <v>16.059999999999999</v>
      </c>
      <c r="E4397" t="s">
        <v>12</v>
      </c>
    </row>
    <row r="4398" spans="1:5" x14ac:dyDescent="0.25">
      <c r="A4398" t="str">
        <f>HYPERLINK("https://www.773grp.com/globalSearch/SN74AS652NT/page-1", "SN74AS652NT")</f>
        <v>SN74AS652NT</v>
      </c>
      <c r="B4398" s="3" t="s">
        <v>90</v>
      </c>
      <c r="C4398" s="5">
        <v>10339</v>
      </c>
      <c r="D4398" s="6">
        <v>16.059999999999999</v>
      </c>
      <c r="E4398" t="s">
        <v>12</v>
      </c>
    </row>
    <row r="4399" spans="1:5" x14ac:dyDescent="0.25">
      <c r="A4399" t="str">
        <f>HYPERLINK("https://www.773grp.com/globalSearch/SN74BCT25642NT/page-1", "SN74BCT25642NT")</f>
        <v>SN74BCT25642NT</v>
      </c>
      <c r="B4399" s="3" t="s">
        <v>90</v>
      </c>
      <c r="C4399" s="5">
        <v>6249</v>
      </c>
      <c r="D4399" s="6">
        <v>16.059999999999999</v>
      </c>
      <c r="E4399" t="s">
        <v>12</v>
      </c>
    </row>
    <row r="4400" spans="1:5" x14ac:dyDescent="0.25">
      <c r="A4400" t="str">
        <f>HYPERLINK("https://www.773grp.com/globalSearch/SN74BCT25642NTE4/page-1", "SN74BCT25642NTE4")</f>
        <v>SN74BCT25642NTE4</v>
      </c>
      <c r="B4400" s="3" t="s">
        <v>90</v>
      </c>
      <c r="C4400" s="5">
        <v>30</v>
      </c>
      <c r="D4400" s="6">
        <v>16.059999999999999</v>
      </c>
      <c r="E4400" t="s">
        <v>12</v>
      </c>
    </row>
    <row r="4401" spans="1:5" x14ac:dyDescent="0.25">
      <c r="A4401" t="str">
        <f>HYPERLINK("https://www.773grp.com/globalSearch/SN74F657DW/page-1", "SN74F657DW")</f>
        <v>SN74F657DW</v>
      </c>
      <c r="B4401" s="3" t="s">
        <v>90</v>
      </c>
      <c r="C4401" s="5">
        <v>1000</v>
      </c>
      <c r="D4401" s="6">
        <v>16.059999999999999</v>
      </c>
      <c r="E4401" t="s">
        <v>12</v>
      </c>
    </row>
    <row r="4402" spans="1:5" x14ac:dyDescent="0.25">
      <c r="A4402" t="str">
        <f>HYPERLINK("https://www.773grp.com/globalSearch/SN74GTL16612DGGR/page-1", "SN74GTL16612DGGR")</f>
        <v>SN74GTL16612DGGR</v>
      </c>
      <c r="B4402" s="3" t="s">
        <v>90</v>
      </c>
      <c r="C4402" s="5">
        <v>6000</v>
      </c>
      <c r="D4402" s="6">
        <v>16.059999999999999</v>
      </c>
      <c r="E4402" t="s">
        <v>12</v>
      </c>
    </row>
    <row r="4403" spans="1:5" x14ac:dyDescent="0.25">
      <c r="A4403" t="str">
        <f>HYPERLINK("https://www.773grp.com/globalSearch/SNJ54ALS374J/page-1", "SNJ54ALS374J")</f>
        <v>SNJ54ALS374J</v>
      </c>
      <c r="B4403" s="3" t="s">
        <v>90</v>
      </c>
      <c r="C4403" s="5">
        <v>5318</v>
      </c>
      <c r="D4403" s="6">
        <v>16.09</v>
      </c>
      <c r="E4403" t="s">
        <v>12</v>
      </c>
    </row>
    <row r="4404" spans="1:5" x14ac:dyDescent="0.25">
      <c r="A4404" t="str">
        <f>HYPERLINK("https://www.773grp.com/globalSearch/SNJ54ALS573BJ/page-1", "SNJ54ALS573BJ")</f>
        <v>SNJ54ALS573BJ</v>
      </c>
      <c r="B4404" s="3" t="s">
        <v>90</v>
      </c>
      <c r="C4404" s="5">
        <v>1184</v>
      </c>
      <c r="D4404" s="6">
        <v>16.09</v>
      </c>
      <c r="E4404" t="s">
        <v>12</v>
      </c>
    </row>
    <row r="4405" spans="1:5" x14ac:dyDescent="0.25">
      <c r="A4405" t="str">
        <f>HYPERLINK("https://www.773grp.com/globalSearch/SNJ54ALS580AJ/page-1", "SNJ54ALS580AJ")</f>
        <v>SNJ54ALS580AJ</v>
      </c>
      <c r="B4405" s="3" t="s">
        <v>90</v>
      </c>
      <c r="C4405" s="5">
        <v>132</v>
      </c>
      <c r="D4405" s="6">
        <v>16.09</v>
      </c>
      <c r="E4405" t="s">
        <v>12</v>
      </c>
    </row>
    <row r="4406" spans="1:5" x14ac:dyDescent="0.25">
      <c r="A4406" t="str">
        <f>HYPERLINK("https://www.773grp.com/globalSearch/SN74LVT16646DGGR/page-1", "SN74LVT16646DGGR")</f>
        <v>SN74LVT16646DGGR</v>
      </c>
      <c r="B4406" s="3" t="s">
        <v>90</v>
      </c>
      <c r="C4406" s="5">
        <v>2000</v>
      </c>
      <c r="D4406" s="6">
        <v>16.149999999999999</v>
      </c>
      <c r="E4406" t="s">
        <v>12</v>
      </c>
    </row>
    <row r="4407" spans="1:5" x14ac:dyDescent="0.25">
      <c r="A4407" t="str">
        <f>HYPERLINK("https://www.773grp.com/globalSearch/SN74ABT16640DL/page-1", "SN74ABT16640DL")</f>
        <v>SN74ABT16640DL</v>
      </c>
      <c r="B4407" s="3" t="s">
        <v>90</v>
      </c>
      <c r="C4407" s="5">
        <v>429</v>
      </c>
      <c r="D4407" s="6">
        <v>16.29</v>
      </c>
      <c r="E4407" t="s">
        <v>12</v>
      </c>
    </row>
    <row r="4408" spans="1:5" x14ac:dyDescent="0.25">
      <c r="A4408" t="str">
        <f>HYPERLINK("https://www.773grp.com/globalSearch/SN74AS757DWR/page-1", "SN74AS757DWR")</f>
        <v>SN74AS757DWR</v>
      </c>
      <c r="B4408" s="3" t="s">
        <v>90</v>
      </c>
      <c r="C4408" s="5">
        <v>11690</v>
      </c>
      <c r="D4408" s="6">
        <v>16.29</v>
      </c>
      <c r="E4408" t="s">
        <v>12</v>
      </c>
    </row>
    <row r="4409" spans="1:5" x14ac:dyDescent="0.25">
      <c r="A4409" t="str">
        <f>HYPERLINK("https://www.773grp.com/globalSearch/SN74GTLPH16612DLR/page-1", "SN74GTLPH16612DLR")</f>
        <v>SN74GTLPH16612DLR</v>
      </c>
      <c r="B4409" s="3" t="s">
        <v>90</v>
      </c>
      <c r="C4409" s="5">
        <v>1000</v>
      </c>
      <c r="D4409" s="6">
        <v>16.29</v>
      </c>
      <c r="E4409" t="s">
        <v>12</v>
      </c>
    </row>
    <row r="4410" spans="1:5" x14ac:dyDescent="0.25">
      <c r="A4410" t="str">
        <f>HYPERLINK("https://www.773grp.com/globalSearch/SN74AS533ADW/page-1", "SN74AS533ADW")</f>
        <v>SN74AS533ADW</v>
      </c>
      <c r="B4410" s="3" t="s">
        <v>90</v>
      </c>
      <c r="C4410" s="5">
        <v>3125</v>
      </c>
      <c r="D4410" s="6">
        <v>16.399999999999999</v>
      </c>
      <c r="E4410" t="s">
        <v>12</v>
      </c>
    </row>
    <row r="4411" spans="1:5" x14ac:dyDescent="0.25">
      <c r="A4411" t="str">
        <f>HYPERLINK("https://www.773grp.com/globalSearch/SN74ALS843NT/page-1", "SN74ALS843NT")</f>
        <v>SN74ALS843NT</v>
      </c>
      <c r="B4411" s="3" t="s">
        <v>90</v>
      </c>
      <c r="C4411" s="5">
        <v>1256</v>
      </c>
      <c r="D4411" s="6">
        <v>16.579999999999998</v>
      </c>
      <c r="E4411" t="s">
        <v>12</v>
      </c>
    </row>
    <row r="4412" spans="1:5" x14ac:dyDescent="0.25">
      <c r="A4412" t="str">
        <f>HYPERLINK("https://www.773grp.com/globalSearch/CD54HC245F3A/page-1", "CD54HC245F3A")</f>
        <v>CD54HC245F3A</v>
      </c>
      <c r="B4412" s="3" t="s">
        <v>90</v>
      </c>
      <c r="C4412" s="5">
        <v>67</v>
      </c>
      <c r="D4412" s="6">
        <v>16.68</v>
      </c>
      <c r="E4412" t="s">
        <v>12</v>
      </c>
    </row>
    <row r="4413" spans="1:5" x14ac:dyDescent="0.25">
      <c r="A4413" t="str">
        <f>HYPERLINK("https://www.773grp.com/globalSearch/SN74CBTK32245GKER/page-1", "SN74CBTK32245GKER")</f>
        <v>SN74CBTK32245GKER</v>
      </c>
      <c r="B4413" s="3" t="s">
        <v>90</v>
      </c>
      <c r="C4413" s="5">
        <v>6754</v>
      </c>
      <c r="D4413" s="6">
        <v>16.760000000000002</v>
      </c>
      <c r="E4413" t="s">
        <v>12</v>
      </c>
    </row>
    <row r="4414" spans="1:5" x14ac:dyDescent="0.25">
      <c r="A4414" t="str">
        <f>HYPERLINK("https://www.773grp.com/globalSearch/74ACT11652DW/page-1", "74ACT11652DW")</f>
        <v>74ACT11652DW</v>
      </c>
      <c r="B4414" s="3" t="s">
        <v>90</v>
      </c>
      <c r="C4414" s="5">
        <v>1991</v>
      </c>
      <c r="D4414" s="6">
        <v>16.79</v>
      </c>
      <c r="E4414" t="s">
        <v>12</v>
      </c>
    </row>
    <row r="4415" spans="1:5" x14ac:dyDescent="0.25">
      <c r="A4415" t="str">
        <f>HYPERLINK("https://www.773grp.com/globalSearch/SN74AS652DW/page-1", "SN74AS652DW")</f>
        <v>SN74AS652DW</v>
      </c>
      <c r="B4415" s="3" t="s">
        <v>90</v>
      </c>
      <c r="C4415" s="5">
        <v>4208</v>
      </c>
      <c r="D4415" s="6">
        <v>16.88</v>
      </c>
      <c r="E4415" t="s">
        <v>12</v>
      </c>
    </row>
    <row r="4416" spans="1:5" x14ac:dyDescent="0.25">
      <c r="A4416" t="str">
        <f>HYPERLINK("https://www.773grp.com/globalSearch/SN74BCT25642DW/page-1", "SN74BCT25642DW")</f>
        <v>SN74BCT25642DW</v>
      </c>
      <c r="B4416" s="3" t="s">
        <v>90</v>
      </c>
      <c r="C4416" s="5">
        <v>7585</v>
      </c>
      <c r="D4416" s="6">
        <v>16.88</v>
      </c>
      <c r="E4416" t="s">
        <v>12</v>
      </c>
    </row>
    <row r="4417" spans="1:5" x14ac:dyDescent="0.25">
      <c r="A4417" t="str">
        <f>HYPERLINK("https://www.773grp.com/globalSearch/SN74BCT652DWR/page-1", "SN74BCT652DWR")</f>
        <v>SN74BCT652DWR</v>
      </c>
      <c r="B4417" s="3" t="s">
        <v>90</v>
      </c>
      <c r="C4417" s="5">
        <v>11413</v>
      </c>
      <c r="D4417" s="6">
        <v>16.88</v>
      </c>
      <c r="E4417" t="s">
        <v>12</v>
      </c>
    </row>
    <row r="4418" spans="1:5" x14ac:dyDescent="0.25">
      <c r="A4418" t="str">
        <f>HYPERLINK("https://www.773grp.com/globalSearch/SN74GTLPH16916GR/page-1", "SN74GTLPH16916GR")</f>
        <v>SN74GTLPH16916GR</v>
      </c>
      <c r="B4418" s="3" t="s">
        <v>90</v>
      </c>
      <c r="C4418" s="5">
        <v>4000</v>
      </c>
      <c r="D4418" s="6">
        <v>16.88</v>
      </c>
      <c r="E4418" t="s">
        <v>12</v>
      </c>
    </row>
    <row r="4419" spans="1:5" x14ac:dyDescent="0.25">
      <c r="A4419" t="str">
        <f>HYPERLINK("https://www.773grp.com/globalSearch/SN74GTLPH16927GR/page-1", "SN74GTLPH16927GR")</f>
        <v>SN74GTLPH16927GR</v>
      </c>
      <c r="B4419" s="3" t="s">
        <v>90</v>
      </c>
      <c r="C4419" s="5">
        <v>2000</v>
      </c>
      <c r="D4419" s="6">
        <v>16.88</v>
      </c>
      <c r="E4419" t="s">
        <v>12</v>
      </c>
    </row>
    <row r="4420" spans="1:5" x14ac:dyDescent="0.25">
      <c r="A4420" t="str">
        <f>HYPERLINK("https://www.773grp.com/globalSearch/SN74GTLPH16927VR/page-1", "SN74GTLPH16927VR")</f>
        <v>SN74GTLPH16927VR</v>
      </c>
      <c r="B4420" s="3" t="s">
        <v>90</v>
      </c>
      <c r="C4420" s="5">
        <v>2000</v>
      </c>
      <c r="D4420" s="6">
        <v>16.88</v>
      </c>
      <c r="E4420" t="s">
        <v>12</v>
      </c>
    </row>
    <row r="4421" spans="1:5" x14ac:dyDescent="0.25">
      <c r="A4421" t="str">
        <f>HYPERLINK("https://www.773grp.com/globalSearch/SN74LS440DW/page-1", "SN74LS440DW")</f>
        <v>SN74LS440DW</v>
      </c>
      <c r="B4421" s="3" t="s">
        <v>90</v>
      </c>
      <c r="C4421" s="5">
        <v>820</v>
      </c>
      <c r="D4421" s="6">
        <v>16.88</v>
      </c>
      <c r="E4421" t="s">
        <v>12</v>
      </c>
    </row>
    <row r="4422" spans="1:5" x14ac:dyDescent="0.25">
      <c r="A4422" t="str">
        <f>HYPERLINK("https://www.773grp.com/globalSearch/SN74LS441DW/page-1", "SN74LS441DW")</f>
        <v>SN74LS441DW</v>
      </c>
      <c r="B4422" s="3" t="s">
        <v>90</v>
      </c>
      <c r="C4422" s="5">
        <v>800</v>
      </c>
      <c r="D4422" s="6">
        <v>16.88</v>
      </c>
      <c r="E4422" t="s">
        <v>12</v>
      </c>
    </row>
    <row r="4423" spans="1:5" x14ac:dyDescent="0.25">
      <c r="A4423" t="str">
        <f>HYPERLINK("https://www.773grp.com/globalSearch/5962-9318801MRA/page-1", "5962-9318801MRA")</f>
        <v>5962-9318801MRA</v>
      </c>
      <c r="B4423" s="3" t="s">
        <v>90</v>
      </c>
      <c r="C4423" s="5">
        <v>405</v>
      </c>
      <c r="D4423" s="6">
        <v>16.96</v>
      </c>
      <c r="E4423" t="s">
        <v>12</v>
      </c>
    </row>
    <row r="4424" spans="1:5" x14ac:dyDescent="0.25">
      <c r="A4424" t="str">
        <f>HYPERLINK("https://www.773grp.com/globalSearch/SNJ54ABT240J/page-1", "SNJ54ABT240J")</f>
        <v>SNJ54ABT240J</v>
      </c>
      <c r="B4424" s="3" t="s">
        <v>90</v>
      </c>
      <c r="C4424" s="5">
        <v>624</v>
      </c>
      <c r="D4424" s="6">
        <v>16.96</v>
      </c>
      <c r="E4424" t="s">
        <v>12</v>
      </c>
    </row>
    <row r="4425" spans="1:5" x14ac:dyDescent="0.25">
      <c r="A4425" t="str">
        <f>HYPERLINK("https://www.773grp.com/globalSearch/SN74ABTH162460DL/page-1", "SN74ABTH162460DL")</f>
        <v>SN74ABTH162460DL</v>
      </c>
      <c r="B4425" s="3" t="s">
        <v>90</v>
      </c>
      <c r="C4425" s="5">
        <v>1661</v>
      </c>
      <c r="D4425" s="6">
        <v>16.989999999999998</v>
      </c>
      <c r="E4425" t="s">
        <v>12</v>
      </c>
    </row>
    <row r="4426" spans="1:5" x14ac:dyDescent="0.25">
      <c r="A4426" t="str">
        <f>HYPERLINK("https://www.773grp.com/globalSearch/SN74ABTH162460DLR/page-1", "SN74ABTH162460DLR")</f>
        <v>SN74ABTH162460DLR</v>
      </c>
      <c r="B4426" s="3" t="s">
        <v>90</v>
      </c>
      <c r="C4426" s="5">
        <v>13000</v>
      </c>
      <c r="D4426" s="6">
        <v>16.989999999999998</v>
      </c>
      <c r="E4426" t="s">
        <v>12</v>
      </c>
    </row>
    <row r="4427" spans="1:5" x14ac:dyDescent="0.25">
      <c r="A4427" t="str">
        <f>HYPERLINK("https://www.773grp.com/globalSearch/74ALVCH16903DGGRG4/page-1", "74ALVCH16903DGGRG4")</f>
        <v>74ALVCH16903DGGRG4</v>
      </c>
      <c r="B4427" s="3" t="s">
        <v>90</v>
      </c>
      <c r="C4427" s="5">
        <v>12000</v>
      </c>
      <c r="D4427" s="6">
        <v>17.079999999999998</v>
      </c>
      <c r="E4427" t="s">
        <v>12</v>
      </c>
    </row>
    <row r="4428" spans="1:5" x14ac:dyDescent="0.25">
      <c r="A4428" t="str">
        <f>HYPERLINK("https://www.773grp.com/globalSearch/SN74ABTH16460DLR/page-1", "SN74ABTH16460DLR")</f>
        <v>SN74ABTH16460DLR</v>
      </c>
      <c r="B4428" s="3" t="s">
        <v>90</v>
      </c>
      <c r="C4428" s="5">
        <v>5000</v>
      </c>
      <c r="D4428" s="6">
        <v>17.079999999999998</v>
      </c>
      <c r="E4428" t="s">
        <v>12</v>
      </c>
    </row>
    <row r="4429" spans="1:5" x14ac:dyDescent="0.25">
      <c r="A4429" t="str">
        <f>HYPERLINK("https://www.773grp.com/globalSearch/SN74ALS1244AN/page-1", "SN74ALS1244AN")</f>
        <v>SN74ALS1244AN</v>
      </c>
      <c r="B4429" s="3" t="s">
        <v>90</v>
      </c>
      <c r="C4429" s="5">
        <v>1489</v>
      </c>
      <c r="D4429" s="6">
        <v>17.079999999999998</v>
      </c>
      <c r="E4429" t="s">
        <v>12</v>
      </c>
    </row>
    <row r="4430" spans="1:5" x14ac:dyDescent="0.25">
      <c r="A4430" t="str">
        <f>HYPERLINK("https://www.773grp.com/globalSearch/SN74ALVCH16903DGGR/page-1", "SN74ALVCH16903DGGR")</f>
        <v>SN74ALVCH16903DGGR</v>
      </c>
      <c r="B4430" s="3" t="s">
        <v>90</v>
      </c>
      <c r="C4430" s="5">
        <v>34000</v>
      </c>
      <c r="D4430" s="6">
        <v>17.079999999999998</v>
      </c>
      <c r="E4430" t="s">
        <v>12</v>
      </c>
    </row>
    <row r="4431" spans="1:5" x14ac:dyDescent="0.25">
      <c r="A4431" t="str">
        <f>HYPERLINK("https://www.773grp.com/globalSearch/SN74ALVCH16903DGVR/page-1", "SN74ALVCH16903DGVR")</f>
        <v>SN74ALVCH16903DGVR</v>
      </c>
      <c r="B4431" s="3" t="s">
        <v>90</v>
      </c>
      <c r="C4431" s="5">
        <v>2000</v>
      </c>
      <c r="D4431" s="6">
        <v>17.079999999999998</v>
      </c>
      <c r="E4431" t="s">
        <v>12</v>
      </c>
    </row>
    <row r="4432" spans="1:5" x14ac:dyDescent="0.25">
      <c r="A4432" t="str">
        <f>HYPERLINK("https://www.773grp.com/globalSearch/SNJ54ALS564AJ/page-1", "SNJ54ALS564AJ")</f>
        <v>SNJ54ALS564AJ</v>
      </c>
      <c r="B4432" s="3" t="s">
        <v>90</v>
      </c>
      <c r="C4432" s="5">
        <v>5</v>
      </c>
      <c r="D4432" s="6">
        <v>17.079999999999998</v>
      </c>
      <c r="E4432" t="s">
        <v>12</v>
      </c>
    </row>
    <row r="4433" spans="1:5" x14ac:dyDescent="0.25">
      <c r="A4433" t="str">
        <f>HYPERLINK("https://www.773grp.com/globalSearch/SN74ALS651ANT/page-1", "SN74ALS651ANT")</f>
        <v>SN74ALS651ANT</v>
      </c>
      <c r="B4433" s="3" t="s">
        <v>90</v>
      </c>
      <c r="C4433" s="5">
        <v>3264</v>
      </c>
      <c r="D4433" s="6">
        <v>17.329999999999998</v>
      </c>
      <c r="E4433" t="s">
        <v>12</v>
      </c>
    </row>
    <row r="4434" spans="1:5" x14ac:dyDescent="0.25">
      <c r="A4434" t="str">
        <f>HYPERLINK("https://www.773grp.com/globalSearch/SN74BCT8374ANT/page-1", "SN74BCT8374ANT")</f>
        <v>SN74BCT8374ANT</v>
      </c>
      <c r="B4434" s="3" t="s">
        <v>90</v>
      </c>
      <c r="C4434" s="5">
        <v>825</v>
      </c>
      <c r="D4434" s="6">
        <v>17.350000000000001</v>
      </c>
      <c r="E4434" t="s">
        <v>12</v>
      </c>
    </row>
    <row r="4435" spans="1:5" x14ac:dyDescent="0.25">
      <c r="A4435" t="str">
        <f>HYPERLINK("https://www.773grp.com/globalSearch/SN74ALS243AD/page-1", "SN74ALS243AD")</f>
        <v>SN74ALS243AD</v>
      </c>
      <c r="B4435" s="3" t="s">
        <v>90</v>
      </c>
      <c r="C4435" s="5">
        <v>32249</v>
      </c>
      <c r="D4435" s="6">
        <v>17.440000000000001</v>
      </c>
      <c r="E4435" t="s">
        <v>12</v>
      </c>
    </row>
    <row r="4436" spans="1:5" x14ac:dyDescent="0.25">
      <c r="A4436" t="str">
        <f>HYPERLINK("https://www.773grp.com/globalSearch/SN74ALS876ANT/page-1", "SN74ALS876ANT")</f>
        <v>SN74ALS876ANT</v>
      </c>
      <c r="B4436" s="3" t="s">
        <v>90</v>
      </c>
      <c r="C4436" s="5">
        <v>16910</v>
      </c>
      <c r="D4436" s="6">
        <v>17.46</v>
      </c>
      <c r="E4436" t="s">
        <v>12</v>
      </c>
    </row>
    <row r="4437" spans="1:5" x14ac:dyDescent="0.25">
      <c r="A4437" t="str">
        <f>HYPERLINK("https://www.773grp.com/globalSearch/SN74ALVCHR16409LR/page-1", "SN74ALVCHR16409LR")</f>
        <v>SN74ALVCHR16409LR</v>
      </c>
      <c r="B4437" s="3" t="s">
        <v>90</v>
      </c>
      <c r="C4437" s="5">
        <v>2000</v>
      </c>
      <c r="D4437" s="6">
        <v>17.46</v>
      </c>
      <c r="E4437" t="s">
        <v>12</v>
      </c>
    </row>
    <row r="4438" spans="1:5" x14ac:dyDescent="0.25">
      <c r="A4438" t="str">
        <f>HYPERLINK("https://www.773grp.com/globalSearch/SN74BCT8240ADW/page-1", "SN74BCT8240ADW")</f>
        <v>SN74BCT8240ADW</v>
      </c>
      <c r="B4438" s="3" t="s">
        <v>90</v>
      </c>
      <c r="C4438" s="5">
        <v>1104</v>
      </c>
      <c r="D4438" s="6">
        <v>17.46</v>
      </c>
      <c r="E4438" t="s">
        <v>12</v>
      </c>
    </row>
    <row r="4439" spans="1:5" x14ac:dyDescent="0.25">
      <c r="A4439" t="str">
        <f>HYPERLINK("https://www.773grp.com/globalSearch/SN74BCT8244ADWR/page-1", "SN74BCT8244ADWR")</f>
        <v>SN74BCT8244ADWR</v>
      </c>
      <c r="B4439" s="3" t="s">
        <v>90</v>
      </c>
      <c r="C4439" s="5">
        <v>2000</v>
      </c>
      <c r="D4439" s="6">
        <v>17.46</v>
      </c>
      <c r="E4439" t="s">
        <v>12</v>
      </c>
    </row>
    <row r="4440" spans="1:5" x14ac:dyDescent="0.25">
      <c r="A4440" t="str">
        <f>HYPERLINK("https://www.773grp.com/globalSearch/SN74BCT8373ADW/page-1", "SN74BCT8373ADW")</f>
        <v>SN74BCT8373ADW</v>
      </c>
      <c r="B4440" s="3" t="s">
        <v>90</v>
      </c>
      <c r="C4440" s="5">
        <v>4150</v>
      </c>
      <c r="D4440" s="6">
        <v>17.46</v>
      </c>
      <c r="E4440" t="s">
        <v>12</v>
      </c>
    </row>
    <row r="4441" spans="1:5" x14ac:dyDescent="0.25">
      <c r="A4441" t="str">
        <f>HYPERLINK("https://www.773grp.com/globalSearch/SN74BCT8374ADW/page-1", "SN74BCT8374ADW")</f>
        <v>SN74BCT8374ADW</v>
      </c>
      <c r="B4441" s="3" t="s">
        <v>90</v>
      </c>
      <c r="C4441" s="5">
        <v>1335</v>
      </c>
      <c r="D4441" s="6">
        <v>17.46</v>
      </c>
      <c r="E4441" t="s">
        <v>12</v>
      </c>
    </row>
    <row r="4442" spans="1:5" x14ac:dyDescent="0.25">
      <c r="A4442" t="str">
        <f>HYPERLINK("https://www.773grp.com/globalSearch/SN54ALS241BJ/page-1", "SN54ALS241BJ")</f>
        <v>SN54ALS241BJ</v>
      </c>
      <c r="B4442" s="3" t="s">
        <v>90</v>
      </c>
      <c r="C4442" s="5">
        <v>978</v>
      </c>
      <c r="D4442" s="6">
        <v>17.510000000000002</v>
      </c>
      <c r="E4442" t="s">
        <v>12</v>
      </c>
    </row>
    <row r="4443" spans="1:5" x14ac:dyDescent="0.25">
      <c r="A4443" t="str">
        <f>HYPERLINK("https://www.773grp.com/globalSearch/SNJ54ALS241BJ/page-1", "SNJ54ALS241BJ")</f>
        <v>SNJ54ALS241BJ</v>
      </c>
      <c r="B4443" s="3" t="s">
        <v>90</v>
      </c>
      <c r="C4443" s="5">
        <v>3326</v>
      </c>
      <c r="D4443" s="6">
        <v>17.510000000000002</v>
      </c>
      <c r="E4443" t="s">
        <v>12</v>
      </c>
    </row>
    <row r="4444" spans="1:5" x14ac:dyDescent="0.25">
      <c r="A4444" t="str">
        <f>HYPERLINK("https://www.773grp.com/globalSearch/SN54ALS534J/page-1", "SN54ALS534J")</f>
        <v>SN54ALS534J</v>
      </c>
      <c r="B4444" s="3" t="s">
        <v>90</v>
      </c>
      <c r="C4444" s="5">
        <v>70</v>
      </c>
      <c r="D4444" s="6">
        <v>17.600000000000001</v>
      </c>
      <c r="E4444" t="s">
        <v>12</v>
      </c>
    </row>
    <row r="4445" spans="1:5" x14ac:dyDescent="0.25">
      <c r="A4445" t="str">
        <f>HYPERLINK("https://www.773grp.com/globalSearch/SN54HC534J/page-1", "SN54HC534J")</f>
        <v>SN54HC534J</v>
      </c>
      <c r="B4445" s="3" t="s">
        <v>90</v>
      </c>
      <c r="C4445" s="5">
        <v>310</v>
      </c>
      <c r="D4445" s="6">
        <v>17.64</v>
      </c>
      <c r="E4445" t="s">
        <v>12</v>
      </c>
    </row>
    <row r="4446" spans="1:5" x14ac:dyDescent="0.25">
      <c r="A4446" t="str">
        <f>HYPERLINK("https://www.773grp.com/globalSearch/SN54BCT126AJ/page-1", "SN54BCT126AJ")</f>
        <v>SN54BCT126AJ</v>
      </c>
      <c r="B4446" s="3" t="s">
        <v>90</v>
      </c>
      <c r="C4446" s="5">
        <v>676</v>
      </c>
      <c r="D4446" s="6">
        <v>17.66</v>
      </c>
      <c r="E4446" t="s">
        <v>12</v>
      </c>
    </row>
    <row r="4447" spans="1:5" x14ac:dyDescent="0.25">
      <c r="A4447" t="str">
        <f>HYPERLINK("https://www.773grp.com/globalSearch/SN74ALVCH16524DL/page-1", "SN74ALVCH16524DL")</f>
        <v>SN74ALVCH16524DL</v>
      </c>
      <c r="B4447" s="3" t="s">
        <v>90</v>
      </c>
      <c r="C4447" s="5">
        <v>11789</v>
      </c>
      <c r="D4447" s="6">
        <v>17.690000000000001</v>
      </c>
      <c r="E4447" t="s">
        <v>12</v>
      </c>
    </row>
    <row r="4448" spans="1:5" x14ac:dyDescent="0.25">
      <c r="A4448" t="str">
        <f>HYPERLINK("https://www.773grp.com/globalSearch/SN74GTL16612ADGGR/page-1", "SN74GTL16612ADGGR")</f>
        <v>SN74GTL16612ADGGR</v>
      </c>
      <c r="B4448" s="3" t="s">
        <v>90</v>
      </c>
      <c r="C4448" s="5">
        <v>38000</v>
      </c>
      <c r="D4448" s="6">
        <v>17.690000000000001</v>
      </c>
      <c r="E4448" t="s">
        <v>12</v>
      </c>
    </row>
    <row r="4449" spans="1:5" x14ac:dyDescent="0.25">
      <c r="A4449" t="str">
        <f>HYPERLINK("https://www.773grp.com/globalSearch/SN74GTL16612ADL/page-1", "SN74GTL16612ADL")</f>
        <v>SN74GTL16612ADL</v>
      </c>
      <c r="B4449" s="3" t="s">
        <v>90</v>
      </c>
      <c r="C4449" s="5">
        <v>558</v>
      </c>
      <c r="D4449" s="6">
        <v>17.690000000000001</v>
      </c>
      <c r="E4449" t="s">
        <v>12</v>
      </c>
    </row>
    <row r="4450" spans="1:5" x14ac:dyDescent="0.25">
      <c r="A4450" t="str">
        <f>HYPERLINK("https://www.773grp.com/globalSearch/SN74GTL16612ADLR/page-1", "SN74GTL16612ADLR")</f>
        <v>SN74GTL16612ADLR</v>
      </c>
      <c r="B4450" s="3" t="s">
        <v>90</v>
      </c>
      <c r="C4450" s="5">
        <v>8849</v>
      </c>
      <c r="D4450" s="6">
        <v>17.690000000000001</v>
      </c>
      <c r="E4450" t="s">
        <v>12</v>
      </c>
    </row>
    <row r="4451" spans="1:5" x14ac:dyDescent="0.25">
      <c r="A4451" t="str">
        <f>HYPERLINK("https://www.773grp.com/globalSearch/SN74GTL16612DLR/page-1", "SN74GTL16612DLR")</f>
        <v>SN74GTL16612DLR</v>
      </c>
      <c r="B4451" s="3" t="s">
        <v>90</v>
      </c>
      <c r="C4451" s="5">
        <v>7000</v>
      </c>
      <c r="D4451" s="6">
        <v>17.690000000000001</v>
      </c>
      <c r="E4451" t="s">
        <v>12</v>
      </c>
    </row>
    <row r="4452" spans="1:5" x14ac:dyDescent="0.25">
      <c r="A4452" t="str">
        <f>HYPERLINK("https://www.773grp.com/globalSearch/SN74LVTH182502APM/page-1", "SN74LVTH182502APM")</f>
        <v>SN74LVTH182502APM</v>
      </c>
      <c r="B4452" s="3" t="s">
        <v>90</v>
      </c>
      <c r="C4452" s="5">
        <v>18947</v>
      </c>
      <c r="D4452" s="6">
        <v>17.690000000000001</v>
      </c>
      <c r="E4452" t="s">
        <v>12</v>
      </c>
    </row>
    <row r="4453" spans="1:5" x14ac:dyDescent="0.25">
      <c r="A4453" t="str">
        <f>HYPERLINK("https://www.773grp.com/globalSearch/SN74LVTH18502APM/page-1", "SN74LVTH18502APM")</f>
        <v>SN74LVTH18502APM</v>
      </c>
      <c r="B4453" s="3" t="s">
        <v>90</v>
      </c>
      <c r="C4453" s="5">
        <v>6564</v>
      </c>
      <c r="D4453" s="6">
        <v>17.690000000000001</v>
      </c>
      <c r="E4453" t="s">
        <v>12</v>
      </c>
    </row>
    <row r="4454" spans="1:5" x14ac:dyDescent="0.25">
      <c r="A4454" t="str">
        <f>HYPERLINK("https://www.773grp.com/globalSearch/SN74LVTH18504APM/page-1", "SN74LVTH18504APM")</f>
        <v>SN74LVTH18504APM</v>
      </c>
      <c r="B4454" s="3" t="s">
        <v>90</v>
      </c>
      <c r="C4454" s="5">
        <v>6216</v>
      </c>
      <c r="D4454" s="6">
        <v>17.690000000000001</v>
      </c>
      <c r="E4454" t="s">
        <v>12</v>
      </c>
    </row>
    <row r="4455" spans="1:5" x14ac:dyDescent="0.25">
      <c r="A4455" t="str">
        <f>HYPERLINK("https://www.773grp.com/globalSearch/SN54ALS245AJ/page-1", "SN54ALS245AJ")</f>
        <v>SN54ALS245AJ</v>
      </c>
      <c r="B4455" s="3" t="s">
        <v>90</v>
      </c>
      <c r="C4455" s="5">
        <v>19</v>
      </c>
      <c r="D4455" s="6">
        <v>17.73</v>
      </c>
      <c r="E4455" t="s">
        <v>12</v>
      </c>
    </row>
    <row r="4456" spans="1:5" x14ac:dyDescent="0.25">
      <c r="A4456" t="str">
        <f>HYPERLINK("https://www.773grp.com/globalSearch/JM38510-32301BCA/page-1", "JM38510-32301BCA")</f>
        <v>JM38510-32301BCA</v>
      </c>
      <c r="B4456" s="3" t="s">
        <v>90</v>
      </c>
      <c r="C4456" s="5">
        <v>354</v>
      </c>
      <c r="D4456" s="6">
        <v>17.75</v>
      </c>
      <c r="E4456" t="s">
        <v>12</v>
      </c>
    </row>
    <row r="4457" spans="1:5" x14ac:dyDescent="0.25">
      <c r="A4457" t="str">
        <f>HYPERLINK("https://www.773grp.com/globalSearch/SN54LS365AJ/page-1", "SN54LS365AJ")</f>
        <v>SN54LS365AJ</v>
      </c>
      <c r="B4457" s="3" t="s">
        <v>90</v>
      </c>
      <c r="C4457" s="5">
        <v>461</v>
      </c>
      <c r="D4457" s="6">
        <v>17.75</v>
      </c>
      <c r="E4457" t="s">
        <v>12</v>
      </c>
    </row>
    <row r="4458" spans="1:5" x14ac:dyDescent="0.25">
      <c r="A4458" t="str">
        <f>HYPERLINK("https://www.773grp.com/globalSearch/SN74ABT8646DL/page-1", "SN74ABT8646DL")</f>
        <v>SN74ABT8646DL</v>
      </c>
      <c r="B4458" s="3" t="s">
        <v>90</v>
      </c>
      <c r="C4458" s="5">
        <v>6420</v>
      </c>
      <c r="D4458" s="6">
        <v>17.75</v>
      </c>
      <c r="E4458" t="s">
        <v>12</v>
      </c>
    </row>
    <row r="4459" spans="1:5" x14ac:dyDescent="0.25">
      <c r="A4459" t="str">
        <f>HYPERLINK("https://www.773grp.com/globalSearch/SN74ABT8646DW/page-1", "SN74ABT8646DW")</f>
        <v>SN74ABT8646DW</v>
      </c>
      <c r="B4459" s="3" t="s">
        <v>90</v>
      </c>
      <c r="C4459" s="5">
        <v>2589</v>
      </c>
      <c r="D4459" s="6">
        <v>17.75</v>
      </c>
      <c r="E4459" t="s">
        <v>12</v>
      </c>
    </row>
    <row r="4460" spans="1:5" x14ac:dyDescent="0.25">
      <c r="A4460" t="str">
        <f>HYPERLINK("https://www.773grp.com/globalSearch/5962-9754901QLA/page-1", "5962-9754901QLA")</f>
        <v>5962-9754901QLA</v>
      </c>
      <c r="B4460" s="3" t="s">
        <v>90</v>
      </c>
      <c r="C4460" s="5">
        <v>336</v>
      </c>
      <c r="D4460" s="6">
        <v>17.89</v>
      </c>
      <c r="E4460" t="s">
        <v>12</v>
      </c>
    </row>
    <row r="4461" spans="1:5" x14ac:dyDescent="0.25">
      <c r="A4461" t="str">
        <f>HYPERLINK("https://www.773grp.com/globalSearch/SN74ABT16600DL/page-1", "SN74ABT16600DL")</f>
        <v>SN74ABT16600DL</v>
      </c>
      <c r="B4461" s="3" t="s">
        <v>90</v>
      </c>
      <c r="C4461" s="5">
        <v>4540</v>
      </c>
      <c r="D4461" s="6">
        <v>17.89</v>
      </c>
      <c r="E4461" t="s">
        <v>12</v>
      </c>
    </row>
    <row r="4462" spans="1:5" x14ac:dyDescent="0.25">
      <c r="A4462" t="str">
        <f>HYPERLINK("https://www.773grp.com/globalSearch/SN74AS757N/page-1", "SN74AS757N")</f>
        <v>SN74AS757N</v>
      </c>
      <c r="B4462" s="3" t="s">
        <v>90</v>
      </c>
      <c r="C4462" s="5">
        <v>22851</v>
      </c>
      <c r="D4462" s="6">
        <v>17.89</v>
      </c>
      <c r="E4462" t="s">
        <v>12</v>
      </c>
    </row>
    <row r="4463" spans="1:5" x14ac:dyDescent="0.25">
      <c r="A4463" t="str">
        <f>HYPERLINK("https://www.773grp.com/globalSearch/SNJ54AS241J/page-1", "SNJ54AS241J")</f>
        <v>SNJ54AS241J</v>
      </c>
      <c r="B4463" s="3" t="s">
        <v>90</v>
      </c>
      <c r="C4463" s="5">
        <v>4685</v>
      </c>
      <c r="D4463" s="6">
        <v>17.89</v>
      </c>
      <c r="E4463" t="s">
        <v>12</v>
      </c>
    </row>
    <row r="4464" spans="1:5" x14ac:dyDescent="0.25">
      <c r="A4464" t="str">
        <f>HYPERLINK("https://www.773grp.com/globalSearch/SNJ54AS244J/page-1", "SNJ54AS244J")</f>
        <v>SNJ54AS244J</v>
      </c>
      <c r="B4464" s="3" t="s">
        <v>90</v>
      </c>
      <c r="C4464" s="5">
        <v>4149</v>
      </c>
      <c r="D4464" s="6">
        <v>17.89</v>
      </c>
      <c r="E4464" t="s">
        <v>12</v>
      </c>
    </row>
    <row r="4465" spans="1:5" x14ac:dyDescent="0.25">
      <c r="A4465" t="str">
        <f>HYPERLINK("https://www.773grp.com/globalSearch/SNJ54AS873AJT/page-1", "SNJ54AS873AJT")</f>
        <v>SNJ54AS873AJT</v>
      </c>
      <c r="B4465" s="3" t="s">
        <v>90</v>
      </c>
      <c r="C4465" s="5">
        <v>431</v>
      </c>
      <c r="D4465" s="6">
        <v>17.89</v>
      </c>
      <c r="E4465" t="s">
        <v>12</v>
      </c>
    </row>
    <row r="4466" spans="1:5" x14ac:dyDescent="0.25">
      <c r="A4466" t="str">
        <f>HYPERLINK("https://www.773grp.com/globalSearch/SN74ABT16470DGGR/page-1", "SN74ABT16470DGGR")</f>
        <v>SN74ABT16470DGGR</v>
      </c>
      <c r="B4466" s="3" t="s">
        <v>90</v>
      </c>
      <c r="C4466" s="5">
        <v>4000</v>
      </c>
      <c r="D4466" s="6">
        <v>17.93</v>
      </c>
      <c r="E4466" t="s">
        <v>12</v>
      </c>
    </row>
    <row r="4467" spans="1:5" x14ac:dyDescent="0.25">
      <c r="A4467" t="str">
        <f>HYPERLINK("https://www.773grp.com/globalSearch/SN74ABT16470DL/page-1", "SN74ABT16470DL")</f>
        <v>SN74ABT16470DL</v>
      </c>
      <c r="B4467" s="3" t="s">
        <v>90</v>
      </c>
      <c r="C4467" s="5">
        <v>4450</v>
      </c>
      <c r="D4467" s="6">
        <v>17.93</v>
      </c>
      <c r="E4467" t="s">
        <v>12</v>
      </c>
    </row>
    <row r="4468" spans="1:5" x14ac:dyDescent="0.25">
      <c r="A4468" t="str">
        <f>HYPERLINK("https://www.773grp.com/globalSearch/SN74ABT16470DLR/page-1", "SN74ABT16470DLR")</f>
        <v>SN74ABT16470DLR</v>
      </c>
      <c r="B4468" s="3" t="s">
        <v>90</v>
      </c>
      <c r="C4468" s="5">
        <v>2000</v>
      </c>
      <c r="D4468" s="6">
        <v>17.93</v>
      </c>
      <c r="E4468" t="s">
        <v>12</v>
      </c>
    </row>
    <row r="4469" spans="1:5" x14ac:dyDescent="0.25">
      <c r="A4469" t="str">
        <f>HYPERLINK("https://www.773grp.com/globalSearch/SN54ALS240AJ/page-1", "SN54ALS240AJ")</f>
        <v>SN54ALS240AJ</v>
      </c>
      <c r="B4469" s="3" t="s">
        <v>90</v>
      </c>
      <c r="C4469" s="5">
        <v>15</v>
      </c>
      <c r="D4469" s="6">
        <v>18</v>
      </c>
      <c r="E4469" t="s">
        <v>12</v>
      </c>
    </row>
    <row r="4470" spans="1:5" x14ac:dyDescent="0.25">
      <c r="A4470" t="str">
        <f>HYPERLINK("https://www.773grp.com/globalSearch/SN54ALS241CJ/page-1", "SN54ALS241CJ")</f>
        <v>SN54ALS241CJ</v>
      </c>
      <c r="B4470" s="3" t="s">
        <v>90</v>
      </c>
      <c r="C4470" s="5">
        <v>6</v>
      </c>
      <c r="D4470" s="6">
        <v>18</v>
      </c>
      <c r="E4470" t="s">
        <v>12</v>
      </c>
    </row>
    <row r="4471" spans="1:5" x14ac:dyDescent="0.25">
      <c r="A4471" t="str">
        <f>HYPERLINK("https://www.773grp.com/globalSearch/JM38510-32402BSA/page-1", "JM38510-32402BSA")</f>
        <v>JM38510-32402BSA</v>
      </c>
      <c r="B4471" s="3" t="s">
        <v>90</v>
      </c>
      <c r="C4471" s="5">
        <v>27</v>
      </c>
      <c r="D4471" s="6">
        <v>18.03</v>
      </c>
      <c r="E4471" t="s">
        <v>12</v>
      </c>
    </row>
    <row r="4472" spans="1:5" x14ac:dyDescent="0.25">
      <c r="A4472" t="str">
        <f>HYPERLINK("https://www.773grp.com/globalSearch/5962-9050601RA/page-1", "5962-9050601RA")</f>
        <v>5962-9050601RA</v>
      </c>
      <c r="B4472" s="3" t="s">
        <v>90</v>
      </c>
      <c r="C4472" s="5">
        <v>273</v>
      </c>
      <c r="D4472" s="6">
        <v>18.09</v>
      </c>
      <c r="E4472" t="s">
        <v>12</v>
      </c>
    </row>
    <row r="4473" spans="1:5" x14ac:dyDescent="0.25">
      <c r="A4473" t="str">
        <f>HYPERLINK("https://www.773grp.com/globalSearch/5962-9050602RA/page-1", "5962-9050602RA")</f>
        <v>5962-9050602RA</v>
      </c>
      <c r="B4473" s="3" t="s">
        <v>90</v>
      </c>
      <c r="C4473" s="5">
        <v>2</v>
      </c>
      <c r="D4473" s="6">
        <v>18.09</v>
      </c>
      <c r="E4473" t="s">
        <v>12</v>
      </c>
    </row>
    <row r="4474" spans="1:5" x14ac:dyDescent="0.25">
      <c r="A4474" t="str">
        <f>HYPERLINK("https://www.773grp.com/globalSearch/SN74ABTE16245DGG/page-1", "SN74ABTE16245DGG")</f>
        <v>SN74ABTE16245DGG</v>
      </c>
      <c r="B4474" s="3" t="s">
        <v>90</v>
      </c>
      <c r="C4474" s="5">
        <v>600</v>
      </c>
      <c r="D4474" s="6">
        <v>18.09</v>
      </c>
      <c r="E4474" t="s">
        <v>12</v>
      </c>
    </row>
    <row r="4475" spans="1:5" x14ac:dyDescent="0.25">
      <c r="A4475" t="str">
        <f>HYPERLINK("https://www.773grp.com/globalSearch/SN74ALVCHG162280GR/page-1", "SN74ALVCHG162280GR")</f>
        <v>SN74ALVCHG162280GR</v>
      </c>
      <c r="B4475" s="3" t="s">
        <v>90</v>
      </c>
      <c r="C4475" s="5">
        <v>8000</v>
      </c>
      <c r="D4475" s="6">
        <v>18.09</v>
      </c>
      <c r="E4475" t="s">
        <v>12</v>
      </c>
    </row>
    <row r="4476" spans="1:5" x14ac:dyDescent="0.25">
      <c r="A4476" t="str">
        <f>HYPERLINK("https://www.773grp.com/globalSearch/SN74ALVCHG162282GR/page-1", "SN74ALVCHG162282GR")</f>
        <v>SN74ALVCHG162282GR</v>
      </c>
      <c r="B4476" s="3" t="s">
        <v>90</v>
      </c>
      <c r="C4476" s="5">
        <v>2000</v>
      </c>
      <c r="D4476" s="6">
        <v>18.09</v>
      </c>
      <c r="E4476" t="s">
        <v>12</v>
      </c>
    </row>
    <row r="4477" spans="1:5" x14ac:dyDescent="0.25">
      <c r="A4477" t="str">
        <f>HYPERLINK("https://www.773grp.com/globalSearch/SN74AS646NT/page-1", "SN74AS646NT")</f>
        <v>SN74AS646NT</v>
      </c>
      <c r="B4477" s="3" t="s">
        <v>90</v>
      </c>
      <c r="C4477" s="5">
        <v>4</v>
      </c>
      <c r="D4477" s="6">
        <v>18.09</v>
      </c>
      <c r="E4477" t="s">
        <v>12</v>
      </c>
    </row>
    <row r="4478" spans="1:5" x14ac:dyDescent="0.25">
      <c r="A4478" t="str">
        <f>HYPERLINK("https://www.773grp.com/globalSearch/SN74AS648NT/page-1", "SN74AS648NT")</f>
        <v>SN74AS648NT</v>
      </c>
      <c r="B4478" s="3" t="s">
        <v>90</v>
      </c>
      <c r="C4478" s="5">
        <v>2283</v>
      </c>
      <c r="D4478" s="6">
        <v>18.09</v>
      </c>
      <c r="E4478" t="s">
        <v>12</v>
      </c>
    </row>
    <row r="4479" spans="1:5" x14ac:dyDescent="0.25">
      <c r="A4479" t="str">
        <f>HYPERLINK("https://www.773grp.com/globalSearch/SN74GTLPH1627DGGR/page-1", "SN74GTLPH1627DGGR")</f>
        <v>SN74GTLPH1627DGGR</v>
      </c>
      <c r="B4479" s="3" t="s">
        <v>90</v>
      </c>
      <c r="C4479" s="5">
        <v>6000</v>
      </c>
      <c r="D4479" s="6">
        <v>18.09</v>
      </c>
      <c r="E4479" t="s">
        <v>12</v>
      </c>
    </row>
    <row r="4480" spans="1:5" x14ac:dyDescent="0.25">
      <c r="A4480" t="str">
        <f>HYPERLINK("https://www.773grp.com/globalSearch/SNJ54F623J/page-1", "SNJ54F623J")</f>
        <v>SNJ54F623J</v>
      </c>
      <c r="B4480" s="3" t="s">
        <v>90</v>
      </c>
      <c r="C4480" s="5">
        <v>113</v>
      </c>
      <c r="D4480" s="6">
        <v>18.09</v>
      </c>
      <c r="E4480" t="s">
        <v>12</v>
      </c>
    </row>
    <row r="4481" spans="1:5" x14ac:dyDescent="0.25">
      <c r="A4481" t="str">
        <f>HYPERLINK("https://www.773grp.com/globalSearch/SN74LVT16543DL/page-1", "SN74LVT16543DL")</f>
        <v>SN74LVT16543DL</v>
      </c>
      <c r="B4481" s="3" t="s">
        <v>90</v>
      </c>
      <c r="C4481" s="5">
        <v>19621</v>
      </c>
      <c r="D4481" s="6">
        <v>18.11</v>
      </c>
      <c r="E4481" t="s">
        <v>12</v>
      </c>
    </row>
    <row r="4482" spans="1:5" x14ac:dyDescent="0.25">
      <c r="A4482" t="str">
        <f>HYPERLINK("https://www.773grp.com/globalSearch/74AC16823DL/page-1", "74AC16823DL")</f>
        <v>74AC16823DL</v>
      </c>
      <c r="B4482" s="3" t="s">
        <v>90</v>
      </c>
      <c r="C4482" s="5">
        <v>787</v>
      </c>
      <c r="D4482" s="6">
        <v>18.28</v>
      </c>
      <c r="E4482" t="s">
        <v>12</v>
      </c>
    </row>
    <row r="4483" spans="1:5" x14ac:dyDescent="0.25">
      <c r="A4483" t="str">
        <f>HYPERLINK("https://www.773grp.com/globalSearch/74ACT16821DL/page-1", "74ACT16821DL")</f>
        <v>74ACT16821DL</v>
      </c>
      <c r="B4483" s="3" t="s">
        <v>90</v>
      </c>
      <c r="C4483" s="5">
        <v>159</v>
      </c>
      <c r="D4483" s="6">
        <v>18.28</v>
      </c>
      <c r="E4483" t="s">
        <v>12</v>
      </c>
    </row>
    <row r="4484" spans="1:5" x14ac:dyDescent="0.25">
      <c r="A4484" t="str">
        <f>HYPERLINK("https://www.773grp.com/globalSearch/74ACT16864DL/page-1", "74ACT16864DL")</f>
        <v>74ACT16864DL</v>
      </c>
      <c r="B4484" s="3" t="s">
        <v>90</v>
      </c>
      <c r="C4484" s="5">
        <v>210</v>
      </c>
      <c r="D4484" s="6">
        <v>18.28</v>
      </c>
      <c r="E4484" t="s">
        <v>12</v>
      </c>
    </row>
    <row r="4485" spans="1:5" x14ac:dyDescent="0.25">
      <c r="A4485" t="str">
        <f>HYPERLINK("https://www.773grp.com/globalSearch/JM38510-34105B2A/page-1", "JM38510-34105B2A")</f>
        <v>JM38510-34105B2A</v>
      </c>
      <c r="B4485" s="3" t="s">
        <v>90</v>
      </c>
      <c r="C4485" s="5">
        <v>2296</v>
      </c>
      <c r="D4485" s="6">
        <v>18.309999999999999</v>
      </c>
      <c r="E4485" t="s">
        <v>12</v>
      </c>
    </row>
    <row r="4486" spans="1:5" x14ac:dyDescent="0.25">
      <c r="A4486" t="str">
        <f>HYPERLINK("https://www.773grp.com/globalSearch/SN54ALS374J/page-1", "SN54ALS374J")</f>
        <v>SN54ALS374J</v>
      </c>
      <c r="B4486" s="3" t="s">
        <v>90</v>
      </c>
      <c r="C4486" s="5">
        <v>28</v>
      </c>
      <c r="D4486" s="6">
        <v>18.309999999999999</v>
      </c>
      <c r="E4486" t="s">
        <v>12</v>
      </c>
    </row>
    <row r="4487" spans="1:5" x14ac:dyDescent="0.25">
      <c r="A4487" t="str">
        <f>HYPERLINK("https://www.773grp.com/globalSearch/SN74ALS29833NT/page-1", "SN74ALS29833NT")</f>
        <v>SN74ALS29833NT</v>
      </c>
      <c r="B4487" s="3" t="s">
        <v>90</v>
      </c>
      <c r="C4487" s="5">
        <v>3075</v>
      </c>
      <c r="D4487" s="6">
        <v>18.36</v>
      </c>
      <c r="E4487" t="s">
        <v>12</v>
      </c>
    </row>
    <row r="4488" spans="1:5" x14ac:dyDescent="0.25">
      <c r="A4488" t="str">
        <f>HYPERLINK("https://www.773grp.com/globalSearch/CY29FCT818CTSOC/page-1", "CY29FCT818CTSOC")</f>
        <v>CY29FCT818CTSOC</v>
      </c>
      <c r="B4488" s="3" t="s">
        <v>90</v>
      </c>
      <c r="C4488" s="5">
        <v>14046</v>
      </c>
      <c r="D4488" s="6">
        <v>18.48</v>
      </c>
      <c r="E4488" t="s">
        <v>12</v>
      </c>
    </row>
    <row r="4489" spans="1:5" x14ac:dyDescent="0.25">
      <c r="A4489" t="str">
        <f>HYPERLINK("https://www.773grp.com/globalSearch/7801102SA/page-1", "7801102SA")</f>
        <v>7801102SA</v>
      </c>
      <c r="B4489" s="3" t="s">
        <v>90</v>
      </c>
      <c r="C4489" s="5">
        <v>38</v>
      </c>
      <c r="D4489" s="6">
        <v>18.61</v>
      </c>
      <c r="E4489" t="s">
        <v>12</v>
      </c>
    </row>
    <row r="4490" spans="1:5" x14ac:dyDescent="0.25">
      <c r="A4490" t="str">
        <f>HYPERLINK("https://www.773grp.com/globalSearch/SN74ALS652-1NT/page-1", "SN74ALS652-1NT")</f>
        <v>SN74ALS652-1NT</v>
      </c>
      <c r="B4490" s="3" t="s">
        <v>90</v>
      </c>
      <c r="C4490" s="5">
        <v>954</v>
      </c>
      <c r="D4490" s="6">
        <v>18.61</v>
      </c>
      <c r="E4490" t="s">
        <v>12</v>
      </c>
    </row>
    <row r="4491" spans="1:5" x14ac:dyDescent="0.25">
      <c r="A4491" t="str">
        <f>HYPERLINK("https://www.773grp.com/globalSearch/SNJ54LS374W/page-1", "SNJ54LS374W")</f>
        <v>SNJ54LS374W</v>
      </c>
      <c r="B4491" s="3" t="s">
        <v>90</v>
      </c>
      <c r="C4491" s="5">
        <v>41</v>
      </c>
      <c r="D4491" s="6">
        <v>18.61</v>
      </c>
      <c r="E4491" t="s">
        <v>12</v>
      </c>
    </row>
    <row r="4492" spans="1:5" x14ac:dyDescent="0.25">
      <c r="A4492" t="str">
        <f>HYPERLINK("https://www.773grp.com/globalSearch/74ACT16823DL/page-1", "74ACT16823DL")</f>
        <v>74ACT16823DL</v>
      </c>
      <c r="B4492" s="3" t="s">
        <v>90</v>
      </c>
      <c r="C4492" s="5">
        <v>2153</v>
      </c>
      <c r="D4492" s="6">
        <v>18.68</v>
      </c>
      <c r="E4492" t="s">
        <v>12</v>
      </c>
    </row>
    <row r="4493" spans="1:5" x14ac:dyDescent="0.25">
      <c r="A4493" t="str">
        <f>HYPERLINK("https://www.773grp.com/globalSearch/74ACT16825DL/page-1", "74ACT16825DL")</f>
        <v>74ACT16825DL</v>
      </c>
      <c r="B4493" s="3" t="s">
        <v>90</v>
      </c>
      <c r="C4493" s="5">
        <v>2166</v>
      </c>
      <c r="D4493" s="6">
        <v>18.68</v>
      </c>
      <c r="E4493" t="s">
        <v>12</v>
      </c>
    </row>
    <row r="4494" spans="1:5" x14ac:dyDescent="0.25">
      <c r="A4494" t="str">
        <f>HYPERLINK("https://www.773grp.com/globalSearch/74ACT16827DL/page-1", "74ACT16827DL")</f>
        <v>74ACT16827DL</v>
      </c>
      <c r="B4494" s="3" t="s">
        <v>90</v>
      </c>
      <c r="C4494" s="5">
        <v>2679</v>
      </c>
      <c r="D4494" s="6">
        <v>18.68</v>
      </c>
      <c r="E4494" t="s">
        <v>12</v>
      </c>
    </row>
    <row r="4495" spans="1:5" x14ac:dyDescent="0.25">
      <c r="A4495" t="str">
        <f>HYPERLINK("https://www.773grp.com/globalSearch/74ACT16841DL/page-1", "74ACT16841DL")</f>
        <v>74ACT16841DL</v>
      </c>
      <c r="B4495" s="3" t="s">
        <v>90</v>
      </c>
      <c r="C4495" s="5">
        <v>1328</v>
      </c>
      <c r="D4495" s="6">
        <v>18.68</v>
      </c>
      <c r="E4495" t="s">
        <v>12</v>
      </c>
    </row>
    <row r="4496" spans="1:5" x14ac:dyDescent="0.25">
      <c r="A4496" t="str">
        <f>HYPERLINK("https://www.773grp.com/globalSearch/74ACT16861DL/page-1", "74ACT16861DL")</f>
        <v>74ACT16861DL</v>
      </c>
      <c r="B4496" s="3" t="s">
        <v>90</v>
      </c>
      <c r="C4496" s="5">
        <v>1591</v>
      </c>
      <c r="D4496" s="6">
        <v>18.68</v>
      </c>
      <c r="E4496" t="s">
        <v>12</v>
      </c>
    </row>
    <row r="4497" spans="1:5" x14ac:dyDescent="0.25">
      <c r="A4497" t="str">
        <f>HYPERLINK("https://www.773grp.com/globalSearch/SN74ABTH16260DL/page-1", "SN74ABTH16260DL")</f>
        <v>SN74ABTH16260DL</v>
      </c>
      <c r="B4497" s="3" t="s">
        <v>90</v>
      </c>
      <c r="C4497" s="5">
        <v>50588</v>
      </c>
      <c r="D4497" s="6">
        <v>18.68</v>
      </c>
      <c r="E4497" t="s">
        <v>12</v>
      </c>
    </row>
    <row r="4498" spans="1:5" x14ac:dyDescent="0.25">
      <c r="A4498" t="str">
        <f>HYPERLINK("https://www.773grp.com/globalSearch/SNJ54LS242FK/page-1", "SNJ54LS242FK")</f>
        <v>SNJ54LS242FK</v>
      </c>
      <c r="B4498" s="3" t="s">
        <v>90</v>
      </c>
      <c r="C4498" s="5">
        <v>450</v>
      </c>
      <c r="D4498" s="6">
        <v>18.7</v>
      </c>
      <c r="E4498" t="s">
        <v>12</v>
      </c>
    </row>
    <row r="4499" spans="1:5" x14ac:dyDescent="0.25">
      <c r="A4499" t="str">
        <f>HYPERLINK("https://www.773grp.com/globalSearch/SN74BCT648DW/page-1", "SN74BCT648DW")</f>
        <v>SN74BCT648DW</v>
      </c>
      <c r="B4499" s="3" t="s">
        <v>90</v>
      </c>
      <c r="C4499" s="5">
        <v>200</v>
      </c>
      <c r="D4499" s="6">
        <v>18.760000000000002</v>
      </c>
      <c r="E4499" t="s">
        <v>12</v>
      </c>
    </row>
    <row r="4500" spans="1:5" x14ac:dyDescent="0.25">
      <c r="A4500" t="str">
        <f>HYPERLINK("https://www.773grp.com/globalSearch/SN74BCT648NT/page-1", "SN74BCT648NT")</f>
        <v>SN74BCT648NT</v>
      </c>
      <c r="B4500" s="3" t="s">
        <v>90</v>
      </c>
      <c r="C4500" s="5">
        <v>1272</v>
      </c>
      <c r="D4500" s="6">
        <v>18.760000000000002</v>
      </c>
      <c r="E4500" t="s">
        <v>12</v>
      </c>
    </row>
    <row r="4501" spans="1:5" x14ac:dyDescent="0.25">
      <c r="A4501" t="str">
        <f>HYPERLINK("https://www.773grp.com/globalSearch/SNJ54AHC574J/page-1", "SNJ54AHC574J")</f>
        <v>SNJ54AHC574J</v>
      </c>
      <c r="B4501" s="3" t="s">
        <v>90</v>
      </c>
      <c r="C4501" s="5">
        <v>4</v>
      </c>
      <c r="D4501" s="6">
        <v>18.86</v>
      </c>
      <c r="E4501" t="s">
        <v>12</v>
      </c>
    </row>
    <row r="4502" spans="1:5" x14ac:dyDescent="0.25">
      <c r="A4502" t="str">
        <f>HYPERLINK("https://www.773grp.com/globalSearch/CD4503BF/page-1", "CD4503BF")</f>
        <v>CD4503BF</v>
      </c>
      <c r="B4502" s="3" t="s">
        <v>90</v>
      </c>
      <c r="C4502" s="5">
        <v>6</v>
      </c>
      <c r="D4502" s="6">
        <v>18.989999999999998</v>
      </c>
      <c r="E4502" t="s">
        <v>12</v>
      </c>
    </row>
    <row r="4503" spans="1:5" x14ac:dyDescent="0.25">
      <c r="A4503" t="str">
        <f>HYPERLINK("https://www.773grp.com/globalSearch/SN54ALS373AJ/page-1", "SN54ALS373AJ")</f>
        <v>SN54ALS373AJ</v>
      </c>
      <c r="B4503" s="3" t="s">
        <v>90</v>
      </c>
      <c r="C4503" s="5">
        <v>50</v>
      </c>
      <c r="D4503" s="6">
        <v>18.989999999999998</v>
      </c>
      <c r="E4503" t="s">
        <v>12</v>
      </c>
    </row>
    <row r="4504" spans="1:5" x14ac:dyDescent="0.25">
      <c r="A4504" t="str">
        <f>HYPERLINK("https://www.773grp.com/globalSearch/SN74AS2623DW/page-1", "SN74AS2623DW")</f>
        <v>SN74AS2623DW</v>
      </c>
      <c r="B4504" s="3" t="s">
        <v>90</v>
      </c>
      <c r="C4504" s="5">
        <v>590</v>
      </c>
      <c r="D4504" s="6">
        <v>19.04</v>
      </c>
      <c r="E4504" t="s">
        <v>12</v>
      </c>
    </row>
    <row r="4505" spans="1:5" x14ac:dyDescent="0.25">
      <c r="A4505" t="str">
        <f>HYPERLINK("https://www.773grp.com/globalSearch/SN74AS2623N/page-1", "SN74AS2623N")</f>
        <v>SN74AS2623N</v>
      </c>
      <c r="B4505" s="3" t="s">
        <v>90</v>
      </c>
      <c r="C4505" s="5">
        <v>2095</v>
      </c>
      <c r="D4505" s="6">
        <v>19.04</v>
      </c>
      <c r="E4505" t="s">
        <v>12</v>
      </c>
    </row>
    <row r="4506" spans="1:5" x14ac:dyDescent="0.25">
      <c r="A4506" t="str">
        <f>HYPERLINK("https://www.773grp.com/globalSearch/SN74AS648DW/page-1", "SN74AS648DW")</f>
        <v>SN74AS648DW</v>
      </c>
      <c r="B4506" s="3" t="s">
        <v>90</v>
      </c>
      <c r="C4506" s="5">
        <v>8221</v>
      </c>
      <c r="D4506" s="6">
        <v>19.100000000000001</v>
      </c>
      <c r="E4506" t="s">
        <v>12</v>
      </c>
    </row>
    <row r="4507" spans="1:5" x14ac:dyDescent="0.25">
      <c r="A4507" t="str">
        <f>HYPERLINK("https://www.773grp.com/globalSearch/SNJ54AHC573J/page-1", "SNJ54AHC573J")</f>
        <v>SNJ54AHC573J</v>
      </c>
      <c r="B4507" s="3" t="s">
        <v>90</v>
      </c>
      <c r="C4507" s="5">
        <v>95</v>
      </c>
      <c r="D4507" s="6">
        <v>19.13</v>
      </c>
      <c r="E4507" t="s">
        <v>12</v>
      </c>
    </row>
    <row r="4508" spans="1:5" x14ac:dyDescent="0.25">
      <c r="A4508" t="str">
        <f>HYPERLINK("https://www.773grp.com/globalSearch/SN74ALS651A-1NT/page-1", "SN74ALS651A-1NT")</f>
        <v>SN74ALS651A-1NT</v>
      </c>
      <c r="B4508" s="3" t="s">
        <v>90</v>
      </c>
      <c r="C4508" s="5">
        <v>9331</v>
      </c>
      <c r="D4508" s="6">
        <v>19.28</v>
      </c>
      <c r="E4508" t="s">
        <v>12</v>
      </c>
    </row>
    <row r="4509" spans="1:5" x14ac:dyDescent="0.25">
      <c r="A4509" t="str">
        <f>HYPERLINK("https://www.773grp.com/globalSearch/SN74BCT646NT/page-1", "SN74BCT646NT")</f>
        <v>SN74BCT646NT</v>
      </c>
      <c r="B4509" s="3" t="s">
        <v>90</v>
      </c>
      <c r="C4509" s="5">
        <v>26</v>
      </c>
      <c r="D4509" s="6">
        <v>19.29</v>
      </c>
      <c r="E4509" t="s">
        <v>12</v>
      </c>
    </row>
    <row r="4510" spans="1:5" x14ac:dyDescent="0.25">
      <c r="A4510" t="str">
        <f>HYPERLINK("https://www.773grp.com/globalSearch/SN74BCT652NT/page-1", "SN74BCT652NT")</f>
        <v>SN74BCT652NT</v>
      </c>
      <c r="B4510" s="3" t="s">
        <v>90</v>
      </c>
      <c r="C4510" s="5">
        <v>1920</v>
      </c>
      <c r="D4510" s="6">
        <v>19.29</v>
      </c>
      <c r="E4510" t="s">
        <v>12</v>
      </c>
    </row>
    <row r="4511" spans="1:5" x14ac:dyDescent="0.25">
      <c r="A4511" t="str">
        <f>HYPERLINK("https://www.773grp.com/globalSearch/SN74GTLPH16612DL/page-1", "SN74GTLPH16612DL")</f>
        <v>SN74GTLPH16612DL</v>
      </c>
      <c r="B4511" s="3" t="s">
        <v>90</v>
      </c>
      <c r="C4511" s="5">
        <v>25000</v>
      </c>
      <c r="D4511" s="6">
        <v>19.29</v>
      </c>
      <c r="E4511" t="s">
        <v>12</v>
      </c>
    </row>
    <row r="4512" spans="1:5" x14ac:dyDescent="0.25">
      <c r="A4512" t="str">
        <f>HYPERLINK("https://www.773grp.com/globalSearch/5962-9322001QRA/page-1", "5962-9322001QRA")</f>
        <v>5962-9322001QRA</v>
      </c>
      <c r="B4512" s="3" t="s">
        <v>90</v>
      </c>
      <c r="C4512" s="5">
        <v>19</v>
      </c>
      <c r="D4512" s="6">
        <v>19.329999999999998</v>
      </c>
      <c r="E4512" t="s">
        <v>12</v>
      </c>
    </row>
    <row r="4513" spans="1:5" x14ac:dyDescent="0.25">
      <c r="A4513" t="str">
        <f>HYPERLINK("https://www.773grp.com/globalSearch/SNJ54ABT574J/page-1", "SNJ54ABT574J")</f>
        <v>SNJ54ABT574J</v>
      </c>
      <c r="B4513" s="3" t="s">
        <v>90</v>
      </c>
      <c r="C4513" s="5">
        <v>30</v>
      </c>
      <c r="D4513" s="6">
        <v>19.329999999999998</v>
      </c>
      <c r="E4513" t="s">
        <v>12</v>
      </c>
    </row>
    <row r="4514" spans="1:5" x14ac:dyDescent="0.25">
      <c r="A4514" t="str">
        <f>HYPERLINK("https://www.773grp.com/globalSearch/SNJ54AHC541J/page-1", "SNJ54AHC541J")</f>
        <v>SNJ54AHC541J</v>
      </c>
      <c r="B4514" s="3" t="s">
        <v>90</v>
      </c>
      <c r="C4514" s="5">
        <v>3</v>
      </c>
      <c r="D4514" s="6">
        <v>19.329999999999998</v>
      </c>
      <c r="E4514" t="s">
        <v>12</v>
      </c>
    </row>
    <row r="4515" spans="1:5" x14ac:dyDescent="0.25">
      <c r="A4515" t="str">
        <f>HYPERLINK("https://www.773grp.com/globalSearch/SN54AS826JT/page-1", "SN54AS826JT")</f>
        <v>SN54AS826JT</v>
      </c>
      <c r="B4515" s="3" t="s">
        <v>90</v>
      </c>
      <c r="C4515" s="5">
        <v>43</v>
      </c>
      <c r="D4515" s="6">
        <v>19.350000000000001</v>
      </c>
      <c r="E4515" t="s">
        <v>12</v>
      </c>
    </row>
    <row r="4516" spans="1:5" x14ac:dyDescent="0.25">
      <c r="A4516" t="str">
        <f>HYPERLINK("https://www.773grp.com/globalSearch/SNJ54AS821JT/page-1", "SNJ54AS821JT")</f>
        <v>SNJ54AS821JT</v>
      </c>
      <c r="B4516" s="3" t="s">
        <v>90</v>
      </c>
      <c r="C4516" s="5">
        <v>57</v>
      </c>
      <c r="D4516" s="6">
        <v>19.350000000000001</v>
      </c>
      <c r="E4516" t="s">
        <v>12</v>
      </c>
    </row>
    <row r="4517" spans="1:5" x14ac:dyDescent="0.25">
      <c r="A4517" t="str">
        <f>HYPERLINK("https://www.773grp.com/globalSearch/SNJ54AS822JT/page-1", "SNJ54AS822JT")</f>
        <v>SNJ54AS822JT</v>
      </c>
      <c r="B4517" s="3" t="s">
        <v>90</v>
      </c>
      <c r="C4517" s="5">
        <v>247</v>
      </c>
      <c r="D4517" s="6">
        <v>19.350000000000001</v>
      </c>
      <c r="E4517" t="s">
        <v>12</v>
      </c>
    </row>
    <row r="4518" spans="1:5" x14ac:dyDescent="0.25">
      <c r="A4518" t="str">
        <f>HYPERLINK("https://www.773grp.com/globalSearch/SNJ54AS826JT/page-1", "SNJ54AS826JT")</f>
        <v>SNJ54AS826JT</v>
      </c>
      <c r="B4518" s="3" t="s">
        <v>90</v>
      </c>
      <c r="C4518" s="5">
        <v>70</v>
      </c>
      <c r="D4518" s="6">
        <v>19.350000000000001</v>
      </c>
      <c r="E4518" t="s">
        <v>12</v>
      </c>
    </row>
    <row r="4519" spans="1:5" x14ac:dyDescent="0.25">
      <c r="A4519" t="str">
        <f>HYPERLINK("https://www.773grp.com/globalSearch/SNJ54AS874JT/page-1", "SNJ54AS874JT")</f>
        <v>SNJ54AS874JT</v>
      </c>
      <c r="B4519" s="3" t="s">
        <v>90</v>
      </c>
      <c r="C4519" s="5">
        <v>576</v>
      </c>
      <c r="D4519" s="6">
        <v>19.350000000000001</v>
      </c>
      <c r="E4519" t="s">
        <v>12</v>
      </c>
    </row>
    <row r="4520" spans="1:5" x14ac:dyDescent="0.25">
      <c r="A4520" t="str">
        <f>HYPERLINK("https://www.773grp.com/globalSearch/SN74LVT16952DL/page-1", "SN74LVT16952DL")</f>
        <v>SN74LVT16952DL</v>
      </c>
      <c r="B4520" s="3" t="s">
        <v>90</v>
      </c>
      <c r="C4520" s="5">
        <v>969</v>
      </c>
      <c r="D4520" s="6">
        <v>19.41</v>
      </c>
      <c r="E4520" t="s">
        <v>12</v>
      </c>
    </row>
    <row r="4521" spans="1:5" x14ac:dyDescent="0.25">
      <c r="A4521" t="str">
        <f>HYPERLINK("https://www.773grp.com/globalSearch/SN74ABT8652DWR/page-1", "SN74ABT8652DWR")</f>
        <v>SN74ABT8652DWR</v>
      </c>
      <c r="B4521" s="3" t="s">
        <v>90</v>
      </c>
      <c r="C4521" s="5">
        <v>1000</v>
      </c>
      <c r="D4521" s="6">
        <v>19.489999999999998</v>
      </c>
      <c r="E4521" t="s">
        <v>12</v>
      </c>
    </row>
    <row r="4522" spans="1:5" x14ac:dyDescent="0.25">
      <c r="A4522" t="str">
        <f>HYPERLINK("https://www.773grp.com/globalSearch/SN74AS757DW/page-1", "SN74AS757DW")</f>
        <v>SN74AS757DW</v>
      </c>
      <c r="B4522" s="3" t="s">
        <v>90</v>
      </c>
      <c r="C4522" s="5">
        <v>3036</v>
      </c>
      <c r="D4522" s="6">
        <v>19.489999999999998</v>
      </c>
      <c r="E4522" t="s">
        <v>12</v>
      </c>
    </row>
    <row r="4523" spans="1:5" x14ac:dyDescent="0.25">
      <c r="A4523" t="str">
        <f>HYPERLINK("https://www.773grp.com/globalSearch/SN74AS757DWE4/page-1", "SN74AS757DWE4")</f>
        <v>SN74AS757DWE4</v>
      </c>
      <c r="B4523" s="3" t="s">
        <v>90</v>
      </c>
      <c r="C4523" s="5">
        <v>95</v>
      </c>
      <c r="D4523" s="6">
        <v>19.489999999999998</v>
      </c>
      <c r="E4523" t="s">
        <v>12</v>
      </c>
    </row>
    <row r="4524" spans="1:5" x14ac:dyDescent="0.25">
      <c r="A4524" t="str">
        <f>HYPERLINK("https://www.773grp.com/globalSearch/5962-9758501QRA/page-1", "5962-9758501QRA")</f>
        <v>5962-9758501QRA</v>
      </c>
      <c r="B4524" s="3" t="s">
        <v>90</v>
      </c>
      <c r="C4524" s="5">
        <v>126</v>
      </c>
      <c r="D4524" s="6">
        <v>19.53</v>
      </c>
      <c r="E4524" t="s">
        <v>12</v>
      </c>
    </row>
    <row r="4525" spans="1:5" x14ac:dyDescent="0.25">
      <c r="A4525" t="str">
        <f>HYPERLINK("https://www.773grp.com/globalSearch/SNJ54F240J/page-1", "SNJ54F240J")</f>
        <v>SNJ54F240J</v>
      </c>
      <c r="B4525" s="3" t="s">
        <v>90</v>
      </c>
      <c r="C4525" s="5">
        <v>88</v>
      </c>
      <c r="D4525" s="6">
        <v>19.53</v>
      </c>
      <c r="E4525" t="s">
        <v>12</v>
      </c>
    </row>
    <row r="4526" spans="1:5" x14ac:dyDescent="0.25">
      <c r="A4526" t="str">
        <f>HYPERLINK("https://www.773grp.com/globalSearch/SN74ALS648-1DW/page-1", "SN74ALS648-1DW")</f>
        <v>SN74ALS648-1DW</v>
      </c>
      <c r="B4526" s="3" t="s">
        <v>90</v>
      </c>
      <c r="C4526" s="5">
        <v>394</v>
      </c>
      <c r="D4526" s="6">
        <v>19.66</v>
      </c>
      <c r="E4526" t="s">
        <v>12</v>
      </c>
    </row>
    <row r="4527" spans="1:5" x14ac:dyDescent="0.25">
      <c r="A4527" t="str">
        <f>HYPERLINK("https://www.773grp.com/globalSearch/SN74ALS648-1NT/page-1", "SN74ALS648-1NT")</f>
        <v>SN74ALS648-1NT</v>
      </c>
      <c r="B4527" s="3" t="s">
        <v>90</v>
      </c>
      <c r="C4527" s="5">
        <v>3124</v>
      </c>
      <c r="D4527" s="6">
        <v>19.66</v>
      </c>
      <c r="E4527" t="s">
        <v>12</v>
      </c>
    </row>
    <row r="4528" spans="1:5" x14ac:dyDescent="0.25">
      <c r="A4528" t="str">
        <f>HYPERLINK("https://www.773grp.com/globalSearch/SN74ALS654-1NT/page-1", "SN74ALS654-1NT")</f>
        <v>SN74ALS654-1NT</v>
      </c>
      <c r="B4528" s="3" t="s">
        <v>90</v>
      </c>
      <c r="C4528" s="5">
        <v>1880</v>
      </c>
      <c r="D4528" s="6">
        <v>19.66</v>
      </c>
      <c r="E4528" t="s">
        <v>12</v>
      </c>
    </row>
    <row r="4529" spans="1:5" x14ac:dyDescent="0.25">
      <c r="A4529" t="str">
        <f>HYPERLINK("https://www.773grp.com/globalSearch/74AC16652DLR/page-1", "74AC16652DLR")</f>
        <v>74AC16652DLR</v>
      </c>
      <c r="B4529" s="3" t="s">
        <v>90</v>
      </c>
      <c r="C4529" s="5">
        <v>1000</v>
      </c>
      <c r="D4529" s="6">
        <v>19.690000000000001</v>
      </c>
      <c r="E4529" t="s">
        <v>12</v>
      </c>
    </row>
    <row r="4530" spans="1:5" x14ac:dyDescent="0.25">
      <c r="A4530" t="str">
        <f>HYPERLINK("https://www.773grp.com/globalSearch/SN74BCT8244ANT/page-1", "SN74BCT8244ANT")</f>
        <v>SN74BCT8244ANT</v>
      </c>
      <c r="B4530" s="3" t="s">
        <v>90</v>
      </c>
      <c r="C4530" s="5">
        <v>5795</v>
      </c>
      <c r="D4530" s="6">
        <v>19.690000000000001</v>
      </c>
      <c r="E4530" t="s">
        <v>12</v>
      </c>
    </row>
    <row r="4531" spans="1:5" x14ac:dyDescent="0.25">
      <c r="A4531" t="str">
        <f>HYPERLINK("https://www.773grp.com/globalSearch/SN74BCT8245ANT/page-1", "SN74BCT8245ANT")</f>
        <v>SN74BCT8245ANT</v>
      </c>
      <c r="B4531" s="3" t="s">
        <v>90</v>
      </c>
      <c r="C4531" s="5">
        <v>5297</v>
      </c>
      <c r="D4531" s="6">
        <v>19.690000000000001</v>
      </c>
      <c r="E4531" t="s">
        <v>12</v>
      </c>
    </row>
    <row r="4532" spans="1:5" x14ac:dyDescent="0.25">
      <c r="A4532" t="str">
        <f>HYPERLINK("https://www.773grp.com/globalSearch/SN74BCT8373ANT/page-1", "SN74BCT8373ANT")</f>
        <v>SN74BCT8373ANT</v>
      </c>
      <c r="B4532" s="3" t="s">
        <v>90</v>
      </c>
      <c r="C4532" s="5">
        <v>1419</v>
      </c>
      <c r="D4532" s="6">
        <v>19.690000000000001</v>
      </c>
      <c r="E4532" t="s">
        <v>12</v>
      </c>
    </row>
    <row r="4533" spans="1:5" x14ac:dyDescent="0.25">
      <c r="A4533" t="str">
        <f>HYPERLINK("https://www.773grp.com/globalSearch/JM38510-34803B2A/page-1", "JM38510-34803B2A")</f>
        <v>JM38510-34803B2A</v>
      </c>
      <c r="B4533" s="3" t="s">
        <v>90</v>
      </c>
      <c r="C4533" s="5">
        <v>984</v>
      </c>
      <c r="D4533" s="6">
        <v>19.71</v>
      </c>
      <c r="E4533" t="s">
        <v>12</v>
      </c>
    </row>
    <row r="4534" spans="1:5" x14ac:dyDescent="0.25">
      <c r="A4534" t="str">
        <f>HYPERLINK("https://www.773grp.com/globalSearch/5962-9070601MEA/page-1", "5962-9070601MEA")</f>
        <v>5962-9070601MEA</v>
      </c>
      <c r="B4534" s="3" t="s">
        <v>90</v>
      </c>
      <c r="C4534" s="5">
        <v>57</v>
      </c>
      <c r="D4534" s="6">
        <v>19.78</v>
      </c>
      <c r="E4534" t="s">
        <v>12</v>
      </c>
    </row>
    <row r="4535" spans="1:5" x14ac:dyDescent="0.25">
      <c r="A4535" t="str">
        <f>HYPERLINK("https://www.773grp.com/globalSearch/5962-9758601Q2A/page-1", "5962-9758601Q2A")</f>
        <v>5962-9758601Q2A</v>
      </c>
      <c r="B4535" s="3" t="s">
        <v>90</v>
      </c>
      <c r="C4535" s="5">
        <v>31</v>
      </c>
      <c r="D4535" s="6">
        <v>19.78</v>
      </c>
      <c r="E4535" t="s">
        <v>12</v>
      </c>
    </row>
    <row r="4536" spans="1:5" x14ac:dyDescent="0.25">
      <c r="A4536" t="str">
        <f>HYPERLINK("https://www.773grp.com/globalSearch/CD54HCT367F3A/page-1", "CD54HCT367F3A")</f>
        <v>CD54HCT367F3A</v>
      </c>
      <c r="B4536" s="3" t="s">
        <v>90</v>
      </c>
      <c r="C4536" s="5">
        <v>71</v>
      </c>
      <c r="D4536" s="6">
        <v>19.78</v>
      </c>
      <c r="E4536" t="s">
        <v>12</v>
      </c>
    </row>
    <row r="4537" spans="1:5" x14ac:dyDescent="0.25">
      <c r="A4537" t="str">
        <f>HYPERLINK("https://www.773grp.com/globalSearch/SN74ABTE16245DLR/page-1", "SN74ABTE16245DLR")</f>
        <v>SN74ABTE16245DLR</v>
      </c>
      <c r="B4537" s="3" t="s">
        <v>90</v>
      </c>
      <c r="C4537" s="5">
        <v>1500</v>
      </c>
      <c r="D4537" s="6">
        <v>19.88</v>
      </c>
      <c r="E4537" t="s">
        <v>12</v>
      </c>
    </row>
    <row r="4538" spans="1:5" x14ac:dyDescent="0.25">
      <c r="A4538" t="str">
        <f>HYPERLINK("https://www.773grp.com/globalSearch/SN74ALS666DWR/page-1", "SN74ALS666DWR")</f>
        <v>SN74ALS666DWR</v>
      </c>
      <c r="B4538" s="3" t="s">
        <v>90</v>
      </c>
      <c r="C4538" s="5">
        <v>5000</v>
      </c>
      <c r="D4538" s="6">
        <v>19.88</v>
      </c>
      <c r="E4538" t="s">
        <v>12</v>
      </c>
    </row>
    <row r="4539" spans="1:5" x14ac:dyDescent="0.25">
      <c r="A4539" t="str">
        <f>HYPERLINK("https://www.773grp.com/globalSearch/SN74GTLP2033GQLR/page-1", "SN74GTLP2033GQLR")</f>
        <v>SN74GTLP2033GQLR</v>
      </c>
      <c r="B4539" s="3" t="s">
        <v>90</v>
      </c>
      <c r="C4539" s="5">
        <v>1000</v>
      </c>
      <c r="D4539" s="6">
        <v>19.88</v>
      </c>
      <c r="E4539" t="s">
        <v>12</v>
      </c>
    </row>
    <row r="4540" spans="1:5" x14ac:dyDescent="0.25">
      <c r="A4540" t="str">
        <f>HYPERLINK("https://www.773grp.com/globalSearch/SN74GTLP22034GQLR/page-1", "SN74GTLP22034GQLR")</f>
        <v>SN74GTLP22034GQLR</v>
      </c>
      <c r="B4540" s="3" t="s">
        <v>90</v>
      </c>
      <c r="C4540" s="5">
        <v>1000</v>
      </c>
      <c r="D4540" s="6">
        <v>19.88</v>
      </c>
      <c r="E4540" t="s">
        <v>12</v>
      </c>
    </row>
    <row r="4541" spans="1:5" x14ac:dyDescent="0.25">
      <c r="A4541" t="str">
        <f>HYPERLINK("https://www.773grp.com/globalSearch/SNJ54LS365AJ/page-1", "SNJ54LS365AJ")</f>
        <v>SNJ54LS365AJ</v>
      </c>
      <c r="B4541" s="3" t="s">
        <v>90</v>
      </c>
      <c r="C4541" s="5">
        <v>246</v>
      </c>
      <c r="D4541" s="6">
        <v>19.91</v>
      </c>
      <c r="E4541" t="s">
        <v>12</v>
      </c>
    </row>
    <row r="4542" spans="1:5" x14ac:dyDescent="0.25">
      <c r="A4542" t="str">
        <f>HYPERLINK("https://www.773grp.com/globalSearch/5962-9050602SA/page-1", "5962-9050602SA")</f>
        <v>5962-9050602SA</v>
      </c>
      <c r="B4542" s="3" t="s">
        <v>90</v>
      </c>
      <c r="C4542" s="5">
        <v>13</v>
      </c>
      <c r="D4542" s="6">
        <v>20.11</v>
      </c>
      <c r="E4542" t="s">
        <v>12</v>
      </c>
    </row>
    <row r="4543" spans="1:5" x14ac:dyDescent="0.25">
      <c r="A4543" t="str">
        <f>HYPERLINK("https://www.773grp.com/globalSearch/5962-9321801QRA/page-1", "5962-9321801QRA")</f>
        <v>5962-9321801QRA</v>
      </c>
      <c r="B4543" s="3" t="s">
        <v>90</v>
      </c>
      <c r="C4543" s="5">
        <v>44</v>
      </c>
      <c r="D4543" s="6">
        <v>20.2</v>
      </c>
      <c r="E4543" t="s">
        <v>12</v>
      </c>
    </row>
    <row r="4544" spans="1:5" x14ac:dyDescent="0.25">
      <c r="A4544" t="str">
        <f>HYPERLINK("https://www.773grp.com/globalSearch/5962-9471801QRA/page-1", "5962-9471801QRA")</f>
        <v>5962-9471801QRA</v>
      </c>
      <c r="B4544" s="3" t="s">
        <v>90</v>
      </c>
      <c r="C4544" s="5">
        <v>411</v>
      </c>
      <c r="D4544" s="6">
        <v>20.2</v>
      </c>
      <c r="E4544" t="s">
        <v>12</v>
      </c>
    </row>
    <row r="4545" spans="1:5" x14ac:dyDescent="0.25">
      <c r="A4545" t="str">
        <f>HYPERLINK("https://www.773grp.com/globalSearch/SNJ54ABT373J/page-1", "SNJ54ABT373J")</f>
        <v>SNJ54ABT373J</v>
      </c>
      <c r="B4545" s="3" t="s">
        <v>90</v>
      </c>
      <c r="C4545" s="5">
        <v>561</v>
      </c>
      <c r="D4545" s="6">
        <v>20.2</v>
      </c>
      <c r="E4545" t="s">
        <v>12</v>
      </c>
    </row>
    <row r="4546" spans="1:5" x14ac:dyDescent="0.25">
      <c r="A4546" t="str">
        <f>HYPERLINK("https://www.773grp.com/globalSearch/SNJ54ABT541J/page-1", "SNJ54ABT541J")</f>
        <v>SNJ54ABT541J</v>
      </c>
      <c r="B4546" s="3" t="s">
        <v>90</v>
      </c>
      <c r="C4546" s="5">
        <v>50</v>
      </c>
      <c r="D4546" s="6">
        <v>20.2</v>
      </c>
      <c r="E4546" t="s">
        <v>12</v>
      </c>
    </row>
    <row r="4547" spans="1:5" x14ac:dyDescent="0.25">
      <c r="A4547" t="str">
        <f>HYPERLINK("https://www.773grp.com/globalSearch/74ACT11652DWR/page-1", "74ACT11652DWR")</f>
        <v>74ACT11652DWR</v>
      </c>
      <c r="B4547" s="3" t="s">
        <v>90</v>
      </c>
      <c r="C4547" s="5">
        <v>3000</v>
      </c>
      <c r="D4547" s="6">
        <v>20.29</v>
      </c>
      <c r="E4547" t="s">
        <v>12</v>
      </c>
    </row>
    <row r="4548" spans="1:5" x14ac:dyDescent="0.25">
      <c r="A4548" t="str">
        <f>HYPERLINK("https://www.773grp.com/globalSearch/74ACT16651DLR/page-1", "74ACT16651DLR")</f>
        <v>74ACT16651DLR</v>
      </c>
      <c r="B4548" s="3" t="s">
        <v>90</v>
      </c>
      <c r="C4548" s="5">
        <v>28000</v>
      </c>
      <c r="D4548" s="6">
        <v>20.29</v>
      </c>
      <c r="E4548" t="s">
        <v>12</v>
      </c>
    </row>
    <row r="4549" spans="1:5" x14ac:dyDescent="0.25">
      <c r="A4549" t="str">
        <f>HYPERLINK("https://www.773grp.com/globalSearch/SN74ABTH16460DL/page-1", "SN74ABTH16460DL")</f>
        <v>SN74ABTH16460DL</v>
      </c>
      <c r="B4549" s="3" t="s">
        <v>90</v>
      </c>
      <c r="C4549" s="5">
        <v>22430</v>
      </c>
      <c r="D4549" s="6">
        <v>20.29</v>
      </c>
      <c r="E4549" t="s">
        <v>12</v>
      </c>
    </row>
    <row r="4550" spans="1:5" x14ac:dyDescent="0.25">
      <c r="A4550" t="str">
        <f>HYPERLINK("https://www.773grp.com/globalSearch/SN74BCT652DW/page-1", "SN74BCT652DW")</f>
        <v>SN74BCT652DW</v>
      </c>
      <c r="B4550" s="3" t="s">
        <v>90</v>
      </c>
      <c r="C4550" s="5">
        <v>4963</v>
      </c>
      <c r="D4550" s="6">
        <v>20.29</v>
      </c>
      <c r="E4550" t="s">
        <v>12</v>
      </c>
    </row>
    <row r="4551" spans="1:5" x14ac:dyDescent="0.25">
      <c r="A4551" t="str">
        <f>HYPERLINK("https://www.773grp.com/globalSearch/SN74ALS646FN/page-1", "SN74ALS646FN")</f>
        <v>SN74ALS646FN</v>
      </c>
      <c r="B4551" s="3" t="s">
        <v>90</v>
      </c>
      <c r="C4551" s="5">
        <v>867</v>
      </c>
      <c r="D4551" s="6">
        <v>20.3</v>
      </c>
      <c r="E4551" t="s">
        <v>12</v>
      </c>
    </row>
    <row r="4552" spans="1:5" x14ac:dyDescent="0.25">
      <c r="A4552" t="str">
        <f>HYPERLINK("https://www.773grp.com/globalSearch/SN74BCT899DW/page-1", "SN74BCT899DW")</f>
        <v>SN74BCT899DW</v>
      </c>
      <c r="B4552" s="3" t="s">
        <v>90</v>
      </c>
      <c r="C4552" s="5">
        <v>8</v>
      </c>
      <c r="D4552" s="6">
        <v>20.3</v>
      </c>
      <c r="E4552" t="s">
        <v>12</v>
      </c>
    </row>
    <row r="4553" spans="1:5" x14ac:dyDescent="0.25">
      <c r="A4553" t="str">
        <f>HYPERLINK("https://www.773grp.com/globalSearch/SN74ALS243AN/page-1", "SN74ALS243AN")</f>
        <v>SN74ALS243AN</v>
      </c>
      <c r="B4553" s="3" t="s">
        <v>90</v>
      </c>
      <c r="C4553" s="5">
        <v>13324</v>
      </c>
      <c r="D4553" s="6">
        <v>20.34</v>
      </c>
      <c r="E4553" t="s">
        <v>12</v>
      </c>
    </row>
    <row r="4554" spans="1:5" x14ac:dyDescent="0.25">
      <c r="A4554" t="str">
        <f>HYPERLINK("https://www.773grp.com/globalSearch/SN74ALS243ANSR/page-1", "SN74ALS243ANSR")</f>
        <v>SN74ALS243ANSR</v>
      </c>
      <c r="B4554" s="3" t="s">
        <v>90</v>
      </c>
      <c r="C4554" s="5">
        <v>4000</v>
      </c>
      <c r="D4554" s="6">
        <v>20.34</v>
      </c>
      <c r="E4554" t="s">
        <v>12</v>
      </c>
    </row>
    <row r="4555" spans="1:5" x14ac:dyDescent="0.25">
      <c r="A4555" t="str">
        <f>HYPERLINK("https://www.773grp.com/globalSearch/SN74GTLPH1612DGGR/page-1", "SN74GTLPH1612DGGR")</f>
        <v>SN74GTLPH1612DGGR</v>
      </c>
      <c r="B4555" s="3" t="s">
        <v>90</v>
      </c>
      <c r="C4555" s="5">
        <v>6000</v>
      </c>
      <c r="D4555" s="6">
        <v>20.5</v>
      </c>
      <c r="E4555" t="s">
        <v>12</v>
      </c>
    </row>
    <row r="4556" spans="1:5" x14ac:dyDescent="0.25">
      <c r="A4556" t="str">
        <f>HYPERLINK("https://www.773grp.com/globalSearch/SN74GTLPH1616DGGR/page-1", "SN74GTLPH1616DGGR")</f>
        <v>SN74GTLPH1616DGGR</v>
      </c>
      <c r="B4556" s="3" t="s">
        <v>90</v>
      </c>
      <c r="C4556" s="5">
        <v>5970</v>
      </c>
      <c r="D4556" s="6">
        <v>20.5</v>
      </c>
      <c r="E4556" t="s">
        <v>12</v>
      </c>
    </row>
    <row r="4557" spans="1:5" x14ac:dyDescent="0.25">
      <c r="A4557" t="str">
        <f>HYPERLINK("https://www.773grp.com/globalSearch/SN54LS541J/page-1", "SN54LS541J")</f>
        <v>SN54LS541J</v>
      </c>
      <c r="B4557" s="3" t="s">
        <v>90</v>
      </c>
      <c r="C4557" s="5">
        <v>348</v>
      </c>
      <c r="D4557" s="6">
        <v>20.54</v>
      </c>
      <c r="E4557" t="s">
        <v>12</v>
      </c>
    </row>
    <row r="4558" spans="1:5" x14ac:dyDescent="0.25">
      <c r="A4558" t="str">
        <f>HYPERLINK("https://www.773grp.com/globalSearch/SN74AS575DW/page-1", "SN74AS575DW")</f>
        <v>SN74AS575DW</v>
      </c>
      <c r="B4558" s="3" t="s">
        <v>90</v>
      </c>
      <c r="C4558" s="5">
        <v>186</v>
      </c>
      <c r="D4558" s="6">
        <v>20.55</v>
      </c>
      <c r="E4558" t="s">
        <v>12</v>
      </c>
    </row>
    <row r="4559" spans="1:5" x14ac:dyDescent="0.25">
      <c r="A4559" t="str">
        <f>HYPERLINK("https://www.773grp.com/globalSearch/SN74AS575NT/page-1", "SN74AS575NT")</f>
        <v>SN74AS575NT</v>
      </c>
      <c r="B4559" s="3" t="s">
        <v>90</v>
      </c>
      <c r="C4559" s="5">
        <v>4667</v>
      </c>
      <c r="D4559" s="6">
        <v>20.55</v>
      </c>
      <c r="E4559" t="s">
        <v>12</v>
      </c>
    </row>
    <row r="4560" spans="1:5" x14ac:dyDescent="0.25">
      <c r="A4560" t="str">
        <f>HYPERLINK("https://www.773grp.com/globalSearch/SN74AS533AN/page-1", "SN74AS533AN")</f>
        <v>SN74AS533AN</v>
      </c>
      <c r="B4560" s="3" t="s">
        <v>90</v>
      </c>
      <c r="C4560" s="5">
        <v>2986</v>
      </c>
      <c r="D4560" s="6">
        <v>20.64</v>
      </c>
      <c r="E4560" t="s">
        <v>12</v>
      </c>
    </row>
    <row r="4561" spans="1:5" x14ac:dyDescent="0.25">
      <c r="A4561" t="str">
        <f>HYPERLINK("https://www.773grp.com/globalSearch/SN74GTL16612DL/page-1", "SN74GTL16612DL")</f>
        <v>SN74GTL16612DL</v>
      </c>
      <c r="B4561" s="3" t="s">
        <v>90</v>
      </c>
      <c r="C4561" s="5">
        <v>6545</v>
      </c>
      <c r="D4561" s="6">
        <v>20.7</v>
      </c>
      <c r="E4561" t="s">
        <v>12</v>
      </c>
    </row>
    <row r="4562" spans="1:5" x14ac:dyDescent="0.25">
      <c r="A4562" t="str">
        <f>HYPERLINK("https://www.773grp.com/globalSearch/5962-9685801QRA/page-1", "5962-9685801QRA")</f>
        <v>5962-9685801QRA</v>
      </c>
      <c r="B4562" s="3" t="s">
        <v>90</v>
      </c>
      <c r="C4562" s="5">
        <v>59</v>
      </c>
      <c r="D4562" s="6">
        <v>20.79</v>
      </c>
      <c r="E4562" t="s">
        <v>12</v>
      </c>
    </row>
    <row r="4563" spans="1:5" x14ac:dyDescent="0.25">
      <c r="A4563" t="str">
        <f>HYPERLINK("https://www.773grp.com/globalSearch/SN54HC574J/page-1", "SN54HC574J")</f>
        <v>SN54HC574J</v>
      </c>
      <c r="B4563" s="3" t="s">
        <v>90</v>
      </c>
      <c r="C4563" s="5">
        <v>15</v>
      </c>
      <c r="D4563" s="6">
        <v>20.79</v>
      </c>
      <c r="E4563" t="s">
        <v>12</v>
      </c>
    </row>
    <row r="4564" spans="1:5" x14ac:dyDescent="0.25">
      <c r="A4564" t="str">
        <f>HYPERLINK("https://www.773grp.com/globalSearch/SNJ54AHCT541J/page-1", "SNJ54AHCT541J")</f>
        <v>SNJ54AHCT541J</v>
      </c>
      <c r="B4564" s="3" t="s">
        <v>90</v>
      </c>
      <c r="C4564" s="5">
        <v>61</v>
      </c>
      <c r="D4564" s="6">
        <v>20.79</v>
      </c>
      <c r="E4564" t="s">
        <v>12</v>
      </c>
    </row>
    <row r="4565" spans="1:5" x14ac:dyDescent="0.25">
      <c r="A4565" t="str">
        <f>HYPERLINK("https://www.773grp.com/globalSearch/JM38510-32803BRA/page-1", "JM38510-32803BRA")</f>
        <v>JM38510-32803BRA</v>
      </c>
      <c r="B4565" s="3" t="s">
        <v>90</v>
      </c>
      <c r="C4565" s="5">
        <v>43</v>
      </c>
      <c r="D4565" s="6">
        <v>20.81</v>
      </c>
      <c r="E4565" t="s">
        <v>12</v>
      </c>
    </row>
    <row r="4566" spans="1:5" x14ac:dyDescent="0.25">
      <c r="A4566" t="str">
        <f>HYPERLINK("https://www.773grp.com/globalSearch/SN74BCT8244ADW/page-1", "SN74BCT8244ADW")</f>
        <v>SN74BCT8244ADW</v>
      </c>
      <c r="B4566" s="3" t="s">
        <v>90</v>
      </c>
      <c r="C4566" s="5">
        <v>47</v>
      </c>
      <c r="D4566" s="6">
        <v>20.89</v>
      </c>
      <c r="E4566" t="s">
        <v>12</v>
      </c>
    </row>
    <row r="4567" spans="1:5" x14ac:dyDescent="0.25">
      <c r="A4567" t="str">
        <f>HYPERLINK("https://www.773grp.com/globalSearch/SN74BCT8245ADW/page-1", "SN74BCT8245ADW")</f>
        <v>SN74BCT8245ADW</v>
      </c>
      <c r="B4567" s="3" t="s">
        <v>90</v>
      </c>
      <c r="C4567" s="5">
        <v>10200</v>
      </c>
      <c r="D4567" s="6">
        <v>20.89</v>
      </c>
      <c r="E4567" t="s">
        <v>12</v>
      </c>
    </row>
    <row r="4568" spans="1:5" x14ac:dyDescent="0.25">
      <c r="A4568" t="str">
        <f>HYPERLINK("https://www.773grp.com/globalSearch/JM38510-34601B2A/page-1", "JM38510-34601B2A")</f>
        <v>JM38510-34601B2A</v>
      </c>
      <c r="B4568" s="3" t="s">
        <v>90</v>
      </c>
      <c r="C4568" s="5">
        <v>535</v>
      </c>
      <c r="D4568" s="6">
        <v>21.04</v>
      </c>
      <c r="E4568" t="s">
        <v>12</v>
      </c>
    </row>
    <row r="4569" spans="1:5" x14ac:dyDescent="0.25">
      <c r="A4569" t="str">
        <f>HYPERLINK("https://www.773grp.com/globalSearch/JM38510-32801BCA/page-1", "JM38510-32801BCA")</f>
        <v>JM38510-32801BCA</v>
      </c>
      <c r="B4569" s="3" t="s">
        <v>90</v>
      </c>
      <c r="C4569" s="5">
        <v>5669</v>
      </c>
      <c r="D4569" s="6">
        <v>21.1</v>
      </c>
      <c r="E4569" t="s">
        <v>12</v>
      </c>
    </row>
    <row r="4570" spans="1:5" x14ac:dyDescent="0.25">
      <c r="A4570" t="str">
        <f>HYPERLINK("https://www.773grp.com/globalSearch/SN74ALS654-1DW/page-1", "SN74ALS654-1DW")</f>
        <v>SN74ALS654-1DW</v>
      </c>
      <c r="B4570" s="3" t="s">
        <v>90</v>
      </c>
      <c r="C4570" s="5">
        <v>157</v>
      </c>
      <c r="D4570" s="6">
        <v>21.1</v>
      </c>
      <c r="E4570" t="s">
        <v>12</v>
      </c>
    </row>
    <row r="4571" spans="1:5" x14ac:dyDescent="0.25">
      <c r="A4571" t="str">
        <f>HYPERLINK("https://www.773grp.com/globalSearch/CD40109BF/page-1", "CD40109BF")</f>
        <v>CD40109BF</v>
      </c>
      <c r="B4571" s="3" t="s">
        <v>90</v>
      </c>
      <c r="C4571" s="5">
        <v>36</v>
      </c>
      <c r="D4571" s="6">
        <v>21.35</v>
      </c>
      <c r="E4571" t="s">
        <v>12</v>
      </c>
    </row>
    <row r="4572" spans="1:5" x14ac:dyDescent="0.25">
      <c r="A4572" t="str">
        <f>HYPERLINK("https://www.773grp.com/globalSearch/SN54LS540J/page-1", "SN54LS540J")</f>
        <v>SN54LS540J</v>
      </c>
      <c r="B4572" s="3" t="s">
        <v>90</v>
      </c>
      <c r="C4572" s="5">
        <v>54</v>
      </c>
      <c r="D4572" s="6">
        <v>21.38</v>
      </c>
      <c r="E4572" t="s">
        <v>12</v>
      </c>
    </row>
    <row r="4573" spans="1:5" x14ac:dyDescent="0.25">
      <c r="A4573" t="str">
        <f>HYPERLINK("https://www.773grp.com/globalSearch/SN74ABT162827DL/page-1", "SN74ABT162827DL")</f>
        <v>SN74ABT162827DL</v>
      </c>
      <c r="B4573" s="3" t="s">
        <v>90</v>
      </c>
      <c r="C4573" s="5">
        <v>267</v>
      </c>
      <c r="D4573" s="6">
        <v>21.44</v>
      </c>
      <c r="E4573" t="s">
        <v>12</v>
      </c>
    </row>
    <row r="4574" spans="1:5" x14ac:dyDescent="0.25">
      <c r="A4574" t="str">
        <f>HYPERLINK("https://www.773grp.com/globalSearch/SN74ABT162827DLR/page-1", "SN74ABT162827DLR")</f>
        <v>SN74ABT162827DLR</v>
      </c>
      <c r="B4574" s="3" t="s">
        <v>90</v>
      </c>
      <c r="C4574" s="5">
        <v>6000</v>
      </c>
      <c r="D4574" s="6">
        <v>21.44</v>
      </c>
      <c r="E4574" t="s">
        <v>12</v>
      </c>
    </row>
    <row r="4575" spans="1:5" x14ac:dyDescent="0.25">
      <c r="A4575" t="str">
        <f>HYPERLINK("https://www.773grp.com/globalSearch/SN74ABT8543DLR/page-1", "SN74ABT8543DLR")</f>
        <v>SN74ABT8543DLR</v>
      </c>
      <c r="B4575" s="3" t="s">
        <v>90</v>
      </c>
      <c r="C4575" s="5">
        <v>3000</v>
      </c>
      <c r="D4575" s="6">
        <v>21.49</v>
      </c>
      <c r="E4575" t="s">
        <v>12</v>
      </c>
    </row>
    <row r="4576" spans="1:5" x14ac:dyDescent="0.25">
      <c r="A4576" t="str">
        <f>HYPERLINK("https://www.773grp.com/globalSearch/JM38510-34803BSA/page-1", "JM38510-34803BSA")</f>
        <v>JM38510-34803BSA</v>
      </c>
      <c r="B4576" s="3" t="s">
        <v>90</v>
      </c>
      <c r="C4576" s="5">
        <v>53</v>
      </c>
      <c r="D4576" s="6">
        <v>21.6</v>
      </c>
      <c r="E4576" t="s">
        <v>12</v>
      </c>
    </row>
    <row r="4577" spans="1:5" x14ac:dyDescent="0.25">
      <c r="A4577" t="str">
        <f>HYPERLINK("https://www.773grp.com/globalSearch/74ACT16952DL/page-1", "74ACT16952DL")</f>
        <v>74ACT16952DL</v>
      </c>
      <c r="B4577" s="3" t="s">
        <v>90</v>
      </c>
      <c r="C4577" s="5">
        <v>5313</v>
      </c>
      <c r="D4577" s="6">
        <v>21.69</v>
      </c>
      <c r="E4577" t="s">
        <v>12</v>
      </c>
    </row>
    <row r="4578" spans="1:5" x14ac:dyDescent="0.25">
      <c r="A4578" t="str">
        <f>HYPERLINK("https://www.773grp.com/globalSearch/SN74GTL16622DGGR/page-1", "SN74GTL16622DGGR")</f>
        <v>SN74GTL16622DGGR</v>
      </c>
      <c r="B4578" s="3" t="s">
        <v>90</v>
      </c>
      <c r="C4578" s="5">
        <v>6000</v>
      </c>
      <c r="D4578" s="6">
        <v>21.9</v>
      </c>
      <c r="E4578" t="s">
        <v>12</v>
      </c>
    </row>
    <row r="4579" spans="1:5" x14ac:dyDescent="0.25">
      <c r="A4579" t="str">
        <f>HYPERLINK("https://www.773grp.com/globalSearch/SN74ALS651A-1DW/page-1", "SN74ALS651A-1DW")</f>
        <v>SN74ALS651A-1DW</v>
      </c>
      <c r="B4579" s="3" t="s">
        <v>90</v>
      </c>
      <c r="C4579" s="5">
        <v>6400</v>
      </c>
      <c r="D4579" s="6">
        <v>21.99</v>
      </c>
      <c r="E4579" t="s">
        <v>12</v>
      </c>
    </row>
    <row r="4580" spans="1:5" x14ac:dyDescent="0.25">
      <c r="A4580" t="str">
        <f>HYPERLINK("https://www.773grp.com/globalSearch/SN74ALS651A-1DWR/page-1", "SN74ALS651A-1DWR")</f>
        <v>SN74ALS651A-1DWR</v>
      </c>
      <c r="B4580" s="3" t="s">
        <v>90</v>
      </c>
      <c r="C4580" s="5">
        <v>6000</v>
      </c>
      <c r="D4580" s="6">
        <v>21.99</v>
      </c>
      <c r="E4580" t="s">
        <v>12</v>
      </c>
    </row>
    <row r="4581" spans="1:5" x14ac:dyDescent="0.25">
      <c r="A4581" t="str">
        <f>HYPERLINK("https://www.773grp.com/globalSearch/SN54ALS580BJ/page-1", "SN54ALS580BJ")</f>
        <v>SN54ALS580BJ</v>
      </c>
      <c r="B4581" s="3" t="s">
        <v>90</v>
      </c>
      <c r="C4581" s="5">
        <v>58</v>
      </c>
      <c r="D4581" s="6">
        <v>22.03</v>
      </c>
      <c r="E4581" t="s">
        <v>12</v>
      </c>
    </row>
    <row r="4582" spans="1:5" x14ac:dyDescent="0.25">
      <c r="A4582" t="str">
        <f>HYPERLINK("https://www.773grp.com/globalSearch/SN54AS825JT/page-1", "SN54AS825JT")</f>
        <v>SN54AS825JT</v>
      </c>
      <c r="B4582" s="3" t="s">
        <v>90</v>
      </c>
      <c r="C4582" s="5">
        <v>117</v>
      </c>
      <c r="D4582" s="6">
        <v>22.03</v>
      </c>
      <c r="E4582" t="s">
        <v>12</v>
      </c>
    </row>
    <row r="4583" spans="1:5" x14ac:dyDescent="0.25">
      <c r="A4583" t="str">
        <f>HYPERLINK("https://www.773grp.com/globalSearch/SN74AS821ADW/page-1", "SN74AS821ADW")</f>
        <v>SN74AS821ADW</v>
      </c>
      <c r="B4583" s="3" t="s">
        <v>90</v>
      </c>
      <c r="C4583" s="5">
        <v>6271</v>
      </c>
      <c r="D4583" s="6">
        <v>22.03</v>
      </c>
      <c r="E4583" t="s">
        <v>12</v>
      </c>
    </row>
    <row r="4584" spans="1:5" x14ac:dyDescent="0.25">
      <c r="A4584" t="str">
        <f>HYPERLINK("https://www.773grp.com/globalSearch/5962-9214802QRA/page-1", "5962-9214802QRA")</f>
        <v>5962-9214802QRA</v>
      </c>
      <c r="B4584" s="3" t="s">
        <v>90</v>
      </c>
      <c r="C4584" s="5">
        <v>93</v>
      </c>
      <c r="D4584" s="6">
        <v>22.08</v>
      </c>
      <c r="E4584" t="s">
        <v>12</v>
      </c>
    </row>
    <row r="4585" spans="1:5" x14ac:dyDescent="0.25">
      <c r="A4585" t="str">
        <f>HYPERLINK("https://www.773grp.com/globalSearch/JM38510-32502BRA/page-1", "JM38510-32502BRA")</f>
        <v>JM38510-32502BRA</v>
      </c>
      <c r="B4585" s="3" t="s">
        <v>90</v>
      </c>
      <c r="C4585" s="5">
        <v>57</v>
      </c>
      <c r="D4585" s="6">
        <v>22.11</v>
      </c>
      <c r="E4585" t="s">
        <v>12</v>
      </c>
    </row>
    <row r="4586" spans="1:5" x14ac:dyDescent="0.25">
      <c r="A4586" t="str">
        <f>HYPERLINK("https://www.773grp.com/globalSearch/SN74BCT543NT/page-1", "SN74BCT543NT")</f>
        <v>SN74BCT543NT</v>
      </c>
      <c r="B4586" s="3" t="s">
        <v>90</v>
      </c>
      <c r="C4586" s="5">
        <v>630</v>
      </c>
      <c r="D4586" s="6">
        <v>22.11</v>
      </c>
      <c r="E4586" t="s">
        <v>12</v>
      </c>
    </row>
    <row r="4587" spans="1:5" x14ac:dyDescent="0.25">
      <c r="A4587" t="str">
        <f>HYPERLINK("https://www.773grp.com/globalSearch/SN54HC573AJ/page-1", "SN54HC573AJ")</f>
        <v>SN54HC573AJ</v>
      </c>
      <c r="B4587" s="3" t="s">
        <v>90</v>
      </c>
      <c r="C4587" s="5">
        <v>61</v>
      </c>
      <c r="D4587" s="6">
        <v>22.19</v>
      </c>
      <c r="E4587" t="s">
        <v>12</v>
      </c>
    </row>
    <row r="4588" spans="1:5" x14ac:dyDescent="0.25">
      <c r="A4588" t="str">
        <f>HYPERLINK("https://www.773grp.com/globalSearch/CD54HC574F/page-1", "CD54HC574F")</f>
        <v>CD54HC574F</v>
      </c>
      <c r="B4588" s="3" t="s">
        <v>90</v>
      </c>
      <c r="C4588" s="5">
        <v>20</v>
      </c>
      <c r="D4588" s="6">
        <v>22.23</v>
      </c>
      <c r="E4588" t="s">
        <v>12</v>
      </c>
    </row>
    <row r="4589" spans="1:5" x14ac:dyDescent="0.25">
      <c r="A4589" t="str">
        <f>HYPERLINK("https://www.773grp.com/globalSearch/CY54FCT374ATDMB/page-1", "CY54FCT374ATDMB")</f>
        <v>CY54FCT374ATDMB</v>
      </c>
      <c r="B4589" s="3" t="s">
        <v>90</v>
      </c>
      <c r="C4589" s="5">
        <v>43</v>
      </c>
      <c r="D4589" s="6">
        <v>22.28</v>
      </c>
      <c r="E4589" t="s">
        <v>12</v>
      </c>
    </row>
    <row r="4590" spans="1:5" x14ac:dyDescent="0.25">
      <c r="A4590" t="str">
        <f>HYPERLINK("https://www.773grp.com/globalSearch/SN74ABT18640DL/page-1", "SN74ABT18640DL")</f>
        <v>SN74ABT18640DL</v>
      </c>
      <c r="B4590" s="3" t="s">
        <v>90</v>
      </c>
      <c r="C4590" s="5">
        <v>8355</v>
      </c>
      <c r="D4590" s="6">
        <v>22.31</v>
      </c>
      <c r="E4590" t="s">
        <v>12</v>
      </c>
    </row>
    <row r="4591" spans="1:5" x14ac:dyDescent="0.25">
      <c r="A4591" t="str">
        <f>HYPERLINK("https://www.773grp.com/globalSearch/SN74ALVCH16903DL/page-1", "SN74ALVCH16903DL")</f>
        <v>SN74ALVCH16903DL</v>
      </c>
      <c r="B4591" s="3" t="s">
        <v>90</v>
      </c>
      <c r="C4591" s="5">
        <v>5160</v>
      </c>
      <c r="D4591" s="6">
        <v>22.31</v>
      </c>
      <c r="E4591" t="s">
        <v>12</v>
      </c>
    </row>
    <row r="4592" spans="1:5" x14ac:dyDescent="0.25">
      <c r="A4592" t="str">
        <f>HYPERLINK("https://www.773grp.com/globalSearch/SN74LVC32245GKER/page-1", "SN74LVC32245GKER")</f>
        <v>SN74LVC32245GKER</v>
      </c>
      <c r="B4592" s="3" t="s">
        <v>90</v>
      </c>
      <c r="C4592" s="5">
        <v>67738</v>
      </c>
      <c r="D4592" s="6">
        <v>22.39</v>
      </c>
      <c r="E4592" t="s">
        <v>12</v>
      </c>
    </row>
    <row r="4593" spans="1:5" x14ac:dyDescent="0.25">
      <c r="A4593" t="str">
        <f>HYPERLINK("https://www.773grp.com/globalSearch/SN74LVCH32373AGKER/page-1", "SN74LVCH32373AGKER")</f>
        <v>SN74LVCH32373AGKER</v>
      </c>
      <c r="B4593" s="3" t="s">
        <v>90</v>
      </c>
      <c r="C4593" s="5">
        <v>1000</v>
      </c>
      <c r="D4593" s="6">
        <v>22.39</v>
      </c>
      <c r="E4593" t="s">
        <v>12</v>
      </c>
    </row>
    <row r="4594" spans="1:5" x14ac:dyDescent="0.25">
      <c r="A4594" t="str">
        <f>HYPERLINK("https://www.773grp.com/globalSearch/SN74LVCH32374AGKER/page-1", "SN74LVCH32374AGKER")</f>
        <v>SN74LVCH32374AGKER</v>
      </c>
      <c r="B4594" s="3" t="s">
        <v>90</v>
      </c>
      <c r="C4594" s="5">
        <v>2547</v>
      </c>
      <c r="D4594" s="6">
        <v>22.39</v>
      </c>
      <c r="E4594" t="s">
        <v>12</v>
      </c>
    </row>
    <row r="4595" spans="1:5" x14ac:dyDescent="0.25">
      <c r="A4595" t="str">
        <f>HYPERLINK("https://www.773grp.com/globalSearch/5962-9685501QRA/page-1", "5962-9685501QRA")</f>
        <v>5962-9685501QRA</v>
      </c>
      <c r="B4595" s="3" t="s">
        <v>90</v>
      </c>
      <c r="C4595" s="5">
        <v>68</v>
      </c>
      <c r="D4595" s="6">
        <v>22.45</v>
      </c>
      <c r="E4595" t="s">
        <v>12</v>
      </c>
    </row>
    <row r="4596" spans="1:5" x14ac:dyDescent="0.25">
      <c r="A4596" t="str">
        <f>HYPERLINK("https://www.773grp.com/globalSearch/SNJ54AHCT573J/page-1", "SNJ54AHCT573J")</f>
        <v>SNJ54AHCT573J</v>
      </c>
      <c r="B4596" s="3" t="s">
        <v>90</v>
      </c>
      <c r="C4596" s="5">
        <v>11</v>
      </c>
      <c r="D4596" s="6">
        <v>22.45</v>
      </c>
      <c r="E4596" t="s">
        <v>12</v>
      </c>
    </row>
    <row r="4597" spans="1:5" x14ac:dyDescent="0.25">
      <c r="A4597" t="str">
        <f>HYPERLINK("https://www.773grp.com/globalSearch/5962-9220301MRA/page-1", "5962-9220301MRA")</f>
        <v>5962-9220301MRA</v>
      </c>
      <c r="B4597" s="3" t="s">
        <v>90</v>
      </c>
      <c r="C4597" s="5">
        <v>57</v>
      </c>
      <c r="D4597" s="6">
        <v>22.48</v>
      </c>
      <c r="E4597" t="s">
        <v>12</v>
      </c>
    </row>
    <row r="4598" spans="1:5" x14ac:dyDescent="0.25">
      <c r="A4598" t="str">
        <f>HYPERLINK("https://www.773grp.com/globalSearch/SNJ54ALS244CJ/page-1", "SNJ54ALS244CJ")</f>
        <v>SNJ54ALS244CJ</v>
      </c>
      <c r="B4598" s="3" t="s">
        <v>90</v>
      </c>
      <c r="C4598" s="5">
        <v>393</v>
      </c>
      <c r="D4598" s="6">
        <v>22.48</v>
      </c>
      <c r="E4598" t="s">
        <v>12</v>
      </c>
    </row>
    <row r="4599" spans="1:5" x14ac:dyDescent="0.25">
      <c r="A4599" t="str">
        <f>HYPERLINK("https://www.773grp.com/globalSearch/SN74ABT18245ADL/page-1", "SN74ABT18245ADL")</f>
        <v>SN74ABT18245ADL</v>
      </c>
      <c r="B4599" s="3" t="s">
        <v>90</v>
      </c>
      <c r="C4599" s="5">
        <v>158</v>
      </c>
      <c r="D4599" s="6">
        <v>22.5</v>
      </c>
      <c r="E4599" t="s">
        <v>12</v>
      </c>
    </row>
    <row r="4600" spans="1:5" x14ac:dyDescent="0.25">
      <c r="A4600" t="str">
        <f>HYPERLINK("https://www.773grp.com/globalSearch/7801201SA/page-1", "7801201SA")</f>
        <v>7801201SA</v>
      </c>
      <c r="B4600" s="3" t="s">
        <v>90</v>
      </c>
      <c r="C4600" s="5">
        <v>23</v>
      </c>
      <c r="D4600" s="6">
        <v>22.56</v>
      </c>
      <c r="E4600" t="s">
        <v>12</v>
      </c>
    </row>
    <row r="4601" spans="1:5" x14ac:dyDescent="0.25">
      <c r="A4601" t="str">
        <f>HYPERLINK("https://www.773grp.com/globalSearch/SNJ54LS240W/page-1", "SNJ54LS240W")</f>
        <v>SNJ54LS240W</v>
      </c>
      <c r="B4601" s="3" t="s">
        <v>90</v>
      </c>
      <c r="C4601" s="5">
        <v>29</v>
      </c>
      <c r="D4601" s="6">
        <v>22.56</v>
      </c>
      <c r="E4601" t="s">
        <v>12</v>
      </c>
    </row>
    <row r="4602" spans="1:5" x14ac:dyDescent="0.25">
      <c r="A4602" t="str">
        <f>HYPERLINK("https://www.773grp.com/globalSearch/SN54S240W/page-1", "SN54S240W")</f>
        <v>SN54S240W</v>
      </c>
      <c r="B4602" s="3" t="s">
        <v>90</v>
      </c>
      <c r="C4602" s="5">
        <v>373</v>
      </c>
      <c r="D4602" s="6">
        <v>22.66</v>
      </c>
      <c r="E4602" t="s">
        <v>12</v>
      </c>
    </row>
    <row r="4603" spans="1:5" x14ac:dyDescent="0.25">
      <c r="A4603" t="str">
        <f>HYPERLINK("https://www.773grp.com/globalSearch/5962-9685301QRA/page-1", "5962-9685301QRA")</f>
        <v>5962-9685301QRA</v>
      </c>
      <c r="B4603" s="3" t="s">
        <v>90</v>
      </c>
      <c r="C4603" s="5">
        <v>119</v>
      </c>
      <c r="D4603" s="6">
        <v>22.75</v>
      </c>
      <c r="E4603" t="s">
        <v>12</v>
      </c>
    </row>
    <row r="4604" spans="1:5" x14ac:dyDescent="0.25">
      <c r="A4604" t="str">
        <f>HYPERLINK("https://www.773grp.com/globalSearch/SNJ54AHCT574J/page-1", "SNJ54AHCT574J")</f>
        <v>SNJ54AHCT574J</v>
      </c>
      <c r="B4604" s="3" t="s">
        <v>90</v>
      </c>
      <c r="C4604" s="5">
        <v>4</v>
      </c>
      <c r="D4604" s="6">
        <v>22.75</v>
      </c>
      <c r="E4604" t="s">
        <v>12</v>
      </c>
    </row>
    <row r="4605" spans="1:5" x14ac:dyDescent="0.25">
      <c r="A4605" t="str">
        <f>HYPERLINK("https://www.773grp.com/globalSearch/SN74ALS651-1NT3/page-1", "SN74ALS651-1NT3")</f>
        <v>SN74ALS651-1NT3</v>
      </c>
      <c r="B4605" s="3" t="s">
        <v>90</v>
      </c>
      <c r="C4605" s="5">
        <v>240</v>
      </c>
      <c r="D4605" s="6">
        <v>22.79</v>
      </c>
      <c r="E4605" t="s">
        <v>12</v>
      </c>
    </row>
    <row r="4606" spans="1:5" x14ac:dyDescent="0.25">
      <c r="A4606" t="str">
        <f>HYPERLINK("https://www.773grp.com/globalSearch/CY29FCT818CTSOCT/page-1", "CY29FCT818CTSOCT")</f>
        <v>CY29FCT818CTSOCT</v>
      </c>
      <c r="B4606" s="3" t="s">
        <v>90</v>
      </c>
      <c r="C4606" s="5">
        <v>16000</v>
      </c>
      <c r="D4606" s="6">
        <v>22.9</v>
      </c>
      <c r="E4606" t="s">
        <v>12</v>
      </c>
    </row>
    <row r="4607" spans="1:5" x14ac:dyDescent="0.25">
      <c r="A4607" t="str">
        <f>HYPERLINK("https://www.773grp.com/globalSearch/SN74GTL16616DGGR/page-1", "SN74GTL16616DGGR")</f>
        <v>SN74GTL16616DGGR</v>
      </c>
      <c r="B4607" s="3" t="s">
        <v>90</v>
      </c>
      <c r="C4607" s="5">
        <v>5923</v>
      </c>
      <c r="D4607" s="6">
        <v>22.9</v>
      </c>
      <c r="E4607" t="s">
        <v>12</v>
      </c>
    </row>
    <row r="4608" spans="1:5" x14ac:dyDescent="0.25">
      <c r="A4608" t="str">
        <f>HYPERLINK("https://www.773grp.com/globalSearch/SN74GTL16616DL/page-1", "SN74GTL16616DL")</f>
        <v>SN74GTL16616DL</v>
      </c>
      <c r="B4608" s="3" t="s">
        <v>90</v>
      </c>
      <c r="C4608" s="5">
        <v>829</v>
      </c>
      <c r="D4608" s="6">
        <v>22.9</v>
      </c>
      <c r="E4608" t="s">
        <v>12</v>
      </c>
    </row>
    <row r="4609" spans="1:5" x14ac:dyDescent="0.25">
      <c r="A4609" t="str">
        <f>HYPERLINK("https://www.773grp.com/globalSearch/SN74ABTE16246DLR/page-1", "SN74ABTE16246DLR")</f>
        <v>SN74ABTE16246DLR</v>
      </c>
      <c r="B4609" s="3" t="s">
        <v>90</v>
      </c>
      <c r="C4609" s="5">
        <v>17500</v>
      </c>
      <c r="D4609" s="6">
        <v>23.09</v>
      </c>
      <c r="E4609" t="s">
        <v>12</v>
      </c>
    </row>
    <row r="4610" spans="1:5" x14ac:dyDescent="0.25">
      <c r="A4610" t="str">
        <f>HYPERLINK("https://www.773grp.com/globalSearch/SN74FB2041RC/page-1", "SN74FB2041RC")</f>
        <v>SN74FB2041RC</v>
      </c>
      <c r="B4610" s="3" t="s">
        <v>90</v>
      </c>
      <c r="C4610" s="5">
        <v>5124</v>
      </c>
      <c r="D4610" s="6">
        <v>23.09</v>
      </c>
      <c r="E4610" t="s">
        <v>12</v>
      </c>
    </row>
    <row r="4611" spans="1:5" x14ac:dyDescent="0.25">
      <c r="A4611" t="str">
        <f>HYPERLINK("https://www.773grp.com/globalSearch/74AC16646DL/page-1", "74AC16646DL")</f>
        <v>74AC16646DL</v>
      </c>
      <c r="B4611" s="3" t="s">
        <v>90</v>
      </c>
      <c r="C4611" s="5">
        <v>204</v>
      </c>
      <c r="D4611" s="6">
        <v>23.2</v>
      </c>
      <c r="E4611" t="s">
        <v>12</v>
      </c>
    </row>
    <row r="4612" spans="1:5" x14ac:dyDescent="0.25">
      <c r="A4612" t="str">
        <f>HYPERLINK("https://www.773grp.com/globalSearch/74ACT16648DL/page-1", "74ACT16648DL")</f>
        <v>74ACT16648DL</v>
      </c>
      <c r="B4612" s="3" t="s">
        <v>90</v>
      </c>
      <c r="C4612" s="5">
        <v>560</v>
      </c>
      <c r="D4612" s="6">
        <v>23.2</v>
      </c>
      <c r="E4612" t="s">
        <v>12</v>
      </c>
    </row>
    <row r="4613" spans="1:5" x14ac:dyDescent="0.25">
      <c r="A4613" t="str">
        <f>HYPERLINK("https://www.773grp.com/globalSearch/SN74LS465N/page-1", "SN74LS465N")</f>
        <v>SN74LS465N</v>
      </c>
      <c r="B4613" s="3" t="s">
        <v>90</v>
      </c>
      <c r="C4613" s="5">
        <v>2197</v>
      </c>
      <c r="D4613" s="6">
        <v>23.24</v>
      </c>
      <c r="E4613" t="s">
        <v>12</v>
      </c>
    </row>
    <row r="4614" spans="1:5" x14ac:dyDescent="0.25">
      <c r="A4614" t="str">
        <f>HYPERLINK("https://www.773grp.com/globalSearch/SN74ABTE16245DL/page-1", "SN74ABTE16245DL")</f>
        <v>SN74ABTE16245DL</v>
      </c>
      <c r="B4614" s="3" t="s">
        <v>90</v>
      </c>
      <c r="C4614" s="5">
        <v>122</v>
      </c>
      <c r="D4614" s="6">
        <v>23.33</v>
      </c>
      <c r="E4614" t="s">
        <v>12</v>
      </c>
    </row>
    <row r="4615" spans="1:5" x14ac:dyDescent="0.25">
      <c r="A4615" t="str">
        <f>HYPERLINK("https://www.773grp.com/globalSearch/SN74AS824ANT/page-1", "SN74AS824ANT")</f>
        <v>SN74AS824ANT</v>
      </c>
      <c r="B4615" s="3" t="s">
        <v>90</v>
      </c>
      <c r="C4615" s="5">
        <v>303</v>
      </c>
      <c r="D4615" s="6">
        <v>23.43</v>
      </c>
      <c r="E4615" t="s">
        <v>12</v>
      </c>
    </row>
    <row r="4616" spans="1:5" x14ac:dyDescent="0.25">
      <c r="A4616" t="str">
        <f>HYPERLINK("https://www.773grp.com/globalSearch/SNJ54LVT245J/page-1", "SNJ54LVT245J")</f>
        <v>SNJ54LVT245J</v>
      </c>
      <c r="B4616" s="3" t="s">
        <v>90</v>
      </c>
      <c r="C4616" s="5">
        <v>25</v>
      </c>
      <c r="D4616" s="6">
        <v>23.46</v>
      </c>
      <c r="E4616" t="s">
        <v>12</v>
      </c>
    </row>
    <row r="4617" spans="1:5" x14ac:dyDescent="0.25">
      <c r="A4617" t="str">
        <f>HYPERLINK("https://www.773grp.com/globalSearch/74AC16652DL/page-1", "74AC16652DL")</f>
        <v>74AC16652DL</v>
      </c>
      <c r="B4617" s="3" t="s">
        <v>90</v>
      </c>
      <c r="C4617" s="5">
        <v>7214</v>
      </c>
      <c r="D4617" s="6">
        <v>23.51</v>
      </c>
      <c r="E4617" t="s">
        <v>12</v>
      </c>
    </row>
    <row r="4618" spans="1:5" x14ac:dyDescent="0.25">
      <c r="A4618" t="str">
        <f>HYPERLINK("https://www.773grp.com/globalSearch/SN74ABT8543DW/page-1", "SN74ABT8543DW")</f>
        <v>SN74ABT8543DW</v>
      </c>
      <c r="B4618" s="3" t="s">
        <v>90</v>
      </c>
      <c r="C4618" s="5">
        <v>15924</v>
      </c>
      <c r="D4618" s="6">
        <v>23.51</v>
      </c>
      <c r="E4618" t="s">
        <v>12</v>
      </c>
    </row>
    <row r="4619" spans="1:5" x14ac:dyDescent="0.25">
      <c r="A4619" t="str">
        <f>HYPERLINK("https://www.773grp.com/globalSearch/SN74ABT8652DW/page-1", "SN74ABT8652DW")</f>
        <v>SN74ABT8652DW</v>
      </c>
      <c r="B4619" s="3" t="s">
        <v>90</v>
      </c>
      <c r="C4619" s="5">
        <v>19939</v>
      </c>
      <c r="D4619" s="6">
        <v>23.51</v>
      </c>
      <c r="E4619" t="s">
        <v>12</v>
      </c>
    </row>
    <row r="4620" spans="1:5" x14ac:dyDescent="0.25">
      <c r="A4620" t="str">
        <f>HYPERLINK("https://www.773grp.com/globalSearch/SN74ABT8952DW/page-1", "SN74ABT8952DW")</f>
        <v>SN74ABT8952DW</v>
      </c>
      <c r="B4620" s="3" t="s">
        <v>90</v>
      </c>
      <c r="C4620" s="5">
        <v>1410</v>
      </c>
      <c r="D4620" s="6">
        <v>23.51</v>
      </c>
      <c r="E4620" t="s">
        <v>12</v>
      </c>
    </row>
    <row r="4621" spans="1:5" x14ac:dyDescent="0.25">
      <c r="A4621" t="str">
        <f>HYPERLINK("https://www.773grp.com/globalSearch/SN74BCT543DW/page-1", "SN74BCT543DW")</f>
        <v>SN74BCT543DW</v>
      </c>
      <c r="B4621" s="3" t="s">
        <v>90</v>
      </c>
      <c r="C4621" s="5">
        <v>2680</v>
      </c>
      <c r="D4621" s="6">
        <v>23.51</v>
      </c>
      <c r="E4621" t="s">
        <v>12</v>
      </c>
    </row>
    <row r="4622" spans="1:5" x14ac:dyDescent="0.25">
      <c r="A4622" t="str">
        <f>HYPERLINK("https://www.773grp.com/globalSearch/5962-9314901QRA/page-1", "5962-9314901QRA")</f>
        <v>5962-9314901QRA</v>
      </c>
      <c r="B4622" s="3" t="s">
        <v>90</v>
      </c>
      <c r="C4622" s="5">
        <v>723</v>
      </c>
      <c r="D4622" s="6">
        <v>23.58</v>
      </c>
      <c r="E4622" t="s">
        <v>12</v>
      </c>
    </row>
    <row r="4623" spans="1:5" x14ac:dyDescent="0.25">
      <c r="A4623" t="str">
        <f>HYPERLINK("https://www.773grp.com/globalSearch/SNJ54ABT374J/page-1", "SNJ54ABT374J")</f>
        <v>SNJ54ABT374J</v>
      </c>
      <c r="B4623" s="3" t="s">
        <v>90</v>
      </c>
      <c r="C4623" s="5">
        <v>52</v>
      </c>
      <c r="D4623" s="6">
        <v>23.58</v>
      </c>
      <c r="E4623" t="s">
        <v>12</v>
      </c>
    </row>
    <row r="4624" spans="1:5" x14ac:dyDescent="0.25">
      <c r="A4624" t="str">
        <f>HYPERLINK("https://www.773grp.com/globalSearch/SN74FB2033ARCG3/page-1", "SN74FB2033ARCG3")</f>
        <v>SN74FB2033ARCG3</v>
      </c>
      <c r="B4624" s="3" t="s">
        <v>90</v>
      </c>
      <c r="C4624" s="5">
        <v>4512</v>
      </c>
      <c r="D4624" s="6">
        <v>23.59</v>
      </c>
      <c r="E4624" t="s">
        <v>12</v>
      </c>
    </row>
    <row r="4625" spans="1:5" x14ac:dyDescent="0.25">
      <c r="A4625" t="str">
        <f>HYPERLINK("https://www.773grp.com/globalSearch/SN74ALS666DW/page-1", "SN74ALS666DW")</f>
        <v>SN74ALS666DW</v>
      </c>
      <c r="B4625" s="3" t="s">
        <v>90</v>
      </c>
      <c r="C4625" s="5">
        <v>4448</v>
      </c>
      <c r="D4625" s="6">
        <v>23.91</v>
      </c>
      <c r="E4625" t="s">
        <v>12</v>
      </c>
    </row>
    <row r="4626" spans="1:5" x14ac:dyDescent="0.25">
      <c r="A4626" t="str">
        <f>HYPERLINK("https://www.773grp.com/globalSearch/SN74ALS666NT/page-1", "SN74ALS666NT")</f>
        <v>SN74ALS666NT</v>
      </c>
      <c r="B4626" s="3" t="s">
        <v>90</v>
      </c>
      <c r="C4626" s="5">
        <v>1930</v>
      </c>
      <c r="D4626" s="6">
        <v>24.08</v>
      </c>
      <c r="E4626" t="s">
        <v>12</v>
      </c>
    </row>
    <row r="4627" spans="1:5" x14ac:dyDescent="0.25">
      <c r="A4627" t="str">
        <f>HYPERLINK("https://www.773grp.com/globalSearch/SN74LS465DW/page-1", "SN74LS465DW")</f>
        <v>SN74LS465DW</v>
      </c>
      <c r="B4627" s="3" t="s">
        <v>90</v>
      </c>
      <c r="C4627" s="5">
        <v>7136</v>
      </c>
      <c r="D4627" s="6">
        <v>24.08</v>
      </c>
      <c r="E4627" t="s">
        <v>12</v>
      </c>
    </row>
    <row r="4628" spans="1:5" x14ac:dyDescent="0.25">
      <c r="A4628" t="str">
        <f>HYPERLINK("https://www.773grp.com/globalSearch/SN74GTLPH32912KR/page-1", "SN74GTLPH32912KR")</f>
        <v>SN74GTLPH32912KR</v>
      </c>
      <c r="B4628" s="3" t="s">
        <v>90</v>
      </c>
      <c r="C4628" s="5">
        <v>4000</v>
      </c>
      <c r="D4628" s="6">
        <v>24.1</v>
      </c>
      <c r="E4628" t="s">
        <v>12</v>
      </c>
    </row>
    <row r="4629" spans="1:5" x14ac:dyDescent="0.25">
      <c r="A4629" t="str">
        <f>HYPERLINK("https://www.773grp.com/globalSearch/SN74GTLPH32916KR/page-1", "SN74GTLPH32916KR")</f>
        <v>SN74GTLPH32916KR</v>
      </c>
      <c r="B4629" s="3" t="s">
        <v>90</v>
      </c>
      <c r="C4629" s="5">
        <v>1000</v>
      </c>
      <c r="D4629" s="6">
        <v>24.1</v>
      </c>
      <c r="E4629" t="s">
        <v>12</v>
      </c>
    </row>
    <row r="4630" spans="1:5" x14ac:dyDescent="0.25">
      <c r="A4630" t="str">
        <f>HYPERLINK("https://www.773grp.com/globalSearch/SNJ54ACT240J/page-1", "SNJ54ACT240J")</f>
        <v>SNJ54ACT240J</v>
      </c>
      <c r="B4630" s="3" t="s">
        <v>90</v>
      </c>
      <c r="C4630" s="5">
        <v>144</v>
      </c>
      <c r="D4630" s="6">
        <v>24.14</v>
      </c>
      <c r="E4630" t="s">
        <v>12</v>
      </c>
    </row>
    <row r="4631" spans="1:5" x14ac:dyDescent="0.25">
      <c r="A4631" t="str">
        <f>HYPERLINK("https://www.773grp.com/globalSearch/SN74SSTV32877GKER/page-1", "SN74SSTV32877GKER")</f>
        <v>SN74SSTV32877GKER</v>
      </c>
      <c r="B4631" s="3" t="s">
        <v>90</v>
      </c>
      <c r="C4631" s="5">
        <v>2890</v>
      </c>
      <c r="D4631" s="6">
        <v>24.19</v>
      </c>
      <c r="E4631" t="s">
        <v>12</v>
      </c>
    </row>
    <row r="4632" spans="1:5" x14ac:dyDescent="0.25">
      <c r="A4632" t="str">
        <f>HYPERLINK("https://www.773grp.com/globalSearch/74ACT16651DL/page-1", "74ACT16651DL")</f>
        <v>74ACT16651DL</v>
      </c>
      <c r="B4632" s="3" t="s">
        <v>90</v>
      </c>
      <c r="C4632" s="5">
        <v>123</v>
      </c>
      <c r="D4632" s="6">
        <v>24.3</v>
      </c>
      <c r="E4632" t="s">
        <v>12</v>
      </c>
    </row>
    <row r="4633" spans="1:5" x14ac:dyDescent="0.25">
      <c r="A4633" t="str">
        <f>HYPERLINK("https://www.773grp.com/globalSearch/CD54AC245F3A/page-1", "CD54AC245F3A")</f>
        <v>CD54AC245F3A</v>
      </c>
      <c r="B4633" s="3" t="s">
        <v>90</v>
      </c>
      <c r="C4633" s="5">
        <v>37</v>
      </c>
      <c r="D4633" s="6">
        <v>24.3</v>
      </c>
      <c r="E4633" t="s">
        <v>12</v>
      </c>
    </row>
    <row r="4634" spans="1:5" x14ac:dyDescent="0.25">
      <c r="A4634" t="str">
        <f>HYPERLINK("https://www.773grp.com/globalSearch/SN74ALS654NT/page-1", "SN74ALS654NT")</f>
        <v>SN74ALS654NT</v>
      </c>
      <c r="B4634" s="3" t="s">
        <v>90</v>
      </c>
      <c r="C4634" s="5">
        <v>1524</v>
      </c>
      <c r="D4634" s="6">
        <v>24.3</v>
      </c>
      <c r="E4634" t="s">
        <v>12</v>
      </c>
    </row>
    <row r="4635" spans="1:5" x14ac:dyDescent="0.25">
      <c r="A4635" t="str">
        <f>HYPERLINK("https://www.773grp.com/globalSearch/SN74AS876DW/page-1", "SN74AS876DW")</f>
        <v>SN74AS876DW</v>
      </c>
      <c r="B4635" s="3" t="s">
        <v>90</v>
      </c>
      <c r="C4635" s="5">
        <v>7251</v>
      </c>
      <c r="D4635" s="6">
        <v>24.3</v>
      </c>
      <c r="E4635" t="s">
        <v>12</v>
      </c>
    </row>
    <row r="4636" spans="1:5" x14ac:dyDescent="0.25">
      <c r="A4636" t="str">
        <f>HYPERLINK("https://www.773grp.com/globalSearch/SN74FB2033ARC/page-1", "SN74FB2033ARC")</f>
        <v>SN74FB2033ARC</v>
      </c>
      <c r="B4636" s="3" t="s">
        <v>90</v>
      </c>
      <c r="C4636" s="5">
        <v>16817</v>
      </c>
      <c r="D4636" s="6">
        <v>24.3</v>
      </c>
      <c r="E4636" t="s">
        <v>12</v>
      </c>
    </row>
    <row r="4637" spans="1:5" x14ac:dyDescent="0.25">
      <c r="A4637" t="str">
        <f>HYPERLINK("https://www.773grp.com/globalSearch/SN74FB2033ARCR/page-1", "SN74FB2033ARCR")</f>
        <v>SN74FB2033ARCR</v>
      </c>
      <c r="B4637" s="3" t="s">
        <v>90</v>
      </c>
      <c r="C4637" s="5">
        <v>4500</v>
      </c>
      <c r="D4637" s="6">
        <v>24.3</v>
      </c>
      <c r="E4637" t="s">
        <v>12</v>
      </c>
    </row>
    <row r="4638" spans="1:5" x14ac:dyDescent="0.25">
      <c r="A4638" t="str">
        <f>HYPERLINK("https://www.773grp.com/globalSearch/JM38510-32203BFA/page-1", "JM38510-32203BFA")</f>
        <v>JM38510-32203BFA</v>
      </c>
      <c r="B4638" s="3" t="s">
        <v>90</v>
      </c>
      <c r="C4638" s="5">
        <v>59</v>
      </c>
      <c r="D4638" s="6">
        <v>24.34</v>
      </c>
      <c r="E4638" t="s">
        <v>12</v>
      </c>
    </row>
    <row r="4639" spans="1:5" x14ac:dyDescent="0.25">
      <c r="A4639" t="str">
        <f>HYPERLINK("https://www.773grp.com/globalSearch/CY29FCT818CTPC/page-1", "CY29FCT818CTPC")</f>
        <v>CY29FCT818CTPC</v>
      </c>
      <c r="B4639" s="3" t="s">
        <v>90</v>
      </c>
      <c r="C4639" s="5">
        <v>1480</v>
      </c>
      <c r="D4639" s="6">
        <v>24.39</v>
      </c>
      <c r="E4639" t="s">
        <v>12</v>
      </c>
    </row>
    <row r="4640" spans="1:5" x14ac:dyDescent="0.25">
      <c r="A4640" t="str">
        <f>HYPERLINK("https://www.773grp.com/globalSearch/SN74ABT18640DLR/page-1", "SN74ABT18640DLR")</f>
        <v>SN74ABT18640DLR</v>
      </c>
      <c r="B4640" s="3" t="s">
        <v>90</v>
      </c>
      <c r="C4640" s="5">
        <v>2000</v>
      </c>
      <c r="D4640" s="6">
        <v>24.5</v>
      </c>
      <c r="E4640" t="s">
        <v>12</v>
      </c>
    </row>
    <row r="4641" spans="1:5" x14ac:dyDescent="0.25">
      <c r="A4641" t="str">
        <f>HYPERLINK("https://www.773grp.com/globalSearch/8416101RA/page-1", "8416101RA")</f>
        <v>8416101RA</v>
      </c>
      <c r="B4641" s="3" t="s">
        <v>90</v>
      </c>
      <c r="C4641" s="5">
        <v>3095</v>
      </c>
      <c r="D4641" s="6">
        <v>24.53</v>
      </c>
      <c r="E4641" t="s">
        <v>12</v>
      </c>
    </row>
    <row r="4642" spans="1:5" x14ac:dyDescent="0.25">
      <c r="A4642" t="str">
        <f>HYPERLINK("https://www.773grp.com/globalSearch/7702002EA/page-1", "7702002EA")</f>
        <v>7702002EA</v>
      </c>
      <c r="B4642" s="3" t="s">
        <v>90</v>
      </c>
      <c r="C4642" s="5">
        <v>1230</v>
      </c>
      <c r="D4642" s="6">
        <v>24.55</v>
      </c>
      <c r="E4642" t="s">
        <v>12</v>
      </c>
    </row>
    <row r="4643" spans="1:5" x14ac:dyDescent="0.25">
      <c r="A4643" t="str">
        <f>HYPERLINK("https://www.773grp.com/globalSearch/CD4502BF3A/page-1", "CD4502BF3A")</f>
        <v>CD4502BF3A</v>
      </c>
      <c r="B4643" s="3" t="s">
        <v>90</v>
      </c>
      <c r="C4643" s="5">
        <v>135</v>
      </c>
      <c r="D4643" s="6">
        <v>24.55</v>
      </c>
      <c r="E4643" t="s">
        <v>12</v>
      </c>
    </row>
    <row r="4644" spans="1:5" x14ac:dyDescent="0.25">
      <c r="A4644" t="str">
        <f>HYPERLINK("https://www.773grp.com/globalSearch/SNJ54LS541J/page-1", "SNJ54LS541J")</f>
        <v>SNJ54LS541J</v>
      </c>
      <c r="B4644" s="3" t="s">
        <v>90</v>
      </c>
      <c r="C4644" s="5">
        <v>63</v>
      </c>
      <c r="D4644" s="6">
        <v>24.59</v>
      </c>
      <c r="E4644" t="s">
        <v>12</v>
      </c>
    </row>
    <row r="4645" spans="1:5" x14ac:dyDescent="0.25">
      <c r="A4645" t="str">
        <f>HYPERLINK("https://www.773grp.com/globalSearch/8415501RA/page-1", "8415501RA")</f>
        <v>8415501RA</v>
      </c>
      <c r="B4645" s="3" t="s">
        <v>90</v>
      </c>
      <c r="C4645" s="5">
        <v>160</v>
      </c>
      <c r="D4645" s="6">
        <v>24.64</v>
      </c>
      <c r="E4645" t="s">
        <v>12</v>
      </c>
    </row>
    <row r="4646" spans="1:5" x14ac:dyDescent="0.25">
      <c r="A4646" t="str">
        <f>HYPERLINK("https://www.773grp.com/globalSearch/SNJ54LS540J/page-1", "SNJ54LS540J")</f>
        <v>SNJ54LS540J</v>
      </c>
      <c r="B4646" s="3" t="s">
        <v>90</v>
      </c>
      <c r="C4646" s="5">
        <v>260</v>
      </c>
      <c r="D4646" s="6">
        <v>24.64</v>
      </c>
      <c r="E4646" t="s">
        <v>12</v>
      </c>
    </row>
    <row r="4647" spans="1:5" x14ac:dyDescent="0.25">
      <c r="A4647" t="str">
        <f>HYPERLINK("https://www.773grp.com/globalSearch/JM38510-16304BEA/page-1", "JM38510-16304BEA")</f>
        <v>JM38510-16304BEA</v>
      </c>
      <c r="B4647" s="3" t="s">
        <v>90</v>
      </c>
      <c r="C4647" s="5">
        <v>2</v>
      </c>
      <c r="D4647" s="6">
        <v>24.73</v>
      </c>
      <c r="E4647" t="s">
        <v>12</v>
      </c>
    </row>
    <row r="4648" spans="1:5" x14ac:dyDescent="0.25">
      <c r="A4648" t="str">
        <f>HYPERLINK("https://www.773grp.com/globalSearch/CD40109BF3A/page-1", "CD40109BF3A")</f>
        <v>CD40109BF3A</v>
      </c>
      <c r="B4648" s="3" t="s">
        <v>90</v>
      </c>
      <c r="C4648" s="5">
        <v>501</v>
      </c>
      <c r="D4648" s="6">
        <v>24.86</v>
      </c>
      <c r="E4648" t="s">
        <v>12</v>
      </c>
    </row>
    <row r="4649" spans="1:5" x14ac:dyDescent="0.25">
      <c r="A4649" t="str">
        <f>HYPERLINK("https://www.773grp.com/globalSearch/CD54AC240F3A/page-1", "CD54AC240F3A")</f>
        <v>CD54AC240F3A</v>
      </c>
      <c r="B4649" s="3" t="s">
        <v>90</v>
      </c>
      <c r="C4649" s="5">
        <v>6</v>
      </c>
      <c r="D4649" s="6">
        <v>25.23</v>
      </c>
      <c r="E4649" t="s">
        <v>12</v>
      </c>
    </row>
    <row r="4650" spans="1:5" x14ac:dyDescent="0.25">
      <c r="A4650" t="str">
        <f>HYPERLINK("https://www.773grp.com/globalSearch/SN74GTLPH16927KR/page-1", "SN74GTLPH16927KR")</f>
        <v>SN74GTLPH16927KR</v>
      </c>
      <c r="B4650" s="3" t="s">
        <v>90</v>
      </c>
      <c r="C4650" s="5">
        <v>3000</v>
      </c>
      <c r="D4650" s="6">
        <v>25.31</v>
      </c>
      <c r="E4650" t="s">
        <v>12</v>
      </c>
    </row>
    <row r="4651" spans="1:5" x14ac:dyDescent="0.25">
      <c r="A4651" t="str">
        <f>HYPERLINK("https://www.773grp.com/globalSearch/SN74ABT8543DL/page-1", "SN74ABT8543DL")</f>
        <v>SN74ABT8543DL</v>
      </c>
      <c r="B4651" s="3" t="s">
        <v>90</v>
      </c>
      <c r="C4651" s="5">
        <v>11524</v>
      </c>
      <c r="D4651" s="6">
        <v>25.51</v>
      </c>
      <c r="E4651" t="s">
        <v>12</v>
      </c>
    </row>
    <row r="4652" spans="1:5" x14ac:dyDescent="0.25">
      <c r="A4652" t="str">
        <f>HYPERLINK("https://www.773grp.com/globalSearch/SN74ABT8652DL/page-1", "SN74ABT8652DL")</f>
        <v>SN74ABT8652DL</v>
      </c>
      <c r="B4652" s="3" t="s">
        <v>90</v>
      </c>
      <c r="C4652" s="5">
        <v>7863</v>
      </c>
      <c r="D4652" s="6">
        <v>25.51</v>
      </c>
      <c r="E4652" t="s">
        <v>12</v>
      </c>
    </row>
    <row r="4653" spans="1:5" x14ac:dyDescent="0.25">
      <c r="A4653" t="str">
        <f>HYPERLINK("https://www.773grp.com/globalSearch/SN74ABT8952DL/page-1", "SN74ABT8952DL")</f>
        <v>SN74ABT8952DL</v>
      </c>
      <c r="B4653" s="3" t="s">
        <v>90</v>
      </c>
      <c r="C4653" s="5">
        <v>8693</v>
      </c>
      <c r="D4653" s="6">
        <v>25.51</v>
      </c>
      <c r="E4653" t="s">
        <v>12</v>
      </c>
    </row>
    <row r="4654" spans="1:5" x14ac:dyDescent="0.25">
      <c r="A4654" t="str">
        <f>HYPERLINK("https://www.773grp.com/globalSearch/SN74ALS996DWR/page-1", "SN74ALS996DWR")</f>
        <v>SN74ALS996DWR</v>
      </c>
      <c r="B4654" s="3" t="s">
        <v>90</v>
      </c>
      <c r="C4654" s="5">
        <v>1976</v>
      </c>
      <c r="D4654" s="6">
        <v>25.51</v>
      </c>
      <c r="E4654" t="s">
        <v>12</v>
      </c>
    </row>
    <row r="4655" spans="1:5" x14ac:dyDescent="0.25">
      <c r="A4655" t="str">
        <f>HYPERLINK("https://www.773grp.com/globalSearch/CD54ACT240F3A/page-1", "CD54ACT240F3A")</f>
        <v>CD54ACT240F3A</v>
      </c>
      <c r="B4655" s="3" t="s">
        <v>90</v>
      </c>
      <c r="C4655" s="5">
        <v>20</v>
      </c>
      <c r="D4655" s="6">
        <v>25.56</v>
      </c>
      <c r="E4655" t="s">
        <v>12</v>
      </c>
    </row>
    <row r="4656" spans="1:5" x14ac:dyDescent="0.25">
      <c r="A4656" t="str">
        <f>HYPERLINK("https://www.773grp.com/globalSearch/5962-9231402Q3A/page-1", "5962-9231402Q3A")</f>
        <v>5962-9231402Q3A</v>
      </c>
      <c r="B4656" s="3" t="s">
        <v>90</v>
      </c>
      <c r="C4656" s="5">
        <v>22</v>
      </c>
      <c r="D4656" s="6">
        <v>25.6</v>
      </c>
      <c r="E4656" t="s">
        <v>12</v>
      </c>
    </row>
    <row r="4657" spans="1:5" x14ac:dyDescent="0.25">
      <c r="A4657" t="str">
        <f>HYPERLINK("https://www.773grp.com/globalSearch/5962-8755602LA/page-1", "5962-8755602LA")</f>
        <v>5962-8755602LA</v>
      </c>
      <c r="B4657" s="3" t="s">
        <v>90</v>
      </c>
      <c r="C4657" s="5">
        <v>40</v>
      </c>
      <c r="D4657" s="6">
        <v>25.61</v>
      </c>
      <c r="E4657" t="s">
        <v>12</v>
      </c>
    </row>
    <row r="4658" spans="1:5" x14ac:dyDescent="0.25">
      <c r="A4658" t="str">
        <f>HYPERLINK("https://www.773grp.com/globalSearch/5962-9221303M2A/page-1", "5962-9221303M2A")</f>
        <v>5962-9221303M2A</v>
      </c>
      <c r="B4658" s="3" t="s">
        <v>90</v>
      </c>
      <c r="C4658" s="5">
        <v>112</v>
      </c>
      <c r="D4658" s="6">
        <v>25.79</v>
      </c>
      <c r="E4658" t="s">
        <v>12</v>
      </c>
    </row>
    <row r="4659" spans="1:5" x14ac:dyDescent="0.25">
      <c r="A4659" t="str">
        <f>HYPERLINK("https://www.773grp.com/globalSearch/SN74ALS654DW/page-1", "SN74ALS654DW")</f>
        <v>SN74ALS654DW</v>
      </c>
      <c r="B4659" s="3" t="s">
        <v>90</v>
      </c>
      <c r="C4659" s="5">
        <v>1960</v>
      </c>
      <c r="D4659" s="6">
        <v>25.9</v>
      </c>
      <c r="E4659" t="s">
        <v>12</v>
      </c>
    </row>
    <row r="4660" spans="1:5" x14ac:dyDescent="0.25">
      <c r="A4660" t="str">
        <f>HYPERLINK("https://www.773grp.com/globalSearch/SN74GTL16923DGGR/page-1", "SN74GTL16923DGGR")</f>
        <v>SN74GTL16923DGGR</v>
      </c>
      <c r="B4660" s="3" t="s">
        <v>90</v>
      </c>
      <c r="C4660" s="5">
        <v>10000</v>
      </c>
      <c r="D4660" s="6">
        <v>25.9</v>
      </c>
      <c r="E4660" t="s">
        <v>12</v>
      </c>
    </row>
    <row r="4661" spans="1:5" x14ac:dyDescent="0.25">
      <c r="A4661" t="str">
        <f>HYPERLINK("https://www.773grp.com/globalSearch/5962-9221403MRA/page-1", "5962-9221403MRA")</f>
        <v>5962-9221403MRA</v>
      </c>
      <c r="B4661" s="3" t="s">
        <v>90</v>
      </c>
      <c r="C4661" s="5">
        <v>1</v>
      </c>
      <c r="D4661" s="6">
        <v>25.94</v>
      </c>
      <c r="E4661" t="s">
        <v>12</v>
      </c>
    </row>
    <row r="4662" spans="1:5" x14ac:dyDescent="0.25">
      <c r="A4662" t="str">
        <f>HYPERLINK("https://www.773grp.com/globalSearch/5962-9214701MRA/page-1", "5962-9214701MRA")</f>
        <v>5962-9214701MRA</v>
      </c>
      <c r="B4662" s="3" t="s">
        <v>90</v>
      </c>
      <c r="C4662" s="5">
        <v>1505</v>
      </c>
      <c r="D4662" s="6">
        <v>25.95</v>
      </c>
      <c r="E4662" t="s">
        <v>12</v>
      </c>
    </row>
    <row r="4663" spans="1:5" x14ac:dyDescent="0.25">
      <c r="A4663" t="str">
        <f>HYPERLINK("https://www.773grp.com/globalSearch/5962-9221303MRA/page-1", "5962-9221303MRA")</f>
        <v>5962-9221303MRA</v>
      </c>
      <c r="B4663" s="3" t="s">
        <v>90</v>
      </c>
      <c r="C4663" s="5">
        <v>1211</v>
      </c>
      <c r="D4663" s="6">
        <v>25.95</v>
      </c>
      <c r="E4663" t="s">
        <v>12</v>
      </c>
    </row>
    <row r="4664" spans="1:5" x14ac:dyDescent="0.25">
      <c r="A4664" t="str">
        <f>HYPERLINK("https://www.773grp.com/globalSearch/CY54FCT240ATDMB/page-1", "CY54FCT240ATDMB")</f>
        <v>CY54FCT240ATDMB</v>
      </c>
      <c r="B4664" s="3" t="s">
        <v>90</v>
      </c>
      <c r="C4664" s="5">
        <v>1734</v>
      </c>
      <c r="D4664" s="6">
        <v>25.95</v>
      </c>
      <c r="E4664" t="s">
        <v>12</v>
      </c>
    </row>
    <row r="4665" spans="1:5" x14ac:dyDescent="0.25">
      <c r="A4665" t="str">
        <f>HYPERLINK("https://www.773grp.com/globalSearch/SNJ54ABT244J/page-1", "SNJ54ABT244J")</f>
        <v>SNJ54ABT244J</v>
      </c>
      <c r="B4665" s="3" t="s">
        <v>90</v>
      </c>
      <c r="C4665" s="5">
        <v>52</v>
      </c>
      <c r="D4665" s="6">
        <v>25.95</v>
      </c>
      <c r="E4665" t="s">
        <v>12</v>
      </c>
    </row>
    <row r="4666" spans="1:5" x14ac:dyDescent="0.25">
      <c r="A4666" t="str">
        <f>HYPERLINK("https://www.773grp.com/globalSearch/SNJ54LS374FK/page-1", "SNJ54LS374FK")</f>
        <v>SNJ54LS374FK</v>
      </c>
      <c r="B4666" s="3" t="s">
        <v>90</v>
      </c>
      <c r="C4666" s="5">
        <v>400</v>
      </c>
      <c r="D4666" s="6">
        <v>25.99</v>
      </c>
      <c r="E4666" t="s">
        <v>12</v>
      </c>
    </row>
    <row r="4667" spans="1:5" x14ac:dyDescent="0.25">
      <c r="A4667" t="str">
        <f>HYPERLINK("https://www.773grp.com/globalSearch/80021012A/page-1", "80021012A")</f>
        <v>80021012A</v>
      </c>
      <c r="B4667" s="3" t="s">
        <v>90</v>
      </c>
      <c r="C4667" s="5">
        <v>39</v>
      </c>
      <c r="D4667" s="6">
        <v>26.03</v>
      </c>
      <c r="E4667" t="s">
        <v>12</v>
      </c>
    </row>
    <row r="4668" spans="1:5" x14ac:dyDescent="0.25">
      <c r="A4668" t="str">
        <f>HYPERLINK("https://www.773grp.com/globalSearch/SN74ABT18245DL/page-1", "SN74ABT18245DL")</f>
        <v>SN74ABT18245DL</v>
      </c>
      <c r="B4668" s="3" t="s">
        <v>90</v>
      </c>
      <c r="C4668" s="5">
        <v>3</v>
      </c>
      <c r="D4668" s="6">
        <v>26.08</v>
      </c>
      <c r="E4668" t="s">
        <v>12</v>
      </c>
    </row>
    <row r="4669" spans="1:5" x14ac:dyDescent="0.25">
      <c r="A4669" t="str">
        <f>HYPERLINK("https://www.773grp.com/globalSearch/5962-8755201RA/page-1", "5962-8755201RA")</f>
        <v>5962-8755201RA</v>
      </c>
      <c r="B4669" s="3" t="s">
        <v>90</v>
      </c>
      <c r="C4669" s="5">
        <v>175</v>
      </c>
      <c r="D4669" s="6">
        <v>26.1</v>
      </c>
      <c r="E4669" t="s">
        <v>12</v>
      </c>
    </row>
    <row r="4670" spans="1:5" x14ac:dyDescent="0.25">
      <c r="A4670" t="str">
        <f>HYPERLINK("https://www.773grp.com/globalSearch/JM38510-32401BSA/page-1", "JM38510-32401BSA")</f>
        <v>JM38510-32401BSA</v>
      </c>
      <c r="B4670" s="3" t="s">
        <v>90</v>
      </c>
      <c r="C4670" s="5">
        <v>131</v>
      </c>
      <c r="D4670" s="6">
        <v>26.1</v>
      </c>
      <c r="E4670" t="s">
        <v>12</v>
      </c>
    </row>
    <row r="4671" spans="1:5" x14ac:dyDescent="0.25">
      <c r="A4671" t="str">
        <f>HYPERLINK("https://www.773grp.com/globalSearch/74ACT16657DLR/page-1", "74ACT16657DLR")</f>
        <v>74ACT16657DLR</v>
      </c>
      <c r="B4671" s="3" t="s">
        <v>90</v>
      </c>
      <c r="C4671" s="5">
        <v>12000</v>
      </c>
      <c r="D4671" s="6">
        <v>26.13</v>
      </c>
      <c r="E4671" t="s">
        <v>12</v>
      </c>
    </row>
    <row r="4672" spans="1:5" x14ac:dyDescent="0.25">
      <c r="A4672" t="str">
        <f>HYPERLINK("https://www.773grp.com/globalSearch/JM38510-33202B2A/page-1", "JM38510-33202B2A")</f>
        <v>JM38510-33202B2A</v>
      </c>
      <c r="B4672" s="3" t="s">
        <v>90</v>
      </c>
      <c r="C4672" s="5">
        <v>21</v>
      </c>
      <c r="D4672" s="6">
        <v>26.16</v>
      </c>
      <c r="E4672" t="s">
        <v>12</v>
      </c>
    </row>
    <row r="4673" spans="1:5" x14ac:dyDescent="0.25">
      <c r="A4673" t="str">
        <f>HYPERLINK("https://www.773grp.com/globalSearch/SN74ALS29854DWR/page-1", "SN74ALS29854DWR")</f>
        <v>SN74ALS29854DWR</v>
      </c>
      <c r="B4673" s="3" t="s">
        <v>90</v>
      </c>
      <c r="C4673" s="5">
        <v>3000</v>
      </c>
      <c r="D4673" s="6">
        <v>26.24</v>
      </c>
      <c r="E4673" t="s">
        <v>12</v>
      </c>
    </row>
    <row r="4674" spans="1:5" x14ac:dyDescent="0.25">
      <c r="A4674" t="str">
        <f>HYPERLINK("https://www.773grp.com/globalSearch/SN74ALS29854NT3/page-1", "SN74ALS29854NT3")</f>
        <v>SN74ALS29854NT3</v>
      </c>
      <c r="B4674" s="3" t="s">
        <v>90</v>
      </c>
      <c r="C4674" s="5">
        <v>2500</v>
      </c>
      <c r="D4674" s="6">
        <v>26.24</v>
      </c>
      <c r="E4674" t="s">
        <v>12</v>
      </c>
    </row>
    <row r="4675" spans="1:5" x14ac:dyDescent="0.25">
      <c r="A4675" t="str">
        <f>HYPERLINK("https://www.773grp.com/globalSearch/5962-8755001RA/page-1", "5962-8755001RA")</f>
        <v>5962-8755001RA</v>
      </c>
      <c r="B4675" s="3" t="s">
        <v>90</v>
      </c>
      <c r="C4675" s="5">
        <v>55</v>
      </c>
      <c r="D4675" s="6">
        <v>26.29</v>
      </c>
      <c r="E4675" t="s">
        <v>12</v>
      </c>
    </row>
    <row r="4676" spans="1:5" x14ac:dyDescent="0.25">
      <c r="A4676" t="str">
        <f>HYPERLINK("https://www.773grp.com/globalSearch/SN74GTL16622ADGGR/page-1", "SN74GTL16622ADGGR")</f>
        <v>SN74GTL16622ADGGR</v>
      </c>
      <c r="B4676" s="3" t="s">
        <v>90</v>
      </c>
      <c r="C4676" s="5">
        <v>5740</v>
      </c>
      <c r="D4676" s="6">
        <v>26.33</v>
      </c>
      <c r="E4676" t="s">
        <v>12</v>
      </c>
    </row>
    <row r="4677" spans="1:5" x14ac:dyDescent="0.25">
      <c r="A4677" t="str">
        <f>HYPERLINK("https://www.773grp.com/globalSearch/5962-9321801Q2A/page-1", "5962-9321801Q2A")</f>
        <v>5962-9321801Q2A</v>
      </c>
      <c r="B4677" s="3" t="s">
        <v>90</v>
      </c>
      <c r="C4677" s="5">
        <v>31</v>
      </c>
      <c r="D4677" s="6">
        <v>26.36</v>
      </c>
      <c r="E4677" t="s">
        <v>12</v>
      </c>
    </row>
    <row r="4678" spans="1:5" x14ac:dyDescent="0.25">
      <c r="A4678" t="str">
        <f>HYPERLINK("https://www.773grp.com/globalSearch/5962-9314901Q2A/page-1", "5962-9314901Q2A")</f>
        <v>5962-9314901Q2A</v>
      </c>
      <c r="B4678" s="3" t="s">
        <v>90</v>
      </c>
      <c r="C4678" s="5">
        <v>6</v>
      </c>
      <c r="D4678" s="6">
        <v>26.44</v>
      </c>
      <c r="E4678" t="s">
        <v>12</v>
      </c>
    </row>
    <row r="4679" spans="1:5" x14ac:dyDescent="0.25">
      <c r="A4679" t="str">
        <f>HYPERLINK("https://www.773grp.com/globalSearch/5962-9220302M2A/page-1", "5962-9220302M2A")</f>
        <v>5962-9220302M2A</v>
      </c>
      <c r="B4679" s="3" t="s">
        <v>90</v>
      </c>
      <c r="C4679" s="5">
        <v>92</v>
      </c>
      <c r="D4679" s="6">
        <v>26.5</v>
      </c>
      <c r="E4679" t="s">
        <v>12</v>
      </c>
    </row>
    <row r="4680" spans="1:5" x14ac:dyDescent="0.25">
      <c r="A4680" t="str">
        <f>HYPERLINK("https://www.773grp.com/globalSearch/5962-9221403M2A/page-1", "5962-9221403M2A")</f>
        <v>5962-9221403M2A</v>
      </c>
      <c r="B4680" s="3" t="s">
        <v>90</v>
      </c>
      <c r="C4680" s="5">
        <v>5</v>
      </c>
      <c r="D4680" s="6">
        <v>26.53</v>
      </c>
      <c r="E4680" t="s">
        <v>12</v>
      </c>
    </row>
    <row r="4681" spans="1:5" x14ac:dyDescent="0.25">
      <c r="A4681" t="str">
        <f>HYPERLINK("https://www.773grp.com/globalSearch/SNJ54AS823JT/page-1", "SNJ54AS823JT")</f>
        <v>SNJ54AS823JT</v>
      </c>
      <c r="B4681" s="3" t="s">
        <v>90</v>
      </c>
      <c r="C4681" s="5">
        <v>9</v>
      </c>
      <c r="D4681" s="6">
        <v>26.55</v>
      </c>
      <c r="E4681" t="s">
        <v>12</v>
      </c>
    </row>
    <row r="4682" spans="1:5" x14ac:dyDescent="0.25">
      <c r="A4682" t="str">
        <f>HYPERLINK("https://www.773grp.com/globalSearch/5962-9321901Q2A/page-1", "5962-9321901Q2A")</f>
        <v>5962-9321901Q2A</v>
      </c>
      <c r="B4682" s="3" t="s">
        <v>90</v>
      </c>
      <c r="C4682" s="5">
        <v>62</v>
      </c>
      <c r="D4682" s="6">
        <v>26.58</v>
      </c>
      <c r="E4682" t="s">
        <v>12</v>
      </c>
    </row>
    <row r="4683" spans="1:5" x14ac:dyDescent="0.25">
      <c r="A4683" t="str">
        <f>HYPERLINK("https://www.773grp.com/globalSearch/SNJ54ABT573FK/page-1", "SNJ54ABT573FK")</f>
        <v>SNJ54ABT573FK</v>
      </c>
      <c r="B4683" s="3" t="s">
        <v>90</v>
      </c>
      <c r="C4683" s="5">
        <v>52</v>
      </c>
      <c r="D4683" s="6">
        <v>26.58</v>
      </c>
      <c r="E4683" t="s">
        <v>12</v>
      </c>
    </row>
    <row r="4684" spans="1:5" x14ac:dyDescent="0.25">
      <c r="A4684" t="str">
        <f>HYPERLINK("https://www.773grp.com/globalSearch/SN74AS821ANT/page-1", "SN74AS821ANT")</f>
        <v>SN74AS821ANT</v>
      </c>
      <c r="B4684" s="3" t="s">
        <v>90</v>
      </c>
      <c r="C4684" s="5">
        <v>1986</v>
      </c>
      <c r="D4684" s="6">
        <v>26.8</v>
      </c>
      <c r="E4684" t="s">
        <v>12</v>
      </c>
    </row>
    <row r="4685" spans="1:5" x14ac:dyDescent="0.25">
      <c r="A4685" t="str">
        <f>HYPERLINK("https://www.773grp.com/globalSearch/SN74AS823ANT/page-1", "SN74AS823ANT")</f>
        <v>SN74AS823ANT</v>
      </c>
      <c r="B4685" s="3" t="s">
        <v>90</v>
      </c>
      <c r="C4685" s="5">
        <v>2420</v>
      </c>
      <c r="D4685" s="6">
        <v>26.8</v>
      </c>
      <c r="E4685" t="s">
        <v>12</v>
      </c>
    </row>
    <row r="4686" spans="1:5" x14ac:dyDescent="0.25">
      <c r="A4686" t="str">
        <f>HYPERLINK("https://www.773grp.com/globalSearch/SNJ54HCT541J/page-1", "SNJ54HCT541J")</f>
        <v>SNJ54HCT541J</v>
      </c>
      <c r="B4686" s="3" t="s">
        <v>90</v>
      </c>
      <c r="C4686" s="5">
        <v>661</v>
      </c>
      <c r="D4686" s="6">
        <v>27.14</v>
      </c>
      <c r="E4686" t="s">
        <v>12</v>
      </c>
    </row>
    <row r="4687" spans="1:5" x14ac:dyDescent="0.25">
      <c r="A4687" t="str">
        <f>HYPERLINK("https://www.773grp.com/globalSearch/SNJ54ALS574AJ/page-1", "SNJ54ALS574AJ")</f>
        <v>SNJ54ALS574AJ</v>
      </c>
      <c r="B4687" s="3" t="s">
        <v>90</v>
      </c>
      <c r="C4687" s="5">
        <v>2460</v>
      </c>
      <c r="D4687" s="6">
        <v>27.18</v>
      </c>
      <c r="E4687" t="s">
        <v>12</v>
      </c>
    </row>
    <row r="4688" spans="1:5" x14ac:dyDescent="0.25">
      <c r="A4688" t="str">
        <f>HYPERLINK("https://www.773grp.com/globalSearch/CD54HCT541F3A/page-1", "CD54HCT541F3A")</f>
        <v>CD54HCT541F3A</v>
      </c>
      <c r="B4688" s="3" t="s">
        <v>90</v>
      </c>
      <c r="C4688" s="5">
        <v>75</v>
      </c>
      <c r="D4688" s="6">
        <v>27.3</v>
      </c>
      <c r="E4688" t="s">
        <v>12</v>
      </c>
    </row>
    <row r="4689" spans="1:5" x14ac:dyDescent="0.25">
      <c r="A4689" t="str">
        <f>HYPERLINK("https://www.773grp.com/globalSearch/SN74ABTE16246DL/page-1", "SN74ABTE16246DL")</f>
        <v>SN74ABTE16246DL</v>
      </c>
      <c r="B4689" s="3" t="s">
        <v>90</v>
      </c>
      <c r="C4689" s="5">
        <v>11612</v>
      </c>
      <c r="D4689" s="6">
        <v>27.3</v>
      </c>
      <c r="E4689" t="s">
        <v>12</v>
      </c>
    </row>
    <row r="4690" spans="1:5" x14ac:dyDescent="0.25">
      <c r="A4690" t="str">
        <f>HYPERLINK("https://www.773grp.com/globalSearch/SN74ABTE16246DLG4/page-1", "SN74ABTE16246DLG4")</f>
        <v>SN74ABTE16246DLG4</v>
      </c>
      <c r="B4690" s="3" t="s">
        <v>90</v>
      </c>
      <c r="C4690" s="5">
        <v>175</v>
      </c>
      <c r="D4690" s="6">
        <v>27.3</v>
      </c>
      <c r="E4690" t="s">
        <v>12</v>
      </c>
    </row>
    <row r="4691" spans="1:5" x14ac:dyDescent="0.25">
      <c r="A4691" t="str">
        <f>HYPERLINK("https://www.773grp.com/globalSearch/SN74AS876NT/page-1", "SN74AS876NT")</f>
        <v>SN74AS876NT</v>
      </c>
      <c r="B4691" s="3" t="s">
        <v>90</v>
      </c>
      <c r="C4691" s="5">
        <v>5693</v>
      </c>
      <c r="D4691" s="6">
        <v>27.3</v>
      </c>
      <c r="E4691" t="s">
        <v>12</v>
      </c>
    </row>
    <row r="4692" spans="1:5" x14ac:dyDescent="0.25">
      <c r="A4692" t="str">
        <f>HYPERLINK("https://www.773grp.com/globalSearch/SN74FB2031RCRG3/page-1", "SN74FB2031RCRG3")</f>
        <v>SN74FB2031RCRG3</v>
      </c>
      <c r="B4692" s="3" t="str">
        <f>HYPERLINK("https://www.773grp.com/manufacturer/texas-instruments?pageNo=1", "Texas Instruments")</f>
        <v>Texas Instruments</v>
      </c>
      <c r="C4692" s="5">
        <v>1440</v>
      </c>
      <c r="D4692" s="6">
        <v>27.3</v>
      </c>
      <c r="E4692" t="s">
        <v>12</v>
      </c>
    </row>
    <row r="4693" spans="1:5" x14ac:dyDescent="0.25">
      <c r="A4693" t="str">
        <f>HYPERLINK("https://www.773grp.com/globalSearch/SN74LVT16646DL/page-1", "SN74LVT16646DL")</f>
        <v>SN74LVT16646DL</v>
      </c>
      <c r="B4693" s="3" t="str">
        <f>HYPERLINK("https://www.773grp.com/manufacturer/texas-instruments?pageNo=2", "Texas Instruments")</f>
        <v>Texas Instruments</v>
      </c>
      <c r="C4693" s="5">
        <v>5937</v>
      </c>
      <c r="D4693" s="6">
        <v>27.3</v>
      </c>
      <c r="E4693" t="s">
        <v>12</v>
      </c>
    </row>
    <row r="4694" spans="1:5" x14ac:dyDescent="0.25">
      <c r="A4694" t="str">
        <f>HYPERLINK("https://www.773grp.com/globalSearch/SN74ALS29854DW/page-1", "SN74ALS29854DW")</f>
        <v>SN74ALS29854DW</v>
      </c>
      <c r="B4694" s="3" t="str">
        <f>HYPERLINK("https://www.773grp.com/manufacturer/texas-instruments?pageNo=34", "Texas Instruments")</f>
        <v>Texas Instruments</v>
      </c>
      <c r="C4694" s="5">
        <v>1575</v>
      </c>
      <c r="D4694" s="6">
        <v>27.56</v>
      </c>
      <c r="E4694" t="s">
        <v>12</v>
      </c>
    </row>
    <row r="4695" spans="1:5" x14ac:dyDescent="0.25">
      <c r="A4695" t="str">
        <f>HYPERLINK("https://www.773grp.com/globalSearch/SN74ALS29854NT/page-1", "SN74ALS29854NT")</f>
        <v>SN74ALS29854NT</v>
      </c>
      <c r="B4695" s="3" t="str">
        <f>HYPERLINK("https://www.773grp.com/manufacturer/texas-instruments?pageNo=35", "Texas Instruments")</f>
        <v>Texas Instruments</v>
      </c>
      <c r="C4695" s="5">
        <v>7330</v>
      </c>
      <c r="D4695" s="6">
        <v>27.56</v>
      </c>
      <c r="E4695" t="s">
        <v>12</v>
      </c>
    </row>
    <row r="4696" spans="1:5" x14ac:dyDescent="0.25">
      <c r="A4696" t="str">
        <f>HYPERLINK("https://www.773grp.com/globalSearch/SN54ALS374AJ/page-1", "SN54ALS374AJ")</f>
        <v>SN54ALS374AJ</v>
      </c>
      <c r="B4696" s="3" t="str">
        <f>HYPERLINK("https://www.773grp.com/manufacturer/texas-instruments?pageNo=45", "Texas Instruments")</f>
        <v>Texas Instruments</v>
      </c>
      <c r="C4696" s="5">
        <v>26</v>
      </c>
      <c r="D4696" s="6">
        <v>27.68</v>
      </c>
      <c r="E4696" t="s">
        <v>12</v>
      </c>
    </row>
    <row r="4697" spans="1:5" x14ac:dyDescent="0.25">
      <c r="A4697" t="str">
        <f>HYPERLINK("https://www.773grp.com/globalSearch/SN54LS240W/page-1", "SN54LS240W")</f>
        <v>SN54LS240W</v>
      </c>
      <c r="B4697" s="3" t="str">
        <f>HYPERLINK("https://www.773grp.com/manufacturer/texas-instruments?pageNo=48", "Texas Instruments")</f>
        <v>Texas Instruments</v>
      </c>
      <c r="C4697" s="5">
        <v>1</v>
      </c>
      <c r="D4697" s="6">
        <v>27.71</v>
      </c>
      <c r="E4697" t="s">
        <v>12</v>
      </c>
    </row>
    <row r="4698" spans="1:5" x14ac:dyDescent="0.25">
      <c r="A4698" t="str">
        <f>HYPERLINK("https://www.773grp.com/globalSearch/CD54HC573F3A/page-1", "CD54HC573F3A")</f>
        <v>CD54HC573F3A</v>
      </c>
      <c r="B4698" s="3" t="str">
        <f>HYPERLINK("https://www.773grp.com/manufacturer/texas-instruments?pageNo=54", "Texas Instruments")</f>
        <v>Texas Instruments</v>
      </c>
      <c r="C4698" s="5">
        <v>42</v>
      </c>
      <c r="D4698" s="6">
        <v>27.73</v>
      </c>
      <c r="E4698" t="s">
        <v>12</v>
      </c>
    </row>
    <row r="4699" spans="1:5" x14ac:dyDescent="0.25">
      <c r="A4699" t="str">
        <f>HYPERLINK("https://www.773grp.com/globalSearch/SN74ALS992DW/page-1", "SN74ALS992DW")</f>
        <v>SN74ALS992DW</v>
      </c>
      <c r="B4699" s="3" t="str">
        <f>HYPERLINK("https://www.773grp.com/manufacturer/texas-instruments?pageNo=56", "Texas Instruments")</f>
        <v>Texas Instruments</v>
      </c>
      <c r="C4699" s="5">
        <v>7714</v>
      </c>
      <c r="D4699" s="6">
        <v>27.73</v>
      </c>
      <c r="E4699" t="s">
        <v>12</v>
      </c>
    </row>
    <row r="4700" spans="1:5" x14ac:dyDescent="0.25">
      <c r="A4700" t="str">
        <f>HYPERLINK("https://www.773grp.com/globalSearch/SNJ54ALS374FK/page-1", "SNJ54ALS374FK")</f>
        <v>SNJ54ALS374FK</v>
      </c>
      <c r="B4700" s="3" t="str">
        <f>HYPERLINK("https://www.773grp.com/manufacturer/texas-instruments?pageNo=57", "Texas Instruments")</f>
        <v>Texas Instruments</v>
      </c>
      <c r="C4700" s="5">
        <v>27</v>
      </c>
      <c r="D4700" s="6">
        <v>27.73</v>
      </c>
      <c r="E4700" t="s">
        <v>12</v>
      </c>
    </row>
    <row r="4701" spans="1:5" x14ac:dyDescent="0.25">
      <c r="A4701" t="str">
        <f>HYPERLINK("https://www.773grp.com/globalSearch/5962-9222301M3A/page-1", "5962-9222301M3A")</f>
        <v>5962-9222301M3A</v>
      </c>
      <c r="B4701" s="3" t="str">
        <f>HYPERLINK("https://www.773grp.com/manufacturer/texas-instruments?pageNo=62", "Texas Instruments")</f>
        <v>Texas Instruments</v>
      </c>
      <c r="C4701" s="5">
        <v>45</v>
      </c>
      <c r="D4701" s="6">
        <v>27.76</v>
      </c>
      <c r="E4701" t="s">
        <v>12</v>
      </c>
    </row>
    <row r="4702" spans="1:5" x14ac:dyDescent="0.25">
      <c r="A4702" t="str">
        <f>HYPERLINK("https://www.773grp.com/globalSearch/SN74ALVCHR162409DL/page-1", "SN74ALVCHR162409DL")</f>
        <v>SN74ALVCHR162409DL</v>
      </c>
      <c r="B4702" s="3" t="str">
        <f>HYPERLINK("https://www.773grp.com/manufacturer/texas-instruments?pageNo=63", "Texas Instruments")</f>
        <v>Texas Instruments</v>
      </c>
      <c r="C4702" s="5">
        <v>2331</v>
      </c>
      <c r="D4702" s="6">
        <v>27.76</v>
      </c>
      <c r="E4702" t="s">
        <v>12</v>
      </c>
    </row>
    <row r="4703" spans="1:5" x14ac:dyDescent="0.25">
      <c r="A4703" t="str">
        <f>HYPERLINK("https://www.773grp.com/globalSearch/SN74AS652FN/page-1", "SN74AS652FN")</f>
        <v>SN74AS652FN</v>
      </c>
      <c r="B4703" s="3" t="str">
        <f>HYPERLINK("https://www.773grp.com/manufacturer/texas-instruments?pageNo=71", "Texas Instruments")</f>
        <v>Texas Instruments</v>
      </c>
      <c r="C4703" s="5">
        <v>1520</v>
      </c>
      <c r="D4703" s="6">
        <v>27.79</v>
      </c>
      <c r="E4703" t="s">
        <v>12</v>
      </c>
    </row>
    <row r="4704" spans="1:5" x14ac:dyDescent="0.25">
      <c r="A4704" t="str">
        <f>HYPERLINK("https://www.773grp.com/globalSearch/SN74LS444N/page-1", "SN74LS444N")</f>
        <v>SN74LS444N</v>
      </c>
      <c r="B4704" s="3" t="str">
        <f>HYPERLINK("https://www.773grp.com/manufacturer/texas-instruments?pageNo=83", "Texas Instruments")</f>
        <v>Texas Instruments</v>
      </c>
      <c r="C4704" s="5">
        <v>2460</v>
      </c>
      <c r="D4704" s="6">
        <v>27.85</v>
      </c>
      <c r="E4704" t="s">
        <v>12</v>
      </c>
    </row>
    <row r="4705" spans="1:5" x14ac:dyDescent="0.25">
      <c r="A4705" t="str">
        <f>HYPERLINK("https://www.773grp.com/globalSearch/5962-9214802Q2A/page-1", "5962-9214802Q2A")</f>
        <v>5962-9214802Q2A</v>
      </c>
      <c r="B4705" s="3" t="str">
        <f>HYPERLINK("https://www.773grp.com/manufacturer/texas-instruments?pageNo=86", "Texas Instruments")</f>
        <v>Texas Instruments</v>
      </c>
      <c r="C4705" s="5">
        <v>617</v>
      </c>
      <c r="D4705" s="6">
        <v>27.88</v>
      </c>
      <c r="E4705" t="s">
        <v>12</v>
      </c>
    </row>
    <row r="4706" spans="1:5" x14ac:dyDescent="0.25">
      <c r="A4706" t="str">
        <f>HYPERLINK("https://www.773grp.com/globalSearch/CD54ACT245F3A/page-1", "CD54ACT245F3A")</f>
        <v>CD54ACT245F3A</v>
      </c>
      <c r="B4706" s="3" t="str">
        <f>HYPERLINK("https://www.773grp.com/manufacturer/texas-instruments?pageNo=105", "Texas Instruments")</f>
        <v>Texas Instruments</v>
      </c>
      <c r="C4706" s="5">
        <v>2115</v>
      </c>
      <c r="D4706" s="6">
        <v>27.98</v>
      </c>
      <c r="E4706" t="s">
        <v>12</v>
      </c>
    </row>
    <row r="4707" spans="1:5" x14ac:dyDescent="0.25">
      <c r="A4707" t="str">
        <f>HYPERLINK("https://www.773grp.com/globalSearch/SN74ALS992FN/page-1", "SN74ALS992FN")</f>
        <v>SN74ALS992FN</v>
      </c>
      <c r="B4707" s="3" t="str">
        <f>HYPERLINK("https://www.773grp.com/manufacturer/texas-instruments?pageNo=128", "Texas Instruments")</f>
        <v>Texas Instruments</v>
      </c>
      <c r="C4707" s="5">
        <v>156</v>
      </c>
      <c r="D4707" s="6">
        <v>28.1</v>
      </c>
      <c r="E4707" t="s">
        <v>12</v>
      </c>
    </row>
    <row r="4708" spans="1:5" x14ac:dyDescent="0.25">
      <c r="A4708" t="str">
        <f>HYPERLINK("https://www.773grp.com/globalSearch/5962-9214701MSA/page-1", "5962-9214701MSA")</f>
        <v>5962-9214701MSA</v>
      </c>
      <c r="B4708" s="3" t="str">
        <f>HYPERLINK("https://www.773grp.com/manufacturer/texas-instruments?pageNo=178", "Texas Instruments")</f>
        <v>Texas Instruments</v>
      </c>
      <c r="C4708" s="5">
        <v>41</v>
      </c>
      <c r="D4708" s="6">
        <v>28.15</v>
      </c>
      <c r="E4708" t="s">
        <v>12</v>
      </c>
    </row>
    <row r="4709" spans="1:5" x14ac:dyDescent="0.25">
      <c r="A4709" t="str">
        <f>HYPERLINK("https://www.773grp.com/globalSearch/5962-9214802QSA/page-1", "5962-9214802QSA")</f>
        <v>5962-9214802QSA</v>
      </c>
      <c r="B4709" s="3" t="str">
        <f>HYPERLINK("https://www.773grp.com/manufacturer/texas-instruments?pageNo=180", "Texas Instruments")</f>
        <v>Texas Instruments</v>
      </c>
      <c r="C4709" s="5">
        <v>238</v>
      </c>
      <c r="D4709" s="6">
        <v>28.19</v>
      </c>
      <c r="E4709" t="s">
        <v>12</v>
      </c>
    </row>
    <row r="4710" spans="1:5" x14ac:dyDescent="0.25">
      <c r="A4710" t="str">
        <f>HYPERLINK("https://www.773grp.com/globalSearch/5962-9471801Q2A/page-1", "5962-9471801Q2A")</f>
        <v>5962-9471801Q2A</v>
      </c>
      <c r="B4710" s="3" t="str">
        <f>HYPERLINK("https://www.773grp.com/manufacturer/texas-instruments?pageNo=183", "Texas Instruments")</f>
        <v>Texas Instruments</v>
      </c>
      <c r="C4710" s="5">
        <v>43</v>
      </c>
      <c r="D4710" s="6">
        <v>28.21</v>
      </c>
      <c r="E4710" t="s">
        <v>12</v>
      </c>
    </row>
    <row r="4711" spans="1:5" x14ac:dyDescent="0.25">
      <c r="A4711" t="str">
        <f>HYPERLINK("https://www.773grp.com/globalSearch/CD54ACT373F3A/page-1", "CD54ACT373F3A")</f>
        <v>CD54ACT373F3A</v>
      </c>
      <c r="B4711" s="3" t="str">
        <f>HYPERLINK("https://www.773grp.com/manufacturer/texas-instruments?pageNo=184", "Texas Instruments")</f>
        <v>Texas Instruments</v>
      </c>
      <c r="C4711" s="5">
        <v>53</v>
      </c>
      <c r="D4711" s="6">
        <v>28.21</v>
      </c>
      <c r="E4711" t="s">
        <v>12</v>
      </c>
    </row>
    <row r="4712" spans="1:5" x14ac:dyDescent="0.25">
      <c r="A4712" t="str">
        <f>HYPERLINK("https://www.773grp.com/globalSearch/SN74GTLPH3245GKFR/page-1", "SN74GTLPH3245GKFR")</f>
        <v>SN74GTLPH3245GKFR</v>
      </c>
      <c r="B4712" s="3" t="str">
        <f>HYPERLINK("https://www.773grp.com/manufacturer/texas-instruments?pageNo=187", "Texas Instruments")</f>
        <v>Texas Instruments</v>
      </c>
      <c r="C4712" s="5">
        <v>3845</v>
      </c>
      <c r="D4712" s="6">
        <v>28.24</v>
      </c>
      <c r="E4712" t="s">
        <v>12</v>
      </c>
    </row>
    <row r="4713" spans="1:5" x14ac:dyDescent="0.25">
      <c r="A4713" t="str">
        <f>HYPERLINK("https://www.773grp.com/globalSearch/SNJ54LVT244J/page-1", "SNJ54LVT244J")</f>
        <v>SNJ54LVT244J</v>
      </c>
      <c r="B4713" s="3" t="str">
        <f>HYPERLINK("https://www.773grp.com/manufacturer/texas-instruments?pageNo=202", "Texas Instruments")</f>
        <v>Texas Instruments</v>
      </c>
      <c r="C4713" s="5">
        <v>94</v>
      </c>
      <c r="D4713" s="6">
        <v>28.3</v>
      </c>
      <c r="E4713" t="s">
        <v>12</v>
      </c>
    </row>
    <row r="4714" spans="1:5" x14ac:dyDescent="0.25">
      <c r="A4714" t="str">
        <f>HYPERLINK("https://www.773grp.com/globalSearch/SN74ABT162460DL/page-1", "SN74ABT162460DL")</f>
        <v>SN74ABT162460DL</v>
      </c>
      <c r="B4714" s="3" t="str">
        <f>HYPERLINK("https://www.773grp.com/manufacturer/texas-instruments?pageNo=224", "Texas Instruments")</f>
        <v>Texas Instruments</v>
      </c>
      <c r="C4714" s="5">
        <v>731</v>
      </c>
      <c r="D4714" s="6">
        <v>28.44</v>
      </c>
      <c r="E4714" t="s">
        <v>12</v>
      </c>
    </row>
    <row r="4715" spans="1:5" x14ac:dyDescent="0.25">
      <c r="A4715" t="str">
        <f>HYPERLINK("https://www.773grp.com/globalSearch/SN74ALS996-1NT/page-1", "SN74ALS996-1NT")</f>
        <v>SN74ALS996-1NT</v>
      </c>
      <c r="B4715" s="3" t="str">
        <f>HYPERLINK("https://www.773grp.com/manufacturer/texas-instruments?pageNo=229", "Texas Instruments")</f>
        <v>Texas Instruments</v>
      </c>
      <c r="C4715" s="5">
        <v>31257</v>
      </c>
      <c r="D4715" s="6">
        <v>28.53</v>
      </c>
      <c r="E4715" t="s">
        <v>12</v>
      </c>
    </row>
    <row r="4716" spans="1:5" x14ac:dyDescent="0.25">
      <c r="A4716" t="str">
        <f>HYPERLINK("https://www.773grp.com/globalSearch/SN74ALS996NT/page-1", "SN74ALS996NT")</f>
        <v>SN74ALS996NT</v>
      </c>
      <c r="B4716" s="3" t="str">
        <f>HYPERLINK("https://www.773grp.com/manufacturer/texas-instruments?pageNo=230", "Texas Instruments")</f>
        <v>Texas Instruments</v>
      </c>
      <c r="C4716" s="5">
        <v>1704</v>
      </c>
      <c r="D4716" s="6">
        <v>28.53</v>
      </c>
      <c r="E4716" t="s">
        <v>12</v>
      </c>
    </row>
    <row r="4717" spans="1:5" x14ac:dyDescent="0.25">
      <c r="A4717" t="str">
        <f>HYPERLINK("https://www.773grp.com/globalSearch/SN74ALS996NTE4/page-1", "SN74ALS996NTE4")</f>
        <v>SN74ALS996NTE4</v>
      </c>
      <c r="B4717" s="3" t="str">
        <f>HYPERLINK("https://www.773grp.com/manufacturer/texas-instruments?pageNo=231", "Texas Instruments")</f>
        <v>Texas Instruments</v>
      </c>
      <c r="C4717" s="5">
        <v>215</v>
      </c>
      <c r="D4717" s="6">
        <v>28.53</v>
      </c>
      <c r="E4717" t="s">
        <v>12</v>
      </c>
    </row>
    <row r="4718" spans="1:5" x14ac:dyDescent="0.25">
      <c r="A4718" t="str">
        <f>HYPERLINK("https://www.773grp.com/globalSearch/SN74FB2031RCR/page-1", "SN74FB2031RCR")</f>
        <v>SN74FB2031RCR</v>
      </c>
      <c r="B4718" s="3" t="str">
        <f>HYPERLINK("https://www.773grp.com/manufacturer/texas-instruments?pageNo=232", "Texas Instruments")</f>
        <v>Texas Instruments</v>
      </c>
      <c r="C4718" s="5">
        <v>14500</v>
      </c>
      <c r="D4718" s="6">
        <v>28.53</v>
      </c>
      <c r="E4718" t="s">
        <v>12</v>
      </c>
    </row>
    <row r="4719" spans="1:5" x14ac:dyDescent="0.25">
      <c r="A4719" t="str">
        <f>HYPERLINK("https://www.773grp.com/globalSearch/SN54ALS574BJ/page-1", "SN54ALS574BJ")</f>
        <v>SN54ALS574BJ</v>
      </c>
      <c r="B4719" s="3" t="str">
        <f>HYPERLINK("https://www.773grp.com/manufacturer/texas-instruments?pageNo=238", "Texas Instruments")</f>
        <v>Texas Instruments</v>
      </c>
      <c r="C4719" s="5">
        <v>72</v>
      </c>
      <c r="D4719" s="6">
        <v>28.55</v>
      </c>
      <c r="E4719" t="s">
        <v>12</v>
      </c>
    </row>
    <row r="4720" spans="1:5" x14ac:dyDescent="0.25">
      <c r="A4720" t="str">
        <f>HYPERLINK("https://www.773grp.com/globalSearch/5962-8984701RA/page-1", "5962-8984701RA")</f>
        <v>5962-8984701RA</v>
      </c>
      <c r="B4720" s="3" t="str">
        <f>HYPERLINK("https://www.773grp.com/manufacturer/texas-instruments?pageNo=241", "Texas Instruments")</f>
        <v>Texas Instruments</v>
      </c>
      <c r="C4720" s="5">
        <v>48</v>
      </c>
      <c r="D4720" s="6">
        <v>28.58</v>
      </c>
      <c r="E4720" t="s">
        <v>12</v>
      </c>
    </row>
    <row r="4721" spans="1:5" x14ac:dyDescent="0.25">
      <c r="A4721" t="str">
        <f>HYPERLINK("https://www.773grp.com/globalSearch/CD54ACT374F3A/page-1", "CD54ACT374F3A")</f>
        <v>CD54ACT374F3A</v>
      </c>
      <c r="B4721" s="3" t="str">
        <f>HYPERLINK("https://www.773grp.com/manufacturer/texas-instruments?pageNo=243", "Texas Instruments")</f>
        <v>Texas Instruments</v>
      </c>
      <c r="C4721" s="5">
        <v>85</v>
      </c>
      <c r="D4721" s="6">
        <v>28.6</v>
      </c>
      <c r="E4721" t="s">
        <v>12</v>
      </c>
    </row>
    <row r="4722" spans="1:5" x14ac:dyDescent="0.25">
      <c r="A4722" t="str">
        <f>HYPERLINK("https://www.773grp.com/globalSearch/JM38510-32202BFA/page-1", "JM38510-32202BFA")</f>
        <v>JM38510-32202BFA</v>
      </c>
      <c r="B4722" s="3" t="str">
        <f>HYPERLINK("https://www.773grp.com/manufacturer/texas-instruments?pageNo=261", "Texas Instruments")</f>
        <v>Texas Instruments</v>
      </c>
      <c r="C4722" s="5">
        <v>1210</v>
      </c>
      <c r="D4722" s="6">
        <v>28.83</v>
      </c>
      <c r="E4722" t="s">
        <v>12</v>
      </c>
    </row>
    <row r="4723" spans="1:5" x14ac:dyDescent="0.25">
      <c r="A4723" t="str">
        <f>HYPERLINK("https://www.773grp.com/globalSearch/5962-9318801MSA/page-1", "5962-9318801MSA")</f>
        <v>5962-9318801MSA</v>
      </c>
      <c r="B4723" s="3" t="str">
        <f>HYPERLINK("https://www.773grp.com/manufacturer/texas-instruments?pageNo=271", "Texas Instruments")</f>
        <v>Texas Instruments</v>
      </c>
      <c r="C4723" s="5">
        <v>28</v>
      </c>
      <c r="D4723" s="6">
        <v>28.91</v>
      </c>
      <c r="E4723" t="s">
        <v>12</v>
      </c>
    </row>
    <row r="4724" spans="1:5" x14ac:dyDescent="0.25">
      <c r="A4724" t="str">
        <f>HYPERLINK("https://www.773grp.com/globalSearch/CD54HC574F3A/page-1", "CD54HC574F3A")</f>
        <v>CD54HC574F3A</v>
      </c>
      <c r="B4724" s="3" t="str">
        <f>HYPERLINK("https://www.773grp.com/manufacturer/texas-instruments?pageNo=272", "Texas Instruments")</f>
        <v>Texas Instruments</v>
      </c>
      <c r="C4724" s="5">
        <v>35</v>
      </c>
      <c r="D4724" s="6">
        <v>28.91</v>
      </c>
      <c r="E4724" t="s">
        <v>12</v>
      </c>
    </row>
    <row r="4725" spans="1:5" x14ac:dyDescent="0.25">
      <c r="A4725" t="str">
        <f>HYPERLINK("https://www.773grp.com/globalSearch/SNJ54ABT240W/page-1", "SNJ54ABT240W")</f>
        <v>SNJ54ABT240W</v>
      </c>
      <c r="B4725" s="3" t="str">
        <f>HYPERLINK("https://www.773grp.com/manufacturer/texas-instruments?pageNo=273", "Texas Instruments")</f>
        <v>Texas Instruments</v>
      </c>
      <c r="C4725" s="5">
        <v>138</v>
      </c>
      <c r="D4725" s="6">
        <v>28.91</v>
      </c>
      <c r="E4725" t="s">
        <v>12</v>
      </c>
    </row>
    <row r="4726" spans="1:5" x14ac:dyDescent="0.25">
      <c r="A4726" t="str">
        <f>HYPERLINK("https://www.773grp.com/globalSearch/CD54HC541F3A/page-1", "CD54HC541F3A")</f>
        <v>CD54HC541F3A</v>
      </c>
      <c r="B4726" s="3" t="str">
        <f>HYPERLINK("https://www.773grp.com/manufacturer/texas-instruments?pageNo=275", "Texas Instruments")</f>
        <v>Texas Instruments</v>
      </c>
      <c r="C4726" s="5">
        <v>124</v>
      </c>
      <c r="D4726" s="6">
        <v>28.94</v>
      </c>
      <c r="E4726" t="s">
        <v>12</v>
      </c>
    </row>
    <row r="4727" spans="1:5" x14ac:dyDescent="0.25">
      <c r="A4727" t="str">
        <f>HYPERLINK("https://www.773grp.com/globalSearch/CD54AC374F3A/page-1", "CD54AC374F3A")</f>
        <v>CD54AC374F3A</v>
      </c>
      <c r="B4727" s="3" t="str">
        <f>HYPERLINK("https://www.773grp.com/manufacturer/texas-instruments?pageNo=280", "Texas Instruments")</f>
        <v>Texas Instruments</v>
      </c>
      <c r="C4727" s="5">
        <v>16</v>
      </c>
      <c r="D4727" s="6">
        <v>28.98</v>
      </c>
      <c r="E4727" t="s">
        <v>12</v>
      </c>
    </row>
    <row r="4728" spans="1:5" x14ac:dyDescent="0.25">
      <c r="A4728" t="str">
        <f>HYPERLINK("https://www.773grp.com/globalSearch/CD54ACT533F3A/page-1", "CD54ACT533F3A")</f>
        <v>CD54ACT533F3A</v>
      </c>
      <c r="B4728" s="3" t="str">
        <f>HYPERLINK("https://www.773grp.com/manufacturer/texas-instruments?pageNo=281", "Texas Instruments")</f>
        <v>Texas Instruments</v>
      </c>
      <c r="C4728" s="5">
        <v>189</v>
      </c>
      <c r="D4728" s="6">
        <v>28.98</v>
      </c>
      <c r="E4728" t="s">
        <v>12</v>
      </c>
    </row>
    <row r="4729" spans="1:5" x14ac:dyDescent="0.25">
      <c r="A4729" t="str">
        <f>HYPERLINK("https://www.773grp.com/globalSearch/5962-9223802M2A/page-1", "5962-9223802M2A")</f>
        <v>5962-9223802M2A</v>
      </c>
      <c r="B4729" s="3" t="str">
        <f>HYPERLINK("https://www.773grp.com/manufacturer/texas-instruments?pageNo=294", "Texas Instruments")</f>
        <v>Texas Instruments</v>
      </c>
      <c r="C4729" s="5">
        <v>40</v>
      </c>
      <c r="D4729" s="6">
        <v>29.03</v>
      </c>
      <c r="E4729" t="s">
        <v>12</v>
      </c>
    </row>
    <row r="4730" spans="1:5" x14ac:dyDescent="0.25">
      <c r="A4730" t="str">
        <f>HYPERLINK("https://www.773grp.com/globalSearch/5962-9754901Q3A/page-1", "5962-9754901Q3A")</f>
        <v>5962-9754901Q3A</v>
      </c>
      <c r="B4730" s="3" t="str">
        <f>HYPERLINK("https://www.773grp.com/manufacturer/texas-instruments?pageNo=310", "Texas Instruments")</f>
        <v>Texas Instruments</v>
      </c>
      <c r="C4730" s="5">
        <v>109</v>
      </c>
      <c r="D4730" s="6">
        <v>29.16</v>
      </c>
      <c r="E4730" t="s">
        <v>12</v>
      </c>
    </row>
    <row r="4731" spans="1:5" x14ac:dyDescent="0.25">
      <c r="A4731" t="str">
        <f>HYPERLINK("https://www.773grp.com/globalSearch/5962-8755601RA/page-1", "5962-8755601RA")</f>
        <v>5962-8755601RA</v>
      </c>
      <c r="B4731" s="3" t="str">
        <f>HYPERLINK("https://www.773grp.com/manufacturer/texas-instruments?pageNo=315", "Texas Instruments")</f>
        <v>Texas Instruments</v>
      </c>
      <c r="C4731" s="5">
        <v>18</v>
      </c>
      <c r="D4731" s="6">
        <v>29.23</v>
      </c>
      <c r="E4731" t="s">
        <v>12</v>
      </c>
    </row>
    <row r="4732" spans="1:5" x14ac:dyDescent="0.25">
      <c r="A4732" t="str">
        <f>HYPERLINK("https://www.773grp.com/globalSearch/SNJ54ALS534FK/page-1", "SNJ54ALS534FK")</f>
        <v>SNJ54ALS534FK</v>
      </c>
      <c r="B4732" s="3" t="str">
        <f>HYPERLINK("https://www.773grp.com/manufacturer/texas-instruments?pageNo=325", "Texas Instruments")</f>
        <v>Texas Instruments</v>
      </c>
      <c r="C4732" s="5">
        <v>96</v>
      </c>
      <c r="D4732" s="6">
        <v>29.31</v>
      </c>
      <c r="E4732" t="s">
        <v>12</v>
      </c>
    </row>
    <row r="4733" spans="1:5" x14ac:dyDescent="0.25">
      <c r="A4733" t="str">
        <f>HYPERLINK("https://www.773grp.com/globalSearch/8403001RA/page-1", "8403001RA")</f>
        <v>8403001RA</v>
      </c>
      <c r="B4733" s="3" t="str">
        <f>HYPERLINK("https://www.773grp.com/manufacturer/texas-instruments?pageNo=328", "Texas Instruments")</f>
        <v>Texas Instruments</v>
      </c>
      <c r="C4733" s="5">
        <v>45</v>
      </c>
      <c r="D4733" s="6">
        <v>29.33</v>
      </c>
      <c r="E4733" t="s">
        <v>12</v>
      </c>
    </row>
    <row r="4734" spans="1:5" x14ac:dyDescent="0.25">
      <c r="A4734" t="str">
        <f>HYPERLINK("https://www.773grp.com/globalSearch/5962-8769401RA/page-1", "5962-8769401RA")</f>
        <v>5962-8769401RA</v>
      </c>
      <c r="B4734" s="3" t="str">
        <f>HYPERLINK("https://www.773grp.com/manufacturer/texas-instruments?pageNo=367", "Texas Instruments")</f>
        <v>Texas Instruments</v>
      </c>
      <c r="C4734" s="5">
        <v>1432</v>
      </c>
      <c r="D4734" s="6">
        <v>29.48</v>
      </c>
      <c r="E4734" t="s">
        <v>12</v>
      </c>
    </row>
    <row r="4735" spans="1:5" x14ac:dyDescent="0.25">
      <c r="A4735" t="str">
        <f>HYPERLINK("https://www.773grp.com/globalSearch/SNJ54AC374J/page-1", "SNJ54AC374J")</f>
        <v>SNJ54AC374J</v>
      </c>
      <c r="B4735" s="3" t="str">
        <f>HYPERLINK("https://www.773grp.com/manufacturer/texas-instruments?pageNo=369", "Texas Instruments")</f>
        <v>Texas Instruments</v>
      </c>
      <c r="C4735" s="5">
        <v>173</v>
      </c>
      <c r="D4735" s="6">
        <v>29.48</v>
      </c>
      <c r="E4735" t="s">
        <v>12</v>
      </c>
    </row>
    <row r="4736" spans="1:5" x14ac:dyDescent="0.25">
      <c r="A4736" t="str">
        <f>HYPERLINK("https://www.773grp.com/globalSearch/SN74LS444DW/page-1", "SN74LS444DW")</f>
        <v>SN74LS444DW</v>
      </c>
      <c r="B4736" s="3" t="str">
        <f>HYPERLINK("https://www.773grp.com/manufacturer/texas-instruments?pageNo=382", "Texas Instruments")</f>
        <v>Texas Instruments</v>
      </c>
      <c r="C4736" s="5">
        <v>436</v>
      </c>
      <c r="D4736" s="6">
        <v>29.54</v>
      </c>
      <c r="E4736" t="s">
        <v>12</v>
      </c>
    </row>
    <row r="4737" spans="1:5" x14ac:dyDescent="0.25">
      <c r="A4737" t="str">
        <f>HYPERLINK("https://www.773grp.com/globalSearch/5962-9759001QSA/page-1", "5962-9759001QSA")</f>
        <v>5962-9759001QSA</v>
      </c>
      <c r="B4737" s="3" t="str">
        <f>HYPERLINK("https://www.773grp.com/manufacturer/texas-instruments?pageNo=402", "Texas Instruments")</f>
        <v>Texas Instruments</v>
      </c>
      <c r="C4737" s="5">
        <v>39</v>
      </c>
      <c r="D4737" s="6">
        <v>29.74</v>
      </c>
      <c r="E4737" t="s">
        <v>12</v>
      </c>
    </row>
    <row r="4738" spans="1:5" x14ac:dyDescent="0.25">
      <c r="A4738" t="str">
        <f>HYPERLINK("https://www.773grp.com/globalSearch/5962-8766401RA/page-1", "5962-8766401RA")</f>
        <v>5962-8766401RA</v>
      </c>
      <c r="B4738" s="3" t="str">
        <f>HYPERLINK("https://www.773grp.com/manufacturer/texas-instruments?pageNo=410", "Texas Instruments")</f>
        <v>Texas Instruments</v>
      </c>
      <c r="C4738" s="5">
        <v>25</v>
      </c>
      <c r="D4738" s="6">
        <v>29.79</v>
      </c>
      <c r="E4738" t="s">
        <v>12</v>
      </c>
    </row>
    <row r="4739" spans="1:5" x14ac:dyDescent="0.25">
      <c r="A4739" t="str">
        <f>HYPERLINK("https://www.773grp.com/globalSearch/CD54HC540F3A/page-1", "CD54HC540F3A")</f>
        <v>CD54HC540F3A</v>
      </c>
      <c r="B4739" s="3" t="str">
        <f>HYPERLINK("https://www.773grp.com/manufacturer/texas-instruments?pageNo=411", "Texas Instruments")</f>
        <v>Texas Instruments</v>
      </c>
      <c r="C4739" s="5">
        <v>204</v>
      </c>
      <c r="D4739" s="6">
        <v>29.79</v>
      </c>
      <c r="E4739" t="s">
        <v>12</v>
      </c>
    </row>
    <row r="4740" spans="1:5" x14ac:dyDescent="0.25">
      <c r="A4740" t="str">
        <f>HYPERLINK("https://www.773grp.com/globalSearch/SN74FB2033KRC/page-1", "SN74FB2033KRC")</f>
        <v>SN74FB2033KRC</v>
      </c>
      <c r="B4740" s="3" t="str">
        <f>HYPERLINK("https://www.773grp.com/manufacturer/texas-instruments?pageNo=418", "Texas Instruments")</f>
        <v>Texas Instruments</v>
      </c>
      <c r="C4740" s="5">
        <v>5785</v>
      </c>
      <c r="D4740" s="6">
        <v>29.93</v>
      </c>
      <c r="E4740" t="s">
        <v>12</v>
      </c>
    </row>
    <row r="4741" spans="1:5" x14ac:dyDescent="0.25">
      <c r="A4741" t="str">
        <f>HYPERLINK("https://www.773grp.com/globalSearch/SNJ54HC563FK/page-1", "SNJ54HC563FK")</f>
        <v>SNJ54HC563FK</v>
      </c>
      <c r="B4741" s="3" t="str">
        <f>HYPERLINK("https://www.773grp.com/manufacturer/texas-instruments?pageNo=423", "Texas Instruments")</f>
        <v>Texas Instruments</v>
      </c>
      <c r="C4741" s="5">
        <v>325</v>
      </c>
      <c r="D4741" s="6">
        <v>29.95</v>
      </c>
      <c r="E4741" t="s">
        <v>12</v>
      </c>
    </row>
    <row r="4742" spans="1:5" x14ac:dyDescent="0.25">
      <c r="A4742" t="str">
        <f>HYPERLINK("https://www.773grp.com/globalSearch/SN74LVTH182646APM/page-1", "SN74LVTH182646APM")</f>
        <v>SN74LVTH182646APM</v>
      </c>
      <c r="B4742" s="3" t="str">
        <f>HYPERLINK("https://www.773grp.com/manufacturer/texas-instruments?pageNo=430", "Texas Instruments")</f>
        <v>Texas Instruments</v>
      </c>
      <c r="C4742" s="5">
        <v>14702</v>
      </c>
      <c r="D4742" s="6">
        <v>29.99</v>
      </c>
      <c r="E4742" t="s">
        <v>12</v>
      </c>
    </row>
    <row r="4743" spans="1:5" x14ac:dyDescent="0.25">
      <c r="A4743" t="str">
        <f>HYPERLINK("https://www.773grp.com/globalSearch/SN74LVTH182652APM/page-1", "SN74LVTH182652APM")</f>
        <v>SN74LVTH182652APM</v>
      </c>
      <c r="B4743" s="3" t="str">
        <f>HYPERLINK("https://www.773grp.com/manufacturer/texas-instruments?pageNo=431", "Texas Instruments")</f>
        <v>Texas Instruments</v>
      </c>
      <c r="C4743" s="5">
        <v>1207</v>
      </c>
      <c r="D4743" s="6">
        <v>29.99</v>
      </c>
      <c r="E4743" t="s">
        <v>12</v>
      </c>
    </row>
    <row r="4744" spans="1:5" x14ac:dyDescent="0.25">
      <c r="A4744" t="str">
        <f>HYPERLINK("https://www.773grp.com/globalSearch/SN74LVTH18646APM/page-1", "SN74LVTH18646APM")</f>
        <v>SN74LVTH18646APM</v>
      </c>
      <c r="B4744" s="3" t="str">
        <f>HYPERLINK("https://www.773grp.com/manufacturer/texas-instruments?pageNo=432", "Texas Instruments")</f>
        <v>Texas Instruments</v>
      </c>
      <c r="C4744" s="5">
        <v>6235</v>
      </c>
      <c r="D4744" s="6">
        <v>29.99</v>
      </c>
      <c r="E4744" t="s">
        <v>12</v>
      </c>
    </row>
    <row r="4745" spans="1:5" x14ac:dyDescent="0.25">
      <c r="A4745" t="str">
        <f>HYPERLINK("https://www.773grp.com/globalSearch/SN74LVTH18646APMG4/page-1", "SN74LVTH18646APMG4")</f>
        <v>SN74LVTH18646APMG4</v>
      </c>
      <c r="B4745" s="3" t="str">
        <f>HYPERLINK("https://www.773grp.com/manufacturer/texas-instruments?pageNo=433", "Texas Instruments")</f>
        <v>Texas Instruments</v>
      </c>
      <c r="C4745" s="5">
        <v>683</v>
      </c>
      <c r="D4745" s="6">
        <v>29.99</v>
      </c>
      <c r="E4745" t="s">
        <v>12</v>
      </c>
    </row>
    <row r="4746" spans="1:5" x14ac:dyDescent="0.25">
      <c r="A4746" t="str">
        <f>HYPERLINK("https://www.773grp.com/globalSearch/SN74LVTH18652APM/page-1", "SN74LVTH18652APM")</f>
        <v>SN74LVTH18652APM</v>
      </c>
      <c r="B4746" s="3" t="str">
        <f>HYPERLINK("https://www.773grp.com/manufacturer/texas-instruments?pageNo=434", "Texas Instruments")</f>
        <v>Texas Instruments</v>
      </c>
      <c r="C4746" s="5">
        <v>1225</v>
      </c>
      <c r="D4746" s="6">
        <v>29.99</v>
      </c>
      <c r="E4746" t="s">
        <v>12</v>
      </c>
    </row>
    <row r="4747" spans="1:5" x14ac:dyDescent="0.25">
      <c r="A4747" t="str">
        <f>HYPERLINK("https://www.773grp.com/globalSearch/SNJ54LS240FK/page-1", "SNJ54LS240FK")</f>
        <v>SNJ54LS240FK</v>
      </c>
      <c r="B4747" s="3" t="str">
        <f>HYPERLINK("https://www.773grp.com/manufacturer/texas-instruments?pageNo=452", "Texas Instruments")</f>
        <v>Texas Instruments</v>
      </c>
      <c r="C4747" s="5">
        <v>195</v>
      </c>
      <c r="D4747" s="6">
        <v>30.15</v>
      </c>
      <c r="E4747" t="s">
        <v>12</v>
      </c>
    </row>
    <row r="4748" spans="1:5" x14ac:dyDescent="0.25">
      <c r="A4748" t="str">
        <f>HYPERLINK("https://www.773grp.com/globalSearch/SN74ABTH18652APM/page-1", "SN74ABTH18652APM")</f>
        <v>SN74ABTH18652APM</v>
      </c>
      <c r="B4748" s="3" t="str">
        <f>HYPERLINK("https://www.773grp.com/manufacturer/texas-instruments?pageNo=455", "Texas Instruments")</f>
        <v>Texas Instruments</v>
      </c>
      <c r="C4748" s="5">
        <v>6539</v>
      </c>
      <c r="D4748" s="6">
        <v>30.18</v>
      </c>
      <c r="E4748" t="s">
        <v>12</v>
      </c>
    </row>
    <row r="4749" spans="1:5" x14ac:dyDescent="0.25">
      <c r="A4749" t="str">
        <f>HYPERLINK("https://www.773grp.com/globalSearch/5962-8775901MSA/page-1", "5962-8775901MSA")</f>
        <v>5962-8775901MSA</v>
      </c>
      <c r="B4749" s="3" t="str">
        <f>HYPERLINK("https://www.773grp.com/manufacturer/texas-instruments?pageNo=495", "Texas Instruments")</f>
        <v>Texas Instruments</v>
      </c>
      <c r="C4749" s="5">
        <v>470</v>
      </c>
      <c r="D4749" s="6">
        <v>30.41</v>
      </c>
      <c r="E4749" t="s">
        <v>12</v>
      </c>
    </row>
    <row r="4750" spans="1:5" x14ac:dyDescent="0.25">
      <c r="A4750" t="str">
        <f>HYPERLINK("https://www.773grp.com/globalSearch/SNJ54LS245W/page-1", "SNJ54LS245W")</f>
        <v>SNJ54LS245W</v>
      </c>
      <c r="B4750" s="3" t="str">
        <f>HYPERLINK("https://www.773grp.com/manufacturer/texas-instruments?pageNo=496", "Texas Instruments")</f>
        <v>Texas Instruments</v>
      </c>
      <c r="C4750" s="5">
        <v>9</v>
      </c>
      <c r="D4750" s="6">
        <v>30.41</v>
      </c>
      <c r="E4750" t="s">
        <v>12</v>
      </c>
    </row>
    <row r="4751" spans="1:5" x14ac:dyDescent="0.25">
      <c r="A4751" t="str">
        <f>HYPERLINK("https://www.773grp.com/globalSearch/5962-8763101SA/page-1", "5962-8763101SA")</f>
        <v>5962-8763101SA</v>
      </c>
      <c r="B4751" s="3" t="str">
        <f>HYPERLINK("https://www.773grp.com/manufacturer/texas-instruments?pageNo=497", "Texas Instruments")</f>
        <v>Texas Instruments</v>
      </c>
      <c r="C4751" s="5">
        <v>16</v>
      </c>
      <c r="D4751" s="6">
        <v>30.43</v>
      </c>
      <c r="E4751" t="s">
        <v>12</v>
      </c>
    </row>
    <row r="4752" spans="1:5" x14ac:dyDescent="0.25">
      <c r="A4752" t="str">
        <f>HYPERLINK("https://www.773grp.com/globalSearch/SNJ54ACT374W/page-1", "SNJ54ACT374W")</f>
        <v>SNJ54ACT374W</v>
      </c>
      <c r="B4752" s="3" t="str">
        <f>HYPERLINK("https://www.773grp.com/manufacturer/texas-instruments?pageNo=500", "Texas Instruments")</f>
        <v>Texas Instruments</v>
      </c>
      <c r="C4752" s="5">
        <v>52</v>
      </c>
      <c r="D4752" s="6">
        <v>30.43</v>
      </c>
      <c r="E4752" t="s">
        <v>12</v>
      </c>
    </row>
    <row r="4753" spans="1:5" x14ac:dyDescent="0.25">
      <c r="A4753" t="str">
        <f>HYPERLINK("https://www.773grp.com/globalSearch/5962-8775901M2A/page-1", "5962-8775901M2A")</f>
        <v>5962-8775901M2A</v>
      </c>
      <c r="B4753" s="3" t="str">
        <f>HYPERLINK("https://www.773grp.com/manufacturer/texas-instruments?pageNo=501", "Texas Instruments")</f>
        <v>Texas Instruments</v>
      </c>
      <c r="C4753" s="5">
        <v>6</v>
      </c>
      <c r="D4753" s="6">
        <v>30.51</v>
      </c>
      <c r="E4753" t="s">
        <v>12</v>
      </c>
    </row>
    <row r="4754" spans="1:5" x14ac:dyDescent="0.25">
      <c r="A4754" t="str">
        <f>HYPERLINK("https://www.773grp.com/globalSearch/5962-8984701SA/page-1", "5962-8984701SA")</f>
        <v>5962-8984701SA</v>
      </c>
      <c r="B4754" s="3" t="str">
        <f>HYPERLINK("https://www.773grp.com/manufacturer/texas-instruments?pageNo=503", "Texas Instruments")</f>
        <v>Texas Instruments</v>
      </c>
      <c r="C4754" s="5">
        <v>170</v>
      </c>
      <c r="D4754" s="6">
        <v>30.55</v>
      </c>
      <c r="E4754" t="s">
        <v>12</v>
      </c>
    </row>
    <row r="4755" spans="1:5" x14ac:dyDescent="0.25">
      <c r="A4755" t="str">
        <f>HYPERLINK("https://www.773grp.com/globalSearch/SN74ALS996DW/page-1", "SN74ALS996DW")</f>
        <v>SN74ALS996DW</v>
      </c>
      <c r="B4755" s="3" t="str">
        <f>HYPERLINK("https://www.773grp.com/manufacturer/texas-instruments?pageNo=504", "Texas Instruments")</f>
        <v>Texas Instruments</v>
      </c>
      <c r="C4755" s="5">
        <v>38174</v>
      </c>
      <c r="D4755" s="6">
        <v>30.55</v>
      </c>
      <c r="E4755" t="s">
        <v>12</v>
      </c>
    </row>
    <row r="4756" spans="1:5" x14ac:dyDescent="0.25">
      <c r="A4756" t="str">
        <f>HYPERLINK("https://www.773grp.com/globalSearch/5962-9318801M2A/page-1", "5962-9318801M2A")</f>
        <v>5962-9318801M2A</v>
      </c>
      <c r="B4756" s="3" t="str">
        <f>HYPERLINK("https://www.773grp.com/manufacturer/texas-instruments?pageNo=510", "Texas Instruments")</f>
        <v>Texas Instruments</v>
      </c>
      <c r="C4756" s="5">
        <v>19</v>
      </c>
      <c r="D4756" s="6">
        <v>30.58</v>
      </c>
      <c r="E4756" t="s">
        <v>12</v>
      </c>
    </row>
    <row r="4757" spans="1:5" x14ac:dyDescent="0.25">
      <c r="A4757" t="str">
        <f>HYPERLINK("https://www.773grp.com/globalSearch/SNJ54ABT240FK/page-1", "SNJ54ABT240FK")</f>
        <v>SNJ54ABT240FK</v>
      </c>
      <c r="B4757" s="3" t="str">
        <f>HYPERLINK("https://www.773grp.com/manufacturer/texas-instruments?pageNo=511", "Texas Instruments")</f>
        <v>Texas Instruments</v>
      </c>
      <c r="C4757" s="5">
        <v>884</v>
      </c>
      <c r="D4757" s="6">
        <v>30.58</v>
      </c>
      <c r="E4757" t="s">
        <v>12</v>
      </c>
    </row>
    <row r="4758" spans="1:5" x14ac:dyDescent="0.25">
      <c r="A4758" t="str">
        <f>HYPERLINK("https://www.773grp.com/globalSearch/5962-87552012A/page-1", "5962-87552012A")</f>
        <v>5962-87552012A</v>
      </c>
      <c r="B4758" s="3" t="str">
        <f>HYPERLINK("https://www.773grp.com/manufacturer/texas-instruments?pageNo=513", "Texas Instruments")</f>
        <v>Texas Instruments</v>
      </c>
      <c r="C4758" s="5">
        <v>245</v>
      </c>
      <c r="D4758" s="6">
        <v>30.6</v>
      </c>
      <c r="E4758" t="s">
        <v>12</v>
      </c>
    </row>
    <row r="4759" spans="1:5" x14ac:dyDescent="0.25">
      <c r="A4759" t="str">
        <f>HYPERLINK("https://www.773grp.com/globalSearch/5962-87631012A/page-1", "5962-87631012A")</f>
        <v>5962-87631012A</v>
      </c>
      <c r="B4759" s="3" t="str">
        <f>HYPERLINK("https://www.773grp.com/manufacturer/texas-instruments?pageNo=514", "Texas Instruments")</f>
        <v>Texas Instruments</v>
      </c>
      <c r="C4759" s="5">
        <v>49</v>
      </c>
      <c r="D4759" s="6">
        <v>30.6</v>
      </c>
      <c r="E4759" t="s">
        <v>12</v>
      </c>
    </row>
    <row r="4760" spans="1:5" x14ac:dyDescent="0.25">
      <c r="A4760" t="str">
        <f>HYPERLINK("https://www.773grp.com/globalSearch/5962-8766301MSA/page-1", "5962-8766301MSA")</f>
        <v>5962-8766301MSA</v>
      </c>
      <c r="B4760" s="3" t="str">
        <f>HYPERLINK("https://www.773grp.com/manufacturer/texas-instruments?pageNo=518", "Texas Instruments")</f>
        <v>Texas Instruments</v>
      </c>
      <c r="C4760" s="5">
        <v>22</v>
      </c>
      <c r="D4760" s="6">
        <v>30.63</v>
      </c>
      <c r="E4760" t="s">
        <v>12</v>
      </c>
    </row>
    <row r="4761" spans="1:5" x14ac:dyDescent="0.25">
      <c r="A4761" t="str">
        <f>HYPERLINK("https://www.773grp.com/globalSearch/JM38510-32401B2A/page-1", "JM38510-32401B2A")</f>
        <v>JM38510-32401B2A</v>
      </c>
      <c r="B4761" s="3" t="str">
        <f>HYPERLINK("https://www.773grp.com/manufacturer/texas-instruments?pageNo=519", "Texas Instruments")</f>
        <v>Texas Instruments</v>
      </c>
      <c r="C4761" s="5">
        <v>25</v>
      </c>
      <c r="D4761" s="6">
        <v>30.63</v>
      </c>
      <c r="E4761" t="s">
        <v>12</v>
      </c>
    </row>
    <row r="4762" spans="1:5" x14ac:dyDescent="0.25">
      <c r="A4762" t="str">
        <f>HYPERLINK("https://www.773grp.com/globalSearch/SN74FB2041ARCR/page-1", "SN74FB2041ARCR")</f>
        <v>SN74FB2041ARCR</v>
      </c>
      <c r="B4762" s="3" t="str">
        <f>HYPERLINK("https://www.773grp.com/manufacturer/texas-instruments?pageNo=529", "Texas Instruments")</f>
        <v>Texas Instruments</v>
      </c>
      <c r="C4762" s="5">
        <v>7500</v>
      </c>
      <c r="D4762" s="6">
        <v>30.63</v>
      </c>
      <c r="E4762" t="s">
        <v>12</v>
      </c>
    </row>
    <row r="4763" spans="1:5" x14ac:dyDescent="0.25">
      <c r="A4763" t="str">
        <f>HYPERLINK("https://www.773grp.com/globalSearch/5962-87550012A/page-1", "5962-87550012A")</f>
        <v>5962-87550012A</v>
      </c>
      <c r="B4763" s="3" t="str">
        <f>HYPERLINK("https://www.773grp.com/manufacturer/texas-instruments?pageNo=537", "Texas Instruments")</f>
        <v>Texas Instruments</v>
      </c>
      <c r="C4763" s="5">
        <v>28</v>
      </c>
      <c r="D4763" s="6">
        <v>30.71</v>
      </c>
      <c r="E4763" t="s">
        <v>12</v>
      </c>
    </row>
    <row r="4764" spans="1:5" x14ac:dyDescent="0.25">
      <c r="A4764" t="str">
        <f>HYPERLINK("https://www.773grp.com/globalSearch/SN74FB2040RCR/page-1", "SN74FB2040RCR")</f>
        <v>SN74FB2040RCR</v>
      </c>
      <c r="B4764" s="3" t="str">
        <f>HYPERLINK("https://www.773grp.com/manufacturer/texas-instruments?pageNo=571", "Texas Instruments")</f>
        <v>Texas Instruments</v>
      </c>
      <c r="C4764" s="5">
        <v>4500</v>
      </c>
      <c r="D4764" s="6">
        <v>30.75</v>
      </c>
      <c r="E4764" t="s">
        <v>12</v>
      </c>
    </row>
    <row r="4765" spans="1:5" x14ac:dyDescent="0.25">
      <c r="A4765" t="str">
        <f>HYPERLINK("https://www.773grp.com/globalSearch/5962-8755201SA/page-1", "5962-8755201SA")</f>
        <v>5962-8755201SA</v>
      </c>
      <c r="B4765" s="3" t="str">
        <f>HYPERLINK("https://www.773grp.com/manufacturer/texas-instruments?pageNo=574", "Texas Instruments")</f>
        <v>Texas Instruments</v>
      </c>
      <c r="C4765" s="5">
        <v>76</v>
      </c>
      <c r="D4765" s="6">
        <v>30.8</v>
      </c>
      <c r="E4765" t="s">
        <v>12</v>
      </c>
    </row>
    <row r="4766" spans="1:5" x14ac:dyDescent="0.25">
      <c r="A4766" t="str">
        <f>HYPERLINK("https://www.773grp.com/globalSearch/SNJ54ACT573W/page-1", "SNJ54ACT573W")</f>
        <v>SNJ54ACT573W</v>
      </c>
      <c r="B4766" s="3" t="str">
        <f>HYPERLINK("https://www.773grp.com/manufacturer/texas-instruments?pageNo=600", "Texas Instruments")</f>
        <v>Texas Instruments</v>
      </c>
      <c r="C4766" s="5">
        <v>78</v>
      </c>
      <c r="D4766" s="6">
        <v>30.8</v>
      </c>
      <c r="E4766" t="s">
        <v>12</v>
      </c>
    </row>
    <row r="4767" spans="1:5" x14ac:dyDescent="0.25">
      <c r="A4767" t="str">
        <f>HYPERLINK("https://www.773grp.com/globalSearch/5962-87664012A/page-1", "5962-87664012A")</f>
        <v>5962-87664012A</v>
      </c>
      <c r="B4767" s="3" t="str">
        <f>HYPERLINK("https://www.773grp.com/manufacturer/texas-instruments?pageNo=603", "Texas Instruments")</f>
        <v>Texas Instruments</v>
      </c>
      <c r="C4767" s="5">
        <v>18</v>
      </c>
      <c r="D4767" s="6">
        <v>30.83</v>
      </c>
      <c r="E4767" t="s">
        <v>12</v>
      </c>
    </row>
    <row r="4768" spans="1:5" x14ac:dyDescent="0.25">
      <c r="A4768" t="str">
        <f>HYPERLINK("https://www.773grp.com/globalSearch/SN74ALS992NT/page-1", "SN74ALS992NT")</f>
        <v>SN74ALS992NT</v>
      </c>
      <c r="B4768" s="3" t="str">
        <f>HYPERLINK("https://www.773grp.com/manufacturer/texas-instruments?pageNo=625", "Texas Instruments")</f>
        <v>Texas Instruments</v>
      </c>
      <c r="C4768" s="5">
        <v>1035</v>
      </c>
      <c r="D4768" s="6">
        <v>30.94</v>
      </c>
      <c r="E4768" t="s">
        <v>12</v>
      </c>
    </row>
    <row r="4769" spans="1:5" x14ac:dyDescent="0.25">
      <c r="A4769" t="str">
        <f>HYPERLINK("https://www.773grp.com/globalSearch/5962-8755001SA/page-1", "5962-8755001SA")</f>
        <v>5962-8755001SA</v>
      </c>
      <c r="B4769" s="3" t="str">
        <f>HYPERLINK("https://www.773grp.com/manufacturer/texas-instruments?pageNo=637", "Texas Instruments")</f>
        <v>Texas Instruments</v>
      </c>
      <c r="C4769" s="5">
        <v>34</v>
      </c>
      <c r="D4769" s="6">
        <v>31</v>
      </c>
      <c r="E4769" t="s">
        <v>12</v>
      </c>
    </row>
    <row r="4770" spans="1:5" x14ac:dyDescent="0.25">
      <c r="A4770" t="str">
        <f>HYPERLINK("https://www.773grp.com/globalSearch/SNJ54LS241W/page-1", "SNJ54LS241W")</f>
        <v>SNJ54LS241W</v>
      </c>
      <c r="B4770" s="3" t="str">
        <f>HYPERLINK("https://www.773grp.com/manufacturer/texas-instruments?pageNo=638", "Texas Instruments")</f>
        <v>Texas Instruments</v>
      </c>
      <c r="C4770" s="5">
        <v>17</v>
      </c>
      <c r="D4770" s="6">
        <v>31</v>
      </c>
      <c r="E4770" t="s">
        <v>12</v>
      </c>
    </row>
    <row r="4771" spans="1:5" x14ac:dyDescent="0.25">
      <c r="A4771" t="str">
        <f>HYPERLINK("https://www.773grp.com/globalSearch/5962-9457702QLA/page-1", "5962-9457702QLA")</f>
        <v>5962-9457702QLA</v>
      </c>
      <c r="B4771" s="3" t="str">
        <f>HYPERLINK("https://www.773grp.com/manufacturer/texas-instruments?pageNo=639", "Texas Instruments")</f>
        <v>Texas Instruments</v>
      </c>
      <c r="C4771" s="5">
        <v>154</v>
      </c>
      <c r="D4771" s="6">
        <v>31.01</v>
      </c>
      <c r="E4771" t="s">
        <v>12</v>
      </c>
    </row>
    <row r="4772" spans="1:5" x14ac:dyDescent="0.25">
      <c r="A4772" t="str">
        <f>HYPERLINK("https://www.773grp.com/globalSearch/SNJ54ABT646AJT/page-1", "SNJ54ABT646AJT")</f>
        <v>SNJ54ABT646AJT</v>
      </c>
      <c r="B4772" s="3" t="str">
        <f>HYPERLINK("https://www.773grp.com/manufacturer/texas-instruments?pageNo=641", "Texas Instruments")</f>
        <v>Texas Instruments</v>
      </c>
      <c r="C4772" s="5">
        <v>381</v>
      </c>
      <c r="D4772" s="6">
        <v>31.01</v>
      </c>
      <c r="E4772" t="s">
        <v>12</v>
      </c>
    </row>
    <row r="4773" spans="1:5" x14ac:dyDescent="0.25">
      <c r="A4773" t="str">
        <f>HYPERLINK("https://www.773grp.com/globalSearch/SNJ54LVT574W/page-1", "SNJ54LVT574W")</f>
        <v>SNJ54LVT574W</v>
      </c>
      <c r="B4773" s="3" t="str">
        <f>HYPERLINK("https://www.773grp.com/manufacturer/texas-instruments?pageNo=642", "Texas Instruments")</f>
        <v>Texas Instruments</v>
      </c>
      <c r="C4773" s="5">
        <v>4</v>
      </c>
      <c r="D4773" s="6">
        <v>31.01</v>
      </c>
      <c r="E4773" t="s">
        <v>12</v>
      </c>
    </row>
    <row r="4774" spans="1:5" x14ac:dyDescent="0.25">
      <c r="A4774" t="str">
        <f>HYPERLINK("https://www.773grp.com/globalSearch/5962-8873701RA/page-1", "5962-8873701RA")</f>
        <v>5962-8873701RA</v>
      </c>
      <c r="B4774" s="3" t="str">
        <f>HYPERLINK("https://www.773grp.com/manufacturer/texas-instruments?pageNo=662", "Texas Instruments")</f>
        <v>Texas Instruments</v>
      </c>
      <c r="C4774" s="5">
        <v>3</v>
      </c>
      <c r="D4774" s="6">
        <v>31.28</v>
      </c>
      <c r="E4774" t="s">
        <v>12</v>
      </c>
    </row>
    <row r="4775" spans="1:5" x14ac:dyDescent="0.25">
      <c r="A4775" t="str">
        <f>HYPERLINK("https://www.773grp.com/globalSearch/74ACT16657DL/page-1", "74ACT16657DL")</f>
        <v>74ACT16657DL</v>
      </c>
      <c r="B4775" s="3" t="str">
        <f>HYPERLINK("https://www.773grp.com/manufacturer/texas-instruments?pageNo=666", "Texas Instruments")</f>
        <v>Texas Instruments</v>
      </c>
      <c r="C4775" s="5">
        <v>1173</v>
      </c>
      <c r="D4775" s="6">
        <v>31.34</v>
      </c>
      <c r="E4775" t="s">
        <v>12</v>
      </c>
    </row>
    <row r="4776" spans="1:5" x14ac:dyDescent="0.25">
      <c r="A4776" t="str">
        <f>HYPERLINK("https://www.773grp.com/globalSearch/SNJ54ALS240AJ/page-1", "SNJ54ALS240AJ")</f>
        <v>SNJ54ALS240AJ</v>
      </c>
      <c r="B4776" s="3" t="str">
        <f>HYPERLINK("https://www.773grp.com/manufacturer/texas-instruments?pageNo=701", "Texas Instruments")</f>
        <v>Texas Instruments</v>
      </c>
      <c r="C4776" s="5">
        <v>49</v>
      </c>
      <c r="D4776" s="6">
        <v>31.61</v>
      </c>
      <c r="E4776" t="s">
        <v>12</v>
      </c>
    </row>
    <row r="4777" spans="1:5" x14ac:dyDescent="0.25">
      <c r="A4777" t="str">
        <f>HYPERLINK("https://www.773grp.com/globalSearch/5962-9223705MRA/page-1", "5962-9223705MRA")</f>
        <v>5962-9223705MRA</v>
      </c>
      <c r="B4777" s="3" t="str">
        <f>HYPERLINK("https://www.773grp.com/manufacturer/texas-instruments?pageNo=715", "Texas Instruments")</f>
        <v>Texas Instruments</v>
      </c>
      <c r="C4777" s="5">
        <v>183</v>
      </c>
      <c r="D4777" s="6">
        <v>31.73</v>
      </c>
      <c r="E4777" t="s">
        <v>12</v>
      </c>
    </row>
    <row r="4778" spans="1:5" x14ac:dyDescent="0.25">
      <c r="A4778" t="str">
        <f>HYPERLINK("https://www.773grp.com/globalSearch/5962-8763101RA/page-1", "5962-8763101RA")</f>
        <v>5962-8763101RA</v>
      </c>
      <c r="B4778" s="3" t="str">
        <f>HYPERLINK("https://www.773grp.com/manufacturer/texas-instruments?pageNo=718", "Texas Instruments")</f>
        <v>Texas Instruments</v>
      </c>
      <c r="C4778" s="5">
        <v>892</v>
      </c>
      <c r="D4778" s="6">
        <v>31.78</v>
      </c>
      <c r="E4778" t="s">
        <v>12</v>
      </c>
    </row>
    <row r="4779" spans="1:5" x14ac:dyDescent="0.25">
      <c r="A4779" t="str">
        <f>HYPERLINK("https://www.773grp.com/globalSearch/5962-8776001MSA/page-1", "5962-8776001MSA")</f>
        <v>5962-8776001MSA</v>
      </c>
      <c r="B4779" s="3" t="str">
        <f>HYPERLINK("https://www.773grp.com/manufacturer/texas-instruments?pageNo=719", "Texas Instruments")</f>
        <v>Texas Instruments</v>
      </c>
      <c r="C4779" s="5">
        <v>55</v>
      </c>
      <c r="D4779" s="6">
        <v>31.78</v>
      </c>
      <c r="E4779" t="s">
        <v>12</v>
      </c>
    </row>
    <row r="4780" spans="1:5" x14ac:dyDescent="0.25">
      <c r="A4780" t="str">
        <f>HYPERLINK("https://www.773grp.com/globalSearch/SNJ54ACT244W/page-1", "SNJ54ACT244W")</f>
        <v>SNJ54ACT244W</v>
      </c>
      <c r="B4780" s="3" t="str">
        <f>HYPERLINK("https://www.773grp.com/manufacturer/texas-instruments?pageNo=730", "Texas Instruments")</f>
        <v>Texas Instruments</v>
      </c>
      <c r="C4780" s="5">
        <v>329</v>
      </c>
      <c r="D4780" s="6">
        <v>31.78</v>
      </c>
      <c r="E4780" t="s">
        <v>12</v>
      </c>
    </row>
    <row r="4781" spans="1:5" x14ac:dyDescent="0.25">
      <c r="A4781" t="str">
        <f>HYPERLINK("https://www.773grp.com/globalSearch/SNJ54ACT374J/page-1", "SNJ54ACT374J")</f>
        <v>SNJ54ACT374J</v>
      </c>
      <c r="B4781" s="3" t="str">
        <f>HYPERLINK("https://www.773grp.com/manufacturer/texas-instruments?pageNo=731", "Texas Instruments")</f>
        <v>Texas Instruments</v>
      </c>
      <c r="C4781" s="5">
        <v>1065</v>
      </c>
      <c r="D4781" s="6">
        <v>31.78</v>
      </c>
      <c r="E4781" t="s">
        <v>12</v>
      </c>
    </row>
    <row r="4782" spans="1:5" x14ac:dyDescent="0.25">
      <c r="A4782" t="str">
        <f>HYPERLINK("https://www.773grp.com/globalSearch/5962-9221305MRA/page-1", "5962-9221305MRA")</f>
        <v>5962-9221305MRA</v>
      </c>
      <c r="B4782" s="3" t="str">
        <f>HYPERLINK("https://www.773grp.com/manufacturer/texas-instruments?pageNo=749", "Texas Instruments")</f>
        <v>Texas Instruments</v>
      </c>
      <c r="C4782" s="5">
        <v>25</v>
      </c>
      <c r="D4782" s="6">
        <v>31.93</v>
      </c>
      <c r="E4782" t="s">
        <v>12</v>
      </c>
    </row>
    <row r="4783" spans="1:5" x14ac:dyDescent="0.25">
      <c r="A4783" t="str">
        <f>HYPERLINK("https://www.773grp.com/globalSearch/SN74FB2032RC/page-1", "SN74FB2032RC")</f>
        <v>SN74FB2032RC</v>
      </c>
      <c r="B4783" s="3" t="str">
        <f>HYPERLINK("https://www.773grp.com/manufacturer/texas-instruments?pageNo=763", "Texas Instruments")</f>
        <v>Texas Instruments</v>
      </c>
      <c r="C4783" s="5">
        <v>5</v>
      </c>
      <c r="D4783" s="6">
        <v>31.95</v>
      </c>
      <c r="E4783" t="s">
        <v>12</v>
      </c>
    </row>
    <row r="4784" spans="1:5" x14ac:dyDescent="0.25">
      <c r="A4784" t="str">
        <f>HYPERLINK("https://www.773grp.com/globalSearch/JM38510-32201B2A/page-1", "JM38510-32201B2A")</f>
        <v>JM38510-32201B2A</v>
      </c>
      <c r="B4784" s="3" t="str">
        <f>HYPERLINK("https://www.773grp.com/manufacturer/texas-instruments?pageNo=769", "Texas Instruments")</f>
        <v>Texas Instruments</v>
      </c>
      <c r="C4784" s="5">
        <v>54</v>
      </c>
      <c r="D4784" s="6">
        <v>32.03</v>
      </c>
      <c r="E4784" t="s">
        <v>12</v>
      </c>
    </row>
    <row r="4785" spans="1:5" x14ac:dyDescent="0.25">
      <c r="A4785" t="str">
        <f>HYPERLINK("https://www.773grp.com/globalSearch/SNJ54LS125AFK/page-1", "SNJ54LS125AFK")</f>
        <v>SNJ54LS125AFK</v>
      </c>
      <c r="B4785" s="3" t="str">
        <f>HYPERLINK("https://www.773grp.com/manufacturer/texas-instruments?pageNo=772", "Texas Instruments")</f>
        <v>Texas Instruments</v>
      </c>
      <c r="C4785" s="5">
        <v>4</v>
      </c>
      <c r="D4785" s="6">
        <v>32.03</v>
      </c>
      <c r="E4785" t="s">
        <v>12</v>
      </c>
    </row>
    <row r="4786" spans="1:5" x14ac:dyDescent="0.25">
      <c r="A4786" t="str">
        <f>HYPERLINK("https://www.773grp.com/globalSearch/SN74ABT18504PM/page-1", "SN74ABT18504PM")</f>
        <v>SN74ABT18504PM</v>
      </c>
      <c r="B4786" s="3" t="str">
        <f>HYPERLINK("https://www.773grp.com/manufacturer/texas-instruments?pageNo=794", "Texas Instruments")</f>
        <v>Texas Instruments</v>
      </c>
      <c r="C4786" s="5">
        <v>7747</v>
      </c>
      <c r="D4786" s="6">
        <v>32.15</v>
      </c>
      <c r="E4786" t="s">
        <v>12</v>
      </c>
    </row>
    <row r="4787" spans="1:5" x14ac:dyDescent="0.25">
      <c r="A4787" t="str">
        <f>HYPERLINK("https://www.773grp.com/globalSearch/SNJ54366AW/page-1", "SNJ54366AW")</f>
        <v>SNJ54366AW</v>
      </c>
      <c r="B4787" s="3" t="str">
        <f>HYPERLINK("https://www.773grp.com/manufacturer/texas-instruments?pageNo=798", "Texas Instruments")</f>
        <v>Texas Instruments</v>
      </c>
      <c r="C4787" s="5">
        <v>98</v>
      </c>
      <c r="D4787" s="6">
        <v>32.18</v>
      </c>
      <c r="E4787" t="s">
        <v>12</v>
      </c>
    </row>
    <row r="4788" spans="1:5" x14ac:dyDescent="0.25">
      <c r="A4788" t="str">
        <f>HYPERLINK("https://www.773grp.com/globalSearch/5962-9220302MRA/page-1", "5962-9220302MRA")</f>
        <v>5962-9220302MRA</v>
      </c>
      <c r="B4788" s="3" t="str">
        <f>HYPERLINK("https://www.773grp.com/manufacturer/texas-instruments?pageNo=803", "Texas Instruments")</f>
        <v>Texas Instruments</v>
      </c>
      <c r="C4788" s="5">
        <v>357</v>
      </c>
      <c r="D4788" s="6">
        <v>32.200000000000003</v>
      </c>
      <c r="E4788" t="s">
        <v>12</v>
      </c>
    </row>
    <row r="4789" spans="1:5" x14ac:dyDescent="0.25">
      <c r="A4789" t="str">
        <f>HYPERLINK("https://www.773grp.com/globalSearch/CY54FCT244ATDMB/page-1", "CY54FCT244ATDMB")</f>
        <v>CY54FCT244ATDMB</v>
      </c>
      <c r="B4789" s="3" t="str">
        <f>HYPERLINK("https://www.773grp.com/manufacturer/texas-instruments?pageNo=804", "Texas Instruments")</f>
        <v>Texas Instruments</v>
      </c>
      <c r="C4789" s="5">
        <v>7</v>
      </c>
      <c r="D4789" s="6">
        <v>32.200000000000003</v>
      </c>
      <c r="E4789" t="s">
        <v>12</v>
      </c>
    </row>
    <row r="4790" spans="1:5" x14ac:dyDescent="0.25">
      <c r="A4790" t="str">
        <f>HYPERLINK("https://www.773grp.com/globalSearch/SNJ54ALS564BJ/page-1", "SNJ54ALS564BJ")</f>
        <v>SNJ54ALS564BJ</v>
      </c>
      <c r="B4790" s="3" t="str">
        <f>HYPERLINK("https://www.773grp.com/manufacturer/texas-instruments?pageNo=806", "Texas Instruments")</f>
        <v>Texas Instruments</v>
      </c>
      <c r="C4790" s="5">
        <v>235</v>
      </c>
      <c r="D4790" s="6">
        <v>32.200000000000003</v>
      </c>
      <c r="E4790" t="s">
        <v>12</v>
      </c>
    </row>
    <row r="4791" spans="1:5" x14ac:dyDescent="0.25">
      <c r="A4791" t="str">
        <f>HYPERLINK("https://www.773grp.com/globalSearch/5962-9221405M2A/page-1", "5962-9221405M2A")</f>
        <v>5962-9221405M2A</v>
      </c>
      <c r="B4791" s="3" t="str">
        <f>HYPERLINK("https://www.773grp.com/manufacturer/texas-instruments?pageNo=812", "Texas Instruments")</f>
        <v>Texas Instruments</v>
      </c>
      <c r="C4791" s="5">
        <v>79</v>
      </c>
      <c r="D4791" s="6">
        <v>32.24</v>
      </c>
      <c r="E4791" t="s">
        <v>12</v>
      </c>
    </row>
    <row r="4792" spans="1:5" x14ac:dyDescent="0.25">
      <c r="A4792" t="str">
        <f>HYPERLINK("https://www.773grp.com/globalSearch/5962-9221806M2A/page-1", "5962-9221806M2A")</f>
        <v>5962-9221806M2A</v>
      </c>
      <c r="B4792" s="3" t="str">
        <f>HYPERLINK("https://www.773grp.com/manufacturer/texas-instruments?pageNo=815", "Texas Instruments")</f>
        <v>Texas Instruments</v>
      </c>
      <c r="C4792" s="5">
        <v>173</v>
      </c>
      <c r="D4792" s="6">
        <v>32.26</v>
      </c>
      <c r="E4792" t="s">
        <v>12</v>
      </c>
    </row>
    <row r="4793" spans="1:5" x14ac:dyDescent="0.25">
      <c r="A4793" t="str">
        <f>HYPERLINK("https://www.773grp.com/globalSearch/SN54ALS874BJT/page-1", "SN54ALS874BJT")</f>
        <v>SN54ALS874BJT</v>
      </c>
      <c r="B4793" s="3" t="str">
        <f>HYPERLINK("https://www.773grp.com/manufacturer/texas-instruments?pageNo=821", "Texas Instruments")</f>
        <v>Texas Instruments</v>
      </c>
      <c r="C4793" s="5">
        <v>148</v>
      </c>
      <c r="D4793" s="6">
        <v>32.31</v>
      </c>
      <c r="E4793" t="s">
        <v>12</v>
      </c>
    </row>
    <row r="4794" spans="1:5" x14ac:dyDescent="0.25">
      <c r="A4794" t="str">
        <f>HYPERLINK("https://www.773grp.com/globalSearch/SNJ54ALS574BJ/page-1", "SNJ54ALS574BJ")</f>
        <v>SNJ54ALS574BJ</v>
      </c>
      <c r="B4794" s="3" t="str">
        <f>HYPERLINK("https://www.773grp.com/manufacturer/texas-instruments?pageNo=864", "Texas Instruments")</f>
        <v>Texas Instruments</v>
      </c>
      <c r="C4794" s="5">
        <v>17</v>
      </c>
      <c r="D4794" s="6">
        <v>32.54</v>
      </c>
      <c r="E4794" t="s">
        <v>12</v>
      </c>
    </row>
    <row r="4795" spans="1:5" x14ac:dyDescent="0.25">
      <c r="A4795" t="str">
        <f>HYPERLINK("https://www.773grp.com/globalSearch/5962-8776701SA/page-1", "5962-8776701SA")</f>
        <v>5962-8776701SA</v>
      </c>
      <c r="B4795" s="3" t="str">
        <f>HYPERLINK("https://www.773grp.com/manufacturer/texas-instruments?pageNo=866", "Texas Instruments")</f>
        <v>Texas Instruments</v>
      </c>
      <c r="C4795" s="5">
        <v>91</v>
      </c>
      <c r="D4795" s="6">
        <v>32.58</v>
      </c>
      <c r="E4795" t="s">
        <v>12</v>
      </c>
    </row>
    <row r="4796" spans="1:5" x14ac:dyDescent="0.25">
      <c r="A4796" t="str">
        <f>HYPERLINK("https://www.773grp.com/globalSearch/5962-9758501Q2A/page-1", "5962-9758501Q2A")</f>
        <v>5962-9758501Q2A</v>
      </c>
      <c r="B4796" s="3" t="str">
        <f>HYPERLINK("https://www.773grp.com/manufacturer/texas-instruments?pageNo=890", "Texas Instruments")</f>
        <v>Texas Instruments</v>
      </c>
      <c r="C4796" s="5">
        <v>8</v>
      </c>
      <c r="D4796" s="6">
        <v>32.909999999999997</v>
      </c>
      <c r="E4796" t="s">
        <v>12</v>
      </c>
    </row>
    <row r="4797" spans="1:5" x14ac:dyDescent="0.25">
      <c r="A4797" t="str">
        <f>HYPERLINK("https://www.773grp.com/globalSearch/SN74LVT182502PM/page-1", "SN74LVT182502PM")</f>
        <v>SN74LVT182502PM</v>
      </c>
      <c r="B4797" s="3" t="str">
        <f>HYPERLINK("https://www.773grp.com/manufacturer/texas-instruments?pageNo=895", "Texas Instruments")</f>
        <v>Texas Instruments</v>
      </c>
      <c r="C4797" s="5">
        <v>139</v>
      </c>
      <c r="D4797" s="6">
        <v>32.94</v>
      </c>
      <c r="E4797" t="s">
        <v>12</v>
      </c>
    </row>
    <row r="4798" spans="1:5" x14ac:dyDescent="0.25">
      <c r="A4798" t="str">
        <f>HYPERLINK("https://www.773grp.com/globalSearch/SNJ54ALS573CJ/page-1", "SNJ54ALS573CJ")</f>
        <v>SNJ54ALS573CJ</v>
      </c>
      <c r="B4798" s="3" t="str">
        <f>HYPERLINK("https://www.773grp.com/manufacturer/texas-instruments?pageNo=900", "Texas Instruments")</f>
        <v>Texas Instruments</v>
      </c>
      <c r="C4798" s="5">
        <v>444</v>
      </c>
      <c r="D4798" s="6">
        <v>33.04</v>
      </c>
      <c r="E4798" t="s">
        <v>12</v>
      </c>
    </row>
    <row r="4799" spans="1:5" x14ac:dyDescent="0.25">
      <c r="A4799" t="str">
        <f>HYPERLINK("https://www.773grp.com/globalSearch/SN74ABTH18646APM/page-1", "SN74ABTH18646APM")</f>
        <v>SN74ABTH18646APM</v>
      </c>
      <c r="B4799" s="3" t="str">
        <f>HYPERLINK("https://www.773grp.com/manufacturer/texas-instruments?pageNo=916", "Texas Instruments")</f>
        <v>Texas Instruments</v>
      </c>
      <c r="C4799" s="5">
        <v>16599</v>
      </c>
      <c r="D4799" s="6">
        <v>33.159999999999997</v>
      </c>
      <c r="E4799" t="s">
        <v>12</v>
      </c>
    </row>
    <row r="4800" spans="1:5" x14ac:dyDescent="0.25">
      <c r="A4800" t="str">
        <f>HYPERLINK("https://www.773grp.com/globalSearch/SN74FB2031RCG3/page-1", "SN74FB2031RCG3")</f>
        <v>SN74FB2031RCG3</v>
      </c>
      <c r="B4800" s="3" t="str">
        <f>HYPERLINK("https://www.773grp.com/manufacturer/texas-instruments?pageNo=917", "Texas Instruments")</f>
        <v>Texas Instruments</v>
      </c>
      <c r="C4800" s="5">
        <v>296</v>
      </c>
      <c r="D4800" s="6">
        <v>33.159999999999997</v>
      </c>
      <c r="E4800" t="s">
        <v>12</v>
      </c>
    </row>
    <row r="4801" spans="1:5" x14ac:dyDescent="0.25">
      <c r="A4801" t="str">
        <f>HYPERLINK("https://www.773grp.com/globalSearch/SNJ54ALS374AJ/page-1", "SNJ54ALS374AJ")</f>
        <v>SNJ54ALS374AJ</v>
      </c>
      <c r="B4801" s="3" t="str">
        <f>HYPERLINK("https://www.773grp.com/manufacturer/texas-instruments?pageNo=935", "Texas Instruments")</f>
        <v>Texas Instruments</v>
      </c>
      <c r="C4801" s="5">
        <v>74</v>
      </c>
      <c r="D4801" s="6">
        <v>33.25</v>
      </c>
      <c r="E4801" t="s">
        <v>12</v>
      </c>
    </row>
    <row r="4802" spans="1:5" x14ac:dyDescent="0.25">
      <c r="A4802" t="str">
        <f>HYPERLINK("https://www.773grp.com/globalSearch/CD54AC541F3A/page-1", "CD54AC541F3A")</f>
        <v>CD54AC541F3A</v>
      </c>
      <c r="B4802" s="3" t="str">
        <f>HYPERLINK("https://www.773grp.com/manufacturer/texas-instruments?pageNo=936", "Texas Instruments")</f>
        <v>Texas Instruments</v>
      </c>
      <c r="C4802" s="5">
        <v>1</v>
      </c>
      <c r="D4802" s="6">
        <v>33.28</v>
      </c>
      <c r="E4802" t="s">
        <v>12</v>
      </c>
    </row>
    <row r="4803" spans="1:5" x14ac:dyDescent="0.25">
      <c r="A4803" t="str">
        <f>HYPERLINK("https://www.773grp.com/globalSearch/SN54S241J/page-1", "SN54S241J")</f>
        <v>SN54S241J</v>
      </c>
      <c r="B4803" s="3" t="str">
        <f>HYPERLINK("https://www.773grp.com/manufacturer/texas-instruments?pageNo=942", "Texas Instruments")</f>
        <v>Texas Instruments</v>
      </c>
      <c r="C4803" s="5">
        <v>2759</v>
      </c>
      <c r="D4803" s="6">
        <v>33.299999999999997</v>
      </c>
      <c r="E4803" t="s">
        <v>12</v>
      </c>
    </row>
    <row r="4804" spans="1:5" x14ac:dyDescent="0.25">
      <c r="A4804" t="str">
        <f>HYPERLINK("https://www.773grp.com/globalSearch/SNJ54LVT244FK/page-1", "SNJ54LVT244FK")</f>
        <v>SNJ54LVT244FK</v>
      </c>
      <c r="B4804" s="3" t="str">
        <f>HYPERLINK("https://www.773grp.com/manufacturer/texas-instruments?pageNo=943", "Texas Instruments")</f>
        <v>Texas Instruments</v>
      </c>
      <c r="C4804" s="5">
        <v>264</v>
      </c>
      <c r="D4804" s="6">
        <v>33.299999999999997</v>
      </c>
      <c r="E4804" t="s">
        <v>12</v>
      </c>
    </row>
    <row r="4805" spans="1:5" x14ac:dyDescent="0.25">
      <c r="A4805" t="str">
        <f>HYPERLINK("https://www.773grp.com/globalSearch/8302001RA/page-1", "8302001RA")</f>
        <v>8302001RA</v>
      </c>
      <c r="B4805" s="3" t="str">
        <f>HYPERLINK("https://www.773grp.com/manufacturer/texas-instruments?pageNo=951", "Texas Instruments")</f>
        <v>Texas Instruments</v>
      </c>
      <c r="C4805" s="5">
        <v>21</v>
      </c>
      <c r="D4805" s="6">
        <v>33.36</v>
      </c>
      <c r="E4805" t="s">
        <v>12</v>
      </c>
    </row>
    <row r="4806" spans="1:5" x14ac:dyDescent="0.25">
      <c r="A4806" t="str">
        <f>HYPERLINK("https://www.773grp.com/globalSearch/SN74ABT18646PM/page-1", "SN74ABT18646PM")</f>
        <v>SN74ABT18646PM</v>
      </c>
      <c r="B4806" s="3" t="s">
        <v>90</v>
      </c>
      <c r="C4806" s="5">
        <v>6355</v>
      </c>
      <c r="D4806" s="6">
        <v>33.46</v>
      </c>
      <c r="E4806" t="s">
        <v>12</v>
      </c>
    </row>
    <row r="4807" spans="1:5" x14ac:dyDescent="0.25">
      <c r="A4807" t="str">
        <f>HYPERLINK("https://www.773grp.com/globalSearch/SN74ABT18652PM/page-1", "SN74ABT18652PM")</f>
        <v>SN74ABT18652PM</v>
      </c>
      <c r="B4807" s="3" t="s">
        <v>90</v>
      </c>
      <c r="C4807" s="5">
        <v>2171</v>
      </c>
      <c r="D4807" s="6">
        <v>33.46</v>
      </c>
      <c r="E4807" t="s">
        <v>12</v>
      </c>
    </row>
    <row r="4808" spans="1:5" x14ac:dyDescent="0.25">
      <c r="A4808" t="str">
        <f>HYPERLINK("https://www.773grp.com/globalSearch/SN54S244J/page-1", "SN54S244J")</f>
        <v>SN54S244J</v>
      </c>
      <c r="B4808" s="3" t="s">
        <v>90</v>
      </c>
      <c r="C4808" s="5">
        <v>235</v>
      </c>
      <c r="D4808" s="6">
        <v>33.5</v>
      </c>
      <c r="E4808" t="s">
        <v>12</v>
      </c>
    </row>
    <row r="4809" spans="1:5" x14ac:dyDescent="0.25">
      <c r="A4809" t="str">
        <f>HYPERLINK("https://www.773grp.com/globalSearch/SNJ54ALS29825JT/page-1", "SNJ54ALS29825JT")</f>
        <v>SNJ54ALS29825JT</v>
      </c>
      <c r="B4809" s="3" t="s">
        <v>90</v>
      </c>
      <c r="C4809" s="5">
        <v>323</v>
      </c>
      <c r="D4809" s="6">
        <v>33.53</v>
      </c>
      <c r="E4809" t="s">
        <v>12</v>
      </c>
    </row>
    <row r="4810" spans="1:5" x14ac:dyDescent="0.25">
      <c r="A4810" t="str">
        <f>HYPERLINK("https://www.773grp.com/globalSearch/SNJ54ALS29843JT/page-1", "SNJ54ALS29843JT")</f>
        <v>SNJ54ALS29843JT</v>
      </c>
      <c r="B4810" s="3" t="s">
        <v>90</v>
      </c>
      <c r="C4810" s="5">
        <v>182</v>
      </c>
      <c r="D4810" s="6">
        <v>33.53</v>
      </c>
      <c r="E4810" t="s">
        <v>12</v>
      </c>
    </row>
    <row r="4811" spans="1:5" x14ac:dyDescent="0.25">
      <c r="A4811" t="str">
        <f>HYPERLINK("https://www.773grp.com/globalSearch/SN74ALS653NT/page-1", "SN74ALS653NT")</f>
        <v>SN74ALS653NT</v>
      </c>
      <c r="B4811" s="3" t="s">
        <v>90</v>
      </c>
      <c r="C4811" s="5">
        <v>14045</v>
      </c>
      <c r="D4811" s="6">
        <v>33.549999999999997</v>
      </c>
      <c r="E4811" t="s">
        <v>12</v>
      </c>
    </row>
    <row r="4812" spans="1:5" x14ac:dyDescent="0.25">
      <c r="A4812" t="str">
        <f>HYPERLINK("https://www.773grp.com/globalSearch/5962-87556012A/page-1", "5962-87556012A")</f>
        <v>5962-87556012A</v>
      </c>
      <c r="B4812" s="3" t="s">
        <v>90</v>
      </c>
      <c r="C4812" s="5">
        <v>5</v>
      </c>
      <c r="D4812" s="6">
        <v>33.700000000000003</v>
      </c>
      <c r="E4812" t="s">
        <v>12</v>
      </c>
    </row>
    <row r="4813" spans="1:5" x14ac:dyDescent="0.25">
      <c r="A4813" t="str">
        <f>HYPERLINK("https://www.773grp.com/globalSearch/SNJ54ACT373FK/page-1", "SNJ54ACT373FK")</f>
        <v>SNJ54ACT373FK</v>
      </c>
      <c r="B4813" s="3" t="s">
        <v>90</v>
      </c>
      <c r="C4813" s="5">
        <v>30</v>
      </c>
      <c r="D4813" s="6">
        <v>33.700000000000003</v>
      </c>
      <c r="E4813" t="s">
        <v>12</v>
      </c>
    </row>
    <row r="4814" spans="1:5" x14ac:dyDescent="0.25">
      <c r="A4814" t="str">
        <f>HYPERLINK("https://www.773grp.com/globalSearch/85130012A/page-1", "85130012A")</f>
        <v>85130012A</v>
      </c>
      <c r="B4814" s="3" t="s">
        <v>90</v>
      </c>
      <c r="C4814" s="5">
        <v>498</v>
      </c>
      <c r="D4814" s="6">
        <v>33.71</v>
      </c>
      <c r="E4814" t="s">
        <v>12</v>
      </c>
    </row>
    <row r="4815" spans="1:5" x14ac:dyDescent="0.25">
      <c r="A4815" t="str">
        <f>HYPERLINK("https://www.773grp.com/globalSearch/SNJ54HCT244FK/page-1", "SNJ54HCT244FK")</f>
        <v>SNJ54HCT244FK</v>
      </c>
      <c r="B4815" s="3" t="s">
        <v>90</v>
      </c>
      <c r="C4815" s="5">
        <v>326</v>
      </c>
      <c r="D4815" s="6">
        <v>33.71</v>
      </c>
      <c r="E4815" t="s">
        <v>12</v>
      </c>
    </row>
    <row r="4816" spans="1:5" x14ac:dyDescent="0.25">
      <c r="A4816" t="str">
        <f>HYPERLINK("https://www.773grp.com/globalSearch/5962-9677301QSA/page-1", "5962-9677301QSA")</f>
        <v>5962-9677301QSA</v>
      </c>
      <c r="B4816" s="3" t="s">
        <v>90</v>
      </c>
      <c r="C4816" s="5">
        <v>34</v>
      </c>
      <c r="D4816" s="6">
        <v>33.79</v>
      </c>
      <c r="E4816" t="s">
        <v>12</v>
      </c>
    </row>
    <row r="4817" spans="1:5" x14ac:dyDescent="0.25">
      <c r="A4817" t="str">
        <f>HYPERLINK("https://www.773grp.com/globalSearch/5962-8755601SA/page-1", "5962-8755601SA")</f>
        <v>5962-8755601SA</v>
      </c>
      <c r="B4817" s="3" t="s">
        <v>90</v>
      </c>
      <c r="C4817" s="5">
        <v>41</v>
      </c>
      <c r="D4817" s="6">
        <v>33.799999999999997</v>
      </c>
      <c r="E4817" t="s">
        <v>12</v>
      </c>
    </row>
    <row r="4818" spans="1:5" x14ac:dyDescent="0.25">
      <c r="A4818" t="str">
        <f>HYPERLINK("https://www.773grp.com/globalSearch/JM38510-33201B2A/page-1", "JM38510-33201B2A")</f>
        <v>JM38510-33201B2A</v>
      </c>
      <c r="B4818" s="3" t="s">
        <v>90</v>
      </c>
      <c r="C4818" s="5">
        <v>837</v>
      </c>
      <c r="D4818" s="6">
        <v>33.840000000000003</v>
      </c>
      <c r="E4818" t="s">
        <v>12</v>
      </c>
    </row>
    <row r="4819" spans="1:5" x14ac:dyDescent="0.25">
      <c r="A4819" t="str">
        <f>HYPERLINK("https://www.773grp.com/globalSearch/SN74ABTH18502APM/page-1", "SN74ABTH18502APM")</f>
        <v>SN74ABTH18502APM</v>
      </c>
      <c r="B4819" s="3" t="s">
        <v>90</v>
      </c>
      <c r="C4819" s="5">
        <v>5496</v>
      </c>
      <c r="D4819" s="6">
        <v>33.89</v>
      </c>
      <c r="E4819" t="s">
        <v>12</v>
      </c>
    </row>
    <row r="4820" spans="1:5" x14ac:dyDescent="0.25">
      <c r="A4820" t="str">
        <f>HYPERLINK("https://www.773grp.com/globalSearch/SN74ABTH18502APMR/page-1", "SN74ABTH18502APMR")</f>
        <v>SN74ABTH18502APMR</v>
      </c>
      <c r="B4820" s="3" t="s">
        <v>90</v>
      </c>
      <c r="C4820" s="5">
        <v>4000</v>
      </c>
      <c r="D4820" s="6">
        <v>33.89</v>
      </c>
      <c r="E4820" t="s">
        <v>12</v>
      </c>
    </row>
    <row r="4821" spans="1:5" x14ac:dyDescent="0.25">
      <c r="A4821" t="str">
        <f>HYPERLINK("https://www.773grp.com/globalSearch/SN74ABTH18504APM/page-1", "SN74ABTH18504APM")</f>
        <v>SN74ABTH18504APM</v>
      </c>
      <c r="B4821" s="3" t="s">
        <v>90</v>
      </c>
      <c r="C4821" s="5">
        <v>25260</v>
      </c>
      <c r="D4821" s="6">
        <v>33.89</v>
      </c>
      <c r="E4821" t="s">
        <v>12</v>
      </c>
    </row>
    <row r="4822" spans="1:5" x14ac:dyDescent="0.25">
      <c r="A4822" t="str">
        <f>HYPERLINK("https://www.773grp.com/globalSearch/SN54S240J/page-1", "SN54S240J")</f>
        <v>SN54S240J</v>
      </c>
      <c r="B4822" s="3" t="s">
        <v>90</v>
      </c>
      <c r="C4822" s="5">
        <v>29</v>
      </c>
      <c r="D4822" s="6">
        <v>33.979999999999997</v>
      </c>
      <c r="E4822" t="s">
        <v>12</v>
      </c>
    </row>
    <row r="4823" spans="1:5" x14ac:dyDescent="0.25">
      <c r="A4823" t="str">
        <f>HYPERLINK("https://www.773grp.com/globalSearch/SN74FB2031RC/page-1", "SN74FB2031RC")</f>
        <v>SN74FB2031RC</v>
      </c>
      <c r="B4823" s="3" t="s">
        <v>90</v>
      </c>
      <c r="C4823" s="5">
        <v>11948</v>
      </c>
      <c r="D4823" s="6">
        <v>34.14</v>
      </c>
      <c r="E4823" t="s">
        <v>12</v>
      </c>
    </row>
    <row r="4824" spans="1:5" x14ac:dyDescent="0.25">
      <c r="A4824" t="str">
        <f>HYPERLINK("https://www.773grp.com/globalSearch/5962-8960201RA/page-1", "5962-8960201RA")</f>
        <v>5962-8960201RA</v>
      </c>
      <c r="B4824" s="3" t="s">
        <v>90</v>
      </c>
      <c r="C4824" s="5">
        <v>2</v>
      </c>
      <c r="D4824" s="6">
        <v>34.200000000000003</v>
      </c>
      <c r="E4824" t="s">
        <v>12</v>
      </c>
    </row>
    <row r="4825" spans="1:5" x14ac:dyDescent="0.25">
      <c r="A4825" t="str">
        <f>HYPERLINK("https://www.773grp.com/globalSearch/SN54S374J/page-1", "SN54S374J")</f>
        <v>SN54S374J</v>
      </c>
      <c r="B4825" s="3" t="s">
        <v>90</v>
      </c>
      <c r="C4825" s="5">
        <v>13</v>
      </c>
      <c r="D4825" s="6">
        <v>34.26</v>
      </c>
      <c r="E4825" t="s">
        <v>12</v>
      </c>
    </row>
    <row r="4826" spans="1:5" x14ac:dyDescent="0.25">
      <c r="A4826" t="str">
        <f>HYPERLINK("https://www.773grp.com/globalSearch/SN74ALVCH16903DLR/page-1", "SN74ALVCH16903DLR")</f>
        <v>SN74ALVCH16903DLR</v>
      </c>
      <c r="B4826" s="3" t="s">
        <v>90</v>
      </c>
      <c r="C4826" s="5">
        <v>1000</v>
      </c>
      <c r="D4826" s="6">
        <v>34.31</v>
      </c>
      <c r="E4826" t="s">
        <v>12</v>
      </c>
    </row>
    <row r="4827" spans="1:5" x14ac:dyDescent="0.25">
      <c r="A4827" t="str">
        <f>HYPERLINK("https://www.773grp.com/globalSearch/JM38510-32403BSA/page-1", "JM38510-32403BSA")</f>
        <v>JM38510-32403BSA</v>
      </c>
      <c r="B4827" s="3" t="s">
        <v>90</v>
      </c>
      <c r="C4827" s="5">
        <v>144</v>
      </c>
      <c r="D4827" s="6">
        <v>34.39</v>
      </c>
      <c r="E4827" t="s">
        <v>12</v>
      </c>
    </row>
    <row r="4828" spans="1:5" x14ac:dyDescent="0.25">
      <c r="A4828" t="str">
        <f>HYPERLINK("https://www.773grp.com/globalSearch/5962-9074901MRA/page-1", "5962-9074901MRA")</f>
        <v>5962-9074901MRA</v>
      </c>
      <c r="B4828" s="3" t="s">
        <v>90</v>
      </c>
      <c r="C4828" s="5">
        <v>192</v>
      </c>
      <c r="D4828" s="6">
        <v>34.51</v>
      </c>
      <c r="E4828" t="s">
        <v>12</v>
      </c>
    </row>
    <row r="4829" spans="1:5" x14ac:dyDescent="0.25">
      <c r="A4829" t="str">
        <f>HYPERLINK("https://www.773grp.com/globalSearch/5962-9678201Q2A/page-1", "5962-9678201Q2A")</f>
        <v>5962-9678201Q2A</v>
      </c>
      <c r="B4829" s="3" t="s">
        <v>90</v>
      </c>
      <c r="C4829" s="5">
        <v>57</v>
      </c>
      <c r="D4829" s="6">
        <v>34.56</v>
      </c>
      <c r="E4829" t="s">
        <v>12</v>
      </c>
    </row>
    <row r="4830" spans="1:5" x14ac:dyDescent="0.25">
      <c r="A4830" t="str">
        <f>HYPERLINK("https://www.773grp.com/globalSearch/SNJ54AHC244FK/page-1", "SNJ54AHC244FK")</f>
        <v>SNJ54AHC244FK</v>
      </c>
      <c r="B4830" s="3" t="s">
        <v>90</v>
      </c>
      <c r="C4830" s="5">
        <v>5</v>
      </c>
      <c r="D4830" s="6">
        <v>34.56</v>
      </c>
      <c r="E4830" t="s">
        <v>12</v>
      </c>
    </row>
    <row r="4831" spans="1:5" x14ac:dyDescent="0.25">
      <c r="A4831" t="str">
        <f>HYPERLINK("https://www.773grp.com/globalSearch/5962-9074201MRA/page-1", "5962-9074201MRA")</f>
        <v>5962-9074201MRA</v>
      </c>
      <c r="B4831" s="3" t="s">
        <v>90</v>
      </c>
      <c r="C4831" s="5">
        <v>362</v>
      </c>
      <c r="D4831" s="6">
        <v>34.630000000000003</v>
      </c>
      <c r="E4831" t="s">
        <v>12</v>
      </c>
    </row>
    <row r="4832" spans="1:5" x14ac:dyDescent="0.25">
      <c r="A4832" t="str">
        <f>HYPERLINK("https://www.773grp.com/globalSearch/8400102RA/page-1", "8400102RA")</f>
        <v>8400102RA</v>
      </c>
      <c r="B4832" s="3" t="s">
        <v>90</v>
      </c>
      <c r="C4832" s="5">
        <v>201</v>
      </c>
      <c r="D4832" s="6">
        <v>34.630000000000003</v>
      </c>
      <c r="E4832" t="s">
        <v>12</v>
      </c>
    </row>
    <row r="4833" spans="1:5" x14ac:dyDescent="0.25">
      <c r="A4833" t="str">
        <f>HYPERLINK("https://www.773grp.com/globalSearch/SNJ54BCT240J/page-1", "SNJ54BCT240J")</f>
        <v>SNJ54BCT240J</v>
      </c>
      <c r="B4833" s="3" t="s">
        <v>90</v>
      </c>
      <c r="C4833" s="5">
        <v>17</v>
      </c>
      <c r="D4833" s="6">
        <v>34.630000000000003</v>
      </c>
      <c r="E4833" t="s">
        <v>12</v>
      </c>
    </row>
    <row r="4834" spans="1:5" x14ac:dyDescent="0.25">
      <c r="A4834" t="str">
        <f>HYPERLINK("https://www.773grp.com/globalSearch/SNJ54AHC245FK/page-1", "SNJ54AHC245FK")</f>
        <v>SNJ54AHC245FK</v>
      </c>
      <c r="B4834" s="3" t="s">
        <v>90</v>
      </c>
      <c r="C4834" s="5">
        <v>6</v>
      </c>
      <c r="D4834" s="6">
        <v>35.01</v>
      </c>
      <c r="E4834" t="s">
        <v>12</v>
      </c>
    </row>
    <row r="4835" spans="1:5" x14ac:dyDescent="0.25">
      <c r="A4835" t="str">
        <f>HYPERLINK("https://www.773grp.com/globalSearch/SNJ54LS645J/page-1", "SNJ54LS645J")</f>
        <v>SNJ54LS645J</v>
      </c>
      <c r="B4835" s="3" t="s">
        <v>90</v>
      </c>
      <c r="C4835" s="5">
        <v>4</v>
      </c>
      <c r="D4835" s="6">
        <v>35.06</v>
      </c>
      <c r="E4835" t="s">
        <v>12</v>
      </c>
    </row>
    <row r="4836" spans="1:5" x14ac:dyDescent="0.25">
      <c r="A4836" t="str">
        <f>HYPERLINK("https://www.773grp.com/globalSearch/5962-9680701Q2A/page-1", "5962-9680701Q2A")</f>
        <v>5962-9680701Q2A</v>
      </c>
      <c r="B4836" s="3" t="s">
        <v>90</v>
      </c>
      <c r="C4836" s="5">
        <v>8</v>
      </c>
      <c r="D4836" s="6">
        <v>35.1</v>
      </c>
      <c r="E4836" t="s">
        <v>12</v>
      </c>
    </row>
    <row r="4837" spans="1:5" x14ac:dyDescent="0.25">
      <c r="A4837" t="str">
        <f>HYPERLINK("https://www.773grp.com/globalSearch/SN74ABTH32318PN/page-1", "SN74ABTH32318PN")</f>
        <v>SN74ABTH32318PN</v>
      </c>
      <c r="B4837" s="3" t="s">
        <v>90</v>
      </c>
      <c r="C4837" s="5">
        <v>4227</v>
      </c>
      <c r="D4837" s="6">
        <v>35.15</v>
      </c>
      <c r="E4837" t="s">
        <v>12</v>
      </c>
    </row>
    <row r="4838" spans="1:5" x14ac:dyDescent="0.25">
      <c r="A4838" t="str">
        <f>HYPERLINK("https://www.773grp.com/globalSearch/5962-9678301QSA/page-1", "5962-9678301QSA")</f>
        <v>5962-9678301QSA</v>
      </c>
      <c r="B4838" s="3" t="s">
        <v>90</v>
      </c>
      <c r="C4838" s="5">
        <v>21</v>
      </c>
      <c r="D4838" s="6">
        <v>35.21</v>
      </c>
      <c r="E4838" t="s">
        <v>12</v>
      </c>
    </row>
    <row r="4839" spans="1:5" x14ac:dyDescent="0.25">
      <c r="A4839" t="str">
        <f>HYPERLINK("https://www.773grp.com/globalSearch/5962-9681801QSA/page-1", "5962-9681801QSA")</f>
        <v>5962-9681801QSA</v>
      </c>
      <c r="B4839" s="3" t="s">
        <v>90</v>
      </c>
      <c r="C4839" s="5">
        <v>2</v>
      </c>
      <c r="D4839" s="6">
        <v>35.21</v>
      </c>
      <c r="E4839" t="s">
        <v>12</v>
      </c>
    </row>
    <row r="4840" spans="1:5" x14ac:dyDescent="0.25">
      <c r="A4840" t="str">
        <f>HYPERLINK("https://www.773grp.com/globalSearch/5962-9685501Q2A/page-1", "5962-9685501Q2A")</f>
        <v>5962-9685501Q2A</v>
      </c>
      <c r="B4840" s="3" t="s">
        <v>90</v>
      </c>
      <c r="C4840" s="5">
        <v>78</v>
      </c>
      <c r="D4840" s="6">
        <v>35.4</v>
      </c>
      <c r="E4840" t="s">
        <v>12</v>
      </c>
    </row>
    <row r="4841" spans="1:5" x14ac:dyDescent="0.25">
      <c r="A4841" t="str">
        <f>HYPERLINK("https://www.773grp.com/globalSearch/SN54AS574J/page-1", "SN54AS574J")</f>
        <v>SN54AS574J</v>
      </c>
      <c r="B4841" s="3" t="s">
        <v>90</v>
      </c>
      <c r="C4841" s="5">
        <v>5</v>
      </c>
      <c r="D4841" s="6">
        <v>35.4</v>
      </c>
      <c r="E4841" t="s">
        <v>12</v>
      </c>
    </row>
    <row r="4842" spans="1:5" x14ac:dyDescent="0.25">
      <c r="A4842" t="str">
        <f>HYPERLINK("https://www.773grp.com/globalSearch/5962-9062501MRA/page-1", "5962-9062501MRA")</f>
        <v>5962-9062501MRA</v>
      </c>
      <c r="B4842" s="3" t="s">
        <v>90</v>
      </c>
      <c r="C4842" s="5">
        <v>23</v>
      </c>
      <c r="D4842" s="6">
        <v>35.479999999999997</v>
      </c>
      <c r="E4842" t="s">
        <v>12</v>
      </c>
    </row>
    <row r="4843" spans="1:5" x14ac:dyDescent="0.25">
      <c r="A4843" t="str">
        <f>HYPERLINK("https://www.773grp.com/globalSearch/SN74FB2040RCG3/page-1", "SN74FB2040RCG3")</f>
        <v>SN74FB2040RCG3</v>
      </c>
      <c r="B4843" s="3" t="s">
        <v>90</v>
      </c>
      <c r="C4843" s="5">
        <v>2668</v>
      </c>
      <c r="D4843" s="6">
        <v>35.549999999999997</v>
      </c>
      <c r="E4843" t="s">
        <v>12</v>
      </c>
    </row>
    <row r="4844" spans="1:5" x14ac:dyDescent="0.25">
      <c r="A4844" t="str">
        <f>HYPERLINK("https://www.773grp.com/globalSearch/SN74FB2041ARCG3/page-1", "SN74FB2041ARCG3")</f>
        <v>SN74FB2041ARCG3</v>
      </c>
      <c r="B4844" s="3" t="s">
        <v>90</v>
      </c>
      <c r="C4844" s="5">
        <v>8653</v>
      </c>
      <c r="D4844" s="6">
        <v>35.549999999999997</v>
      </c>
      <c r="E4844" t="s">
        <v>12</v>
      </c>
    </row>
    <row r="4845" spans="1:5" x14ac:dyDescent="0.25">
      <c r="A4845" t="str">
        <f>HYPERLINK("https://www.773grp.com/globalSearch/5962-9324202QLA/page-1", "5962-9324202QLA")</f>
        <v>5962-9324202QLA</v>
      </c>
      <c r="B4845" s="3" t="s">
        <v>90</v>
      </c>
      <c r="C4845" s="5">
        <v>56</v>
      </c>
      <c r="D4845" s="6">
        <v>35.58</v>
      </c>
      <c r="E4845" t="s">
        <v>12</v>
      </c>
    </row>
    <row r="4846" spans="1:5" x14ac:dyDescent="0.25">
      <c r="A4846" t="str">
        <f>HYPERLINK("https://www.773grp.com/globalSearch/SNJ54AS240FK/page-1", "SNJ54AS240FK")</f>
        <v>SNJ54AS240FK</v>
      </c>
      <c r="B4846" s="3" t="s">
        <v>90</v>
      </c>
      <c r="C4846" s="5">
        <v>54</v>
      </c>
      <c r="D4846" s="6">
        <v>35.89</v>
      </c>
      <c r="E4846" t="s">
        <v>12</v>
      </c>
    </row>
    <row r="4847" spans="1:5" x14ac:dyDescent="0.25">
      <c r="A4847" t="str">
        <f>HYPERLINK("https://www.773grp.com/globalSearch/SN74ALS653DW/page-1", "SN74ALS653DW")</f>
        <v>SN74ALS653DW</v>
      </c>
      <c r="B4847" s="3" t="s">
        <v>90</v>
      </c>
      <c r="C4847" s="5">
        <v>295</v>
      </c>
      <c r="D4847" s="6">
        <v>35.979999999999997</v>
      </c>
      <c r="E4847" t="s">
        <v>12</v>
      </c>
    </row>
    <row r="4848" spans="1:5" x14ac:dyDescent="0.25">
      <c r="A4848" t="str">
        <f>HYPERLINK("https://www.773grp.com/globalSearch/5962-9676801QCA/page-1", "5962-9676801QCA")</f>
        <v>5962-9676801QCA</v>
      </c>
      <c r="B4848" s="3" t="s">
        <v>90</v>
      </c>
      <c r="C4848" s="5">
        <v>343</v>
      </c>
      <c r="D4848" s="6">
        <v>36.06</v>
      </c>
      <c r="E4848" t="s">
        <v>12</v>
      </c>
    </row>
    <row r="4849" spans="1:5" x14ac:dyDescent="0.25">
      <c r="A4849" t="str">
        <f>HYPERLINK("https://www.773grp.com/globalSearch/5962-8780901RA/page-1", "5962-8780901RA")</f>
        <v>5962-8780901RA</v>
      </c>
      <c r="B4849" s="3" t="s">
        <v>90</v>
      </c>
      <c r="C4849" s="5">
        <v>248</v>
      </c>
      <c r="D4849" s="6">
        <v>36.450000000000003</v>
      </c>
      <c r="E4849" t="s">
        <v>12</v>
      </c>
    </row>
    <row r="4850" spans="1:5" x14ac:dyDescent="0.25">
      <c r="A4850" t="str">
        <f>HYPERLINK("https://www.773grp.com/globalSearch/SN74FB2040RC/page-1", "SN74FB2040RC")</f>
        <v>SN74FB2040RC</v>
      </c>
      <c r="B4850" s="3" t="s">
        <v>90</v>
      </c>
      <c r="C4850" s="5">
        <v>5029</v>
      </c>
      <c r="D4850" s="6">
        <v>36.75</v>
      </c>
      <c r="E4850" t="s">
        <v>12</v>
      </c>
    </row>
    <row r="4851" spans="1:5" x14ac:dyDescent="0.25">
      <c r="A4851" t="str">
        <f>HYPERLINK("https://www.773grp.com/globalSearch/SN74FB2041ARC/page-1", "SN74FB2041ARC")</f>
        <v>SN74FB2041ARC</v>
      </c>
      <c r="B4851" s="3" t="s">
        <v>90</v>
      </c>
      <c r="C4851" s="5">
        <v>47594</v>
      </c>
      <c r="D4851" s="6">
        <v>36.75</v>
      </c>
      <c r="E4851" t="s">
        <v>12</v>
      </c>
    </row>
    <row r="4852" spans="1:5" x14ac:dyDescent="0.25">
      <c r="A4852" t="str">
        <f>HYPERLINK("https://www.773grp.com/globalSearch/SNJ54CBT3383JT/page-1", "SNJ54CBT3383JT")</f>
        <v>SNJ54CBT3383JT</v>
      </c>
      <c r="B4852" s="3" t="s">
        <v>90</v>
      </c>
      <c r="C4852" s="5">
        <v>226</v>
      </c>
      <c r="D4852" s="6">
        <v>37.01</v>
      </c>
      <c r="E4852" t="s">
        <v>12</v>
      </c>
    </row>
    <row r="4853" spans="1:5" x14ac:dyDescent="0.25">
      <c r="A4853" t="str">
        <f>HYPERLINK("https://www.773grp.com/globalSearch/5962-9685701QSA/page-1", "5962-9685701QSA")</f>
        <v>5962-9685701QSA</v>
      </c>
      <c r="B4853" s="3" t="s">
        <v>90</v>
      </c>
      <c r="C4853" s="5">
        <v>8</v>
      </c>
      <c r="D4853" s="6">
        <v>37.24</v>
      </c>
      <c r="E4853" t="s">
        <v>12</v>
      </c>
    </row>
    <row r="4854" spans="1:5" x14ac:dyDescent="0.25">
      <c r="A4854" t="str">
        <f>HYPERLINK("https://www.773grp.com/globalSearch/SN74ABTH182502APM/page-1", "SN74ABTH182502APM")</f>
        <v>SN74ABTH182502APM</v>
      </c>
      <c r="B4854" s="3" t="s">
        <v>90</v>
      </c>
      <c r="C4854" s="5">
        <v>20100</v>
      </c>
      <c r="D4854" s="6">
        <v>37.380000000000003</v>
      </c>
      <c r="E4854" t="s">
        <v>12</v>
      </c>
    </row>
    <row r="4855" spans="1:5" x14ac:dyDescent="0.25">
      <c r="A4855" t="str">
        <f>HYPERLINK("https://www.773grp.com/globalSearch/SN74ABTH182504APM/page-1", "SN74ABTH182504APM")</f>
        <v>SN74ABTH182504APM</v>
      </c>
      <c r="B4855" s="3" t="s">
        <v>90</v>
      </c>
      <c r="C4855" s="5">
        <v>13157</v>
      </c>
      <c r="D4855" s="6">
        <v>37.380000000000003</v>
      </c>
      <c r="E4855" t="s">
        <v>12</v>
      </c>
    </row>
    <row r="4856" spans="1:5" x14ac:dyDescent="0.25">
      <c r="A4856" t="str">
        <f>HYPERLINK("https://www.773grp.com/globalSearch/5962-9685801Q2A/page-1", "5962-9685801Q2A")</f>
        <v>5962-9685801Q2A</v>
      </c>
      <c r="B4856" s="3" t="s">
        <v>90</v>
      </c>
      <c r="C4856" s="5">
        <v>17</v>
      </c>
      <c r="D4856" s="6">
        <v>37.5</v>
      </c>
      <c r="E4856" t="s">
        <v>12</v>
      </c>
    </row>
    <row r="4857" spans="1:5" x14ac:dyDescent="0.25">
      <c r="A4857" t="str">
        <f>HYPERLINK("https://www.773grp.com/globalSearch/SNJ54LS367AFK/page-1", "SNJ54LS367AFK")</f>
        <v>SNJ54LS367AFK</v>
      </c>
      <c r="B4857" s="3" t="s">
        <v>90</v>
      </c>
      <c r="C4857" s="5">
        <v>33</v>
      </c>
      <c r="D4857" s="6">
        <v>37.51</v>
      </c>
      <c r="E4857" t="s">
        <v>12</v>
      </c>
    </row>
    <row r="4858" spans="1:5" x14ac:dyDescent="0.25">
      <c r="A4858" t="str">
        <f>HYPERLINK("https://www.773grp.com/globalSearch/5962-9686401QSA/page-1", "5962-9686401QSA")</f>
        <v>5962-9686401QSA</v>
      </c>
      <c r="B4858" s="3" t="s">
        <v>90</v>
      </c>
      <c r="C4858" s="5">
        <v>2</v>
      </c>
      <c r="D4858" s="6">
        <v>37.69</v>
      </c>
      <c r="E4858" t="s">
        <v>12</v>
      </c>
    </row>
    <row r="4859" spans="1:5" x14ac:dyDescent="0.25">
      <c r="A4859" t="str">
        <f>HYPERLINK("https://www.773grp.com/globalSearch/SNJ54AHC374W/page-1", "SNJ54AHC374W")</f>
        <v>SNJ54AHC374W</v>
      </c>
      <c r="B4859" s="3" t="s">
        <v>90</v>
      </c>
      <c r="C4859" s="5">
        <v>6</v>
      </c>
      <c r="D4859" s="6">
        <v>37.69</v>
      </c>
      <c r="E4859" t="s">
        <v>12</v>
      </c>
    </row>
    <row r="4860" spans="1:5" x14ac:dyDescent="0.25">
      <c r="A4860" t="str">
        <f>HYPERLINK("https://www.773grp.com/globalSearch/5962-9214701M2A/page-1", "5962-9214701M2A")</f>
        <v>5962-9214701M2A</v>
      </c>
      <c r="B4860" s="3" t="s">
        <v>90</v>
      </c>
      <c r="C4860" s="5">
        <v>607</v>
      </c>
      <c r="D4860" s="6">
        <v>37.71</v>
      </c>
      <c r="E4860" t="s">
        <v>12</v>
      </c>
    </row>
    <row r="4861" spans="1:5" x14ac:dyDescent="0.25">
      <c r="A4861" t="str">
        <f>HYPERLINK("https://www.773grp.com/globalSearch/CY54FCT841ATDMB/page-1", "CY54FCT841ATDMB")</f>
        <v>CY54FCT841ATDMB</v>
      </c>
      <c r="B4861" s="3" t="s">
        <v>90</v>
      </c>
      <c r="C4861" s="5">
        <v>1086</v>
      </c>
      <c r="D4861" s="6">
        <v>37.75</v>
      </c>
      <c r="E4861" t="s">
        <v>12</v>
      </c>
    </row>
    <row r="4862" spans="1:5" x14ac:dyDescent="0.25">
      <c r="A4862" t="str">
        <f>HYPERLINK("https://www.773grp.com/globalSearch/SN74ABTH32316PN/page-1", "SN74ABTH32316PN")</f>
        <v>SN74ABTH32316PN</v>
      </c>
      <c r="B4862" s="3" t="s">
        <v>90</v>
      </c>
      <c r="C4862" s="5">
        <v>4187</v>
      </c>
      <c r="D4862" s="6">
        <v>37.979999999999997</v>
      </c>
      <c r="E4862" t="s">
        <v>12</v>
      </c>
    </row>
    <row r="4863" spans="1:5" x14ac:dyDescent="0.25">
      <c r="A4863" t="str">
        <f>HYPERLINK("https://www.773grp.com/globalSearch/SN74ALS667NT3/page-1", "SN74ALS667NT3")</f>
        <v>SN74ALS667NT3</v>
      </c>
      <c r="B4863" s="3" t="s">
        <v>90</v>
      </c>
      <c r="C4863" s="5">
        <v>181</v>
      </c>
      <c r="D4863" s="6">
        <v>38.18</v>
      </c>
      <c r="E4863" t="s">
        <v>12</v>
      </c>
    </row>
    <row r="4864" spans="1:5" x14ac:dyDescent="0.25">
      <c r="A4864" t="str">
        <f>HYPERLINK("https://www.773grp.com/globalSearch/SN74FB1653PCA/page-1", "SN74FB1653PCA")</f>
        <v>SN74FB1653PCA</v>
      </c>
      <c r="B4864" s="3" t="s">
        <v>90</v>
      </c>
      <c r="C4864" s="5">
        <v>35098</v>
      </c>
      <c r="D4864" s="6">
        <v>38.18</v>
      </c>
      <c r="E4864" t="s">
        <v>12</v>
      </c>
    </row>
    <row r="4865" spans="1:5" x14ac:dyDescent="0.25">
      <c r="A4865" t="str">
        <f>HYPERLINK("https://www.773grp.com/globalSearch/8409001CA/page-1", "8409001CA")</f>
        <v>8409001CA</v>
      </c>
      <c r="B4865" s="3" t="s">
        <v>90</v>
      </c>
      <c r="C4865" s="5">
        <v>112</v>
      </c>
      <c r="D4865" s="6">
        <v>38.36</v>
      </c>
      <c r="E4865" t="s">
        <v>12</v>
      </c>
    </row>
    <row r="4866" spans="1:5" x14ac:dyDescent="0.25">
      <c r="A4866" t="str">
        <f>HYPERLINK("https://www.773grp.com/globalSearch/SNJ54LVT574FK/page-1", "SNJ54LVT574FK")</f>
        <v>SNJ54LVT574FK</v>
      </c>
      <c r="B4866" s="3" t="s">
        <v>90</v>
      </c>
      <c r="C4866" s="5">
        <v>214</v>
      </c>
      <c r="D4866" s="6">
        <v>38.43</v>
      </c>
      <c r="E4866" t="s">
        <v>12</v>
      </c>
    </row>
    <row r="4867" spans="1:5" x14ac:dyDescent="0.25">
      <c r="A4867" t="str">
        <f>HYPERLINK("https://www.773grp.com/globalSearch/SN74LVT18502PM/page-1", "SN74LVT18502PM")</f>
        <v>SN74LVT18502PM</v>
      </c>
      <c r="B4867" s="3" t="s">
        <v>90</v>
      </c>
      <c r="C4867" s="5">
        <v>105</v>
      </c>
      <c r="D4867" s="6">
        <v>38.44</v>
      </c>
      <c r="E4867" t="s">
        <v>12</v>
      </c>
    </row>
    <row r="4868" spans="1:5" x14ac:dyDescent="0.25">
      <c r="A4868" t="str">
        <f>HYPERLINK("https://www.773grp.com/globalSearch/5962-9457702Q3A/page-1", "5962-9457702Q3A")</f>
        <v>5962-9457702Q3A</v>
      </c>
      <c r="B4868" s="3" t="s">
        <v>90</v>
      </c>
      <c r="C4868" s="5">
        <v>121</v>
      </c>
      <c r="D4868" s="6">
        <v>38.51</v>
      </c>
      <c r="E4868" t="s">
        <v>12</v>
      </c>
    </row>
    <row r="4869" spans="1:5" x14ac:dyDescent="0.25">
      <c r="A4869" t="str">
        <f>HYPERLINK("https://www.773grp.com/globalSearch/5962-9094001MRA/page-1", "5962-9094001MRA")</f>
        <v>5962-9094001MRA</v>
      </c>
      <c r="B4869" s="3" t="s">
        <v>90</v>
      </c>
      <c r="C4869" s="5">
        <v>17</v>
      </c>
      <c r="D4869" s="6">
        <v>38.85</v>
      </c>
      <c r="E4869" t="s">
        <v>12</v>
      </c>
    </row>
    <row r="4870" spans="1:5" x14ac:dyDescent="0.25">
      <c r="A4870" t="str">
        <f>HYPERLINK("https://www.773grp.com/globalSearch/SNJ54AHCT574W/page-1", "SNJ54AHCT574W")</f>
        <v>SNJ54AHCT574W</v>
      </c>
      <c r="B4870" s="3" t="s">
        <v>90</v>
      </c>
      <c r="C4870" s="5">
        <v>266</v>
      </c>
      <c r="D4870" s="6">
        <v>38.86</v>
      </c>
      <c r="E4870" t="s">
        <v>12</v>
      </c>
    </row>
    <row r="4871" spans="1:5" x14ac:dyDescent="0.25">
      <c r="A4871" t="str">
        <f>HYPERLINK("https://www.773grp.com/globalSearch/SNJ54S373J/page-1", "SNJ54S373J")</f>
        <v>SNJ54S373J</v>
      </c>
      <c r="B4871" s="3" t="s">
        <v>90</v>
      </c>
      <c r="C4871" s="5">
        <v>44</v>
      </c>
      <c r="D4871" s="6">
        <v>38.86</v>
      </c>
      <c r="E4871" t="s">
        <v>12</v>
      </c>
    </row>
    <row r="4872" spans="1:5" x14ac:dyDescent="0.25">
      <c r="A4872" t="str">
        <f>HYPERLINK("https://www.773grp.com/globalSearch/SNJ54S240J/page-1", "SNJ54S240J")</f>
        <v>SNJ54S240J</v>
      </c>
      <c r="B4872" s="3" t="s">
        <v>90</v>
      </c>
      <c r="C4872" s="5">
        <v>10</v>
      </c>
      <c r="D4872" s="6">
        <v>38.99</v>
      </c>
      <c r="E4872" t="s">
        <v>12</v>
      </c>
    </row>
    <row r="4873" spans="1:5" x14ac:dyDescent="0.25">
      <c r="A4873" t="str">
        <f>HYPERLINK("https://www.773grp.com/globalSearch/SNJ54S241J/page-1", "SNJ54S241J")</f>
        <v>SNJ54S241J</v>
      </c>
      <c r="B4873" s="3" t="s">
        <v>90</v>
      </c>
      <c r="C4873" s="5">
        <v>64</v>
      </c>
      <c r="D4873" s="6">
        <v>39.15</v>
      </c>
      <c r="E4873" t="s">
        <v>12</v>
      </c>
    </row>
    <row r="4874" spans="1:5" x14ac:dyDescent="0.25">
      <c r="A4874" t="str">
        <f>HYPERLINK("https://www.773grp.com/globalSearch/5962-9075001MRA/page-1", "5962-9075001MRA")</f>
        <v>5962-9075001MRA</v>
      </c>
      <c r="B4874" s="3" t="s">
        <v>90</v>
      </c>
      <c r="C4874" s="5">
        <v>121</v>
      </c>
      <c r="D4874" s="6">
        <v>39.24</v>
      </c>
      <c r="E4874" t="s">
        <v>12</v>
      </c>
    </row>
    <row r="4875" spans="1:5" x14ac:dyDescent="0.25">
      <c r="A4875" t="str">
        <f>HYPERLINK("https://www.773grp.com/globalSearch/SNJ54AHCT573W/page-1", "SNJ54AHCT573W")</f>
        <v>SNJ54AHCT573W</v>
      </c>
      <c r="B4875" s="3" t="s">
        <v>90</v>
      </c>
      <c r="C4875" s="5">
        <v>211</v>
      </c>
      <c r="D4875" s="6">
        <v>39.24</v>
      </c>
      <c r="E4875" t="s">
        <v>12</v>
      </c>
    </row>
    <row r="4876" spans="1:5" x14ac:dyDescent="0.25">
      <c r="A4876" t="str">
        <f>HYPERLINK("https://www.773grp.com/globalSearch/5962-9584401QRA/page-1", "5962-9584401QRA")</f>
        <v>5962-9584401QRA</v>
      </c>
      <c r="B4876" s="3" t="s">
        <v>90</v>
      </c>
      <c r="C4876" s="5">
        <v>35</v>
      </c>
      <c r="D4876" s="6">
        <v>39.26</v>
      </c>
      <c r="E4876" t="s">
        <v>12</v>
      </c>
    </row>
    <row r="4877" spans="1:5" x14ac:dyDescent="0.25">
      <c r="A4877" t="str">
        <f>HYPERLINK("https://www.773grp.com/globalSearch/5962-9075201MRA/page-1", "5962-9075201MRA")</f>
        <v>5962-9075201MRA</v>
      </c>
      <c r="B4877" s="3" t="s">
        <v>90</v>
      </c>
      <c r="C4877" s="5">
        <v>42</v>
      </c>
      <c r="D4877" s="6">
        <v>39.44</v>
      </c>
      <c r="E4877" t="s">
        <v>12</v>
      </c>
    </row>
    <row r="4878" spans="1:5" x14ac:dyDescent="0.25">
      <c r="A4878" t="str">
        <f>HYPERLINK("https://www.773grp.com/globalSearch/SNJ54BCT640J/page-1", "SNJ54BCT640J")</f>
        <v>SNJ54BCT640J</v>
      </c>
      <c r="B4878" s="3" t="s">
        <v>90</v>
      </c>
      <c r="C4878" s="5">
        <v>92</v>
      </c>
      <c r="D4878" s="6">
        <v>39.44</v>
      </c>
      <c r="E4878" t="s">
        <v>12</v>
      </c>
    </row>
    <row r="4879" spans="1:5" x14ac:dyDescent="0.25">
      <c r="A4879" t="str">
        <f>HYPERLINK("https://www.773grp.com/globalSearch/SNJ54LVT573FK/page-1", "SNJ54LVT573FK")</f>
        <v>SNJ54LVT573FK</v>
      </c>
      <c r="B4879" s="3" t="s">
        <v>90</v>
      </c>
      <c r="C4879" s="5">
        <v>109</v>
      </c>
      <c r="D4879" s="6">
        <v>39.49</v>
      </c>
      <c r="E4879" t="s">
        <v>12</v>
      </c>
    </row>
    <row r="4880" spans="1:5" x14ac:dyDescent="0.25">
      <c r="A4880" t="str">
        <f>HYPERLINK("https://www.773grp.com/globalSearch/5962-8952501LA/page-1", "5962-8952501LA")</f>
        <v>5962-8952501LA</v>
      </c>
      <c r="B4880" s="3" t="s">
        <v>90</v>
      </c>
      <c r="C4880" s="5">
        <v>8</v>
      </c>
      <c r="D4880" s="6">
        <v>39.54</v>
      </c>
      <c r="E4880" t="s">
        <v>12</v>
      </c>
    </row>
    <row r="4881" spans="1:5" x14ac:dyDescent="0.25">
      <c r="A4881" t="str">
        <f>HYPERLINK("https://www.773grp.com/globalSearch/5962-9685601QSA/page-1", "5962-9685601QSA")</f>
        <v>5962-9685601QSA</v>
      </c>
      <c r="B4881" s="3" t="s">
        <v>90</v>
      </c>
      <c r="C4881" s="5">
        <v>11</v>
      </c>
      <c r="D4881" s="6">
        <v>39.6</v>
      </c>
      <c r="E4881" t="s">
        <v>12</v>
      </c>
    </row>
    <row r="4882" spans="1:5" x14ac:dyDescent="0.25">
      <c r="A4882" t="str">
        <f>HYPERLINK("https://www.773grp.com/globalSearch/SNJ54AHC574W/page-1", "SNJ54AHC574W")</f>
        <v>SNJ54AHC574W</v>
      </c>
      <c r="B4882" s="3" t="s">
        <v>90</v>
      </c>
      <c r="C4882" s="5">
        <v>11</v>
      </c>
      <c r="D4882" s="6">
        <v>39.630000000000003</v>
      </c>
      <c r="E4882" t="s">
        <v>12</v>
      </c>
    </row>
    <row r="4883" spans="1:5" x14ac:dyDescent="0.25">
      <c r="A4883" t="str">
        <f>HYPERLINK("https://www.773grp.com/globalSearch/SNJ54AS825AJT/page-1", "SNJ54AS825AJT")</f>
        <v>SNJ54AS825AJT</v>
      </c>
      <c r="B4883" s="3" t="s">
        <v>90</v>
      </c>
      <c r="C4883" s="5">
        <v>17</v>
      </c>
      <c r="D4883" s="6">
        <v>39.659999999999997</v>
      </c>
      <c r="E4883" t="s">
        <v>12</v>
      </c>
    </row>
    <row r="4884" spans="1:5" x14ac:dyDescent="0.25">
      <c r="A4884" t="str">
        <f>HYPERLINK("https://www.773grp.com/globalSearch/SNJ54AS240AJ/page-1", "SNJ54AS240AJ")</f>
        <v>SNJ54AS240AJ</v>
      </c>
      <c r="B4884" s="3" t="s">
        <v>90</v>
      </c>
      <c r="C4884" s="5">
        <v>16</v>
      </c>
      <c r="D4884" s="6">
        <v>39.78</v>
      </c>
      <c r="E4884" t="s">
        <v>12</v>
      </c>
    </row>
    <row r="4885" spans="1:5" x14ac:dyDescent="0.25">
      <c r="A4885" t="str">
        <f>HYPERLINK("https://www.773grp.com/globalSearch/SNJ54LS365AFK/page-1", "SNJ54LS365AFK")</f>
        <v>SNJ54LS365AFK</v>
      </c>
      <c r="B4885" s="3" t="s">
        <v>90</v>
      </c>
      <c r="C4885" s="5">
        <v>36</v>
      </c>
      <c r="D4885" s="6">
        <v>39.78</v>
      </c>
      <c r="E4885" t="s">
        <v>12</v>
      </c>
    </row>
    <row r="4886" spans="1:5" x14ac:dyDescent="0.25">
      <c r="A4886" t="str">
        <f>HYPERLINK("https://www.773grp.com/globalSearch/5962-9155401M3A/page-1", "5962-9155401M3A")</f>
        <v>5962-9155401M3A</v>
      </c>
      <c r="B4886" s="3" t="s">
        <v>90</v>
      </c>
      <c r="C4886" s="5">
        <v>121</v>
      </c>
      <c r="D4886" s="6">
        <v>39.83</v>
      </c>
      <c r="E4886" t="s">
        <v>12</v>
      </c>
    </row>
    <row r="4887" spans="1:5" x14ac:dyDescent="0.25">
      <c r="A4887" t="str">
        <f>HYPERLINK("https://www.773grp.com/globalSearch/5962-9074601MRA/page-1", "5962-9074601MRA")</f>
        <v>5962-9074601MRA</v>
      </c>
      <c r="B4887" s="3" t="s">
        <v>90</v>
      </c>
      <c r="C4887" s="5">
        <v>28</v>
      </c>
      <c r="D4887" s="6">
        <v>39.909999999999997</v>
      </c>
      <c r="E4887" t="s">
        <v>12</v>
      </c>
    </row>
    <row r="4888" spans="1:5" x14ac:dyDescent="0.25">
      <c r="A4888" t="str">
        <f>HYPERLINK("https://www.773grp.com/globalSearch/SNJ54BCT373J/page-1", "SNJ54BCT373J")</f>
        <v>SNJ54BCT373J</v>
      </c>
      <c r="B4888" s="3" t="s">
        <v>90</v>
      </c>
      <c r="C4888" s="5">
        <v>30</v>
      </c>
      <c r="D4888" s="6">
        <v>39.909999999999997</v>
      </c>
      <c r="E4888" t="s">
        <v>12</v>
      </c>
    </row>
    <row r="4889" spans="1:5" x14ac:dyDescent="0.25">
      <c r="A4889" t="str">
        <f>HYPERLINK("https://www.773grp.com/globalSearch/SNJ54AS241AJ/page-1", "SNJ54AS241AJ")</f>
        <v>SNJ54AS241AJ</v>
      </c>
      <c r="B4889" s="3" t="s">
        <v>90</v>
      </c>
      <c r="C4889" s="5">
        <v>595</v>
      </c>
      <c r="D4889" s="6">
        <v>39.96</v>
      </c>
      <c r="E4889" t="s">
        <v>12</v>
      </c>
    </row>
    <row r="4890" spans="1:5" x14ac:dyDescent="0.25">
      <c r="A4890" t="str">
        <f>HYPERLINK("https://www.773grp.com/globalSearch/5962-8681301RA/page-1", "5962-8681301RA")</f>
        <v>5962-8681301RA</v>
      </c>
      <c r="B4890" s="3" t="s">
        <v>90</v>
      </c>
      <c r="C4890" s="5">
        <v>12</v>
      </c>
      <c r="D4890" s="6">
        <v>40.03</v>
      </c>
      <c r="E4890" t="s">
        <v>12</v>
      </c>
    </row>
    <row r="4891" spans="1:5" x14ac:dyDescent="0.25">
      <c r="A4891" t="str">
        <f>HYPERLINK("https://www.773grp.com/globalSearch/SNJ54BCT245J/page-1", "SNJ54BCT245J")</f>
        <v>SNJ54BCT245J</v>
      </c>
      <c r="B4891" s="3" t="s">
        <v>90</v>
      </c>
      <c r="C4891" s="5">
        <v>199</v>
      </c>
      <c r="D4891" s="6">
        <v>40.08</v>
      </c>
      <c r="E4891" t="s">
        <v>12</v>
      </c>
    </row>
    <row r="4892" spans="1:5" x14ac:dyDescent="0.25">
      <c r="A4892" t="str">
        <f>HYPERLINK("https://www.773grp.com/globalSearch/SN74ABTH32245PZ/page-1", "SN74ABTH32245PZ")</f>
        <v>SN74ABTH32245PZ</v>
      </c>
      <c r="B4892" s="3" t="s">
        <v>90</v>
      </c>
      <c r="C4892" s="5">
        <v>8663</v>
      </c>
      <c r="D4892" s="6">
        <v>40.200000000000003</v>
      </c>
      <c r="E4892" t="s">
        <v>12</v>
      </c>
    </row>
    <row r="4893" spans="1:5" x14ac:dyDescent="0.25">
      <c r="A4893" t="str">
        <f>HYPERLINK("https://www.773grp.com/globalSearch/SNJ54AS245J/page-1", "SNJ54AS245J")</f>
        <v>SNJ54AS245J</v>
      </c>
      <c r="B4893" s="3" t="s">
        <v>90</v>
      </c>
      <c r="C4893" s="5">
        <v>8</v>
      </c>
      <c r="D4893" s="6">
        <v>40.36</v>
      </c>
      <c r="E4893" t="s">
        <v>12</v>
      </c>
    </row>
    <row r="4894" spans="1:5" x14ac:dyDescent="0.25">
      <c r="A4894" t="str">
        <f>HYPERLINK("https://www.773grp.com/globalSearch/SNJ54BCT374J/page-1", "SNJ54BCT374J")</f>
        <v>SNJ54BCT374J</v>
      </c>
      <c r="B4894" s="3" t="s">
        <v>90</v>
      </c>
      <c r="C4894" s="5">
        <v>209</v>
      </c>
      <c r="D4894" s="6">
        <v>40.409999999999997</v>
      </c>
      <c r="E4894" t="s">
        <v>12</v>
      </c>
    </row>
    <row r="4895" spans="1:5" x14ac:dyDescent="0.25">
      <c r="A4895" t="str">
        <f>HYPERLINK("https://www.773grp.com/globalSearch/SN74ABTH182646APM/page-1", "SN74ABTH182646APM")</f>
        <v>SN74ABTH182646APM</v>
      </c>
      <c r="B4895" s="3" t="s">
        <v>90</v>
      </c>
      <c r="C4895" s="5">
        <v>2876</v>
      </c>
      <c r="D4895" s="6">
        <v>40.590000000000003</v>
      </c>
      <c r="E4895" t="s">
        <v>12</v>
      </c>
    </row>
    <row r="4896" spans="1:5" x14ac:dyDescent="0.25">
      <c r="A4896" t="str">
        <f>HYPERLINK("https://www.773grp.com/globalSearch/SN74ABTH182652APM/page-1", "SN74ABTH182652APM")</f>
        <v>SN74ABTH182652APM</v>
      </c>
      <c r="B4896" s="3" t="s">
        <v>90</v>
      </c>
      <c r="C4896" s="5">
        <v>1920</v>
      </c>
      <c r="D4896" s="6">
        <v>40.590000000000003</v>
      </c>
      <c r="E4896" t="s">
        <v>12</v>
      </c>
    </row>
    <row r="4897" spans="1:5" x14ac:dyDescent="0.25">
      <c r="A4897" t="str">
        <f>HYPERLINK("https://www.773grp.com/globalSearch/5962-9754201Q2A/page-1", "5962-9754201Q2A")</f>
        <v>5962-9754201Q2A</v>
      </c>
      <c r="B4897" s="3" t="s">
        <v>90</v>
      </c>
      <c r="C4897" s="5">
        <v>22</v>
      </c>
      <c r="D4897" s="6">
        <v>40.75</v>
      </c>
      <c r="E4897" t="s">
        <v>12</v>
      </c>
    </row>
    <row r="4898" spans="1:5" x14ac:dyDescent="0.25">
      <c r="A4898" t="str">
        <f>HYPERLINK("https://www.773grp.com/globalSearch/SNJ54ALS645AJ/page-1", "SNJ54ALS645AJ")</f>
        <v>SNJ54ALS645AJ</v>
      </c>
      <c r="B4898" s="3" t="s">
        <v>90</v>
      </c>
      <c r="C4898" s="5">
        <v>18</v>
      </c>
      <c r="D4898" s="6">
        <v>40.98</v>
      </c>
      <c r="E4898" t="s">
        <v>12</v>
      </c>
    </row>
    <row r="4899" spans="1:5" x14ac:dyDescent="0.25">
      <c r="A4899" t="str">
        <f>HYPERLINK("https://www.773grp.com/globalSearch/SN74ABT32318PN/page-1", "SN74ABT32318PN")</f>
        <v>SN74ABT32318PN</v>
      </c>
      <c r="B4899" s="3" t="s">
        <v>90</v>
      </c>
      <c r="C4899" s="5">
        <v>1922</v>
      </c>
      <c r="D4899" s="6">
        <v>41.01</v>
      </c>
      <c r="E4899" t="s">
        <v>12</v>
      </c>
    </row>
    <row r="4900" spans="1:5" x14ac:dyDescent="0.25">
      <c r="A4900" t="str">
        <f>HYPERLINK("https://www.773grp.com/globalSearch/SNJ54ALS576AFK/page-1", "SNJ54ALS576AFK")</f>
        <v>SNJ54ALS576AFK</v>
      </c>
      <c r="B4900" s="3" t="s">
        <v>90</v>
      </c>
      <c r="C4900" s="5">
        <v>2</v>
      </c>
      <c r="D4900" s="6">
        <v>41.18</v>
      </c>
      <c r="E4900" t="s">
        <v>12</v>
      </c>
    </row>
    <row r="4901" spans="1:5" x14ac:dyDescent="0.25">
      <c r="A4901" t="str">
        <f>HYPERLINK("https://www.773grp.com/globalSearch/5962-9757401Q2A/page-1", "5962-9757401Q2A")</f>
        <v>5962-9757401Q2A</v>
      </c>
      <c r="B4901" s="3" t="s">
        <v>90</v>
      </c>
      <c r="C4901" s="5">
        <v>5</v>
      </c>
      <c r="D4901" s="6">
        <v>41.6</v>
      </c>
      <c r="E4901" t="s">
        <v>12</v>
      </c>
    </row>
    <row r="4902" spans="1:5" x14ac:dyDescent="0.25">
      <c r="A4902" t="str">
        <f>HYPERLINK("https://www.773grp.com/globalSearch/SN54ALS652JT/page-1", "SN54ALS652JT")</f>
        <v>SN54ALS652JT</v>
      </c>
      <c r="B4902" s="3" t="s">
        <v>90</v>
      </c>
      <c r="C4902" s="5">
        <v>29</v>
      </c>
      <c r="D4902" s="6">
        <v>41.63</v>
      </c>
      <c r="E4902" t="s">
        <v>12</v>
      </c>
    </row>
    <row r="4903" spans="1:5" x14ac:dyDescent="0.25">
      <c r="A4903" t="str">
        <f>HYPERLINK("https://www.773grp.com/globalSearch/SNJ54ALS574AFK/page-1", "SNJ54ALS574AFK")</f>
        <v>SNJ54ALS574AFK</v>
      </c>
      <c r="B4903" s="3" t="s">
        <v>90</v>
      </c>
      <c r="C4903" s="5">
        <v>580</v>
      </c>
      <c r="D4903" s="6">
        <v>41.65</v>
      </c>
      <c r="E4903" t="s">
        <v>12</v>
      </c>
    </row>
    <row r="4904" spans="1:5" x14ac:dyDescent="0.25">
      <c r="A4904" t="str">
        <f>HYPERLINK("https://www.773grp.com/globalSearch/SNJ54AS374J/page-1", "SNJ54AS374J")</f>
        <v>SNJ54AS374J</v>
      </c>
      <c r="B4904" s="3" t="s">
        <v>90</v>
      </c>
      <c r="C4904" s="5">
        <v>8</v>
      </c>
      <c r="D4904" s="6">
        <v>41.65</v>
      </c>
      <c r="E4904" t="s">
        <v>12</v>
      </c>
    </row>
    <row r="4905" spans="1:5" x14ac:dyDescent="0.25">
      <c r="A4905" t="str">
        <f>HYPERLINK("https://www.773grp.com/globalSearch/SNJ54LS241FK/page-1", "SNJ54LS241FK")</f>
        <v>SNJ54LS241FK</v>
      </c>
      <c r="B4905" s="3" t="s">
        <v>90</v>
      </c>
      <c r="C4905" s="5">
        <v>95</v>
      </c>
      <c r="D4905" s="6">
        <v>41.76</v>
      </c>
      <c r="E4905" t="s">
        <v>12</v>
      </c>
    </row>
    <row r="4906" spans="1:5" x14ac:dyDescent="0.25">
      <c r="A4906" t="str">
        <f>HYPERLINK("https://www.773grp.com/globalSearch/SN74LS653NT/page-1", "SN74LS653NT")</f>
        <v>SN74LS653NT</v>
      </c>
      <c r="B4906" s="3" t="s">
        <v>90</v>
      </c>
      <c r="C4906" s="5">
        <v>2377</v>
      </c>
      <c r="D4906" s="6">
        <v>41.89</v>
      </c>
      <c r="E4906" t="s">
        <v>12</v>
      </c>
    </row>
    <row r="4907" spans="1:5" x14ac:dyDescent="0.25">
      <c r="A4907" t="str">
        <f>HYPERLINK("https://www.773grp.com/globalSearch/CD54HC564F3A/page-1", "CD54HC564F3A")</f>
        <v>CD54HC564F3A</v>
      </c>
      <c r="B4907" s="3" t="s">
        <v>90</v>
      </c>
      <c r="C4907" s="5">
        <v>15</v>
      </c>
      <c r="D4907" s="6">
        <v>41.96</v>
      </c>
      <c r="E4907" t="s">
        <v>12</v>
      </c>
    </row>
    <row r="4908" spans="1:5" x14ac:dyDescent="0.25">
      <c r="A4908" t="str">
        <f>HYPERLINK("https://www.773grp.com/globalSearch/SN74ABTH32543PZ/page-1", "SN74ABTH32543PZ")</f>
        <v>SN74ABTH32543PZ</v>
      </c>
      <c r="B4908" s="3" t="s">
        <v>90</v>
      </c>
      <c r="C4908" s="5">
        <v>6609</v>
      </c>
      <c r="D4908" s="6">
        <v>42.19</v>
      </c>
      <c r="E4908" t="s">
        <v>12</v>
      </c>
    </row>
    <row r="4909" spans="1:5" x14ac:dyDescent="0.25">
      <c r="A4909" t="str">
        <f>HYPERLINK("https://www.773grp.com/globalSearch/SNJ54LVT16373WD/page-1", "SNJ54LVT16373WD")</f>
        <v>SNJ54LVT16373WD</v>
      </c>
      <c r="B4909" s="3" t="s">
        <v>90</v>
      </c>
      <c r="C4909" s="5">
        <v>44</v>
      </c>
      <c r="D4909" s="6">
        <v>42.19</v>
      </c>
      <c r="E4909" t="s">
        <v>12</v>
      </c>
    </row>
    <row r="4910" spans="1:5" x14ac:dyDescent="0.25">
      <c r="A4910" t="str">
        <f>HYPERLINK("https://www.773grp.com/globalSearch/SNJ54LVT16374WD/page-1", "SNJ54LVT16374WD")</f>
        <v>SNJ54LVT16374WD</v>
      </c>
      <c r="B4910" s="3" t="s">
        <v>90</v>
      </c>
      <c r="C4910" s="5">
        <v>28</v>
      </c>
      <c r="D4910" s="6">
        <v>42.19</v>
      </c>
      <c r="E4910" t="s">
        <v>12</v>
      </c>
    </row>
    <row r="4911" spans="1:5" x14ac:dyDescent="0.25">
      <c r="A4911" t="str">
        <f>HYPERLINK("https://www.773grp.com/globalSearch/5962-8872701RA/page-1", "5962-8872701RA")</f>
        <v>5962-8872701RA</v>
      </c>
      <c r="B4911" s="3" t="s">
        <v>90</v>
      </c>
      <c r="C4911" s="5">
        <v>75</v>
      </c>
      <c r="D4911" s="6">
        <v>42.75</v>
      </c>
      <c r="E4911" t="s">
        <v>12</v>
      </c>
    </row>
    <row r="4912" spans="1:5" x14ac:dyDescent="0.25">
      <c r="A4912" t="str">
        <f>HYPERLINK("https://www.773grp.com/globalSearch/5962-9564201QRA/page-1", "5962-9564201QRA")</f>
        <v>5962-9564201QRA</v>
      </c>
      <c r="B4912" s="3" t="s">
        <v>90</v>
      </c>
      <c r="C4912" s="5">
        <v>80</v>
      </c>
      <c r="D4912" s="6">
        <v>43.93</v>
      </c>
      <c r="E4912" t="s">
        <v>12</v>
      </c>
    </row>
    <row r="4913" spans="1:5" x14ac:dyDescent="0.25">
      <c r="A4913" t="str">
        <f>HYPERLINK("https://www.773grp.com/globalSearch/SN74ABTH32501PZ/page-1", "SN74ABTH32501PZ")</f>
        <v>SN74ABTH32501PZ</v>
      </c>
      <c r="B4913" s="3" t="s">
        <v>90</v>
      </c>
      <c r="C4913" s="5">
        <v>4217</v>
      </c>
      <c r="D4913" s="6">
        <v>44.18</v>
      </c>
      <c r="E4913" t="s">
        <v>12</v>
      </c>
    </row>
    <row r="4914" spans="1:5" x14ac:dyDescent="0.25">
      <c r="A4914" t="str">
        <f>HYPERLINK("https://www.773grp.com/globalSearch/SN74FB1650PCA/page-1", "SN74FB1650PCA")</f>
        <v>SN74FB1650PCA</v>
      </c>
      <c r="B4914" s="3" t="s">
        <v>90</v>
      </c>
      <c r="C4914" s="5">
        <v>3315</v>
      </c>
      <c r="D4914" s="6">
        <v>44.18</v>
      </c>
      <c r="E4914" t="s">
        <v>12</v>
      </c>
    </row>
    <row r="4915" spans="1:5" x14ac:dyDescent="0.25">
      <c r="A4915" t="str">
        <f>HYPERLINK("https://www.773grp.com/globalSearch/SN74ABT32245PZ/page-1", "SN74ABT32245PZ")</f>
        <v>SN74ABT32245PZ</v>
      </c>
      <c r="B4915" s="3" t="s">
        <v>90</v>
      </c>
      <c r="C4915" s="5">
        <v>284</v>
      </c>
      <c r="D4915" s="6">
        <v>44.51</v>
      </c>
      <c r="E4915" t="s">
        <v>12</v>
      </c>
    </row>
    <row r="4916" spans="1:5" x14ac:dyDescent="0.25">
      <c r="A4916" t="str">
        <f>HYPERLINK("https://www.773grp.com/globalSearch/SN74AS638AN/page-1", "SN74AS638AN")</f>
        <v>SN74AS638AN</v>
      </c>
      <c r="B4916" s="3" t="s">
        <v>90</v>
      </c>
      <c r="C4916" s="5">
        <v>1550</v>
      </c>
      <c r="D4916" s="6">
        <v>44.64</v>
      </c>
      <c r="E4916" t="s">
        <v>12</v>
      </c>
    </row>
    <row r="4917" spans="1:5" x14ac:dyDescent="0.25">
      <c r="A4917" t="str">
        <f>HYPERLINK("https://www.773grp.com/globalSearch/SNJ54ALS243AFK/page-1", "SNJ54ALS243AFK")</f>
        <v>SNJ54ALS243AFK</v>
      </c>
      <c r="B4917" s="3" t="s">
        <v>90</v>
      </c>
      <c r="C4917" s="5">
        <v>6</v>
      </c>
      <c r="D4917" s="6">
        <v>44.98</v>
      </c>
      <c r="E4917" t="s">
        <v>12</v>
      </c>
    </row>
    <row r="4918" spans="1:5" x14ac:dyDescent="0.25">
      <c r="A4918" t="str">
        <f>HYPERLINK("https://www.773grp.com/globalSearch/5962-9676801Q2A/page-1", "5962-9676801Q2A")</f>
        <v>5962-9676801Q2A</v>
      </c>
      <c r="B4918" s="3" t="s">
        <v>90</v>
      </c>
      <c r="C4918" s="5">
        <v>6</v>
      </c>
      <c r="D4918" s="6">
        <v>45.09</v>
      </c>
      <c r="E4918" t="s">
        <v>12</v>
      </c>
    </row>
    <row r="4919" spans="1:5" x14ac:dyDescent="0.25">
      <c r="A4919" t="str">
        <f>HYPERLINK("https://www.773grp.com/globalSearch/5962-9093701M2A/page-1", "5962-9093701M2A")</f>
        <v>5962-9093701M2A</v>
      </c>
      <c r="B4919" s="3" t="s">
        <v>90</v>
      </c>
      <c r="C4919" s="5">
        <v>6</v>
      </c>
      <c r="D4919" s="6">
        <v>45.36</v>
      </c>
      <c r="E4919" t="s">
        <v>12</v>
      </c>
    </row>
    <row r="4920" spans="1:5" x14ac:dyDescent="0.25">
      <c r="A4920" t="str">
        <f>HYPERLINK("https://www.773grp.com/globalSearch/SN74ALS653-1NT/page-1", "SN74ALS653-1NT")</f>
        <v>SN74ALS653-1NT</v>
      </c>
      <c r="B4920" s="3" t="s">
        <v>90</v>
      </c>
      <c r="C4920" s="5">
        <v>567</v>
      </c>
      <c r="D4920" s="6">
        <v>45.6</v>
      </c>
      <c r="E4920" t="s">
        <v>12</v>
      </c>
    </row>
    <row r="4921" spans="1:5" x14ac:dyDescent="0.25">
      <c r="A4921" t="str">
        <f>HYPERLINK("https://www.773grp.com/globalSearch/SN74ABT18502PM/page-1", "SN74ABT18502PM")</f>
        <v>SN74ABT18502PM</v>
      </c>
      <c r="B4921" s="3" t="s">
        <v>90</v>
      </c>
      <c r="C4921" s="5">
        <v>8501</v>
      </c>
      <c r="D4921" s="6">
        <v>45.81</v>
      </c>
      <c r="E4921" t="s">
        <v>12</v>
      </c>
    </row>
    <row r="4922" spans="1:5" x14ac:dyDescent="0.25">
      <c r="A4922" t="str">
        <f>HYPERLINK("https://www.773grp.com/globalSearch/SN74ALS667DWR/page-1", "SN74ALS667DWR")</f>
        <v>SN74ALS667DWR</v>
      </c>
      <c r="B4922" s="3" t="s">
        <v>90</v>
      </c>
      <c r="C4922" s="5">
        <v>8000</v>
      </c>
      <c r="D4922" s="6">
        <v>45.81</v>
      </c>
      <c r="E4922" t="s">
        <v>12</v>
      </c>
    </row>
    <row r="4923" spans="1:5" x14ac:dyDescent="0.25">
      <c r="A4923" t="str">
        <f>HYPERLINK("https://www.773grp.com/globalSearch/SN54AS645J/page-1", "SN54AS645J")</f>
        <v>SN54AS645J</v>
      </c>
      <c r="B4923" s="3" t="s">
        <v>90</v>
      </c>
      <c r="C4923" s="5">
        <v>325</v>
      </c>
      <c r="D4923" s="6">
        <v>45.9</v>
      </c>
      <c r="E4923" t="s">
        <v>12</v>
      </c>
    </row>
    <row r="4924" spans="1:5" x14ac:dyDescent="0.25">
      <c r="A4924" t="str">
        <f>HYPERLINK("https://www.773grp.com/globalSearch/84155012A/page-1", "84155012A")</f>
        <v>84155012A</v>
      </c>
      <c r="B4924" s="3" t="s">
        <v>90</v>
      </c>
      <c r="C4924" s="5">
        <v>9</v>
      </c>
      <c r="D4924" s="6">
        <v>46.01</v>
      </c>
      <c r="E4924" t="s">
        <v>12</v>
      </c>
    </row>
    <row r="4925" spans="1:5" x14ac:dyDescent="0.25">
      <c r="A4925" t="str">
        <f>HYPERLINK("https://www.773grp.com/globalSearch/5962-9093801MRA/page-1", "5962-9093801MRA")</f>
        <v>5962-9093801MRA</v>
      </c>
      <c r="B4925" s="3" t="s">
        <v>90</v>
      </c>
      <c r="C4925" s="5">
        <v>74</v>
      </c>
      <c r="D4925" s="6">
        <v>46.66</v>
      </c>
      <c r="E4925" t="s">
        <v>12</v>
      </c>
    </row>
    <row r="4926" spans="1:5" x14ac:dyDescent="0.25">
      <c r="A4926" t="str">
        <f>HYPERLINK("https://www.773grp.com/globalSearch/5962-9087001MLA/page-1", "5962-9087001MLA")</f>
        <v>5962-9087001MLA</v>
      </c>
      <c r="B4926" s="3" t="s">
        <v>90</v>
      </c>
      <c r="C4926" s="5">
        <v>1</v>
      </c>
      <c r="D4926" s="6">
        <v>46.71</v>
      </c>
      <c r="E4926" t="s">
        <v>12</v>
      </c>
    </row>
    <row r="4927" spans="1:5" x14ac:dyDescent="0.25">
      <c r="A4927" t="str">
        <f>HYPERLINK("https://www.773grp.com/globalSearch/5962-9754301QSA/page-1", "5962-9754301QSA")</f>
        <v>5962-9754301QSA</v>
      </c>
      <c r="B4927" s="3" t="s">
        <v>90</v>
      </c>
      <c r="C4927" s="5">
        <v>15</v>
      </c>
      <c r="D4927" s="6">
        <v>47.2</v>
      </c>
      <c r="E4927" t="s">
        <v>12</v>
      </c>
    </row>
    <row r="4928" spans="1:5" x14ac:dyDescent="0.25">
      <c r="A4928" t="str">
        <f>HYPERLINK("https://www.773grp.com/globalSearch/5962-8867301LA/page-1", "5962-8867301LA")</f>
        <v>5962-8867301LA</v>
      </c>
      <c r="B4928" s="3" t="s">
        <v>90</v>
      </c>
      <c r="C4928" s="5">
        <v>120</v>
      </c>
      <c r="D4928" s="6">
        <v>47.34</v>
      </c>
      <c r="E4928" t="s">
        <v>12</v>
      </c>
    </row>
    <row r="4929" spans="1:5" x14ac:dyDescent="0.25">
      <c r="A4929" t="str">
        <f>HYPERLINK("https://www.773grp.com/globalSearch/5962-8952501KA/page-1", "5962-8952501KA")</f>
        <v>5962-8952501KA</v>
      </c>
      <c r="B4929" s="3" t="s">
        <v>90</v>
      </c>
      <c r="C4929" s="5">
        <v>78</v>
      </c>
      <c r="D4929" s="6">
        <v>47.39</v>
      </c>
      <c r="E4929" t="s">
        <v>12</v>
      </c>
    </row>
    <row r="4930" spans="1:5" x14ac:dyDescent="0.25">
      <c r="A4930" t="str">
        <f>HYPERLINK("https://www.773grp.com/globalSearch/CD54ACT623F3A/page-1", "CD54ACT623F3A")</f>
        <v>CD54ACT623F3A</v>
      </c>
      <c r="B4930" s="3" t="s">
        <v>90</v>
      </c>
      <c r="C4930" s="5">
        <v>26</v>
      </c>
      <c r="D4930" s="6">
        <v>47.48</v>
      </c>
      <c r="E4930" t="s">
        <v>12</v>
      </c>
    </row>
    <row r="4931" spans="1:5" x14ac:dyDescent="0.25">
      <c r="A4931" t="str">
        <f>HYPERLINK("https://www.773grp.com/globalSearch/SNJ54AS652W/page-1", "SNJ54AS652W")</f>
        <v>SNJ54AS652W</v>
      </c>
      <c r="B4931" s="3" t="s">
        <v>90</v>
      </c>
      <c r="C4931" s="5">
        <v>45</v>
      </c>
      <c r="D4931" s="6">
        <v>47.79</v>
      </c>
      <c r="E4931" t="s">
        <v>12</v>
      </c>
    </row>
    <row r="4932" spans="1:5" x14ac:dyDescent="0.25">
      <c r="A4932" t="str">
        <f>HYPERLINK("https://www.773grp.com/globalSearch/5962-9314701QRA/page-1", "5962-9314701QRA")</f>
        <v>5962-9314701QRA</v>
      </c>
      <c r="B4932" s="3" t="s">
        <v>90</v>
      </c>
      <c r="C4932" s="5">
        <v>82</v>
      </c>
      <c r="D4932" s="6">
        <v>47.93</v>
      </c>
      <c r="E4932" t="s">
        <v>12</v>
      </c>
    </row>
    <row r="4933" spans="1:5" x14ac:dyDescent="0.25">
      <c r="A4933" t="str">
        <f>HYPERLINK("https://www.773grp.com/globalSearch/5962-9571201QLA/page-1", "5962-9571201QLA")</f>
        <v>5962-9571201QLA</v>
      </c>
      <c r="B4933" s="3" t="s">
        <v>90</v>
      </c>
      <c r="C4933" s="5">
        <v>17</v>
      </c>
      <c r="D4933" s="6">
        <v>47.93</v>
      </c>
      <c r="E4933" t="s">
        <v>12</v>
      </c>
    </row>
    <row r="4934" spans="1:5" x14ac:dyDescent="0.25">
      <c r="A4934" t="str">
        <f>HYPERLINK("https://www.773grp.com/globalSearch/5962-9155501MLA/page-1", "5962-9155501MLA")</f>
        <v>5962-9155501MLA</v>
      </c>
      <c r="B4934" s="3" t="s">
        <v>90</v>
      </c>
      <c r="C4934" s="5">
        <v>3</v>
      </c>
      <c r="D4934" s="6">
        <v>47.98</v>
      </c>
      <c r="E4934" t="s">
        <v>12</v>
      </c>
    </row>
    <row r="4935" spans="1:5" x14ac:dyDescent="0.25">
      <c r="A4935" t="str">
        <f>HYPERLINK("https://www.773grp.com/globalSearch/8400101SA/page-1", "8400101SA")</f>
        <v>8400101SA</v>
      </c>
      <c r="B4935" s="3" t="s">
        <v>90</v>
      </c>
      <c r="C4935" s="5">
        <v>19</v>
      </c>
      <c r="D4935" s="6">
        <v>48.18</v>
      </c>
      <c r="E4935" t="s">
        <v>12</v>
      </c>
    </row>
    <row r="4936" spans="1:5" x14ac:dyDescent="0.25">
      <c r="A4936" t="str">
        <f>HYPERLINK("https://www.773grp.com/globalSearch/5962-9762601QKA/page-1", "5962-9762601QKA")</f>
        <v>5962-9762601QKA</v>
      </c>
      <c r="B4936" s="3" t="s">
        <v>90</v>
      </c>
      <c r="C4936" s="5">
        <v>333</v>
      </c>
      <c r="D4936" s="6">
        <v>48.35</v>
      </c>
      <c r="E4936" t="s">
        <v>12</v>
      </c>
    </row>
    <row r="4937" spans="1:5" x14ac:dyDescent="0.25">
      <c r="A4937" t="str">
        <f>HYPERLINK("https://www.773grp.com/globalSearch/8302002SA/page-1", "8302002SA")</f>
        <v>8302002SA</v>
      </c>
      <c r="B4937" s="3" t="s">
        <v>90</v>
      </c>
      <c r="C4937" s="5">
        <v>7</v>
      </c>
      <c r="D4937" s="6">
        <v>48.44</v>
      </c>
      <c r="E4937" t="s">
        <v>12</v>
      </c>
    </row>
    <row r="4938" spans="1:5" x14ac:dyDescent="0.25">
      <c r="A4938" t="str">
        <f>HYPERLINK("https://www.773grp.com/globalSearch/JM38510-32803B2A/page-1", "JM38510-32803B2A")</f>
        <v>JM38510-32803B2A</v>
      </c>
      <c r="B4938" s="3" t="s">
        <v>90</v>
      </c>
      <c r="C4938" s="5">
        <v>28</v>
      </c>
      <c r="D4938" s="6">
        <v>48.46</v>
      </c>
      <c r="E4938" t="s">
        <v>12</v>
      </c>
    </row>
    <row r="4939" spans="1:5" x14ac:dyDescent="0.25">
      <c r="A4939" t="str">
        <f>HYPERLINK("https://www.773grp.com/globalSearch/5962-9324202Q3A/page-1", "5962-9324202Q3A")</f>
        <v>5962-9324202Q3A</v>
      </c>
      <c r="B4939" s="3" t="s">
        <v>90</v>
      </c>
      <c r="C4939" s="5">
        <v>19</v>
      </c>
      <c r="D4939" s="6">
        <v>48.78</v>
      </c>
      <c r="E4939" t="s">
        <v>12</v>
      </c>
    </row>
    <row r="4940" spans="1:5" x14ac:dyDescent="0.25">
      <c r="A4940" t="str">
        <f>HYPERLINK("https://www.773grp.com/globalSearch/5962-9088901MDA/page-1", "5962-9088901MDA")</f>
        <v>5962-9088901MDA</v>
      </c>
      <c r="B4940" s="3" t="s">
        <v>90</v>
      </c>
      <c r="C4940" s="5">
        <v>10</v>
      </c>
      <c r="D4940" s="6">
        <v>48.98</v>
      </c>
      <c r="E4940" t="s">
        <v>12</v>
      </c>
    </row>
    <row r="4941" spans="1:5" x14ac:dyDescent="0.25">
      <c r="A4941" t="str">
        <f>HYPERLINK("https://www.773grp.com/globalSearch/5962-9093701MDA/page-1", "5962-9093701MDA")</f>
        <v>5962-9093701MDA</v>
      </c>
      <c r="B4941" s="3" t="s">
        <v>90</v>
      </c>
      <c r="C4941" s="5">
        <v>1</v>
      </c>
      <c r="D4941" s="6">
        <v>49.03</v>
      </c>
      <c r="E4941" t="s">
        <v>12</v>
      </c>
    </row>
    <row r="4942" spans="1:5" x14ac:dyDescent="0.25">
      <c r="A4942" t="str">
        <f>HYPERLINK("https://www.773grp.com/globalSearch/5962-9584301QRA/page-1", "5962-9584301QRA")</f>
        <v>5962-9584301QRA</v>
      </c>
      <c r="B4942" s="3" t="s">
        <v>90</v>
      </c>
      <c r="C4942" s="5">
        <v>6</v>
      </c>
      <c r="D4942" s="6">
        <v>49.19</v>
      </c>
      <c r="E4942" t="s">
        <v>12</v>
      </c>
    </row>
    <row r="4943" spans="1:5" x14ac:dyDescent="0.25">
      <c r="A4943" t="str">
        <f>HYPERLINK("https://www.773grp.com/globalSearch/JM38510-32803BSA/page-1", "JM38510-32803BSA")</f>
        <v>JM38510-32803BSA</v>
      </c>
      <c r="B4943" s="3" t="s">
        <v>90</v>
      </c>
      <c r="C4943" s="5">
        <v>15</v>
      </c>
      <c r="D4943" s="6">
        <v>49.19</v>
      </c>
      <c r="E4943" t="s">
        <v>12</v>
      </c>
    </row>
    <row r="4944" spans="1:5" x14ac:dyDescent="0.25">
      <c r="A4944" t="str">
        <f>HYPERLINK("https://www.773grp.com/globalSearch/SNJ54ALS640BW/page-1", "SNJ54ALS640BW")</f>
        <v>SNJ54ALS640BW</v>
      </c>
      <c r="B4944" s="3" t="s">
        <v>90</v>
      </c>
      <c r="C4944" s="5">
        <v>30</v>
      </c>
      <c r="D4944" s="6">
        <v>49.23</v>
      </c>
      <c r="E4944" t="s">
        <v>12</v>
      </c>
    </row>
    <row r="4945" spans="1:5" x14ac:dyDescent="0.25">
      <c r="A4945" t="str">
        <f>HYPERLINK("https://www.773grp.com/globalSearch/SNJ54BCT2244J/page-1", "SNJ54BCT2244J")</f>
        <v>SNJ54BCT2244J</v>
      </c>
      <c r="B4945" s="3" t="s">
        <v>90</v>
      </c>
      <c r="C4945" s="5">
        <v>30</v>
      </c>
      <c r="D4945" s="6">
        <v>49.36</v>
      </c>
      <c r="E4945" t="s">
        <v>12</v>
      </c>
    </row>
    <row r="4946" spans="1:5" x14ac:dyDescent="0.25">
      <c r="A4946" t="str">
        <f>HYPERLINK("https://www.773grp.com/globalSearch/SNJ54LVT245FK/page-1", "SNJ54LVT245FK")</f>
        <v>SNJ54LVT245FK</v>
      </c>
      <c r="B4946" s="3" t="s">
        <v>90</v>
      </c>
      <c r="C4946" s="5">
        <v>270</v>
      </c>
      <c r="D4946" s="6">
        <v>49.39</v>
      </c>
      <c r="E4946" t="s">
        <v>12</v>
      </c>
    </row>
    <row r="4947" spans="1:5" x14ac:dyDescent="0.25">
      <c r="A4947" t="str">
        <f>HYPERLINK("https://www.773grp.com/globalSearch/5962-9093901MRA/page-1", "5962-9093901MRA")</f>
        <v>5962-9093901MRA</v>
      </c>
      <c r="B4947" s="3" t="s">
        <v>90</v>
      </c>
      <c r="C4947" s="5">
        <v>26</v>
      </c>
      <c r="D4947" s="6">
        <v>49.41</v>
      </c>
      <c r="E4947" t="s">
        <v>12</v>
      </c>
    </row>
    <row r="4948" spans="1:5" x14ac:dyDescent="0.25">
      <c r="A4948" t="str">
        <f>HYPERLINK("https://www.773grp.com/globalSearch/JM38510-65602BRA/page-1", "JM38510-65602BRA")</f>
        <v>JM38510-65602BRA</v>
      </c>
      <c r="B4948" s="3" t="s">
        <v>90</v>
      </c>
      <c r="C4948" s="5">
        <v>181</v>
      </c>
      <c r="D4948" s="6">
        <v>49.56</v>
      </c>
      <c r="E4948" t="s">
        <v>12</v>
      </c>
    </row>
    <row r="4949" spans="1:5" x14ac:dyDescent="0.25">
      <c r="A4949" t="str">
        <f>HYPERLINK("https://www.773grp.com/globalSearch/SNJ54ALS373AFK/page-1", "SNJ54ALS373AFK")</f>
        <v>SNJ54ALS373AFK</v>
      </c>
      <c r="B4949" s="3" t="s">
        <v>90</v>
      </c>
      <c r="C4949" s="5">
        <v>19</v>
      </c>
      <c r="D4949" s="6">
        <v>49.58</v>
      </c>
      <c r="E4949" t="s">
        <v>12</v>
      </c>
    </row>
    <row r="4950" spans="1:5" x14ac:dyDescent="0.25">
      <c r="A4950" t="str">
        <f>HYPERLINK("https://www.773grp.com/globalSearch/5962-87809012A/page-1", "5962-87809012A")</f>
        <v>5962-87809012A</v>
      </c>
      <c r="B4950" s="3" t="s">
        <v>90</v>
      </c>
      <c r="C4950" s="5">
        <v>112</v>
      </c>
      <c r="D4950" s="6">
        <v>49.65</v>
      </c>
      <c r="E4950" t="s">
        <v>12</v>
      </c>
    </row>
    <row r="4951" spans="1:5" x14ac:dyDescent="0.25">
      <c r="A4951" t="str">
        <f>HYPERLINK("https://www.773grp.com/globalSearch/5962-88738012A/page-1", "5962-88738012A")</f>
        <v>5962-88738012A</v>
      </c>
      <c r="B4951" s="3" t="s">
        <v>90</v>
      </c>
      <c r="C4951" s="5">
        <v>3794</v>
      </c>
      <c r="D4951" s="6">
        <v>49.65</v>
      </c>
      <c r="E4951" t="s">
        <v>12</v>
      </c>
    </row>
    <row r="4952" spans="1:5" x14ac:dyDescent="0.25">
      <c r="A4952" t="str">
        <f>HYPERLINK("https://www.773grp.com/globalSearch/5962-9074601M2A/page-1", "5962-9074601M2A")</f>
        <v>5962-9074601M2A</v>
      </c>
      <c r="B4952" s="3" t="s">
        <v>90</v>
      </c>
      <c r="C4952" s="5">
        <v>26</v>
      </c>
      <c r="D4952" s="6">
        <v>49.65</v>
      </c>
      <c r="E4952" t="s">
        <v>12</v>
      </c>
    </row>
    <row r="4953" spans="1:5" x14ac:dyDescent="0.25">
      <c r="A4953" t="str">
        <f>HYPERLINK("https://www.773grp.com/globalSearch/5962-9075001M2A/page-1", "5962-9075001M2A")</f>
        <v>5962-9075001M2A</v>
      </c>
      <c r="B4953" s="3" t="s">
        <v>90</v>
      </c>
      <c r="C4953" s="5">
        <v>125</v>
      </c>
      <c r="D4953" s="6">
        <v>49.65</v>
      </c>
      <c r="E4953" t="s">
        <v>12</v>
      </c>
    </row>
    <row r="4954" spans="1:5" x14ac:dyDescent="0.25">
      <c r="A4954" t="str">
        <f>HYPERLINK("https://www.773grp.com/globalSearch/SNJ54HCT373W/page-1", "SNJ54HCT373W")</f>
        <v>SNJ54HCT373W</v>
      </c>
      <c r="B4954" s="3" t="s">
        <v>90</v>
      </c>
      <c r="C4954" s="5">
        <v>24</v>
      </c>
      <c r="D4954" s="6">
        <v>49.65</v>
      </c>
      <c r="E4954" t="s">
        <v>12</v>
      </c>
    </row>
    <row r="4955" spans="1:5" x14ac:dyDescent="0.25">
      <c r="A4955" t="str">
        <f>HYPERLINK("https://www.773grp.com/globalSearch/8407101SA/page-1", "8407101SA")</f>
        <v>8407101SA</v>
      </c>
      <c r="B4955" s="3" t="s">
        <v>90</v>
      </c>
      <c r="C4955" s="5">
        <v>26</v>
      </c>
      <c r="D4955" s="6">
        <v>50.38</v>
      </c>
      <c r="E4955" t="s">
        <v>12</v>
      </c>
    </row>
    <row r="4956" spans="1:5" x14ac:dyDescent="0.25">
      <c r="A4956" t="str">
        <f>HYPERLINK("https://www.773grp.com/globalSearch/SNJ54HC374W/page-1", "SNJ54HC374W")</f>
        <v>SNJ54HC374W</v>
      </c>
      <c r="B4956" s="3" t="s">
        <v>90</v>
      </c>
      <c r="C4956" s="5">
        <v>3</v>
      </c>
      <c r="D4956" s="6">
        <v>50.38</v>
      </c>
      <c r="E4956" t="s">
        <v>12</v>
      </c>
    </row>
    <row r="4957" spans="1:5" x14ac:dyDescent="0.25">
      <c r="A4957" t="str">
        <f>HYPERLINK("https://www.773grp.com/globalSearch/JM38510-65403BRA/page-1", "JM38510-65403BRA")</f>
        <v>JM38510-65403BRA</v>
      </c>
      <c r="B4957" s="3" t="s">
        <v>90</v>
      </c>
      <c r="C4957" s="5">
        <v>149</v>
      </c>
      <c r="D4957" s="6">
        <v>50.4</v>
      </c>
      <c r="E4957" t="s">
        <v>12</v>
      </c>
    </row>
    <row r="4958" spans="1:5" x14ac:dyDescent="0.25">
      <c r="A4958" t="str">
        <f>HYPERLINK("https://www.773grp.com/globalSearch/JM38510-65503BRA/page-1", "JM38510-65503BRA")</f>
        <v>JM38510-65503BRA</v>
      </c>
      <c r="B4958" s="3" t="s">
        <v>90</v>
      </c>
      <c r="C4958" s="5">
        <v>211</v>
      </c>
      <c r="D4958" s="6">
        <v>50.58</v>
      </c>
      <c r="E4958" t="s">
        <v>12</v>
      </c>
    </row>
    <row r="4959" spans="1:5" x14ac:dyDescent="0.25">
      <c r="A4959" t="str">
        <f>HYPERLINK("https://www.773grp.com/globalSearch/5962-9469101QLA/page-1", "5962-9469101QLA")</f>
        <v>5962-9469101QLA</v>
      </c>
      <c r="B4959" s="3" t="s">
        <v>90</v>
      </c>
      <c r="C4959" s="5">
        <v>123</v>
      </c>
      <c r="D4959" s="6">
        <v>50.59</v>
      </c>
      <c r="E4959" t="s">
        <v>12</v>
      </c>
    </row>
    <row r="4960" spans="1:5" x14ac:dyDescent="0.25">
      <c r="A4960" t="str">
        <f>HYPERLINK("https://www.773grp.com/globalSearch/CD54HCT241F3A/page-1", "CD54HCT241F3A")</f>
        <v>CD54HCT241F3A</v>
      </c>
      <c r="B4960" s="3" t="s">
        <v>90</v>
      </c>
      <c r="C4960" s="5">
        <v>10</v>
      </c>
      <c r="D4960" s="6">
        <v>50.59</v>
      </c>
      <c r="E4960" t="s">
        <v>12</v>
      </c>
    </row>
    <row r="4961" spans="1:5" x14ac:dyDescent="0.25">
      <c r="A4961" t="str">
        <f>HYPERLINK("https://www.773grp.com/globalSearch/5962-9450801QLA/page-1", "5962-9450801QLA")</f>
        <v>5962-9450801QLA</v>
      </c>
      <c r="B4961" s="3" t="s">
        <v>90</v>
      </c>
      <c r="C4961" s="5">
        <v>178</v>
      </c>
      <c r="D4961" s="6">
        <v>50.63</v>
      </c>
      <c r="E4961" t="s">
        <v>12</v>
      </c>
    </row>
    <row r="4962" spans="1:5" x14ac:dyDescent="0.25">
      <c r="A4962" t="str">
        <f>HYPERLINK("https://www.773grp.com/globalSearch/5962-8685601RA/page-1", "5962-8685601RA")</f>
        <v>5962-8685601RA</v>
      </c>
      <c r="B4962" s="3" t="s">
        <v>90</v>
      </c>
      <c r="C4962" s="5">
        <v>390</v>
      </c>
      <c r="D4962" s="6">
        <v>50.66</v>
      </c>
      <c r="E4962" t="s">
        <v>12</v>
      </c>
    </row>
    <row r="4963" spans="1:5" x14ac:dyDescent="0.25">
      <c r="A4963" t="str">
        <f>HYPERLINK("https://www.773grp.com/globalSearch/SNJ54S240W/page-1", "SNJ54S240W")</f>
        <v>SNJ54S240W</v>
      </c>
      <c r="B4963" s="3" t="s">
        <v>90</v>
      </c>
      <c r="C4963" s="5">
        <v>105</v>
      </c>
      <c r="D4963" s="6">
        <v>50.93</v>
      </c>
      <c r="E4963" t="s">
        <v>12</v>
      </c>
    </row>
    <row r="4964" spans="1:5" x14ac:dyDescent="0.25">
      <c r="A4964" t="str">
        <f>HYPERLINK("https://www.773grp.com/globalSearch/SNJ54ALS653W/page-1", "SNJ54ALS653W")</f>
        <v>SNJ54ALS653W</v>
      </c>
      <c r="B4964" s="3" t="s">
        <v>90</v>
      </c>
      <c r="C4964" s="5">
        <v>55</v>
      </c>
      <c r="D4964" s="6">
        <v>50.96</v>
      </c>
      <c r="E4964" t="s">
        <v>12</v>
      </c>
    </row>
    <row r="4965" spans="1:5" x14ac:dyDescent="0.25">
      <c r="A4965" t="str">
        <f>HYPERLINK("https://www.773grp.com/globalSearch/5962-8974201RA/page-1", "5962-8974201RA")</f>
        <v>5962-8974201RA</v>
      </c>
      <c r="B4965" s="3" t="s">
        <v>90</v>
      </c>
      <c r="C4965" s="5">
        <v>13</v>
      </c>
      <c r="D4965" s="6">
        <v>51.41</v>
      </c>
      <c r="E4965" t="s">
        <v>12</v>
      </c>
    </row>
    <row r="4966" spans="1:5" x14ac:dyDescent="0.25">
      <c r="A4966" t="str">
        <f>HYPERLINK("https://www.773grp.com/globalSearch/CD54HCT574F3A/page-1", "CD54HCT574F3A")</f>
        <v>CD54HCT574F3A</v>
      </c>
      <c r="B4966" s="3" t="s">
        <v>90</v>
      </c>
      <c r="C4966" s="5">
        <v>56</v>
      </c>
      <c r="D4966" s="6">
        <v>51.41</v>
      </c>
      <c r="E4966" t="s">
        <v>12</v>
      </c>
    </row>
    <row r="4967" spans="1:5" x14ac:dyDescent="0.25">
      <c r="A4967" t="str">
        <f>HYPERLINK("https://www.773grp.com/globalSearch/5962-9062501M2A/page-1", "5962-9062501M2A")</f>
        <v>5962-9062501M2A</v>
      </c>
      <c r="B4967" s="3" t="s">
        <v>90</v>
      </c>
      <c r="C4967" s="5">
        <v>72</v>
      </c>
      <c r="D4967" s="6">
        <v>51.48</v>
      </c>
      <c r="E4967" t="s">
        <v>12</v>
      </c>
    </row>
    <row r="4968" spans="1:5" x14ac:dyDescent="0.25">
      <c r="A4968" t="str">
        <f>HYPERLINK("https://www.773grp.com/globalSearch/SNJ54BCT244FK/page-1", "SNJ54BCT244FK")</f>
        <v>SNJ54BCT244FK</v>
      </c>
      <c r="B4968" s="3" t="s">
        <v>90</v>
      </c>
      <c r="C4968" s="5">
        <v>9</v>
      </c>
      <c r="D4968" s="6">
        <v>51.48</v>
      </c>
      <c r="E4968" t="s">
        <v>12</v>
      </c>
    </row>
    <row r="4969" spans="1:5" x14ac:dyDescent="0.25">
      <c r="A4969" t="str">
        <f>HYPERLINK("https://www.773grp.com/globalSearch/5962-86867012A/page-1", "5962-86867012A")</f>
        <v>5962-86867012A</v>
      </c>
      <c r="B4969" s="3" t="s">
        <v>90</v>
      </c>
      <c r="C4969" s="5">
        <v>1</v>
      </c>
      <c r="D4969" s="6">
        <v>51.55</v>
      </c>
      <c r="E4969" t="s">
        <v>12</v>
      </c>
    </row>
    <row r="4970" spans="1:5" x14ac:dyDescent="0.25">
      <c r="A4970" t="str">
        <f>HYPERLINK("https://www.773grp.com/globalSearch/CD54HCT564F3A/page-1", "CD54HCT564F3A")</f>
        <v>CD54HCT564F3A</v>
      </c>
      <c r="B4970" s="3" t="s">
        <v>90</v>
      </c>
      <c r="C4970" s="5">
        <v>88</v>
      </c>
      <c r="D4970" s="6">
        <v>51.93</v>
      </c>
      <c r="E4970" t="s">
        <v>12</v>
      </c>
    </row>
    <row r="4971" spans="1:5" x14ac:dyDescent="0.25">
      <c r="A4971" t="str">
        <f>HYPERLINK("https://www.773grp.com/globalSearch/SNJ54ALS1245AFK/page-1", "SNJ54ALS1245AFK")</f>
        <v>SNJ54ALS1245AFK</v>
      </c>
      <c r="B4971" s="3" t="s">
        <v>90</v>
      </c>
      <c r="C4971" s="5">
        <v>10</v>
      </c>
      <c r="D4971" s="6">
        <v>51.93</v>
      </c>
      <c r="E4971" t="s">
        <v>12</v>
      </c>
    </row>
    <row r="4972" spans="1:5" x14ac:dyDescent="0.25">
      <c r="A4972" t="str">
        <f>HYPERLINK("https://www.773grp.com/globalSearch/5962-9051401M2A/page-1", "5962-9051401M2A")</f>
        <v>5962-9051401M2A</v>
      </c>
      <c r="B4972" s="3" t="s">
        <v>90</v>
      </c>
      <c r="C4972" s="5">
        <v>88</v>
      </c>
      <c r="D4972" s="6">
        <v>51.94</v>
      </c>
      <c r="E4972" t="s">
        <v>12</v>
      </c>
    </row>
    <row r="4973" spans="1:5" x14ac:dyDescent="0.25">
      <c r="A4973" t="str">
        <f>HYPERLINK("https://www.773grp.com/globalSearch/SNJ54ALS240AFK/page-1", "SNJ54ALS240AFK")</f>
        <v>SNJ54ALS240AFK</v>
      </c>
      <c r="B4973" s="3" t="s">
        <v>90</v>
      </c>
      <c r="C4973" s="5">
        <v>1</v>
      </c>
      <c r="D4973" s="6">
        <v>51.94</v>
      </c>
      <c r="E4973" t="s">
        <v>12</v>
      </c>
    </row>
    <row r="4974" spans="1:5" x14ac:dyDescent="0.25">
      <c r="A4974" t="str">
        <f>HYPERLINK("https://www.773grp.com/globalSearch/SNJ54BCT245FK/page-1", "SNJ54BCT245FK")</f>
        <v>SNJ54BCT245FK</v>
      </c>
      <c r="B4974" s="3" t="s">
        <v>90</v>
      </c>
      <c r="C4974" s="5">
        <v>680</v>
      </c>
      <c r="D4974" s="6">
        <v>51.94</v>
      </c>
      <c r="E4974" t="s">
        <v>12</v>
      </c>
    </row>
    <row r="4975" spans="1:5" x14ac:dyDescent="0.25">
      <c r="A4975" t="str">
        <f>HYPERLINK("https://www.773grp.com/globalSearch/85505012A/page-1", "85505012A")</f>
        <v>85505012A</v>
      </c>
      <c r="B4975" s="3" t="s">
        <v>90</v>
      </c>
      <c r="C4975" s="5">
        <v>10</v>
      </c>
      <c r="D4975" s="6">
        <v>52.11</v>
      </c>
      <c r="E4975" t="s">
        <v>12</v>
      </c>
    </row>
    <row r="4976" spans="1:5" x14ac:dyDescent="0.25">
      <c r="A4976" t="str">
        <f>HYPERLINK("https://www.773grp.com/globalSearch/5962-9051601M2A/page-1", "5962-9051601M2A")</f>
        <v>5962-9051601M2A</v>
      </c>
      <c r="B4976" s="3" t="s">
        <v>90</v>
      </c>
      <c r="C4976" s="5">
        <v>9</v>
      </c>
      <c r="D4976" s="6">
        <v>52.15</v>
      </c>
      <c r="E4976" t="s">
        <v>12</v>
      </c>
    </row>
    <row r="4977" spans="1:5" x14ac:dyDescent="0.25">
      <c r="A4977" t="str">
        <f>HYPERLINK("https://www.773grp.com/globalSearch/JM38510-32503B2A/page-1", "JM38510-32503B2A")</f>
        <v>JM38510-32503B2A</v>
      </c>
      <c r="B4977" s="3" t="s">
        <v>90</v>
      </c>
      <c r="C4977" s="5">
        <v>35</v>
      </c>
      <c r="D4977" s="6">
        <v>52.15</v>
      </c>
      <c r="E4977" t="s">
        <v>12</v>
      </c>
    </row>
    <row r="4978" spans="1:5" x14ac:dyDescent="0.25">
      <c r="A4978" t="str">
        <f>HYPERLINK("https://www.773grp.com/globalSearch/SNJ54LS373FK/page-1", "SNJ54LS373FK")</f>
        <v>SNJ54LS373FK</v>
      </c>
      <c r="B4978" s="3" t="s">
        <v>90</v>
      </c>
      <c r="C4978" s="5">
        <v>229</v>
      </c>
      <c r="D4978" s="6">
        <v>52.15</v>
      </c>
      <c r="E4978" t="s">
        <v>12</v>
      </c>
    </row>
    <row r="4979" spans="1:5" x14ac:dyDescent="0.25">
      <c r="A4979" t="str">
        <f>HYPERLINK("https://www.773grp.com/globalSearch/83020022A/page-1", "83020022A")</f>
        <v>83020022A</v>
      </c>
      <c r="B4979" s="3" t="s">
        <v>90</v>
      </c>
      <c r="C4979" s="5">
        <v>39</v>
      </c>
      <c r="D4979" s="6">
        <v>52.23</v>
      </c>
      <c r="E4979" t="s">
        <v>12</v>
      </c>
    </row>
    <row r="4980" spans="1:5" x14ac:dyDescent="0.25">
      <c r="A4980" t="str">
        <f>HYPERLINK("https://www.773grp.com/globalSearch/SNJ54ALS374AFK/page-1", "SNJ54ALS374AFK")</f>
        <v>SNJ54ALS374AFK</v>
      </c>
      <c r="B4980" s="3" t="s">
        <v>90</v>
      </c>
      <c r="C4980" s="5">
        <v>7</v>
      </c>
      <c r="D4980" s="6">
        <v>52.23</v>
      </c>
      <c r="E4980" t="s">
        <v>12</v>
      </c>
    </row>
    <row r="4981" spans="1:5" x14ac:dyDescent="0.25">
      <c r="A4981" t="str">
        <f>HYPERLINK("https://www.773grp.com/globalSearch/5962-9951001QSA/page-1", "5962-9951001QSA")</f>
        <v>5962-9951001QSA</v>
      </c>
      <c r="B4981" s="3" t="s">
        <v>90</v>
      </c>
      <c r="C4981" s="5">
        <v>7</v>
      </c>
      <c r="D4981" s="6">
        <v>52.28</v>
      </c>
      <c r="E4981" t="s">
        <v>12</v>
      </c>
    </row>
    <row r="4982" spans="1:5" x14ac:dyDescent="0.25">
      <c r="A4982" t="str">
        <f>HYPERLINK("https://www.773grp.com/globalSearch/SNJ54HCT541FK/page-1", "SNJ54HCT541FK")</f>
        <v>SNJ54HCT541FK</v>
      </c>
      <c r="B4982" s="3" t="s">
        <v>90</v>
      </c>
      <c r="C4982" s="5">
        <v>93</v>
      </c>
      <c r="D4982" s="6">
        <v>52.28</v>
      </c>
      <c r="E4982" t="s">
        <v>12</v>
      </c>
    </row>
    <row r="4983" spans="1:5" x14ac:dyDescent="0.25">
      <c r="A4983" t="str">
        <f>HYPERLINK("https://www.773grp.com/globalSearch/SNJ54HC645FK/page-1", "SNJ54HC645FK")</f>
        <v>SNJ54HC645FK</v>
      </c>
      <c r="B4983" s="3" t="s">
        <v>90</v>
      </c>
      <c r="C4983" s="5">
        <v>11</v>
      </c>
      <c r="D4983" s="6">
        <v>52.49</v>
      </c>
      <c r="E4983" t="s">
        <v>12</v>
      </c>
    </row>
    <row r="4984" spans="1:5" x14ac:dyDescent="0.25">
      <c r="A4984" t="str">
        <f>HYPERLINK("https://www.773grp.com/globalSearch/84001012A/page-1", "84001012A")</f>
        <v>84001012A</v>
      </c>
      <c r="B4984" s="3" t="s">
        <v>90</v>
      </c>
      <c r="C4984" s="5">
        <v>11</v>
      </c>
      <c r="D4984" s="6">
        <v>52.54</v>
      </c>
      <c r="E4984" t="s">
        <v>12</v>
      </c>
    </row>
    <row r="4985" spans="1:5" x14ac:dyDescent="0.25">
      <c r="A4985" t="str">
        <f>HYPERLINK("https://www.773grp.com/globalSearch/SNJ54HC645J/page-1", "SNJ54HC645J")</f>
        <v>SNJ54HC645J</v>
      </c>
      <c r="B4985" s="3" t="s">
        <v>90</v>
      </c>
      <c r="C4985" s="5">
        <v>6</v>
      </c>
      <c r="D4985" s="6">
        <v>52.56</v>
      </c>
      <c r="E4985" t="s">
        <v>12</v>
      </c>
    </row>
    <row r="4986" spans="1:5" x14ac:dyDescent="0.25">
      <c r="A4986" t="str">
        <f>HYPERLINK("https://www.773grp.com/globalSearch/SNJ54AS760J/page-1", "SNJ54AS760J")</f>
        <v>SNJ54AS760J</v>
      </c>
      <c r="B4986" s="3" t="s">
        <v>90</v>
      </c>
      <c r="C4986" s="5">
        <v>15</v>
      </c>
      <c r="D4986" s="6">
        <v>52.6</v>
      </c>
      <c r="E4986" t="s">
        <v>12</v>
      </c>
    </row>
    <row r="4987" spans="1:5" x14ac:dyDescent="0.25">
      <c r="A4987" t="str">
        <f>HYPERLINK("https://www.773grp.com/globalSearch/SNJ54AS645J/page-1", "SNJ54AS645J")</f>
        <v>SNJ54AS645J</v>
      </c>
      <c r="B4987" s="3" t="s">
        <v>90</v>
      </c>
      <c r="C4987" s="5">
        <v>5</v>
      </c>
      <c r="D4987" s="6">
        <v>52.7</v>
      </c>
      <c r="E4987" t="s">
        <v>12</v>
      </c>
    </row>
    <row r="4988" spans="1:5" x14ac:dyDescent="0.25">
      <c r="A4988" t="str">
        <f>HYPERLINK("https://www.773grp.com/globalSearch/SNJ54LS640FK/page-1", "SNJ54LS640FK")</f>
        <v>SNJ54LS640FK</v>
      </c>
      <c r="B4988" s="3" t="s">
        <v>90</v>
      </c>
      <c r="C4988" s="5">
        <v>28</v>
      </c>
      <c r="D4988" s="6">
        <v>52.79</v>
      </c>
      <c r="E4988" t="s">
        <v>12</v>
      </c>
    </row>
    <row r="4989" spans="1:5" x14ac:dyDescent="0.25">
      <c r="A4989" t="str">
        <f>HYPERLINK("https://www.773grp.com/globalSearch/JM38510-32404BRA/page-1", "JM38510-32404BRA")</f>
        <v>JM38510-32404BRA</v>
      </c>
      <c r="B4989" s="3" t="s">
        <v>90</v>
      </c>
      <c r="C4989" s="5">
        <v>128</v>
      </c>
      <c r="D4989" s="6">
        <v>52.83</v>
      </c>
      <c r="E4989" t="s">
        <v>12</v>
      </c>
    </row>
    <row r="4990" spans="1:5" x14ac:dyDescent="0.25">
      <c r="A4990" t="str">
        <f>HYPERLINK("https://www.773grp.com/globalSearch/SN74FB1651PCA/page-1", "SN74FB1651PCA")</f>
        <v>SN74FB1651PCA</v>
      </c>
      <c r="B4990" s="3" t="s">
        <v>90</v>
      </c>
      <c r="C4990" s="5">
        <v>14677</v>
      </c>
      <c r="D4990" s="6">
        <v>53.04</v>
      </c>
      <c r="E4990" t="s">
        <v>12</v>
      </c>
    </row>
    <row r="4991" spans="1:5" x14ac:dyDescent="0.25">
      <c r="A4991" t="str">
        <f>HYPERLINK("https://www.773grp.com/globalSearch/JM38510-32503BSA/page-1", "JM38510-32503BSA")</f>
        <v>JM38510-32503BSA</v>
      </c>
      <c r="B4991" s="3" t="s">
        <v>90</v>
      </c>
      <c r="C4991" s="5">
        <v>51</v>
      </c>
      <c r="D4991" s="6">
        <v>53.19</v>
      </c>
      <c r="E4991" t="s">
        <v>12</v>
      </c>
    </row>
    <row r="4992" spans="1:5" x14ac:dyDescent="0.25">
      <c r="A4992" t="str">
        <f>HYPERLINK("https://www.773grp.com/globalSearch/SNJ54LS373W/page-1", "SNJ54LS373W")</f>
        <v>SNJ54LS373W</v>
      </c>
      <c r="B4992" s="3" t="s">
        <v>90</v>
      </c>
      <c r="C4992" s="5">
        <v>25</v>
      </c>
      <c r="D4992" s="6">
        <v>53.5</v>
      </c>
      <c r="E4992" t="s">
        <v>12</v>
      </c>
    </row>
    <row r="4993" spans="1:5" x14ac:dyDescent="0.25">
      <c r="A4993" t="str">
        <f>HYPERLINK("https://www.773grp.com/globalSearch/5962-9056301RA/page-1", "5962-9056301RA")</f>
        <v>5962-9056301RA</v>
      </c>
      <c r="B4993" s="3" t="s">
        <v>90</v>
      </c>
      <c r="C4993" s="5">
        <v>13</v>
      </c>
      <c r="D4993" s="6">
        <v>54.39</v>
      </c>
      <c r="E4993" t="s">
        <v>12</v>
      </c>
    </row>
    <row r="4994" spans="1:5" x14ac:dyDescent="0.25">
      <c r="A4994" t="str">
        <f>HYPERLINK("https://www.773grp.com/globalSearch/CD54HCT243F3A/page-1", "CD54HCT243F3A")</f>
        <v>CD54HCT243F3A</v>
      </c>
      <c r="B4994" s="3" t="s">
        <v>90</v>
      </c>
      <c r="C4994" s="5">
        <v>95</v>
      </c>
      <c r="D4994" s="6">
        <v>54.45</v>
      </c>
      <c r="E4994" t="s">
        <v>12</v>
      </c>
    </row>
    <row r="4995" spans="1:5" x14ac:dyDescent="0.25">
      <c r="A4995" t="str">
        <f>HYPERLINK("https://www.773grp.com/globalSearch/5962-9583101Q2A/page-1", "5962-9583101Q2A")</f>
        <v>5962-9583101Q2A</v>
      </c>
      <c r="B4995" s="3" t="s">
        <v>90</v>
      </c>
      <c r="C4995" s="5">
        <v>246</v>
      </c>
      <c r="D4995" s="6">
        <v>54.51</v>
      </c>
      <c r="E4995" t="s">
        <v>12</v>
      </c>
    </row>
    <row r="4996" spans="1:5" x14ac:dyDescent="0.25">
      <c r="A4996" t="str">
        <f>HYPERLINK("https://www.773grp.com/globalSearch/SNJ54LVTH573FK/page-1", "SNJ54LVTH573FK")</f>
        <v>SNJ54LVTH573FK</v>
      </c>
      <c r="B4996" s="3" t="s">
        <v>90</v>
      </c>
      <c r="C4996" s="5">
        <v>15</v>
      </c>
      <c r="D4996" s="6">
        <v>54.51</v>
      </c>
      <c r="E4996" t="s">
        <v>12</v>
      </c>
    </row>
    <row r="4997" spans="1:5" x14ac:dyDescent="0.25">
      <c r="A4997" t="str">
        <f>HYPERLINK("https://www.773grp.com/globalSearch/JM38510-32502BSA/page-1", "JM38510-32502BSA")</f>
        <v>JM38510-32502BSA</v>
      </c>
      <c r="B4997" s="3" t="s">
        <v>90</v>
      </c>
      <c r="C4997" s="5">
        <v>46</v>
      </c>
      <c r="D4997" s="6">
        <v>54.71</v>
      </c>
      <c r="E4997" t="s">
        <v>12</v>
      </c>
    </row>
    <row r="4998" spans="1:5" x14ac:dyDescent="0.25">
      <c r="A4998" t="str">
        <f>HYPERLINK("https://www.773grp.com/globalSearch/JM38510-65553BSA/page-1", "JM38510-65553BSA")</f>
        <v>JM38510-65553BSA</v>
      </c>
      <c r="B4998" s="3" t="s">
        <v>90</v>
      </c>
      <c r="C4998" s="5">
        <v>32</v>
      </c>
      <c r="D4998" s="6">
        <v>54.79</v>
      </c>
      <c r="E4998" t="s">
        <v>12</v>
      </c>
    </row>
    <row r="4999" spans="1:5" x14ac:dyDescent="0.25">
      <c r="A4999" t="str">
        <f>HYPERLINK("https://www.773grp.com/globalSearch/SN74LS649NT/page-1", "SN74LS649NT")</f>
        <v>SN74LS649NT</v>
      </c>
      <c r="B4999" s="3" t="s">
        <v>90</v>
      </c>
      <c r="C4999" s="5">
        <v>3549</v>
      </c>
      <c r="D4999" s="6">
        <v>54.96</v>
      </c>
      <c r="E4999" t="s">
        <v>12</v>
      </c>
    </row>
    <row r="5000" spans="1:5" x14ac:dyDescent="0.25">
      <c r="A5000" t="str">
        <f>HYPERLINK("https://www.773grp.com/globalSearch/JM38510-65453BSA/page-1", "JM38510-65453BSA")</f>
        <v>JM38510-65453BSA</v>
      </c>
      <c r="B5000" s="3" t="s">
        <v>90</v>
      </c>
      <c r="C5000" s="5">
        <v>26</v>
      </c>
      <c r="D5000" s="6">
        <v>55.1</v>
      </c>
      <c r="E5000" t="s">
        <v>12</v>
      </c>
    </row>
    <row r="5001" spans="1:5" x14ac:dyDescent="0.25">
      <c r="A5001" t="str">
        <f>HYPERLINK("https://www.773grp.com/globalSearch/5962-9583201Q2A/page-1", "5962-9583201Q2A")</f>
        <v>5962-9583201Q2A</v>
      </c>
      <c r="B5001" s="3" t="s">
        <v>90</v>
      </c>
      <c r="C5001" s="5">
        <v>24</v>
      </c>
      <c r="D5001" s="6">
        <v>55.15</v>
      </c>
      <c r="E5001" t="s">
        <v>12</v>
      </c>
    </row>
    <row r="5002" spans="1:5" x14ac:dyDescent="0.25">
      <c r="A5002" t="str">
        <f>HYPERLINK("https://www.773grp.com/globalSearch/SNJ54LVTH574FK/page-1", "SNJ54LVTH574FK")</f>
        <v>SNJ54LVTH574FK</v>
      </c>
      <c r="B5002" s="3" t="s">
        <v>90</v>
      </c>
      <c r="C5002" s="5">
        <v>73</v>
      </c>
      <c r="D5002" s="6">
        <v>55.15</v>
      </c>
      <c r="E5002" t="s">
        <v>12</v>
      </c>
    </row>
    <row r="5003" spans="1:5" x14ac:dyDescent="0.25">
      <c r="A5003" t="str">
        <f>HYPERLINK("https://www.773grp.com/globalSearch/SNJ54S240FK/page-1", "SNJ54S240FK")</f>
        <v>SNJ54S240FK</v>
      </c>
      <c r="B5003" s="3" t="s">
        <v>90</v>
      </c>
      <c r="C5003" s="5">
        <v>20</v>
      </c>
      <c r="D5003" s="6">
        <v>55.64</v>
      </c>
      <c r="E5003" t="s">
        <v>12</v>
      </c>
    </row>
    <row r="5004" spans="1:5" x14ac:dyDescent="0.25">
      <c r="A5004" t="str">
        <f>HYPERLINK("https://www.773grp.com/globalSearch/5962-9062501MSA/page-1", "5962-9062501MSA")</f>
        <v>5962-9062501MSA</v>
      </c>
      <c r="B5004" s="3" t="s">
        <v>90</v>
      </c>
      <c r="C5004" s="5">
        <v>1504</v>
      </c>
      <c r="D5004" s="6">
        <v>55.65</v>
      </c>
      <c r="E5004" t="s">
        <v>12</v>
      </c>
    </row>
    <row r="5005" spans="1:5" x14ac:dyDescent="0.25">
      <c r="A5005" t="str">
        <f>HYPERLINK("https://www.773grp.com/globalSearch/SN74ALS667NT/page-1", "SN74ALS667NT")</f>
        <v>SN74ALS667NT</v>
      </c>
      <c r="B5005" s="3" t="s">
        <v>90</v>
      </c>
      <c r="C5005" s="5">
        <v>3307</v>
      </c>
      <c r="D5005" s="6">
        <v>55.65</v>
      </c>
      <c r="E5005" t="s">
        <v>12</v>
      </c>
    </row>
    <row r="5006" spans="1:5" x14ac:dyDescent="0.25">
      <c r="A5006" t="str">
        <f>HYPERLINK("https://www.773grp.com/globalSearch/SNJ54BCT244W/page-1", "SNJ54BCT244W")</f>
        <v>SNJ54BCT244W</v>
      </c>
      <c r="B5006" s="3" t="s">
        <v>90</v>
      </c>
      <c r="C5006" s="5">
        <v>1000</v>
      </c>
      <c r="D5006" s="6">
        <v>55.65</v>
      </c>
      <c r="E5006" t="s">
        <v>12</v>
      </c>
    </row>
    <row r="5007" spans="1:5" x14ac:dyDescent="0.25">
      <c r="A5007" t="str">
        <f>HYPERLINK("https://www.773grp.com/globalSearch/5962-9074201MSA/page-1", "5962-9074201MSA")</f>
        <v>5962-9074201MSA</v>
      </c>
      <c r="B5007" s="3" t="s">
        <v>90</v>
      </c>
      <c r="C5007" s="5">
        <v>135</v>
      </c>
      <c r="D5007" s="6">
        <v>55.99</v>
      </c>
      <c r="E5007" t="s">
        <v>12</v>
      </c>
    </row>
    <row r="5008" spans="1:5" x14ac:dyDescent="0.25">
      <c r="A5008" t="str">
        <f>HYPERLINK("https://www.773grp.com/globalSearch/SNJ54HC245W/page-1", "SNJ54HC245W")</f>
        <v>SNJ54HC245W</v>
      </c>
      <c r="B5008" s="3" t="s">
        <v>90</v>
      </c>
      <c r="C5008" s="5">
        <v>3</v>
      </c>
      <c r="D5008" s="6">
        <v>56.2</v>
      </c>
      <c r="E5008" t="s">
        <v>12</v>
      </c>
    </row>
    <row r="5009" spans="1:5" x14ac:dyDescent="0.25">
      <c r="A5009" t="str">
        <f>HYPERLINK("https://www.773grp.com/globalSearch/SNJ54HC244W/page-1", "SNJ54HC244W")</f>
        <v>SNJ54HC244W</v>
      </c>
      <c r="B5009" s="3" t="s">
        <v>90</v>
      </c>
      <c r="C5009" s="5">
        <v>7</v>
      </c>
      <c r="D5009" s="6">
        <v>56.23</v>
      </c>
      <c r="E5009" t="s">
        <v>12</v>
      </c>
    </row>
    <row r="5010" spans="1:5" x14ac:dyDescent="0.25">
      <c r="A5010" t="str">
        <f>HYPERLINK("https://www.773grp.com/globalSearch/84072012A/page-1", "84072012A")</f>
        <v>84072012A</v>
      </c>
      <c r="B5010" s="3" t="s">
        <v>90</v>
      </c>
      <c r="C5010" s="5">
        <v>455</v>
      </c>
      <c r="D5010" s="6">
        <v>56.25</v>
      </c>
      <c r="E5010" t="s">
        <v>12</v>
      </c>
    </row>
    <row r="5011" spans="1:5" x14ac:dyDescent="0.25">
      <c r="A5011" t="str">
        <f>HYPERLINK("https://www.773grp.com/globalSearch/SNJ54HC373FK/page-1", "SNJ54HC373FK")</f>
        <v>SNJ54HC373FK</v>
      </c>
      <c r="B5011" s="3" t="s">
        <v>90</v>
      </c>
      <c r="C5011" s="5">
        <v>316</v>
      </c>
      <c r="D5011" s="6">
        <v>56.25</v>
      </c>
      <c r="E5011" t="s">
        <v>12</v>
      </c>
    </row>
    <row r="5012" spans="1:5" x14ac:dyDescent="0.25">
      <c r="A5012" t="str">
        <f>HYPERLINK("https://www.773grp.com/globalSearch/SNJ54HC244FK/page-1", "SNJ54HC244FK")</f>
        <v>SNJ54HC244FK</v>
      </c>
      <c r="B5012" s="3" t="s">
        <v>90</v>
      </c>
      <c r="C5012" s="5">
        <v>3</v>
      </c>
      <c r="D5012" s="6">
        <v>56.33</v>
      </c>
      <c r="E5012" t="s">
        <v>12</v>
      </c>
    </row>
    <row r="5013" spans="1:5" x14ac:dyDescent="0.25">
      <c r="A5013" t="str">
        <f>HYPERLINK("https://www.773grp.com/globalSearch/5962-9560601QRA/page-1", "5962-9560601QRA")</f>
        <v>5962-9560601QRA</v>
      </c>
      <c r="B5013" s="3" t="s">
        <v>90</v>
      </c>
      <c r="C5013" s="5">
        <v>171</v>
      </c>
      <c r="D5013" s="6">
        <v>56.4</v>
      </c>
      <c r="E5013" t="s">
        <v>12</v>
      </c>
    </row>
    <row r="5014" spans="1:5" x14ac:dyDescent="0.25">
      <c r="A5014" t="str">
        <f>HYPERLINK("https://www.773grp.com/globalSearch/84071012A/page-1", "84071012A")</f>
        <v>84071012A</v>
      </c>
      <c r="B5014" s="3" t="s">
        <v>90</v>
      </c>
      <c r="C5014" s="5">
        <v>167</v>
      </c>
      <c r="D5014" s="6">
        <v>56.48</v>
      </c>
      <c r="E5014" t="s">
        <v>12</v>
      </c>
    </row>
    <row r="5015" spans="1:5" x14ac:dyDescent="0.25">
      <c r="A5015" t="str">
        <f>HYPERLINK("https://www.773grp.com/globalSearch/5962-9584401QSA/page-1", "5962-9584401QSA")</f>
        <v>5962-9584401QSA</v>
      </c>
      <c r="B5015" s="3" t="s">
        <v>90</v>
      </c>
      <c r="C5015" s="5">
        <v>329</v>
      </c>
      <c r="D5015" s="6">
        <v>56.79</v>
      </c>
      <c r="E5015" t="s">
        <v>12</v>
      </c>
    </row>
    <row r="5016" spans="1:5" x14ac:dyDescent="0.25">
      <c r="A5016" t="str">
        <f>HYPERLINK("https://www.773grp.com/globalSearch/5962-8683901SA/page-1", "5962-8683901SA")</f>
        <v>5962-8683901SA</v>
      </c>
      <c r="B5016" s="3" t="s">
        <v>90</v>
      </c>
      <c r="C5016" s="5">
        <v>165</v>
      </c>
      <c r="D5016" s="6">
        <v>56.88</v>
      </c>
      <c r="E5016" t="s">
        <v>12</v>
      </c>
    </row>
    <row r="5017" spans="1:5" x14ac:dyDescent="0.25">
      <c r="A5017" t="str">
        <f>HYPERLINK("https://www.773grp.com/globalSearch/5962-9461801Q2A/page-1", "5962-9461801Q2A")</f>
        <v>5962-9461801Q2A</v>
      </c>
      <c r="B5017" s="3" t="s">
        <v>90</v>
      </c>
      <c r="C5017" s="5">
        <v>126</v>
      </c>
      <c r="D5017" s="6">
        <v>56.95</v>
      </c>
      <c r="E5017" t="s">
        <v>12</v>
      </c>
    </row>
    <row r="5018" spans="1:5" x14ac:dyDescent="0.25">
      <c r="A5018" t="str">
        <f>HYPERLINK("https://www.773grp.com/globalSearch/5962-9950801QSA/page-1", "5962-9950801QSA")</f>
        <v>5962-9950801QSA</v>
      </c>
      <c r="B5018" s="3" t="s">
        <v>90</v>
      </c>
      <c r="C5018" s="5">
        <v>407</v>
      </c>
      <c r="D5018" s="6">
        <v>56.99</v>
      </c>
      <c r="E5018" t="s">
        <v>12</v>
      </c>
    </row>
    <row r="5019" spans="1:5" x14ac:dyDescent="0.25">
      <c r="A5019" t="str">
        <f>HYPERLINK("https://www.773grp.com/globalSearch/8407201SA/page-1", "8407201SA")</f>
        <v>8407201SA</v>
      </c>
      <c r="B5019" s="3" t="s">
        <v>90</v>
      </c>
      <c r="C5019" s="5">
        <v>17</v>
      </c>
      <c r="D5019" s="6">
        <v>56.99</v>
      </c>
      <c r="E5019" t="s">
        <v>12</v>
      </c>
    </row>
    <row r="5020" spans="1:5" x14ac:dyDescent="0.25">
      <c r="A5020" t="str">
        <f>HYPERLINK("https://www.773grp.com/globalSearch/5962-9583101QSA/page-1", "5962-9583101QSA")</f>
        <v>5962-9583101QSA</v>
      </c>
      <c r="B5020" s="3" t="s">
        <v>90</v>
      </c>
      <c r="C5020" s="5">
        <v>25</v>
      </c>
      <c r="D5020" s="6">
        <v>57.24</v>
      </c>
      <c r="E5020" t="s">
        <v>12</v>
      </c>
    </row>
    <row r="5021" spans="1:5" x14ac:dyDescent="0.25">
      <c r="A5021" t="str">
        <f>HYPERLINK("https://www.773grp.com/globalSearch/84032013A/page-1", "84032013A")</f>
        <v>84032013A</v>
      </c>
      <c r="B5021" s="3" t="s">
        <v>90</v>
      </c>
      <c r="C5021" s="5">
        <v>58</v>
      </c>
      <c r="D5021" s="6">
        <v>57.63</v>
      </c>
      <c r="E5021" t="s">
        <v>12</v>
      </c>
    </row>
    <row r="5022" spans="1:5" x14ac:dyDescent="0.25">
      <c r="A5022" t="str">
        <f>HYPERLINK("https://www.773grp.com/globalSearch/SNJ54BCT245W/page-1", "SNJ54BCT245W")</f>
        <v>SNJ54BCT245W</v>
      </c>
      <c r="B5022" s="3" t="s">
        <v>90</v>
      </c>
      <c r="C5022" s="5">
        <v>95</v>
      </c>
      <c r="D5022" s="6">
        <v>57.76</v>
      </c>
      <c r="E5022" t="s">
        <v>12</v>
      </c>
    </row>
    <row r="5023" spans="1:5" x14ac:dyDescent="0.25">
      <c r="A5023" t="str">
        <f>HYPERLINK("https://www.773grp.com/globalSearch/SN74ALS667DW/page-1", "SN74ALS667DW")</f>
        <v>SN74ALS667DW</v>
      </c>
      <c r="B5023" s="3" t="s">
        <v>90</v>
      </c>
      <c r="C5023" s="5">
        <v>2883</v>
      </c>
      <c r="D5023" s="6">
        <v>58.05</v>
      </c>
      <c r="E5023" t="s">
        <v>12</v>
      </c>
    </row>
    <row r="5024" spans="1:5" x14ac:dyDescent="0.25">
      <c r="A5024" t="str">
        <f>HYPERLINK("https://www.773grp.com/globalSearch/SNJ54LVT16244AWD/page-1", "SNJ54LVT16244AWD")</f>
        <v>SNJ54LVT16244AWD</v>
      </c>
      <c r="B5024" s="3" t="s">
        <v>90</v>
      </c>
      <c r="C5024" s="5">
        <v>49</v>
      </c>
      <c r="D5024" s="6">
        <v>58.3</v>
      </c>
      <c r="E5024" t="s">
        <v>12</v>
      </c>
    </row>
    <row r="5025" spans="1:5" x14ac:dyDescent="0.25">
      <c r="A5025" t="str">
        <f>HYPERLINK("https://www.773grp.com/globalSearch/SNJ54LVT16245AWD/page-1", "SNJ54LVT16245AWD")</f>
        <v>SNJ54LVT16245AWD</v>
      </c>
      <c r="B5025" s="3" t="s">
        <v>90</v>
      </c>
      <c r="C5025" s="5">
        <v>21</v>
      </c>
      <c r="D5025" s="6">
        <v>58.3</v>
      </c>
      <c r="E5025" t="s">
        <v>12</v>
      </c>
    </row>
    <row r="5026" spans="1:5" x14ac:dyDescent="0.25">
      <c r="A5026" t="str">
        <f>HYPERLINK("https://www.773grp.com/globalSearch/SNJ54LS541W/page-1", "SNJ54LS541W")</f>
        <v>SNJ54LS541W</v>
      </c>
      <c r="B5026" s="3" t="s">
        <v>90</v>
      </c>
      <c r="C5026" s="5">
        <v>12</v>
      </c>
      <c r="D5026" s="6">
        <v>58.35</v>
      </c>
      <c r="E5026" t="s">
        <v>12</v>
      </c>
    </row>
    <row r="5027" spans="1:5" x14ac:dyDescent="0.25">
      <c r="A5027" t="str">
        <f>HYPERLINK("https://www.773grp.com/globalSearch/5962-9469701QRA/page-1", "5962-9469701QRA")</f>
        <v>5962-9469701QRA</v>
      </c>
      <c r="B5027" s="3" t="s">
        <v>90</v>
      </c>
      <c r="C5027" s="5">
        <v>15</v>
      </c>
      <c r="D5027" s="6">
        <v>58.5</v>
      </c>
      <c r="E5027" t="s">
        <v>12</v>
      </c>
    </row>
    <row r="5028" spans="1:5" x14ac:dyDescent="0.25">
      <c r="A5028" t="str">
        <f>HYPERLINK("https://www.773grp.com/globalSearch/SNJ54ABT2240AJ/page-1", "SNJ54ABT2240AJ")</f>
        <v>SNJ54ABT2240AJ</v>
      </c>
      <c r="B5028" s="3" t="s">
        <v>90</v>
      </c>
      <c r="C5028" s="5">
        <v>2</v>
      </c>
      <c r="D5028" s="6">
        <v>58.5</v>
      </c>
      <c r="E5028" t="s">
        <v>12</v>
      </c>
    </row>
    <row r="5029" spans="1:5" x14ac:dyDescent="0.25">
      <c r="A5029" t="str">
        <f>HYPERLINK("https://www.773grp.com/globalSearch/JM38510-65753BRA/page-1", "JM38510-65753BRA")</f>
        <v>JM38510-65753BRA</v>
      </c>
      <c r="B5029" s="3" t="s">
        <v>90</v>
      </c>
      <c r="C5029" s="5">
        <v>68</v>
      </c>
      <c r="D5029" s="6">
        <v>58.61</v>
      </c>
      <c r="E5029" t="s">
        <v>12</v>
      </c>
    </row>
    <row r="5030" spans="1:5" x14ac:dyDescent="0.25">
      <c r="A5030" t="str">
        <f>HYPERLINK("https://www.773grp.com/globalSearch/5962-9469101Q3A/page-1", "5962-9469101Q3A")</f>
        <v>5962-9469101Q3A</v>
      </c>
      <c r="B5030" s="3" t="s">
        <v>90</v>
      </c>
      <c r="C5030" s="5">
        <v>35</v>
      </c>
      <c r="D5030" s="6">
        <v>58.76</v>
      </c>
      <c r="E5030" t="s">
        <v>12</v>
      </c>
    </row>
    <row r="5031" spans="1:5" x14ac:dyDescent="0.25">
      <c r="A5031" t="str">
        <f>HYPERLINK("https://www.773grp.com/globalSearch/JM38510-65761BRA/page-1", "JM38510-65761BRA")</f>
        <v>JM38510-65761BRA</v>
      </c>
      <c r="B5031" s="3" t="s">
        <v>90</v>
      </c>
      <c r="C5031" s="5">
        <v>10</v>
      </c>
      <c r="D5031" s="6">
        <v>58.93</v>
      </c>
      <c r="E5031" t="s">
        <v>12</v>
      </c>
    </row>
    <row r="5032" spans="1:5" x14ac:dyDescent="0.25">
      <c r="A5032" t="str">
        <f>HYPERLINK("https://www.773grp.com/globalSearch/SNJ54HC241FK/page-1", "SNJ54HC241FK")</f>
        <v>SNJ54HC241FK</v>
      </c>
      <c r="B5032" s="3" t="s">
        <v>90</v>
      </c>
      <c r="C5032" s="5">
        <v>15</v>
      </c>
      <c r="D5032" s="6">
        <v>59.65</v>
      </c>
      <c r="E5032" t="s">
        <v>12</v>
      </c>
    </row>
    <row r="5033" spans="1:5" x14ac:dyDescent="0.25">
      <c r="A5033" t="str">
        <f>HYPERLINK("https://www.773grp.com/globalSearch/SNJ54HC541FK/page-1", "SNJ54HC541FK")</f>
        <v>SNJ54HC541FK</v>
      </c>
      <c r="B5033" s="3" t="s">
        <v>90</v>
      </c>
      <c r="C5033" s="5">
        <v>137</v>
      </c>
      <c r="D5033" s="6">
        <v>59.79</v>
      </c>
      <c r="E5033" t="s">
        <v>12</v>
      </c>
    </row>
    <row r="5034" spans="1:5" x14ac:dyDescent="0.25">
      <c r="A5034" t="str">
        <f>HYPERLINK("https://www.773grp.com/globalSearch/84074012A/page-1", "84074012A")</f>
        <v>84074012A</v>
      </c>
      <c r="B5034" s="3" t="s">
        <v>90</v>
      </c>
      <c r="C5034" s="5">
        <v>3</v>
      </c>
      <c r="D5034" s="6">
        <v>59.91</v>
      </c>
      <c r="E5034" t="s">
        <v>12</v>
      </c>
    </row>
    <row r="5035" spans="1:5" x14ac:dyDescent="0.25">
      <c r="A5035" t="str">
        <f>HYPERLINK("https://www.773grp.com/globalSearch/84085012A/page-1", "84085012A")</f>
        <v>84085012A</v>
      </c>
      <c r="B5035" s="3" t="s">
        <v>90</v>
      </c>
      <c r="C5035" s="5">
        <v>9</v>
      </c>
      <c r="D5035" s="6">
        <v>60.84</v>
      </c>
      <c r="E5035" t="s">
        <v>12</v>
      </c>
    </row>
    <row r="5036" spans="1:5" x14ac:dyDescent="0.25">
      <c r="A5036" t="str">
        <f>HYPERLINK("https://www.773grp.com/globalSearch/SNJ54AS245FK/page-1", "SNJ54AS245FK")</f>
        <v>SNJ54AS245FK</v>
      </c>
      <c r="B5036" s="3" t="s">
        <v>90</v>
      </c>
      <c r="C5036" s="5">
        <v>1</v>
      </c>
      <c r="D5036" s="6">
        <v>60.98</v>
      </c>
      <c r="E5036" t="s">
        <v>12</v>
      </c>
    </row>
    <row r="5037" spans="1:5" x14ac:dyDescent="0.25">
      <c r="A5037" t="str">
        <f>HYPERLINK("https://www.773grp.com/globalSearch/5962-9087001MKA/page-1", "5962-9087001MKA")</f>
        <v>5962-9087001MKA</v>
      </c>
      <c r="B5037" s="3" t="s">
        <v>90</v>
      </c>
      <c r="C5037" s="5">
        <v>22</v>
      </c>
      <c r="D5037" s="6">
        <v>61.14</v>
      </c>
      <c r="E5037" t="s">
        <v>12</v>
      </c>
    </row>
    <row r="5038" spans="1:5" x14ac:dyDescent="0.25">
      <c r="A5038" t="str">
        <f>HYPERLINK("https://www.773grp.com/globalSearch/SNJ54ABT16245WD/page-1", "SNJ54ABT16245WD")</f>
        <v>SNJ54ABT16245WD</v>
      </c>
      <c r="B5038" s="3" t="s">
        <v>90</v>
      </c>
      <c r="C5038" s="5">
        <v>1</v>
      </c>
      <c r="D5038" s="6">
        <v>62.98</v>
      </c>
      <c r="E5038" t="s">
        <v>12</v>
      </c>
    </row>
    <row r="5039" spans="1:5" x14ac:dyDescent="0.25">
      <c r="A5039" t="str">
        <f>HYPERLINK("https://www.773grp.com/globalSearch/JM38510-65453BRA/page-1", "JM38510-65453BRA")</f>
        <v>JM38510-65453BRA</v>
      </c>
      <c r="B5039" s="3" t="s">
        <v>90</v>
      </c>
      <c r="C5039" s="5">
        <v>1125</v>
      </c>
      <c r="D5039" s="6">
        <v>63.41</v>
      </c>
      <c r="E5039" t="s">
        <v>12</v>
      </c>
    </row>
    <row r="5040" spans="1:5" x14ac:dyDescent="0.25">
      <c r="A5040" t="str">
        <f>HYPERLINK("https://www.773grp.com/globalSearch/5962-9220303MSA/page-1", "5962-9220303MSA")</f>
        <v>5962-9220303MSA</v>
      </c>
      <c r="B5040" s="3" t="s">
        <v>90</v>
      </c>
      <c r="C5040" s="5">
        <v>100</v>
      </c>
      <c r="D5040" s="6">
        <v>64.349999999999994</v>
      </c>
      <c r="E5040" t="s">
        <v>12</v>
      </c>
    </row>
    <row r="5041" spans="1:5" x14ac:dyDescent="0.25">
      <c r="A5041" t="str">
        <f>HYPERLINK("https://www.773grp.com/globalSearch/5962-9172801QLA/page-1", "5962-9172801QLA")</f>
        <v>5962-9172801QLA</v>
      </c>
      <c r="B5041" s="3" t="s">
        <v>90</v>
      </c>
      <c r="C5041" s="5">
        <v>1559</v>
      </c>
      <c r="D5041" s="6">
        <v>65.03</v>
      </c>
      <c r="E5041" t="s">
        <v>12</v>
      </c>
    </row>
    <row r="5042" spans="1:5" x14ac:dyDescent="0.25">
      <c r="A5042" t="str">
        <f>HYPERLINK("https://www.773grp.com/globalSearch/5962-9314701Q2A/page-1", "5962-9314701Q2A")</f>
        <v>5962-9314701Q2A</v>
      </c>
      <c r="B5042" s="3" t="s">
        <v>90</v>
      </c>
      <c r="C5042" s="5">
        <v>19</v>
      </c>
      <c r="D5042" s="6">
        <v>65.05</v>
      </c>
      <c r="E5042" t="s">
        <v>12</v>
      </c>
    </row>
    <row r="5043" spans="1:5" x14ac:dyDescent="0.25">
      <c r="A5043" t="str">
        <f>HYPERLINK("https://www.773grp.com/globalSearch/JM38510-65705BSA/page-1", "JM38510-65705BSA")</f>
        <v>JM38510-65705BSA</v>
      </c>
      <c r="B5043" s="3" t="s">
        <v>90</v>
      </c>
      <c r="C5043" s="5">
        <v>59</v>
      </c>
      <c r="D5043" s="6">
        <v>65.23</v>
      </c>
      <c r="E5043" t="s">
        <v>12</v>
      </c>
    </row>
    <row r="5044" spans="1:5" x14ac:dyDescent="0.25">
      <c r="A5044" t="str">
        <f>HYPERLINK("https://www.773grp.com/globalSearch/5962-9172601MLA/page-1", "5962-9172601MLA")</f>
        <v>5962-9172601MLA</v>
      </c>
      <c r="B5044" s="3" t="s">
        <v>90</v>
      </c>
      <c r="C5044" s="5">
        <v>32</v>
      </c>
      <c r="D5044" s="6">
        <v>66.099999999999994</v>
      </c>
      <c r="E5044" t="s">
        <v>12</v>
      </c>
    </row>
    <row r="5045" spans="1:5" x14ac:dyDescent="0.25">
      <c r="A5045" t="str">
        <f>HYPERLINK("https://www.773grp.com/globalSearch/SNJ54BCT8240AJT/page-1", "SNJ54BCT8240AJT")</f>
        <v>SNJ54BCT8240AJT</v>
      </c>
      <c r="B5045" s="3" t="s">
        <v>90</v>
      </c>
      <c r="C5045" s="5">
        <v>3</v>
      </c>
      <c r="D5045" s="6">
        <v>66.400000000000006</v>
      </c>
      <c r="E5045" t="s">
        <v>12</v>
      </c>
    </row>
    <row r="5046" spans="1:5" x14ac:dyDescent="0.25">
      <c r="A5046" t="str">
        <f>HYPERLINK("https://www.773grp.com/globalSearch/5962-9467301QSA/page-1", "5962-9467301QSA")</f>
        <v>5962-9467301QSA</v>
      </c>
      <c r="B5046" s="3" t="s">
        <v>90</v>
      </c>
      <c r="C5046" s="5">
        <v>156</v>
      </c>
      <c r="D5046" s="6">
        <v>67.08</v>
      </c>
      <c r="E5046" t="s">
        <v>12</v>
      </c>
    </row>
    <row r="5047" spans="1:5" x14ac:dyDescent="0.25">
      <c r="A5047" t="str">
        <f>HYPERLINK("https://www.773grp.com/globalSearch/SNJ54ABT2244W/page-1", "SNJ54ABT2244W")</f>
        <v>SNJ54ABT2244W</v>
      </c>
      <c r="B5047" s="3" t="s">
        <v>90</v>
      </c>
      <c r="C5047" s="5">
        <v>300</v>
      </c>
      <c r="D5047" s="6">
        <v>67.08</v>
      </c>
      <c r="E5047" t="s">
        <v>12</v>
      </c>
    </row>
    <row r="5048" spans="1:5" x14ac:dyDescent="0.25">
      <c r="A5048" t="str">
        <f>HYPERLINK("https://www.773grp.com/globalSearch/5962-9172701QLA/page-1", "5962-9172701QLA")</f>
        <v>5962-9172701QLA</v>
      </c>
      <c r="B5048" s="3" t="s">
        <v>90</v>
      </c>
      <c r="C5048" s="5">
        <v>88</v>
      </c>
      <c r="D5048" s="6">
        <v>67.41</v>
      </c>
      <c r="E5048" t="s">
        <v>12</v>
      </c>
    </row>
    <row r="5049" spans="1:5" x14ac:dyDescent="0.25">
      <c r="A5049" t="str">
        <f>HYPERLINK("https://www.773grp.com/globalSearch/JM38510-65711BRA/page-1", "JM38510-65711BRA")</f>
        <v>JM38510-65711BRA</v>
      </c>
      <c r="B5049" s="3" t="s">
        <v>90</v>
      </c>
      <c r="C5049" s="5">
        <v>36</v>
      </c>
      <c r="D5049" s="6">
        <v>68.09</v>
      </c>
      <c r="E5049" t="s">
        <v>12</v>
      </c>
    </row>
    <row r="5050" spans="1:5" x14ac:dyDescent="0.25">
      <c r="A5050" t="str">
        <f>HYPERLINK("https://www.773grp.com/globalSearch/JM38510-65703BRA/page-1", "JM38510-65703BRA")</f>
        <v>JM38510-65703BRA</v>
      </c>
      <c r="B5050" s="3" t="s">
        <v>90</v>
      </c>
      <c r="C5050" s="5">
        <v>157</v>
      </c>
      <c r="D5050" s="6">
        <v>69.3</v>
      </c>
      <c r="E5050" t="s">
        <v>12</v>
      </c>
    </row>
    <row r="5051" spans="1:5" x14ac:dyDescent="0.25">
      <c r="A5051" t="str">
        <f>HYPERLINK("https://www.773grp.com/globalSearch/JM38510-65704BRA/page-1", "JM38510-65704BRA")</f>
        <v>JM38510-65704BRA</v>
      </c>
      <c r="B5051" s="3" t="s">
        <v>90</v>
      </c>
      <c r="C5051" s="5">
        <v>17</v>
      </c>
      <c r="D5051" s="6">
        <v>69.53</v>
      </c>
      <c r="E5051" t="s">
        <v>12</v>
      </c>
    </row>
    <row r="5052" spans="1:5" x14ac:dyDescent="0.25">
      <c r="A5052" t="str">
        <f>HYPERLINK("https://www.773grp.com/globalSearch/5962-9093801M2A/page-1", "5962-9093801M2A")</f>
        <v>5962-9093801M2A</v>
      </c>
      <c r="B5052" s="3" t="s">
        <v>90</v>
      </c>
      <c r="C5052" s="5">
        <v>13</v>
      </c>
      <c r="D5052" s="6">
        <v>69.86</v>
      </c>
      <c r="E5052" t="s">
        <v>12</v>
      </c>
    </row>
    <row r="5053" spans="1:5" x14ac:dyDescent="0.25">
      <c r="A5053" t="str">
        <f>HYPERLINK("https://www.773grp.com/globalSearch/JM38510-65708BEA/page-1", "JM38510-65708BEA")</f>
        <v>JM38510-65708BEA</v>
      </c>
      <c r="B5053" s="3" t="s">
        <v>90</v>
      </c>
      <c r="C5053" s="5">
        <v>20</v>
      </c>
      <c r="D5053" s="6">
        <v>69.95</v>
      </c>
      <c r="E5053" t="s">
        <v>12</v>
      </c>
    </row>
    <row r="5054" spans="1:5" x14ac:dyDescent="0.25">
      <c r="A5054" t="str">
        <f>HYPERLINK("https://www.773grp.com/globalSearch/5962-9450201QXA/page-1", "5962-9450201QXA")</f>
        <v>5962-9450201QXA</v>
      </c>
      <c r="B5054" s="3" t="s">
        <v>90</v>
      </c>
      <c r="C5054" s="5">
        <v>117</v>
      </c>
      <c r="D5054" s="6">
        <v>70.38</v>
      </c>
      <c r="E5054" t="s">
        <v>12</v>
      </c>
    </row>
    <row r="5055" spans="1:5" x14ac:dyDescent="0.25">
      <c r="A5055" t="str">
        <f>HYPERLINK("https://www.773grp.com/globalSearch/CY54FCT541TLMB/page-1", "CY54FCT541TLMB")</f>
        <v>CY54FCT541TLMB</v>
      </c>
      <c r="B5055" s="3" t="s">
        <v>90</v>
      </c>
      <c r="C5055" s="5">
        <v>16</v>
      </c>
      <c r="D5055" s="6">
        <v>70.38</v>
      </c>
      <c r="E5055" t="s">
        <v>12</v>
      </c>
    </row>
    <row r="5056" spans="1:5" x14ac:dyDescent="0.25">
      <c r="A5056" t="str">
        <f>HYPERLINK("https://www.773grp.com/globalSearch/5962-89687013A/page-1", "5962-89687013A")</f>
        <v>5962-89687013A</v>
      </c>
      <c r="B5056" s="3" t="s">
        <v>90</v>
      </c>
      <c r="C5056" s="5">
        <v>6</v>
      </c>
      <c r="D5056" s="6">
        <v>70.430000000000007</v>
      </c>
      <c r="E5056" t="s">
        <v>12</v>
      </c>
    </row>
    <row r="5057" spans="1:5" x14ac:dyDescent="0.25">
      <c r="A5057" t="str">
        <f>HYPERLINK("https://www.773grp.com/globalSearch/5962-9087001M3A/page-1", "5962-9087001M3A")</f>
        <v>5962-9087001M3A</v>
      </c>
      <c r="B5057" s="3" t="s">
        <v>90</v>
      </c>
      <c r="C5057" s="5">
        <v>73</v>
      </c>
      <c r="D5057" s="6">
        <v>71.55</v>
      </c>
      <c r="E5057" t="s">
        <v>12</v>
      </c>
    </row>
    <row r="5058" spans="1:5" x14ac:dyDescent="0.25">
      <c r="A5058" t="str">
        <f>HYPERLINK("https://www.773grp.com/globalSearch/JM38510-65406BRA/page-1", "JM38510-65406BRA")</f>
        <v>JM38510-65406BRA</v>
      </c>
      <c r="B5058" s="3" t="s">
        <v>90</v>
      </c>
      <c r="C5058" s="5">
        <v>165</v>
      </c>
      <c r="D5058" s="6">
        <v>71.930000000000007</v>
      </c>
      <c r="E5058" t="s">
        <v>12</v>
      </c>
    </row>
    <row r="5059" spans="1:5" x14ac:dyDescent="0.25">
      <c r="A5059" t="str">
        <f>HYPERLINK("https://www.773grp.com/globalSearch/5962-9674801Q3A/page-1", "5962-9674801Q3A")</f>
        <v>5962-9674801Q3A</v>
      </c>
      <c r="B5059" s="3" t="s">
        <v>90</v>
      </c>
      <c r="C5059" s="5">
        <v>1459</v>
      </c>
      <c r="D5059" s="6">
        <v>72.31</v>
      </c>
      <c r="E5059" t="s">
        <v>12</v>
      </c>
    </row>
    <row r="5060" spans="1:5" x14ac:dyDescent="0.25">
      <c r="A5060" t="str">
        <f>HYPERLINK("https://www.773grp.com/globalSearch/SN74LS647NT/page-1", "SN74LS647NT")</f>
        <v>SN74LS647NT</v>
      </c>
      <c r="B5060" s="3" t="s">
        <v>90</v>
      </c>
      <c r="C5060" s="5">
        <v>1556</v>
      </c>
      <c r="D5060" s="6">
        <v>74.25</v>
      </c>
      <c r="E5060" t="s">
        <v>12</v>
      </c>
    </row>
    <row r="5061" spans="1:5" x14ac:dyDescent="0.25">
      <c r="A5061" t="str">
        <f>HYPERLINK("https://www.773grp.com/globalSearch/JM38510-65403B2A/page-1", "JM38510-65403B2A")</f>
        <v>JM38510-65403B2A</v>
      </c>
      <c r="B5061" s="3" t="s">
        <v>90</v>
      </c>
      <c r="C5061" s="5">
        <v>7</v>
      </c>
      <c r="D5061" s="6">
        <v>75.3</v>
      </c>
      <c r="E5061" t="s">
        <v>12</v>
      </c>
    </row>
    <row r="5062" spans="1:5" x14ac:dyDescent="0.25">
      <c r="A5062" t="str">
        <f>HYPERLINK("https://www.773grp.com/globalSearch/JM38510-65604BRA/page-1", "JM38510-65604BRA")</f>
        <v>JM38510-65604BRA</v>
      </c>
      <c r="B5062" s="3" t="s">
        <v>90</v>
      </c>
      <c r="C5062" s="5">
        <v>34</v>
      </c>
      <c r="D5062" s="6">
        <v>75.64</v>
      </c>
      <c r="E5062" t="s">
        <v>12</v>
      </c>
    </row>
    <row r="5063" spans="1:5" x14ac:dyDescent="0.25">
      <c r="A5063" t="str">
        <f>HYPERLINK("https://www.773grp.com/globalSearch/5962-9450901QKA/page-1", "5962-9450901QKA")</f>
        <v>5962-9450901QKA</v>
      </c>
      <c r="B5063" s="3" t="s">
        <v>90</v>
      </c>
      <c r="C5063" s="5">
        <v>59</v>
      </c>
      <c r="D5063" s="6">
        <v>76.66</v>
      </c>
      <c r="E5063" t="s">
        <v>12</v>
      </c>
    </row>
    <row r="5064" spans="1:5" x14ac:dyDescent="0.25">
      <c r="A5064" t="str">
        <f>HYPERLINK("https://www.773grp.com/globalSearch/5962-90563012A/page-1", "5962-90563012A")</f>
        <v>5962-90563012A</v>
      </c>
      <c r="B5064" s="3" t="s">
        <v>90</v>
      </c>
      <c r="C5064" s="5">
        <v>31</v>
      </c>
      <c r="D5064" s="6">
        <v>77.63</v>
      </c>
      <c r="E5064" t="s">
        <v>12</v>
      </c>
    </row>
    <row r="5065" spans="1:5" x14ac:dyDescent="0.25">
      <c r="A5065" t="str">
        <f>HYPERLINK("https://www.773grp.com/globalSearch/JM38510-38301BRA/page-1", "JM38510-38301BRA")</f>
        <v>JM38510-38301BRA</v>
      </c>
      <c r="B5065" s="3" t="s">
        <v>90</v>
      </c>
      <c r="C5065" s="5">
        <v>155</v>
      </c>
      <c r="D5065" s="6">
        <v>77.760000000000005</v>
      </c>
      <c r="E5065" t="s">
        <v>12</v>
      </c>
    </row>
    <row r="5066" spans="1:5" x14ac:dyDescent="0.25">
      <c r="A5066" t="str">
        <f>HYPERLINK("https://www.773grp.com/globalSearch/SN74LS442N/page-1", "SN74LS442N")</f>
        <v>SN74LS442N</v>
      </c>
      <c r="B5066" s="3" t="s">
        <v>90</v>
      </c>
      <c r="C5066" s="5">
        <v>3220</v>
      </c>
      <c r="D5066" s="6">
        <v>77.849999999999994</v>
      </c>
      <c r="E5066" t="s">
        <v>12</v>
      </c>
    </row>
    <row r="5067" spans="1:5" x14ac:dyDescent="0.25">
      <c r="A5067" t="str">
        <f>HYPERLINK("https://www.773grp.com/globalSearch/5962-9318601MLA/page-1", "5962-9318601MLA")</f>
        <v>5962-9318601MLA</v>
      </c>
      <c r="B5067" s="3" t="s">
        <v>90</v>
      </c>
      <c r="C5067" s="5">
        <v>46</v>
      </c>
      <c r="D5067" s="6">
        <v>78.34</v>
      </c>
      <c r="E5067" t="s">
        <v>12</v>
      </c>
    </row>
    <row r="5068" spans="1:5" x14ac:dyDescent="0.25">
      <c r="A5068" t="str">
        <f>HYPERLINK("https://www.773grp.com/globalSearch/5962-8994501LA/page-1", "5962-8994501LA")</f>
        <v>5962-8994501LA</v>
      </c>
      <c r="B5068" s="3" t="s">
        <v>90</v>
      </c>
      <c r="C5068" s="5">
        <v>1</v>
      </c>
      <c r="D5068" s="6">
        <v>81.14</v>
      </c>
      <c r="E5068" t="s">
        <v>12</v>
      </c>
    </row>
    <row r="5069" spans="1:5" x14ac:dyDescent="0.25">
      <c r="A5069" t="str">
        <f>HYPERLINK("https://www.773grp.com/globalSearch/JM38510-37204BRA/page-1", "JM38510-37204BRA")</f>
        <v>JM38510-37204BRA</v>
      </c>
      <c r="B5069" s="3" t="s">
        <v>90</v>
      </c>
      <c r="C5069" s="5">
        <v>452</v>
      </c>
      <c r="D5069" s="6">
        <v>83.25</v>
      </c>
      <c r="E5069" t="s">
        <v>12</v>
      </c>
    </row>
    <row r="5070" spans="1:5" x14ac:dyDescent="0.25">
      <c r="A5070" t="str">
        <f>HYPERLINK("https://www.773grp.com/globalSearch/JM38510-38201B2A/page-1", "JM38510-38201B2A")</f>
        <v>JM38510-38201B2A</v>
      </c>
      <c r="B5070" s="3" t="s">
        <v>90</v>
      </c>
      <c r="C5070" s="5">
        <v>210</v>
      </c>
      <c r="D5070" s="6">
        <v>83.59</v>
      </c>
      <c r="E5070" t="s">
        <v>12</v>
      </c>
    </row>
    <row r="5071" spans="1:5" x14ac:dyDescent="0.25">
      <c r="A5071" t="str">
        <f>HYPERLINK("https://www.773grp.com/globalSearch/SNJ54LVTH16245AWD/page-1", "SNJ54LVTH16245AWD")</f>
        <v>SNJ54LVTH16245AWD</v>
      </c>
      <c r="B5071" s="3" t="s">
        <v>90</v>
      </c>
      <c r="C5071" s="5">
        <v>7</v>
      </c>
      <c r="D5071" s="6">
        <v>85.78</v>
      </c>
      <c r="E5071" t="s">
        <v>12</v>
      </c>
    </row>
    <row r="5072" spans="1:5" x14ac:dyDescent="0.25">
      <c r="A5072" t="str">
        <f>HYPERLINK("https://www.773grp.com/globalSearch/5962-9559001QXA/page-1", "5962-9559001QXA")</f>
        <v>5962-9559001QXA</v>
      </c>
      <c r="B5072" s="3" t="s">
        <v>90</v>
      </c>
      <c r="C5072" s="5">
        <v>2771</v>
      </c>
      <c r="D5072" s="6">
        <v>86.36</v>
      </c>
      <c r="E5072" t="s">
        <v>12</v>
      </c>
    </row>
    <row r="5073" spans="1:5" x14ac:dyDescent="0.25">
      <c r="A5073" t="str">
        <f>HYPERLINK("https://www.773grp.com/globalSearch/5962-9317501MXA/page-1", "5962-9317501MXA")</f>
        <v>5962-9317501MXA</v>
      </c>
      <c r="B5073" s="3" t="s">
        <v>90</v>
      </c>
      <c r="C5073" s="5">
        <v>20</v>
      </c>
      <c r="D5073" s="6">
        <v>87.16</v>
      </c>
      <c r="E5073" t="s">
        <v>12</v>
      </c>
    </row>
    <row r="5074" spans="1:5" x14ac:dyDescent="0.25">
      <c r="A5074" t="str">
        <f>HYPERLINK("https://www.773grp.com/globalSearch/SNJ54ABT16245AWD/page-1", "SNJ54ABT16245AWD")</f>
        <v>SNJ54ABT16245AWD</v>
      </c>
      <c r="B5074" s="3" t="s">
        <v>90</v>
      </c>
      <c r="C5074" s="5">
        <v>103</v>
      </c>
      <c r="D5074" s="6">
        <v>87.16</v>
      </c>
      <c r="E5074" t="s">
        <v>12</v>
      </c>
    </row>
    <row r="5075" spans="1:5" x14ac:dyDescent="0.25">
      <c r="A5075" t="str">
        <f>HYPERLINK("https://www.773grp.com/globalSearch/SNJ54LVTH162244WD/page-1", "SNJ54LVTH162244WD")</f>
        <v>SNJ54LVTH162244WD</v>
      </c>
      <c r="B5075" s="3" t="s">
        <v>90</v>
      </c>
      <c r="C5075" s="5">
        <v>36</v>
      </c>
      <c r="D5075" s="6">
        <v>88.8</v>
      </c>
      <c r="E5075" t="s">
        <v>12</v>
      </c>
    </row>
    <row r="5076" spans="1:5" x14ac:dyDescent="0.25">
      <c r="A5076" t="str">
        <f>HYPERLINK("https://www.773grp.com/globalSearch/5962-9557601NXD/page-1", "5962-9557601NXD")</f>
        <v>5962-9557601NXD</v>
      </c>
      <c r="B5076" s="3" t="s">
        <v>90</v>
      </c>
      <c r="C5076" s="5">
        <v>3912</v>
      </c>
      <c r="D5076" s="6">
        <v>90.5</v>
      </c>
      <c r="E5076" t="s">
        <v>12</v>
      </c>
    </row>
    <row r="5077" spans="1:5" x14ac:dyDescent="0.25">
      <c r="A5077" t="str">
        <f>HYPERLINK("https://www.773grp.com/globalSearch/JM38510-37203B2A/page-1", "JM38510-37203B2A")</f>
        <v>JM38510-37203B2A</v>
      </c>
      <c r="B5077" s="3" t="s">
        <v>90</v>
      </c>
      <c r="C5077" s="5">
        <v>103</v>
      </c>
      <c r="D5077" s="6">
        <v>91.08</v>
      </c>
      <c r="E5077" t="s">
        <v>12</v>
      </c>
    </row>
    <row r="5078" spans="1:5" x14ac:dyDescent="0.25">
      <c r="A5078" t="str">
        <f>HYPERLINK("https://www.773grp.com/globalSearch/JM38510-38301B2A/page-1", "JM38510-38301B2A")</f>
        <v>JM38510-38301B2A</v>
      </c>
      <c r="B5078" s="3" t="s">
        <v>90</v>
      </c>
      <c r="C5078" s="5">
        <v>161</v>
      </c>
      <c r="D5078" s="6">
        <v>92.44</v>
      </c>
      <c r="E5078" t="s">
        <v>12</v>
      </c>
    </row>
    <row r="5079" spans="1:5" x14ac:dyDescent="0.25">
      <c r="A5079" t="str">
        <f>HYPERLINK("https://www.773grp.com/globalSearch/5962-9477301QXA/page-1", "5962-9477301QXA")</f>
        <v>5962-9477301QXA</v>
      </c>
      <c r="B5079" s="3" t="s">
        <v>90</v>
      </c>
      <c r="C5079" s="5">
        <v>101</v>
      </c>
      <c r="D5079" s="6">
        <v>92.9</v>
      </c>
      <c r="E5079" t="s">
        <v>12</v>
      </c>
    </row>
    <row r="5080" spans="1:5" x14ac:dyDescent="0.25">
      <c r="A5080" t="str">
        <f>HYPERLINK("https://www.773grp.com/globalSearch/SNJ54FB2031WD/page-1", "SNJ54FB2031WD")</f>
        <v>SNJ54FB2031WD</v>
      </c>
      <c r="B5080" s="3" t="s">
        <v>90</v>
      </c>
      <c r="C5080" s="5">
        <v>17</v>
      </c>
      <c r="D5080" s="6">
        <v>92.9</v>
      </c>
      <c r="E5080" t="s">
        <v>12</v>
      </c>
    </row>
    <row r="5081" spans="1:5" x14ac:dyDescent="0.25">
      <c r="A5081" t="str">
        <f>HYPERLINK("https://www.773grp.com/globalSearch/CD54AC573F3A/page-1", "CD54AC573F3A")</f>
        <v>CD54AC573F3A</v>
      </c>
      <c r="B5081" s="3" t="s">
        <v>90</v>
      </c>
      <c r="C5081" s="5">
        <v>2</v>
      </c>
      <c r="D5081" s="6">
        <v>93.29</v>
      </c>
      <c r="E5081" t="s">
        <v>12</v>
      </c>
    </row>
    <row r="5082" spans="1:5" x14ac:dyDescent="0.25">
      <c r="A5082" t="str">
        <f>HYPERLINK("https://www.773grp.com/globalSearch/5962-9172801Q3A/page-1", "5962-9172801Q3A")</f>
        <v>5962-9172801Q3A</v>
      </c>
      <c r="B5082" s="3" t="s">
        <v>90</v>
      </c>
      <c r="C5082" s="5">
        <v>6</v>
      </c>
      <c r="D5082" s="6">
        <v>93.78</v>
      </c>
      <c r="E5082" t="s">
        <v>12</v>
      </c>
    </row>
    <row r="5083" spans="1:5" x14ac:dyDescent="0.25">
      <c r="A5083" t="str">
        <f>HYPERLINK("https://www.773grp.com/globalSearch/SNJ54BCT8244AFK/page-1", "SNJ54BCT8244AFK")</f>
        <v>SNJ54BCT8244AFK</v>
      </c>
      <c r="B5083" s="3" t="s">
        <v>90</v>
      </c>
      <c r="C5083" s="5">
        <v>236</v>
      </c>
      <c r="D5083" s="6">
        <v>93.79</v>
      </c>
      <c r="E5083" t="s">
        <v>12</v>
      </c>
    </row>
    <row r="5084" spans="1:5" x14ac:dyDescent="0.25">
      <c r="A5084" t="str">
        <f>HYPERLINK("https://www.773grp.com/globalSearch/5962-9172501M3A/page-1", "5962-9172501M3A")</f>
        <v>5962-9172501M3A</v>
      </c>
      <c r="B5084" s="3" t="s">
        <v>90</v>
      </c>
      <c r="C5084" s="5">
        <v>1017</v>
      </c>
      <c r="D5084" s="6">
        <v>94.7</v>
      </c>
      <c r="E5084" t="s">
        <v>12</v>
      </c>
    </row>
    <row r="5085" spans="1:5" x14ac:dyDescent="0.25">
      <c r="A5085" t="str">
        <f>HYPERLINK("https://www.773grp.com/globalSearch/CD54ACT540F3A/page-1", "CD54ACT540F3A")</f>
        <v>CD54ACT540F3A</v>
      </c>
      <c r="B5085" s="3" t="s">
        <v>90</v>
      </c>
      <c r="C5085" s="5">
        <v>24</v>
      </c>
      <c r="D5085" s="6">
        <v>95.09</v>
      </c>
      <c r="E5085" t="s">
        <v>12</v>
      </c>
    </row>
    <row r="5086" spans="1:5" x14ac:dyDescent="0.25">
      <c r="A5086" t="str">
        <f>HYPERLINK("https://www.773grp.com/globalSearch/5962-9684901QXA/page-1", "5962-9684901QXA")</f>
        <v>5962-9684901QXA</v>
      </c>
      <c r="B5086" s="3" t="s">
        <v>90</v>
      </c>
      <c r="C5086" s="5">
        <v>11</v>
      </c>
      <c r="D5086" s="6">
        <v>95.4</v>
      </c>
      <c r="E5086" t="s">
        <v>12</v>
      </c>
    </row>
    <row r="5087" spans="1:5" x14ac:dyDescent="0.25">
      <c r="A5087" t="str">
        <f>HYPERLINK("https://www.773grp.com/globalSearch/5962-9681001QXA/page-1", "5962-9681001QXA")</f>
        <v>5962-9681001QXA</v>
      </c>
      <c r="B5087" s="3" t="s">
        <v>90</v>
      </c>
      <c r="C5087" s="5">
        <v>45</v>
      </c>
      <c r="D5087" s="6">
        <v>95.43</v>
      </c>
      <c r="E5087" t="s">
        <v>12</v>
      </c>
    </row>
    <row r="5088" spans="1:5" x14ac:dyDescent="0.25">
      <c r="A5088" t="str">
        <f>HYPERLINK("https://www.773grp.com/globalSearch/5962-9762401QXA/page-1", "5962-9762401QXA")</f>
        <v>5962-9762401QXA</v>
      </c>
      <c r="B5088" s="3" t="s">
        <v>90</v>
      </c>
      <c r="C5088" s="5">
        <v>3</v>
      </c>
      <c r="D5088" s="6">
        <v>96.9</v>
      </c>
      <c r="E5088" t="s">
        <v>12</v>
      </c>
    </row>
    <row r="5089" spans="1:5" x14ac:dyDescent="0.25">
      <c r="A5089" t="str">
        <f>HYPERLINK("https://www.773grp.com/globalSearch/CD54ACT541F3A/page-1", "CD54ACT541F3A")</f>
        <v>CD54ACT541F3A</v>
      </c>
      <c r="B5089" s="3" t="s">
        <v>90</v>
      </c>
      <c r="C5089" s="5">
        <v>246</v>
      </c>
      <c r="D5089" s="6">
        <v>97.04</v>
      </c>
      <c r="E5089" t="s">
        <v>12</v>
      </c>
    </row>
    <row r="5090" spans="1:5" x14ac:dyDescent="0.25">
      <c r="A5090" t="str">
        <f>HYPERLINK("https://www.773grp.com/globalSearch/5962-9678001QXA/page-1", "5962-9678001QXA")</f>
        <v>5962-9678001QXA</v>
      </c>
      <c r="B5090" s="3" t="s">
        <v>90</v>
      </c>
      <c r="C5090" s="5">
        <v>706</v>
      </c>
      <c r="D5090" s="6">
        <v>97.5</v>
      </c>
      <c r="E5090" t="s">
        <v>12</v>
      </c>
    </row>
    <row r="5091" spans="1:5" x14ac:dyDescent="0.25">
      <c r="A5091" t="str">
        <f>HYPERLINK("https://www.773grp.com/globalSearch/5962-9681501QXA/page-1", "5962-9681501QXA")</f>
        <v>5962-9681501QXA</v>
      </c>
      <c r="B5091" s="3" t="s">
        <v>90</v>
      </c>
      <c r="C5091" s="5">
        <v>69</v>
      </c>
      <c r="D5091" s="6">
        <v>97.63</v>
      </c>
      <c r="E5091" t="s">
        <v>12</v>
      </c>
    </row>
    <row r="5092" spans="1:5" x14ac:dyDescent="0.25">
      <c r="A5092" t="str">
        <f>HYPERLINK("https://www.773grp.com/globalSearch/SNJ54FB2040WD/page-1", "SNJ54FB2040WD")</f>
        <v>SNJ54FB2040WD</v>
      </c>
      <c r="B5092" s="3" t="s">
        <v>90</v>
      </c>
      <c r="C5092" s="5">
        <v>52</v>
      </c>
      <c r="D5092" s="6">
        <v>97.63</v>
      </c>
      <c r="E5092" t="s">
        <v>12</v>
      </c>
    </row>
    <row r="5093" spans="1:5" x14ac:dyDescent="0.25">
      <c r="A5093" t="str">
        <f>HYPERLINK("https://www.773grp.com/globalSearch/5962-9557701NXD/page-1", "5962-9557701NXD")</f>
        <v>5962-9557701NXD</v>
      </c>
      <c r="B5093" s="3" t="s">
        <v>90</v>
      </c>
      <c r="C5093" s="5">
        <v>1096</v>
      </c>
      <c r="D5093" s="6">
        <v>98.85</v>
      </c>
      <c r="E5093" t="s">
        <v>12</v>
      </c>
    </row>
    <row r="5094" spans="1:5" x14ac:dyDescent="0.25">
      <c r="A5094" t="str">
        <f>HYPERLINK("https://www.773grp.com/globalSearch/5962-9450101QXA/page-1", "5962-9450101QXA")</f>
        <v>5962-9450101QXA</v>
      </c>
      <c r="B5094" s="3" t="s">
        <v>90</v>
      </c>
      <c r="C5094" s="5">
        <v>16</v>
      </c>
      <c r="D5094" s="6">
        <v>104.15</v>
      </c>
      <c r="E5094" t="s">
        <v>12</v>
      </c>
    </row>
    <row r="5095" spans="1:5" x14ac:dyDescent="0.25">
      <c r="A5095" t="str">
        <f>HYPERLINK("https://www.773grp.com/globalSearch/5962-9458601QXA/page-1", "5962-9458601QXA")</f>
        <v>5962-9458601QXA</v>
      </c>
      <c r="B5095" s="3" t="s">
        <v>90</v>
      </c>
      <c r="C5095" s="5">
        <v>89</v>
      </c>
      <c r="D5095" s="6">
        <v>104.46</v>
      </c>
      <c r="E5095" t="s">
        <v>12</v>
      </c>
    </row>
    <row r="5096" spans="1:5" x14ac:dyDescent="0.25">
      <c r="A5096" t="str">
        <f>HYPERLINK("https://www.773grp.com/globalSearch/SNJ54ABT8646JT/page-1", "SNJ54ABT8646JT")</f>
        <v>SNJ54ABT8646JT</v>
      </c>
      <c r="B5096" s="3" t="s">
        <v>90</v>
      </c>
      <c r="C5096" s="5">
        <v>26</v>
      </c>
      <c r="D5096" s="6">
        <v>104.46</v>
      </c>
      <c r="E5096" t="s">
        <v>12</v>
      </c>
    </row>
    <row r="5097" spans="1:5" x14ac:dyDescent="0.25">
      <c r="A5097" t="str">
        <f>HYPERLINK("https://www.773grp.com/globalSearch/5962-9319901MXA/page-1", "5962-9319901MXA")</f>
        <v>5962-9319901MXA</v>
      </c>
      <c r="B5097" s="3" t="s">
        <v>90</v>
      </c>
      <c r="C5097" s="5">
        <v>2</v>
      </c>
      <c r="D5097" s="6">
        <v>111.49</v>
      </c>
      <c r="E5097" t="s">
        <v>12</v>
      </c>
    </row>
    <row r="5098" spans="1:5" x14ac:dyDescent="0.25">
      <c r="A5098" t="str">
        <f>HYPERLINK("https://www.773grp.com/globalSearch/5962-9677401QXA/page-1", "5962-9677401QXA")</f>
        <v>5962-9677401QXA</v>
      </c>
      <c r="B5098" s="3" t="s">
        <v>90</v>
      </c>
      <c r="C5098" s="5">
        <v>229</v>
      </c>
      <c r="D5098" s="6">
        <v>111.49</v>
      </c>
      <c r="E5098" t="s">
        <v>12</v>
      </c>
    </row>
    <row r="5099" spans="1:5" x14ac:dyDescent="0.25">
      <c r="A5099" t="str">
        <f>HYPERLINK("https://www.773grp.com/globalSearch/5962-9318601M3A/page-1", "5962-9318601M3A")</f>
        <v>5962-9318601M3A</v>
      </c>
      <c r="B5099" s="3" t="s">
        <v>90</v>
      </c>
      <c r="C5099" s="5">
        <v>97</v>
      </c>
      <c r="D5099" s="6">
        <v>112.81</v>
      </c>
      <c r="E5099" t="s">
        <v>12</v>
      </c>
    </row>
    <row r="5100" spans="1:5" x14ac:dyDescent="0.25">
      <c r="A5100" t="str">
        <f>HYPERLINK("https://www.773grp.com/globalSearch/5962-9202401MXA/page-1", "5962-9202401MXA")</f>
        <v>5962-9202401MXA</v>
      </c>
      <c r="B5100" s="3" t="s">
        <v>90</v>
      </c>
      <c r="C5100" s="5">
        <v>3</v>
      </c>
      <c r="D5100" s="6">
        <v>115.26</v>
      </c>
      <c r="E5100" t="s">
        <v>12</v>
      </c>
    </row>
    <row r="5101" spans="1:5" x14ac:dyDescent="0.25">
      <c r="A5101" t="str">
        <f>HYPERLINK("https://www.773grp.com/globalSearch/5962-9202501MXA/page-1", "5962-9202501MXA")</f>
        <v>5962-9202501MXA</v>
      </c>
      <c r="B5101" s="3" t="s">
        <v>90</v>
      </c>
      <c r="C5101" s="5">
        <v>45</v>
      </c>
      <c r="D5101" s="6">
        <v>115.26</v>
      </c>
      <c r="E5101" t="s">
        <v>12</v>
      </c>
    </row>
    <row r="5102" spans="1:5" x14ac:dyDescent="0.25">
      <c r="A5102" t="str">
        <f>HYPERLINK("https://www.773grp.com/globalSearch/JM38510-17403BEA/page-1", "JM38510-17403BEA")</f>
        <v>JM38510-17403BEA</v>
      </c>
      <c r="B5102" s="3" t="s">
        <v>90</v>
      </c>
      <c r="C5102" s="5">
        <v>292</v>
      </c>
      <c r="D5102" s="6">
        <v>115.54</v>
      </c>
      <c r="E5102" t="s">
        <v>12</v>
      </c>
    </row>
    <row r="5103" spans="1:5" x14ac:dyDescent="0.25">
      <c r="A5103" t="str">
        <f>HYPERLINK("https://www.773grp.com/globalSearch/SNJ54ABT18245AWD/page-1", "SNJ54ABT18245AWD")</f>
        <v>SNJ54ABT18245AWD</v>
      </c>
      <c r="B5103" s="3" t="s">
        <v>90</v>
      </c>
      <c r="C5103" s="5">
        <v>7</v>
      </c>
      <c r="D5103" s="6">
        <v>123.75</v>
      </c>
      <c r="E5103" t="s">
        <v>12</v>
      </c>
    </row>
    <row r="5104" spans="1:5" x14ac:dyDescent="0.25">
      <c r="A5104" t="str">
        <f>HYPERLINK("https://www.773grp.com/globalSearch/SNJ54LVTH18502AHV/page-1", "SNJ54LVTH18502AHV")</f>
        <v>SNJ54LVTH18502AHV</v>
      </c>
      <c r="B5104" s="3" t="str">
        <f>HYPERLINK("https://www.773grp.com/manufacturer/texas-instruments?pageNo=478", "Texas Instruments")</f>
        <v>Texas Instruments</v>
      </c>
      <c r="C5104" s="5">
        <v>140</v>
      </c>
      <c r="D5104" s="6">
        <v>209.3</v>
      </c>
      <c r="E5104" t="s">
        <v>12</v>
      </c>
    </row>
    <row r="5105" spans="1:5" x14ac:dyDescent="0.25">
      <c r="A5105" t="str">
        <f>HYPERLINK("https://www.773grp.com/globalSearch/JM38510-32403SRA/page-1", "JM38510-32403SRA")</f>
        <v>JM38510-32403SRA</v>
      </c>
      <c r="B5105" s="3" t="str">
        <f>HYPERLINK("https://www.773grp.com/manufacturer/texas-instruments?pageNo=514", "Texas Instruments")</f>
        <v>Texas Instruments</v>
      </c>
      <c r="C5105" s="5">
        <v>4</v>
      </c>
      <c r="D5105" s="6">
        <v>213.75</v>
      </c>
      <c r="E5105" t="s">
        <v>12</v>
      </c>
    </row>
    <row r="5106" spans="1:5" x14ac:dyDescent="0.25">
      <c r="A5106" t="str">
        <f>HYPERLINK("https://www.773grp.com/globalSearch/5962-8776001SSA/page-1", "5962-8776001SSA")</f>
        <v>5962-8776001SSA</v>
      </c>
      <c r="B5106" s="3" t="str">
        <f>HYPERLINK("https://www.773grp.com/manufacturer/texas-instruments?pageNo=597", "Texas Instruments")</f>
        <v>Texas Instruments</v>
      </c>
      <c r="C5106" s="5">
        <v>29</v>
      </c>
      <c r="D5106" s="6">
        <v>234.43</v>
      </c>
      <c r="E5106" t="s">
        <v>12</v>
      </c>
    </row>
    <row r="5107" spans="1:5" x14ac:dyDescent="0.25">
      <c r="A5107" t="str">
        <f>HYPERLINK("https://www.773grp.com/globalSearch/5962-9561401QXA/page-1", "5962-9561401QXA")</f>
        <v>5962-9561401QXA</v>
      </c>
      <c r="B5107" s="3" t="str">
        <f>HYPERLINK("https://www.773grp.com/manufacturer/texas-instruments?pageNo=606", "Texas Instruments")</f>
        <v>Texas Instruments</v>
      </c>
      <c r="C5107" s="5">
        <v>287</v>
      </c>
      <c r="D5107" s="6">
        <v>236.54</v>
      </c>
      <c r="E5107" t="s">
        <v>12</v>
      </c>
    </row>
    <row r="5108" spans="1:5" x14ac:dyDescent="0.25">
      <c r="A5108" t="str">
        <f>HYPERLINK("https://www.773grp.com/globalSearch/5962-8408501VSA/page-1", "5962-8408501VSA")</f>
        <v>5962-8408501VSA</v>
      </c>
      <c r="B5108" s="3" t="str">
        <f>HYPERLINK("https://www.773grp.com/manufacturer/texas-instruments?pageNo=671", "Texas Instruments")</f>
        <v>Texas Instruments</v>
      </c>
      <c r="C5108" s="5">
        <v>40</v>
      </c>
      <c r="D5108" s="6">
        <v>254.81</v>
      </c>
      <c r="E5108" t="s">
        <v>12</v>
      </c>
    </row>
    <row r="5109" spans="1:5" x14ac:dyDescent="0.25">
      <c r="A5109" t="str">
        <f>HYPERLINK("https://www.773grp.com/globalSearch/JM38510-32203SFA/page-1", "JM38510-32203SFA")</f>
        <v>JM38510-32203SFA</v>
      </c>
      <c r="B5109" s="3" t="str">
        <f>HYPERLINK("https://www.773grp.com/manufacturer/texas-instruments?pageNo=688", "Texas Instruments")</f>
        <v>Texas Instruments</v>
      </c>
      <c r="C5109" s="5">
        <v>3</v>
      </c>
      <c r="D5109" s="6">
        <v>222.26</v>
      </c>
      <c r="E5109" t="s">
        <v>12</v>
      </c>
    </row>
    <row r="5110" spans="1:5" x14ac:dyDescent="0.25">
      <c r="A5110" t="str">
        <f>HYPERLINK("https://www.773grp.com/globalSearch/JM38510-32502SSA/page-1", "JM38510-32502SSA")</f>
        <v>JM38510-32502SSA</v>
      </c>
      <c r="B5110" s="3" t="str">
        <f>HYPERLINK("https://www.773grp.com/manufacturer/texas-instruments?pageNo=689", "Texas Instruments")</f>
        <v>Texas Instruments</v>
      </c>
      <c r="C5110" s="5">
        <v>276</v>
      </c>
      <c r="D5110" s="6">
        <v>222.26</v>
      </c>
      <c r="E5110" t="s">
        <v>12</v>
      </c>
    </row>
    <row r="5111" spans="1:5" x14ac:dyDescent="0.25">
      <c r="A5111" t="str">
        <f>HYPERLINK("https://www.773grp.com/globalSearch/JM38510-32403SSA/page-1", "JM38510-32403SSA")</f>
        <v>JM38510-32403SSA</v>
      </c>
      <c r="B5111" s="3" t="str">
        <f>HYPERLINK("https://www.773grp.com/manufacturer/texas-instruments?pageNo=788", "Texas Instruments")</f>
        <v>Texas Instruments</v>
      </c>
      <c r="C5111" s="5">
        <v>69</v>
      </c>
      <c r="D5111" s="6">
        <v>236.99</v>
      </c>
      <c r="E5111" t="s">
        <v>12</v>
      </c>
    </row>
    <row r="5112" spans="1:5" x14ac:dyDescent="0.25">
      <c r="A5112" t="str">
        <f>HYPERLINK("https://www.773grp.com/globalSearch/5962-9584401VSA/page-1", "5962-9584401VSA")</f>
        <v>5962-9584401VSA</v>
      </c>
      <c r="B5112" s="3" t="s">
        <v>90</v>
      </c>
      <c r="C5112" s="5">
        <v>2</v>
      </c>
      <c r="D5112" s="6">
        <v>325</v>
      </c>
      <c r="E5112" t="s">
        <v>12</v>
      </c>
    </row>
    <row r="5113" spans="1:5" x14ac:dyDescent="0.25">
      <c r="A5113" t="str">
        <f>HYPERLINK("https://www.773grp.com/globalSearch/5962-9583201VSA/page-1", "5962-9583201VSA")</f>
        <v>5962-9583201VSA</v>
      </c>
      <c r="B5113" s="3" t="s">
        <v>90</v>
      </c>
      <c r="C5113" s="5">
        <v>4</v>
      </c>
      <c r="D5113" s="6">
        <v>325.11</v>
      </c>
      <c r="E5113" t="s">
        <v>12</v>
      </c>
    </row>
    <row r="5114" spans="1:5" x14ac:dyDescent="0.25">
      <c r="A5114" t="str">
        <f>HYPERLINK("https://www.773grp.com/globalSearch/5962-9680901VXA/page-1", "5962-9680901VXA")</f>
        <v>5962-9680901VXA</v>
      </c>
      <c r="B5114" s="3" t="s">
        <v>90</v>
      </c>
      <c r="C5114" s="5">
        <v>5</v>
      </c>
      <c r="D5114" s="6">
        <v>355.01</v>
      </c>
      <c r="E5114" t="s">
        <v>12</v>
      </c>
    </row>
    <row r="5115" spans="1:5" x14ac:dyDescent="0.25">
      <c r="A5115" t="str">
        <f>HYPERLINK("https://www.773grp.com/globalSearch/5962-9668501VXA/page-1", "5962-9668501VXA")</f>
        <v>5962-9668501VXA</v>
      </c>
      <c r="B5115" s="3" t="s">
        <v>90</v>
      </c>
      <c r="C5115" s="5">
        <v>56</v>
      </c>
      <c r="D5115" s="6">
        <v>507.54</v>
      </c>
      <c r="E5115" t="s">
        <v>12</v>
      </c>
    </row>
    <row r="5116" spans="1:5" x14ac:dyDescent="0.25">
      <c r="A5116" t="str">
        <f>HYPERLINK("https://www.773grp.com/globalSearch/SN74LVC573ADGVR/page-1", "SN74LVC573ADGVR")</f>
        <v>SN74LVC573ADGVR</v>
      </c>
      <c r="B5116" s="3" t="s">
        <v>112</v>
      </c>
      <c r="C5116" s="5">
        <v>2000</v>
      </c>
      <c r="D5116" s="6">
        <v>1.36</v>
      </c>
      <c r="E5116" t="s">
        <v>12</v>
      </c>
    </row>
    <row r="5117" spans="1:5" x14ac:dyDescent="0.25">
      <c r="A5117" t="str">
        <f>HYPERLINK("https://www.773grp.com/globalSearch/UCC5519PWPR/page-1", "UCC5519PWPR")</f>
        <v>UCC5519PWPR</v>
      </c>
      <c r="B5117" s="3" t="str">
        <f>HYPERLINK("https://www.773grp.com/manufacturer/texas-instruments?pageNo=686", "Texas Instruments")</f>
        <v>Texas Instruments</v>
      </c>
      <c r="C5117" s="5">
        <v>182000</v>
      </c>
      <c r="D5117" s="6">
        <v>3.66</v>
      </c>
      <c r="E5117" t="s">
        <v>21</v>
      </c>
    </row>
    <row r="5118" spans="1:5" x14ac:dyDescent="0.25">
      <c r="A5118" t="str">
        <f>HYPERLINK("https://www.773grp.com/globalSearch/UCC561DPTR/page-1", "UCC561DPTR")</f>
        <v>UCC561DPTR</v>
      </c>
      <c r="B5118" s="3" t="str">
        <f>HYPERLINK("https://www.773grp.com/manufacturer/texas-instruments?pageNo=687", "Texas Instruments")</f>
        <v>Texas Instruments</v>
      </c>
      <c r="C5118" s="5">
        <v>57500</v>
      </c>
      <c r="D5118" s="6">
        <v>3.66</v>
      </c>
      <c r="E5118" t="s">
        <v>21</v>
      </c>
    </row>
    <row r="5119" spans="1:5" x14ac:dyDescent="0.25">
      <c r="A5119" t="str">
        <f>HYPERLINK("https://www.773grp.com/globalSearch/UCC5640PW24/page-1", "UCC5640PW24")</f>
        <v>UCC5640PW24</v>
      </c>
      <c r="B5119" s="3" t="str">
        <f>HYPERLINK("https://www.773grp.com/manufacturer/texas-instruments?pageNo=718", "Texas Instruments")</f>
        <v>Texas Instruments</v>
      </c>
      <c r="C5119" s="5">
        <v>12037</v>
      </c>
      <c r="D5119" s="6">
        <v>3.94</v>
      </c>
      <c r="E5119" t="s">
        <v>21</v>
      </c>
    </row>
    <row r="5120" spans="1:5" x14ac:dyDescent="0.25">
      <c r="A5120" t="str">
        <f>HYPERLINK("https://www.773grp.com/globalSearch/UCC561DP/page-1", "UCC561DP")</f>
        <v>UCC561DP</v>
      </c>
      <c r="B5120" s="3" t="s">
        <v>90</v>
      </c>
      <c r="C5120" s="5">
        <v>737</v>
      </c>
      <c r="D5120" s="6">
        <v>4.05</v>
      </c>
      <c r="E5120" t="s">
        <v>21</v>
      </c>
    </row>
    <row r="5121" spans="1:5" x14ac:dyDescent="0.25">
      <c r="A5121" t="str">
        <f>HYPERLINK("https://www.773grp.com/globalSearch/UCC561DP/page-1", "UCC561DP")</f>
        <v>UCC561DP</v>
      </c>
      <c r="B5121" s="3" t="s">
        <v>90</v>
      </c>
      <c r="C5121" s="5">
        <v>12140</v>
      </c>
      <c r="D5121" s="6">
        <v>4.05</v>
      </c>
      <c r="E5121" t="s">
        <v>21</v>
      </c>
    </row>
    <row r="5122" spans="1:5" x14ac:dyDescent="0.25">
      <c r="A5122" t="str">
        <f>HYPERLINK("https://www.773grp.com/globalSearch/UCC5614N/page-1", "UCC5614N")</f>
        <v>UCC5614N</v>
      </c>
      <c r="B5122" s="3" t="s">
        <v>90</v>
      </c>
      <c r="C5122" s="5">
        <v>5</v>
      </c>
      <c r="D5122" s="6">
        <v>4.09</v>
      </c>
      <c r="E5122" t="s">
        <v>21</v>
      </c>
    </row>
    <row r="5123" spans="1:5" x14ac:dyDescent="0.25">
      <c r="A5123" t="str">
        <f>HYPERLINK("https://www.773grp.com/globalSearch/SN74S1050N/page-1", "SN74S1050N")</f>
        <v>SN74S1050N</v>
      </c>
      <c r="B5123" s="3" t="s">
        <v>90</v>
      </c>
      <c r="C5123" s="5">
        <v>4700</v>
      </c>
      <c r="D5123" s="6">
        <v>4.1900000000000004</v>
      </c>
      <c r="E5123" t="s">
        <v>21</v>
      </c>
    </row>
    <row r="5124" spans="1:5" x14ac:dyDescent="0.25">
      <c r="A5124" t="str">
        <f>HYPERLINK("https://www.773grp.com/globalSearch/SN74ACT1073NSR/page-1", "SN74ACT1073NSR")</f>
        <v>SN74ACT1073NSR</v>
      </c>
      <c r="B5124" s="3" t="s">
        <v>90</v>
      </c>
      <c r="C5124" s="5">
        <v>2000</v>
      </c>
      <c r="D5124" s="6">
        <v>4.2300000000000004</v>
      </c>
      <c r="E5124" t="s">
        <v>21</v>
      </c>
    </row>
    <row r="5125" spans="1:5" x14ac:dyDescent="0.25">
      <c r="A5125" t="str">
        <f>HYPERLINK("https://www.773grp.com/globalSearch/UCC5640PW28TR/page-1", "UCC5640PW28TR")</f>
        <v>UCC5640PW28TR</v>
      </c>
      <c r="B5125" s="3" t="s">
        <v>90</v>
      </c>
      <c r="C5125" s="5">
        <v>4000</v>
      </c>
      <c r="D5125" s="6">
        <v>4.2300000000000004</v>
      </c>
      <c r="E5125" t="s">
        <v>21</v>
      </c>
    </row>
    <row r="5126" spans="1:5" x14ac:dyDescent="0.25">
      <c r="A5126" t="str">
        <f>HYPERLINK("https://www.773grp.com/globalSearch/UCC5680PW24TR/page-1", "UCC5680PW24TR")</f>
        <v>UCC5680PW24TR</v>
      </c>
      <c r="B5126" s="3" t="s">
        <v>90</v>
      </c>
      <c r="C5126" s="5">
        <v>10000</v>
      </c>
      <c r="D5126" s="6">
        <v>4.2300000000000004</v>
      </c>
      <c r="E5126" t="s">
        <v>21</v>
      </c>
    </row>
    <row r="5127" spans="1:5" x14ac:dyDescent="0.25">
      <c r="A5127" t="str">
        <f>HYPERLINK("https://www.773grp.com/globalSearch/UCC5680PW28TR/page-1", "UCC5680PW28TR")</f>
        <v>UCC5680PW28TR</v>
      </c>
      <c r="B5127" s="3" t="s">
        <v>90</v>
      </c>
      <c r="C5127" s="5">
        <v>14000</v>
      </c>
      <c r="D5127" s="6">
        <v>4.2300000000000004</v>
      </c>
      <c r="E5127" t="s">
        <v>21</v>
      </c>
    </row>
    <row r="5128" spans="1:5" x14ac:dyDescent="0.25">
      <c r="A5128" t="str">
        <f>HYPERLINK("https://www.773grp.com/globalSearch/UC560DP/page-1", "UC560DP")</f>
        <v>UC560DP</v>
      </c>
      <c r="B5128" s="3" t="s">
        <v>90</v>
      </c>
      <c r="C5128" s="5">
        <v>55639</v>
      </c>
      <c r="D5128" s="6">
        <v>4.3499999999999996</v>
      </c>
      <c r="E5128" t="s">
        <v>21</v>
      </c>
    </row>
    <row r="5129" spans="1:5" x14ac:dyDescent="0.25">
      <c r="A5129" t="str">
        <f>HYPERLINK("https://www.773grp.com/globalSearch/UCC5614DPTR/page-1", "UCC5614DPTR")</f>
        <v>UCC5614DPTR</v>
      </c>
      <c r="B5129" s="3" t="s">
        <v>90</v>
      </c>
      <c r="C5129" s="5">
        <v>12000</v>
      </c>
      <c r="D5129" s="6">
        <v>4.3499999999999996</v>
      </c>
      <c r="E5129" t="s">
        <v>21</v>
      </c>
    </row>
    <row r="5130" spans="1:5" x14ac:dyDescent="0.25">
      <c r="A5130" t="str">
        <f>HYPERLINK("https://www.773grp.com/globalSearch/SN74F1056DR/page-1", "SN74F1056DR")</f>
        <v>SN74F1056DR</v>
      </c>
      <c r="B5130" s="3" t="s">
        <v>90</v>
      </c>
      <c r="C5130" s="5">
        <v>164280</v>
      </c>
      <c r="D5130" s="6">
        <v>4.43</v>
      </c>
      <c r="E5130" t="s">
        <v>21</v>
      </c>
    </row>
    <row r="5131" spans="1:5" x14ac:dyDescent="0.25">
      <c r="A5131" t="str">
        <f>HYPERLINK("https://www.773grp.com/globalSearch/UCC5640PW24TR/page-1", "UCC5640PW24TR")</f>
        <v>UCC5640PW24TR</v>
      </c>
      <c r="B5131" s="3" t="str">
        <f>HYPERLINK("https://www.773grp.com/manufacturer/texas-instruments?pageNo=5", "Texas Instruments")</f>
        <v>Texas Instruments</v>
      </c>
      <c r="C5131" s="5">
        <v>278000</v>
      </c>
      <c r="D5131" s="6">
        <v>4.43</v>
      </c>
      <c r="E5131" t="s">
        <v>21</v>
      </c>
    </row>
    <row r="5132" spans="1:5" x14ac:dyDescent="0.25">
      <c r="A5132" t="str">
        <f>HYPERLINK("https://www.773grp.com/globalSearch/UCC5606DPTR/page-1", "UCC5606DPTR")</f>
        <v>UCC5606DPTR</v>
      </c>
      <c r="B5132" s="3" t="str">
        <f>HYPERLINK("https://www.773grp.com/manufacturer/texas-instruments?pageNo=246", "Texas Instruments")</f>
        <v>Texas Instruments</v>
      </c>
      <c r="C5132" s="5">
        <v>76900</v>
      </c>
      <c r="D5132" s="6">
        <v>4.4400000000000004</v>
      </c>
      <c r="E5132" t="s">
        <v>21</v>
      </c>
    </row>
    <row r="5133" spans="1:5" x14ac:dyDescent="0.25">
      <c r="A5133" t="str">
        <f>HYPERLINK("https://www.773grp.com/globalSearch/TL2218-285PWR/page-1", "TL2218-285PWR")</f>
        <v>TL2218-285PWR</v>
      </c>
      <c r="B5133" s="3" t="str">
        <f>HYPERLINK("https://www.773grp.com/manufacturer/texas-instruments?pageNo=774", "Texas Instruments")</f>
        <v>Texas Instruments</v>
      </c>
      <c r="C5133" s="5">
        <v>2000</v>
      </c>
      <c r="D5133" s="6">
        <v>4.5599999999999996</v>
      </c>
      <c r="E5133" t="s">
        <v>21</v>
      </c>
    </row>
    <row r="5134" spans="1:5" x14ac:dyDescent="0.25">
      <c r="A5134" t="str">
        <f>HYPERLINK("https://www.773grp.com/globalSearch/SN74ACT1071DR/page-1", "SN74ACT1071DR")</f>
        <v>SN74ACT1071DR</v>
      </c>
      <c r="B5134" s="3" t="str">
        <f>HYPERLINK("https://www.773grp.com/manufacturer/texas-instruments?pageNo=886", "Texas Instruments")</f>
        <v>Texas Instruments</v>
      </c>
      <c r="C5134" s="5">
        <v>7500</v>
      </c>
      <c r="D5134" s="6">
        <v>4.6100000000000003</v>
      </c>
      <c r="E5134" t="s">
        <v>21</v>
      </c>
    </row>
    <row r="5135" spans="1:5" x14ac:dyDescent="0.25">
      <c r="A5135" t="str">
        <f>HYPERLINK("https://www.773grp.com/globalSearch/SN74S1051DR/page-1", "SN74S1051DR")</f>
        <v>SN74S1051DR</v>
      </c>
      <c r="B5135" s="3" t="str">
        <f>HYPERLINK("https://www.773grp.com/manufacturer/texas-instruments?pageNo=929", "Texas Instruments")</f>
        <v>Texas Instruments</v>
      </c>
      <c r="C5135" s="5">
        <v>5000</v>
      </c>
      <c r="D5135" s="6">
        <v>4.6100000000000003</v>
      </c>
      <c r="E5135" t="s">
        <v>21</v>
      </c>
    </row>
    <row r="5136" spans="1:5" x14ac:dyDescent="0.25">
      <c r="A5136" t="str">
        <f>HYPERLINK("https://www.773grp.com/globalSearch/SN74S1053DWR/page-1", "SN74S1053DWR")</f>
        <v>SN74S1053DWR</v>
      </c>
      <c r="B5136" s="3" t="str">
        <f>HYPERLINK("https://www.773grp.com/manufacturer/texas-instruments?pageNo=930", "Texas Instruments")</f>
        <v>Texas Instruments</v>
      </c>
      <c r="C5136" s="5">
        <v>16000</v>
      </c>
      <c r="D5136" s="6">
        <v>4.6100000000000003</v>
      </c>
      <c r="E5136" t="s">
        <v>21</v>
      </c>
    </row>
    <row r="5137" spans="1:5" x14ac:dyDescent="0.25">
      <c r="A5137" t="str">
        <f>HYPERLINK("https://www.773grp.com/globalSearch/UCC5680PW24/page-1", "UCC5680PW24")</f>
        <v>UCC5680PW24</v>
      </c>
      <c r="B5137" s="3" t="s">
        <v>90</v>
      </c>
      <c r="C5137" s="5">
        <v>2400</v>
      </c>
      <c r="D5137" s="6">
        <v>4.7300000000000004</v>
      </c>
      <c r="E5137" t="s">
        <v>21</v>
      </c>
    </row>
    <row r="5138" spans="1:5" x14ac:dyDescent="0.25">
      <c r="A5138" t="str">
        <f>HYPERLINK("https://www.773grp.com/globalSearch/UCC5680PW24/page-1", "UCC5680PW24")</f>
        <v>UCC5680PW24</v>
      </c>
      <c r="B5138" s="3" t="s">
        <v>90</v>
      </c>
      <c r="C5138" s="5">
        <v>27597</v>
      </c>
      <c r="D5138" s="6">
        <v>4.7300000000000004</v>
      </c>
      <c r="E5138" t="s">
        <v>21</v>
      </c>
    </row>
    <row r="5139" spans="1:5" x14ac:dyDescent="0.25">
      <c r="A5139" t="str">
        <f>HYPERLINK("https://www.773grp.com/globalSearch/UCC5680PW28/page-1", "UCC5680PW28")</f>
        <v>UCC5680PW28</v>
      </c>
      <c r="B5139" s="3" t="s">
        <v>90</v>
      </c>
      <c r="C5139" s="5">
        <v>18719</v>
      </c>
      <c r="D5139" s="6">
        <v>4.7300000000000004</v>
      </c>
      <c r="E5139" t="s">
        <v>21</v>
      </c>
    </row>
    <row r="5140" spans="1:5" x14ac:dyDescent="0.25">
      <c r="A5140" t="str">
        <f>HYPERLINK("https://www.773grp.com/globalSearch/UC5604DP/page-1", "UC5604DP")</f>
        <v>UC5604DP</v>
      </c>
      <c r="B5140" s="3" t="s">
        <v>90</v>
      </c>
      <c r="C5140" s="5">
        <v>182</v>
      </c>
      <c r="D5140" s="6">
        <v>4.78</v>
      </c>
      <c r="E5140" t="s">
        <v>21</v>
      </c>
    </row>
    <row r="5141" spans="1:5" x14ac:dyDescent="0.25">
      <c r="A5141" t="str">
        <f>HYPERLINK("https://www.773grp.com/globalSearch/UCC5614DP/page-1", "UCC5614DP")</f>
        <v>UCC5614DP</v>
      </c>
      <c r="B5141" s="3" t="s">
        <v>90</v>
      </c>
      <c r="C5141" s="5">
        <v>20</v>
      </c>
      <c r="D5141" s="6">
        <v>4.78</v>
      </c>
      <c r="E5141" t="s">
        <v>21</v>
      </c>
    </row>
    <row r="5142" spans="1:5" x14ac:dyDescent="0.25">
      <c r="A5142" t="str">
        <f>HYPERLINK("https://www.773grp.com/globalSearch/UCC5614DPG4/page-1", "UCC5614DPG4")</f>
        <v>UCC5614DPG4</v>
      </c>
      <c r="B5142" s="3" t="s">
        <v>90</v>
      </c>
      <c r="C5142" s="5">
        <v>20</v>
      </c>
      <c r="D5142" s="6">
        <v>4.78</v>
      </c>
      <c r="E5142" t="s">
        <v>21</v>
      </c>
    </row>
    <row r="5143" spans="1:5" x14ac:dyDescent="0.25">
      <c r="A5143" t="str">
        <f>HYPERLINK("https://www.773grp.com/globalSearch/UCC5614PWP/page-1", "UCC5614PWP")</f>
        <v>UCC5614PWP</v>
      </c>
      <c r="B5143" s="3" t="s">
        <v>90</v>
      </c>
      <c r="C5143" s="5">
        <v>23564</v>
      </c>
      <c r="D5143" s="6">
        <v>4.78</v>
      </c>
      <c r="E5143" t="s">
        <v>21</v>
      </c>
    </row>
    <row r="5144" spans="1:5" x14ac:dyDescent="0.25">
      <c r="A5144" t="str">
        <f>HYPERLINK("https://www.773grp.com/globalSearch/UCC5640PW28/page-1", "UCC5640PW28")</f>
        <v>UCC5640PW28</v>
      </c>
      <c r="B5144" s="3" t="s">
        <v>90</v>
      </c>
      <c r="C5144" s="5">
        <v>12165</v>
      </c>
      <c r="D5144" s="6">
        <v>4.78</v>
      </c>
      <c r="E5144" t="s">
        <v>21</v>
      </c>
    </row>
    <row r="5145" spans="1:5" x14ac:dyDescent="0.25">
      <c r="A5145" t="str">
        <f>HYPERLINK("https://www.773grp.com/globalSearch/UCC5606DP/page-1", "UCC5606DP")</f>
        <v>UCC5606DP</v>
      </c>
      <c r="B5145" s="3" t="s">
        <v>90</v>
      </c>
      <c r="C5145" s="5">
        <v>1432</v>
      </c>
      <c r="D5145" s="6">
        <v>4.95</v>
      </c>
      <c r="E5145" t="s">
        <v>21</v>
      </c>
    </row>
    <row r="5146" spans="1:5" x14ac:dyDescent="0.25">
      <c r="A5146" t="str">
        <f>HYPERLINK("https://www.773grp.com/globalSearch/UCC5606PWP/page-1", "UCC5606PWP")</f>
        <v>UCC5606PWP</v>
      </c>
      <c r="B5146" s="3" t="s">
        <v>90</v>
      </c>
      <c r="C5146" s="5">
        <v>213</v>
      </c>
      <c r="D5146" s="6">
        <v>4.95</v>
      </c>
      <c r="E5146" t="s">
        <v>21</v>
      </c>
    </row>
    <row r="5147" spans="1:5" x14ac:dyDescent="0.25">
      <c r="A5147" t="str">
        <f>HYPERLINK("https://www.773grp.com/globalSearch/SN74S1051N/page-1", "SN74S1051N")</f>
        <v>SN74S1051N</v>
      </c>
      <c r="B5147" s="3" t="s">
        <v>90</v>
      </c>
      <c r="C5147" s="5">
        <v>2989</v>
      </c>
      <c r="D5147" s="6">
        <v>5.03</v>
      </c>
      <c r="E5147" t="s">
        <v>21</v>
      </c>
    </row>
    <row r="5148" spans="1:5" x14ac:dyDescent="0.25">
      <c r="A5148" t="str">
        <f>HYPERLINK("https://www.773grp.com/globalSearch/SN74S1052DWR/page-1", "SN74S1052DWR")</f>
        <v>SN74S1052DWR</v>
      </c>
      <c r="B5148" s="3" t="s">
        <v>90</v>
      </c>
      <c r="C5148" s="5">
        <v>16000</v>
      </c>
      <c r="D5148" s="6">
        <v>5.03</v>
      </c>
      <c r="E5148" t="s">
        <v>21</v>
      </c>
    </row>
    <row r="5149" spans="1:5" x14ac:dyDescent="0.25">
      <c r="A5149" t="str">
        <f>HYPERLINK("https://www.773grp.com/globalSearch/SN74S1053N/page-1", "SN74S1053N")</f>
        <v>SN74S1053N</v>
      </c>
      <c r="B5149" s="3" t="s">
        <v>90</v>
      </c>
      <c r="C5149" s="5">
        <v>3384</v>
      </c>
      <c r="D5149" s="6">
        <v>5.03</v>
      </c>
      <c r="E5149" t="s">
        <v>21</v>
      </c>
    </row>
    <row r="5150" spans="1:5" x14ac:dyDescent="0.25">
      <c r="A5150" t="str">
        <f>HYPERLINK("https://www.773grp.com/globalSearch/SN74S1053NE4/page-1", "SN74S1053NE4")</f>
        <v>SN74S1053NE4</v>
      </c>
      <c r="B5150" s="3" t="s">
        <v>90</v>
      </c>
      <c r="C5150" s="5">
        <v>299</v>
      </c>
      <c r="D5150" s="6">
        <v>5.03</v>
      </c>
      <c r="E5150" t="s">
        <v>21</v>
      </c>
    </row>
    <row r="5151" spans="1:5" x14ac:dyDescent="0.25">
      <c r="A5151" t="str">
        <f>HYPERLINK("https://www.773grp.com/globalSearch/UC5604DPTR/page-1", "UC5604DPTR")</f>
        <v>UC5604DPTR</v>
      </c>
      <c r="B5151" s="3" t="s">
        <v>90</v>
      </c>
      <c r="C5151" s="5">
        <v>10000</v>
      </c>
      <c r="D5151" s="6">
        <v>5.18</v>
      </c>
      <c r="E5151" t="s">
        <v>21</v>
      </c>
    </row>
    <row r="5152" spans="1:5" x14ac:dyDescent="0.25">
      <c r="A5152" t="str">
        <f>HYPERLINK("https://www.773grp.com/globalSearch/SN74F1056D/page-1", "SN74F1056D")</f>
        <v>SN74F1056D</v>
      </c>
      <c r="B5152" s="3" t="s">
        <v>90</v>
      </c>
      <c r="C5152" s="5">
        <v>44690</v>
      </c>
      <c r="D5152" s="6">
        <v>5.24</v>
      </c>
      <c r="E5152" t="s">
        <v>21</v>
      </c>
    </row>
    <row r="5153" spans="1:5" x14ac:dyDescent="0.25">
      <c r="A5153" t="str">
        <f>HYPERLINK("https://www.773grp.com/globalSearch/SN74F1056DE4/page-1", "SN74F1056DE4")</f>
        <v>SN74F1056DE4</v>
      </c>
      <c r="B5153" s="3" t="s">
        <v>90</v>
      </c>
      <c r="C5153" s="5">
        <v>38</v>
      </c>
      <c r="D5153" s="6">
        <v>5.24</v>
      </c>
      <c r="E5153" t="s">
        <v>21</v>
      </c>
    </row>
    <row r="5154" spans="1:5" x14ac:dyDescent="0.25">
      <c r="A5154" t="str">
        <f>HYPERLINK("https://www.773grp.com/globalSearch/UCC5510MWP/page-1", "UCC5510MWP")</f>
        <v>UCC5510MWP</v>
      </c>
      <c r="B5154" s="3" t="s">
        <v>90</v>
      </c>
      <c r="C5154" s="5">
        <v>1303</v>
      </c>
      <c r="D5154" s="6">
        <v>5.35</v>
      </c>
      <c r="E5154" t="s">
        <v>21</v>
      </c>
    </row>
    <row r="5155" spans="1:5" x14ac:dyDescent="0.25">
      <c r="A5155" t="str">
        <f>HYPERLINK("https://www.773grp.com/globalSearch/UC5613PWP/page-1", "UC5613PWP")</f>
        <v>UC5613PWP</v>
      </c>
      <c r="B5155" s="3" t="s">
        <v>90</v>
      </c>
      <c r="C5155" s="5">
        <v>8520</v>
      </c>
      <c r="D5155" s="6">
        <v>5.4</v>
      </c>
      <c r="E5155" t="s">
        <v>21</v>
      </c>
    </row>
    <row r="5156" spans="1:5" x14ac:dyDescent="0.25">
      <c r="A5156" t="str">
        <f>HYPERLINK("https://www.773grp.com/globalSearch/SN74ACT1071D/page-1", "SN74ACT1071D")</f>
        <v>SN74ACT1071D</v>
      </c>
      <c r="B5156" s="3" t="s">
        <v>90</v>
      </c>
      <c r="C5156" s="5">
        <v>4722</v>
      </c>
      <c r="D5156" s="6">
        <v>5.44</v>
      </c>
      <c r="E5156" t="s">
        <v>21</v>
      </c>
    </row>
    <row r="5157" spans="1:5" x14ac:dyDescent="0.25">
      <c r="A5157" t="str">
        <f>HYPERLINK("https://www.773grp.com/globalSearch/TL2218-285PW/page-1", "TL2218-285PW")</f>
        <v>TL2218-285PW</v>
      </c>
      <c r="B5157" s="3" t="s">
        <v>90</v>
      </c>
      <c r="C5157" s="5">
        <v>4970</v>
      </c>
      <c r="D5157" s="6">
        <v>5.44</v>
      </c>
      <c r="E5157" t="s">
        <v>21</v>
      </c>
    </row>
    <row r="5158" spans="1:5" x14ac:dyDescent="0.25">
      <c r="A5158" t="str">
        <f>HYPERLINK("https://www.773grp.com/globalSearch/UCC5641PW28/page-1", "UCC5641PW28")</f>
        <v>UCC5641PW28</v>
      </c>
      <c r="B5158" s="3" t="s">
        <v>90</v>
      </c>
      <c r="C5158" s="5">
        <v>50</v>
      </c>
      <c r="D5158" s="6">
        <v>5.49</v>
      </c>
      <c r="E5158" t="s">
        <v>21</v>
      </c>
    </row>
    <row r="5159" spans="1:5" x14ac:dyDescent="0.25">
      <c r="A5159" t="str">
        <f>HYPERLINK("https://www.773grp.com/globalSearch/SN74S1051D/page-1", "SN74S1051D")</f>
        <v>SN74S1051D</v>
      </c>
      <c r="B5159" s="3" t="s">
        <v>90</v>
      </c>
      <c r="C5159" s="5">
        <v>1232</v>
      </c>
      <c r="D5159" s="6">
        <v>5.63</v>
      </c>
      <c r="E5159" t="s">
        <v>21</v>
      </c>
    </row>
    <row r="5160" spans="1:5" x14ac:dyDescent="0.25">
      <c r="A5160" t="str">
        <f>HYPERLINK("https://www.773grp.com/globalSearch/SN74S1051PW/page-1", "SN74S1051PW")</f>
        <v>SN74S1051PW</v>
      </c>
      <c r="B5160" s="3" t="s">
        <v>90</v>
      </c>
      <c r="C5160" s="5">
        <v>525</v>
      </c>
      <c r="D5160" s="6">
        <v>5.63</v>
      </c>
      <c r="E5160" t="s">
        <v>21</v>
      </c>
    </row>
    <row r="5161" spans="1:5" x14ac:dyDescent="0.25">
      <c r="A5161" t="str">
        <f>HYPERLINK("https://www.773grp.com/globalSearch/SN74S1052DW/page-1", "SN74S1052DW")</f>
        <v>SN74S1052DW</v>
      </c>
      <c r="B5161" s="3" t="s">
        <v>90</v>
      </c>
      <c r="C5161" s="5">
        <v>15572</v>
      </c>
      <c r="D5161" s="6">
        <v>5.63</v>
      </c>
      <c r="E5161" t="s">
        <v>21</v>
      </c>
    </row>
    <row r="5162" spans="1:5" x14ac:dyDescent="0.25">
      <c r="A5162" t="str">
        <f>HYPERLINK("https://www.773grp.com/globalSearch/SN74S1053DW/page-1", "SN74S1053DW")</f>
        <v>SN74S1053DW</v>
      </c>
      <c r="B5162" s="3" t="s">
        <v>90</v>
      </c>
      <c r="C5162" s="5">
        <v>3453</v>
      </c>
      <c r="D5162" s="6">
        <v>5.63</v>
      </c>
      <c r="E5162" t="s">
        <v>21</v>
      </c>
    </row>
    <row r="5163" spans="1:5" x14ac:dyDescent="0.25">
      <c r="A5163" t="str">
        <f>HYPERLINK("https://www.773grp.com/globalSearch/SN74S1053PW/page-1", "SN74S1053PW")</f>
        <v>SN74S1053PW</v>
      </c>
      <c r="B5163" s="3" t="s">
        <v>90</v>
      </c>
      <c r="C5163" s="5">
        <v>281</v>
      </c>
      <c r="D5163" s="6">
        <v>5.63</v>
      </c>
      <c r="E5163" t="s">
        <v>21</v>
      </c>
    </row>
    <row r="5164" spans="1:5" x14ac:dyDescent="0.25">
      <c r="A5164" t="str">
        <f>HYPERLINK("https://www.773grp.com/globalSearch/UCC5510MWPTR/page-1", "UCC5510MWPTR")</f>
        <v>UCC5510MWPTR</v>
      </c>
      <c r="B5164" s="3" t="s">
        <v>90</v>
      </c>
      <c r="C5164" s="5">
        <v>12000</v>
      </c>
      <c r="D5164" s="6">
        <v>5.63</v>
      </c>
      <c r="E5164" t="s">
        <v>21</v>
      </c>
    </row>
    <row r="5165" spans="1:5" x14ac:dyDescent="0.25">
      <c r="A5165" t="str">
        <f>HYPERLINK("https://www.773grp.com/globalSearch/UCC5673MWP/page-1", "UCC5673MWP")</f>
        <v>UCC5673MWP</v>
      </c>
      <c r="B5165" s="3" t="s">
        <v>90</v>
      </c>
      <c r="C5165" s="5">
        <v>6852</v>
      </c>
      <c r="D5165" s="6">
        <v>5.63</v>
      </c>
      <c r="E5165" t="s">
        <v>21</v>
      </c>
    </row>
    <row r="5166" spans="1:5" x14ac:dyDescent="0.25">
      <c r="A5166" t="str">
        <f>HYPERLINK("https://www.773grp.com/globalSearch/UC5603QP/page-1", "UC5603QP")</f>
        <v>UC5603QP</v>
      </c>
      <c r="B5166" s="3" t="s">
        <v>90</v>
      </c>
      <c r="C5166" s="5">
        <v>1332</v>
      </c>
      <c r="D5166" s="6">
        <v>5.7</v>
      </c>
      <c r="E5166" t="s">
        <v>21</v>
      </c>
    </row>
    <row r="5167" spans="1:5" x14ac:dyDescent="0.25">
      <c r="A5167" t="str">
        <f>HYPERLINK("https://www.773grp.com/globalSearch/UC5613DP/page-1", "UC5613DP")</f>
        <v>UC5613DP</v>
      </c>
      <c r="B5167" s="3" t="s">
        <v>90</v>
      </c>
      <c r="C5167" s="5">
        <v>10965</v>
      </c>
      <c r="D5167" s="6">
        <v>5.78</v>
      </c>
      <c r="E5167" t="s">
        <v>21</v>
      </c>
    </row>
    <row r="5168" spans="1:5" x14ac:dyDescent="0.25">
      <c r="A5168" t="str">
        <f>HYPERLINK("https://www.773grp.com/globalSearch/UCC5630AMWPTR/page-1", "UCC5630AMWPTR")</f>
        <v>UCC5630AMWPTR</v>
      </c>
      <c r="B5168" s="3" t="s">
        <v>90</v>
      </c>
      <c r="C5168" s="5">
        <v>154000</v>
      </c>
      <c r="D5168" s="6">
        <v>5.91</v>
      </c>
      <c r="E5168" t="s">
        <v>21</v>
      </c>
    </row>
    <row r="5169" spans="1:5" x14ac:dyDescent="0.25">
      <c r="A5169" t="str">
        <f>HYPERLINK("https://www.773grp.com/globalSearch/UCC5630AMWPTRG4/page-1", "UCC5630AMWPTRG4")</f>
        <v>UCC5630AMWPTRG4</v>
      </c>
      <c r="B5169" s="3" t="s">
        <v>90</v>
      </c>
      <c r="C5169" s="5">
        <v>59820</v>
      </c>
      <c r="D5169" s="6">
        <v>5.91</v>
      </c>
      <c r="E5169" t="s">
        <v>21</v>
      </c>
    </row>
    <row r="5170" spans="1:5" x14ac:dyDescent="0.25">
      <c r="A5170" t="str">
        <f>HYPERLINK("https://www.773grp.com/globalSearch/UCC5672PWPTR/page-1", "UCC5672PWPTR")</f>
        <v>UCC5672PWPTR</v>
      </c>
      <c r="B5170" s="3" t="s">
        <v>90</v>
      </c>
      <c r="C5170" s="5">
        <v>22890</v>
      </c>
      <c r="D5170" s="6">
        <v>5.91</v>
      </c>
      <c r="E5170" t="s">
        <v>21</v>
      </c>
    </row>
    <row r="5171" spans="1:5" x14ac:dyDescent="0.25">
      <c r="A5171" t="str">
        <f>HYPERLINK("https://www.773grp.com/globalSearch/UCC5673PWPTR/page-1", "UCC5673PWPTR")</f>
        <v>UCC5673PWPTR</v>
      </c>
      <c r="B5171" s="3" t="s">
        <v>90</v>
      </c>
      <c r="C5171" s="5">
        <v>26000</v>
      </c>
      <c r="D5171" s="6">
        <v>5.91</v>
      </c>
      <c r="E5171" t="s">
        <v>21</v>
      </c>
    </row>
    <row r="5172" spans="1:5" x14ac:dyDescent="0.25">
      <c r="A5172" t="str">
        <f>HYPERLINK("https://www.773grp.com/globalSearch/SN74S1052N/page-1", "SN74S1052N")</f>
        <v>SN74S1052N</v>
      </c>
      <c r="B5172" s="3" t="s">
        <v>90</v>
      </c>
      <c r="C5172" s="5">
        <v>4300</v>
      </c>
      <c r="D5172" s="6">
        <v>6.03</v>
      </c>
      <c r="E5172" t="s">
        <v>21</v>
      </c>
    </row>
    <row r="5173" spans="1:5" x14ac:dyDescent="0.25">
      <c r="A5173" t="str">
        <f>HYPERLINK("https://www.773grp.com/globalSearch/SN74S1052NSR/page-1", "SN74S1052NSR")</f>
        <v>SN74S1052NSR</v>
      </c>
      <c r="B5173" s="3" t="s">
        <v>90</v>
      </c>
      <c r="C5173" s="5">
        <v>2000</v>
      </c>
      <c r="D5173" s="6">
        <v>6.03</v>
      </c>
      <c r="E5173" t="s">
        <v>21</v>
      </c>
    </row>
    <row r="5174" spans="1:5" x14ac:dyDescent="0.25">
      <c r="A5174" t="str">
        <f>HYPERLINK("https://www.773grp.com/globalSearch/UCC5618N/page-1", "UCC5618N")</f>
        <v>UCC5618N</v>
      </c>
      <c r="B5174" s="3" t="s">
        <v>90</v>
      </c>
      <c r="C5174" s="5">
        <v>10921</v>
      </c>
      <c r="D5174" s="6">
        <v>6.19</v>
      </c>
      <c r="E5174" t="s">
        <v>21</v>
      </c>
    </row>
    <row r="5175" spans="1:5" x14ac:dyDescent="0.25">
      <c r="A5175" t="str">
        <f>HYPERLINK("https://www.773grp.com/globalSearch/UCC561TD/page-1", "UCC561TD")</f>
        <v>UCC561TD</v>
      </c>
      <c r="B5175" s="3" t="s">
        <v>90</v>
      </c>
      <c r="C5175" s="5">
        <v>1000</v>
      </c>
      <c r="D5175" s="6">
        <v>6.19</v>
      </c>
      <c r="E5175" t="s">
        <v>21</v>
      </c>
    </row>
    <row r="5176" spans="1:5" x14ac:dyDescent="0.25">
      <c r="A5176" t="str">
        <f>HYPERLINK("https://www.773grp.com/globalSearch/UCC5617DWPTR/page-1", "UCC5617DWPTR")</f>
        <v>UCC5617DWPTR</v>
      </c>
      <c r="B5176" s="3" t="str">
        <f>HYPERLINK("https://www.773grp.com/manufacturer/texas-instruments?pageNo=161", "Texas Instruments")</f>
        <v>Texas Instruments</v>
      </c>
      <c r="C5176" s="5">
        <v>64000</v>
      </c>
      <c r="D5176" s="6">
        <v>6.46</v>
      </c>
      <c r="E5176" t="s">
        <v>21</v>
      </c>
    </row>
    <row r="5177" spans="1:5" x14ac:dyDescent="0.25">
      <c r="A5177" t="str">
        <f>HYPERLINK("https://www.773grp.com/globalSearch/UCC5618PWPTR/page-1", "UCC5618PWPTR")</f>
        <v>UCC5618PWPTR</v>
      </c>
      <c r="B5177" s="3" t="str">
        <f>HYPERLINK("https://www.773grp.com/manufacturer/texas-instruments?pageNo=162", "Texas Instruments")</f>
        <v>Texas Instruments</v>
      </c>
      <c r="C5177" s="5">
        <v>19700</v>
      </c>
      <c r="D5177" s="6">
        <v>6.46</v>
      </c>
      <c r="E5177" t="s">
        <v>21</v>
      </c>
    </row>
    <row r="5178" spans="1:5" x14ac:dyDescent="0.25">
      <c r="A5178" t="str">
        <f>HYPERLINK("https://www.773grp.com/globalSearch/SN74S1050D/page-1", "SN74S1050D")</f>
        <v>SN74S1050D</v>
      </c>
      <c r="B5178" s="3" t="str">
        <f>HYPERLINK("https://www.773grp.com/manufacturer/texas-instruments?pageNo=393", "Texas Instruments")</f>
        <v>Texas Instruments</v>
      </c>
      <c r="C5178" s="5">
        <v>9369</v>
      </c>
      <c r="D5178" s="6">
        <v>6.64</v>
      </c>
      <c r="E5178" t="s">
        <v>21</v>
      </c>
    </row>
    <row r="5179" spans="1:5" x14ac:dyDescent="0.25">
      <c r="A5179" t="str">
        <f>HYPERLINK("https://www.773grp.com/globalSearch/UCC5630AMWP/page-1", "UCC5630AMWP")</f>
        <v>UCC5630AMWP</v>
      </c>
      <c r="B5179" s="3" t="str">
        <f>HYPERLINK("https://www.773grp.com/manufacturer/texas-instruments?pageNo=559", "Texas Instruments")</f>
        <v>Texas Instruments</v>
      </c>
      <c r="C5179" s="5">
        <v>127</v>
      </c>
      <c r="D5179" s="6">
        <v>6.75</v>
      </c>
      <c r="E5179" t="s">
        <v>21</v>
      </c>
    </row>
    <row r="5180" spans="1:5" x14ac:dyDescent="0.25">
      <c r="A5180" t="str">
        <f>HYPERLINK("https://www.773grp.com/globalSearch/UCC5631AMWP/page-1", "UCC5631AMWP")</f>
        <v>UCC5631AMWP</v>
      </c>
      <c r="B5180" s="3" t="str">
        <f>HYPERLINK("https://www.773grp.com/manufacturer/texas-instruments?pageNo=560", "Texas Instruments")</f>
        <v>Texas Instruments</v>
      </c>
      <c r="C5180" s="5">
        <v>9227</v>
      </c>
      <c r="D5180" s="6">
        <v>6.75</v>
      </c>
      <c r="E5180" t="s">
        <v>21</v>
      </c>
    </row>
    <row r="5181" spans="1:5" x14ac:dyDescent="0.25">
      <c r="A5181" t="str">
        <f>HYPERLINK("https://www.773grp.com/globalSearch/UCC5672MWP/page-1", "UCC5672MWP")</f>
        <v>UCC5672MWP</v>
      </c>
      <c r="B5181" s="3" t="str">
        <f>HYPERLINK("https://www.773grp.com/manufacturer/texas-instruments?pageNo=561", "Texas Instruments")</f>
        <v>Texas Instruments</v>
      </c>
      <c r="C5181" s="5">
        <v>2100</v>
      </c>
      <c r="D5181" s="6">
        <v>6.75</v>
      </c>
      <c r="E5181" t="s">
        <v>21</v>
      </c>
    </row>
    <row r="5182" spans="1:5" x14ac:dyDescent="0.25">
      <c r="A5182" t="str">
        <f>HYPERLINK("https://www.773grp.com/globalSearch/UCC5672MWP/page-1", "UCC5672MWP")</f>
        <v>UCC5672MWP</v>
      </c>
      <c r="B5182" s="3" t="str">
        <f>HYPERLINK("https://www.773grp.com/manufacturer/texas-instruments?pageNo=562", "Texas Instruments")</f>
        <v>Texas Instruments</v>
      </c>
      <c r="C5182" s="5">
        <v>2350</v>
      </c>
      <c r="D5182" s="6">
        <v>6.75</v>
      </c>
      <c r="E5182" t="s">
        <v>21</v>
      </c>
    </row>
    <row r="5183" spans="1:5" x14ac:dyDescent="0.25">
      <c r="A5183" t="str">
        <f>HYPERLINK("https://www.773grp.com/globalSearch/UCC5672PWP/page-1", "UCC5672PWP")</f>
        <v>UCC5672PWP</v>
      </c>
      <c r="B5183" s="3" t="str">
        <f>HYPERLINK("https://www.773grp.com/manufacturer/texas-instruments?pageNo=563", "Texas Instruments")</f>
        <v>Texas Instruments</v>
      </c>
      <c r="C5183" s="5">
        <v>122</v>
      </c>
      <c r="D5183" s="6">
        <v>6.75</v>
      </c>
      <c r="E5183" t="s">
        <v>21</v>
      </c>
    </row>
    <row r="5184" spans="1:5" x14ac:dyDescent="0.25">
      <c r="A5184" t="str">
        <f>HYPERLINK("https://www.773grp.com/globalSearch/UCC5673PWP/page-1", "UCC5673PWP")</f>
        <v>UCC5673PWP</v>
      </c>
      <c r="B5184" s="3" t="str">
        <f>HYPERLINK("https://www.773grp.com/manufacturer/texas-instruments?pageNo=564", "Texas Instruments")</f>
        <v>Texas Instruments</v>
      </c>
      <c r="C5184" s="5">
        <v>4859</v>
      </c>
      <c r="D5184" s="6">
        <v>6.75</v>
      </c>
      <c r="E5184" t="s">
        <v>21</v>
      </c>
    </row>
    <row r="5185" spans="1:5" x14ac:dyDescent="0.25">
      <c r="A5185" t="str">
        <f>HYPERLINK("https://www.773grp.com/globalSearch/UC5603DPTR/page-1", "UC5603DPTR")</f>
        <v>UC5603DPTR</v>
      </c>
      <c r="B5185" s="3" t="s">
        <v>90</v>
      </c>
      <c r="C5185" s="5">
        <v>22500</v>
      </c>
      <c r="D5185" s="6">
        <v>7.18</v>
      </c>
      <c r="E5185" t="s">
        <v>21</v>
      </c>
    </row>
    <row r="5186" spans="1:5" x14ac:dyDescent="0.25">
      <c r="A5186" t="str">
        <f>HYPERLINK("https://www.773grp.com/globalSearch/UCC5618QPTR/page-1", "UCC5618QPTR")</f>
        <v>UCC5618QPTR</v>
      </c>
      <c r="B5186" s="3" t="s">
        <v>90</v>
      </c>
      <c r="C5186" s="5">
        <v>5250</v>
      </c>
      <c r="D5186" s="6">
        <v>7.18</v>
      </c>
      <c r="E5186" t="s">
        <v>21</v>
      </c>
    </row>
    <row r="5187" spans="1:5" x14ac:dyDescent="0.25">
      <c r="A5187" t="str">
        <f>HYPERLINK("https://www.773grp.com/globalSearch/UCC5628FQPTR/page-1", "UCC5628FQPTR")</f>
        <v>UCC5628FQPTR</v>
      </c>
      <c r="B5187" s="3" t="s">
        <v>90</v>
      </c>
      <c r="C5187" s="5">
        <v>14000</v>
      </c>
      <c r="D5187" s="6">
        <v>7.2</v>
      </c>
      <c r="E5187" t="s">
        <v>21</v>
      </c>
    </row>
    <row r="5188" spans="1:5" x14ac:dyDescent="0.25">
      <c r="A5188" t="str">
        <f>HYPERLINK("https://www.773grp.com/globalSearch/UCC5629FQPTR/page-1", "UCC5629FQPTR")</f>
        <v>UCC5629FQPTR</v>
      </c>
      <c r="B5188" s="3" t="s">
        <v>90</v>
      </c>
      <c r="C5188" s="5">
        <v>27000</v>
      </c>
      <c r="D5188" s="6">
        <v>7.31</v>
      </c>
      <c r="E5188" t="s">
        <v>21</v>
      </c>
    </row>
    <row r="5189" spans="1:5" x14ac:dyDescent="0.25">
      <c r="A5189" t="str">
        <f>HYPERLINK("https://www.773grp.com/globalSearch/UCC5631AFQP/page-1", "UCC5631AFQP")</f>
        <v>UCC5631AFQP</v>
      </c>
      <c r="B5189" s="3" t="s">
        <v>90</v>
      </c>
      <c r="C5189" s="5">
        <v>1030</v>
      </c>
      <c r="D5189" s="6">
        <v>7.31</v>
      </c>
      <c r="E5189" t="s">
        <v>21</v>
      </c>
    </row>
    <row r="5190" spans="1:5" x14ac:dyDescent="0.25">
      <c r="A5190" t="str">
        <f>HYPERLINK("https://www.773grp.com/globalSearch/UCC5639FQPTR/page-1", "UCC5639FQPTR")</f>
        <v>UCC5639FQPTR</v>
      </c>
      <c r="B5190" s="3" t="s">
        <v>90</v>
      </c>
      <c r="C5190" s="5">
        <v>26000</v>
      </c>
      <c r="D5190" s="6">
        <v>7.31</v>
      </c>
      <c r="E5190" t="s">
        <v>21</v>
      </c>
    </row>
    <row r="5191" spans="1:5" x14ac:dyDescent="0.25">
      <c r="A5191" t="str">
        <f>HYPERLINK("https://www.773grp.com/globalSearch/UCC5642MWP/page-1", "UCC5642MWP")</f>
        <v>UCC5642MWP</v>
      </c>
      <c r="B5191" s="3" t="s">
        <v>90</v>
      </c>
      <c r="C5191" s="5">
        <v>26918</v>
      </c>
      <c r="D5191" s="6">
        <v>7.31</v>
      </c>
      <c r="E5191" t="s">
        <v>21</v>
      </c>
    </row>
    <row r="5192" spans="1:5" x14ac:dyDescent="0.25">
      <c r="A5192" t="str">
        <f>HYPERLINK("https://www.773grp.com/globalSearch/UCC5617DWP/page-1", "UCC5617DWP")</f>
        <v>UCC5617DWP</v>
      </c>
      <c r="B5192" s="3" t="s">
        <v>90</v>
      </c>
      <c r="C5192" s="5">
        <v>14598</v>
      </c>
      <c r="D5192" s="6">
        <v>7.43</v>
      </c>
      <c r="E5192" t="s">
        <v>21</v>
      </c>
    </row>
    <row r="5193" spans="1:5" x14ac:dyDescent="0.25">
      <c r="A5193" t="str">
        <f>HYPERLINK("https://www.773grp.com/globalSearch/UCC5618DWP/page-1", "UCC5618DWP")</f>
        <v>UCC5618DWP</v>
      </c>
      <c r="B5193" s="3" t="s">
        <v>90</v>
      </c>
      <c r="C5193" s="5">
        <v>29801</v>
      </c>
      <c r="D5193" s="6">
        <v>7.43</v>
      </c>
      <c r="E5193" t="s">
        <v>21</v>
      </c>
    </row>
    <row r="5194" spans="1:5" x14ac:dyDescent="0.25">
      <c r="A5194" t="str">
        <f>HYPERLINK("https://www.773grp.com/globalSearch/UCC5618PWP/page-1", "UCC5618PWP")</f>
        <v>UCC5618PWP</v>
      </c>
      <c r="B5194" s="3" t="s">
        <v>90</v>
      </c>
      <c r="C5194" s="5">
        <v>1000</v>
      </c>
      <c r="D5194" s="6">
        <v>7.43</v>
      </c>
      <c r="E5194" t="s">
        <v>21</v>
      </c>
    </row>
    <row r="5195" spans="1:5" x14ac:dyDescent="0.25">
      <c r="A5195" t="str">
        <f>HYPERLINK("https://www.773grp.com/globalSearch/UCC5618PWP/page-1", "UCC5618PWP")</f>
        <v>UCC5618PWP</v>
      </c>
      <c r="B5195" s="3" t="s">
        <v>90</v>
      </c>
      <c r="C5195" s="5">
        <v>6374</v>
      </c>
      <c r="D5195" s="6">
        <v>7.43</v>
      </c>
      <c r="E5195" t="s">
        <v>21</v>
      </c>
    </row>
    <row r="5196" spans="1:5" x14ac:dyDescent="0.25">
      <c r="A5196" t="str">
        <f>HYPERLINK("https://www.773grp.com/globalSearch/UCC5618PWP/page-1", "UCC5618PWP")</f>
        <v>UCC5618PWP</v>
      </c>
      <c r="B5196" s="3" t="s">
        <v>90</v>
      </c>
      <c r="C5196" s="5">
        <v>3200</v>
      </c>
      <c r="D5196" s="6">
        <v>7.43</v>
      </c>
      <c r="E5196" t="s">
        <v>21</v>
      </c>
    </row>
    <row r="5197" spans="1:5" x14ac:dyDescent="0.25">
      <c r="A5197" t="str">
        <f>HYPERLINK("https://www.773grp.com/globalSearch/UCC5630MWP/page-1", "UCC5630MWP")</f>
        <v>UCC5630MWP</v>
      </c>
      <c r="B5197" s="3" t="s">
        <v>90</v>
      </c>
      <c r="C5197" s="5">
        <v>4059</v>
      </c>
      <c r="D5197" s="6">
        <v>7.48</v>
      </c>
      <c r="E5197" t="s">
        <v>21</v>
      </c>
    </row>
    <row r="5198" spans="1:5" x14ac:dyDescent="0.25">
      <c r="A5198" t="str">
        <f>HYPERLINK("https://www.773grp.com/globalSearch/UCC5630MWPTR/page-1", "UCC5630MWPTR")</f>
        <v>UCC5630MWPTR</v>
      </c>
      <c r="B5198" s="3" t="s">
        <v>90</v>
      </c>
      <c r="C5198" s="5">
        <v>702</v>
      </c>
      <c r="D5198" s="6">
        <v>7.48</v>
      </c>
      <c r="E5198" t="s">
        <v>21</v>
      </c>
    </row>
    <row r="5199" spans="1:5" x14ac:dyDescent="0.25">
      <c r="A5199" t="str">
        <f>HYPERLINK("https://www.773grp.com/globalSearch/UCC5638FQPTR/page-1", "UCC5638FQPTR")</f>
        <v>UCC5638FQPTR</v>
      </c>
      <c r="B5199" s="3" t="s">
        <v>90</v>
      </c>
      <c r="C5199" s="5">
        <v>11000</v>
      </c>
      <c r="D5199" s="6">
        <v>7.51</v>
      </c>
      <c r="E5199" t="s">
        <v>21</v>
      </c>
    </row>
    <row r="5200" spans="1:5" x14ac:dyDescent="0.25">
      <c r="A5200" t="str">
        <f>HYPERLINK("https://www.773grp.com/globalSearch/UCC5630AFQPTR/page-1", "UCC5630AFQPTR")</f>
        <v>UCC5630AFQPTR</v>
      </c>
      <c r="B5200" s="3" t="s">
        <v>90</v>
      </c>
      <c r="C5200" s="5">
        <v>6000</v>
      </c>
      <c r="D5200" s="6">
        <v>7.6</v>
      </c>
      <c r="E5200" t="s">
        <v>21</v>
      </c>
    </row>
    <row r="5201" spans="1:5" x14ac:dyDescent="0.25">
      <c r="A5201" t="str">
        <f>HYPERLINK("https://www.773grp.com/globalSearch/UCC5642MWPTR/page-1", "UCC5642MWPTR")</f>
        <v>UCC5642MWPTR</v>
      </c>
      <c r="B5201" s="3" t="s">
        <v>90</v>
      </c>
      <c r="C5201" s="5">
        <v>38000</v>
      </c>
      <c r="D5201" s="6">
        <v>7.6</v>
      </c>
      <c r="E5201" t="s">
        <v>21</v>
      </c>
    </row>
    <row r="5202" spans="1:5" x14ac:dyDescent="0.25">
      <c r="A5202" t="str">
        <f>HYPERLINK("https://www.773grp.com/globalSearch/UC5603QPTR/page-1", "UC5603QPTR")</f>
        <v>UC5603QPTR</v>
      </c>
      <c r="B5202" s="3" t="s">
        <v>90</v>
      </c>
      <c r="C5202" s="5">
        <v>2250</v>
      </c>
      <c r="D5202" s="6">
        <v>7.88</v>
      </c>
      <c r="E5202" t="s">
        <v>21</v>
      </c>
    </row>
    <row r="5203" spans="1:5" x14ac:dyDescent="0.25">
      <c r="A5203" t="str">
        <f>HYPERLINK("https://www.773grp.com/globalSearch/UC5612PWP/page-1", "UC5612PWP")</f>
        <v>UC5612PWP</v>
      </c>
      <c r="B5203" s="3" t="s">
        <v>90</v>
      </c>
      <c r="C5203" s="5">
        <v>1800</v>
      </c>
      <c r="D5203" s="6">
        <v>7.88</v>
      </c>
      <c r="E5203" t="s">
        <v>21</v>
      </c>
    </row>
    <row r="5204" spans="1:5" x14ac:dyDescent="0.25">
      <c r="A5204" t="str">
        <f>HYPERLINK("https://www.773grp.com/globalSearch/UC5603DP/page-1", "UC5603DP")</f>
        <v>UC5603DP</v>
      </c>
      <c r="B5204" s="3" t="s">
        <v>90</v>
      </c>
      <c r="C5204" s="5">
        <v>28</v>
      </c>
      <c r="D5204" s="6">
        <v>7.9</v>
      </c>
      <c r="E5204" t="s">
        <v>21</v>
      </c>
    </row>
    <row r="5205" spans="1:5" x14ac:dyDescent="0.25">
      <c r="A5205" t="str">
        <f>HYPERLINK("https://www.773grp.com/globalSearch/UC5603DP/page-1", "UC5603DP")</f>
        <v>UC5603DP</v>
      </c>
      <c r="B5205" s="3" t="s">
        <v>90</v>
      </c>
      <c r="C5205" s="5">
        <v>12704</v>
      </c>
      <c r="D5205" s="6">
        <v>8.01</v>
      </c>
      <c r="E5205" t="s">
        <v>21</v>
      </c>
    </row>
    <row r="5206" spans="1:5" x14ac:dyDescent="0.25">
      <c r="A5206" t="str">
        <f>HYPERLINK("https://www.773grp.com/globalSearch/UC5608QP/page-1", "UC5608QP")</f>
        <v>UC5608QP</v>
      </c>
      <c r="B5206" s="3" t="s">
        <v>90</v>
      </c>
      <c r="C5206" s="5">
        <v>16779</v>
      </c>
      <c r="D5206" s="6">
        <v>8.1</v>
      </c>
      <c r="E5206" t="s">
        <v>21</v>
      </c>
    </row>
    <row r="5207" spans="1:5" x14ac:dyDescent="0.25">
      <c r="A5207" t="str">
        <f>HYPERLINK("https://www.773grp.com/globalSearch/UCC5618QP/page-1", "UCC5618QP")</f>
        <v>UCC5618QP</v>
      </c>
      <c r="B5207" s="3" t="s">
        <v>90</v>
      </c>
      <c r="C5207" s="5">
        <v>3627</v>
      </c>
      <c r="D5207" s="6">
        <v>8.14</v>
      </c>
      <c r="E5207" t="s">
        <v>21</v>
      </c>
    </row>
    <row r="5208" spans="1:5" x14ac:dyDescent="0.25">
      <c r="A5208" t="str">
        <f>HYPERLINK("https://www.773grp.com/globalSearch/UCC5638FQPG4/page-1", "UCC5638FQPG4")</f>
        <v>UCC5638FQPG4</v>
      </c>
      <c r="B5208" s="3" t="s">
        <v>90</v>
      </c>
      <c r="C5208" s="5">
        <v>32</v>
      </c>
      <c r="D5208" s="6">
        <v>8.2799999999999994</v>
      </c>
      <c r="E5208" t="s">
        <v>21</v>
      </c>
    </row>
    <row r="5209" spans="1:5" x14ac:dyDescent="0.25">
      <c r="A5209" t="str">
        <f>HYPERLINK("https://www.773grp.com/globalSearch/UCC5628FQP/page-1", "UCC5628FQP")</f>
        <v>UCC5628FQP</v>
      </c>
      <c r="B5209" s="3" t="s">
        <v>90</v>
      </c>
      <c r="C5209" s="5">
        <v>42105</v>
      </c>
      <c r="D5209" s="6">
        <v>8.3000000000000007</v>
      </c>
      <c r="E5209" t="s">
        <v>21</v>
      </c>
    </row>
    <row r="5210" spans="1:5" x14ac:dyDescent="0.25">
      <c r="A5210" t="str">
        <f>HYPERLINK("https://www.773grp.com/globalSearch/UCC5629FQP/page-1", "UCC5629FQP")</f>
        <v>UCC5629FQP</v>
      </c>
      <c r="B5210" s="3" t="s">
        <v>90</v>
      </c>
      <c r="C5210" s="5">
        <v>3956</v>
      </c>
      <c r="D5210" s="6">
        <v>8.3000000000000007</v>
      </c>
      <c r="E5210" t="s">
        <v>21</v>
      </c>
    </row>
    <row r="5211" spans="1:5" x14ac:dyDescent="0.25">
      <c r="A5211" t="str">
        <f>HYPERLINK("https://www.773grp.com/globalSearch/UCC5629FQPG4/page-1", "UCC5629FQPG4")</f>
        <v>UCC5629FQPG4</v>
      </c>
      <c r="B5211" s="3" t="s">
        <v>90</v>
      </c>
      <c r="C5211" s="5">
        <v>1248</v>
      </c>
      <c r="D5211" s="6">
        <v>8.3000000000000007</v>
      </c>
      <c r="E5211" t="s">
        <v>21</v>
      </c>
    </row>
    <row r="5212" spans="1:5" x14ac:dyDescent="0.25">
      <c r="A5212" t="str">
        <f>HYPERLINK("https://www.773grp.com/globalSearch/UCC5639FQP/page-1", "UCC5639FQP")</f>
        <v>UCC5639FQP</v>
      </c>
      <c r="B5212" s="3" t="s">
        <v>90</v>
      </c>
      <c r="C5212" s="5">
        <v>8582</v>
      </c>
      <c r="D5212" s="6">
        <v>8.3000000000000007</v>
      </c>
      <c r="E5212" t="s">
        <v>21</v>
      </c>
    </row>
    <row r="5213" spans="1:5" x14ac:dyDescent="0.25">
      <c r="A5213" t="str">
        <f>HYPERLINK("https://www.773grp.com/globalSearch/SN74F1016DWR/page-1", "SN74F1016DWR")</f>
        <v>SN74F1016DWR</v>
      </c>
      <c r="B5213" s="3" t="s">
        <v>90</v>
      </c>
      <c r="C5213" s="5">
        <v>4022</v>
      </c>
      <c r="D5213" s="6">
        <v>8.44</v>
      </c>
      <c r="E5213" t="s">
        <v>21</v>
      </c>
    </row>
    <row r="5214" spans="1:5" x14ac:dyDescent="0.25">
      <c r="A5214" t="str">
        <f>HYPERLINK("https://www.773grp.com/globalSearch/UCC5630AFQP/page-1", "UCC5630AFQP")</f>
        <v>UCC5630AFQP</v>
      </c>
      <c r="B5214" s="3" t="s">
        <v>90</v>
      </c>
      <c r="C5214" s="5">
        <v>2449</v>
      </c>
      <c r="D5214" s="6">
        <v>8.44</v>
      </c>
      <c r="E5214" t="s">
        <v>21</v>
      </c>
    </row>
    <row r="5215" spans="1:5" x14ac:dyDescent="0.25">
      <c r="A5215" t="str">
        <f>HYPERLINK("https://www.773grp.com/globalSearch/UCC5630AFQP/page-1", "UCC5630AFQP")</f>
        <v>UCC5630AFQP</v>
      </c>
      <c r="B5215" s="3" t="s">
        <v>90</v>
      </c>
      <c r="C5215" s="5">
        <v>200</v>
      </c>
      <c r="D5215" s="6">
        <v>8.44</v>
      </c>
      <c r="E5215" t="s">
        <v>21</v>
      </c>
    </row>
    <row r="5216" spans="1:5" x14ac:dyDescent="0.25">
      <c r="A5216" t="str">
        <f>HYPERLINK("https://www.773grp.com/globalSearch/UCC5638FQP/page-1", "UCC5638FQP")</f>
        <v>UCC5638FQP</v>
      </c>
      <c r="B5216" s="3" t="s">
        <v>90</v>
      </c>
      <c r="C5216" s="5">
        <v>1176</v>
      </c>
      <c r="D5216" s="6">
        <v>8.61</v>
      </c>
      <c r="E5216" t="s">
        <v>21</v>
      </c>
    </row>
    <row r="5217" spans="1:5" x14ac:dyDescent="0.25">
      <c r="A5217" t="str">
        <f>HYPERLINK("https://www.773grp.com/globalSearch/UCC5619MWPTR/page-1", "UCC5619MWPTR")</f>
        <v>UCC5619MWPTR</v>
      </c>
      <c r="B5217" s="3" t="s">
        <v>90</v>
      </c>
      <c r="C5217" s="5">
        <v>14881</v>
      </c>
      <c r="D5217" s="6">
        <v>8.73</v>
      </c>
      <c r="E5217" t="s">
        <v>21</v>
      </c>
    </row>
    <row r="5218" spans="1:5" x14ac:dyDescent="0.25">
      <c r="A5218" t="str">
        <f>HYPERLINK("https://www.773grp.com/globalSearch/UCC5620MWPTR/page-1", "UCC5620MWPTR")</f>
        <v>UCC5620MWPTR</v>
      </c>
      <c r="B5218" s="3" t="s">
        <v>90</v>
      </c>
      <c r="C5218" s="5">
        <v>30000</v>
      </c>
      <c r="D5218" s="6">
        <v>8.73</v>
      </c>
      <c r="E5218" t="s">
        <v>21</v>
      </c>
    </row>
    <row r="5219" spans="1:5" x14ac:dyDescent="0.25">
      <c r="A5219" t="str">
        <f>HYPERLINK("https://www.773grp.com/globalSearch/UCC5621MWPTR/page-1", "UCC5621MWPTR")</f>
        <v>UCC5621MWPTR</v>
      </c>
      <c r="B5219" s="3" t="s">
        <v>90</v>
      </c>
      <c r="C5219" s="5">
        <v>219000</v>
      </c>
      <c r="D5219" s="6">
        <v>8.73</v>
      </c>
      <c r="E5219" t="s">
        <v>21</v>
      </c>
    </row>
    <row r="5220" spans="1:5" x14ac:dyDescent="0.25">
      <c r="A5220" t="str">
        <f>HYPERLINK("https://www.773grp.com/globalSearch/UCC5622MWPTR/page-1", "UCC5622MWPTR")</f>
        <v>UCC5622MWPTR</v>
      </c>
      <c r="B5220" s="3" t="s">
        <v>90</v>
      </c>
      <c r="C5220" s="5">
        <v>20000</v>
      </c>
      <c r="D5220" s="6">
        <v>8.73</v>
      </c>
      <c r="E5220" t="s">
        <v>21</v>
      </c>
    </row>
    <row r="5221" spans="1:5" x14ac:dyDescent="0.25">
      <c r="A5221" t="str">
        <f>HYPERLINK("https://www.773grp.com/globalSearch/UC5601N/page-1", "UC5601N")</f>
        <v>UC5601N</v>
      </c>
      <c r="B5221" s="3" t="s">
        <v>90</v>
      </c>
      <c r="C5221" s="5">
        <v>6405</v>
      </c>
      <c r="D5221" s="6">
        <v>9.56</v>
      </c>
      <c r="E5221" t="s">
        <v>21</v>
      </c>
    </row>
    <row r="5222" spans="1:5" x14ac:dyDescent="0.25">
      <c r="A5222" t="str">
        <f>HYPERLINK("https://www.773grp.com/globalSearch/UCC5687PM/page-1", "UCC5687PM")</f>
        <v>UCC5687PM</v>
      </c>
      <c r="B5222" s="3" t="s">
        <v>90</v>
      </c>
      <c r="C5222" s="5">
        <v>9600</v>
      </c>
      <c r="D5222" s="6">
        <v>9.84</v>
      </c>
      <c r="E5222" t="s">
        <v>21</v>
      </c>
    </row>
    <row r="5223" spans="1:5" x14ac:dyDescent="0.25">
      <c r="A5223" t="str">
        <f>HYPERLINK("https://www.773grp.com/globalSearch/UCC5619MWP/page-1", "UCC5619MWP")</f>
        <v>UCC5619MWP</v>
      </c>
      <c r="B5223" s="3" t="s">
        <v>90</v>
      </c>
      <c r="C5223" s="5">
        <v>6072</v>
      </c>
      <c r="D5223" s="6">
        <v>10.130000000000001</v>
      </c>
      <c r="E5223" t="s">
        <v>21</v>
      </c>
    </row>
    <row r="5224" spans="1:5" x14ac:dyDescent="0.25">
      <c r="A5224" t="str">
        <f>HYPERLINK("https://www.773grp.com/globalSearch/UCC5620MWP/page-1", "UCC5620MWP")</f>
        <v>UCC5620MWP</v>
      </c>
      <c r="B5224" s="3" t="s">
        <v>90</v>
      </c>
      <c r="C5224" s="5">
        <v>22855</v>
      </c>
      <c r="D5224" s="6">
        <v>10.130000000000001</v>
      </c>
      <c r="E5224" t="s">
        <v>21</v>
      </c>
    </row>
    <row r="5225" spans="1:5" x14ac:dyDescent="0.25">
      <c r="A5225" t="str">
        <f>HYPERLINK("https://www.773grp.com/globalSearch/UCC5621MWP/page-1", "UCC5621MWP")</f>
        <v>UCC5621MWP</v>
      </c>
      <c r="B5225" s="3" t="s">
        <v>90</v>
      </c>
      <c r="C5225" s="5">
        <v>31096</v>
      </c>
      <c r="D5225" s="6">
        <v>10.130000000000001</v>
      </c>
      <c r="E5225" t="s">
        <v>21</v>
      </c>
    </row>
    <row r="5226" spans="1:5" x14ac:dyDescent="0.25">
      <c r="A5226" t="str">
        <f>HYPERLINK("https://www.773grp.com/globalSearch/UCC5622MWP/page-1", "UCC5622MWP")</f>
        <v>UCC5622MWP</v>
      </c>
      <c r="B5226" s="3" t="s">
        <v>90</v>
      </c>
      <c r="C5226" s="5">
        <v>42095</v>
      </c>
      <c r="D5226" s="6">
        <v>10.130000000000001</v>
      </c>
      <c r="E5226" t="s">
        <v>21</v>
      </c>
    </row>
    <row r="5227" spans="1:5" x14ac:dyDescent="0.25">
      <c r="A5227" t="str">
        <f>HYPERLINK("https://www.773grp.com/globalSearch/UCC5686PMTR/page-1", "UCC5686PMTR")</f>
        <v>UCC5686PMTR</v>
      </c>
      <c r="B5227" s="3" t="s">
        <v>90</v>
      </c>
      <c r="C5227" s="5">
        <v>5760</v>
      </c>
      <c r="D5227" s="6">
        <v>10.130000000000001</v>
      </c>
      <c r="E5227" t="s">
        <v>21</v>
      </c>
    </row>
    <row r="5228" spans="1:5" x14ac:dyDescent="0.25">
      <c r="A5228" t="str">
        <f>HYPERLINK("https://www.773grp.com/globalSearch/SN74F1016DW/page-1", "SN74F1016DW")</f>
        <v>SN74F1016DW</v>
      </c>
      <c r="B5228" s="3" t="s">
        <v>90</v>
      </c>
      <c r="C5228" s="5">
        <v>496</v>
      </c>
      <c r="D5228" s="6">
        <v>10.24</v>
      </c>
      <c r="E5228" t="s">
        <v>21</v>
      </c>
    </row>
    <row r="5229" spans="1:5" x14ac:dyDescent="0.25">
      <c r="A5229" t="str">
        <f>HYPERLINK("https://www.773grp.com/globalSearch/UCC5640PWX/page-1", "UCC5640PWX")</f>
        <v>UCC5640PWX</v>
      </c>
      <c r="B5229" s="3" t="s">
        <v>90</v>
      </c>
      <c r="C5229" s="5">
        <v>1275</v>
      </c>
      <c r="D5229" s="6">
        <v>10.26</v>
      </c>
      <c r="E5229" t="s">
        <v>21</v>
      </c>
    </row>
    <row r="5230" spans="1:5" x14ac:dyDescent="0.25">
      <c r="A5230" t="str">
        <f>HYPERLINK("https://www.773grp.com/globalSearch/UC5608DWP/page-1", "UC5608DWP")</f>
        <v>UC5608DWP</v>
      </c>
      <c r="B5230" s="3" t="s">
        <v>90</v>
      </c>
      <c r="C5230" s="5">
        <v>30120</v>
      </c>
      <c r="D5230" s="6">
        <v>10.33</v>
      </c>
      <c r="E5230" t="s">
        <v>21</v>
      </c>
    </row>
    <row r="5231" spans="1:5" x14ac:dyDescent="0.25">
      <c r="A5231" t="str">
        <f>HYPERLINK("https://www.773grp.com/globalSearch/UC5608N/page-1", "UC5608N")</f>
        <v>UC5608N</v>
      </c>
      <c r="B5231" s="3" t="s">
        <v>90</v>
      </c>
      <c r="C5231" s="5">
        <v>26</v>
      </c>
      <c r="D5231" s="6">
        <v>10.41</v>
      </c>
      <c r="E5231" t="s">
        <v>21</v>
      </c>
    </row>
    <row r="5232" spans="1:5" x14ac:dyDescent="0.25">
      <c r="A5232" t="str">
        <f>HYPERLINK("https://www.773grp.com/globalSearch/UC5601DWPTR/page-1", "UC5601DWPTR")</f>
        <v>UC5601DWPTR</v>
      </c>
      <c r="B5232" s="3" t="s">
        <v>90</v>
      </c>
      <c r="C5232" s="5">
        <v>1000</v>
      </c>
      <c r="D5232" s="6">
        <v>11.73</v>
      </c>
      <c r="E5232" t="s">
        <v>21</v>
      </c>
    </row>
    <row r="5233" spans="1:5" x14ac:dyDescent="0.25">
      <c r="A5233" t="str">
        <f>HYPERLINK("https://www.773grp.com/globalSearch/UCC5686PM/page-1", "UCC5686PM")</f>
        <v>UCC5686PM</v>
      </c>
      <c r="B5233" s="3" t="s">
        <v>90</v>
      </c>
      <c r="C5233" s="5">
        <v>13728</v>
      </c>
      <c r="D5233" s="6">
        <v>11.81</v>
      </c>
      <c r="E5233" t="s">
        <v>21</v>
      </c>
    </row>
    <row r="5234" spans="1:5" x14ac:dyDescent="0.25">
      <c r="A5234" t="str">
        <f>HYPERLINK("https://www.773grp.com/globalSearch/UCC5686PMG4/page-1", "UCC5686PMG4")</f>
        <v>UCC5686PMG4</v>
      </c>
      <c r="B5234" s="3" t="s">
        <v>90</v>
      </c>
      <c r="C5234" s="5">
        <v>149</v>
      </c>
      <c r="D5234" s="6">
        <v>11.81</v>
      </c>
      <c r="E5234" t="s">
        <v>21</v>
      </c>
    </row>
    <row r="5235" spans="1:5" x14ac:dyDescent="0.25">
      <c r="A5235" t="str">
        <f>HYPERLINK("https://www.773grp.com/globalSearch/UCC5610QP/page-1", "UCC5610QP")</f>
        <v>UCC5610QP</v>
      </c>
      <c r="B5235" s="3" t="s">
        <v>90</v>
      </c>
      <c r="C5235" s="5">
        <v>3219</v>
      </c>
      <c r="D5235" s="6">
        <v>12.1</v>
      </c>
      <c r="E5235" t="s">
        <v>21</v>
      </c>
    </row>
    <row r="5236" spans="1:5" x14ac:dyDescent="0.25">
      <c r="A5236" t="str">
        <f>HYPERLINK("https://www.773grp.com/globalSearch/UC5601QPTR/page-1", "UC5601QPTR")</f>
        <v>UC5601QPTR</v>
      </c>
      <c r="B5236" s="3" t="str">
        <f>HYPERLINK("https://www.773grp.com/manufacturer/texas-instruments?pageNo=240", "Texas Instruments")</f>
        <v>Texas Instruments</v>
      </c>
      <c r="C5236" s="5">
        <v>2205</v>
      </c>
      <c r="D5236" s="6">
        <v>12.53</v>
      </c>
      <c r="E5236" t="s">
        <v>21</v>
      </c>
    </row>
    <row r="5237" spans="1:5" x14ac:dyDescent="0.25">
      <c r="A5237" t="str">
        <f>HYPERLINK("https://www.773grp.com/globalSearch/UCC5614Z/page-1", "UCC5614Z")</f>
        <v>UCC5614Z</v>
      </c>
      <c r="B5237" s="3" t="str">
        <f>HYPERLINK("https://www.773grp.com/manufacturer/texas-instruments?pageNo=642", "Texas Instruments")</f>
        <v>Texas Instruments</v>
      </c>
      <c r="C5237" s="5">
        <v>311</v>
      </c>
      <c r="D5237" s="6">
        <v>13.3</v>
      </c>
      <c r="E5237" t="s">
        <v>21</v>
      </c>
    </row>
    <row r="5238" spans="1:5" x14ac:dyDescent="0.25">
      <c r="A5238" t="str">
        <f>HYPERLINK("https://www.773grp.com/globalSearch/UC5601DWP/page-1", "UC5601DWP")</f>
        <v>UC5601DWP</v>
      </c>
      <c r="B5238" s="3" t="str">
        <f>HYPERLINK("https://www.773grp.com/manufacturer/texas-instruments?pageNo=683", "Texas Instruments")</f>
        <v>Texas Instruments</v>
      </c>
      <c r="C5238" s="5">
        <v>3545</v>
      </c>
      <c r="D5238" s="6">
        <v>13.36</v>
      </c>
      <c r="E5238" t="s">
        <v>21</v>
      </c>
    </row>
    <row r="5239" spans="1:5" x14ac:dyDescent="0.25">
      <c r="A5239" t="str">
        <f>HYPERLINK("https://www.773grp.com/globalSearch/UC5601QP/page-1", "UC5601QP")</f>
        <v>UC5601QP</v>
      </c>
      <c r="B5239" s="3" t="s">
        <v>90</v>
      </c>
      <c r="C5239" s="5">
        <v>6474</v>
      </c>
      <c r="D5239" s="6">
        <v>14.06</v>
      </c>
      <c r="E5239" t="s">
        <v>21</v>
      </c>
    </row>
    <row r="5240" spans="1:5" x14ac:dyDescent="0.25">
      <c r="A5240" t="str">
        <f>HYPERLINK("https://www.773grp.com/globalSearch/UCC5611DWP/page-1", "UCC5611DWP")</f>
        <v>UCC5611DWP</v>
      </c>
      <c r="B5240" s="3" t="s">
        <v>90</v>
      </c>
      <c r="C5240" s="5">
        <v>1660</v>
      </c>
      <c r="D5240" s="6">
        <v>14.06</v>
      </c>
      <c r="E5240" t="s">
        <v>21</v>
      </c>
    </row>
    <row r="5241" spans="1:5" x14ac:dyDescent="0.25">
      <c r="A5241" t="str">
        <f>HYPERLINK("https://www.773grp.com/globalSearch/UCC5696PN/page-1", "UCC5696PN")</f>
        <v>UCC5696PN</v>
      </c>
      <c r="B5241" s="3" t="s">
        <v>90</v>
      </c>
      <c r="C5241" s="5">
        <v>1428</v>
      </c>
      <c r="D5241" s="6">
        <v>19.690000000000001</v>
      </c>
      <c r="E5241" t="s">
        <v>21</v>
      </c>
    </row>
    <row r="5242" spans="1:5" x14ac:dyDescent="0.25">
      <c r="A5242" t="str">
        <f>HYPERLINK("https://www.773grp.com/globalSearch/UCC5696PNR/page-1", "UCC5696PNR")</f>
        <v>UCC5696PNR</v>
      </c>
      <c r="B5242" s="3" t="s">
        <v>90</v>
      </c>
      <c r="C5242" s="5">
        <v>1000</v>
      </c>
      <c r="D5242" s="6">
        <v>19.690000000000001</v>
      </c>
      <c r="E5242" t="s">
        <v>21</v>
      </c>
    </row>
    <row r="5243" spans="1:5" x14ac:dyDescent="0.25">
      <c r="A5243" t="str">
        <f>HYPERLINK("https://www.773grp.com/globalSearch/UC5603J/page-1", "UC5603J")</f>
        <v>UC5603J</v>
      </c>
      <c r="B5243" s="3" t="str">
        <f>HYPERLINK("https://www.773grp.com/manufacturer/texas-instruments?pageNo=53", "Texas Instruments")</f>
        <v>Texas Instruments</v>
      </c>
      <c r="C5243" s="5">
        <v>706</v>
      </c>
      <c r="D5243" s="6">
        <v>27.71</v>
      </c>
      <c r="E5243" t="s">
        <v>21</v>
      </c>
    </row>
    <row r="5244" spans="1:5" x14ac:dyDescent="0.25">
      <c r="A5244" t="str">
        <f>HYPERLINK("https://www.773grp.com/globalSearch/UCC5670MWP/page-1", "UCC5670MWP")</f>
        <v>UCC5670MWP</v>
      </c>
      <c r="B5244" s="3" t="s">
        <v>112</v>
      </c>
      <c r="C5244" s="5">
        <v>2502</v>
      </c>
      <c r="D5244" s="6">
        <v>0</v>
      </c>
      <c r="E5244" t="s">
        <v>21</v>
      </c>
    </row>
    <row r="5245" spans="1:5" x14ac:dyDescent="0.25">
      <c r="A5245" t="str">
        <f>HYPERLINK("https://www.773grp.com/globalSearch/UCC561DP/page-1", "UCC561DP")</f>
        <v>UCC561DP</v>
      </c>
      <c r="B5245" s="3" t="s">
        <v>112</v>
      </c>
      <c r="C5245" s="5">
        <v>500</v>
      </c>
      <c r="D5245" s="6">
        <v>4.05</v>
      </c>
      <c r="E5245" t="s">
        <v>21</v>
      </c>
    </row>
    <row r="5246" spans="1:5" x14ac:dyDescent="0.25">
      <c r="A5246" t="str">
        <f>HYPERLINK("https://www.773grp.com/globalSearch/UCC5614PWPTR/page-1", "UCC5614PWPTR")</f>
        <v>UCC5614PWPTR</v>
      </c>
      <c r="B5246" s="3" t="s">
        <v>112</v>
      </c>
      <c r="C5246" s="5">
        <v>2000</v>
      </c>
      <c r="D5246" s="6">
        <v>4.3499999999999996</v>
      </c>
      <c r="E5246" t="s">
        <v>21</v>
      </c>
    </row>
    <row r="5247" spans="1:5" x14ac:dyDescent="0.25">
      <c r="A5247" t="str">
        <f>HYPERLINK("https://www.773grp.com/globalSearch/UCC5606DPTR/page-1", "UCC5606DPTR")</f>
        <v>UCC5606DPTR</v>
      </c>
      <c r="B5247" s="3" t="s">
        <v>112</v>
      </c>
      <c r="C5247" s="5">
        <v>42500</v>
      </c>
      <c r="D5247" s="6">
        <v>4.4400000000000004</v>
      </c>
      <c r="E5247" t="s">
        <v>21</v>
      </c>
    </row>
    <row r="5248" spans="1:5" x14ac:dyDescent="0.25">
      <c r="A5248" t="str">
        <f>HYPERLINK("https://www.773grp.com/globalSearch/UCC5606PWPTR/page-1", "UCC5606PWPTR")</f>
        <v>UCC5606PWPTR</v>
      </c>
      <c r="B5248" s="3" t="s">
        <v>112</v>
      </c>
      <c r="C5248" s="5">
        <v>24000</v>
      </c>
      <c r="D5248" s="6">
        <v>4.5599999999999996</v>
      </c>
      <c r="E5248" t="s">
        <v>21</v>
      </c>
    </row>
    <row r="5249" spans="1:5" x14ac:dyDescent="0.25">
      <c r="A5249" t="str">
        <f>HYPERLINK("https://www.773grp.com/globalSearch/UCC5680PW24/page-1", "UCC5680PW24")</f>
        <v>UCC5680PW24</v>
      </c>
      <c r="B5249" s="3" t="s">
        <v>112</v>
      </c>
      <c r="C5249" s="5">
        <v>29</v>
      </c>
      <c r="D5249" s="6">
        <v>4.7300000000000004</v>
      </c>
      <c r="E5249" t="s">
        <v>21</v>
      </c>
    </row>
    <row r="5250" spans="1:5" x14ac:dyDescent="0.25">
      <c r="A5250" t="str">
        <f>HYPERLINK("https://www.773grp.com/globalSearch/UCC5614DP/page-1", "UCC5614DP")</f>
        <v>UCC5614DP</v>
      </c>
      <c r="B5250" s="3" t="s">
        <v>112</v>
      </c>
      <c r="C5250" s="5">
        <v>20</v>
      </c>
      <c r="D5250" s="6">
        <v>4.78</v>
      </c>
      <c r="E5250" t="s">
        <v>21</v>
      </c>
    </row>
    <row r="5251" spans="1:5" x14ac:dyDescent="0.25">
      <c r="A5251" t="str">
        <f>HYPERLINK("https://www.773grp.com/globalSearch/UCC5640PW28/page-1", "UCC5640PW28")</f>
        <v>UCC5640PW28</v>
      </c>
      <c r="B5251" s="3" t="s">
        <v>112</v>
      </c>
      <c r="C5251" s="5">
        <v>14</v>
      </c>
      <c r="D5251" s="6">
        <v>4.78</v>
      </c>
      <c r="E5251" t="s">
        <v>21</v>
      </c>
    </row>
    <row r="5252" spans="1:5" x14ac:dyDescent="0.25">
      <c r="A5252" t="str">
        <f>HYPERLINK("https://www.773grp.com/globalSearch/UCC5606DP/page-1", "UCC5606DP")</f>
        <v>UCC5606DP</v>
      </c>
      <c r="B5252" s="3" t="s">
        <v>112</v>
      </c>
      <c r="C5252" s="5">
        <v>640</v>
      </c>
      <c r="D5252" s="6">
        <v>4.95</v>
      </c>
      <c r="E5252" t="s">
        <v>21</v>
      </c>
    </row>
    <row r="5253" spans="1:5" x14ac:dyDescent="0.25">
      <c r="A5253" t="str">
        <f>HYPERLINK("https://www.773grp.com/globalSearch/UCC5510MWP/page-1", "UCC5510MWP")</f>
        <v>UCC5510MWP</v>
      </c>
      <c r="B5253" s="3" t="s">
        <v>112</v>
      </c>
      <c r="C5253" s="5">
        <v>4479</v>
      </c>
      <c r="D5253" s="6">
        <v>5.35</v>
      </c>
      <c r="E5253" t="s">
        <v>21</v>
      </c>
    </row>
    <row r="5254" spans="1:5" x14ac:dyDescent="0.25">
      <c r="A5254" t="str">
        <f>HYPERLINK("https://www.773grp.com/globalSearch/UCC5681PW24/page-1", "UCC5681PW24")</f>
        <v>UCC5681PW24</v>
      </c>
      <c r="B5254" s="3" t="s">
        <v>112</v>
      </c>
      <c r="C5254" s="5">
        <v>120</v>
      </c>
      <c r="D5254" s="6">
        <v>5.35</v>
      </c>
      <c r="E5254" t="s">
        <v>21</v>
      </c>
    </row>
    <row r="5255" spans="1:5" x14ac:dyDescent="0.25">
      <c r="A5255" t="str">
        <f>HYPERLINK("https://www.773grp.com/globalSearch/UCC5681PW28/page-1", "UCC5681PW28")</f>
        <v>UCC5681PW28</v>
      </c>
      <c r="B5255" s="3" t="s">
        <v>112</v>
      </c>
      <c r="C5255" s="5">
        <v>650</v>
      </c>
      <c r="D5255" s="6">
        <v>5.35</v>
      </c>
      <c r="E5255" t="s">
        <v>21</v>
      </c>
    </row>
    <row r="5256" spans="1:5" x14ac:dyDescent="0.25">
      <c r="A5256" t="str">
        <f>HYPERLINK("https://www.773grp.com/globalSearch/UCC5510MWPTR/page-1", "UCC5510MWPTR")</f>
        <v>UCC5510MWPTR</v>
      </c>
      <c r="B5256" s="3" t="s">
        <v>112</v>
      </c>
      <c r="C5256" s="5">
        <v>14000</v>
      </c>
      <c r="D5256" s="6">
        <v>5.63</v>
      </c>
      <c r="E5256" t="s">
        <v>21</v>
      </c>
    </row>
    <row r="5257" spans="1:5" x14ac:dyDescent="0.25">
      <c r="A5257" t="str">
        <f>HYPERLINK("https://www.773grp.com/globalSearch/UC5602DWP/page-1", "UC5602DWP")</f>
        <v>UC5602DWP</v>
      </c>
      <c r="B5257" s="3" t="s">
        <v>112</v>
      </c>
      <c r="C5257" s="5">
        <v>655</v>
      </c>
      <c r="D5257" s="6">
        <v>5.69</v>
      </c>
      <c r="E5257" t="s">
        <v>21</v>
      </c>
    </row>
    <row r="5258" spans="1:5" x14ac:dyDescent="0.25">
      <c r="A5258" t="str">
        <f>HYPERLINK("https://www.773grp.com/globalSearch/UCC5672MWPTR/page-1", "UCC5672MWPTR")</f>
        <v>UCC5672MWPTR</v>
      </c>
      <c r="B5258" s="3" t="s">
        <v>112</v>
      </c>
      <c r="C5258" s="5">
        <v>3000</v>
      </c>
      <c r="D5258" s="6">
        <v>5.91</v>
      </c>
      <c r="E5258" t="s">
        <v>21</v>
      </c>
    </row>
    <row r="5259" spans="1:5" x14ac:dyDescent="0.25">
      <c r="A5259" t="str">
        <f>HYPERLINK("https://www.773grp.com/globalSearch/UCC5672MWP/page-1", "UCC5672MWP")</f>
        <v>UCC5672MWP</v>
      </c>
      <c r="B5259" s="3" t="s">
        <v>112</v>
      </c>
      <c r="C5259" s="5">
        <v>1475</v>
      </c>
      <c r="D5259" s="6">
        <v>6.75</v>
      </c>
      <c r="E5259" t="s">
        <v>21</v>
      </c>
    </row>
    <row r="5260" spans="1:5" x14ac:dyDescent="0.25">
      <c r="A5260" t="str">
        <f>HYPERLINK("https://www.773grp.com/globalSearch/UCC5672PWP/page-1", "UCC5672PWP")</f>
        <v>UCC5672PWP</v>
      </c>
      <c r="B5260" s="3" t="s">
        <v>112</v>
      </c>
      <c r="C5260" s="5">
        <v>9</v>
      </c>
      <c r="D5260" s="6">
        <v>6.75</v>
      </c>
      <c r="E5260" t="s">
        <v>21</v>
      </c>
    </row>
    <row r="5261" spans="1:5" x14ac:dyDescent="0.25">
      <c r="A5261" t="str">
        <f>HYPERLINK("https://www.773grp.com/globalSearch/UC5612DP/page-1", "UC5612DP")</f>
        <v>UC5612DP</v>
      </c>
      <c r="B5261" s="3" t="s">
        <v>112</v>
      </c>
      <c r="C5261" s="5">
        <v>1550</v>
      </c>
      <c r="D5261" s="6">
        <v>6.89</v>
      </c>
      <c r="E5261" t="s">
        <v>21</v>
      </c>
    </row>
    <row r="5262" spans="1:5" x14ac:dyDescent="0.25">
      <c r="A5262" t="str">
        <f>HYPERLINK("https://www.773grp.com/globalSearch/UCC5618PWP/page-1", "UCC5618PWP")</f>
        <v>UCC5618PWP</v>
      </c>
      <c r="B5262" s="3" t="s">
        <v>112</v>
      </c>
      <c r="C5262" s="5">
        <v>100</v>
      </c>
      <c r="D5262" s="6">
        <v>7.43</v>
      </c>
      <c r="E5262" t="s">
        <v>21</v>
      </c>
    </row>
    <row r="5263" spans="1:5" x14ac:dyDescent="0.25">
      <c r="A5263" t="str">
        <f>HYPERLINK("https://www.773grp.com/globalSearch/UCC5618PWP/page-1", "UCC5618PWP")</f>
        <v>UCC5618PWP</v>
      </c>
      <c r="B5263" s="3" t="s">
        <v>112</v>
      </c>
      <c r="C5263" s="5">
        <v>600</v>
      </c>
      <c r="D5263" s="6">
        <v>7.43</v>
      </c>
      <c r="E5263" t="s">
        <v>21</v>
      </c>
    </row>
    <row r="5264" spans="1:5" x14ac:dyDescent="0.25">
      <c r="A5264" t="str">
        <f>HYPERLINK("https://www.773grp.com/globalSearch/UC5603QPTR/page-1", "UC5603QPTR")</f>
        <v>UC5603QPTR</v>
      </c>
      <c r="B5264" s="3" t="s">
        <v>112</v>
      </c>
      <c r="C5264" s="5">
        <v>1500</v>
      </c>
      <c r="D5264" s="6">
        <v>7.88</v>
      </c>
      <c r="E5264" t="s">
        <v>21</v>
      </c>
    </row>
    <row r="5265" spans="1:5" x14ac:dyDescent="0.25">
      <c r="A5265" t="str">
        <f>HYPERLINK("https://www.773grp.com/globalSearch/UC5603DP/page-1", "UC5603DP")</f>
        <v>UC5603DP</v>
      </c>
      <c r="B5265" s="3" t="s">
        <v>112</v>
      </c>
      <c r="C5265" s="5">
        <v>1</v>
      </c>
      <c r="D5265" s="6">
        <v>7.9</v>
      </c>
      <c r="E5265" t="s">
        <v>21</v>
      </c>
    </row>
    <row r="5266" spans="1:5" x14ac:dyDescent="0.25">
      <c r="A5266" t="str">
        <f>HYPERLINK("https://www.773grp.com/globalSearch/UCC5630AFQP/page-1", "UCC5630AFQP")</f>
        <v>UCC5630AFQP</v>
      </c>
      <c r="B5266" s="3" t="s">
        <v>112</v>
      </c>
      <c r="C5266" s="5">
        <v>108</v>
      </c>
      <c r="D5266" s="6">
        <v>8.44</v>
      </c>
      <c r="E5266" t="s">
        <v>21</v>
      </c>
    </row>
    <row r="5267" spans="1:5" x14ac:dyDescent="0.25">
      <c r="A5267" t="str">
        <f>HYPERLINK("https://www.773grp.com/globalSearch/UCC5619MWP/page-1", "UCC5619MWP")</f>
        <v>UCC5619MWP</v>
      </c>
      <c r="B5267" s="3" t="s">
        <v>112</v>
      </c>
      <c r="C5267" s="5">
        <v>561</v>
      </c>
      <c r="D5267" s="6">
        <v>10.130000000000001</v>
      </c>
      <c r="E5267" t="s">
        <v>21</v>
      </c>
    </row>
    <row r="5268" spans="1:5" x14ac:dyDescent="0.25">
      <c r="A5268" t="str">
        <f>HYPERLINK("https://www.773grp.com/globalSearch/UCC5620FQP/page-1", "UCC5620FQP")</f>
        <v>UCC5620FQP</v>
      </c>
      <c r="B5268" s="3" t="s">
        <v>112</v>
      </c>
      <c r="C5268" s="5">
        <v>198</v>
      </c>
      <c r="D5268" s="6">
        <v>11.18</v>
      </c>
      <c r="E5268" t="s">
        <v>21</v>
      </c>
    </row>
    <row r="5269" spans="1:5" x14ac:dyDescent="0.25">
      <c r="A5269" t="str">
        <f>HYPERLINK("https://www.773grp.com/globalSearch/UCC5511PM/page-1", "UCC5511PM")</f>
        <v>UCC5511PM</v>
      </c>
      <c r="B5269" s="3" t="s">
        <v>112</v>
      </c>
      <c r="C5269" s="5">
        <v>267</v>
      </c>
      <c r="D5269" s="6">
        <v>11.51</v>
      </c>
      <c r="E5269" t="s">
        <v>21</v>
      </c>
    </row>
    <row r="5270" spans="1:5" x14ac:dyDescent="0.25">
      <c r="A5270" t="str">
        <f>HYPERLINK("https://www.773grp.com/globalSearch/UC5613DP/page-1", "UC5613DP")</f>
        <v>UC5613DP</v>
      </c>
      <c r="B5270" s="3" t="s">
        <v>112</v>
      </c>
      <c r="C5270" s="5">
        <v>16</v>
      </c>
      <c r="D5270" s="6">
        <v>11.81</v>
      </c>
      <c r="E5270" t="s">
        <v>21</v>
      </c>
    </row>
    <row r="5271" spans="1:5" x14ac:dyDescent="0.25">
      <c r="A5271" t="str">
        <f>HYPERLINK("https://www.773grp.com/globalSearch/UCC5622FQP/page-1", "UCC5622FQP")</f>
        <v>UCC5622FQP</v>
      </c>
      <c r="B5271" s="3" t="s">
        <v>112</v>
      </c>
      <c r="C5271" s="5">
        <v>726</v>
      </c>
      <c r="D5271" s="6">
        <v>12.15</v>
      </c>
      <c r="E5271" t="s">
        <v>21</v>
      </c>
    </row>
    <row r="5272" spans="1:5" x14ac:dyDescent="0.25">
      <c r="A5272" t="str">
        <f>HYPERLINK("https://www.773grp.com/globalSearch/UCC5611DWP/page-1", "UCC5611DWP")</f>
        <v>UCC5611DWP</v>
      </c>
      <c r="B5272" s="3" t="s">
        <v>112</v>
      </c>
      <c r="C5272" s="5">
        <v>357</v>
      </c>
      <c r="D5272" s="6">
        <v>14.06</v>
      </c>
      <c r="E5272" t="s">
        <v>21</v>
      </c>
    </row>
    <row r="5273" spans="1:5" x14ac:dyDescent="0.25">
      <c r="A5273" t="str">
        <f>HYPERLINK("https://www.773grp.com/globalSearch/UCC5646PM/page-1", "UCC5646PM")</f>
        <v>UCC5646PM</v>
      </c>
      <c r="B5273" s="3" t="s">
        <v>112</v>
      </c>
      <c r="C5273" s="5">
        <v>1786</v>
      </c>
      <c r="D5273" s="6">
        <v>17.64</v>
      </c>
      <c r="E5273" t="s">
        <v>21</v>
      </c>
    </row>
    <row r="5274" spans="1:5" x14ac:dyDescent="0.25">
      <c r="A5274" t="str">
        <f>HYPERLINK("https://www.773grp.com/globalSearch/VSP2590ZWVR/page-1", "VSP2590ZWVR")</f>
        <v>VSP2590ZWVR</v>
      </c>
      <c r="B5274" s="3" t="s">
        <v>90</v>
      </c>
      <c r="C5274" s="5">
        <v>198</v>
      </c>
      <c r="D5274" s="6">
        <v>53.16</v>
      </c>
      <c r="E5274" t="s">
        <v>107</v>
      </c>
    </row>
    <row r="5275" spans="1:5" x14ac:dyDescent="0.25">
      <c r="A5275" t="str">
        <f>HYPERLINK("https://www.773grp.com/globalSearch/CC1150RST/page-1", "CC1150RST")</f>
        <v>CC1150RST</v>
      </c>
      <c r="B5275" s="3" t="str">
        <f>HYPERLINK("https://www.773grp.com/manufacturer/texas-instruments?pageNo=408", "Texas Instruments")</f>
        <v>Texas Instruments</v>
      </c>
      <c r="C5275" s="5">
        <v>1810</v>
      </c>
      <c r="D5275" s="6">
        <v>3.89</v>
      </c>
      <c r="E5275" t="s">
        <v>65</v>
      </c>
    </row>
    <row r="5276" spans="1:5" x14ac:dyDescent="0.25">
      <c r="A5276" t="str">
        <f>HYPERLINK("https://www.773grp.com/globalSearch/CC1101RTKR/page-1", "CC1101RTKR")</f>
        <v>CC1101RTKR</v>
      </c>
      <c r="B5276" s="3" t="s">
        <v>90</v>
      </c>
      <c r="C5276" s="5">
        <v>2671</v>
      </c>
      <c r="D5276" s="6">
        <v>4.6399999999999997</v>
      </c>
      <c r="E5276" t="s">
        <v>65</v>
      </c>
    </row>
    <row r="5277" spans="1:5" x14ac:dyDescent="0.25">
      <c r="A5277" t="str">
        <f>HYPERLINK("https://www.773grp.com/globalSearch/CC1151QRHBRG4Q1/page-1", "CC1151QRHBRG4Q1")</f>
        <v>CC1151QRHBRG4Q1</v>
      </c>
      <c r="B5277" s="3" t="s">
        <v>90</v>
      </c>
      <c r="C5277" s="5">
        <v>3000</v>
      </c>
      <c r="D5277" s="6">
        <v>4.78</v>
      </c>
      <c r="E5277" t="s">
        <v>65</v>
      </c>
    </row>
    <row r="5278" spans="1:5" x14ac:dyDescent="0.25">
      <c r="A5278" t="str">
        <f>HYPERLINK("https://www.773grp.com/globalSearch/CC2591RGVR/page-1", "CC2591RGVR")</f>
        <v>CC2591RGVR</v>
      </c>
      <c r="B5278" s="3" t="s">
        <v>90</v>
      </c>
      <c r="C5278" s="5">
        <v>10476</v>
      </c>
      <c r="D5278" s="6">
        <v>4.93</v>
      </c>
      <c r="E5278" t="s">
        <v>65</v>
      </c>
    </row>
    <row r="5279" spans="1:5" x14ac:dyDescent="0.25">
      <c r="A5279" t="str">
        <f>HYPERLINK("https://www.773grp.com/globalSearch/CC1101RTK/page-1", "CC1101RTK")</f>
        <v>CC1101RTK</v>
      </c>
      <c r="B5279" s="3" t="s">
        <v>90</v>
      </c>
      <c r="C5279" s="5">
        <v>415</v>
      </c>
      <c r="D5279" s="6">
        <v>5.58</v>
      </c>
      <c r="E5279" t="s">
        <v>65</v>
      </c>
    </row>
    <row r="5280" spans="1:5" x14ac:dyDescent="0.25">
      <c r="A5280" t="str">
        <f>HYPERLINK("https://www.773grp.com/globalSearch/CC2510F16RSPR/page-1", "CC2510F16RSPR")</f>
        <v>CC2510F16RSPR</v>
      </c>
      <c r="B5280" s="3" t="s">
        <v>90</v>
      </c>
      <c r="C5280" s="5">
        <v>37500</v>
      </c>
      <c r="D5280" s="6">
        <v>5.78</v>
      </c>
      <c r="E5280" t="s">
        <v>65</v>
      </c>
    </row>
    <row r="5281" spans="1:5" x14ac:dyDescent="0.25">
      <c r="A5281" t="str">
        <f>HYPERLINK("https://www.773grp.com/globalSearch/CC2591RGVT/page-1", "CC2591RGVT")</f>
        <v>CC2591RGVT</v>
      </c>
      <c r="B5281" s="3" t="s">
        <v>90</v>
      </c>
      <c r="C5281" s="5">
        <v>1998</v>
      </c>
      <c r="D5281" s="6">
        <v>5.78</v>
      </c>
      <c r="E5281" t="s">
        <v>65</v>
      </c>
    </row>
    <row r="5282" spans="1:5" x14ac:dyDescent="0.25">
      <c r="A5282" t="str">
        <f>HYPERLINK("https://www.773grp.com/globalSearch/TRF4400PWR/page-1", "TRF4400PWR")</f>
        <v>TRF4400PWR</v>
      </c>
      <c r="B5282" s="3" t="s">
        <v>90</v>
      </c>
      <c r="C5282" s="5">
        <v>4000</v>
      </c>
      <c r="D5282" s="6">
        <v>5.91</v>
      </c>
      <c r="E5282" t="s">
        <v>65</v>
      </c>
    </row>
    <row r="5283" spans="1:5" x14ac:dyDescent="0.25">
      <c r="A5283" t="str">
        <f>HYPERLINK("https://www.773grp.com/globalSearch/CC1110F16RSPR/page-1", "CC1110F16RSPR")</f>
        <v>CC1110F16RSPR</v>
      </c>
      <c r="B5283" s="3" t="s">
        <v>90</v>
      </c>
      <c r="C5283" s="5">
        <v>62760</v>
      </c>
      <c r="D5283" s="6">
        <v>6.19</v>
      </c>
      <c r="E5283" t="s">
        <v>65</v>
      </c>
    </row>
    <row r="5284" spans="1:5" x14ac:dyDescent="0.25">
      <c r="A5284" t="str">
        <f>HYPERLINK("https://www.773grp.com/globalSearch/TRF4900PW/page-1", "TRF4900PW")</f>
        <v>TRF4900PW</v>
      </c>
      <c r="B5284" s="3" t="s">
        <v>90</v>
      </c>
      <c r="C5284" s="5">
        <v>77</v>
      </c>
      <c r="D5284" s="6">
        <v>6.19</v>
      </c>
      <c r="E5284" t="s">
        <v>65</v>
      </c>
    </row>
    <row r="5285" spans="1:5" x14ac:dyDescent="0.25">
      <c r="A5285" t="str">
        <f>HYPERLINK("https://www.773grp.com/globalSearch/CC1110F8RSPR/page-1", "CC1110F8RSPR")</f>
        <v>CC1110F8RSPR</v>
      </c>
      <c r="B5285" s="3" t="s">
        <v>90</v>
      </c>
      <c r="C5285" s="5">
        <v>27500</v>
      </c>
      <c r="D5285" s="6">
        <v>6.21</v>
      </c>
      <c r="E5285" t="s">
        <v>65</v>
      </c>
    </row>
    <row r="5286" spans="1:5" x14ac:dyDescent="0.25">
      <c r="A5286" t="str">
        <f>HYPERLINK("https://www.773grp.com/globalSearch/CC2510F8RSPR/page-1", "CC2510F8RSPR")</f>
        <v>CC2510F8RSPR</v>
      </c>
      <c r="B5286" s="3" t="s">
        <v>90</v>
      </c>
      <c r="C5286" s="5">
        <v>30372</v>
      </c>
      <c r="D5286" s="6">
        <v>6.21</v>
      </c>
      <c r="E5286" t="s">
        <v>65</v>
      </c>
    </row>
    <row r="5287" spans="1:5" x14ac:dyDescent="0.25">
      <c r="A5287" t="str">
        <f>HYPERLINK("https://www.773grp.com/globalSearch/CC1050PW/page-1", "CC1050PW")</f>
        <v>CC1050PW</v>
      </c>
      <c r="B5287" s="3" t="s">
        <v>90</v>
      </c>
      <c r="C5287" s="5">
        <v>356</v>
      </c>
      <c r="D5287" s="6">
        <v>6.33</v>
      </c>
      <c r="E5287" t="s">
        <v>65</v>
      </c>
    </row>
    <row r="5288" spans="1:5" x14ac:dyDescent="0.25">
      <c r="A5288" t="str">
        <f>HYPERLINK("https://www.773grp.com/globalSearch/CC1050PWG3/page-1", "CC1050PWG3")</f>
        <v>CC1050PWG3</v>
      </c>
      <c r="B5288" s="3" t="s">
        <v>90</v>
      </c>
      <c r="C5288" s="5">
        <v>62</v>
      </c>
      <c r="D5288" s="6">
        <v>6.33</v>
      </c>
      <c r="E5288" t="s">
        <v>65</v>
      </c>
    </row>
    <row r="5289" spans="1:5" x14ac:dyDescent="0.25">
      <c r="A5289" t="str">
        <f>HYPERLINK("https://www.773grp.com/globalSearch/CC1131IRHBRG4Q1/page-1", "CC1131IRHBRG4Q1")</f>
        <v>CC1131IRHBRG4Q1</v>
      </c>
      <c r="B5289" s="3" t="s">
        <v>90</v>
      </c>
      <c r="C5289" s="5">
        <v>6000</v>
      </c>
      <c r="D5289" s="6">
        <v>6.33</v>
      </c>
      <c r="E5289" t="s">
        <v>65</v>
      </c>
    </row>
    <row r="5290" spans="1:5" x14ac:dyDescent="0.25">
      <c r="A5290" t="str">
        <f>HYPERLINK("https://www.773grp.com/globalSearch/CC2510F32RSPR/page-1", "CC2510F32RSPR")</f>
        <v>CC2510F32RSPR</v>
      </c>
      <c r="B5290" s="3" t="s">
        <v>90</v>
      </c>
      <c r="C5290" s="5">
        <v>34034</v>
      </c>
      <c r="D5290" s="6">
        <v>6.33</v>
      </c>
      <c r="E5290" t="s">
        <v>65</v>
      </c>
    </row>
    <row r="5291" spans="1:5" x14ac:dyDescent="0.25">
      <c r="A5291" t="str">
        <f>HYPERLINK("https://www.773grp.com/globalSearch/CC2510F8RSP/page-1", "CC2510F8RSP")</f>
        <v>CC2510F8RSP</v>
      </c>
      <c r="B5291" s="3" t="str">
        <f>HYPERLINK("https://www.773grp.com/manufacturer/texas-instruments?pageNo=270", "Texas Instruments")</f>
        <v>Texas Instruments</v>
      </c>
      <c r="C5291" s="5">
        <v>490</v>
      </c>
      <c r="D5291" s="6">
        <v>6.61</v>
      </c>
      <c r="E5291" t="s">
        <v>65</v>
      </c>
    </row>
    <row r="5292" spans="1:5" x14ac:dyDescent="0.25">
      <c r="A5292" t="str">
        <f>HYPERLINK("https://www.773grp.com/globalSearch/CC2511F16RSPR/page-1", "CC2511F16RSPR")</f>
        <v>CC2511F16RSPR</v>
      </c>
      <c r="B5292" s="3" t="str">
        <f>HYPERLINK("https://www.773grp.com/manufacturer/texas-instruments?pageNo=350", "Texas Instruments")</f>
        <v>Texas Instruments</v>
      </c>
      <c r="C5292" s="5">
        <v>12500</v>
      </c>
      <c r="D5292" s="6">
        <v>6.64</v>
      </c>
      <c r="E5292" t="s">
        <v>65</v>
      </c>
    </row>
    <row r="5293" spans="1:5" x14ac:dyDescent="0.25">
      <c r="A5293" t="str">
        <f>HYPERLINK("https://www.773grp.com/globalSearch/CC1100RTKR/page-1", "CC1100RTKR")</f>
        <v>CC1100RTKR</v>
      </c>
      <c r="B5293" s="3" t="str">
        <f>HYPERLINK("https://www.773grp.com/manufacturer/texas-instruments?pageNo=572", "Texas Instruments")</f>
        <v>Texas Instruments</v>
      </c>
      <c r="C5293" s="5">
        <v>34823</v>
      </c>
      <c r="D5293" s="6">
        <v>6.8</v>
      </c>
      <c r="E5293" t="s">
        <v>65</v>
      </c>
    </row>
    <row r="5294" spans="1:5" x14ac:dyDescent="0.25">
      <c r="A5294" t="str">
        <f>HYPERLINK("https://www.773grp.com/globalSearch/CC2510F16RSP/page-1", "CC2510F16RSP")</f>
        <v>CC2510F16RSP</v>
      </c>
      <c r="B5294" s="3" t="str">
        <f>HYPERLINK("https://www.773grp.com/manufacturer/texas-instruments?pageNo=645", "Texas Instruments")</f>
        <v>Texas Instruments</v>
      </c>
      <c r="C5294" s="5">
        <v>3258</v>
      </c>
      <c r="D5294" s="6">
        <v>6.89</v>
      </c>
      <c r="E5294" t="s">
        <v>65</v>
      </c>
    </row>
    <row r="5295" spans="1:5" x14ac:dyDescent="0.25">
      <c r="A5295" t="str">
        <f>HYPERLINK("https://www.773grp.com/globalSearch/CC2511F32RSPR/page-1", "CC2511F32RSPR")</f>
        <v>CC2511F32RSPR</v>
      </c>
      <c r="B5295" s="3" t="str">
        <f>HYPERLINK("https://www.773grp.com/manufacturer/texas-instruments?pageNo=696", "Texas Instruments")</f>
        <v>Texas Instruments</v>
      </c>
      <c r="C5295" s="5">
        <v>2500</v>
      </c>
      <c r="D5295" s="6">
        <v>6.93</v>
      </c>
      <c r="E5295" t="s">
        <v>65</v>
      </c>
    </row>
    <row r="5296" spans="1:5" x14ac:dyDescent="0.25">
      <c r="A5296" t="str">
        <f>HYPERLINK("https://www.773grp.com/globalSearch/TLV320AC56CDW/page-1", "TLV320AC56CDW")</f>
        <v>TLV320AC56CDW</v>
      </c>
      <c r="B5296" s="3" t="str">
        <f>HYPERLINK("https://www.773grp.com/manufacturer/texas-instruments?pageNo=706", "Texas Instruments")</f>
        <v>Texas Instruments</v>
      </c>
      <c r="C5296" s="5">
        <v>73</v>
      </c>
      <c r="D5296" s="6">
        <v>6.93</v>
      </c>
      <c r="E5296" t="s">
        <v>65</v>
      </c>
    </row>
    <row r="5297" spans="1:5" x14ac:dyDescent="0.25">
      <c r="A5297" t="str">
        <f>HYPERLINK("https://www.773grp.com/globalSearch/CC2510F32RSP/page-1", "CC2510F32RSP")</f>
        <v>CC2510F32RSP</v>
      </c>
      <c r="B5297" s="3" t="str">
        <f>HYPERLINK("https://www.773grp.com/manufacturer/texas-instruments?pageNo=971", "Texas Instruments")</f>
        <v>Texas Instruments</v>
      </c>
      <c r="C5297" s="5">
        <v>412</v>
      </c>
      <c r="D5297" s="6">
        <v>7.18</v>
      </c>
      <c r="E5297" t="s">
        <v>65</v>
      </c>
    </row>
    <row r="5298" spans="1:5" x14ac:dyDescent="0.25">
      <c r="A5298" t="str">
        <f>HYPERLINK("https://www.773grp.com/globalSearch/CC1110F8RSP/page-1", "CC1110F8RSP")</f>
        <v>CC1110F8RSP</v>
      </c>
      <c r="B5298" s="3" t="s">
        <v>90</v>
      </c>
      <c r="C5298" s="5">
        <v>100</v>
      </c>
      <c r="D5298" s="6">
        <v>7.39</v>
      </c>
      <c r="E5298" t="s">
        <v>65</v>
      </c>
    </row>
    <row r="5299" spans="1:5" x14ac:dyDescent="0.25">
      <c r="A5299" t="str">
        <f>HYPERLINK("https://www.773grp.com/globalSearch/CC1110F16RSP/page-1", "CC1110F16RSP")</f>
        <v>CC1110F16RSP</v>
      </c>
      <c r="B5299" s="3" t="s">
        <v>90</v>
      </c>
      <c r="C5299" s="5">
        <v>6054</v>
      </c>
      <c r="D5299" s="6">
        <v>7.46</v>
      </c>
      <c r="E5299" t="s">
        <v>65</v>
      </c>
    </row>
    <row r="5300" spans="1:5" x14ac:dyDescent="0.25">
      <c r="A5300" t="str">
        <f>HYPERLINK("https://www.773grp.com/globalSearch/CC1070RSQR/page-1", "CC1070RSQR")</f>
        <v>CC1070RSQR</v>
      </c>
      <c r="B5300" s="3" t="s">
        <v>90</v>
      </c>
      <c r="C5300" s="5">
        <v>9790</v>
      </c>
      <c r="D5300" s="6">
        <v>7.54</v>
      </c>
      <c r="E5300" t="s">
        <v>65</v>
      </c>
    </row>
    <row r="5301" spans="1:5" x14ac:dyDescent="0.25">
      <c r="A5301" t="str">
        <f>HYPERLINK("https://www.773grp.com/globalSearch/CC2511F8RSPR/page-1", "CC2511F8RSPR")</f>
        <v>CC2511F8RSPR</v>
      </c>
      <c r="B5301" s="3" t="s">
        <v>90</v>
      </c>
      <c r="C5301" s="5">
        <v>2500</v>
      </c>
      <c r="D5301" s="6">
        <v>7.54</v>
      </c>
      <c r="E5301" t="s">
        <v>65</v>
      </c>
    </row>
    <row r="5302" spans="1:5" x14ac:dyDescent="0.25">
      <c r="A5302" t="str">
        <f>HYPERLINK("https://www.773grp.com/globalSearch/CC1101IRHBRG4Q1/page-1", "CC1101IRHBRG4Q1")</f>
        <v>CC1101IRHBRG4Q1</v>
      </c>
      <c r="B5302" s="3" t="s">
        <v>90</v>
      </c>
      <c r="C5302" s="5">
        <v>6000</v>
      </c>
      <c r="D5302" s="6">
        <v>7.73</v>
      </c>
      <c r="E5302" t="s">
        <v>65</v>
      </c>
    </row>
    <row r="5303" spans="1:5" x14ac:dyDescent="0.25">
      <c r="A5303" t="str">
        <f>HYPERLINK("https://www.773grp.com/globalSearch/CC1110F32RSP/page-1", "CC1110F32RSP")</f>
        <v>CC1110F32RSP</v>
      </c>
      <c r="B5303" s="3" t="s">
        <v>90</v>
      </c>
      <c r="C5303" s="5">
        <v>6284</v>
      </c>
      <c r="D5303" s="6">
        <v>7.73</v>
      </c>
      <c r="E5303" t="s">
        <v>65</v>
      </c>
    </row>
    <row r="5304" spans="1:5" x14ac:dyDescent="0.25">
      <c r="A5304" t="str">
        <f>HYPERLINK("https://www.773grp.com/globalSearch/CC2511F16RSP/page-1", "CC2511F16RSP")</f>
        <v>CC2511F16RSP</v>
      </c>
      <c r="B5304" s="3" t="s">
        <v>90</v>
      </c>
      <c r="C5304" s="5">
        <v>1047</v>
      </c>
      <c r="D5304" s="6">
        <v>7.85</v>
      </c>
      <c r="E5304" t="s">
        <v>65</v>
      </c>
    </row>
    <row r="5305" spans="1:5" x14ac:dyDescent="0.25">
      <c r="A5305" t="str">
        <f>HYPERLINK("https://www.773grp.com/globalSearch/TRF4400PW/page-1", "TRF4400PW")</f>
        <v>TRF4400PW</v>
      </c>
      <c r="B5305" s="3" t="s">
        <v>90</v>
      </c>
      <c r="C5305" s="5">
        <v>2877</v>
      </c>
      <c r="D5305" s="6">
        <v>8.01</v>
      </c>
      <c r="E5305" t="s">
        <v>65</v>
      </c>
    </row>
    <row r="5306" spans="1:5" x14ac:dyDescent="0.25">
      <c r="A5306" t="str">
        <f>HYPERLINK("https://www.773grp.com/globalSearch/CC1100RTK/page-1", "CC1100RTK")</f>
        <v>CC1100RTK</v>
      </c>
      <c r="B5306" s="3" t="s">
        <v>90</v>
      </c>
      <c r="C5306" s="5">
        <v>6269</v>
      </c>
      <c r="D5306" s="6">
        <v>8.1</v>
      </c>
      <c r="E5306" t="s">
        <v>65</v>
      </c>
    </row>
    <row r="5307" spans="1:5" x14ac:dyDescent="0.25">
      <c r="A5307" t="str">
        <f>HYPERLINK("https://www.773grp.com/globalSearch/CC1100-RTY1/page-1", "CC1100-RTY1")</f>
        <v>CC1100-RTY1</v>
      </c>
      <c r="B5307" s="3" t="s">
        <v>90</v>
      </c>
      <c r="C5307" s="5">
        <v>460</v>
      </c>
      <c r="D5307" s="6">
        <v>8.1</v>
      </c>
      <c r="E5307" t="s">
        <v>65</v>
      </c>
    </row>
    <row r="5308" spans="1:5" x14ac:dyDescent="0.25">
      <c r="A5308" t="str">
        <f>HYPERLINK("https://www.773grp.com/globalSearch/CC2511F32RSP/page-1", "CC2511F32RSP")</f>
        <v>CC2511F32RSP</v>
      </c>
      <c r="B5308" s="3" t="s">
        <v>90</v>
      </c>
      <c r="C5308" s="5">
        <v>1031</v>
      </c>
      <c r="D5308" s="6">
        <v>8.14</v>
      </c>
      <c r="E5308" t="s">
        <v>65</v>
      </c>
    </row>
    <row r="5309" spans="1:5" x14ac:dyDescent="0.25">
      <c r="A5309" t="str">
        <f>HYPERLINK("https://www.773grp.com/globalSearch/CC1111F16RSP/page-1", "CC1111F16RSP")</f>
        <v>CC1111F16RSP</v>
      </c>
      <c r="B5309" s="3" t="s">
        <v>90</v>
      </c>
      <c r="C5309" s="5">
        <v>490</v>
      </c>
      <c r="D5309" s="6">
        <v>8.39</v>
      </c>
      <c r="E5309" t="s">
        <v>65</v>
      </c>
    </row>
    <row r="5310" spans="1:5" x14ac:dyDescent="0.25">
      <c r="A5310" t="str">
        <f>HYPERLINK("https://www.773grp.com/globalSearch/TCM320AC56CDW/page-1", "TCM320AC56CDW")</f>
        <v>TCM320AC56CDW</v>
      </c>
      <c r="B5310" s="3" t="s">
        <v>90</v>
      </c>
      <c r="C5310" s="5">
        <v>1541</v>
      </c>
      <c r="D5310" s="6">
        <v>8.4</v>
      </c>
      <c r="E5310" t="s">
        <v>65</v>
      </c>
    </row>
    <row r="5311" spans="1:5" x14ac:dyDescent="0.25">
      <c r="A5311" t="str">
        <f>HYPERLINK("https://www.773grp.com/globalSearch/CC1111F32RSP/page-1", "CC1111F32RSP")</f>
        <v>CC1111F32RSP</v>
      </c>
      <c r="B5311" s="3" t="s">
        <v>90</v>
      </c>
      <c r="C5311" s="5">
        <v>4472</v>
      </c>
      <c r="D5311" s="6">
        <v>8.66</v>
      </c>
      <c r="E5311" t="s">
        <v>65</v>
      </c>
    </row>
    <row r="5312" spans="1:5" x14ac:dyDescent="0.25">
      <c r="A5312" t="str">
        <f>HYPERLINK("https://www.773grp.com/globalSearch/CC1070RSQ/page-1", "CC1070RSQ")</f>
        <v>CC1070RSQ</v>
      </c>
      <c r="B5312" s="3" t="s">
        <v>90</v>
      </c>
      <c r="C5312" s="5">
        <v>3369</v>
      </c>
      <c r="D5312" s="6">
        <v>8.98</v>
      </c>
      <c r="E5312" t="s">
        <v>65</v>
      </c>
    </row>
    <row r="5313" spans="1:5" x14ac:dyDescent="0.25">
      <c r="A5313" t="str">
        <f>HYPERLINK("https://www.773grp.com/globalSearch/CC1070-RTY1/page-1", "CC1070-RTY1")</f>
        <v>CC1070-RTY1</v>
      </c>
      <c r="B5313" s="3" t="s">
        <v>90</v>
      </c>
      <c r="C5313" s="5">
        <v>1157</v>
      </c>
      <c r="D5313" s="6">
        <v>8.98</v>
      </c>
      <c r="E5313" t="s">
        <v>65</v>
      </c>
    </row>
    <row r="5314" spans="1:5" x14ac:dyDescent="0.25">
      <c r="A5314" t="str">
        <f>HYPERLINK("https://www.773grp.com/globalSearch/CC2511F8RSP/page-1", "CC2511F8RSP")</f>
        <v>CC2511F8RSP</v>
      </c>
      <c r="B5314" s="3" t="s">
        <v>90</v>
      </c>
      <c r="C5314" s="5">
        <v>787</v>
      </c>
      <c r="D5314" s="6">
        <v>8.98</v>
      </c>
      <c r="E5314" t="s">
        <v>65</v>
      </c>
    </row>
    <row r="5315" spans="1:5" x14ac:dyDescent="0.25">
      <c r="A5315" t="str">
        <f>HYPERLINK("https://www.773grp.com/globalSearch/TRF4000PWP/page-1", "TRF4000PWP")</f>
        <v>TRF4000PWP</v>
      </c>
      <c r="B5315" s="3" t="s">
        <v>90</v>
      </c>
      <c r="C5315" s="5">
        <v>1024</v>
      </c>
      <c r="D5315" s="6">
        <v>9.1999999999999993</v>
      </c>
      <c r="E5315" t="s">
        <v>65</v>
      </c>
    </row>
    <row r="5316" spans="1:5" x14ac:dyDescent="0.25">
      <c r="A5316" t="str">
        <f>HYPERLINK("https://www.773grp.com/globalSearch/TRF6900APTR/page-1", "TRF6900APTR")</f>
        <v>TRF6900APTR</v>
      </c>
      <c r="B5316" s="3" t="s">
        <v>90</v>
      </c>
      <c r="C5316" s="5">
        <v>5000</v>
      </c>
      <c r="D5316" s="6">
        <v>9.4499999999999993</v>
      </c>
      <c r="E5316" t="s">
        <v>65</v>
      </c>
    </row>
    <row r="5317" spans="1:5" x14ac:dyDescent="0.25">
      <c r="A5317" t="str">
        <f>HYPERLINK("https://www.773grp.com/globalSearch/TRF6901PTR/page-1", "TRF6901PTR")</f>
        <v>TRF6901PTR</v>
      </c>
      <c r="B5317" s="3" t="s">
        <v>90</v>
      </c>
      <c r="C5317" s="5">
        <v>1050</v>
      </c>
      <c r="D5317" s="6">
        <v>9.4499999999999993</v>
      </c>
      <c r="E5317" t="s">
        <v>65</v>
      </c>
    </row>
    <row r="5318" spans="1:5" x14ac:dyDescent="0.25">
      <c r="A5318" t="str">
        <f>HYPERLINK("https://www.773grp.com/globalSearch/TRF6900APTG4/page-1", "TRF6900APTG4")</f>
        <v>TRF6900APTG4</v>
      </c>
      <c r="B5318" s="3" t="s">
        <v>90</v>
      </c>
      <c r="C5318" s="5">
        <v>250</v>
      </c>
      <c r="D5318" s="6">
        <v>9.84</v>
      </c>
      <c r="E5318" t="s">
        <v>65</v>
      </c>
    </row>
    <row r="5319" spans="1:5" x14ac:dyDescent="0.25">
      <c r="A5319" t="str">
        <f>HYPERLINK("https://www.773grp.com/globalSearch/TRF6900APT/page-1", "TRF6900APT")</f>
        <v>TRF6900APT</v>
      </c>
      <c r="B5319" s="3" t="s">
        <v>90</v>
      </c>
      <c r="C5319" s="5">
        <v>2707</v>
      </c>
      <c r="D5319" s="6">
        <v>10.35</v>
      </c>
      <c r="E5319" t="s">
        <v>65</v>
      </c>
    </row>
    <row r="5320" spans="1:5" x14ac:dyDescent="0.25">
      <c r="A5320" t="str">
        <f>HYPERLINK("https://www.773grp.com/globalSearch/TRF6901PT/page-1", "TRF6901PT")</f>
        <v>TRF6901PT</v>
      </c>
      <c r="B5320" s="3" t="s">
        <v>90</v>
      </c>
      <c r="C5320" s="5">
        <v>6787</v>
      </c>
      <c r="D5320" s="6">
        <v>10.35</v>
      </c>
      <c r="E5320" t="s">
        <v>65</v>
      </c>
    </row>
    <row r="5321" spans="1:5" x14ac:dyDescent="0.25">
      <c r="A5321" t="str">
        <f>HYPERLINK("https://www.773grp.com/globalSearch/TRF5901PTR/page-1", "TRF5901PTR")</f>
        <v>TRF5901PTR</v>
      </c>
      <c r="B5321" s="3" t="s">
        <v>90</v>
      </c>
      <c r="C5321" s="5">
        <v>83026</v>
      </c>
      <c r="D5321" s="6">
        <v>11.09</v>
      </c>
      <c r="E5321" t="s">
        <v>65</v>
      </c>
    </row>
    <row r="5322" spans="1:5" x14ac:dyDescent="0.25">
      <c r="A5322" t="str">
        <f>HYPERLINK("https://www.773grp.com/globalSearch/TRF5901PT/page-1", "TRF5901PT")</f>
        <v>TRF5901PT</v>
      </c>
      <c r="B5322" s="3" t="s">
        <v>90</v>
      </c>
      <c r="C5322" s="5">
        <v>1</v>
      </c>
      <c r="D5322" s="6">
        <v>11.53</v>
      </c>
      <c r="E5322" t="s">
        <v>65</v>
      </c>
    </row>
    <row r="5323" spans="1:5" x14ac:dyDescent="0.25">
      <c r="A5323" t="str">
        <f>HYPERLINK("https://www.773grp.com/globalSearch/CC1000PWR/page-1", "CC1000PWR")</f>
        <v>CC1000PWR</v>
      </c>
      <c r="B5323" s="3" t="s">
        <v>90</v>
      </c>
      <c r="C5323" s="5">
        <v>2500</v>
      </c>
      <c r="D5323" s="6">
        <v>11.65</v>
      </c>
      <c r="E5323" t="s">
        <v>65</v>
      </c>
    </row>
    <row r="5324" spans="1:5" x14ac:dyDescent="0.25">
      <c r="A5324" t="str">
        <f>HYPERLINK("https://www.773grp.com/globalSearch/CC1021RUZR/page-1", "CC1021RUZR")</f>
        <v>CC1021RUZR</v>
      </c>
      <c r="B5324" s="3" t="s">
        <v>90</v>
      </c>
      <c r="C5324" s="5">
        <v>25000</v>
      </c>
      <c r="D5324" s="6">
        <v>11.68</v>
      </c>
      <c r="E5324" t="s">
        <v>65</v>
      </c>
    </row>
    <row r="5325" spans="1:5" x14ac:dyDescent="0.25">
      <c r="A5325" t="str">
        <f>HYPERLINK("https://www.773grp.com/globalSearch/CC1020RSS/page-1", "CC1020RSS")</f>
        <v>CC1020RSS</v>
      </c>
      <c r="B5325" s="3" t="s">
        <v>90</v>
      </c>
      <c r="C5325" s="5">
        <v>71</v>
      </c>
      <c r="D5325" s="6">
        <v>11.81</v>
      </c>
      <c r="E5325" t="s">
        <v>65</v>
      </c>
    </row>
    <row r="5326" spans="1:5" x14ac:dyDescent="0.25">
      <c r="A5326" t="str">
        <f>HYPERLINK("https://www.773grp.com/globalSearch/CC1020-RTB1/page-1", "CC1020-RTB1")</f>
        <v>CC1020-RTB1</v>
      </c>
      <c r="B5326" s="3" t="s">
        <v>90</v>
      </c>
      <c r="C5326" s="5">
        <v>9</v>
      </c>
      <c r="D5326" s="6">
        <v>11.81</v>
      </c>
      <c r="E5326" t="s">
        <v>65</v>
      </c>
    </row>
    <row r="5327" spans="1:5" x14ac:dyDescent="0.25">
      <c r="A5327" t="str">
        <f>HYPERLINK("https://www.773grp.com/globalSearch/CC1000YZ/page-1", "CC1000YZ")</f>
        <v>CC1000YZ</v>
      </c>
      <c r="B5327" s="3" t="str">
        <f>HYPERLINK("https://www.773grp.com/manufacturer/texas-instruments?pageNo=116", "Texas Instruments")</f>
        <v>Texas Instruments</v>
      </c>
      <c r="C5327" s="5">
        <v>312</v>
      </c>
      <c r="D5327" s="6">
        <v>12.38</v>
      </c>
      <c r="E5327" t="s">
        <v>65</v>
      </c>
    </row>
    <row r="5328" spans="1:5" x14ac:dyDescent="0.25">
      <c r="A5328" t="str">
        <f>HYPERLINK("https://www.773grp.com/globalSearch/CC2400RSU/page-1", "CC2400RSU")</f>
        <v>CC2400RSU</v>
      </c>
      <c r="B5328" s="3" t="str">
        <f>HYPERLINK("https://www.773grp.com/manufacturer/texas-instruments?pageNo=778", "Texas Instruments")</f>
        <v>Texas Instruments</v>
      </c>
      <c r="C5328" s="5">
        <v>129</v>
      </c>
      <c r="D5328" s="6">
        <v>13.59</v>
      </c>
      <c r="E5328" t="s">
        <v>65</v>
      </c>
    </row>
    <row r="5329" spans="1:5" x14ac:dyDescent="0.25">
      <c r="A5329" t="str">
        <f>HYPERLINK("https://www.773grp.com/globalSearch/CC2400-RTB1/page-1", "CC2400-RTB1")</f>
        <v>CC2400-RTB1</v>
      </c>
      <c r="B5329" s="3" t="str">
        <f>HYPERLINK("https://www.773grp.com/manufacturer/texas-instruments?pageNo=779", "Texas Instruments")</f>
        <v>Texas Instruments</v>
      </c>
      <c r="C5329" s="5">
        <v>4863</v>
      </c>
      <c r="D5329" s="6">
        <v>13.59</v>
      </c>
      <c r="E5329" t="s">
        <v>65</v>
      </c>
    </row>
    <row r="5330" spans="1:5" x14ac:dyDescent="0.25">
      <c r="A5330" t="str">
        <f>HYPERLINK("https://www.773grp.com/globalSearch/CC2420RTC/page-1", "CC2420RTC")</f>
        <v>CC2420RTC</v>
      </c>
      <c r="B5330" s="3" t="str">
        <f>HYPERLINK("https://www.773grp.com/manufacturer/texas-instruments?pageNo=792", "Texas Instruments")</f>
        <v>Texas Instruments</v>
      </c>
      <c r="C5330" s="5">
        <v>612</v>
      </c>
      <c r="D5330" s="6">
        <v>13.61</v>
      </c>
      <c r="E5330" t="s">
        <v>65</v>
      </c>
    </row>
    <row r="5331" spans="1:5" x14ac:dyDescent="0.25">
      <c r="A5331" t="str">
        <f>HYPERLINK("https://www.773grp.com/globalSearch/CC2420Z-RTB1/page-1", "CC2420Z-RTB1")</f>
        <v>CC2420Z-RTB1</v>
      </c>
      <c r="B5331" s="3" t="str">
        <f>HYPERLINK("https://www.773grp.com/manufacturer/texas-instruments?pageNo=793", "Texas Instruments")</f>
        <v>Texas Instruments</v>
      </c>
      <c r="C5331" s="5">
        <v>59</v>
      </c>
      <c r="D5331" s="6">
        <v>13.61</v>
      </c>
      <c r="E5331" t="s">
        <v>65</v>
      </c>
    </row>
    <row r="5332" spans="1:5" x14ac:dyDescent="0.25">
      <c r="A5332" t="str">
        <f>HYPERLINK("https://www.773grp.com/globalSearch/CC2420ZRTC/page-1", "CC2420ZRTC")</f>
        <v>CC2420ZRTC</v>
      </c>
      <c r="B5332" s="3" t="str">
        <f>HYPERLINK("https://www.773grp.com/manufacturer/texas-instruments?pageNo=794", "Texas Instruments")</f>
        <v>Texas Instruments</v>
      </c>
      <c r="C5332" s="5">
        <v>129</v>
      </c>
      <c r="D5332" s="6">
        <v>13.61</v>
      </c>
      <c r="E5332" t="s">
        <v>65</v>
      </c>
    </row>
    <row r="5333" spans="1:5" x14ac:dyDescent="0.25">
      <c r="A5333" t="str">
        <f>HYPERLINK("https://www.773grp.com/globalSearch/CC1000PW/page-1", "CC1000PW")</f>
        <v>CC1000PW</v>
      </c>
      <c r="B5333" s="3" t="str">
        <f>HYPERLINK("https://www.773grp.com/manufacturer/texas-instruments?pageNo=921", "Texas Instruments")</f>
        <v>Texas Instruments</v>
      </c>
      <c r="C5333" s="5">
        <v>919</v>
      </c>
      <c r="D5333" s="6">
        <v>13.88</v>
      </c>
      <c r="E5333" t="s">
        <v>65</v>
      </c>
    </row>
    <row r="5334" spans="1:5" x14ac:dyDescent="0.25">
      <c r="A5334" t="str">
        <f>HYPERLINK("https://www.773grp.com/globalSearch/CC1000-RTB1/page-1", "CC1000-RTB1")</f>
        <v>CC1000-RTB1</v>
      </c>
      <c r="B5334" s="3" t="str">
        <f>HYPERLINK("https://www.773grp.com/manufacturer/texas-instruments?pageNo=922", "Texas Instruments")</f>
        <v>Texas Instruments</v>
      </c>
      <c r="C5334" s="5">
        <v>50</v>
      </c>
      <c r="D5334" s="6">
        <v>13.88</v>
      </c>
      <c r="E5334" t="s">
        <v>65</v>
      </c>
    </row>
    <row r="5335" spans="1:5" x14ac:dyDescent="0.25">
      <c r="A5335" t="str">
        <f>HYPERLINK("https://www.773grp.com/globalSearch/TRF370315IRGER/page-1", "TRF370315IRGER")</f>
        <v>TRF370315IRGER</v>
      </c>
      <c r="B5335" s="3" t="str">
        <f>HYPERLINK("https://www.773grp.com/manufacturer/texas-instruments?pageNo=978", "Texas Instruments")</f>
        <v>Texas Instruments</v>
      </c>
      <c r="C5335" s="5">
        <v>2807</v>
      </c>
      <c r="D5335" s="6">
        <v>13.93</v>
      </c>
      <c r="E5335" t="s">
        <v>65</v>
      </c>
    </row>
    <row r="5336" spans="1:5" x14ac:dyDescent="0.25">
      <c r="A5336" t="str">
        <f>HYPERLINK("https://www.773grp.com/globalSearch/TRF370317IRGER/page-1", "TRF370317IRGER")</f>
        <v>TRF370317IRGER</v>
      </c>
      <c r="B5336" s="3" t="str">
        <f>HYPERLINK("https://www.773grp.com/manufacturer/texas-instruments?pageNo=979", "Texas Instruments")</f>
        <v>Texas Instruments</v>
      </c>
      <c r="C5336" s="5">
        <v>2807</v>
      </c>
      <c r="D5336" s="6">
        <v>13.93</v>
      </c>
      <c r="E5336" t="s">
        <v>65</v>
      </c>
    </row>
    <row r="5337" spans="1:5" x14ac:dyDescent="0.25">
      <c r="A5337" t="str">
        <f>HYPERLINK("https://www.773grp.com/globalSearch/CC1021RSS/page-1", "CC1021RSS")</f>
        <v>CC1021RSS</v>
      </c>
      <c r="B5337" s="3" t="s">
        <v>90</v>
      </c>
      <c r="C5337" s="5">
        <v>1364</v>
      </c>
      <c r="D5337" s="6">
        <v>14.01</v>
      </c>
      <c r="E5337" t="s">
        <v>65</v>
      </c>
    </row>
    <row r="5338" spans="1:5" x14ac:dyDescent="0.25">
      <c r="A5338" t="str">
        <f>HYPERLINK("https://www.773grp.com/globalSearch/CC1021RUZ/page-1", "CC1021RUZ")</f>
        <v>CC1021RUZ</v>
      </c>
      <c r="B5338" s="3" t="s">
        <v>90</v>
      </c>
      <c r="C5338" s="5">
        <v>936</v>
      </c>
      <c r="D5338" s="6">
        <v>14.01</v>
      </c>
      <c r="E5338" t="s">
        <v>65</v>
      </c>
    </row>
    <row r="5339" spans="1:5" x14ac:dyDescent="0.25">
      <c r="A5339" t="str">
        <f>HYPERLINK("https://www.773grp.com/globalSearch/TRF6900PT/page-1", "TRF6900PT")</f>
        <v>TRF6900PT</v>
      </c>
      <c r="B5339" s="3" t="s">
        <v>90</v>
      </c>
      <c r="C5339" s="5">
        <v>8171</v>
      </c>
      <c r="D5339" s="6">
        <v>14.71</v>
      </c>
      <c r="E5339" t="s">
        <v>65</v>
      </c>
    </row>
    <row r="5340" spans="1:5" x14ac:dyDescent="0.25">
      <c r="A5340" t="str">
        <f>HYPERLINK("https://www.773grp.com/globalSearch/TRF3040PTR/page-1", "TRF3040PTR")</f>
        <v>TRF3040PTR</v>
      </c>
      <c r="B5340" s="3" t="s">
        <v>90</v>
      </c>
      <c r="C5340" s="5">
        <v>14000</v>
      </c>
      <c r="D5340" s="6">
        <v>17.59</v>
      </c>
      <c r="E5340" t="s">
        <v>65</v>
      </c>
    </row>
    <row r="5341" spans="1:5" x14ac:dyDescent="0.25">
      <c r="A5341" t="str">
        <f>HYPERLINK("https://www.773grp.com/globalSearch/TRF3701IRHCR/page-1", "TRF3701IRHCR")</f>
        <v>TRF3701IRHCR</v>
      </c>
      <c r="B5341" s="3" t="s">
        <v>90</v>
      </c>
      <c r="C5341" s="5">
        <v>104109</v>
      </c>
      <c r="D5341" s="6">
        <v>18.809999999999999</v>
      </c>
      <c r="E5341" t="s">
        <v>65</v>
      </c>
    </row>
    <row r="5342" spans="1:5" x14ac:dyDescent="0.25">
      <c r="A5342" t="str">
        <f>HYPERLINK("https://www.773grp.com/globalSearch/TCM4400EGGM/page-1", "TCM4400EGGM")</f>
        <v>TCM4400EGGM</v>
      </c>
      <c r="B5342" s="3" t="s">
        <v>90</v>
      </c>
      <c r="C5342" s="5">
        <v>209</v>
      </c>
      <c r="D5342" s="6">
        <v>19.8</v>
      </c>
      <c r="E5342" t="s">
        <v>65</v>
      </c>
    </row>
    <row r="5343" spans="1:5" x14ac:dyDescent="0.25">
      <c r="A5343" t="str">
        <f>HYPERLINK("https://www.773grp.com/globalSearch/TCM4400EPET/page-1", "TCM4400EPET")</f>
        <v>TCM4400EPET</v>
      </c>
      <c r="B5343" s="3" t="s">
        <v>90</v>
      </c>
      <c r="C5343" s="5">
        <v>7441</v>
      </c>
      <c r="D5343" s="6">
        <v>19.8</v>
      </c>
      <c r="E5343" t="s">
        <v>65</v>
      </c>
    </row>
    <row r="5344" spans="1:5" x14ac:dyDescent="0.25">
      <c r="A5344" t="str">
        <f>HYPERLINK("https://www.773grp.com/globalSearch/TCM4400EPN/page-1", "TCM4400EPN")</f>
        <v>TCM4400EPN</v>
      </c>
      <c r="B5344" s="3" t="s">
        <v>90</v>
      </c>
      <c r="C5344" s="5">
        <v>1132</v>
      </c>
      <c r="D5344" s="6">
        <v>19.8</v>
      </c>
      <c r="E5344" t="s">
        <v>65</v>
      </c>
    </row>
    <row r="5345" spans="1:5" x14ac:dyDescent="0.25">
      <c r="A5345" t="str">
        <f>HYPERLINK("https://www.773grp.com/globalSearch/TCM4400EPNR/page-1", "TCM4400EPNR")</f>
        <v>TCM4400EPNR</v>
      </c>
      <c r="B5345" s="3" t="s">
        <v>90</v>
      </c>
      <c r="C5345" s="5">
        <v>3000</v>
      </c>
      <c r="D5345" s="6">
        <v>19.8</v>
      </c>
      <c r="E5345" t="s">
        <v>65</v>
      </c>
    </row>
    <row r="5346" spans="1:5" x14ac:dyDescent="0.25">
      <c r="A5346" t="str">
        <f>HYPERLINK("https://www.773grp.com/globalSearch/TRF3701IRHC/page-1", "TRF3701IRHC")</f>
        <v>TRF3701IRHC</v>
      </c>
      <c r="B5346" s="3" t="s">
        <v>90</v>
      </c>
      <c r="C5346" s="5">
        <v>2125</v>
      </c>
      <c r="D5346" s="6">
        <v>22.58</v>
      </c>
      <c r="E5346" t="s">
        <v>65</v>
      </c>
    </row>
    <row r="5347" spans="1:5" x14ac:dyDescent="0.25">
      <c r="A5347" t="str">
        <f>HYPERLINK("https://www.773grp.com/globalSearch/TCM8030PN/page-1", "TCM8030PN")</f>
        <v>TCM8030PN</v>
      </c>
      <c r="B5347" s="3" t="s">
        <v>90</v>
      </c>
      <c r="C5347" s="5">
        <v>222</v>
      </c>
      <c r="D5347" s="6">
        <v>23.34</v>
      </c>
      <c r="E5347" t="s">
        <v>65</v>
      </c>
    </row>
    <row r="5348" spans="1:5" x14ac:dyDescent="0.25">
      <c r="A5348" t="str">
        <f>HYPERLINK("https://www.773grp.com/globalSearch/TRF3702IRHCR/page-1", "TRF3702IRHCR")</f>
        <v>TRF3702IRHCR</v>
      </c>
      <c r="B5348" s="3" t="s">
        <v>90</v>
      </c>
      <c r="C5348" s="5">
        <v>15000</v>
      </c>
      <c r="D5348" s="6">
        <v>23.51</v>
      </c>
      <c r="E5348" t="s">
        <v>65</v>
      </c>
    </row>
    <row r="5349" spans="1:5" x14ac:dyDescent="0.25">
      <c r="A5349" t="str">
        <f>HYPERLINK("https://www.773grp.com/globalSearch/TRF3762-EIRHAT/page-1", "TRF3762-EIRHAT")</f>
        <v>TRF3762-EIRHAT</v>
      </c>
      <c r="B5349" s="3" t="s">
        <v>90</v>
      </c>
      <c r="C5349" s="5">
        <v>7750</v>
      </c>
      <c r="D5349" s="6">
        <v>25.74</v>
      </c>
      <c r="E5349" t="s">
        <v>65</v>
      </c>
    </row>
    <row r="5350" spans="1:5" x14ac:dyDescent="0.25">
      <c r="A5350" t="str">
        <f>HYPERLINK("https://www.773grp.com/globalSearch/TRF3702IRHC/page-1", "TRF3702IRHC")</f>
        <v>TRF3702IRHC</v>
      </c>
      <c r="B5350" s="3" t="str">
        <f>HYPERLINK("https://www.773grp.com/manufacturer/texas-instruments?pageNo=188", "Texas Instruments")</f>
        <v>Texas Instruments</v>
      </c>
      <c r="C5350" s="5">
        <v>46475</v>
      </c>
      <c r="D5350" s="6">
        <v>28.24</v>
      </c>
      <c r="E5350" t="s">
        <v>65</v>
      </c>
    </row>
    <row r="5351" spans="1:5" x14ac:dyDescent="0.25">
      <c r="A5351" t="str">
        <f>HYPERLINK("https://www.773grp.com/globalSearch/TRF3710IRGZR/page-1", "TRF3710IRGZR")</f>
        <v>TRF3710IRGZR</v>
      </c>
      <c r="B5351" s="3" t="str">
        <f>HYPERLINK("https://www.773grp.com/manufacturer/texas-instruments?pageNo=360", "Texas Instruments")</f>
        <v>Texas Instruments</v>
      </c>
      <c r="C5351" s="5">
        <v>2500</v>
      </c>
      <c r="D5351" s="6">
        <v>29.4</v>
      </c>
      <c r="E5351" t="s">
        <v>65</v>
      </c>
    </row>
    <row r="5352" spans="1:5" x14ac:dyDescent="0.25">
      <c r="A5352" t="str">
        <f>HYPERLINK("https://www.773grp.com/globalSearch/TRF371125IRGZR/page-1", "TRF371125IRGZR")</f>
        <v>TRF371125IRGZR</v>
      </c>
      <c r="B5352" s="3" t="str">
        <f>HYPERLINK("https://www.773grp.com/manufacturer/texas-instruments?pageNo=678", "Texas Instruments")</f>
        <v>Texas Instruments</v>
      </c>
      <c r="C5352" s="5">
        <v>2410</v>
      </c>
      <c r="D5352" s="6">
        <v>31.35</v>
      </c>
      <c r="E5352" t="s">
        <v>65</v>
      </c>
    </row>
    <row r="5353" spans="1:5" x14ac:dyDescent="0.25">
      <c r="A5353" t="str">
        <f>HYPERLINK("https://www.773grp.com/globalSearch/TRF371135IRGZR/page-1", "TRF371135IRGZR")</f>
        <v>TRF371135IRGZR</v>
      </c>
      <c r="B5353" s="3" t="str">
        <f>HYPERLINK("https://www.773grp.com/manufacturer/texas-instruments?pageNo=679", "Texas Instruments")</f>
        <v>Texas Instruments</v>
      </c>
      <c r="C5353" s="5">
        <v>2500</v>
      </c>
      <c r="D5353" s="6">
        <v>31.35</v>
      </c>
      <c r="E5353" t="s">
        <v>65</v>
      </c>
    </row>
    <row r="5354" spans="1:5" x14ac:dyDescent="0.25">
      <c r="A5354" t="str">
        <f>HYPERLINK("https://www.773grp.com/globalSearch/TRF3710IRGZT/page-1", "TRF3710IRGZT")</f>
        <v>TRF3710IRGZT</v>
      </c>
      <c r="B5354" s="3" t="s">
        <v>90</v>
      </c>
      <c r="C5354" s="5">
        <v>4750</v>
      </c>
      <c r="D5354" s="6">
        <v>33.89</v>
      </c>
      <c r="E5354" t="s">
        <v>65</v>
      </c>
    </row>
    <row r="5355" spans="1:5" x14ac:dyDescent="0.25">
      <c r="A5355" t="str">
        <f>HYPERLINK("https://www.773grp.com/globalSearch/TRF371109IRGZT/page-1", "TRF371109IRGZT")</f>
        <v>TRF371109IRGZT</v>
      </c>
      <c r="B5355" s="3" t="s">
        <v>90</v>
      </c>
      <c r="C5355" s="5">
        <v>3209</v>
      </c>
      <c r="D5355" s="6">
        <v>35.58</v>
      </c>
      <c r="E5355" t="s">
        <v>65</v>
      </c>
    </row>
    <row r="5356" spans="1:5" x14ac:dyDescent="0.25">
      <c r="A5356" t="str">
        <f>HYPERLINK("https://www.773grp.com/globalSearch/TRF371125IRGZT/page-1", "TRF371125IRGZT")</f>
        <v>TRF371125IRGZT</v>
      </c>
      <c r="B5356" s="3" t="s">
        <v>90</v>
      </c>
      <c r="C5356" s="5">
        <v>2500</v>
      </c>
      <c r="D5356" s="6">
        <v>35.58</v>
      </c>
      <c r="E5356" t="s">
        <v>65</v>
      </c>
    </row>
    <row r="5357" spans="1:5" x14ac:dyDescent="0.25">
      <c r="A5357" t="str">
        <f>HYPERLINK("https://www.773grp.com/globalSearch/GC5016-PB/page-1", "GC5016-PB")</f>
        <v>GC5016-PB</v>
      </c>
      <c r="B5357" s="3" t="s">
        <v>90</v>
      </c>
      <c r="C5357" s="5">
        <v>12151</v>
      </c>
      <c r="D5357" s="6">
        <v>90.54</v>
      </c>
      <c r="E5357" t="s">
        <v>65</v>
      </c>
    </row>
    <row r="5358" spans="1:5" x14ac:dyDescent="0.25">
      <c r="A5358" t="str">
        <f>HYPERLINK("https://www.773grp.com/globalSearch/GC5016-PBZ/page-1", "GC5016-PBZ")</f>
        <v>GC5016-PBZ</v>
      </c>
      <c r="B5358" s="3" t="s">
        <v>90</v>
      </c>
      <c r="C5358" s="5">
        <v>84348</v>
      </c>
      <c r="D5358" s="6">
        <v>90.54</v>
      </c>
      <c r="E5358" t="s">
        <v>65</v>
      </c>
    </row>
    <row r="5359" spans="1:5" x14ac:dyDescent="0.25">
      <c r="A5359" t="str">
        <f>HYPERLINK("https://www.773grp.com/globalSearch/GC5325IZND/page-1", "GC5325IZND")</f>
        <v>GC5325IZND</v>
      </c>
      <c r="B5359" s="3" t="str">
        <f>HYPERLINK("https://www.773grp.com/manufacturer/texas-instruments?pageNo=208", "Texas Instruments")</f>
        <v>Texas Instruments</v>
      </c>
      <c r="C5359" s="5">
        <v>8467</v>
      </c>
      <c r="D5359" s="6">
        <v>157.5</v>
      </c>
      <c r="E5359" t="s">
        <v>65</v>
      </c>
    </row>
    <row r="5360" spans="1:5" x14ac:dyDescent="0.25">
      <c r="A5360" t="str">
        <f>HYPERLINK("https://www.773grp.com/globalSearch/GC5322IZND/page-1", "GC5322IZND")</f>
        <v>GC5322IZND</v>
      </c>
      <c r="B5360" s="3" t="str">
        <f>HYPERLINK("https://www.773grp.com/manufacturer/texas-instruments?pageNo=310", "Texas Instruments")</f>
        <v>Texas Instruments</v>
      </c>
      <c r="C5360" s="5">
        <v>28646</v>
      </c>
      <c r="D5360" s="6">
        <v>174.38</v>
      </c>
      <c r="E5360" t="s">
        <v>65</v>
      </c>
    </row>
    <row r="5361" spans="1:5" x14ac:dyDescent="0.25">
      <c r="A5361" t="str">
        <f>HYPERLINK("https://www.773grp.com/globalSearch/GC5018IZDL/page-1", "GC5018IZDL")</f>
        <v>GC5018IZDL</v>
      </c>
      <c r="B5361" s="3" t="str">
        <f>HYPERLINK("https://www.773grp.com/manufacturer/texas-instruments?pageNo=346", "Texas Instruments")</f>
        <v>Texas Instruments</v>
      </c>
      <c r="C5361" s="5">
        <v>5650</v>
      </c>
      <c r="D5361" s="6">
        <v>181.41</v>
      </c>
      <c r="E5361" t="s">
        <v>65</v>
      </c>
    </row>
    <row r="5362" spans="1:5" x14ac:dyDescent="0.25">
      <c r="A5362" t="str">
        <f>HYPERLINK("https://www.773grp.com/globalSearch/GC5318IZED/page-1", "GC5318IZED")</f>
        <v>GC5318IZED</v>
      </c>
      <c r="B5362" s="3" t="str">
        <f>HYPERLINK("https://www.773grp.com/manufacturer/texas-instruments?pageNo=669", "Texas Instruments")</f>
        <v>Texas Instruments</v>
      </c>
      <c r="C5362" s="5">
        <v>840</v>
      </c>
      <c r="D5362" s="6">
        <v>254.39</v>
      </c>
      <c r="E5362" t="s">
        <v>65</v>
      </c>
    </row>
    <row r="5363" spans="1:5" x14ac:dyDescent="0.25">
      <c r="A5363" t="str">
        <f>HYPERLINK("https://www.773grp.com/globalSearch/GC5316IZED/page-1", "GC5316IZED")</f>
        <v>GC5316IZED</v>
      </c>
      <c r="B5363" s="3" t="s">
        <v>90</v>
      </c>
      <c r="C5363" s="5">
        <v>356</v>
      </c>
      <c r="D5363" s="6">
        <v>444.84</v>
      </c>
      <c r="E5363" t="s">
        <v>65</v>
      </c>
    </row>
    <row r="5364" spans="1:5" x14ac:dyDescent="0.25">
      <c r="A5364" t="str">
        <f>HYPERLINK("https://www.773grp.com/globalSearch/CC1050DK-433/page-1", "CC1050DK-433")</f>
        <v>CC1050DK-433</v>
      </c>
      <c r="B5364" s="3" t="s">
        <v>90</v>
      </c>
      <c r="C5364" s="5">
        <v>1</v>
      </c>
      <c r="D5364" s="6">
        <v>448.58</v>
      </c>
      <c r="E5364" t="s">
        <v>65</v>
      </c>
    </row>
    <row r="5365" spans="1:5" x14ac:dyDescent="0.25">
      <c r="A5365" t="str">
        <f>HYPERLINK("https://www.773grp.com/globalSearch/CDCV855PW/page-1", "CDCV855PW")</f>
        <v>CDCV855PW</v>
      </c>
      <c r="B5365" s="3" t="str">
        <f>HYPERLINK("https://www.773grp.com/manufacturer/texas-instruments?pageNo=941", "Texas Instruments")</f>
        <v>Texas Instruments</v>
      </c>
      <c r="C5365" s="5">
        <v>714</v>
      </c>
      <c r="D5365" s="6">
        <v>3.75</v>
      </c>
      <c r="E5365" t="s">
        <v>30</v>
      </c>
    </row>
    <row r="5366" spans="1:5" x14ac:dyDescent="0.25">
      <c r="A5366" t="str">
        <f>HYPERLINK("https://www.773grp.com/globalSearch/SN65ELT21D/page-1", "SN65ELT21D")</f>
        <v>SN65ELT21D</v>
      </c>
      <c r="B5366" s="3" t="str">
        <f>HYPERLINK("https://www.773grp.com/manufacturer/texas-instruments?pageNo=421", "Texas Instruments")</f>
        <v>Texas Instruments</v>
      </c>
      <c r="C5366" s="5">
        <v>401</v>
      </c>
      <c r="D5366" s="6">
        <v>3.89</v>
      </c>
      <c r="E5366" t="s">
        <v>30</v>
      </c>
    </row>
    <row r="5367" spans="1:5" x14ac:dyDescent="0.25">
      <c r="A5367" t="str">
        <f>HYPERLINK("https://www.773grp.com/globalSearch/SN65ELT23D/page-1", "SN65ELT23D")</f>
        <v>SN65ELT23D</v>
      </c>
      <c r="B5367" s="3" t="str">
        <f>HYPERLINK("https://www.773grp.com/manufacturer/texas-instruments?pageNo=423", "Texas Instruments")</f>
        <v>Texas Instruments</v>
      </c>
      <c r="C5367" s="5">
        <v>66975</v>
      </c>
      <c r="D5367" s="6">
        <v>3.89</v>
      </c>
      <c r="E5367" t="s">
        <v>30</v>
      </c>
    </row>
    <row r="5368" spans="1:5" x14ac:dyDescent="0.25">
      <c r="A5368" t="str">
        <f>HYPERLINK("https://www.773grp.com/globalSearch/CDC318DL/page-1", "CDC318DL")</f>
        <v>CDC318DL</v>
      </c>
      <c r="B5368" s="3" t="s">
        <v>90</v>
      </c>
      <c r="C5368" s="5">
        <v>849</v>
      </c>
      <c r="D5368" s="6">
        <v>4.09</v>
      </c>
      <c r="E5368" t="s">
        <v>30</v>
      </c>
    </row>
    <row r="5369" spans="1:5" x14ac:dyDescent="0.25">
      <c r="A5369" t="str">
        <f>HYPERLINK("https://www.773grp.com/globalSearch/CDC318DLR/page-1", "CDC318DLR")</f>
        <v>CDC318DLR</v>
      </c>
      <c r="B5369" s="3" t="s">
        <v>90</v>
      </c>
      <c r="C5369" s="5">
        <v>1000</v>
      </c>
      <c r="D5369" s="6">
        <v>4.09</v>
      </c>
      <c r="E5369" t="s">
        <v>30</v>
      </c>
    </row>
    <row r="5370" spans="1:5" x14ac:dyDescent="0.25">
      <c r="A5370" t="str">
        <f>HYPERLINK("https://www.773grp.com/globalSearch/CDCV304PW/page-1", "CDCV304PW")</f>
        <v>CDCV304PW</v>
      </c>
      <c r="B5370" s="3" t="s">
        <v>90</v>
      </c>
      <c r="C5370" s="5">
        <v>21450</v>
      </c>
      <c r="D5370" s="6">
        <v>4.09</v>
      </c>
      <c r="E5370" t="s">
        <v>30</v>
      </c>
    </row>
    <row r="5371" spans="1:5" x14ac:dyDescent="0.25">
      <c r="A5371" t="str">
        <f>HYPERLINK("https://www.773grp.com/globalSearch/CDCV304PWG4/page-1", "CDCV304PWG4")</f>
        <v>CDCV304PWG4</v>
      </c>
      <c r="B5371" s="3" t="s">
        <v>90</v>
      </c>
      <c r="C5371" s="5">
        <v>1371</v>
      </c>
      <c r="D5371" s="6">
        <v>4.09</v>
      </c>
      <c r="E5371" t="s">
        <v>30</v>
      </c>
    </row>
    <row r="5372" spans="1:5" x14ac:dyDescent="0.25">
      <c r="A5372" t="str">
        <f>HYPERLINK("https://www.773grp.com/globalSearch/CDCVF25081DR/page-1", "CDCVF25081DR")</f>
        <v>CDCVF25081DR</v>
      </c>
      <c r="B5372" s="3" t="s">
        <v>90</v>
      </c>
      <c r="C5372" s="5">
        <v>4245</v>
      </c>
      <c r="D5372" s="6">
        <v>4.09</v>
      </c>
      <c r="E5372" t="s">
        <v>30</v>
      </c>
    </row>
    <row r="5373" spans="1:5" x14ac:dyDescent="0.25">
      <c r="A5373" t="str">
        <f>HYPERLINK("https://www.773grp.com/globalSearch/CDCVF25081PWR/page-1", "CDCVF25081PWR")</f>
        <v>CDCVF25081PWR</v>
      </c>
      <c r="B5373" s="3" t="s">
        <v>90</v>
      </c>
      <c r="C5373" s="5">
        <v>4000</v>
      </c>
      <c r="D5373" s="6">
        <v>4.09</v>
      </c>
      <c r="E5373" t="s">
        <v>30</v>
      </c>
    </row>
    <row r="5374" spans="1:5" x14ac:dyDescent="0.25">
      <c r="A5374" t="str">
        <f>HYPERLINK("https://www.773grp.com/globalSearch/SN65EL11D/page-1", "SN65EL11D")</f>
        <v>SN65EL11D</v>
      </c>
      <c r="B5374" s="3" t="s">
        <v>90</v>
      </c>
      <c r="C5374" s="5">
        <v>126</v>
      </c>
      <c r="D5374" s="6">
        <v>4.09</v>
      </c>
      <c r="E5374" t="s">
        <v>30</v>
      </c>
    </row>
    <row r="5375" spans="1:5" x14ac:dyDescent="0.25">
      <c r="A5375" t="str">
        <f>HYPERLINK("https://www.773grp.com/globalSearch/SN65ELT20D/page-1", "SN65ELT20D")</f>
        <v>SN65ELT20D</v>
      </c>
      <c r="B5375" s="3" t="s">
        <v>90</v>
      </c>
      <c r="C5375" s="5">
        <v>525</v>
      </c>
      <c r="D5375" s="6">
        <v>4.09</v>
      </c>
      <c r="E5375" t="s">
        <v>30</v>
      </c>
    </row>
    <row r="5376" spans="1:5" x14ac:dyDescent="0.25">
      <c r="A5376" t="str">
        <f>HYPERLINK("https://www.773grp.com/globalSearch/SN65ELT22D/page-1", "SN65ELT22D")</f>
        <v>SN65ELT22D</v>
      </c>
      <c r="B5376" s="3" t="s">
        <v>90</v>
      </c>
      <c r="C5376" s="5">
        <v>150</v>
      </c>
      <c r="D5376" s="6">
        <v>4.09</v>
      </c>
      <c r="E5376" t="s">
        <v>30</v>
      </c>
    </row>
    <row r="5377" spans="1:5" x14ac:dyDescent="0.25">
      <c r="A5377" t="str">
        <f>HYPERLINK("https://www.773grp.com/globalSearch/SN65ELT22DGK/page-1", "SN65ELT22DGK")</f>
        <v>SN65ELT22DGK</v>
      </c>
      <c r="B5377" s="3" t="s">
        <v>90</v>
      </c>
      <c r="C5377" s="5">
        <v>94</v>
      </c>
      <c r="D5377" s="6">
        <v>4.09</v>
      </c>
      <c r="E5377" t="s">
        <v>30</v>
      </c>
    </row>
    <row r="5378" spans="1:5" x14ac:dyDescent="0.25">
      <c r="A5378" t="str">
        <f>HYPERLINK("https://www.773grp.com/globalSearch/SN65LVEL11D/page-1", "SN65LVEL11D")</f>
        <v>SN65LVEL11D</v>
      </c>
      <c r="B5378" s="3" t="s">
        <v>90</v>
      </c>
      <c r="C5378" s="5">
        <v>180</v>
      </c>
      <c r="D5378" s="6">
        <v>4.09</v>
      </c>
      <c r="E5378" t="s">
        <v>30</v>
      </c>
    </row>
    <row r="5379" spans="1:5" x14ac:dyDescent="0.25">
      <c r="A5379" t="str">
        <f>HYPERLINK("https://www.773grp.com/globalSearch/SN65LVELT22D/page-1", "SN65LVELT22D")</f>
        <v>SN65LVELT22D</v>
      </c>
      <c r="B5379" s="3" t="s">
        <v>90</v>
      </c>
      <c r="C5379" s="5">
        <v>47950</v>
      </c>
      <c r="D5379" s="6">
        <v>4.09</v>
      </c>
      <c r="E5379" t="s">
        <v>30</v>
      </c>
    </row>
    <row r="5380" spans="1:5" x14ac:dyDescent="0.25">
      <c r="A5380" t="str">
        <f>HYPERLINK("https://www.773grp.com/globalSearch/SN65LVELT22DGK/page-1", "SN65LVELT22DGK")</f>
        <v>SN65LVELT22DGK</v>
      </c>
      <c r="B5380" s="3" t="s">
        <v>90</v>
      </c>
      <c r="C5380" s="5">
        <v>40</v>
      </c>
      <c r="D5380" s="6">
        <v>4.09</v>
      </c>
      <c r="E5380" t="s">
        <v>30</v>
      </c>
    </row>
    <row r="5381" spans="1:5" x14ac:dyDescent="0.25">
      <c r="A5381" t="str">
        <f>HYPERLINK("https://www.773grp.com/globalSearch/CDCV855IPW/page-1", "CDCV855IPW")</f>
        <v>CDCV855IPW</v>
      </c>
      <c r="B5381" s="3" t="s">
        <v>90</v>
      </c>
      <c r="C5381" s="5">
        <v>675</v>
      </c>
      <c r="D5381" s="6">
        <v>4.2300000000000004</v>
      </c>
      <c r="E5381" t="s">
        <v>30</v>
      </c>
    </row>
    <row r="5382" spans="1:5" x14ac:dyDescent="0.25">
      <c r="A5382" t="str">
        <f>HYPERLINK("https://www.773grp.com/globalSearch/SN65EPT21DR/page-1", "SN65EPT21DR")</f>
        <v>SN65EPT21DR</v>
      </c>
      <c r="B5382" s="3" t="s">
        <v>90</v>
      </c>
      <c r="C5382" s="5">
        <v>2500</v>
      </c>
      <c r="D5382" s="6">
        <v>4.2300000000000004</v>
      </c>
      <c r="E5382" t="s">
        <v>30</v>
      </c>
    </row>
    <row r="5383" spans="1:5" x14ac:dyDescent="0.25">
      <c r="A5383" t="str">
        <f>HYPERLINK("https://www.773grp.com/globalSearch/CDCVF2505DR/page-1", "CDCVF2505DR")</f>
        <v>CDCVF2505DR</v>
      </c>
      <c r="B5383" s="3" t="str">
        <f>HYPERLINK("https://www.773grp.com/manufacturer/texas-instruments?pageNo=476", "Texas Instruments")</f>
        <v>Texas Instruments</v>
      </c>
      <c r="C5383" s="5">
        <v>22500</v>
      </c>
      <c r="D5383" s="6">
        <v>5.01</v>
      </c>
      <c r="E5383" t="s">
        <v>30</v>
      </c>
    </row>
    <row r="5384" spans="1:5" x14ac:dyDescent="0.25">
      <c r="A5384" t="str">
        <f>HYPERLINK("https://www.773grp.com/globalSearch/CDC319DBR/page-1", "CDC319DBR")</f>
        <v>CDC319DBR</v>
      </c>
      <c r="B5384" s="3" t="s">
        <v>90</v>
      </c>
      <c r="C5384" s="5">
        <v>16508</v>
      </c>
      <c r="D5384" s="6">
        <v>4.93</v>
      </c>
      <c r="E5384" t="s">
        <v>30</v>
      </c>
    </row>
    <row r="5385" spans="1:5" x14ac:dyDescent="0.25">
      <c r="A5385" t="str">
        <f>HYPERLINK("https://www.773grp.com/globalSearch/CDCVF25081D/page-1", "CDCVF25081D")</f>
        <v>CDCVF25081D</v>
      </c>
      <c r="B5385" s="3" t="s">
        <v>90</v>
      </c>
      <c r="C5385" s="5">
        <v>305</v>
      </c>
      <c r="D5385" s="6">
        <v>4.93</v>
      </c>
      <c r="E5385" t="s">
        <v>30</v>
      </c>
    </row>
    <row r="5386" spans="1:5" x14ac:dyDescent="0.25">
      <c r="A5386" t="str">
        <f>HYPERLINK("https://www.773grp.com/globalSearch/CDCVF25081PW/page-1", "CDCVF25081PW")</f>
        <v>CDCVF25081PW</v>
      </c>
      <c r="B5386" s="3" t="s">
        <v>90</v>
      </c>
      <c r="C5386" s="5">
        <v>3870</v>
      </c>
      <c r="D5386" s="6">
        <v>4.93</v>
      </c>
      <c r="E5386" t="s">
        <v>30</v>
      </c>
    </row>
    <row r="5387" spans="1:5" x14ac:dyDescent="0.25">
      <c r="A5387" t="str">
        <f>HYPERLINK("https://www.773grp.com/globalSearch/CDC3S04YFFR/page-1", "CDC3S04YFFR")</f>
        <v>CDC3S04YFFR</v>
      </c>
      <c r="B5387" s="3" t="s">
        <v>90</v>
      </c>
      <c r="C5387" s="5">
        <v>7145</v>
      </c>
      <c r="D5387" s="6">
        <v>5.0599999999999996</v>
      </c>
      <c r="E5387" t="s">
        <v>30</v>
      </c>
    </row>
    <row r="5388" spans="1:5" x14ac:dyDescent="0.25">
      <c r="A5388" t="str">
        <f>HYPERLINK("https://www.773grp.com/globalSearch/SN65EPT21D/page-1", "SN65EPT21D")</f>
        <v>SN65EPT21D</v>
      </c>
      <c r="B5388" s="3" t="s">
        <v>90</v>
      </c>
      <c r="C5388" s="5">
        <v>53</v>
      </c>
      <c r="D5388" s="6">
        <v>5.0599999999999996</v>
      </c>
      <c r="E5388" t="s">
        <v>30</v>
      </c>
    </row>
    <row r="5389" spans="1:5" x14ac:dyDescent="0.25">
      <c r="A5389" t="str">
        <f>HYPERLINK("https://www.773grp.com/globalSearch/SN65EPT21DGK/page-1", "SN65EPT21DGK")</f>
        <v>SN65EPT21DGK</v>
      </c>
      <c r="B5389" s="3" t="s">
        <v>90</v>
      </c>
      <c r="C5389" s="5">
        <v>4180</v>
      </c>
      <c r="D5389" s="6">
        <v>5.0599999999999996</v>
      </c>
      <c r="E5389" t="s">
        <v>30</v>
      </c>
    </row>
    <row r="5390" spans="1:5" x14ac:dyDescent="0.25">
      <c r="A5390" t="str">
        <f>HYPERLINK("https://www.773grp.com/globalSearch/SN65EPT22D/page-1", "SN65EPT22D")</f>
        <v>SN65EPT22D</v>
      </c>
      <c r="B5390" s="3" t="s">
        <v>90</v>
      </c>
      <c r="C5390" s="5">
        <v>90</v>
      </c>
      <c r="D5390" s="6">
        <v>5.0599999999999996</v>
      </c>
      <c r="E5390" t="s">
        <v>30</v>
      </c>
    </row>
    <row r="5391" spans="1:5" x14ac:dyDescent="0.25">
      <c r="A5391" t="str">
        <f>HYPERLINK("https://www.773grp.com/globalSearch/SN65EPT23DGK/page-1", "SN65EPT23DGK")</f>
        <v>SN65EPT23DGK</v>
      </c>
      <c r="B5391" s="3" t="s">
        <v>90</v>
      </c>
      <c r="C5391" s="5">
        <v>650</v>
      </c>
      <c r="D5391" s="6">
        <v>5.0599999999999996</v>
      </c>
      <c r="E5391" t="s">
        <v>30</v>
      </c>
    </row>
    <row r="5392" spans="1:5" x14ac:dyDescent="0.25">
      <c r="A5392" t="str">
        <f>HYPERLINK("https://www.773grp.com/globalSearch/SN65LVEP11DR/page-1", "SN65LVEP11DR")</f>
        <v>SN65LVEP11DR</v>
      </c>
      <c r="B5392" s="3" t="s">
        <v>90</v>
      </c>
      <c r="C5392" s="5">
        <v>12500</v>
      </c>
      <c r="D5392" s="6">
        <v>5.0599999999999996</v>
      </c>
      <c r="E5392" t="s">
        <v>30</v>
      </c>
    </row>
    <row r="5393" spans="1:5" x14ac:dyDescent="0.25">
      <c r="A5393" t="str">
        <f>HYPERLINK("https://www.773grp.com/globalSearch/CDC303D/page-1", "CDC303D")</f>
        <v>CDC303D</v>
      </c>
      <c r="B5393" s="3" t="s">
        <v>90</v>
      </c>
      <c r="C5393" s="5">
        <v>5376</v>
      </c>
      <c r="D5393" s="6">
        <v>5.54</v>
      </c>
      <c r="E5393" t="s">
        <v>30</v>
      </c>
    </row>
    <row r="5394" spans="1:5" x14ac:dyDescent="0.25">
      <c r="A5394" t="str">
        <f>HYPERLINK("https://www.773grp.com/globalSearch/CDCR83ADBQR/page-1", "CDCR83ADBQR")</f>
        <v>CDCR83ADBQR</v>
      </c>
      <c r="B5394" s="3" t="s">
        <v>90</v>
      </c>
      <c r="C5394" s="5">
        <v>16547</v>
      </c>
      <c r="D5394" s="6">
        <v>5.63</v>
      </c>
      <c r="E5394" t="s">
        <v>30</v>
      </c>
    </row>
    <row r="5395" spans="1:5" x14ac:dyDescent="0.25">
      <c r="A5395" t="str">
        <f>HYPERLINK("https://www.773grp.com/globalSearch/SN65LVELT23DR/page-1", "SN65LVELT23DR")</f>
        <v>SN65LVELT23DR</v>
      </c>
      <c r="B5395" s="3" t="s">
        <v>90</v>
      </c>
      <c r="C5395" s="5">
        <v>120000</v>
      </c>
      <c r="D5395" s="6">
        <v>5.63</v>
      </c>
      <c r="E5395" t="s">
        <v>30</v>
      </c>
    </row>
    <row r="5396" spans="1:5" x14ac:dyDescent="0.25">
      <c r="A5396" t="str">
        <f>HYPERLINK("https://www.773grp.com/globalSearch/CDC319DB/page-1", "CDC319DB")</f>
        <v>CDC319DB</v>
      </c>
      <c r="B5396" s="3" t="s">
        <v>90</v>
      </c>
      <c r="C5396" s="5">
        <v>935</v>
      </c>
      <c r="D5396" s="6">
        <v>5.78</v>
      </c>
      <c r="E5396" t="s">
        <v>30</v>
      </c>
    </row>
    <row r="5397" spans="1:5" x14ac:dyDescent="0.25">
      <c r="A5397" t="str">
        <f>HYPERLINK("https://www.773grp.com/globalSearch/CDCVF310PWR/page-1", "CDCVF310PWR")</f>
        <v>CDCVF310PWR</v>
      </c>
      <c r="B5397" s="3" t="s">
        <v>90</v>
      </c>
      <c r="C5397" s="5">
        <v>3619</v>
      </c>
      <c r="D5397" s="6">
        <v>5.78</v>
      </c>
      <c r="E5397" t="s">
        <v>30</v>
      </c>
    </row>
    <row r="5398" spans="1:5" x14ac:dyDescent="0.25">
      <c r="A5398" t="str">
        <f>HYPERLINK("https://www.773grp.com/globalSearch/CDC2536DBR/page-1", "CDC2536DBR")</f>
        <v>CDC2536DBR</v>
      </c>
      <c r="B5398" s="3" t="s">
        <v>90</v>
      </c>
      <c r="C5398" s="5">
        <v>2000</v>
      </c>
      <c r="D5398" s="6">
        <v>5.91</v>
      </c>
      <c r="E5398" t="s">
        <v>30</v>
      </c>
    </row>
    <row r="5399" spans="1:5" x14ac:dyDescent="0.25">
      <c r="A5399" t="str">
        <f>HYPERLINK("https://www.773grp.com/globalSearch/SN65LVEP11D/page-1", "SN65LVEP11D")</f>
        <v>SN65LVEP11D</v>
      </c>
      <c r="B5399" s="3" t="s">
        <v>90</v>
      </c>
      <c r="C5399" s="5">
        <v>375</v>
      </c>
      <c r="D5399" s="6">
        <v>6.19</v>
      </c>
      <c r="E5399" t="s">
        <v>30</v>
      </c>
    </row>
    <row r="5400" spans="1:5" x14ac:dyDescent="0.25">
      <c r="A5400" t="str">
        <f>HYPERLINK("https://www.773grp.com/globalSearch/SN65LVEP11DGK/page-1", "SN65LVEP11DGK")</f>
        <v>SN65LVEP11DGK</v>
      </c>
      <c r="B5400" s="3" t="s">
        <v>90</v>
      </c>
      <c r="C5400" s="5">
        <v>43606</v>
      </c>
      <c r="D5400" s="6">
        <v>6.19</v>
      </c>
      <c r="E5400" t="s">
        <v>30</v>
      </c>
    </row>
    <row r="5401" spans="1:5" x14ac:dyDescent="0.25">
      <c r="A5401" t="str">
        <f>HYPERLINK("https://www.773grp.com/globalSearch/CDC318ADLR/page-1", "CDC318ADLR")</f>
        <v>CDC318ADLR</v>
      </c>
      <c r="B5401" s="3" t="s">
        <v>90</v>
      </c>
      <c r="C5401" s="5">
        <v>18000</v>
      </c>
      <c r="D5401" s="6">
        <v>6.21</v>
      </c>
      <c r="E5401" t="s">
        <v>30</v>
      </c>
    </row>
    <row r="5402" spans="1:5" x14ac:dyDescent="0.25">
      <c r="A5402" t="str">
        <f>HYPERLINK("https://www.773grp.com/globalSearch/CDCR83DBQR/page-1", "CDCR83DBQR")</f>
        <v>CDCR83DBQR</v>
      </c>
      <c r="B5402" s="3" t="s">
        <v>90</v>
      </c>
      <c r="C5402" s="5">
        <v>4385</v>
      </c>
      <c r="D5402" s="6">
        <v>6.33</v>
      </c>
      <c r="E5402" t="s">
        <v>30</v>
      </c>
    </row>
    <row r="5403" spans="1:5" x14ac:dyDescent="0.25">
      <c r="A5403" t="str">
        <f>HYPERLINK("https://www.773grp.com/globalSearch/CDCR83DBQRG4/page-1", "CDCR83DBQRG4")</f>
        <v>CDCR83DBQRG4</v>
      </c>
      <c r="B5403" s="3" t="s">
        <v>90</v>
      </c>
      <c r="C5403" s="5">
        <v>4230</v>
      </c>
      <c r="D5403" s="6">
        <v>6.33</v>
      </c>
      <c r="E5403" t="s">
        <v>30</v>
      </c>
    </row>
    <row r="5404" spans="1:5" x14ac:dyDescent="0.25">
      <c r="A5404" t="str">
        <f>HYPERLINK("https://www.773grp.com/globalSearch/SN65LVELT23D/page-1", "SN65LVELT23D")</f>
        <v>SN65LVELT23D</v>
      </c>
      <c r="B5404" s="3" t="str">
        <f>HYPERLINK("https://www.773grp.com/manufacturer/texas-instruments?pageNo=99", "Texas Instruments")</f>
        <v>Texas Instruments</v>
      </c>
      <c r="C5404" s="5">
        <v>294</v>
      </c>
      <c r="D5404" s="6">
        <v>6.46</v>
      </c>
      <c r="E5404" t="s">
        <v>30</v>
      </c>
    </row>
    <row r="5405" spans="1:5" x14ac:dyDescent="0.25">
      <c r="A5405" t="str">
        <f>HYPERLINK("https://www.773grp.com/globalSearch/CDCV850DGGR/page-1", "CDCV850DGGR")</f>
        <v>CDCV850DGGR</v>
      </c>
      <c r="B5405" s="3" t="str">
        <f>HYPERLINK("https://www.773grp.com/manufacturer/texas-instruments?pageNo=174", "Texas Instruments")</f>
        <v>Texas Instruments</v>
      </c>
      <c r="C5405" s="5">
        <v>126000</v>
      </c>
      <c r="D5405" s="6">
        <v>6.5</v>
      </c>
      <c r="E5405" t="s">
        <v>30</v>
      </c>
    </row>
    <row r="5406" spans="1:5" x14ac:dyDescent="0.25">
      <c r="A5406" t="str">
        <f>HYPERLINK("https://www.773grp.com/globalSearch/CDC303DR/page-1", "CDC303DR")</f>
        <v>CDC303DR</v>
      </c>
      <c r="B5406" s="3" t="str">
        <f>HYPERLINK("https://www.773grp.com/manufacturer/texas-instruments?pageNo=449", "Texas Instruments")</f>
        <v>Texas Instruments</v>
      </c>
      <c r="C5406" s="5">
        <v>2500</v>
      </c>
      <c r="D5406" s="6">
        <v>6.75</v>
      </c>
      <c r="E5406" t="s">
        <v>30</v>
      </c>
    </row>
    <row r="5407" spans="1:5" x14ac:dyDescent="0.25">
      <c r="A5407" t="str">
        <f>HYPERLINK("https://www.773grp.com/globalSearch/CDCR83ADBQ/page-1", "CDCR83ADBQ")</f>
        <v>CDCR83ADBQ</v>
      </c>
      <c r="B5407" s="3" t="str">
        <f>HYPERLINK("https://www.773grp.com/manufacturer/texas-instruments?pageNo=452", "Texas Instruments")</f>
        <v>Texas Instruments</v>
      </c>
      <c r="C5407" s="5">
        <v>1226</v>
      </c>
      <c r="D5407" s="6">
        <v>6.75</v>
      </c>
      <c r="E5407" t="s">
        <v>30</v>
      </c>
    </row>
    <row r="5408" spans="1:5" x14ac:dyDescent="0.25">
      <c r="A5408" t="str">
        <f>HYPERLINK("https://www.773grp.com/globalSearch/CDCVF2310PW/page-1", "CDCVF2310PW")</f>
        <v>CDCVF2310PW</v>
      </c>
      <c r="B5408" s="3" t="str">
        <f>HYPERLINK("https://www.773grp.com/manufacturer/texas-instruments?pageNo=647", "Texas Instruments")</f>
        <v>Texas Instruments</v>
      </c>
      <c r="C5408" s="5">
        <v>2</v>
      </c>
      <c r="D5408" s="6">
        <v>6.89</v>
      </c>
      <c r="E5408" t="s">
        <v>30</v>
      </c>
    </row>
    <row r="5409" spans="1:5" x14ac:dyDescent="0.25">
      <c r="A5409" t="str">
        <f>HYPERLINK("https://www.773grp.com/globalSearch/CDCVF2310PWG4/page-1", "CDCVF2310PWG4")</f>
        <v>CDCVF2310PWG4</v>
      </c>
      <c r="B5409" s="3" t="str">
        <f>HYPERLINK("https://www.773grp.com/manufacturer/texas-instruments?pageNo=648", "Texas Instruments")</f>
        <v>Texas Instruments</v>
      </c>
      <c r="C5409" s="5">
        <v>65</v>
      </c>
      <c r="D5409" s="6">
        <v>6.89</v>
      </c>
      <c r="E5409" t="s">
        <v>30</v>
      </c>
    </row>
    <row r="5410" spans="1:5" x14ac:dyDescent="0.25">
      <c r="A5410" t="str">
        <f>HYPERLINK("https://www.773grp.com/globalSearch/CDCVF310PW/page-1", "CDCVF310PW")</f>
        <v>CDCVF310PW</v>
      </c>
      <c r="B5410" s="3" t="str">
        <f>HYPERLINK("https://www.773grp.com/manufacturer/texas-instruments?pageNo=649", "Texas Instruments")</f>
        <v>Texas Instruments</v>
      </c>
      <c r="C5410" s="5">
        <v>2000</v>
      </c>
      <c r="D5410" s="6">
        <v>6.89</v>
      </c>
      <c r="E5410" t="s">
        <v>30</v>
      </c>
    </row>
    <row r="5411" spans="1:5" x14ac:dyDescent="0.25">
      <c r="A5411" t="str">
        <f>HYPERLINK("https://www.773grp.com/globalSearch/CDCFR83ADBQR/page-1", "CDCFR83ADBQR")</f>
        <v>CDCFR83ADBQR</v>
      </c>
      <c r="B5411" s="3" t="str">
        <f>HYPERLINK("https://www.773grp.com/manufacturer/texas-instruments?pageNo=715", "Texas Instruments")</f>
        <v>Texas Instruments</v>
      </c>
      <c r="C5411" s="5">
        <v>19440</v>
      </c>
      <c r="D5411" s="6">
        <v>6.95</v>
      </c>
      <c r="E5411" t="s">
        <v>30</v>
      </c>
    </row>
    <row r="5412" spans="1:5" x14ac:dyDescent="0.25">
      <c r="A5412" t="str">
        <f>HYPERLINK("https://www.773grp.com/globalSearch/CDC2536DB/page-1", "CDC2536DB")</f>
        <v>CDC2536DB</v>
      </c>
      <c r="B5412" s="3" t="str">
        <f>HYPERLINK("https://www.773grp.com/manufacturer/texas-instruments?pageNo=768", "Texas Instruments")</f>
        <v>Texas Instruments</v>
      </c>
      <c r="C5412" s="5">
        <v>7400</v>
      </c>
      <c r="D5412" s="6">
        <v>7.04</v>
      </c>
      <c r="E5412" t="s">
        <v>30</v>
      </c>
    </row>
    <row r="5413" spans="1:5" x14ac:dyDescent="0.25">
      <c r="A5413" t="str">
        <f>HYPERLINK("https://www.773grp.com/globalSearch/CDCV850IDGGR/page-1", "CDCV850IDGGR")</f>
        <v>CDCV850IDGGR</v>
      </c>
      <c r="B5413" s="3" t="str">
        <f>HYPERLINK("https://www.773grp.com/manufacturer/texas-instruments?pageNo=973", "Texas Instruments")</f>
        <v>Texas Instruments</v>
      </c>
      <c r="C5413" s="5">
        <v>8000</v>
      </c>
      <c r="D5413" s="6">
        <v>7.18</v>
      </c>
      <c r="E5413" t="s">
        <v>30</v>
      </c>
    </row>
    <row r="5414" spans="1:5" x14ac:dyDescent="0.25">
      <c r="A5414" t="str">
        <f>HYPERLINK("https://www.773grp.com/globalSearch/CDC2510CPWR/page-1", "CDC2510CPWR")</f>
        <v>CDC2510CPWR</v>
      </c>
      <c r="B5414" s="3" t="s">
        <v>90</v>
      </c>
      <c r="C5414" s="5">
        <v>18000</v>
      </c>
      <c r="D5414" s="6">
        <v>7.26</v>
      </c>
      <c r="E5414" t="s">
        <v>30</v>
      </c>
    </row>
    <row r="5415" spans="1:5" x14ac:dyDescent="0.25">
      <c r="A5415" t="str">
        <f>HYPERLINK("https://www.773grp.com/globalSearch/CDC318ADL/page-1", "CDC318ADL")</f>
        <v>CDC318ADL</v>
      </c>
      <c r="B5415" s="3" t="s">
        <v>90</v>
      </c>
      <c r="C5415" s="5">
        <v>889</v>
      </c>
      <c r="D5415" s="6">
        <v>7.39</v>
      </c>
      <c r="E5415" t="s">
        <v>30</v>
      </c>
    </row>
    <row r="5416" spans="1:5" x14ac:dyDescent="0.25">
      <c r="A5416" t="str">
        <f>HYPERLINK("https://www.773grp.com/globalSearch/CDC536DBR/page-1", "CDC536DBR")</f>
        <v>CDC536DBR</v>
      </c>
      <c r="B5416" s="3" t="s">
        <v>90</v>
      </c>
      <c r="C5416" s="5">
        <v>2000</v>
      </c>
      <c r="D5416" s="6">
        <v>7.39</v>
      </c>
      <c r="E5416" t="s">
        <v>30</v>
      </c>
    </row>
    <row r="5417" spans="1:5" x14ac:dyDescent="0.25">
      <c r="A5417" t="str">
        <f>HYPERLINK("https://www.773grp.com/globalSearch/CDCR83DBQ/page-1", "CDCR83DBQ")</f>
        <v>CDCR83DBQ</v>
      </c>
      <c r="B5417" s="3" t="s">
        <v>90</v>
      </c>
      <c r="C5417" s="5">
        <v>3190</v>
      </c>
      <c r="D5417" s="6">
        <v>7.54</v>
      </c>
      <c r="E5417" t="s">
        <v>30</v>
      </c>
    </row>
    <row r="5418" spans="1:5" x14ac:dyDescent="0.25">
      <c r="A5418" t="str">
        <f>HYPERLINK("https://www.773grp.com/globalSearch/CDC5806PWR/page-1", "CDC5806PWR")</f>
        <v>CDC5806PWR</v>
      </c>
      <c r="B5418" s="3" t="s">
        <v>90</v>
      </c>
      <c r="C5418" s="5">
        <v>24000</v>
      </c>
      <c r="D5418" s="6">
        <v>7.6</v>
      </c>
      <c r="E5418" t="s">
        <v>30</v>
      </c>
    </row>
    <row r="5419" spans="1:5" x14ac:dyDescent="0.25">
      <c r="A5419" t="str">
        <f>HYPERLINK("https://www.773grp.com/globalSearch/CDCFR83DBQR/page-1", "CDCFR83DBQR")</f>
        <v>CDCFR83DBQR</v>
      </c>
      <c r="B5419" s="3" t="s">
        <v>90</v>
      </c>
      <c r="C5419" s="5">
        <v>35000</v>
      </c>
      <c r="D5419" s="6">
        <v>7.68</v>
      </c>
      <c r="E5419" t="s">
        <v>30</v>
      </c>
    </row>
    <row r="5420" spans="1:5" x14ac:dyDescent="0.25">
      <c r="A5420" t="str">
        <f>HYPERLINK("https://www.773grp.com/globalSearch/CDCVF2510PWR/page-1", "CDCVF2510PWR")</f>
        <v>CDCVF2510PWR</v>
      </c>
      <c r="B5420" s="3" t="s">
        <v>90</v>
      </c>
      <c r="C5420" s="5">
        <v>19972</v>
      </c>
      <c r="D5420" s="6">
        <v>7.68</v>
      </c>
      <c r="E5420" t="s">
        <v>30</v>
      </c>
    </row>
    <row r="5421" spans="1:5" x14ac:dyDescent="0.25">
      <c r="A5421" t="str">
        <f>HYPERLINK("https://www.773grp.com/globalSearch/CDCM61001RHBT/page-1", "CDCM61001RHBT")</f>
        <v>CDCM61001RHBT</v>
      </c>
      <c r="B5421" s="3" t="s">
        <v>90</v>
      </c>
      <c r="C5421" s="5">
        <v>41</v>
      </c>
      <c r="D5421" s="6">
        <v>7.73</v>
      </c>
      <c r="E5421" t="s">
        <v>30</v>
      </c>
    </row>
    <row r="5422" spans="1:5" x14ac:dyDescent="0.25">
      <c r="A5422" t="str">
        <f>HYPERLINK("https://www.773grp.com/globalSearch/CDCV850DGG/page-1", "CDCV850DGG")</f>
        <v>CDCV850DGG</v>
      </c>
      <c r="B5422" s="3" t="s">
        <v>90</v>
      </c>
      <c r="C5422" s="5">
        <v>18197</v>
      </c>
      <c r="D5422" s="6">
        <v>7.73</v>
      </c>
      <c r="E5422" t="s">
        <v>30</v>
      </c>
    </row>
    <row r="5423" spans="1:5" x14ac:dyDescent="0.25">
      <c r="A5423" t="str">
        <f>HYPERLINK("https://www.773grp.com/globalSearch/CDCV850DGGG4/page-1", "CDCV850DGGG4")</f>
        <v>CDCV850DGGG4</v>
      </c>
      <c r="B5423" s="3" t="s">
        <v>90</v>
      </c>
      <c r="C5423" s="5">
        <v>145</v>
      </c>
      <c r="D5423" s="6">
        <v>7.73</v>
      </c>
      <c r="E5423" t="s">
        <v>30</v>
      </c>
    </row>
    <row r="5424" spans="1:5" x14ac:dyDescent="0.25">
      <c r="A5424" t="str">
        <f>HYPERLINK("https://www.773grp.com/globalSearch/CDCU877ARTBR/page-1", "CDCU877ARTBR")</f>
        <v>CDCU877ARTBR</v>
      </c>
      <c r="B5424" s="3" t="s">
        <v>90</v>
      </c>
      <c r="C5424" s="5">
        <v>940</v>
      </c>
      <c r="D5424" s="6">
        <v>7.88</v>
      </c>
      <c r="E5424" t="s">
        <v>30</v>
      </c>
    </row>
    <row r="5425" spans="1:5" x14ac:dyDescent="0.25">
      <c r="A5425" t="str">
        <f>HYPERLINK("https://www.773grp.com/globalSearch/CDCV857ADGGR/page-1", "CDCV857ADGGR")</f>
        <v>CDCV857ADGGR</v>
      </c>
      <c r="B5425" s="3" t="s">
        <v>90</v>
      </c>
      <c r="C5425" s="5">
        <v>4000</v>
      </c>
      <c r="D5425" s="6">
        <v>8.15</v>
      </c>
      <c r="E5425" t="s">
        <v>30</v>
      </c>
    </row>
    <row r="5426" spans="1:5" x14ac:dyDescent="0.25">
      <c r="A5426" t="str">
        <f>HYPERLINK("https://www.773grp.com/globalSearch/CDCFR83ADBQ/page-1", "CDCFR83ADBQ")</f>
        <v>CDCFR83ADBQ</v>
      </c>
      <c r="B5426" s="3" t="s">
        <v>90</v>
      </c>
      <c r="C5426" s="5">
        <v>2185</v>
      </c>
      <c r="D5426" s="6">
        <v>8.2799999999999994</v>
      </c>
      <c r="E5426" t="s">
        <v>30</v>
      </c>
    </row>
    <row r="5427" spans="1:5" x14ac:dyDescent="0.25">
      <c r="A5427" t="str">
        <f>HYPERLINK("https://www.773grp.com/globalSearch/SN74SSQE32882ZALR/page-1", "SN74SSQE32882ZALR")</f>
        <v>SN74SSQE32882ZALR</v>
      </c>
      <c r="B5427" s="3" t="s">
        <v>90</v>
      </c>
      <c r="C5427" s="5">
        <v>334215</v>
      </c>
      <c r="D5427" s="6">
        <v>8.44</v>
      </c>
      <c r="E5427" t="s">
        <v>30</v>
      </c>
    </row>
    <row r="5428" spans="1:5" x14ac:dyDescent="0.25">
      <c r="A5428" t="str">
        <f>HYPERLINK("https://www.773grp.com/globalSearch/CDCU877AGQLR/page-1", "CDCU877AGQLR")</f>
        <v>CDCU877AGQLR</v>
      </c>
      <c r="B5428" s="3" t="s">
        <v>90</v>
      </c>
      <c r="C5428" s="5">
        <v>22000</v>
      </c>
      <c r="D5428" s="6">
        <v>8.58</v>
      </c>
      <c r="E5428" t="s">
        <v>30</v>
      </c>
    </row>
    <row r="5429" spans="1:5" x14ac:dyDescent="0.25">
      <c r="A5429" t="str">
        <f>HYPERLINK("https://www.773grp.com/globalSearch/CDCU877ARTBT/page-1", "CDCU877ARTBT")</f>
        <v>CDCU877ARTBT</v>
      </c>
      <c r="B5429" s="3" t="s">
        <v>90</v>
      </c>
      <c r="C5429" s="5">
        <v>13250</v>
      </c>
      <c r="D5429" s="6">
        <v>8.58</v>
      </c>
      <c r="E5429" t="s">
        <v>30</v>
      </c>
    </row>
    <row r="5430" spans="1:5" x14ac:dyDescent="0.25">
      <c r="A5430" t="str">
        <f>HYPERLINK("https://www.773grp.com/globalSearch/CDCU877RTBT/page-1", "CDCU877RTBT")</f>
        <v>CDCU877RTBT</v>
      </c>
      <c r="B5430" s="3" t="s">
        <v>90</v>
      </c>
      <c r="C5430" s="5">
        <v>8250</v>
      </c>
      <c r="D5430" s="6">
        <v>8.58</v>
      </c>
      <c r="E5430" t="s">
        <v>30</v>
      </c>
    </row>
    <row r="5431" spans="1:5" x14ac:dyDescent="0.25">
      <c r="A5431" t="str">
        <f>HYPERLINK("https://www.773grp.com/globalSearch/CDC2510CPW/page-1", "CDC2510CPW")</f>
        <v>CDC2510CPW</v>
      </c>
      <c r="B5431" s="3" t="s">
        <v>90</v>
      </c>
      <c r="C5431" s="5">
        <v>795</v>
      </c>
      <c r="D5431" s="6">
        <v>8.66</v>
      </c>
      <c r="E5431" t="s">
        <v>30</v>
      </c>
    </row>
    <row r="5432" spans="1:5" x14ac:dyDescent="0.25">
      <c r="A5432" t="str">
        <f>HYPERLINK("https://www.773grp.com/globalSearch/CDCV850IDGG/page-1", "CDCV850IDGG")</f>
        <v>CDCV850IDGG</v>
      </c>
      <c r="B5432" s="3" t="s">
        <v>90</v>
      </c>
      <c r="C5432" s="5">
        <v>10192</v>
      </c>
      <c r="D5432" s="6">
        <v>8.66</v>
      </c>
      <c r="E5432" t="s">
        <v>30</v>
      </c>
    </row>
    <row r="5433" spans="1:5" x14ac:dyDescent="0.25">
      <c r="A5433" t="str">
        <f>HYPERLINK("https://www.773grp.com/globalSearch/CDC509PWR/page-1", "CDC509PWR")</f>
        <v>CDC509PWR</v>
      </c>
      <c r="B5433" s="3" t="s">
        <v>90</v>
      </c>
      <c r="C5433" s="5">
        <v>2000</v>
      </c>
      <c r="D5433" s="6">
        <v>8.73</v>
      </c>
      <c r="E5433" t="s">
        <v>30</v>
      </c>
    </row>
    <row r="5434" spans="1:5" x14ac:dyDescent="0.25">
      <c r="A5434" t="str">
        <f>HYPERLINK("https://www.773grp.com/globalSearch/CDCVF2510APW/page-1", "CDCVF2510APW")</f>
        <v>CDCVF2510APW</v>
      </c>
      <c r="B5434" s="3" t="s">
        <v>90</v>
      </c>
      <c r="C5434" s="5">
        <v>1095</v>
      </c>
      <c r="D5434" s="6">
        <v>8.73</v>
      </c>
      <c r="E5434" t="s">
        <v>30</v>
      </c>
    </row>
    <row r="5435" spans="1:5" x14ac:dyDescent="0.25">
      <c r="A5435" t="str">
        <f>HYPERLINK("https://www.773grp.com/globalSearch/CDC536DB/page-1", "CDC536DB")</f>
        <v>CDC536DB</v>
      </c>
      <c r="B5435" s="3" t="s">
        <v>90</v>
      </c>
      <c r="C5435" s="5">
        <v>16098</v>
      </c>
      <c r="D5435" s="6">
        <v>8.81</v>
      </c>
      <c r="E5435" t="s">
        <v>30</v>
      </c>
    </row>
    <row r="5436" spans="1:5" x14ac:dyDescent="0.25">
      <c r="A5436" t="str">
        <f>HYPERLINK("https://www.773grp.com/globalSearch/CDCP1803RTHR/page-1", "CDCP1803RTHR")</f>
        <v>CDCP1803RTHR</v>
      </c>
      <c r="B5436" s="3" t="s">
        <v>90</v>
      </c>
      <c r="C5436" s="5">
        <v>30000</v>
      </c>
      <c r="D5436" s="6">
        <v>8.86</v>
      </c>
      <c r="E5436" t="s">
        <v>30</v>
      </c>
    </row>
    <row r="5437" spans="1:5" x14ac:dyDescent="0.25">
      <c r="A5437" t="str">
        <f>HYPERLINK("https://www.773grp.com/globalSearch/CDCV857AGQLR/page-1", "CDCV857AGQLR")</f>
        <v>CDCV857AGQLR</v>
      </c>
      <c r="B5437" s="3" t="s">
        <v>90</v>
      </c>
      <c r="C5437" s="5">
        <v>8576</v>
      </c>
      <c r="D5437" s="6">
        <v>8.86</v>
      </c>
      <c r="E5437" t="s">
        <v>30</v>
      </c>
    </row>
    <row r="5438" spans="1:5" x14ac:dyDescent="0.25">
      <c r="A5438" t="str">
        <f>HYPERLINK("https://www.773grp.com/globalSearch/CDCM61002RHBT/page-1", "CDCM61002RHBT")</f>
        <v>CDCM61002RHBT</v>
      </c>
      <c r="B5438" s="3" t="s">
        <v>90</v>
      </c>
      <c r="C5438" s="5">
        <v>60</v>
      </c>
      <c r="D5438" s="6">
        <v>9</v>
      </c>
      <c r="E5438" t="s">
        <v>30</v>
      </c>
    </row>
    <row r="5439" spans="1:5" x14ac:dyDescent="0.25">
      <c r="A5439" t="str">
        <f>HYPERLINK("https://www.773grp.com/globalSearch/CDC5806PW/page-1", "CDC5806PW")</f>
        <v>CDC5806PW</v>
      </c>
      <c r="B5439" s="3" t="s">
        <v>90</v>
      </c>
      <c r="C5439" s="5">
        <v>11394</v>
      </c>
      <c r="D5439" s="6">
        <v>9.15</v>
      </c>
      <c r="E5439" t="s">
        <v>30</v>
      </c>
    </row>
    <row r="5440" spans="1:5" x14ac:dyDescent="0.25">
      <c r="A5440" t="str">
        <f>HYPERLINK("https://www.773grp.com/globalSearch/CDCFR83DBQ/page-1", "CDCFR83DBQ")</f>
        <v>CDCFR83DBQ</v>
      </c>
      <c r="B5440" s="3" t="s">
        <v>90</v>
      </c>
      <c r="C5440" s="5">
        <v>3206</v>
      </c>
      <c r="D5440" s="6">
        <v>9.15</v>
      </c>
      <c r="E5440" t="s">
        <v>30</v>
      </c>
    </row>
    <row r="5441" spans="1:5" x14ac:dyDescent="0.25">
      <c r="A5441" t="str">
        <f>HYPERLINK("https://www.773grp.com/globalSearch/CDCLVD1204RGTT/page-1", "CDCLVD1204RGTT")</f>
        <v>CDCLVD1204RGTT</v>
      </c>
      <c r="B5441" s="3" t="s">
        <v>90</v>
      </c>
      <c r="C5441" s="5">
        <v>250</v>
      </c>
      <c r="D5441" s="6">
        <v>9.2899999999999991</v>
      </c>
      <c r="E5441" t="s">
        <v>30</v>
      </c>
    </row>
    <row r="5442" spans="1:5" x14ac:dyDescent="0.25">
      <c r="A5442" t="str">
        <f>HYPERLINK("https://www.773grp.com/globalSearch/CDC328D/page-1", "CDC328D")</f>
        <v>CDC328D</v>
      </c>
      <c r="B5442" s="3" t="s">
        <v>90</v>
      </c>
      <c r="C5442" s="5">
        <v>14029</v>
      </c>
      <c r="D5442" s="6">
        <v>9.4</v>
      </c>
      <c r="E5442" t="s">
        <v>30</v>
      </c>
    </row>
    <row r="5443" spans="1:5" x14ac:dyDescent="0.25">
      <c r="A5443" t="str">
        <f>HYPERLINK("https://www.773grp.com/globalSearch/CDC328DBLE/page-1", "CDC328DBLE")</f>
        <v>CDC328DBLE</v>
      </c>
      <c r="B5443" s="3" t="s">
        <v>90</v>
      </c>
      <c r="C5443" s="5">
        <v>655</v>
      </c>
      <c r="D5443" s="6">
        <v>9.4</v>
      </c>
      <c r="E5443" t="s">
        <v>30</v>
      </c>
    </row>
    <row r="5444" spans="1:5" x14ac:dyDescent="0.25">
      <c r="A5444" t="str">
        <f>HYPERLINK("https://www.773grp.com/globalSearch/CDC328DBR/page-1", "CDC328DBR")</f>
        <v>CDC328DBR</v>
      </c>
      <c r="B5444" s="3" t="s">
        <v>90</v>
      </c>
      <c r="C5444" s="5">
        <v>4000</v>
      </c>
      <c r="D5444" s="6">
        <v>9.4</v>
      </c>
      <c r="E5444" t="s">
        <v>30</v>
      </c>
    </row>
    <row r="5445" spans="1:5" x14ac:dyDescent="0.25">
      <c r="A5445" t="str">
        <f>HYPERLINK("https://www.773grp.com/globalSearch/CDC328DR/page-1", "CDC328DR")</f>
        <v>CDC328DR</v>
      </c>
      <c r="B5445" s="3" t="s">
        <v>90</v>
      </c>
      <c r="C5445" s="5">
        <v>20000</v>
      </c>
      <c r="D5445" s="6">
        <v>9.4</v>
      </c>
      <c r="E5445" t="s">
        <v>30</v>
      </c>
    </row>
    <row r="5446" spans="1:5" x14ac:dyDescent="0.25">
      <c r="A5446" t="str">
        <f>HYPERLINK("https://www.773grp.com/globalSearch/CDCU2A877ZQLR/page-1", "CDCU2A877ZQLR")</f>
        <v>CDCU2A877ZQLR</v>
      </c>
      <c r="B5446" s="3" t="s">
        <v>90</v>
      </c>
      <c r="C5446" s="5">
        <v>145000</v>
      </c>
      <c r="D5446" s="6">
        <v>9.41</v>
      </c>
      <c r="E5446" t="s">
        <v>30</v>
      </c>
    </row>
    <row r="5447" spans="1:5" x14ac:dyDescent="0.25">
      <c r="A5447" t="str">
        <f>HYPERLINK("https://www.773grp.com/globalSearch/CDCU877AZQLR/page-1", "CDCU877AZQLR")</f>
        <v>CDCU877AZQLR</v>
      </c>
      <c r="B5447" s="3" t="s">
        <v>90</v>
      </c>
      <c r="C5447" s="5">
        <v>99900</v>
      </c>
      <c r="D5447" s="6">
        <v>9.41</v>
      </c>
      <c r="E5447" t="s">
        <v>30</v>
      </c>
    </row>
    <row r="5448" spans="1:5" x14ac:dyDescent="0.25">
      <c r="A5448" t="str">
        <f>HYPERLINK("https://www.773grp.com/globalSearch/CDCU877GQLR/page-1", "CDCU877GQLR")</f>
        <v>CDCU877GQLR</v>
      </c>
      <c r="B5448" s="3" t="s">
        <v>90</v>
      </c>
      <c r="C5448" s="5">
        <v>36000</v>
      </c>
      <c r="D5448" s="6">
        <v>9.41</v>
      </c>
      <c r="E5448" t="s">
        <v>30</v>
      </c>
    </row>
    <row r="5449" spans="1:5" x14ac:dyDescent="0.25">
      <c r="A5449" t="str">
        <f>HYPERLINK("https://www.773grp.com/globalSearch/CDCU877RHAR/page-1", "CDCU877RHAR")</f>
        <v>CDCU877RHAR</v>
      </c>
      <c r="B5449" s="3" t="s">
        <v>90</v>
      </c>
      <c r="C5449" s="5">
        <v>11725</v>
      </c>
      <c r="D5449" s="6">
        <v>9.41</v>
      </c>
      <c r="E5449" t="s">
        <v>30</v>
      </c>
    </row>
    <row r="5450" spans="1:5" x14ac:dyDescent="0.25">
      <c r="A5450" t="str">
        <f>HYPERLINK("https://www.773grp.com/globalSearch/CDCU877RTBR/page-1", "CDCU877RTBR")</f>
        <v>CDCU877RTBR</v>
      </c>
      <c r="B5450" s="3" t="s">
        <v>90</v>
      </c>
      <c r="C5450" s="5">
        <v>5000</v>
      </c>
      <c r="D5450" s="6">
        <v>9.41</v>
      </c>
      <c r="E5450" t="s">
        <v>30</v>
      </c>
    </row>
    <row r="5451" spans="1:5" x14ac:dyDescent="0.25">
      <c r="A5451" t="str">
        <f>HYPERLINK("https://www.773grp.com/globalSearch/CDCU877ZQLR/page-1", "CDCU877ZQLR")</f>
        <v>CDCU877ZQLR</v>
      </c>
      <c r="B5451" s="3" t="s">
        <v>90</v>
      </c>
      <c r="C5451" s="5">
        <v>401950</v>
      </c>
      <c r="D5451" s="6">
        <v>9.41</v>
      </c>
      <c r="E5451" t="s">
        <v>30</v>
      </c>
    </row>
    <row r="5452" spans="1:5" x14ac:dyDescent="0.25">
      <c r="A5452" t="str">
        <f>HYPERLINK("https://www.773grp.com/globalSearch/CDC2509BPW/page-1", "CDC2509BPW")</f>
        <v>CDC2509BPW</v>
      </c>
      <c r="B5452" s="3" t="s">
        <v>90</v>
      </c>
      <c r="C5452" s="5">
        <v>14420</v>
      </c>
      <c r="D5452" s="6">
        <v>9.56</v>
      </c>
      <c r="E5452" t="s">
        <v>30</v>
      </c>
    </row>
    <row r="5453" spans="1:5" x14ac:dyDescent="0.25">
      <c r="A5453" t="str">
        <f>HYPERLINK("https://www.773grp.com/globalSearch/CDCVF2509PWR/page-1", "CDCVF2509PWR")</f>
        <v>CDCVF2509PWR</v>
      </c>
      <c r="B5453" s="3" t="s">
        <v>90</v>
      </c>
      <c r="C5453" s="5">
        <v>1903</v>
      </c>
      <c r="D5453" s="6">
        <v>9.59</v>
      </c>
      <c r="E5453" t="s">
        <v>30</v>
      </c>
    </row>
    <row r="5454" spans="1:5" x14ac:dyDescent="0.25">
      <c r="A5454" t="str">
        <f>HYPERLINK("https://www.773grp.com/globalSearch/CDC339DWR/page-1", "CDC339DWR")</f>
        <v>CDC339DWR</v>
      </c>
      <c r="B5454" s="3" t="s">
        <v>90</v>
      </c>
      <c r="C5454" s="5">
        <v>3000</v>
      </c>
      <c r="D5454" s="6">
        <v>9.84</v>
      </c>
      <c r="E5454" t="s">
        <v>30</v>
      </c>
    </row>
    <row r="5455" spans="1:5" x14ac:dyDescent="0.25">
      <c r="A5455" t="str">
        <f>HYPERLINK("https://www.773grp.com/globalSearch/CDCP1803RTHT/page-1", "CDCP1803RTHT")</f>
        <v>CDCP1803RTHT</v>
      </c>
      <c r="B5455" s="3" t="s">
        <v>90</v>
      </c>
      <c r="C5455" s="5">
        <v>35932</v>
      </c>
      <c r="D5455" s="6">
        <v>9.84</v>
      </c>
      <c r="E5455" t="s">
        <v>30</v>
      </c>
    </row>
    <row r="5456" spans="1:5" x14ac:dyDescent="0.25">
      <c r="A5456" t="str">
        <f>HYPERLINK("https://www.773grp.com/globalSearch/CDCV857ADGG/page-1", "CDCV857ADGG")</f>
        <v>CDCV857ADGG</v>
      </c>
      <c r="B5456" s="3" t="s">
        <v>90</v>
      </c>
      <c r="C5456" s="5">
        <v>219</v>
      </c>
      <c r="D5456" s="6">
        <v>9.84</v>
      </c>
      <c r="E5456" t="s">
        <v>30</v>
      </c>
    </row>
    <row r="5457" spans="1:5" x14ac:dyDescent="0.25">
      <c r="A5457" t="str">
        <f>HYPERLINK("https://www.773grp.com/globalSearch/CDCV857ADGGG4/page-1", "CDCV857ADGGG4")</f>
        <v>CDCV857ADGGG4</v>
      </c>
      <c r="B5457" s="3" t="s">
        <v>90</v>
      </c>
      <c r="C5457" s="5">
        <v>7</v>
      </c>
      <c r="D5457" s="6">
        <v>9.84</v>
      </c>
      <c r="E5457" t="s">
        <v>30</v>
      </c>
    </row>
    <row r="5458" spans="1:5" x14ac:dyDescent="0.25">
      <c r="A5458" t="str">
        <f>HYPERLINK("https://www.773grp.com/globalSearch/CDCF5801ADBQ/page-1", "CDCF5801ADBQ")</f>
        <v>CDCF5801ADBQ</v>
      </c>
      <c r="B5458" s="3" t="s">
        <v>90</v>
      </c>
      <c r="C5458" s="5">
        <v>950</v>
      </c>
      <c r="D5458" s="6">
        <v>9.99</v>
      </c>
      <c r="E5458" t="s">
        <v>30</v>
      </c>
    </row>
    <row r="5459" spans="1:5" x14ac:dyDescent="0.25">
      <c r="A5459" t="str">
        <f>HYPERLINK("https://www.773grp.com/globalSearch/CDCF2510PWR/page-1", "CDCF2510PWR")</f>
        <v>CDCF2510PWR</v>
      </c>
      <c r="B5459" s="3" t="s">
        <v>90</v>
      </c>
      <c r="C5459" s="5">
        <v>105502</v>
      </c>
      <c r="D5459" s="6">
        <v>10.01</v>
      </c>
      <c r="E5459" t="s">
        <v>30</v>
      </c>
    </row>
    <row r="5460" spans="1:5" x14ac:dyDescent="0.25">
      <c r="A5460" t="str">
        <f>HYPERLINK("https://www.773grp.com/globalSearch/CDCF2510PWRG4/page-1", "CDCF2510PWRG4")</f>
        <v>CDCF2510PWRG4</v>
      </c>
      <c r="B5460" s="3" t="s">
        <v>90</v>
      </c>
      <c r="C5460" s="5">
        <v>2000</v>
      </c>
      <c r="D5460" s="6">
        <v>10.01</v>
      </c>
      <c r="E5460" t="s">
        <v>30</v>
      </c>
    </row>
    <row r="5461" spans="1:5" x14ac:dyDescent="0.25">
      <c r="A5461" t="str">
        <f>HYPERLINK("https://www.773grp.com/globalSearch/CDCUA877ZQLR/page-1", "CDCUA877ZQLR")</f>
        <v>CDCUA877ZQLR</v>
      </c>
      <c r="B5461" s="3" t="s">
        <v>90</v>
      </c>
      <c r="C5461" s="5">
        <v>5344</v>
      </c>
      <c r="D5461" s="6">
        <v>10.130000000000001</v>
      </c>
      <c r="E5461" t="s">
        <v>30</v>
      </c>
    </row>
    <row r="5462" spans="1:5" x14ac:dyDescent="0.25">
      <c r="A5462" t="str">
        <f>HYPERLINK("https://www.773grp.com/globalSearch/CDCVF857DGGR/page-1", "CDCVF857DGGR")</f>
        <v>CDCVF857DGGR</v>
      </c>
      <c r="B5462" s="3" t="s">
        <v>90</v>
      </c>
      <c r="C5462" s="5">
        <v>53500</v>
      </c>
      <c r="D5462" s="6">
        <v>10.130000000000001</v>
      </c>
      <c r="E5462" t="s">
        <v>30</v>
      </c>
    </row>
    <row r="5463" spans="1:5" x14ac:dyDescent="0.25">
      <c r="A5463" t="str">
        <f>HYPERLINK("https://www.773grp.com/globalSearch/CDCVF857RTBR/page-1", "CDCVF857RTBR")</f>
        <v>CDCVF857RTBR</v>
      </c>
      <c r="B5463" s="3" t="s">
        <v>90</v>
      </c>
      <c r="C5463" s="5">
        <v>32500</v>
      </c>
      <c r="D5463" s="6">
        <v>10.130000000000001</v>
      </c>
      <c r="E5463" t="s">
        <v>30</v>
      </c>
    </row>
    <row r="5464" spans="1:5" x14ac:dyDescent="0.25">
      <c r="A5464" t="str">
        <f>HYPERLINK("https://www.773grp.com/globalSearch/CDC2536DL/page-1", "CDC2536DL")</f>
        <v>CDC2536DL</v>
      </c>
      <c r="B5464" s="3" t="s">
        <v>90</v>
      </c>
      <c r="C5464" s="5">
        <v>299</v>
      </c>
      <c r="D5464" s="6">
        <v>10.18</v>
      </c>
      <c r="E5464" t="s">
        <v>30</v>
      </c>
    </row>
    <row r="5465" spans="1:5" x14ac:dyDescent="0.25">
      <c r="A5465" t="str">
        <f>HYPERLINK("https://www.773grp.com/globalSearch/CDCP1803RGET/page-1", "CDCP1803RGET")</f>
        <v>CDCP1803RGET</v>
      </c>
      <c r="B5465" s="3" t="s">
        <v>90</v>
      </c>
      <c r="C5465" s="5">
        <v>26730</v>
      </c>
      <c r="D5465" s="6">
        <v>10.26</v>
      </c>
      <c r="E5465" t="s">
        <v>30</v>
      </c>
    </row>
    <row r="5466" spans="1:5" x14ac:dyDescent="0.25">
      <c r="A5466" t="str">
        <f>HYPERLINK("https://www.773grp.com/globalSearch/CDCV857BDGGR/page-1", "CDCV857BDGGR")</f>
        <v>CDCV857BDGGR</v>
      </c>
      <c r="B5466" s="3" t="s">
        <v>90</v>
      </c>
      <c r="C5466" s="5">
        <v>136000</v>
      </c>
      <c r="D5466" s="6">
        <v>10.26</v>
      </c>
      <c r="E5466" t="s">
        <v>30</v>
      </c>
    </row>
    <row r="5467" spans="1:5" x14ac:dyDescent="0.25">
      <c r="A5467" t="str">
        <f>HYPERLINK("https://www.773grp.com/globalSearch/CDCV857BDGGRG4/page-1", "CDCV857BDGGRG4")</f>
        <v>CDCV857BDGGRG4</v>
      </c>
      <c r="B5467" s="3" t="s">
        <v>90</v>
      </c>
      <c r="C5467" s="5">
        <v>2000</v>
      </c>
      <c r="D5467" s="6">
        <v>10.26</v>
      </c>
      <c r="E5467" t="s">
        <v>30</v>
      </c>
    </row>
    <row r="5468" spans="1:5" x14ac:dyDescent="0.25">
      <c r="A5468" t="str">
        <f>HYPERLINK("https://www.773grp.com/globalSearch/CDCLVP2102RGTT/page-1", "CDCLVP2102RGTT")</f>
        <v>CDCLVP2102RGTT</v>
      </c>
      <c r="B5468" s="3" t="s">
        <v>90</v>
      </c>
      <c r="C5468" s="5">
        <v>500</v>
      </c>
      <c r="D5468" s="6">
        <v>10.69</v>
      </c>
      <c r="E5468" t="s">
        <v>30</v>
      </c>
    </row>
    <row r="5469" spans="1:5" x14ac:dyDescent="0.25">
      <c r="A5469" t="str">
        <f>HYPERLINK("https://www.773grp.com/globalSearch/CDC516DGGR/page-1", "CDC516DGGR")</f>
        <v>CDC516DGGR</v>
      </c>
      <c r="B5469" s="3" t="s">
        <v>90</v>
      </c>
      <c r="C5469" s="5">
        <v>9973</v>
      </c>
      <c r="D5469" s="6">
        <v>10.76</v>
      </c>
      <c r="E5469" t="s">
        <v>30</v>
      </c>
    </row>
    <row r="5470" spans="1:5" x14ac:dyDescent="0.25">
      <c r="A5470" t="str">
        <f>HYPERLINK("https://www.773grp.com/globalSearch/CDC516DGGRG4/page-1", "CDC516DGGRG4")</f>
        <v>CDC516DGGRG4</v>
      </c>
      <c r="B5470" s="3" t="s">
        <v>90</v>
      </c>
      <c r="C5470" s="5">
        <v>1880</v>
      </c>
      <c r="D5470" s="6">
        <v>10.76</v>
      </c>
      <c r="E5470" t="s">
        <v>30</v>
      </c>
    </row>
    <row r="5471" spans="1:5" x14ac:dyDescent="0.25">
      <c r="A5471" t="str">
        <f>HYPERLINK("https://www.773grp.com/globalSearch/CDCU2A877ZQLT/page-1", "CDCU2A877ZQLT")</f>
        <v>CDCU2A877ZQLT</v>
      </c>
      <c r="B5471" s="3" t="s">
        <v>90</v>
      </c>
      <c r="C5471" s="5">
        <v>4746</v>
      </c>
      <c r="D5471" s="6">
        <v>10.84</v>
      </c>
      <c r="E5471" t="s">
        <v>30</v>
      </c>
    </row>
    <row r="5472" spans="1:5" x14ac:dyDescent="0.25">
      <c r="A5472" t="str">
        <f>HYPERLINK("https://www.773grp.com/globalSearch/CDCU877AGQLT/page-1", "CDCU877AGQLT")</f>
        <v>CDCU877AGQLT</v>
      </c>
      <c r="B5472" s="3" t="s">
        <v>90</v>
      </c>
      <c r="C5472" s="5">
        <v>7750</v>
      </c>
      <c r="D5472" s="6">
        <v>10.84</v>
      </c>
      <c r="E5472" t="s">
        <v>30</v>
      </c>
    </row>
    <row r="5473" spans="1:5" x14ac:dyDescent="0.25">
      <c r="A5473" t="str">
        <f>HYPERLINK("https://www.773grp.com/globalSearch/CDCU877ARHAT/page-1", "CDCU877ARHAT")</f>
        <v>CDCU877ARHAT</v>
      </c>
      <c r="B5473" s="3" t="s">
        <v>90</v>
      </c>
      <c r="C5473" s="5">
        <v>171</v>
      </c>
      <c r="D5473" s="6">
        <v>10.84</v>
      </c>
      <c r="E5473" t="s">
        <v>30</v>
      </c>
    </row>
    <row r="5474" spans="1:5" x14ac:dyDescent="0.25">
      <c r="A5474" t="str">
        <f>HYPERLINK("https://www.773grp.com/globalSearch/CDCU877AZQLT/page-1", "CDCU877AZQLT")</f>
        <v>CDCU877AZQLT</v>
      </c>
      <c r="B5474" s="3" t="s">
        <v>90</v>
      </c>
      <c r="C5474" s="5">
        <v>6250</v>
      </c>
      <c r="D5474" s="6">
        <v>10.84</v>
      </c>
      <c r="E5474" t="s">
        <v>30</v>
      </c>
    </row>
    <row r="5475" spans="1:5" x14ac:dyDescent="0.25">
      <c r="A5475" t="str">
        <f>HYPERLINK("https://www.773grp.com/globalSearch/CDCU877BZQLT/page-1", "CDCU877BZQLT")</f>
        <v>CDCU877BZQLT</v>
      </c>
      <c r="B5475" s="3" t="s">
        <v>90</v>
      </c>
      <c r="C5475" s="5">
        <v>8443</v>
      </c>
      <c r="D5475" s="6">
        <v>10.84</v>
      </c>
      <c r="E5475" t="s">
        <v>30</v>
      </c>
    </row>
    <row r="5476" spans="1:5" x14ac:dyDescent="0.25">
      <c r="A5476" t="str">
        <f>HYPERLINK("https://www.773grp.com/globalSearch/CDCU877GQLT/page-1", "CDCU877GQLT")</f>
        <v>CDCU877GQLT</v>
      </c>
      <c r="B5476" s="3" t="s">
        <v>90</v>
      </c>
      <c r="C5476" s="5">
        <v>8259</v>
      </c>
      <c r="D5476" s="6">
        <v>10.84</v>
      </c>
      <c r="E5476" t="s">
        <v>30</v>
      </c>
    </row>
    <row r="5477" spans="1:5" x14ac:dyDescent="0.25">
      <c r="A5477" t="str">
        <f>HYPERLINK("https://www.773grp.com/globalSearch/CDCU877ZQLT/page-1", "CDCU877ZQLT")</f>
        <v>CDCU877ZQLT</v>
      </c>
      <c r="B5477" s="3" t="s">
        <v>90</v>
      </c>
      <c r="C5477" s="5">
        <v>13200</v>
      </c>
      <c r="D5477" s="6">
        <v>10.84</v>
      </c>
      <c r="E5477" t="s">
        <v>30</v>
      </c>
    </row>
    <row r="5478" spans="1:5" x14ac:dyDescent="0.25">
      <c r="A5478" t="str">
        <f>HYPERLINK("https://www.773grp.com/globalSearch/CDCVF857GQLR/page-1", "CDCVF857GQLR")</f>
        <v>CDCVF857GQLR</v>
      </c>
      <c r="B5478" s="3" t="s">
        <v>90</v>
      </c>
      <c r="C5478" s="5">
        <v>18000</v>
      </c>
      <c r="D5478" s="6">
        <v>10.84</v>
      </c>
      <c r="E5478" t="s">
        <v>30</v>
      </c>
    </row>
    <row r="5479" spans="1:5" x14ac:dyDescent="0.25">
      <c r="A5479" t="str">
        <f>HYPERLINK("https://www.773grp.com/globalSearch/CDCVF857RHAR/page-1", "CDCVF857RHAR")</f>
        <v>CDCVF857RHAR</v>
      </c>
      <c r="B5479" s="3" t="s">
        <v>90</v>
      </c>
      <c r="C5479" s="5">
        <v>62500</v>
      </c>
      <c r="D5479" s="6">
        <v>10.84</v>
      </c>
      <c r="E5479" t="s">
        <v>30</v>
      </c>
    </row>
    <row r="5480" spans="1:5" x14ac:dyDescent="0.25">
      <c r="A5480" t="str">
        <f>HYPERLINK("https://www.773grp.com/globalSearch/CDCVF857ZQLR/page-1", "CDCVF857ZQLR")</f>
        <v>CDCVF857ZQLR</v>
      </c>
      <c r="B5480" s="3" t="s">
        <v>90</v>
      </c>
      <c r="C5480" s="5">
        <v>1090</v>
      </c>
      <c r="D5480" s="6">
        <v>10.84</v>
      </c>
      <c r="E5480" t="s">
        <v>30</v>
      </c>
    </row>
    <row r="5481" spans="1:5" x14ac:dyDescent="0.25">
      <c r="A5481" t="str">
        <f>HYPERLINK("https://www.773grp.com/globalSearch/CDC2516DGGR/page-1", "CDC2516DGGR")</f>
        <v>CDC2516DGGR</v>
      </c>
      <c r="B5481" s="3" t="s">
        <v>90</v>
      </c>
      <c r="C5481" s="5">
        <v>35396</v>
      </c>
      <c r="D5481" s="6">
        <v>10.94</v>
      </c>
      <c r="E5481" t="s">
        <v>30</v>
      </c>
    </row>
    <row r="5482" spans="1:5" x14ac:dyDescent="0.25">
      <c r="A5482" t="str">
        <f>HYPERLINK("https://www.773grp.com/globalSearch/CDCV857BGQLR/page-1", "CDCV857BGQLR")</f>
        <v>CDCV857BGQLR</v>
      </c>
      <c r="B5482" s="3" t="s">
        <v>90</v>
      </c>
      <c r="C5482" s="5">
        <v>8000</v>
      </c>
      <c r="D5482" s="6">
        <v>10.98</v>
      </c>
      <c r="E5482" t="s">
        <v>30</v>
      </c>
    </row>
    <row r="5483" spans="1:5" x14ac:dyDescent="0.25">
      <c r="A5483" t="str">
        <f>HYPERLINK("https://www.773grp.com/globalSearch/CDCVF25084PWR/page-1", "CDCVF25084PWR")</f>
        <v>CDCVF25084PWR</v>
      </c>
      <c r="B5483" s="3" t="s">
        <v>90</v>
      </c>
      <c r="C5483" s="5">
        <v>10000</v>
      </c>
      <c r="D5483" s="6">
        <v>10.98</v>
      </c>
      <c r="E5483" t="s">
        <v>30</v>
      </c>
    </row>
    <row r="5484" spans="1:5" x14ac:dyDescent="0.25">
      <c r="A5484" t="str">
        <f>HYPERLINK("https://www.773grp.com/globalSearch/CDCVF2509APWR/page-1", "CDCVF2509APWR")</f>
        <v>CDCVF2509APWR</v>
      </c>
      <c r="B5484" s="3" t="s">
        <v>90</v>
      </c>
      <c r="C5484" s="5">
        <v>10000</v>
      </c>
      <c r="D5484" s="6">
        <v>10.98</v>
      </c>
      <c r="E5484" t="s">
        <v>30</v>
      </c>
    </row>
    <row r="5485" spans="1:5" x14ac:dyDescent="0.25">
      <c r="A5485" t="str">
        <f>HYPERLINK("https://www.773grp.com/globalSearch/SN74SSQEA32882ZALR/page-1", "SN74SSQEA32882ZALR")</f>
        <v>SN74SSQEA32882ZALR</v>
      </c>
      <c r="B5485" s="3" t="s">
        <v>90</v>
      </c>
      <c r="C5485" s="5">
        <v>3792</v>
      </c>
      <c r="D5485" s="6">
        <v>10.98</v>
      </c>
      <c r="E5485" t="s">
        <v>30</v>
      </c>
    </row>
    <row r="5486" spans="1:5" x14ac:dyDescent="0.25">
      <c r="A5486" t="str">
        <f>HYPERLINK("https://www.773grp.com/globalSearch/CDCVF857RTBT/page-1", "CDCVF857RTBT")</f>
        <v>CDCVF857RTBT</v>
      </c>
      <c r="B5486" s="3" t="s">
        <v>90</v>
      </c>
      <c r="C5486" s="5">
        <v>18621</v>
      </c>
      <c r="D5486" s="6">
        <v>11.1</v>
      </c>
      <c r="E5486" t="s">
        <v>30</v>
      </c>
    </row>
    <row r="5487" spans="1:5" x14ac:dyDescent="0.25">
      <c r="A5487" t="str">
        <f>HYPERLINK("https://www.773grp.com/globalSearch/CDC2509APWR/page-1", "CDC2509APWR")</f>
        <v>CDC2509APWR</v>
      </c>
      <c r="B5487" s="3" t="s">
        <v>90</v>
      </c>
      <c r="C5487" s="5">
        <v>28000</v>
      </c>
      <c r="D5487" s="6">
        <v>11.39</v>
      </c>
      <c r="E5487" t="s">
        <v>30</v>
      </c>
    </row>
    <row r="5488" spans="1:5" x14ac:dyDescent="0.25">
      <c r="A5488" t="str">
        <f>HYPERLINK("https://www.773grp.com/globalSearch/CDC2509CPWR/page-1", "CDC2509CPWR")</f>
        <v>CDC2509CPWR</v>
      </c>
      <c r="B5488" s="3" t="s">
        <v>90</v>
      </c>
      <c r="C5488" s="5">
        <v>16459</v>
      </c>
      <c r="D5488" s="6">
        <v>11.39</v>
      </c>
      <c r="E5488" t="s">
        <v>30</v>
      </c>
    </row>
    <row r="5489" spans="1:5" x14ac:dyDescent="0.25">
      <c r="A5489" t="str">
        <f>HYPERLINK("https://www.773grp.com/globalSearch/CDCVF2509PW/page-1", "CDCVF2509PW")</f>
        <v>CDCVF2509PW</v>
      </c>
      <c r="B5489" s="3" t="s">
        <v>90</v>
      </c>
      <c r="C5489" s="5">
        <v>14889</v>
      </c>
      <c r="D5489" s="6">
        <v>11.43</v>
      </c>
      <c r="E5489" t="s">
        <v>30</v>
      </c>
    </row>
    <row r="5490" spans="1:5" x14ac:dyDescent="0.25">
      <c r="A5490" t="str">
        <f>HYPERLINK("https://www.773grp.com/globalSearch/CDCM61004RHBT/page-1", "CDCM61004RHBT")</f>
        <v>CDCM61004RHBT</v>
      </c>
      <c r="B5490" s="3" t="s">
        <v>90</v>
      </c>
      <c r="C5490" s="5">
        <v>2600</v>
      </c>
      <c r="D5490" s="6">
        <v>11.53</v>
      </c>
      <c r="E5490" t="s">
        <v>30</v>
      </c>
    </row>
    <row r="5491" spans="1:5" x14ac:dyDescent="0.25">
      <c r="A5491" t="str">
        <f>HYPERLINK("https://www.773grp.com/globalSearch/CDC340DWR/page-1", "CDC340DWR")</f>
        <v>CDC340DWR</v>
      </c>
      <c r="B5491" s="3" t="s">
        <v>90</v>
      </c>
      <c r="C5491" s="5">
        <v>1945</v>
      </c>
      <c r="D5491" s="6">
        <v>11.81</v>
      </c>
      <c r="E5491" t="s">
        <v>30</v>
      </c>
    </row>
    <row r="5492" spans="1:5" x14ac:dyDescent="0.25">
      <c r="A5492" t="str">
        <f>HYPERLINK("https://www.773grp.com/globalSearch/CDCV857BIDGGR/page-1", "CDCV857BIDGGR")</f>
        <v>CDCV857BIDGGR</v>
      </c>
      <c r="B5492" s="3" t="s">
        <v>90</v>
      </c>
      <c r="C5492" s="5">
        <v>5430</v>
      </c>
      <c r="D5492" s="6">
        <v>11.81</v>
      </c>
      <c r="E5492" t="s">
        <v>30</v>
      </c>
    </row>
    <row r="5493" spans="1:5" x14ac:dyDescent="0.25">
      <c r="A5493" t="str">
        <f>HYPERLINK("https://www.773grp.com/globalSearch/CDCF2510PW/page-1", "CDCF2510PW")</f>
        <v>CDCF2510PW</v>
      </c>
      <c r="B5493" s="3" t="s">
        <v>90</v>
      </c>
      <c r="C5493" s="5">
        <v>20714</v>
      </c>
      <c r="D5493" s="6">
        <v>11.9</v>
      </c>
      <c r="E5493" t="s">
        <v>30</v>
      </c>
    </row>
    <row r="5494" spans="1:5" x14ac:dyDescent="0.25">
      <c r="A5494" t="str">
        <f>HYPERLINK("https://www.773grp.com/globalSearch/CDC339DBR/page-1", "CDC339DBR")</f>
        <v>CDC339DBR</v>
      </c>
      <c r="B5494" s="3" t="str">
        <f>HYPERLINK("https://www.773grp.com/manufacturer/texas-instruments?pageNo=44", "Texas Instruments")</f>
        <v>Texas Instruments</v>
      </c>
      <c r="C5494" s="5">
        <v>6000</v>
      </c>
      <c r="D5494" s="6">
        <v>12.24</v>
      </c>
      <c r="E5494" t="s">
        <v>30</v>
      </c>
    </row>
    <row r="5495" spans="1:5" x14ac:dyDescent="0.25">
      <c r="A5495" t="str">
        <f>HYPERLINK("https://www.773grp.com/globalSearch/CDCVF857DGG/page-1", "CDCVF857DGG")</f>
        <v>CDCVF857DGG</v>
      </c>
      <c r="B5495" s="3" t="str">
        <f>HYPERLINK("https://www.773grp.com/manufacturer/texas-instruments?pageNo=45", "Texas Instruments")</f>
        <v>Texas Instruments</v>
      </c>
      <c r="C5495" s="5">
        <v>485</v>
      </c>
      <c r="D5495" s="6">
        <v>12.24</v>
      </c>
      <c r="E5495" t="s">
        <v>30</v>
      </c>
    </row>
    <row r="5496" spans="1:5" x14ac:dyDescent="0.25">
      <c r="A5496" t="str">
        <f>HYPERLINK("https://www.773grp.com/globalSearch/CDCV857BDGG/page-1", "CDCV857BDGG")</f>
        <v>CDCV857BDGG</v>
      </c>
      <c r="B5496" s="3" t="str">
        <f>HYPERLINK("https://www.773grp.com/manufacturer/texas-instruments?pageNo=118", "Texas Instruments")</f>
        <v>Texas Instruments</v>
      </c>
      <c r="C5496" s="5">
        <v>197</v>
      </c>
      <c r="D5496" s="6">
        <v>12.38</v>
      </c>
      <c r="E5496" t="s">
        <v>30</v>
      </c>
    </row>
    <row r="5497" spans="1:5" x14ac:dyDescent="0.25">
      <c r="A5497" t="str">
        <f>HYPERLINK("https://www.773grp.com/globalSearch/CDCVF857RHAT/page-1", "CDCVF857RHAT")</f>
        <v>CDCVF857RHAT</v>
      </c>
      <c r="B5497" s="3" t="str">
        <f>HYPERLINK("https://www.773grp.com/manufacturer/texas-instruments?pageNo=119", "Texas Instruments")</f>
        <v>Texas Instruments</v>
      </c>
      <c r="C5497" s="5">
        <v>1000</v>
      </c>
      <c r="D5497" s="6">
        <v>12.38</v>
      </c>
      <c r="E5497" t="s">
        <v>30</v>
      </c>
    </row>
    <row r="5498" spans="1:5" x14ac:dyDescent="0.25">
      <c r="A5498" t="str">
        <f>HYPERLINK("https://www.773grp.com/globalSearch/CDCVF857RHAT/page-1", "CDCVF857RHAT")</f>
        <v>CDCVF857RHAT</v>
      </c>
      <c r="B5498" s="3" t="str">
        <f>HYPERLINK("https://www.773grp.com/manufacturer/texas-instruments?pageNo=120", "Texas Instruments")</f>
        <v>Texas Instruments</v>
      </c>
      <c r="C5498" s="5">
        <v>750</v>
      </c>
      <c r="D5498" s="6">
        <v>12.38</v>
      </c>
      <c r="E5498" t="s">
        <v>30</v>
      </c>
    </row>
    <row r="5499" spans="1:5" x14ac:dyDescent="0.25">
      <c r="A5499" t="str">
        <f>HYPERLINK("https://www.773grp.com/globalSearch/CDCV857DGGR/page-1", "CDCV857DGGR")</f>
        <v>CDCV857DGGR</v>
      </c>
      <c r="B5499" s="3" t="str">
        <f>HYPERLINK("https://www.773grp.com/manufacturer/texas-instruments?pageNo=160", "Texas Instruments")</f>
        <v>Texas Instruments</v>
      </c>
      <c r="C5499" s="5">
        <v>18195</v>
      </c>
      <c r="D5499" s="6">
        <v>12.4</v>
      </c>
      <c r="E5499" t="s">
        <v>30</v>
      </c>
    </row>
    <row r="5500" spans="1:5" x14ac:dyDescent="0.25">
      <c r="A5500" t="str">
        <f>HYPERLINK("https://www.773grp.com/globalSearch/CDC516DGG/page-1", "CDC516DGG")</f>
        <v>CDC516DGG</v>
      </c>
      <c r="B5500" s="3" t="str">
        <f>HYPERLINK("https://www.773grp.com/manufacturer/texas-instruments?pageNo=388", "Texas Instruments")</f>
        <v>Texas Instruments</v>
      </c>
      <c r="C5500" s="5">
        <v>6032</v>
      </c>
      <c r="D5500" s="6">
        <v>12.83</v>
      </c>
      <c r="E5500" t="s">
        <v>30</v>
      </c>
    </row>
    <row r="5501" spans="1:5" x14ac:dyDescent="0.25">
      <c r="A5501" t="str">
        <f>HYPERLINK("https://www.773grp.com/globalSearch/CDCVF25084PW/page-1", "CDCVF25084PW")</f>
        <v>CDCVF25084PW</v>
      </c>
      <c r="B5501" s="3" t="str">
        <f>HYPERLINK("https://www.773grp.com/manufacturer/texas-instruments?pageNo=515", "Texas Instruments")</f>
        <v>Texas Instruments</v>
      </c>
      <c r="C5501" s="5">
        <v>1605</v>
      </c>
      <c r="D5501" s="6">
        <v>13.08</v>
      </c>
      <c r="E5501" t="s">
        <v>30</v>
      </c>
    </row>
    <row r="5502" spans="1:5" x14ac:dyDescent="0.25">
      <c r="A5502" t="str">
        <f>HYPERLINK("https://www.773grp.com/globalSearch/CDCVF2509APW/page-1", "CDCVF2509APW")</f>
        <v>CDCVF2509APW</v>
      </c>
      <c r="B5502" s="3" t="str">
        <f>HYPERLINK("https://www.773grp.com/manufacturer/texas-instruments?pageNo=516", "Texas Instruments")</f>
        <v>Texas Instruments</v>
      </c>
      <c r="C5502" s="5">
        <v>162</v>
      </c>
      <c r="D5502" s="6">
        <v>13.08</v>
      </c>
      <c r="E5502" t="s">
        <v>30</v>
      </c>
    </row>
    <row r="5503" spans="1:5" x14ac:dyDescent="0.25">
      <c r="A5503" t="str">
        <f>HYPERLINK("https://www.773grp.com/globalSearch/CDC328ADBR/page-1", "CDC328ADBR")</f>
        <v>CDC328ADBR</v>
      </c>
      <c r="B5503" s="3" t="str">
        <f>HYPERLINK("https://www.773grp.com/manufacturer/texas-instruments?pageNo=546", "Texas Instruments")</f>
        <v>Texas Instruments</v>
      </c>
      <c r="C5503" s="5">
        <v>33661</v>
      </c>
      <c r="D5503" s="6">
        <v>13.13</v>
      </c>
      <c r="E5503" t="s">
        <v>30</v>
      </c>
    </row>
    <row r="5504" spans="1:5" x14ac:dyDescent="0.25">
      <c r="A5504" t="str">
        <f>HYPERLINK("https://www.773grp.com/globalSearch/CDCM1802RGTR/page-1", "CDCM1802RGTR")</f>
        <v>CDCM1802RGTR</v>
      </c>
      <c r="B5504" s="3" t="str">
        <f>HYPERLINK("https://www.773grp.com/manufacturer/texas-instruments?pageNo=565", "Texas Instruments")</f>
        <v>Texas Instruments</v>
      </c>
      <c r="C5504" s="5">
        <v>2839</v>
      </c>
      <c r="D5504" s="6">
        <v>13.21</v>
      </c>
      <c r="E5504" t="s">
        <v>30</v>
      </c>
    </row>
    <row r="5505" spans="1:5" x14ac:dyDescent="0.25">
      <c r="A5505" t="str">
        <f>HYPERLINK("https://www.773grp.com/globalSearch/CDC2509CPW/page-1", "CDC2509CPW")</f>
        <v>CDC2509CPW</v>
      </c>
      <c r="B5505" s="3" t="str">
        <f>HYPERLINK("https://www.773grp.com/manufacturer/texas-instruments?pageNo=810", "Texas Instruments")</f>
        <v>Texas Instruments</v>
      </c>
      <c r="C5505" s="5">
        <v>5309</v>
      </c>
      <c r="D5505" s="6">
        <v>13.64</v>
      </c>
      <c r="E5505" t="s">
        <v>30</v>
      </c>
    </row>
    <row r="5506" spans="1:5" x14ac:dyDescent="0.25">
      <c r="A5506" t="str">
        <f>HYPERLINK("https://www.773grp.com/globalSearch/CDCF2509PWR/page-1", "CDCF2509PWR")</f>
        <v>CDCF2509PWR</v>
      </c>
      <c r="B5506" s="3" t="str">
        <f>HYPERLINK("https://www.773grp.com/manufacturer/texas-instruments?pageNo=844", "Texas Instruments")</f>
        <v>Texas Instruments</v>
      </c>
      <c r="C5506" s="5">
        <v>30030</v>
      </c>
      <c r="D5506" s="6">
        <v>13.73</v>
      </c>
      <c r="E5506" t="s">
        <v>30</v>
      </c>
    </row>
    <row r="5507" spans="1:5" x14ac:dyDescent="0.25">
      <c r="A5507" t="str">
        <f>HYPERLINK("https://www.773grp.com/globalSearch/CDCV857BIDGG/page-1", "CDCV857BIDGG")</f>
        <v>CDCV857BIDGG</v>
      </c>
      <c r="B5507" s="3" t="str">
        <f>HYPERLINK("https://www.773grp.com/manufacturer/texas-instruments?pageNo=951", "Texas Instruments")</f>
        <v>Texas Instruments</v>
      </c>
      <c r="C5507" s="5">
        <v>3551</v>
      </c>
      <c r="D5507" s="6">
        <v>13.93</v>
      </c>
      <c r="E5507" t="s">
        <v>30</v>
      </c>
    </row>
    <row r="5508" spans="1:5" x14ac:dyDescent="0.25">
      <c r="A5508" t="str">
        <f>HYPERLINK("https://www.773grp.com/globalSearch/CDCV857DGG/page-1", "CDCV857DGG")</f>
        <v>CDCV857DGG</v>
      </c>
      <c r="B5508" s="3" t="s">
        <v>90</v>
      </c>
      <c r="C5508" s="5">
        <v>16596</v>
      </c>
      <c r="D5508" s="6">
        <v>14.76</v>
      </c>
      <c r="E5508" t="s">
        <v>30</v>
      </c>
    </row>
    <row r="5509" spans="1:5" x14ac:dyDescent="0.25">
      <c r="A5509" t="str">
        <f>HYPERLINK("https://www.773grp.com/globalSearch/CDC208N/page-1", "CDC208N")</f>
        <v>CDC208N</v>
      </c>
      <c r="B5509" s="3" t="s">
        <v>90</v>
      </c>
      <c r="C5509" s="5">
        <v>592</v>
      </c>
      <c r="D5509" s="6">
        <v>14.9</v>
      </c>
      <c r="E5509" t="s">
        <v>30</v>
      </c>
    </row>
    <row r="5510" spans="1:5" x14ac:dyDescent="0.25">
      <c r="A5510" t="str">
        <f>HYPERLINK("https://www.773grp.com/globalSearch/CDC208DWR/page-1", "CDC208DWR")</f>
        <v>CDC208DWR</v>
      </c>
      <c r="B5510" s="3" t="s">
        <v>90</v>
      </c>
      <c r="C5510" s="5">
        <v>12000</v>
      </c>
      <c r="D5510" s="6">
        <v>15.08</v>
      </c>
      <c r="E5510" t="s">
        <v>30</v>
      </c>
    </row>
    <row r="5511" spans="1:5" x14ac:dyDescent="0.25">
      <c r="A5511" t="str">
        <f>HYPERLINK("https://www.773grp.com/globalSearch/CDCM1802RGTT/page-1", "CDCM1802RGTT")</f>
        <v>CDCM1802RGTT</v>
      </c>
      <c r="B5511" s="3" t="s">
        <v>90</v>
      </c>
      <c r="C5511" s="5">
        <v>273</v>
      </c>
      <c r="D5511" s="6">
        <v>15.19</v>
      </c>
      <c r="E5511" t="s">
        <v>30</v>
      </c>
    </row>
    <row r="5512" spans="1:5" x14ac:dyDescent="0.25">
      <c r="A5512" t="str">
        <f>HYPERLINK("https://www.773grp.com/globalSearch/CDC339DB/page-1", "CDC339DB")</f>
        <v>CDC339DB</v>
      </c>
      <c r="B5512" s="3" t="s">
        <v>90</v>
      </c>
      <c r="C5512" s="5">
        <v>8057</v>
      </c>
      <c r="D5512" s="6">
        <v>15.3</v>
      </c>
      <c r="E5512" t="s">
        <v>30</v>
      </c>
    </row>
    <row r="5513" spans="1:5" x14ac:dyDescent="0.25">
      <c r="A5513" t="str">
        <f>HYPERLINK("https://www.773grp.com/globalSearch/CDC339DW/page-1", "CDC339DW")</f>
        <v>CDC339DW</v>
      </c>
      <c r="B5513" s="3" t="s">
        <v>90</v>
      </c>
      <c r="C5513" s="5">
        <v>11027</v>
      </c>
      <c r="D5513" s="6">
        <v>15.3</v>
      </c>
      <c r="E5513" t="s">
        <v>30</v>
      </c>
    </row>
    <row r="5514" spans="1:5" x14ac:dyDescent="0.25">
      <c r="A5514" t="str">
        <f>HYPERLINK("https://www.773grp.com/globalSearch/CDC2351DWR/page-1", "CDC2351DWR")</f>
        <v>CDC2351DWR</v>
      </c>
      <c r="B5514" s="3" t="s">
        <v>90</v>
      </c>
      <c r="C5514" s="5">
        <v>10000</v>
      </c>
      <c r="D5514" s="6">
        <v>15.36</v>
      </c>
      <c r="E5514" t="s">
        <v>30</v>
      </c>
    </row>
    <row r="5515" spans="1:5" x14ac:dyDescent="0.25">
      <c r="A5515" t="str">
        <f>HYPERLINK("https://www.773grp.com/globalSearch/CDC340DW/page-1", "CDC340DW")</f>
        <v>CDC340DW</v>
      </c>
      <c r="B5515" s="3" t="s">
        <v>90</v>
      </c>
      <c r="C5515" s="5">
        <v>11832</v>
      </c>
      <c r="D5515" s="6">
        <v>15.36</v>
      </c>
      <c r="E5515" t="s">
        <v>30</v>
      </c>
    </row>
    <row r="5516" spans="1:5" x14ac:dyDescent="0.25">
      <c r="A5516" t="str">
        <f>HYPERLINK("https://www.773grp.com/globalSearch/CDCLVP110VFRG4/page-1", "CDCLVP110VFRG4")</f>
        <v>CDCLVP110VFRG4</v>
      </c>
      <c r="B5516" s="3" t="s">
        <v>90</v>
      </c>
      <c r="C5516" s="5">
        <v>800</v>
      </c>
      <c r="D5516" s="6">
        <v>15.48</v>
      </c>
      <c r="E5516" t="s">
        <v>30</v>
      </c>
    </row>
    <row r="5517" spans="1:5" x14ac:dyDescent="0.25">
      <c r="A5517" t="str">
        <f>HYPERLINK("https://www.773grp.com/globalSearch/CDCLVP111RHBR/page-1", "CDCLVP111RHBR")</f>
        <v>CDCLVP111RHBR</v>
      </c>
      <c r="B5517" s="3" t="s">
        <v>90</v>
      </c>
      <c r="C5517" s="5">
        <v>5405</v>
      </c>
      <c r="D5517" s="6">
        <v>15.61</v>
      </c>
      <c r="E5517" t="s">
        <v>30</v>
      </c>
    </row>
    <row r="5518" spans="1:5" x14ac:dyDescent="0.25">
      <c r="A5518" t="str">
        <f>HYPERLINK("https://www.773grp.com/globalSearch/CDC328AD/page-1", "CDC328AD")</f>
        <v>CDC328AD</v>
      </c>
      <c r="B5518" s="3" t="s">
        <v>90</v>
      </c>
      <c r="C5518" s="5">
        <v>3222</v>
      </c>
      <c r="D5518" s="6">
        <v>15.64</v>
      </c>
      <c r="E5518" t="s">
        <v>30</v>
      </c>
    </row>
    <row r="5519" spans="1:5" x14ac:dyDescent="0.25">
      <c r="A5519" t="str">
        <f>HYPERLINK("https://www.773grp.com/globalSearch/CDC2510PWR/page-1", "CDC2510PWR")</f>
        <v>CDC2510PWR</v>
      </c>
      <c r="B5519" s="3" t="s">
        <v>90</v>
      </c>
      <c r="C5519" s="5">
        <v>49959</v>
      </c>
      <c r="D5519" s="6">
        <v>15.95</v>
      </c>
      <c r="E5519" t="s">
        <v>30</v>
      </c>
    </row>
    <row r="5520" spans="1:5" x14ac:dyDescent="0.25">
      <c r="A5520" t="str">
        <f>HYPERLINK("https://www.773grp.com/globalSearch/CDC5801DBQ/page-1", "CDC5801DBQ")</f>
        <v>CDC5801DBQ</v>
      </c>
      <c r="B5520" s="3" t="s">
        <v>90</v>
      </c>
      <c r="C5520" s="5">
        <v>8808</v>
      </c>
      <c r="D5520" s="6">
        <v>16.16</v>
      </c>
      <c r="E5520" t="s">
        <v>30</v>
      </c>
    </row>
    <row r="5521" spans="1:5" x14ac:dyDescent="0.25">
      <c r="A5521" t="str">
        <f>HYPERLINK("https://www.773grp.com/globalSearch/CDCF5801DBQ/page-1", "CDCF5801DBQ")</f>
        <v>CDCF5801DBQ</v>
      </c>
      <c r="B5521" s="3" t="s">
        <v>90</v>
      </c>
      <c r="C5521" s="5">
        <v>2197</v>
      </c>
      <c r="D5521" s="6">
        <v>16.16</v>
      </c>
      <c r="E5521" t="s">
        <v>30</v>
      </c>
    </row>
    <row r="5522" spans="1:5" x14ac:dyDescent="0.25">
      <c r="A5522" t="str">
        <f>HYPERLINK("https://www.773grp.com/globalSearch/CDCLVD2106RHAT/page-1", "CDCLVD2106RHAT")</f>
        <v>CDCLVD2106RHAT</v>
      </c>
      <c r="B5522" s="3" t="s">
        <v>90</v>
      </c>
      <c r="C5522" s="5">
        <v>580</v>
      </c>
      <c r="D5522" s="6">
        <v>16.16</v>
      </c>
      <c r="E5522" t="s">
        <v>30</v>
      </c>
    </row>
    <row r="5523" spans="1:5" x14ac:dyDescent="0.25">
      <c r="A5523" t="str">
        <f>HYPERLINK("https://www.773grp.com/globalSearch/CDCLVP2104RHDT/page-1", "CDCLVP2104RHDT")</f>
        <v>CDCLVP2104RHDT</v>
      </c>
      <c r="B5523" s="3" t="s">
        <v>90</v>
      </c>
      <c r="C5523" s="5">
        <v>630</v>
      </c>
      <c r="D5523" s="6">
        <v>16.16</v>
      </c>
      <c r="E5523" t="s">
        <v>30</v>
      </c>
    </row>
    <row r="5524" spans="1:5" x14ac:dyDescent="0.25">
      <c r="A5524" t="str">
        <f>HYPERLINK("https://www.773grp.com/globalSearch/CDCF2509PW/page-1", "CDCF2509PW")</f>
        <v>CDCF2509PW</v>
      </c>
      <c r="B5524" s="3" t="s">
        <v>90</v>
      </c>
      <c r="C5524" s="5">
        <v>20845</v>
      </c>
      <c r="D5524" s="6">
        <v>16.34</v>
      </c>
      <c r="E5524" t="s">
        <v>30</v>
      </c>
    </row>
    <row r="5525" spans="1:5" x14ac:dyDescent="0.25">
      <c r="A5525" t="str">
        <f>HYPERLINK("https://www.773grp.com/globalSearch/CDC341DWR/page-1", "CDC341DWR")</f>
        <v>CDC341DWR</v>
      </c>
      <c r="B5525" s="3" t="s">
        <v>90</v>
      </c>
      <c r="C5525" s="5">
        <v>1932</v>
      </c>
      <c r="D5525" s="6">
        <v>16.489999999999998</v>
      </c>
      <c r="E5525" t="s">
        <v>30</v>
      </c>
    </row>
    <row r="5526" spans="1:5" x14ac:dyDescent="0.25">
      <c r="A5526" t="str">
        <f>HYPERLINK("https://www.773grp.com/globalSearch/CDCM1804RTHR/page-1", "CDCM1804RTHR")</f>
        <v>CDCM1804RTHR</v>
      </c>
      <c r="B5526" s="3" t="s">
        <v>90</v>
      </c>
      <c r="C5526" s="5">
        <v>11984</v>
      </c>
      <c r="D5526" s="6">
        <v>16.59</v>
      </c>
      <c r="E5526" t="s">
        <v>30</v>
      </c>
    </row>
    <row r="5527" spans="1:5" x14ac:dyDescent="0.25">
      <c r="A5527" t="str">
        <f>HYPERLINK("https://www.773grp.com/globalSearch/CDC857-3DGG/page-1", "CDC857-3DGG")</f>
        <v>CDC857-3DGG</v>
      </c>
      <c r="B5527" s="3" t="s">
        <v>90</v>
      </c>
      <c r="C5527" s="5">
        <v>7152</v>
      </c>
      <c r="D5527" s="6">
        <v>16.739999999999998</v>
      </c>
      <c r="E5527" t="s">
        <v>30</v>
      </c>
    </row>
    <row r="5528" spans="1:5" x14ac:dyDescent="0.25">
      <c r="A5528" t="str">
        <f>HYPERLINK("https://www.773grp.com/globalSearch/CDC857-3DGGR/page-1", "CDC857-3DGGR")</f>
        <v>CDC857-3DGGR</v>
      </c>
      <c r="B5528" s="3" t="s">
        <v>90</v>
      </c>
      <c r="C5528" s="5">
        <v>16000</v>
      </c>
      <c r="D5528" s="6">
        <v>16.739999999999998</v>
      </c>
      <c r="E5528" t="s">
        <v>30</v>
      </c>
    </row>
    <row r="5529" spans="1:5" x14ac:dyDescent="0.25">
      <c r="A5529" t="str">
        <f>HYPERLINK("https://www.773grp.com/globalSearch/CDC2351QDB/page-1", "CDC2351QDB")</f>
        <v>CDC2351QDB</v>
      </c>
      <c r="B5529" s="3" t="s">
        <v>90</v>
      </c>
      <c r="C5529" s="5">
        <v>5906</v>
      </c>
      <c r="D5529" s="6">
        <v>17.84</v>
      </c>
      <c r="E5529" t="s">
        <v>30</v>
      </c>
    </row>
    <row r="5530" spans="1:5" x14ac:dyDescent="0.25">
      <c r="A5530" t="str">
        <f>HYPERLINK("https://www.773grp.com/globalSearch/CDC208DW/page-1", "CDC208DW")</f>
        <v>CDC208DW</v>
      </c>
      <c r="B5530" s="3" t="s">
        <v>90</v>
      </c>
      <c r="C5530" s="5">
        <v>11066</v>
      </c>
      <c r="D5530" s="6">
        <v>17.940000000000001</v>
      </c>
      <c r="E5530" t="s">
        <v>30</v>
      </c>
    </row>
    <row r="5531" spans="1:5" x14ac:dyDescent="0.25">
      <c r="A5531" t="str">
        <f>HYPERLINK("https://www.773grp.com/globalSearch/CDC208NS/page-1", "CDC208NS")</f>
        <v>CDC208NS</v>
      </c>
      <c r="B5531" s="3" t="s">
        <v>90</v>
      </c>
      <c r="C5531" s="5">
        <v>4834</v>
      </c>
      <c r="D5531" s="6">
        <v>17.940000000000001</v>
      </c>
      <c r="E5531" t="s">
        <v>30</v>
      </c>
    </row>
    <row r="5532" spans="1:5" x14ac:dyDescent="0.25">
      <c r="A5532" t="str">
        <f>HYPERLINK("https://www.773grp.com/globalSearch/CDCLVP215RHBT/page-1", "CDCLVP215RHBT")</f>
        <v>CDCLVP215RHBT</v>
      </c>
      <c r="B5532" s="3" t="s">
        <v>90</v>
      </c>
      <c r="C5532" s="5">
        <v>625</v>
      </c>
      <c r="D5532" s="6">
        <v>17.940000000000001</v>
      </c>
      <c r="E5532" t="s">
        <v>30</v>
      </c>
    </row>
    <row r="5533" spans="1:5" x14ac:dyDescent="0.25">
      <c r="A5533" t="str">
        <f>HYPERLINK("https://www.773grp.com/globalSearch/CDC2351DB/page-1", "CDC2351DB")</f>
        <v>CDC2351DB</v>
      </c>
      <c r="B5533" s="3" t="s">
        <v>90</v>
      </c>
      <c r="C5533" s="5">
        <v>9333</v>
      </c>
      <c r="D5533" s="6">
        <v>18.28</v>
      </c>
      <c r="E5533" t="s">
        <v>30</v>
      </c>
    </row>
    <row r="5534" spans="1:5" x14ac:dyDescent="0.25">
      <c r="A5534" t="str">
        <f>HYPERLINK("https://www.773grp.com/globalSearch/CDC2351DW/page-1", "CDC2351DW")</f>
        <v>CDC2351DW</v>
      </c>
      <c r="B5534" s="3" t="s">
        <v>90</v>
      </c>
      <c r="C5534" s="5">
        <v>12098</v>
      </c>
      <c r="D5534" s="6">
        <v>18.28</v>
      </c>
      <c r="E5534" t="s">
        <v>30</v>
      </c>
    </row>
    <row r="5535" spans="1:5" x14ac:dyDescent="0.25">
      <c r="A5535" t="str">
        <f>HYPERLINK("https://www.773grp.com/globalSearch/CDC337DW/page-1", "CDC337DW")</f>
        <v>CDC337DW</v>
      </c>
      <c r="B5535" s="3" t="s">
        <v>90</v>
      </c>
      <c r="C5535" s="5">
        <v>14576</v>
      </c>
      <c r="D5535" s="6">
        <v>18.28</v>
      </c>
      <c r="E5535" t="s">
        <v>30</v>
      </c>
    </row>
    <row r="5536" spans="1:5" x14ac:dyDescent="0.25">
      <c r="A5536" t="str">
        <f>HYPERLINK("https://www.773grp.com/globalSearch/CDC351IDWR/page-1", "CDC351IDWR")</f>
        <v>CDC351IDWR</v>
      </c>
      <c r="B5536" s="3" t="s">
        <v>90</v>
      </c>
      <c r="C5536" s="5">
        <v>12000</v>
      </c>
      <c r="D5536" s="6">
        <v>18.28</v>
      </c>
      <c r="E5536" t="s">
        <v>30</v>
      </c>
    </row>
    <row r="5537" spans="1:5" x14ac:dyDescent="0.25">
      <c r="A5537" t="str">
        <f>HYPERLINK("https://www.773grp.com/globalSearch/CDCM1804RTHT/page-1", "CDCM1804RTHT")</f>
        <v>CDCM1804RTHT</v>
      </c>
      <c r="B5537" s="3" t="s">
        <v>90</v>
      </c>
      <c r="C5537" s="5">
        <v>660</v>
      </c>
      <c r="D5537" s="6">
        <v>18.28</v>
      </c>
      <c r="E5537" t="s">
        <v>30</v>
      </c>
    </row>
    <row r="5538" spans="1:5" x14ac:dyDescent="0.25">
      <c r="A5538" t="str">
        <f>HYPERLINK("https://www.773grp.com/globalSearch/CDC2582PAH/page-1", "CDC2582PAH")</f>
        <v>CDC2582PAH</v>
      </c>
      <c r="B5538" s="3" t="s">
        <v>90</v>
      </c>
      <c r="C5538" s="5">
        <v>1438</v>
      </c>
      <c r="D5538" s="6">
        <v>18.45</v>
      </c>
      <c r="E5538" t="s">
        <v>30</v>
      </c>
    </row>
    <row r="5539" spans="1:5" x14ac:dyDescent="0.25">
      <c r="A5539" t="str">
        <f>HYPERLINK("https://www.773grp.com/globalSearch/CDC582PAH/page-1", "CDC582PAH")</f>
        <v>CDC582PAH</v>
      </c>
      <c r="B5539" s="3" t="s">
        <v>90</v>
      </c>
      <c r="C5539" s="5">
        <v>4595</v>
      </c>
      <c r="D5539" s="6">
        <v>18.45</v>
      </c>
      <c r="E5539" t="s">
        <v>30</v>
      </c>
    </row>
    <row r="5540" spans="1:5" x14ac:dyDescent="0.25">
      <c r="A5540" t="str">
        <f>HYPERLINK("https://www.773grp.com/globalSearch/CDCLVP110VF/page-1", "CDCLVP110VF")</f>
        <v>CDCLVP110VF</v>
      </c>
      <c r="B5540" s="3" t="s">
        <v>90</v>
      </c>
      <c r="C5540" s="5">
        <v>1766</v>
      </c>
      <c r="D5540" s="6">
        <v>18.559999999999999</v>
      </c>
      <c r="E5540" t="s">
        <v>30</v>
      </c>
    </row>
    <row r="5541" spans="1:5" x14ac:dyDescent="0.25">
      <c r="A5541" t="str">
        <f>HYPERLINK("https://www.773grp.com/globalSearch/CDCM1804RGET/page-1", "CDCM1804RGET")</f>
        <v>CDCM1804RGET</v>
      </c>
      <c r="B5541" s="3" t="s">
        <v>90</v>
      </c>
      <c r="C5541" s="5">
        <v>3804</v>
      </c>
      <c r="D5541" s="6">
        <v>19.13</v>
      </c>
      <c r="E5541" t="s">
        <v>30</v>
      </c>
    </row>
    <row r="5542" spans="1:5" x14ac:dyDescent="0.25">
      <c r="A5542" t="str">
        <f>HYPERLINK("https://www.773grp.com/globalSearch/SN0305042RTHT/page-1", "SN0305042RTHT")</f>
        <v>SN0305042RTHT</v>
      </c>
      <c r="B5542" s="3" t="s">
        <v>90</v>
      </c>
      <c r="C5542" s="5">
        <v>34937</v>
      </c>
      <c r="D5542" s="6">
        <v>19.13</v>
      </c>
      <c r="E5542" t="s">
        <v>30</v>
      </c>
    </row>
    <row r="5543" spans="1:5" x14ac:dyDescent="0.25">
      <c r="A5543" t="str">
        <f>HYPERLINK("https://www.773grp.com/globalSearch/CDCE18005RGZT/page-1", "CDCE18005RGZT")</f>
        <v>CDCE18005RGZT</v>
      </c>
      <c r="B5543" s="3" t="s">
        <v>90</v>
      </c>
      <c r="C5543" s="5">
        <v>205</v>
      </c>
      <c r="D5543" s="6">
        <v>19.28</v>
      </c>
      <c r="E5543" t="s">
        <v>30</v>
      </c>
    </row>
    <row r="5544" spans="1:5" x14ac:dyDescent="0.25">
      <c r="A5544" t="str">
        <f>HYPERLINK("https://www.773grp.com/globalSearch/CDC341DW/page-1", "CDC341DW")</f>
        <v>CDC341DW</v>
      </c>
      <c r="B5544" s="3" t="s">
        <v>90</v>
      </c>
      <c r="C5544" s="5">
        <v>5932</v>
      </c>
      <c r="D5544" s="6">
        <v>19.63</v>
      </c>
      <c r="E5544" t="s">
        <v>30</v>
      </c>
    </row>
    <row r="5545" spans="1:5" x14ac:dyDescent="0.25">
      <c r="A5545" t="str">
        <f>HYPERLINK("https://www.773grp.com/globalSearch/CDCP1803MRGETEP/page-1", "CDCP1803MRGETEP")</f>
        <v>CDCP1803MRGETEP</v>
      </c>
      <c r="B5545" s="3" t="s">
        <v>90</v>
      </c>
      <c r="C5545" s="5">
        <v>250</v>
      </c>
      <c r="D5545" s="6">
        <v>19.690000000000001</v>
      </c>
      <c r="E5545" t="s">
        <v>30</v>
      </c>
    </row>
    <row r="5546" spans="1:5" x14ac:dyDescent="0.25">
      <c r="A5546" t="str">
        <f>HYPERLINK("https://www.773grp.com/globalSearch/CDC351DB/page-1", "CDC351DB")</f>
        <v>CDC351DB</v>
      </c>
      <c r="B5546" s="3" t="s">
        <v>90</v>
      </c>
      <c r="C5546" s="5">
        <v>62</v>
      </c>
      <c r="D5546" s="6">
        <v>19.8</v>
      </c>
      <c r="E5546" t="s">
        <v>30</v>
      </c>
    </row>
    <row r="5547" spans="1:5" x14ac:dyDescent="0.25">
      <c r="A5547" t="str">
        <f>HYPERLINK("https://www.773grp.com/globalSearch/CDCLVD110AVF/page-1", "CDCLVD110AVF")</f>
        <v>CDCLVD110AVF</v>
      </c>
      <c r="B5547" s="3" t="s">
        <v>90</v>
      </c>
      <c r="C5547" s="5">
        <v>440</v>
      </c>
      <c r="D5547" s="6">
        <v>19.96</v>
      </c>
      <c r="E5547" t="s">
        <v>30</v>
      </c>
    </row>
    <row r="5548" spans="1:5" x14ac:dyDescent="0.25">
      <c r="A5548" t="str">
        <f>HYPERLINK("https://www.773grp.com/globalSearch/CDCL1810RGZT/page-1", "CDCL1810RGZT")</f>
        <v>CDCL1810RGZT</v>
      </c>
      <c r="B5548" s="3" t="s">
        <v>90</v>
      </c>
      <c r="C5548" s="5">
        <v>13055</v>
      </c>
      <c r="D5548" s="6">
        <v>20.76</v>
      </c>
      <c r="E5548" t="s">
        <v>30</v>
      </c>
    </row>
    <row r="5549" spans="1:5" x14ac:dyDescent="0.25">
      <c r="A5549" t="str">
        <f>HYPERLINK("https://www.773grp.com/globalSearch/CDCLVP1212RHAT/page-1", "CDCLVP1212RHAT")</f>
        <v>CDCLVP1212RHAT</v>
      </c>
      <c r="B5549" s="3" t="s">
        <v>90</v>
      </c>
      <c r="C5549" s="5">
        <v>173</v>
      </c>
      <c r="D5549" s="6">
        <v>21.1</v>
      </c>
      <c r="E5549" t="s">
        <v>30</v>
      </c>
    </row>
    <row r="5550" spans="1:5" x14ac:dyDescent="0.25">
      <c r="A5550" t="str">
        <f>HYPERLINK("https://www.773grp.com/globalSearch/CDCLVP2106RHAT/page-1", "CDCLVP2106RHAT")</f>
        <v>CDCLVP2106RHAT</v>
      </c>
      <c r="B5550" s="3" t="s">
        <v>90</v>
      </c>
      <c r="C5550" s="5">
        <v>1960</v>
      </c>
      <c r="D5550" s="6">
        <v>21.1</v>
      </c>
      <c r="E5550" t="s">
        <v>30</v>
      </c>
    </row>
    <row r="5551" spans="1:5" x14ac:dyDescent="0.25">
      <c r="A5551" t="str">
        <f>HYPERLINK("https://www.773grp.com/globalSearch/CDC351IDB/page-1", "CDC351IDB")</f>
        <v>CDC351IDB</v>
      </c>
      <c r="B5551" s="3" t="s">
        <v>90</v>
      </c>
      <c r="C5551" s="5">
        <v>5498</v>
      </c>
      <c r="D5551" s="6">
        <v>22.16</v>
      </c>
      <c r="E5551" t="s">
        <v>30</v>
      </c>
    </row>
    <row r="5552" spans="1:5" x14ac:dyDescent="0.25">
      <c r="A5552" t="str">
        <f>HYPERLINK("https://www.773grp.com/globalSearch/CDC351IDW/page-1", "CDC351IDW")</f>
        <v>CDC351IDW</v>
      </c>
      <c r="B5552" s="3" t="s">
        <v>90</v>
      </c>
      <c r="C5552" s="5">
        <v>22233</v>
      </c>
      <c r="D5552" s="6">
        <v>22.16</v>
      </c>
      <c r="E5552" t="s">
        <v>30</v>
      </c>
    </row>
    <row r="5553" spans="1:5" x14ac:dyDescent="0.25">
      <c r="A5553" t="str">
        <f>HYPERLINK("https://www.773grp.com/globalSearch/CDC2510APWR/page-1", "CDC2510APWR")</f>
        <v>CDC2510APWR</v>
      </c>
      <c r="B5553" s="3" t="s">
        <v>90</v>
      </c>
      <c r="C5553" s="5">
        <v>2000</v>
      </c>
      <c r="D5553" s="6">
        <v>24.34</v>
      </c>
      <c r="E5553" t="s">
        <v>30</v>
      </c>
    </row>
    <row r="5554" spans="1:5" x14ac:dyDescent="0.25">
      <c r="A5554" t="str">
        <f>HYPERLINK("https://www.773grp.com/globalSearch/CDCE62005RGZT/page-1", "CDCE62005RGZT")</f>
        <v>CDCE62005RGZT</v>
      </c>
      <c r="B5554" s="3" t="s">
        <v>90</v>
      </c>
      <c r="C5554" s="5">
        <v>117</v>
      </c>
      <c r="D5554" s="6">
        <v>24.34</v>
      </c>
      <c r="E5554" t="s">
        <v>30</v>
      </c>
    </row>
    <row r="5555" spans="1:5" x14ac:dyDescent="0.25">
      <c r="A5555" t="str">
        <f>HYPERLINK("https://www.773grp.com/globalSearch/CDC2586PAH/page-1", "CDC2586PAH")</f>
        <v>CDC2586PAH</v>
      </c>
      <c r="B5555" s="3" t="s">
        <v>90</v>
      </c>
      <c r="C5555" s="5">
        <v>27365</v>
      </c>
      <c r="D5555" s="6">
        <v>24.44</v>
      </c>
      <c r="E5555" t="s">
        <v>30</v>
      </c>
    </row>
    <row r="5556" spans="1:5" x14ac:dyDescent="0.25">
      <c r="A5556" t="str">
        <f>HYPERLINK("https://www.773grp.com/globalSearch/CDC586PAH/page-1", "CDC586PAH")</f>
        <v>CDC586PAH</v>
      </c>
      <c r="B5556" s="3" t="s">
        <v>90</v>
      </c>
      <c r="C5556" s="5">
        <v>4932</v>
      </c>
      <c r="D5556" s="6">
        <v>24.44</v>
      </c>
      <c r="E5556" t="s">
        <v>30</v>
      </c>
    </row>
    <row r="5557" spans="1:5" x14ac:dyDescent="0.25">
      <c r="A5557" t="str">
        <f>HYPERLINK("https://www.773grp.com/globalSearch/CDCLVD110VF/page-1", "CDCLVD110VF")</f>
        <v>CDCLVD110VF</v>
      </c>
      <c r="B5557" s="3" t="s">
        <v>90</v>
      </c>
      <c r="C5557" s="5">
        <v>379</v>
      </c>
      <c r="D5557" s="6">
        <v>24.81</v>
      </c>
      <c r="E5557" t="s">
        <v>30</v>
      </c>
    </row>
    <row r="5558" spans="1:5" x14ac:dyDescent="0.25">
      <c r="A5558" t="str">
        <f>HYPERLINK("https://www.773grp.com/globalSearch/CDC2351MDBREP/page-1", "CDC2351MDBREP")</f>
        <v>CDC2351MDBREP</v>
      </c>
      <c r="B5558" s="3" t="s">
        <v>90</v>
      </c>
      <c r="C5558" s="5">
        <v>1853</v>
      </c>
      <c r="D5558" s="6">
        <v>24.89</v>
      </c>
      <c r="E5558" t="s">
        <v>30</v>
      </c>
    </row>
    <row r="5559" spans="1:5" x14ac:dyDescent="0.25">
      <c r="A5559" t="str">
        <f>HYPERLINK("https://www.773grp.com/globalSearch/CDC2510BPWR/page-1", "CDC2510BPWR")</f>
        <v>CDC2510BPWR</v>
      </c>
      <c r="B5559" s="3" t="s">
        <v>90</v>
      </c>
      <c r="C5559" s="5">
        <v>9225</v>
      </c>
      <c r="D5559" s="6">
        <v>25.54</v>
      </c>
      <c r="E5559" t="s">
        <v>30</v>
      </c>
    </row>
    <row r="5560" spans="1:5" x14ac:dyDescent="0.25">
      <c r="A5560" t="str">
        <f>HYPERLINK("https://www.773grp.com/globalSearch/CDCVF111FNR/page-1", "CDCVF111FNR")</f>
        <v>CDCVF111FNR</v>
      </c>
      <c r="B5560" s="3" t="s">
        <v>90</v>
      </c>
      <c r="C5560" s="5">
        <v>750</v>
      </c>
      <c r="D5560" s="6">
        <v>25.85</v>
      </c>
      <c r="E5560" t="s">
        <v>30</v>
      </c>
    </row>
    <row r="5561" spans="1:5" x14ac:dyDescent="0.25">
      <c r="A5561" t="str">
        <f>HYPERLINK("https://www.773grp.com/globalSearch/CDCL6010RGZT/page-1", "CDCL6010RGZT")</f>
        <v>CDCL6010RGZT</v>
      </c>
      <c r="B5561" s="3" t="s">
        <v>90</v>
      </c>
      <c r="C5561" s="5">
        <v>9250</v>
      </c>
      <c r="D5561" s="6">
        <v>26.03</v>
      </c>
      <c r="E5561" t="s">
        <v>30</v>
      </c>
    </row>
    <row r="5562" spans="1:5" x14ac:dyDescent="0.25">
      <c r="A5562" t="str">
        <f>HYPERLINK("https://www.773grp.com/globalSearch/CDCLVP2108RGZT/page-1", "CDCLVP2108RGZT")</f>
        <v>CDCLVP2108RGZT</v>
      </c>
      <c r="B5562" s="3" t="str">
        <f>HYPERLINK("https://www.773grp.com/manufacturer/texas-instruments?pageNo=31", "Texas Instruments")</f>
        <v>Texas Instruments</v>
      </c>
      <c r="C5562" s="5">
        <v>500</v>
      </c>
      <c r="D5562" s="6">
        <v>27.56</v>
      </c>
      <c r="E5562" t="s">
        <v>30</v>
      </c>
    </row>
    <row r="5563" spans="1:5" x14ac:dyDescent="0.25">
      <c r="A5563" t="str">
        <f>HYPERLINK("https://www.773grp.com/globalSearch/CDC857-2DGGR/page-1", "CDC857-2DGGR")</f>
        <v>CDC857-2DGGR</v>
      </c>
      <c r="B5563" s="3" t="str">
        <f>HYPERLINK("https://www.773grp.com/manufacturer/texas-instruments?pageNo=114", "Texas Instruments")</f>
        <v>Texas Instruments</v>
      </c>
      <c r="C5563" s="5">
        <v>46000</v>
      </c>
      <c r="D5563" s="6">
        <v>28.01</v>
      </c>
      <c r="E5563" t="s">
        <v>30</v>
      </c>
    </row>
    <row r="5564" spans="1:5" x14ac:dyDescent="0.25">
      <c r="A5564" t="str">
        <f>HYPERLINK("https://www.773grp.com/globalSearch/CDC7005GVAT/page-1", "CDC7005GVAT")</f>
        <v>CDC7005GVAT</v>
      </c>
      <c r="B5564" s="3" t="str">
        <f>HYPERLINK("https://www.773grp.com/manufacturer/texas-instruments?pageNo=135", "Texas Instruments")</f>
        <v>Texas Instruments</v>
      </c>
      <c r="C5564" s="5">
        <v>20750</v>
      </c>
      <c r="D5564" s="6">
        <v>28.13</v>
      </c>
      <c r="E5564" t="s">
        <v>30</v>
      </c>
    </row>
    <row r="5565" spans="1:5" x14ac:dyDescent="0.25">
      <c r="A5565" t="str">
        <f>HYPERLINK("https://www.773grp.com/globalSearch/CDC7005ZVAR/page-1", "CDC7005ZVAR")</f>
        <v>CDC7005ZVAR</v>
      </c>
      <c r="B5565" s="3" t="str">
        <f>HYPERLINK("https://www.773grp.com/manufacturer/texas-instruments?pageNo=137", "Texas Instruments")</f>
        <v>Texas Instruments</v>
      </c>
      <c r="C5565" s="5">
        <v>1000</v>
      </c>
      <c r="D5565" s="6">
        <v>28.13</v>
      </c>
      <c r="E5565" t="s">
        <v>30</v>
      </c>
    </row>
    <row r="5566" spans="1:5" x14ac:dyDescent="0.25">
      <c r="A5566" t="str">
        <f>HYPERLINK("https://www.773grp.com/globalSearch/CDC111FNR/page-1", "CDC111FNR")</f>
        <v>CDC111FNR</v>
      </c>
      <c r="B5566" s="3" t="str">
        <f>HYPERLINK("https://www.773grp.com/manufacturer/texas-instruments?pageNo=236", "Texas Instruments")</f>
        <v>Texas Instruments</v>
      </c>
      <c r="C5566" s="5">
        <v>6000</v>
      </c>
      <c r="D5566" s="6">
        <v>28.55</v>
      </c>
      <c r="E5566" t="s">
        <v>30</v>
      </c>
    </row>
    <row r="5567" spans="1:5" x14ac:dyDescent="0.25">
      <c r="A5567" t="str">
        <f>HYPERLINK("https://www.773grp.com/globalSearch/CDCE72010RGCT/page-1", "CDCE72010RGCT")</f>
        <v>CDCE72010RGCT</v>
      </c>
      <c r="B5567" s="3" t="str">
        <f>HYPERLINK("https://www.773grp.com/manufacturer/texas-instruments?pageNo=351", "Texas Instruments")</f>
        <v>Texas Instruments</v>
      </c>
      <c r="C5567" s="5">
        <v>71</v>
      </c>
      <c r="D5567" s="6">
        <v>29.4</v>
      </c>
      <c r="E5567" t="s">
        <v>30</v>
      </c>
    </row>
    <row r="5568" spans="1:5" x14ac:dyDescent="0.25">
      <c r="A5568" t="str">
        <f>HYPERLINK("https://www.773grp.com/globalSearch/CDCM7005RGZT/page-1", "CDCM7005RGZT")</f>
        <v>CDCM7005RGZT</v>
      </c>
      <c r="B5568" s="3" t="str">
        <f>HYPERLINK("https://www.773grp.com/manufacturer/texas-instruments?pageNo=614", "Texas Instruments")</f>
        <v>Texas Instruments</v>
      </c>
      <c r="C5568" s="5">
        <v>1500</v>
      </c>
      <c r="D5568" s="6">
        <v>30.94</v>
      </c>
      <c r="E5568" t="s">
        <v>30</v>
      </c>
    </row>
    <row r="5569" spans="1:5" x14ac:dyDescent="0.25">
      <c r="A5569" t="str">
        <f>HYPERLINK("https://www.773grp.com/globalSearch/CDCM7005ZVA/page-1", "CDCM7005ZVA")</f>
        <v>CDCM7005ZVA</v>
      </c>
      <c r="B5569" s="3" t="str">
        <f>HYPERLINK("https://www.773grp.com/manufacturer/texas-instruments?pageNo=615", "Texas Instruments")</f>
        <v>Texas Instruments</v>
      </c>
      <c r="C5569" s="5">
        <v>9</v>
      </c>
      <c r="D5569" s="6">
        <v>30.94</v>
      </c>
      <c r="E5569" t="s">
        <v>30</v>
      </c>
    </row>
    <row r="5570" spans="1:5" x14ac:dyDescent="0.25">
      <c r="A5570" t="str">
        <f>HYPERLINK("https://www.773grp.com/globalSearch/CDCVF111FN/page-1", "CDCVF111FN")</f>
        <v>CDCVF111FN</v>
      </c>
      <c r="B5570" s="3" t="str">
        <f>HYPERLINK("https://www.773grp.com/manufacturer/texas-instruments?pageNo=689", "Texas Instruments")</f>
        <v>Texas Instruments</v>
      </c>
      <c r="C5570" s="5">
        <v>5911</v>
      </c>
      <c r="D5570" s="6">
        <v>31.48</v>
      </c>
      <c r="E5570" t="s">
        <v>30</v>
      </c>
    </row>
    <row r="5571" spans="1:5" x14ac:dyDescent="0.25">
      <c r="A5571" t="str">
        <f>HYPERLINK("https://www.773grp.com/globalSearch/CDC2509PWR/page-1", "CDC2509PWR")</f>
        <v>CDC2509PWR</v>
      </c>
      <c r="B5571" s="3" t="str">
        <f>HYPERLINK("https://www.773grp.com/manufacturer/texas-instruments?pageNo=721", "Texas Instruments")</f>
        <v>Texas Instruments</v>
      </c>
      <c r="C5571" s="5">
        <v>3000</v>
      </c>
      <c r="D5571" s="6">
        <v>31.78</v>
      </c>
      <c r="E5571" t="s">
        <v>30</v>
      </c>
    </row>
    <row r="5572" spans="1:5" x14ac:dyDescent="0.25">
      <c r="A5572" t="str">
        <f>HYPERLINK("https://www.773grp.com/globalSearch/CDC7005RGZT/page-1", "CDC7005RGZT")</f>
        <v>CDC7005RGZT</v>
      </c>
      <c r="B5572" s="3" t="str">
        <f>HYPERLINK("https://www.773grp.com/manufacturer/texas-instruments?pageNo=827", "Texas Instruments")</f>
        <v>Texas Instruments</v>
      </c>
      <c r="C5572" s="5">
        <v>481</v>
      </c>
      <c r="D5572" s="6">
        <v>32.35</v>
      </c>
      <c r="E5572" t="s">
        <v>30</v>
      </c>
    </row>
    <row r="5573" spans="1:5" x14ac:dyDescent="0.25">
      <c r="A5573" t="str">
        <f>HYPERLINK("https://www.773grp.com/globalSearch/CDC7005ZVA/page-1", "CDC7005ZVA")</f>
        <v>CDC7005ZVA</v>
      </c>
      <c r="B5573" s="3" t="str">
        <f>HYPERLINK("https://www.773grp.com/manufacturer/texas-instruments?pageNo=828", "Texas Instruments")</f>
        <v>Texas Instruments</v>
      </c>
      <c r="C5573" s="5">
        <v>543</v>
      </c>
      <c r="D5573" s="6">
        <v>32.35</v>
      </c>
      <c r="E5573" t="s">
        <v>30</v>
      </c>
    </row>
    <row r="5574" spans="1:5" x14ac:dyDescent="0.25">
      <c r="A5574" t="str">
        <f>HYPERLINK("https://www.773grp.com/globalSearch/CDC857-2DGG/page-1", "CDC857-2DGG")</f>
        <v>CDC857-2DGG</v>
      </c>
      <c r="B5574" s="3" t="s">
        <v>90</v>
      </c>
      <c r="C5574" s="5">
        <v>9020</v>
      </c>
      <c r="D5574" s="6">
        <v>33.61</v>
      </c>
      <c r="E5574" t="s">
        <v>30</v>
      </c>
    </row>
    <row r="5575" spans="1:5" x14ac:dyDescent="0.25">
      <c r="A5575" t="str">
        <f>HYPERLINK("https://www.773grp.com/globalSearch/CDC857-2DGGG4/page-1", "CDC857-2DGGG4")</f>
        <v>CDC857-2DGGG4</v>
      </c>
      <c r="B5575" s="3" t="s">
        <v>90</v>
      </c>
      <c r="C5575" s="5">
        <v>20</v>
      </c>
      <c r="D5575" s="6">
        <v>33.61</v>
      </c>
      <c r="E5575" t="s">
        <v>30</v>
      </c>
    </row>
    <row r="5576" spans="1:5" x14ac:dyDescent="0.25">
      <c r="A5576" t="str">
        <f>HYPERLINK("https://www.773grp.com/globalSearch/CDC111FN/page-1", "CDC111FN")</f>
        <v>CDC111FN</v>
      </c>
      <c r="B5576" s="3" t="s">
        <v>90</v>
      </c>
      <c r="C5576" s="5">
        <v>6338</v>
      </c>
      <c r="D5576" s="6">
        <v>35.61</v>
      </c>
      <c r="E5576" t="s">
        <v>30</v>
      </c>
    </row>
    <row r="5577" spans="1:5" x14ac:dyDescent="0.25">
      <c r="A5577" t="str">
        <f>HYPERLINK("https://www.773grp.com/globalSearch/PLL1705DBQR/page-1", "PLL1705DBQR")</f>
        <v>PLL1705DBQR</v>
      </c>
      <c r="B5577" s="3" t="s">
        <v>90</v>
      </c>
      <c r="C5577" s="5">
        <v>2000</v>
      </c>
      <c r="D5577" s="6">
        <v>4.16</v>
      </c>
      <c r="E5577" t="s">
        <v>67</v>
      </c>
    </row>
    <row r="5578" spans="1:5" x14ac:dyDescent="0.25">
      <c r="A5578" t="str">
        <f>HYPERLINK("https://www.773grp.com/globalSearch/PLL1708DBQR/page-1", "PLL1708DBQR")</f>
        <v>PLL1708DBQR</v>
      </c>
      <c r="B5578" s="3" t="s">
        <v>90</v>
      </c>
      <c r="C5578" s="5">
        <v>1750</v>
      </c>
      <c r="D5578" s="6">
        <v>4.25</v>
      </c>
      <c r="E5578" t="s">
        <v>67</v>
      </c>
    </row>
    <row r="5579" spans="1:5" x14ac:dyDescent="0.25">
      <c r="A5579" t="str">
        <f>HYPERLINK("https://www.773grp.com/globalSearch/CDCEL913PWR/page-1", "CDCEL913PWR")</f>
        <v>CDCEL913PWR</v>
      </c>
      <c r="B5579" s="3" t="str">
        <f>HYPERLINK("https://www.773grp.com/manufacturer/texas-instruments?pageNo=303", "Texas Instruments")</f>
        <v>Texas Instruments</v>
      </c>
      <c r="C5579" s="5">
        <v>1360</v>
      </c>
      <c r="D5579" s="6">
        <v>4.5</v>
      </c>
      <c r="E5579" t="s">
        <v>67</v>
      </c>
    </row>
    <row r="5580" spans="1:5" x14ac:dyDescent="0.25">
      <c r="A5580" t="str">
        <f>HYPERLINK("https://www.773grp.com/globalSearch/CDC950DGGR/page-1", "CDC950DGGR")</f>
        <v>CDC950DGGR</v>
      </c>
      <c r="B5580" s="3" t="s">
        <v>90</v>
      </c>
      <c r="C5580" s="5">
        <v>34000</v>
      </c>
      <c r="D5580" s="6">
        <v>4.68</v>
      </c>
      <c r="E5580" t="s">
        <v>67</v>
      </c>
    </row>
    <row r="5581" spans="1:5" x14ac:dyDescent="0.25">
      <c r="A5581" t="str">
        <f>HYPERLINK("https://www.773grp.com/globalSearch/CDC950DGGRG4/page-1", "CDC950DGGRG4")</f>
        <v>CDC950DGGRG4</v>
      </c>
      <c r="B5581" s="3" t="s">
        <v>90</v>
      </c>
      <c r="C5581" s="5">
        <v>2000</v>
      </c>
      <c r="D5581" s="6">
        <v>4.68</v>
      </c>
      <c r="E5581" t="s">
        <v>67</v>
      </c>
    </row>
    <row r="5582" spans="1:5" x14ac:dyDescent="0.25">
      <c r="A5582" t="str">
        <f>HYPERLINK("https://www.773grp.com/globalSearch/CDC9841DW/page-1", "CDC9841DW")</f>
        <v>CDC9841DW</v>
      </c>
      <c r="B5582" s="3" t="s">
        <v>90</v>
      </c>
      <c r="C5582" s="5">
        <v>2098</v>
      </c>
      <c r="D5582" s="6">
        <v>4.8600000000000003</v>
      </c>
      <c r="E5582" t="s">
        <v>67</v>
      </c>
    </row>
    <row r="5583" spans="1:5" x14ac:dyDescent="0.25">
      <c r="A5583" t="str">
        <f>HYPERLINK("https://www.773grp.com/globalSearch/CDC9841DWR/page-1", "CDC9841DWR")</f>
        <v>CDC9841DWR</v>
      </c>
      <c r="B5583" s="3" t="s">
        <v>90</v>
      </c>
      <c r="C5583" s="5">
        <v>1000</v>
      </c>
      <c r="D5583" s="6">
        <v>4.8600000000000003</v>
      </c>
      <c r="E5583" t="s">
        <v>67</v>
      </c>
    </row>
    <row r="5584" spans="1:5" x14ac:dyDescent="0.25">
      <c r="A5584" t="str">
        <f>HYPERLINK("https://www.773grp.com/globalSearch/CDC9842DW/page-1", "CDC9842DW")</f>
        <v>CDC9842DW</v>
      </c>
      <c r="B5584" s="3" t="s">
        <v>90</v>
      </c>
      <c r="C5584" s="5">
        <v>3695</v>
      </c>
      <c r="D5584" s="6">
        <v>4.8600000000000003</v>
      </c>
      <c r="E5584" t="s">
        <v>67</v>
      </c>
    </row>
    <row r="5585" spans="1:5" x14ac:dyDescent="0.25">
      <c r="A5585" t="str">
        <f>HYPERLINK("https://www.773grp.com/globalSearch/CDC9842DWR/page-1", "CDC9842DWR")</f>
        <v>CDC9842DWR</v>
      </c>
      <c r="B5585" s="3" t="s">
        <v>90</v>
      </c>
      <c r="C5585" s="5">
        <v>8000</v>
      </c>
      <c r="D5585" s="6">
        <v>4.8600000000000003</v>
      </c>
      <c r="E5585" t="s">
        <v>67</v>
      </c>
    </row>
    <row r="5586" spans="1:5" x14ac:dyDescent="0.25">
      <c r="A5586" t="str">
        <f>HYPERLINK("https://www.773grp.com/globalSearch/PLL1705DBQ/page-1", "PLL1705DBQ")</f>
        <v>PLL1705DBQ</v>
      </c>
      <c r="B5586" s="3" t="s">
        <v>90</v>
      </c>
      <c r="C5586" s="5">
        <v>4809</v>
      </c>
      <c r="D5586" s="6">
        <v>4.9800000000000004</v>
      </c>
      <c r="E5586" t="s">
        <v>67</v>
      </c>
    </row>
    <row r="5587" spans="1:5" x14ac:dyDescent="0.25">
      <c r="A5587" t="str">
        <f>HYPERLINK("https://www.773grp.com/globalSearch/PLL1707DBQ/page-1", "PLL1707DBQ")</f>
        <v>PLL1707DBQ</v>
      </c>
      <c r="B5587" s="3" t="s">
        <v>90</v>
      </c>
      <c r="C5587" s="5">
        <v>400</v>
      </c>
      <c r="D5587" s="6">
        <v>5.0599999999999996</v>
      </c>
      <c r="E5587" t="s">
        <v>67</v>
      </c>
    </row>
    <row r="5588" spans="1:5" x14ac:dyDescent="0.25">
      <c r="A5588" t="str">
        <f>HYPERLINK("https://www.773grp.com/globalSearch/PLL1708DBQ/page-1", "PLL1708DBQ")</f>
        <v>PLL1708DBQ</v>
      </c>
      <c r="B5588" s="3" t="s">
        <v>90</v>
      </c>
      <c r="C5588" s="5">
        <v>1720</v>
      </c>
      <c r="D5588" s="6">
        <v>5.0599999999999996</v>
      </c>
      <c r="E5588" t="s">
        <v>67</v>
      </c>
    </row>
    <row r="5589" spans="1:5" x14ac:dyDescent="0.25">
      <c r="A5589" t="str">
        <f>HYPERLINK("https://www.773grp.com/globalSearch/BUF08821BIPWPR/page-1", "BUF08821BIPWPR")</f>
        <v>BUF08821BIPWPR</v>
      </c>
      <c r="B5589" s="3" t="s">
        <v>90</v>
      </c>
      <c r="C5589" s="5">
        <v>380000</v>
      </c>
      <c r="D5589" s="6">
        <v>5.35</v>
      </c>
      <c r="E5589" t="s">
        <v>67</v>
      </c>
    </row>
    <row r="5590" spans="1:5" x14ac:dyDescent="0.25">
      <c r="A5590" t="str">
        <f>HYPERLINK("https://www.773grp.com/globalSearch/CDC930DL/page-1", "CDC930DL")</f>
        <v>CDC930DL</v>
      </c>
      <c r="B5590" s="3" t="s">
        <v>90</v>
      </c>
      <c r="C5590" s="5">
        <v>8145</v>
      </c>
      <c r="D5590" s="6">
        <v>5.35</v>
      </c>
      <c r="E5590" t="s">
        <v>67</v>
      </c>
    </row>
    <row r="5591" spans="1:5" x14ac:dyDescent="0.25">
      <c r="A5591" t="str">
        <f>HYPERLINK("https://www.773grp.com/globalSearch/CDC950DGG/page-1", "CDC950DGG")</f>
        <v>CDC950DGG</v>
      </c>
      <c r="B5591" s="3" t="s">
        <v>90</v>
      </c>
      <c r="C5591" s="5">
        <v>16275</v>
      </c>
      <c r="D5591" s="6">
        <v>5.58</v>
      </c>
      <c r="E5591" t="s">
        <v>67</v>
      </c>
    </row>
    <row r="5592" spans="1:5" x14ac:dyDescent="0.25">
      <c r="A5592" t="str">
        <f>HYPERLINK("https://www.773grp.com/globalSearch/PLL1706DBQ/page-1", "PLL1706DBQ")</f>
        <v>PLL1706DBQ</v>
      </c>
      <c r="B5592" s="3" t="s">
        <v>90</v>
      </c>
      <c r="C5592" s="5">
        <v>955</v>
      </c>
      <c r="D5592" s="6">
        <v>5.6</v>
      </c>
      <c r="E5592" t="s">
        <v>67</v>
      </c>
    </row>
    <row r="5593" spans="1:5" x14ac:dyDescent="0.25">
      <c r="A5593" t="str">
        <f>HYPERLINK("https://www.773grp.com/globalSearch/CDC922DLR/page-1", "CDC922DLR")</f>
        <v>CDC922DLR</v>
      </c>
      <c r="B5593" s="3" t="s">
        <v>90</v>
      </c>
      <c r="C5593" s="5">
        <v>2000</v>
      </c>
      <c r="D5593" s="6">
        <v>5.94</v>
      </c>
      <c r="E5593" t="s">
        <v>67</v>
      </c>
    </row>
    <row r="5594" spans="1:5" x14ac:dyDescent="0.25">
      <c r="A5594" t="str">
        <f>HYPERLINK("https://www.773grp.com/globalSearch/CDCR61APWR/page-1", "CDCR61APWR")</f>
        <v>CDCR61APWR</v>
      </c>
      <c r="B5594" s="3" t="s">
        <v>90</v>
      </c>
      <c r="C5594" s="5">
        <v>10000</v>
      </c>
      <c r="D5594" s="6">
        <v>6.04</v>
      </c>
      <c r="E5594" t="s">
        <v>67</v>
      </c>
    </row>
    <row r="5595" spans="1:5" x14ac:dyDescent="0.25">
      <c r="A5595" t="str">
        <f>HYPERLINK("https://www.773grp.com/globalSearch/CDC960DLR/page-1", "CDC960DLR")</f>
        <v>CDC960DLR</v>
      </c>
      <c r="B5595" s="3" t="s">
        <v>90</v>
      </c>
      <c r="C5595" s="5">
        <v>56490</v>
      </c>
      <c r="D5595" s="6">
        <v>6.13</v>
      </c>
      <c r="E5595" t="s">
        <v>67</v>
      </c>
    </row>
    <row r="5596" spans="1:5" x14ac:dyDescent="0.25">
      <c r="A5596" t="str">
        <f>HYPERLINK("https://www.773grp.com/globalSearch/CDCE906PWR/page-1", "CDCE906PWR")</f>
        <v>CDCE906PWR</v>
      </c>
      <c r="B5596" s="3" t="s">
        <v>90</v>
      </c>
      <c r="C5596" s="5">
        <v>2134</v>
      </c>
      <c r="D5596" s="6">
        <v>6.19</v>
      </c>
      <c r="E5596" t="s">
        <v>67</v>
      </c>
    </row>
    <row r="5597" spans="1:5" x14ac:dyDescent="0.25">
      <c r="A5597" t="str">
        <f>HYPERLINK("https://www.773grp.com/globalSearch/CDCEL925PW/page-1", "CDCEL925PW")</f>
        <v>CDCEL925PW</v>
      </c>
      <c r="B5597" s="3" t="s">
        <v>90</v>
      </c>
      <c r="C5597" s="5">
        <v>3183</v>
      </c>
      <c r="D5597" s="6">
        <v>6.19</v>
      </c>
      <c r="E5597" t="s">
        <v>67</v>
      </c>
    </row>
    <row r="5598" spans="1:5" x14ac:dyDescent="0.25">
      <c r="A5598" t="str">
        <f>HYPERLINK("https://www.773grp.com/globalSearch/CDC924DLR/page-1", "CDC924DLR")</f>
        <v>CDC924DLR</v>
      </c>
      <c r="B5598" s="3" t="str">
        <f>HYPERLINK("https://www.773grp.com/manufacturer/texas-instruments?pageNo=206", "Texas Instruments")</f>
        <v>Texas Instruments</v>
      </c>
      <c r="C5598" s="5">
        <v>14000</v>
      </c>
      <c r="D5598" s="6">
        <v>6.53</v>
      </c>
      <c r="E5598" t="s">
        <v>67</v>
      </c>
    </row>
    <row r="5599" spans="1:5" x14ac:dyDescent="0.25">
      <c r="A5599" t="str">
        <f>HYPERLINK("https://www.773grp.com/globalSearch/CDCE925PW/page-1", "CDCE925PW")</f>
        <v>CDCE925PW</v>
      </c>
      <c r="B5599" s="3" t="str">
        <f>HYPERLINK("https://www.773grp.com/manufacturer/texas-instruments?pageNo=271", "Texas Instruments")</f>
        <v>Texas Instruments</v>
      </c>
      <c r="C5599" s="5">
        <v>220</v>
      </c>
      <c r="D5599" s="6">
        <v>6.61</v>
      </c>
      <c r="E5599" t="s">
        <v>67</v>
      </c>
    </row>
    <row r="5600" spans="1:5" x14ac:dyDescent="0.25">
      <c r="A5600" t="str">
        <f>HYPERLINK("https://www.773grp.com/globalSearch/CDCEL949PWR/page-1", "CDCEL949PWR")</f>
        <v>CDCEL949PWR</v>
      </c>
      <c r="B5600" s="3" t="str">
        <f>HYPERLINK("https://www.773grp.com/manufacturer/texas-instruments?pageNo=272", "Texas Instruments")</f>
        <v>Texas Instruments</v>
      </c>
      <c r="C5600" s="5">
        <v>1975</v>
      </c>
      <c r="D5600" s="6">
        <v>6.61</v>
      </c>
      <c r="E5600" t="s">
        <v>67</v>
      </c>
    </row>
    <row r="5601" spans="1:5" x14ac:dyDescent="0.25">
      <c r="A5601" t="str">
        <f>HYPERLINK("https://www.773grp.com/globalSearch/CDCR61APW/page-1", "CDCR61APW")</f>
        <v>CDCR61APW</v>
      </c>
      <c r="B5601" s="3" t="s">
        <v>90</v>
      </c>
      <c r="C5601" s="5">
        <v>12494</v>
      </c>
      <c r="D5601" s="6">
        <v>7.31</v>
      </c>
      <c r="E5601" t="s">
        <v>67</v>
      </c>
    </row>
    <row r="5602" spans="1:5" x14ac:dyDescent="0.25">
      <c r="A5602" t="str">
        <f>HYPERLINK("https://www.773grp.com/globalSearch/CDC960DL/page-1", "CDC960DL")</f>
        <v>CDC960DL</v>
      </c>
      <c r="B5602" s="3" t="s">
        <v>90</v>
      </c>
      <c r="C5602" s="5">
        <v>10796</v>
      </c>
      <c r="D5602" s="6">
        <v>7.38</v>
      </c>
      <c r="E5602" t="s">
        <v>67</v>
      </c>
    </row>
    <row r="5603" spans="1:5" x14ac:dyDescent="0.25">
      <c r="A5603" t="str">
        <f>HYPERLINK("https://www.773grp.com/globalSearch/CDCE906PW/page-1", "CDCE906PW")</f>
        <v>CDCE906PW</v>
      </c>
      <c r="B5603" s="3" t="s">
        <v>90</v>
      </c>
      <c r="C5603" s="5">
        <v>95</v>
      </c>
      <c r="D5603" s="6">
        <v>7.46</v>
      </c>
      <c r="E5603" t="s">
        <v>67</v>
      </c>
    </row>
    <row r="5604" spans="1:5" x14ac:dyDescent="0.25">
      <c r="A5604" t="str">
        <f>HYPERLINK("https://www.773grp.com/globalSearch/CDC921DL/page-1", "CDC921DL")</f>
        <v>CDC921DL</v>
      </c>
      <c r="B5604" s="3" t="s">
        <v>90</v>
      </c>
      <c r="C5604" s="5">
        <v>6</v>
      </c>
      <c r="D5604" s="6">
        <v>7.73</v>
      </c>
      <c r="E5604" t="s">
        <v>67</v>
      </c>
    </row>
    <row r="5605" spans="1:5" x14ac:dyDescent="0.25">
      <c r="A5605" t="str">
        <f>HYPERLINK("https://www.773grp.com/globalSearch/CDC924DL/page-1", "CDC924DL")</f>
        <v>CDC924DL</v>
      </c>
      <c r="B5605" s="3" t="s">
        <v>90</v>
      </c>
      <c r="C5605" s="5">
        <v>8326</v>
      </c>
      <c r="D5605" s="6">
        <v>7.76</v>
      </c>
      <c r="E5605" t="s">
        <v>67</v>
      </c>
    </row>
    <row r="5606" spans="1:5" x14ac:dyDescent="0.25">
      <c r="A5606" t="str">
        <f>HYPERLINK("https://www.773grp.com/globalSearch/CDCEL949PW/page-1", "CDCEL949PW")</f>
        <v>CDCEL949PW</v>
      </c>
      <c r="B5606" s="3" t="s">
        <v>90</v>
      </c>
      <c r="C5606" s="5">
        <v>1770</v>
      </c>
      <c r="D5606" s="6">
        <v>8.01</v>
      </c>
      <c r="E5606" t="s">
        <v>67</v>
      </c>
    </row>
    <row r="5607" spans="1:5" x14ac:dyDescent="0.25">
      <c r="A5607" t="str">
        <f>HYPERLINK("https://www.773grp.com/globalSearch/PLL1700EG-2K/page-1", "PLL1700EG-2K")</f>
        <v>PLL1700EG-2K</v>
      </c>
      <c r="B5607" s="3" t="s">
        <v>90</v>
      </c>
      <c r="C5607" s="5">
        <v>24000</v>
      </c>
      <c r="D5607" s="6">
        <v>8.1</v>
      </c>
      <c r="E5607" t="s">
        <v>67</v>
      </c>
    </row>
    <row r="5608" spans="1:5" x14ac:dyDescent="0.25">
      <c r="A5608" t="str">
        <f>HYPERLINK("https://www.773grp.com/globalSearch/CDC913DW/page-1", "CDC913DW")</f>
        <v>CDC913DW</v>
      </c>
      <c r="B5608" s="3" t="s">
        <v>90</v>
      </c>
      <c r="C5608" s="5">
        <v>1200</v>
      </c>
      <c r="D5608" s="6">
        <v>9.15</v>
      </c>
      <c r="E5608" t="s">
        <v>67</v>
      </c>
    </row>
    <row r="5609" spans="1:5" x14ac:dyDescent="0.25">
      <c r="A5609" t="str">
        <f>HYPERLINK("https://www.773grp.com/globalSearch/CDC913DWR/page-1", "CDC913DWR")</f>
        <v>CDC913DWR</v>
      </c>
      <c r="B5609" s="3" t="s">
        <v>90</v>
      </c>
      <c r="C5609" s="5">
        <v>25000</v>
      </c>
      <c r="D5609" s="6">
        <v>9.15</v>
      </c>
      <c r="E5609" t="s">
        <v>67</v>
      </c>
    </row>
    <row r="5610" spans="1:5" x14ac:dyDescent="0.25">
      <c r="A5610" t="str">
        <f>HYPERLINK("https://www.773grp.com/globalSearch/CDC9843DW/page-1", "CDC9843DW")</f>
        <v>CDC9843DW</v>
      </c>
      <c r="B5610" s="3" t="s">
        <v>90</v>
      </c>
      <c r="C5610" s="5">
        <v>1632</v>
      </c>
      <c r="D5610" s="6">
        <v>9.15</v>
      </c>
      <c r="E5610" t="s">
        <v>67</v>
      </c>
    </row>
    <row r="5611" spans="1:5" x14ac:dyDescent="0.25">
      <c r="A5611" t="str">
        <f>HYPERLINK("https://www.773grp.com/globalSearch/CDCR81DBQR/page-1", "CDCR81DBQR")</f>
        <v>CDCR81DBQR</v>
      </c>
      <c r="B5611" s="3" t="s">
        <v>90</v>
      </c>
      <c r="C5611" s="5">
        <v>4622</v>
      </c>
      <c r="D5611" s="6">
        <v>9.31</v>
      </c>
      <c r="E5611" t="s">
        <v>67</v>
      </c>
    </row>
    <row r="5612" spans="1:5" x14ac:dyDescent="0.25">
      <c r="A5612" t="str">
        <f>HYPERLINK("https://www.773grp.com/globalSearch/CDC925DL/page-1", "CDC925DL")</f>
        <v>CDC925DL</v>
      </c>
      <c r="B5612" s="3" t="s">
        <v>90</v>
      </c>
      <c r="C5612" s="5">
        <v>4350</v>
      </c>
      <c r="D5612" s="6">
        <v>9.34</v>
      </c>
      <c r="E5612" t="s">
        <v>67</v>
      </c>
    </row>
    <row r="5613" spans="1:5" x14ac:dyDescent="0.25">
      <c r="A5613" t="str">
        <f>HYPERLINK("https://www.773grp.com/globalSearch/PLL1700E/page-1", "PLL1700E")</f>
        <v>PLL1700E</v>
      </c>
      <c r="B5613" s="3" t="s">
        <v>90</v>
      </c>
      <c r="C5613" s="5">
        <v>7349</v>
      </c>
      <c r="D5613" s="6">
        <v>9.74</v>
      </c>
      <c r="E5613" t="s">
        <v>67</v>
      </c>
    </row>
    <row r="5614" spans="1:5" x14ac:dyDescent="0.25">
      <c r="A5614" t="str">
        <f>HYPERLINK("https://www.773grp.com/globalSearch/CDCDLP223PW/page-1", "CDCDLP223PW")</f>
        <v>CDCDLP223PW</v>
      </c>
      <c r="B5614" s="3" t="s">
        <v>90</v>
      </c>
      <c r="C5614" s="5">
        <v>130</v>
      </c>
      <c r="D5614" s="6">
        <v>9.84</v>
      </c>
      <c r="E5614" t="s">
        <v>67</v>
      </c>
    </row>
    <row r="5615" spans="1:5" x14ac:dyDescent="0.25">
      <c r="A5615" t="str">
        <f>HYPERLINK("https://www.773grp.com/globalSearch/CDCE706PW/page-1", "CDCE706PW")</f>
        <v>CDCE706PW</v>
      </c>
      <c r="B5615" s="3" t="str">
        <f>HYPERLINK("https://www.773grp.com/manufacturer/texas-instruments?pageNo=514", "Texas Instruments")</f>
        <v>Texas Instruments</v>
      </c>
      <c r="C5615" s="5">
        <v>4070</v>
      </c>
      <c r="D5615" s="6">
        <v>13.08</v>
      </c>
      <c r="E5615" t="s">
        <v>67</v>
      </c>
    </row>
    <row r="5616" spans="1:5" x14ac:dyDescent="0.25">
      <c r="A5616" t="str">
        <f>HYPERLINK("https://www.773grp.com/globalSearch/CDC421125RGER/page-1", "CDC421125RGER")</f>
        <v>CDC421125RGER</v>
      </c>
      <c r="B5616" s="3" t="s">
        <v>90</v>
      </c>
      <c r="C5616" s="5">
        <v>3000</v>
      </c>
      <c r="D5616" s="6">
        <v>19.690000000000001</v>
      </c>
      <c r="E5616" t="s">
        <v>67</v>
      </c>
    </row>
    <row r="5617" spans="1:5" x14ac:dyDescent="0.25">
      <c r="A5617" t="str">
        <f>HYPERLINK("https://www.773grp.com/globalSearch/CDCE421RGER/page-1", "CDCE421RGER")</f>
        <v>CDCE421RGER</v>
      </c>
      <c r="B5617" s="3" t="s">
        <v>90</v>
      </c>
      <c r="C5617" s="5">
        <v>18000</v>
      </c>
      <c r="D5617" s="6">
        <v>19.690000000000001</v>
      </c>
      <c r="E5617" t="s">
        <v>67</v>
      </c>
    </row>
    <row r="5618" spans="1:5" x14ac:dyDescent="0.25">
      <c r="A5618" t="str">
        <f>HYPERLINK("https://www.773grp.com/globalSearch/CDCE421YS/page-1", "CDCE421YS")</f>
        <v>CDCE421YS</v>
      </c>
      <c r="B5618" s="3" t="s">
        <v>90</v>
      </c>
      <c r="C5618" s="5">
        <v>6406</v>
      </c>
      <c r="D5618" s="6">
        <v>19.690000000000001</v>
      </c>
      <c r="E5618" t="s">
        <v>67</v>
      </c>
    </row>
    <row r="5619" spans="1:5" x14ac:dyDescent="0.25">
      <c r="A5619" t="str">
        <f>HYPERLINK("https://www.773grp.com/globalSearch/CDCE421Y/page-1", "CDCE421Y")</f>
        <v>CDCE421Y</v>
      </c>
      <c r="B5619" s="3" t="s">
        <v>90</v>
      </c>
      <c r="C5619" s="5">
        <v>3548</v>
      </c>
      <c r="D5619" s="6">
        <v>19.96</v>
      </c>
      <c r="E5619" t="s">
        <v>67</v>
      </c>
    </row>
    <row r="5620" spans="1:5" x14ac:dyDescent="0.25">
      <c r="A5620" t="str">
        <f>HYPERLINK("https://www.773grp.com/globalSearch/CDCE431Y/page-1", "CDCE431Y")</f>
        <v>CDCE431Y</v>
      </c>
      <c r="B5620" s="3" t="s">
        <v>90</v>
      </c>
      <c r="C5620" s="5">
        <v>1207</v>
      </c>
      <c r="D5620" s="6">
        <v>19.96</v>
      </c>
      <c r="E5620" t="s">
        <v>67</v>
      </c>
    </row>
    <row r="5621" spans="1:5" x14ac:dyDescent="0.25">
      <c r="A5621" t="str">
        <f>HYPERLINK("https://www.773grp.com/globalSearch/CDC421100RGET/page-1", "CDC421100RGET")</f>
        <v>CDC421100RGET</v>
      </c>
      <c r="B5621" s="3" t="s">
        <v>90</v>
      </c>
      <c r="C5621" s="5">
        <v>1000</v>
      </c>
      <c r="D5621" s="6">
        <v>22.65</v>
      </c>
      <c r="E5621" t="s">
        <v>67</v>
      </c>
    </row>
    <row r="5622" spans="1:5" x14ac:dyDescent="0.25">
      <c r="A5622" t="str">
        <f>HYPERLINK("https://www.773grp.com/globalSearch/CDC421106RGET/page-1", "CDC421106RGET")</f>
        <v>CDC421106RGET</v>
      </c>
      <c r="B5622" s="3" t="s">
        <v>90</v>
      </c>
      <c r="C5622" s="5">
        <v>3000</v>
      </c>
      <c r="D5622" s="6">
        <v>22.65</v>
      </c>
      <c r="E5622" t="s">
        <v>67</v>
      </c>
    </row>
    <row r="5623" spans="1:5" x14ac:dyDescent="0.25">
      <c r="A5623" t="str">
        <f>HYPERLINK("https://www.773grp.com/globalSearch/CDC421125RGET/page-1", "CDC421125RGET")</f>
        <v>CDC421125RGET</v>
      </c>
      <c r="B5623" s="3" t="s">
        <v>90</v>
      </c>
      <c r="C5623" s="5">
        <v>3000</v>
      </c>
      <c r="D5623" s="6">
        <v>22.65</v>
      </c>
      <c r="E5623" t="s">
        <v>67</v>
      </c>
    </row>
    <row r="5624" spans="1:5" x14ac:dyDescent="0.25">
      <c r="A5624" t="str">
        <f>HYPERLINK("https://www.773grp.com/globalSearch/CDC421156RGET/page-1", "CDC421156RGET")</f>
        <v>CDC421156RGET</v>
      </c>
      <c r="B5624" s="3" t="s">
        <v>90</v>
      </c>
      <c r="C5624" s="5">
        <v>2684</v>
      </c>
      <c r="D5624" s="6">
        <v>22.65</v>
      </c>
      <c r="E5624" t="s">
        <v>67</v>
      </c>
    </row>
    <row r="5625" spans="1:5" x14ac:dyDescent="0.25">
      <c r="A5625" t="str">
        <f>HYPERLINK("https://www.773grp.com/globalSearch/CDC421212RGET/page-1", "CDC421212RGET")</f>
        <v>CDC421212RGET</v>
      </c>
      <c r="B5625" s="3" t="s">
        <v>90</v>
      </c>
      <c r="C5625" s="5">
        <v>1250</v>
      </c>
      <c r="D5625" s="6">
        <v>22.65</v>
      </c>
      <c r="E5625" t="s">
        <v>67</v>
      </c>
    </row>
    <row r="5626" spans="1:5" x14ac:dyDescent="0.25">
      <c r="A5626" t="str">
        <f>HYPERLINK("https://www.773grp.com/globalSearch/CDC421250RGET/page-1", "CDC421250RGET")</f>
        <v>CDC421250RGET</v>
      </c>
      <c r="B5626" s="3" t="s">
        <v>90</v>
      </c>
      <c r="C5626" s="5">
        <v>1250</v>
      </c>
      <c r="D5626" s="6">
        <v>22.65</v>
      </c>
      <c r="E5626" t="s">
        <v>67</v>
      </c>
    </row>
    <row r="5627" spans="1:5" x14ac:dyDescent="0.25">
      <c r="A5627" t="str">
        <f>HYPERLINK("https://www.773grp.com/globalSearch/CDC421312RGET/page-1", "CDC421312RGET")</f>
        <v>CDC421312RGET</v>
      </c>
      <c r="B5627" s="3" t="s">
        <v>90</v>
      </c>
      <c r="C5627" s="5">
        <v>8500</v>
      </c>
      <c r="D5627" s="6">
        <v>22.65</v>
      </c>
      <c r="E5627" t="s">
        <v>67</v>
      </c>
    </row>
    <row r="5628" spans="1:5" x14ac:dyDescent="0.25">
      <c r="A5628" t="str">
        <f>HYPERLINK("https://www.773grp.com/globalSearch/CDC421A100RGET/page-1", "CDC421A100RGET")</f>
        <v>CDC421A100RGET</v>
      </c>
      <c r="B5628" s="3" t="s">
        <v>90</v>
      </c>
      <c r="C5628" s="5">
        <v>500</v>
      </c>
      <c r="D5628" s="6">
        <v>22.65</v>
      </c>
      <c r="E5628" t="s">
        <v>67</v>
      </c>
    </row>
    <row r="5629" spans="1:5" x14ac:dyDescent="0.25">
      <c r="A5629" t="str">
        <f>HYPERLINK("https://www.773grp.com/globalSearch/CDC421A106RGET/page-1", "CDC421A106RGET")</f>
        <v>CDC421A106RGET</v>
      </c>
      <c r="B5629" s="3" t="s">
        <v>90</v>
      </c>
      <c r="C5629" s="5">
        <v>500</v>
      </c>
      <c r="D5629" s="6">
        <v>22.65</v>
      </c>
      <c r="E5629" t="s">
        <v>67</v>
      </c>
    </row>
    <row r="5630" spans="1:5" x14ac:dyDescent="0.25">
      <c r="A5630" t="str">
        <f>HYPERLINK("https://www.773grp.com/globalSearch/CDC421A125RGET/page-1", "CDC421A125RGET")</f>
        <v>CDC421A125RGET</v>
      </c>
      <c r="B5630" s="3" t="s">
        <v>90</v>
      </c>
      <c r="C5630" s="5">
        <v>330</v>
      </c>
      <c r="D5630" s="6">
        <v>22.65</v>
      </c>
      <c r="E5630" t="s">
        <v>67</v>
      </c>
    </row>
    <row r="5631" spans="1:5" x14ac:dyDescent="0.25">
      <c r="A5631" t="str">
        <f>HYPERLINK("https://www.773grp.com/globalSearch/CDC421A212RGET/page-1", "CDC421A212RGET")</f>
        <v>CDC421A212RGET</v>
      </c>
      <c r="B5631" s="3" t="s">
        <v>90</v>
      </c>
      <c r="C5631" s="5">
        <v>19000</v>
      </c>
      <c r="D5631" s="6">
        <v>22.65</v>
      </c>
      <c r="E5631" t="s">
        <v>67</v>
      </c>
    </row>
    <row r="5632" spans="1:5" x14ac:dyDescent="0.25">
      <c r="A5632" t="str">
        <f>HYPERLINK("https://www.773grp.com/globalSearch/CDC421A312RGET/page-1", "CDC421A312RGET")</f>
        <v>CDC421A312RGET</v>
      </c>
      <c r="B5632" s="3" t="s">
        <v>90</v>
      </c>
      <c r="C5632" s="5">
        <v>250</v>
      </c>
      <c r="D5632" s="6">
        <v>22.65</v>
      </c>
      <c r="E5632" t="s">
        <v>67</v>
      </c>
    </row>
    <row r="5633" spans="1:5" x14ac:dyDescent="0.25">
      <c r="A5633" t="str">
        <f>HYPERLINK("https://www.773grp.com/globalSearch/CDCE421ARGET/page-1", "CDCE421ARGET")</f>
        <v>CDCE421ARGET</v>
      </c>
      <c r="B5633" s="3" t="s">
        <v>90</v>
      </c>
      <c r="C5633" s="5">
        <v>3312</v>
      </c>
      <c r="D5633" s="6">
        <v>22.65</v>
      </c>
      <c r="E5633" t="s">
        <v>67</v>
      </c>
    </row>
    <row r="5634" spans="1:5" x14ac:dyDescent="0.25">
      <c r="A5634" t="str">
        <f>HYPERLINK("https://www.773grp.com/globalSearch/CDCE421RGET/page-1", "CDCE421RGET")</f>
        <v>CDCE421RGET</v>
      </c>
      <c r="B5634" s="3" t="s">
        <v>90</v>
      </c>
      <c r="C5634" s="5">
        <v>11250</v>
      </c>
      <c r="D5634" s="6">
        <v>22.65</v>
      </c>
      <c r="E5634" t="s">
        <v>67</v>
      </c>
    </row>
    <row r="5635" spans="1:5" x14ac:dyDescent="0.25">
      <c r="A5635" t="str">
        <f>HYPERLINK("https://www.773grp.com/globalSearch/TCM29C13ADW/page-1", "TCM29C13ADW")</f>
        <v>TCM29C13ADW</v>
      </c>
      <c r="B5635" s="3" t="str">
        <f>HYPERLINK("https://www.773grp.com/manufacturer/texas-instruments?pageNo=733", "Texas Instruments")</f>
        <v>Texas Instruments</v>
      </c>
      <c r="C5635" s="5">
        <v>10865</v>
      </c>
      <c r="D5635" s="6">
        <v>3.68</v>
      </c>
      <c r="E5635" t="s">
        <v>55</v>
      </c>
    </row>
    <row r="5636" spans="1:5" x14ac:dyDescent="0.25">
      <c r="A5636" t="str">
        <f>HYPERLINK("https://www.773grp.com/globalSearch/TCM29C13DW/page-1", "TCM29C13DW")</f>
        <v>TCM29C13DW</v>
      </c>
      <c r="B5636" s="3" t="str">
        <f>HYPERLINK("https://www.773grp.com/manufacturer/texas-instruments?pageNo=734", "Texas Instruments")</f>
        <v>Texas Instruments</v>
      </c>
      <c r="C5636" s="5">
        <v>8411</v>
      </c>
      <c r="D5636" s="6">
        <v>3.68</v>
      </c>
      <c r="E5636" t="s">
        <v>55</v>
      </c>
    </row>
    <row r="5637" spans="1:5" x14ac:dyDescent="0.25">
      <c r="A5637" t="str">
        <f>HYPERLINK("https://www.773grp.com/globalSearch/TCM29C13DWR/page-1", "TCM29C13DWR")</f>
        <v>TCM29C13DWR</v>
      </c>
      <c r="B5637" s="3" t="str">
        <f>HYPERLINK("https://www.773grp.com/manufacturer/texas-instruments?pageNo=735", "Texas Instruments")</f>
        <v>Texas Instruments</v>
      </c>
      <c r="C5637" s="5">
        <v>4000</v>
      </c>
      <c r="D5637" s="6">
        <v>3.68</v>
      </c>
      <c r="E5637" t="s">
        <v>55</v>
      </c>
    </row>
    <row r="5638" spans="1:5" x14ac:dyDescent="0.25">
      <c r="A5638" t="str">
        <f>HYPERLINK("https://www.773grp.com/globalSearch/TCM29C16ADW/page-1", "TCM29C16ADW")</f>
        <v>TCM29C16ADW</v>
      </c>
      <c r="B5638" s="3" t="str">
        <f>HYPERLINK("https://www.773grp.com/manufacturer/texas-instruments?pageNo=736", "Texas Instruments")</f>
        <v>Texas Instruments</v>
      </c>
      <c r="C5638" s="5">
        <v>1355</v>
      </c>
      <c r="D5638" s="6">
        <v>3.68</v>
      </c>
      <c r="E5638" t="s">
        <v>55</v>
      </c>
    </row>
    <row r="5639" spans="1:5" x14ac:dyDescent="0.25">
      <c r="A5639" t="str">
        <f>HYPERLINK("https://www.773grp.com/globalSearch/TCM29C16DW/page-1", "TCM29C16DW")</f>
        <v>TCM29C16DW</v>
      </c>
      <c r="B5639" s="3" t="str">
        <f>HYPERLINK("https://www.773grp.com/manufacturer/texas-instruments?pageNo=737", "Texas Instruments")</f>
        <v>Texas Instruments</v>
      </c>
      <c r="C5639" s="5">
        <v>1931</v>
      </c>
      <c r="D5639" s="6">
        <v>3.68</v>
      </c>
      <c r="E5639" t="s">
        <v>55</v>
      </c>
    </row>
    <row r="5640" spans="1:5" x14ac:dyDescent="0.25">
      <c r="A5640" t="str">
        <f>HYPERLINK("https://www.773grp.com/globalSearch/TCM29C16N/page-1", "TCM29C16N")</f>
        <v>TCM29C16N</v>
      </c>
      <c r="B5640" s="3" t="str">
        <f>HYPERLINK("https://www.773grp.com/manufacturer/texas-instruments?pageNo=738", "Texas Instruments")</f>
        <v>Texas Instruments</v>
      </c>
      <c r="C5640" s="5">
        <v>1020</v>
      </c>
      <c r="D5640" s="6">
        <v>3.68</v>
      </c>
      <c r="E5640" t="s">
        <v>55</v>
      </c>
    </row>
    <row r="5641" spans="1:5" x14ac:dyDescent="0.25">
      <c r="A5641" t="str">
        <f>HYPERLINK("https://www.773grp.com/globalSearch/TCM29C17ADW/page-1", "TCM29C17ADW")</f>
        <v>TCM29C17ADW</v>
      </c>
      <c r="B5641" s="3" t="str">
        <f>HYPERLINK("https://www.773grp.com/manufacturer/texas-instruments?pageNo=739", "Texas Instruments")</f>
        <v>Texas Instruments</v>
      </c>
      <c r="C5641" s="5">
        <v>776</v>
      </c>
      <c r="D5641" s="6">
        <v>3.68</v>
      </c>
      <c r="E5641" t="s">
        <v>55</v>
      </c>
    </row>
    <row r="5642" spans="1:5" x14ac:dyDescent="0.25">
      <c r="A5642" t="str">
        <f>HYPERLINK("https://www.773grp.com/globalSearch/TCM29C17AN/page-1", "TCM29C17AN")</f>
        <v>TCM29C17AN</v>
      </c>
      <c r="B5642" s="3" t="str">
        <f>HYPERLINK("https://www.773grp.com/manufacturer/texas-instruments?pageNo=740", "Texas Instruments")</f>
        <v>Texas Instruments</v>
      </c>
      <c r="C5642" s="5">
        <v>14</v>
      </c>
      <c r="D5642" s="6">
        <v>3.68</v>
      </c>
      <c r="E5642" t="s">
        <v>55</v>
      </c>
    </row>
    <row r="5643" spans="1:5" x14ac:dyDescent="0.25">
      <c r="A5643" t="str">
        <f>HYPERLINK("https://www.773grp.com/globalSearch/TCM29C18DW/page-1", "TCM29C18DW")</f>
        <v>TCM29C18DW</v>
      </c>
      <c r="B5643" s="3" t="str">
        <f>HYPERLINK("https://www.773grp.com/manufacturer/texas-instruments?pageNo=741", "Texas Instruments")</f>
        <v>Texas Instruments</v>
      </c>
      <c r="C5643" s="5">
        <v>3739</v>
      </c>
      <c r="D5643" s="6">
        <v>3.68</v>
      </c>
      <c r="E5643" t="s">
        <v>55</v>
      </c>
    </row>
    <row r="5644" spans="1:5" x14ac:dyDescent="0.25">
      <c r="A5644" t="str">
        <f>HYPERLINK("https://www.773grp.com/globalSearch/TCM29C18N/page-1", "TCM29C18N")</f>
        <v>TCM29C18N</v>
      </c>
      <c r="B5644" s="3" t="str">
        <f>HYPERLINK("https://www.773grp.com/manufacturer/texas-instruments?pageNo=742", "Texas Instruments")</f>
        <v>Texas Instruments</v>
      </c>
      <c r="C5644" s="5">
        <v>7743</v>
      </c>
      <c r="D5644" s="6">
        <v>3.68</v>
      </c>
      <c r="E5644" t="s">
        <v>55</v>
      </c>
    </row>
    <row r="5645" spans="1:5" x14ac:dyDescent="0.25">
      <c r="A5645" t="str">
        <f>HYPERLINK("https://www.773grp.com/globalSearch/TCM29C19N/page-1", "TCM29C19N")</f>
        <v>TCM29C19N</v>
      </c>
      <c r="B5645" s="3" t="str">
        <f>HYPERLINK("https://www.773grp.com/manufacturer/texas-instruments?pageNo=743", "Texas Instruments")</f>
        <v>Texas Instruments</v>
      </c>
      <c r="C5645" s="5">
        <v>11485</v>
      </c>
      <c r="D5645" s="6">
        <v>3.68</v>
      </c>
      <c r="E5645" t="s">
        <v>55</v>
      </c>
    </row>
    <row r="5646" spans="1:5" x14ac:dyDescent="0.25">
      <c r="A5646" t="str">
        <f>HYPERLINK("https://www.773grp.com/globalSearch/TCM320AC54CN/page-1", "TCM320AC54CN")</f>
        <v>TCM320AC54CN</v>
      </c>
      <c r="B5646" s="3" t="s">
        <v>90</v>
      </c>
      <c r="C5646" s="5">
        <v>50</v>
      </c>
      <c r="D5646" s="6">
        <v>3.76</v>
      </c>
      <c r="E5646" t="s">
        <v>55</v>
      </c>
    </row>
    <row r="5647" spans="1:5" x14ac:dyDescent="0.25">
      <c r="A5647" t="str">
        <f>HYPERLINK("https://www.773grp.com/globalSearch/TP3054ADW/page-1", "TP3054ADW")</f>
        <v>TP3054ADW</v>
      </c>
      <c r="B5647" s="3" t="str">
        <f>HYPERLINK("https://www.773grp.com/manufacturer/texas-instruments?pageNo=503", "Texas Instruments")</f>
        <v>Texas Instruments</v>
      </c>
      <c r="C5647" s="5">
        <v>38</v>
      </c>
      <c r="D5647" s="6">
        <v>3.91</v>
      </c>
      <c r="E5647" t="s">
        <v>55</v>
      </c>
    </row>
    <row r="5648" spans="1:5" x14ac:dyDescent="0.25">
      <c r="A5648" t="str">
        <f>HYPERLINK("https://www.773grp.com/globalSearch/TP3054AN/page-1", "TP3054AN")</f>
        <v>TP3054AN</v>
      </c>
      <c r="B5648" s="3" t="str">
        <f>HYPERLINK("https://www.773grp.com/manufacturer/texas-instruments?pageNo=504", "Texas Instruments")</f>
        <v>Texas Instruments</v>
      </c>
      <c r="C5648" s="5">
        <v>1974</v>
      </c>
      <c r="D5648" s="6">
        <v>3.91</v>
      </c>
      <c r="E5648" t="s">
        <v>55</v>
      </c>
    </row>
    <row r="5649" spans="1:5" x14ac:dyDescent="0.25">
      <c r="A5649" t="str">
        <f>HYPERLINK("https://www.773grp.com/globalSearch/TP3054BDW/page-1", "TP3054BDW")</f>
        <v>TP3054BDW</v>
      </c>
      <c r="B5649" s="3" t="str">
        <f>HYPERLINK("https://www.773grp.com/manufacturer/texas-instruments?pageNo=505", "Texas Instruments")</f>
        <v>Texas Instruments</v>
      </c>
      <c r="C5649" s="5">
        <v>2</v>
      </c>
      <c r="D5649" s="6">
        <v>3.91</v>
      </c>
      <c r="E5649" t="s">
        <v>55</v>
      </c>
    </row>
    <row r="5650" spans="1:5" x14ac:dyDescent="0.25">
      <c r="A5650" t="str">
        <f>HYPERLINK("https://www.773grp.com/globalSearch/TP3054BN/page-1", "TP3054BN")</f>
        <v>TP3054BN</v>
      </c>
      <c r="B5650" s="3" t="str">
        <f>HYPERLINK("https://www.773grp.com/manufacturer/texas-instruments?pageNo=506", "Texas Instruments")</f>
        <v>Texas Instruments</v>
      </c>
      <c r="C5650" s="5">
        <v>12120</v>
      </c>
      <c r="D5650" s="6">
        <v>3.91</v>
      </c>
      <c r="E5650" t="s">
        <v>55</v>
      </c>
    </row>
    <row r="5651" spans="1:5" x14ac:dyDescent="0.25">
      <c r="A5651" t="str">
        <f>HYPERLINK("https://www.773grp.com/globalSearch/TP3057ADW/page-1", "TP3057ADW")</f>
        <v>TP3057ADW</v>
      </c>
      <c r="B5651" s="3" t="str">
        <f>HYPERLINK("https://www.773grp.com/manufacturer/texas-instruments?pageNo=507", "Texas Instruments")</f>
        <v>Texas Instruments</v>
      </c>
      <c r="C5651" s="5">
        <v>1015</v>
      </c>
      <c r="D5651" s="6">
        <v>3.91</v>
      </c>
      <c r="E5651" t="s">
        <v>55</v>
      </c>
    </row>
    <row r="5652" spans="1:5" x14ac:dyDescent="0.25">
      <c r="A5652" t="str">
        <f>HYPERLINK("https://www.773grp.com/globalSearch/TP3057AN/page-1", "TP3057AN")</f>
        <v>TP3057AN</v>
      </c>
      <c r="B5652" s="3" t="str">
        <f>HYPERLINK("https://www.773grp.com/manufacturer/texas-instruments?pageNo=508", "Texas Instruments")</f>
        <v>Texas Instruments</v>
      </c>
      <c r="C5652" s="5">
        <v>5261</v>
      </c>
      <c r="D5652" s="6">
        <v>3.91</v>
      </c>
      <c r="E5652" t="s">
        <v>55</v>
      </c>
    </row>
    <row r="5653" spans="1:5" x14ac:dyDescent="0.25">
      <c r="A5653" t="str">
        <f>HYPERLINK("https://www.773grp.com/globalSearch/TP3057BDW/page-1", "TP3057BDW")</f>
        <v>TP3057BDW</v>
      </c>
      <c r="B5653" s="3" t="str">
        <f>HYPERLINK("https://www.773grp.com/manufacturer/texas-instruments?pageNo=509", "Texas Instruments")</f>
        <v>Texas Instruments</v>
      </c>
      <c r="C5653" s="5">
        <v>2113</v>
      </c>
      <c r="D5653" s="6">
        <v>3.91</v>
      </c>
      <c r="E5653" t="s">
        <v>55</v>
      </c>
    </row>
    <row r="5654" spans="1:5" x14ac:dyDescent="0.25">
      <c r="A5654" t="str">
        <f>HYPERLINK("https://www.773grp.com/globalSearch/TP3064BDW/page-1", "TP3064BDW")</f>
        <v>TP3064BDW</v>
      </c>
      <c r="B5654" s="3" t="str">
        <f>HYPERLINK("https://www.773grp.com/manufacturer/texas-instruments?pageNo=510", "Texas Instruments")</f>
        <v>Texas Instruments</v>
      </c>
      <c r="C5654" s="5">
        <v>3</v>
      </c>
      <c r="D5654" s="6">
        <v>3.91</v>
      </c>
      <c r="E5654" t="s">
        <v>55</v>
      </c>
    </row>
    <row r="5655" spans="1:5" x14ac:dyDescent="0.25">
      <c r="A5655" t="str">
        <f>HYPERLINK("https://www.773grp.com/globalSearch/TP3064BN/page-1", "TP3064BN")</f>
        <v>TP3064BN</v>
      </c>
      <c r="B5655" s="3" t="str">
        <f>HYPERLINK("https://www.773grp.com/manufacturer/texas-instruments?pageNo=511", "Texas Instruments")</f>
        <v>Texas Instruments</v>
      </c>
      <c r="C5655" s="5">
        <v>8401</v>
      </c>
      <c r="D5655" s="6">
        <v>3.91</v>
      </c>
      <c r="E5655" t="s">
        <v>55</v>
      </c>
    </row>
    <row r="5656" spans="1:5" x14ac:dyDescent="0.25">
      <c r="A5656" t="str">
        <f>HYPERLINK("https://www.773grp.com/globalSearch/TP3067AN/page-1", "TP3067AN")</f>
        <v>TP3067AN</v>
      </c>
      <c r="B5656" s="3" t="str">
        <f>HYPERLINK("https://www.773grp.com/manufacturer/texas-instruments?pageNo=512", "Texas Instruments")</f>
        <v>Texas Instruments</v>
      </c>
      <c r="C5656" s="5">
        <v>3812</v>
      </c>
      <c r="D5656" s="6">
        <v>3.91</v>
      </c>
      <c r="E5656" t="s">
        <v>55</v>
      </c>
    </row>
    <row r="5657" spans="1:5" x14ac:dyDescent="0.25">
      <c r="A5657" t="str">
        <f>HYPERLINK("https://www.773grp.com/globalSearch/TP3067BDW/page-1", "TP3067BDW")</f>
        <v>TP3067BDW</v>
      </c>
      <c r="B5657" s="3" t="str">
        <f>HYPERLINK("https://www.773grp.com/manufacturer/texas-instruments?pageNo=513", "Texas Instruments")</f>
        <v>Texas Instruments</v>
      </c>
      <c r="C5657" s="5">
        <v>952</v>
      </c>
      <c r="D5657" s="6">
        <v>3.91</v>
      </c>
      <c r="E5657" t="s">
        <v>55</v>
      </c>
    </row>
    <row r="5658" spans="1:5" x14ac:dyDescent="0.25">
      <c r="A5658" t="str">
        <f>HYPERLINK("https://www.773grp.com/globalSearch/TP3067BN/page-1", "TP3067BN")</f>
        <v>TP3067BN</v>
      </c>
      <c r="B5658" s="3" t="str">
        <f>HYPERLINK("https://www.773grp.com/manufacturer/texas-instruments?pageNo=514", "Texas Instruments")</f>
        <v>Texas Instruments</v>
      </c>
      <c r="C5658" s="5">
        <v>951</v>
      </c>
      <c r="D5658" s="6">
        <v>3.91</v>
      </c>
      <c r="E5658" t="s">
        <v>55</v>
      </c>
    </row>
    <row r="5659" spans="1:5" x14ac:dyDescent="0.25">
      <c r="A5659" t="str">
        <f>HYPERLINK("https://www.773grp.com/globalSearch/TP3054BDWR/page-1", "TP3054BDWR")</f>
        <v>TP3054BDWR</v>
      </c>
      <c r="B5659" s="3" t="str">
        <f>HYPERLINK("https://www.773grp.com/manufacturer/texas-instruments?pageNo=832", "Texas Instruments")</f>
        <v>Texas Instruments</v>
      </c>
      <c r="C5659" s="5">
        <v>1940</v>
      </c>
      <c r="D5659" s="6">
        <v>4</v>
      </c>
      <c r="E5659" t="s">
        <v>55</v>
      </c>
    </row>
    <row r="5660" spans="1:5" x14ac:dyDescent="0.25">
      <c r="A5660" t="str">
        <f>HYPERLINK("https://www.773grp.com/globalSearch/TP3057ADWR/page-1", "TP3057ADWR")</f>
        <v>TP3057ADWR</v>
      </c>
      <c r="B5660" s="3" t="str">
        <f>HYPERLINK("https://www.773grp.com/manufacturer/texas-instruments?pageNo=833", "Texas Instruments")</f>
        <v>Texas Instruments</v>
      </c>
      <c r="C5660" s="5">
        <v>23700</v>
      </c>
      <c r="D5660" s="6">
        <v>4</v>
      </c>
      <c r="E5660" t="s">
        <v>55</v>
      </c>
    </row>
    <row r="5661" spans="1:5" x14ac:dyDescent="0.25">
      <c r="A5661" t="str">
        <f>HYPERLINK("https://www.773grp.com/globalSearch/TCM129C13ADW/page-1", "TCM129C13ADW")</f>
        <v>TCM129C13ADW</v>
      </c>
      <c r="B5661" s="3" t="s">
        <v>90</v>
      </c>
      <c r="C5661" s="5">
        <v>22752</v>
      </c>
      <c r="D5661" s="6">
        <v>4.0999999999999996</v>
      </c>
      <c r="E5661" t="s">
        <v>55</v>
      </c>
    </row>
    <row r="5662" spans="1:5" x14ac:dyDescent="0.25">
      <c r="A5662" t="str">
        <f>HYPERLINK("https://www.773grp.com/globalSearch/TCM129C13DW/page-1", "TCM129C13DW")</f>
        <v>TCM129C13DW</v>
      </c>
      <c r="B5662" s="3" t="s">
        <v>90</v>
      </c>
      <c r="C5662" s="5">
        <v>182</v>
      </c>
      <c r="D5662" s="6">
        <v>4.0999999999999996</v>
      </c>
      <c r="E5662" t="s">
        <v>55</v>
      </c>
    </row>
    <row r="5663" spans="1:5" x14ac:dyDescent="0.25">
      <c r="A5663" t="str">
        <f>HYPERLINK("https://www.773grp.com/globalSearch/TCM129C16DW/page-1", "TCM129C16DW")</f>
        <v>TCM129C16DW</v>
      </c>
      <c r="B5663" s="3" t="s">
        <v>90</v>
      </c>
      <c r="C5663" s="5">
        <v>1375</v>
      </c>
      <c r="D5663" s="6">
        <v>4.0999999999999996</v>
      </c>
      <c r="E5663" t="s">
        <v>55</v>
      </c>
    </row>
    <row r="5664" spans="1:5" x14ac:dyDescent="0.25">
      <c r="A5664" t="str">
        <f>HYPERLINK("https://www.773grp.com/globalSearch/TCM129C16N/page-1", "TCM129C16N")</f>
        <v>TCM129C16N</v>
      </c>
      <c r="B5664" s="3" t="s">
        <v>90</v>
      </c>
      <c r="C5664" s="5">
        <v>2049</v>
      </c>
      <c r="D5664" s="6">
        <v>4.0999999999999996</v>
      </c>
      <c r="E5664" t="s">
        <v>55</v>
      </c>
    </row>
    <row r="5665" spans="1:5" x14ac:dyDescent="0.25">
      <c r="A5665" t="str">
        <f>HYPERLINK("https://www.773grp.com/globalSearch/TCM129C18N/page-1", "TCM129C18N")</f>
        <v>TCM129C18N</v>
      </c>
      <c r="B5665" s="3" t="s">
        <v>90</v>
      </c>
      <c r="C5665" s="5">
        <v>2212</v>
      </c>
      <c r="D5665" s="6">
        <v>4.0999999999999996</v>
      </c>
      <c r="E5665" t="s">
        <v>55</v>
      </c>
    </row>
    <row r="5666" spans="1:5" x14ac:dyDescent="0.25">
      <c r="A5666" t="str">
        <f>HYPERLINK("https://www.773grp.com/globalSearch/TCM129C19N/page-1", "TCM129C19N")</f>
        <v>TCM129C19N</v>
      </c>
      <c r="B5666" s="3" t="s">
        <v>90</v>
      </c>
      <c r="C5666" s="5">
        <v>1320</v>
      </c>
      <c r="D5666" s="6">
        <v>4.0999999999999996</v>
      </c>
      <c r="E5666" t="s">
        <v>55</v>
      </c>
    </row>
    <row r="5667" spans="1:5" x14ac:dyDescent="0.25">
      <c r="A5667" t="str">
        <f>HYPERLINK("https://www.773grp.com/globalSearch/TCM129C13ADWR/page-1", "TCM129C13ADWR")</f>
        <v>TCM129C13ADWR</v>
      </c>
      <c r="B5667" s="3" t="s">
        <v>90</v>
      </c>
      <c r="C5667" s="5">
        <v>4000</v>
      </c>
      <c r="D5667" s="6">
        <v>4.2300000000000004</v>
      </c>
      <c r="E5667" t="s">
        <v>55</v>
      </c>
    </row>
    <row r="5668" spans="1:5" x14ac:dyDescent="0.25">
      <c r="A5668" t="str">
        <f>HYPERLINK("https://www.773grp.com/globalSearch/TP13054ADW/page-1", "TP13054ADW")</f>
        <v>TP13054ADW</v>
      </c>
      <c r="B5668" s="3" t="s">
        <v>90</v>
      </c>
      <c r="C5668" s="5">
        <v>214</v>
      </c>
      <c r="D5668" s="6">
        <v>4.3899999999999997</v>
      </c>
      <c r="E5668" t="s">
        <v>55</v>
      </c>
    </row>
    <row r="5669" spans="1:5" x14ac:dyDescent="0.25">
      <c r="A5669" t="str">
        <f>HYPERLINK("https://www.773grp.com/globalSearch/TP13054AN/page-1", "TP13054AN")</f>
        <v>TP13054AN</v>
      </c>
      <c r="B5669" s="3" t="s">
        <v>90</v>
      </c>
      <c r="C5669" s="5">
        <v>16</v>
      </c>
      <c r="D5669" s="6">
        <v>4.3899999999999997</v>
      </c>
      <c r="E5669" t="s">
        <v>55</v>
      </c>
    </row>
    <row r="5670" spans="1:5" x14ac:dyDescent="0.25">
      <c r="A5670" t="str">
        <f>HYPERLINK("https://www.773grp.com/globalSearch/TP13054BDW/page-1", "TP13054BDW")</f>
        <v>TP13054BDW</v>
      </c>
      <c r="B5670" s="3" t="s">
        <v>90</v>
      </c>
      <c r="C5670" s="5">
        <v>7563</v>
      </c>
      <c r="D5670" s="6">
        <v>4.3899999999999997</v>
      </c>
      <c r="E5670" t="s">
        <v>55</v>
      </c>
    </row>
    <row r="5671" spans="1:5" x14ac:dyDescent="0.25">
      <c r="A5671" t="str">
        <f>HYPERLINK("https://www.773grp.com/globalSearch/TP13054BN/page-1", "TP13054BN")</f>
        <v>TP13054BN</v>
      </c>
      <c r="B5671" s="3" t="s">
        <v>90</v>
      </c>
      <c r="C5671" s="5">
        <v>2541</v>
      </c>
      <c r="D5671" s="6">
        <v>4.3899999999999997</v>
      </c>
      <c r="E5671" t="s">
        <v>55</v>
      </c>
    </row>
    <row r="5672" spans="1:5" x14ac:dyDescent="0.25">
      <c r="A5672" t="str">
        <f>HYPERLINK("https://www.773grp.com/globalSearch/TP13057ADW/page-1", "TP13057ADW")</f>
        <v>TP13057ADW</v>
      </c>
      <c r="B5672" s="3" t="s">
        <v>90</v>
      </c>
      <c r="C5672" s="5">
        <v>22</v>
      </c>
      <c r="D5672" s="6">
        <v>4.3899999999999997</v>
      </c>
      <c r="E5672" t="s">
        <v>55</v>
      </c>
    </row>
    <row r="5673" spans="1:5" x14ac:dyDescent="0.25">
      <c r="A5673" t="str">
        <f>HYPERLINK("https://www.773grp.com/globalSearch/TP13057AN/page-1", "TP13057AN")</f>
        <v>TP13057AN</v>
      </c>
      <c r="B5673" s="3" t="s">
        <v>90</v>
      </c>
      <c r="C5673" s="5">
        <v>750</v>
      </c>
      <c r="D5673" s="6">
        <v>4.3899999999999997</v>
      </c>
      <c r="E5673" t="s">
        <v>55</v>
      </c>
    </row>
    <row r="5674" spans="1:5" x14ac:dyDescent="0.25">
      <c r="A5674" t="str">
        <f>HYPERLINK("https://www.773grp.com/globalSearch/TP13057BDW/page-1", "TP13057BDW")</f>
        <v>TP13057BDW</v>
      </c>
      <c r="B5674" s="3" t="s">
        <v>90</v>
      </c>
      <c r="C5674" s="5">
        <v>2100</v>
      </c>
      <c r="D5674" s="6">
        <v>4.3899999999999997</v>
      </c>
      <c r="E5674" t="s">
        <v>55</v>
      </c>
    </row>
    <row r="5675" spans="1:5" x14ac:dyDescent="0.25">
      <c r="A5675" t="str">
        <f>HYPERLINK("https://www.773grp.com/globalSearch/TP13057BDWR/page-1", "TP13057BDWR")</f>
        <v>TP13057BDWR</v>
      </c>
      <c r="B5675" s="3" t="s">
        <v>90</v>
      </c>
      <c r="C5675" s="5">
        <v>2000</v>
      </c>
      <c r="D5675" s="6">
        <v>4.3899999999999997</v>
      </c>
      <c r="E5675" t="s">
        <v>55</v>
      </c>
    </row>
    <row r="5676" spans="1:5" x14ac:dyDescent="0.25">
      <c r="A5676" t="str">
        <f>HYPERLINK("https://www.773grp.com/globalSearch/TP13057BN/page-1", "TP13057BN")</f>
        <v>TP13057BN</v>
      </c>
      <c r="B5676" s="3" t="s">
        <v>90</v>
      </c>
      <c r="C5676" s="5">
        <v>605</v>
      </c>
      <c r="D5676" s="6">
        <v>4.3899999999999997</v>
      </c>
      <c r="E5676" t="s">
        <v>55</v>
      </c>
    </row>
    <row r="5677" spans="1:5" x14ac:dyDescent="0.25">
      <c r="A5677" t="str">
        <f>HYPERLINK("https://www.773grp.com/globalSearch/TP13064BDW/page-1", "TP13064BDW")</f>
        <v>TP13064BDW</v>
      </c>
      <c r="B5677" s="3" t="s">
        <v>90</v>
      </c>
      <c r="C5677" s="5">
        <v>191</v>
      </c>
      <c r="D5677" s="6">
        <v>4.3899999999999997</v>
      </c>
      <c r="E5677" t="s">
        <v>55</v>
      </c>
    </row>
    <row r="5678" spans="1:5" x14ac:dyDescent="0.25">
      <c r="A5678" t="str">
        <f>HYPERLINK("https://www.773grp.com/globalSearch/TP13067BN/page-1", "TP13067BN")</f>
        <v>TP13067BN</v>
      </c>
      <c r="B5678" s="3" t="s">
        <v>90</v>
      </c>
      <c r="C5678" s="5">
        <v>3863</v>
      </c>
      <c r="D5678" s="6">
        <v>4.3899999999999997</v>
      </c>
      <c r="E5678" t="s">
        <v>55</v>
      </c>
    </row>
    <row r="5679" spans="1:5" x14ac:dyDescent="0.25">
      <c r="A5679" t="str">
        <f>HYPERLINK("https://www.773grp.com/globalSearch/TP13054ADWR/page-1", "TP13054ADWR")</f>
        <v>TP13054ADWR</v>
      </c>
      <c r="B5679" s="3" t="str">
        <f>HYPERLINK("https://www.773grp.com/manufacturer/texas-instruments?pageNo=252", "Texas Instruments")</f>
        <v>Texas Instruments</v>
      </c>
      <c r="C5679" s="5">
        <v>713</v>
      </c>
      <c r="D5679" s="6">
        <v>4.4800000000000004</v>
      </c>
      <c r="E5679" t="s">
        <v>55</v>
      </c>
    </row>
    <row r="5680" spans="1:5" x14ac:dyDescent="0.25">
      <c r="A5680" t="str">
        <f>HYPERLINK("https://www.773grp.com/globalSearch/TP13054BDWR/page-1", "TP13054BDWR")</f>
        <v>TP13054BDWR</v>
      </c>
      <c r="B5680" s="3" t="str">
        <f>HYPERLINK("https://www.773grp.com/manufacturer/texas-instruments?pageNo=253", "Texas Instruments")</f>
        <v>Texas Instruments</v>
      </c>
      <c r="C5680" s="5">
        <v>30895</v>
      </c>
      <c r="D5680" s="6">
        <v>4.4800000000000004</v>
      </c>
      <c r="E5680" t="s">
        <v>55</v>
      </c>
    </row>
    <row r="5681" spans="1:5" x14ac:dyDescent="0.25">
      <c r="A5681" t="str">
        <f>HYPERLINK("https://www.773grp.com/globalSearch/TLV320AIC14KIDBT/page-1", "TLV320AIC14KIDBT")</f>
        <v>TLV320AIC14KIDBT</v>
      </c>
      <c r="B5681" s="3" t="s">
        <v>90</v>
      </c>
      <c r="C5681" s="5">
        <v>400</v>
      </c>
      <c r="D5681" s="6">
        <v>4.6399999999999997</v>
      </c>
      <c r="E5681" t="s">
        <v>55</v>
      </c>
    </row>
    <row r="5682" spans="1:5" x14ac:dyDescent="0.25">
      <c r="A5682" t="str">
        <f>HYPERLINK("https://www.773grp.com/globalSearch/TLV320AIC14KIDBTG4/page-1", "TLV320AIC14KIDBTG4")</f>
        <v>TLV320AIC14KIDBTG4</v>
      </c>
      <c r="B5682" s="3" t="s">
        <v>90</v>
      </c>
      <c r="C5682" s="5">
        <v>30</v>
      </c>
      <c r="D5682" s="6">
        <v>4.6399999999999997</v>
      </c>
      <c r="E5682" t="s">
        <v>55</v>
      </c>
    </row>
    <row r="5683" spans="1:5" x14ac:dyDescent="0.25">
      <c r="A5683" t="str">
        <f>HYPERLINK("https://www.773grp.com/globalSearch/TCM37C15AIDW/page-1", "TCM37C15AIDW")</f>
        <v>TCM37C15AIDW</v>
      </c>
      <c r="B5683" s="3" t="s">
        <v>90</v>
      </c>
      <c r="C5683" s="5">
        <v>1123</v>
      </c>
      <c r="D5683" s="6">
        <v>4.6900000000000004</v>
      </c>
      <c r="E5683" t="s">
        <v>55</v>
      </c>
    </row>
    <row r="5684" spans="1:5" x14ac:dyDescent="0.25">
      <c r="A5684" t="str">
        <f>HYPERLINK("https://www.773grp.com/globalSearch/TCM37C15AIN/page-1", "TCM37C15AIN")</f>
        <v>TCM37C15AIN</v>
      </c>
      <c r="B5684" s="3" t="s">
        <v>90</v>
      </c>
      <c r="C5684" s="5">
        <v>2096</v>
      </c>
      <c r="D5684" s="6">
        <v>4.6900000000000004</v>
      </c>
      <c r="E5684" t="s">
        <v>55</v>
      </c>
    </row>
    <row r="5685" spans="1:5" x14ac:dyDescent="0.25">
      <c r="A5685" t="str">
        <f>HYPERLINK("https://www.773grp.com/globalSearch/TLV320AIC12KIRHBT/page-1", "TLV320AIC12KIRHBT")</f>
        <v>TLV320AIC12KIRHBT</v>
      </c>
      <c r="B5685" s="3" t="s">
        <v>90</v>
      </c>
      <c r="C5685" s="5">
        <v>2541</v>
      </c>
      <c r="D5685" s="6">
        <v>5.2</v>
      </c>
      <c r="E5685" t="s">
        <v>55</v>
      </c>
    </row>
    <row r="5686" spans="1:5" x14ac:dyDescent="0.25">
      <c r="A5686" t="str">
        <f>HYPERLINK("https://www.773grp.com/globalSearch/TCM37C14AIDW/page-1", "TCM37C14AIDW")</f>
        <v>TCM37C14AIDW</v>
      </c>
      <c r="B5686" s="3" t="s">
        <v>90</v>
      </c>
      <c r="C5686" s="5">
        <v>5686</v>
      </c>
      <c r="D5686" s="6">
        <v>5.36</v>
      </c>
      <c r="E5686" t="s">
        <v>55</v>
      </c>
    </row>
    <row r="5687" spans="1:5" x14ac:dyDescent="0.25">
      <c r="A5687" t="str">
        <f>HYPERLINK("https://www.773grp.com/globalSearch/TLV320AIC12KIDBT/page-1", "TLV320AIC12KIDBT")</f>
        <v>TLV320AIC12KIDBT</v>
      </c>
      <c r="B5687" s="3" t="s">
        <v>90</v>
      </c>
      <c r="C5687" s="5">
        <v>2741</v>
      </c>
      <c r="D5687" s="6">
        <v>5.49</v>
      </c>
      <c r="E5687" t="s">
        <v>55</v>
      </c>
    </row>
    <row r="5688" spans="1:5" x14ac:dyDescent="0.25">
      <c r="A5688" t="str">
        <f>HYPERLINK("https://www.773grp.com/globalSearch/TLV320AIC3105IRHBR/page-1", "TLV320AIC3105IRHBR")</f>
        <v>TLV320AIC3105IRHBR</v>
      </c>
      <c r="B5688" s="3" t="s">
        <v>90</v>
      </c>
      <c r="C5688" s="5">
        <v>21000</v>
      </c>
      <c r="D5688" s="6">
        <v>5.49</v>
      </c>
      <c r="E5688" t="s">
        <v>55</v>
      </c>
    </row>
    <row r="5689" spans="1:5" x14ac:dyDescent="0.25">
      <c r="A5689" t="str">
        <f>HYPERLINK("https://www.773grp.com/globalSearch/TLV320AIC3101IRHBT/page-1", "TLV320AIC3101IRHBT")</f>
        <v>TLV320AIC3101IRHBT</v>
      </c>
      <c r="B5689" s="3" t="str">
        <f>HYPERLINK("https://www.773grp.com/manufacturer/texas-instruments?pageNo=678", "Texas Instruments")</f>
        <v>Texas Instruments</v>
      </c>
      <c r="C5689" s="5">
        <v>250</v>
      </c>
      <c r="D5689" s="6">
        <v>6.89</v>
      </c>
      <c r="E5689" t="s">
        <v>55</v>
      </c>
    </row>
    <row r="5690" spans="1:5" x14ac:dyDescent="0.25">
      <c r="A5690" t="str">
        <f>HYPERLINK("https://www.773grp.com/globalSearch/TLV320AC36CN/page-1", "TLV320AC36CN")</f>
        <v>TLV320AC36CN</v>
      </c>
      <c r="B5690" s="3" t="str">
        <f>HYPERLINK("https://www.773grp.com/manufacturer/texas-instruments?pageNo=702", "Texas Instruments")</f>
        <v>Texas Instruments</v>
      </c>
      <c r="C5690" s="5">
        <v>1610</v>
      </c>
      <c r="D5690" s="6">
        <v>6.93</v>
      </c>
      <c r="E5690" t="s">
        <v>55</v>
      </c>
    </row>
    <row r="5691" spans="1:5" x14ac:dyDescent="0.25">
      <c r="A5691" t="str">
        <f>HYPERLINK("https://www.773grp.com/globalSearch/TLV320AC37CN/page-1", "TLV320AC37CN")</f>
        <v>TLV320AC37CN</v>
      </c>
      <c r="B5691" s="3" t="str">
        <f>HYPERLINK("https://www.773grp.com/manufacturer/texas-instruments?pageNo=703", "Texas Instruments")</f>
        <v>Texas Instruments</v>
      </c>
      <c r="C5691" s="5">
        <v>109</v>
      </c>
      <c r="D5691" s="6">
        <v>6.93</v>
      </c>
      <c r="E5691" t="s">
        <v>55</v>
      </c>
    </row>
    <row r="5692" spans="1:5" x14ac:dyDescent="0.25">
      <c r="A5692" t="str">
        <f>HYPERLINK("https://www.773grp.com/globalSearch/TLV320AC40CDW/page-1", "TLV320AC40CDW")</f>
        <v>TLV320AC40CDW</v>
      </c>
      <c r="B5692" s="3" t="str">
        <f>HYPERLINK("https://www.773grp.com/manufacturer/texas-instruments?pageNo=704", "Texas Instruments")</f>
        <v>Texas Instruments</v>
      </c>
      <c r="C5692" s="5">
        <v>1255</v>
      </c>
      <c r="D5692" s="6">
        <v>6.93</v>
      </c>
      <c r="E5692" t="s">
        <v>55</v>
      </c>
    </row>
    <row r="5693" spans="1:5" x14ac:dyDescent="0.25">
      <c r="A5693" t="str">
        <f>HYPERLINK("https://www.773grp.com/globalSearch/TLV320AC41CDW/page-1", "TLV320AC41CDW")</f>
        <v>TLV320AC41CDW</v>
      </c>
      <c r="B5693" s="3" t="str">
        <f>HYPERLINK("https://www.773grp.com/manufacturer/texas-instruments?pageNo=705", "Texas Instruments")</f>
        <v>Texas Instruments</v>
      </c>
      <c r="C5693" s="5">
        <v>125</v>
      </c>
      <c r="D5693" s="6">
        <v>6.93</v>
      </c>
      <c r="E5693" t="s">
        <v>55</v>
      </c>
    </row>
    <row r="5694" spans="1:5" x14ac:dyDescent="0.25">
      <c r="A5694" t="str">
        <f>HYPERLINK("https://www.773grp.com/globalSearch/TLV320AIC20KIPFBR/page-1", "TLV320AIC20KIPFBR")</f>
        <v>TLV320AIC20KIPFBR</v>
      </c>
      <c r="B5694" s="3" t="s">
        <v>90</v>
      </c>
      <c r="C5694" s="5">
        <v>648</v>
      </c>
      <c r="D5694" s="6">
        <v>7.6</v>
      </c>
      <c r="E5694" t="s">
        <v>55</v>
      </c>
    </row>
    <row r="5695" spans="1:5" x14ac:dyDescent="0.25">
      <c r="A5695" t="str">
        <f>HYPERLINK("https://www.773grp.com/globalSearch/TLV320AIC3007IRSBT/page-1", "TLV320AIC3007IRSBT")</f>
        <v>TLV320AIC3007IRSBT</v>
      </c>
      <c r="B5695" s="3" t="s">
        <v>90</v>
      </c>
      <c r="C5695" s="5">
        <v>4000</v>
      </c>
      <c r="D5695" s="6">
        <v>7.6</v>
      </c>
      <c r="E5695" t="s">
        <v>55</v>
      </c>
    </row>
    <row r="5696" spans="1:5" x14ac:dyDescent="0.25">
      <c r="A5696" t="str">
        <f>HYPERLINK("https://www.773grp.com/globalSearch/TLV320AIC3106IZQE/page-1", "TLV320AIC3106IZQE")</f>
        <v>TLV320AIC3106IZQE</v>
      </c>
      <c r="B5696" s="3" t="s">
        <v>90</v>
      </c>
      <c r="C5696" s="5">
        <v>4404</v>
      </c>
      <c r="D5696" s="6">
        <v>7.6</v>
      </c>
      <c r="E5696" t="s">
        <v>55</v>
      </c>
    </row>
    <row r="5697" spans="1:5" x14ac:dyDescent="0.25">
      <c r="A5697" t="str">
        <f>HYPERLINK("https://www.773grp.com/globalSearch/TLV320AIC1103GQER/page-1", "TLV320AIC1103GQER")</f>
        <v>TLV320AIC1103GQER</v>
      </c>
      <c r="B5697" s="3" t="s">
        <v>90</v>
      </c>
      <c r="C5697" s="5">
        <v>25000</v>
      </c>
      <c r="D5697" s="6">
        <v>7.88</v>
      </c>
      <c r="E5697" t="s">
        <v>55</v>
      </c>
    </row>
    <row r="5698" spans="1:5" x14ac:dyDescent="0.25">
      <c r="A5698" t="str">
        <f>HYPERLINK("https://www.773grp.com/globalSearch/TLV320AIC1106PWR/page-1", "TLV320AIC1106PWR")</f>
        <v>TLV320AIC1106PWR</v>
      </c>
      <c r="B5698" s="3" t="s">
        <v>90</v>
      </c>
      <c r="C5698" s="5">
        <v>27580</v>
      </c>
      <c r="D5698" s="6">
        <v>7.99</v>
      </c>
      <c r="E5698" t="s">
        <v>55</v>
      </c>
    </row>
    <row r="5699" spans="1:5" x14ac:dyDescent="0.25">
      <c r="A5699" t="str">
        <f>HYPERLINK("https://www.773grp.com/globalSearch/TLV320AIC1110GQER/page-1", "TLV320AIC1110GQER")</f>
        <v>TLV320AIC1110GQER</v>
      </c>
      <c r="B5699" s="3" t="s">
        <v>90</v>
      </c>
      <c r="C5699" s="5">
        <v>7500</v>
      </c>
      <c r="D5699" s="6">
        <v>8.01</v>
      </c>
      <c r="E5699" t="s">
        <v>55</v>
      </c>
    </row>
    <row r="5700" spans="1:5" x14ac:dyDescent="0.25">
      <c r="A5700" t="str">
        <f>HYPERLINK("https://www.773grp.com/globalSearch/TLV320AIC1110GQER/page-1", "TLV320AIC1110GQER")</f>
        <v>TLV320AIC1110GQER</v>
      </c>
      <c r="B5700" s="3" t="s">
        <v>90</v>
      </c>
      <c r="C5700" s="5">
        <v>50000</v>
      </c>
      <c r="D5700" s="6">
        <v>8.01</v>
      </c>
      <c r="E5700" t="s">
        <v>55</v>
      </c>
    </row>
    <row r="5701" spans="1:5" x14ac:dyDescent="0.25">
      <c r="A5701" t="str">
        <f>HYPERLINK("https://www.773grp.com/globalSearch/TLV320AIC15CDBT/page-1", "TLV320AIC15CDBT")</f>
        <v>TLV320AIC15CDBT</v>
      </c>
      <c r="B5701" s="3" t="s">
        <v>90</v>
      </c>
      <c r="C5701" s="5">
        <v>8390</v>
      </c>
      <c r="D5701" s="6">
        <v>8.01</v>
      </c>
      <c r="E5701" t="s">
        <v>55</v>
      </c>
    </row>
    <row r="5702" spans="1:5" x14ac:dyDescent="0.25">
      <c r="A5702" t="str">
        <f>HYPERLINK("https://www.773grp.com/globalSearch/TLV320AIC24KIPFB/page-1", "TLV320AIC24KIPFB")</f>
        <v>TLV320AIC24KIPFB</v>
      </c>
      <c r="B5702" s="3" t="s">
        <v>90</v>
      </c>
      <c r="C5702" s="5">
        <v>33</v>
      </c>
      <c r="D5702" s="6">
        <v>8.15</v>
      </c>
      <c r="E5702" t="s">
        <v>55</v>
      </c>
    </row>
    <row r="5703" spans="1:5" x14ac:dyDescent="0.25">
      <c r="A5703" t="str">
        <f>HYPERLINK("https://www.773grp.com/globalSearch/TLV320AIC1103PBSR/page-1", "TLV320AIC1103PBSR")</f>
        <v>TLV320AIC1103PBSR</v>
      </c>
      <c r="B5703" s="3" t="s">
        <v>90</v>
      </c>
      <c r="C5703" s="5">
        <v>1000</v>
      </c>
      <c r="D5703" s="6">
        <v>8.2799999999999994</v>
      </c>
      <c r="E5703" t="s">
        <v>55</v>
      </c>
    </row>
    <row r="5704" spans="1:5" x14ac:dyDescent="0.25">
      <c r="A5704" t="str">
        <f>HYPERLINK("https://www.773grp.com/globalSearch/TLV320AIC1103ZQER/page-1", "TLV320AIC1103ZQER")</f>
        <v>TLV320AIC1103ZQER</v>
      </c>
      <c r="B5704" s="3" t="s">
        <v>90</v>
      </c>
      <c r="C5704" s="5">
        <v>70000</v>
      </c>
      <c r="D5704" s="6">
        <v>8.2799999999999994</v>
      </c>
      <c r="E5704" t="s">
        <v>55</v>
      </c>
    </row>
    <row r="5705" spans="1:5" x14ac:dyDescent="0.25">
      <c r="A5705" t="str">
        <f>HYPERLINK("https://www.773grp.com/globalSearch/TLV320AIC1110PBSR/page-1", "TLV320AIC1110PBSR")</f>
        <v>TLV320AIC1110PBSR</v>
      </c>
      <c r="B5705" s="3" t="s">
        <v>90</v>
      </c>
      <c r="C5705" s="5">
        <v>17500</v>
      </c>
      <c r="D5705" s="6">
        <v>8.4</v>
      </c>
      <c r="E5705" t="s">
        <v>55</v>
      </c>
    </row>
    <row r="5706" spans="1:5" x14ac:dyDescent="0.25">
      <c r="A5706" t="str">
        <f>HYPERLINK("https://www.773grp.com/globalSearch/PCM3052ARTFR/page-1", "PCM3052ARTFR")</f>
        <v>PCM3052ARTFR</v>
      </c>
      <c r="B5706" s="3" t="s">
        <v>90</v>
      </c>
      <c r="C5706" s="5">
        <v>6000</v>
      </c>
      <c r="D5706" s="6">
        <v>8.44</v>
      </c>
      <c r="E5706" t="s">
        <v>55</v>
      </c>
    </row>
    <row r="5707" spans="1:5" x14ac:dyDescent="0.25">
      <c r="A5707" t="str">
        <f>HYPERLINK("https://www.773grp.com/globalSearch/TLV320AIC20KIPFB/page-1", "TLV320AIC20KIPFB")</f>
        <v>TLV320AIC20KIPFB</v>
      </c>
      <c r="B5707" s="3" t="s">
        <v>90</v>
      </c>
      <c r="C5707" s="5">
        <v>100</v>
      </c>
      <c r="D5707" s="6">
        <v>9</v>
      </c>
      <c r="E5707" t="s">
        <v>55</v>
      </c>
    </row>
    <row r="5708" spans="1:5" x14ac:dyDescent="0.25">
      <c r="A5708" t="str">
        <f>HYPERLINK("https://www.773grp.com/globalSearch/TLV320AIC1106PW/page-1", "TLV320AIC1106PW")</f>
        <v>TLV320AIC1106PW</v>
      </c>
      <c r="B5708" s="3" t="s">
        <v>90</v>
      </c>
      <c r="C5708" s="5">
        <v>1379</v>
      </c>
      <c r="D5708" s="6">
        <v>9.59</v>
      </c>
      <c r="E5708" t="s">
        <v>55</v>
      </c>
    </row>
    <row r="5709" spans="1:5" x14ac:dyDescent="0.25">
      <c r="A5709" t="str">
        <f>HYPERLINK("https://www.773grp.com/globalSearch/TLV320AIC1110ZQER/page-1", "TLV320AIC1110ZQER")</f>
        <v>TLV320AIC1110ZQER</v>
      </c>
      <c r="B5709" s="3" t="s">
        <v>90</v>
      </c>
      <c r="C5709" s="5">
        <v>5582</v>
      </c>
      <c r="D5709" s="6">
        <v>9.68</v>
      </c>
      <c r="E5709" t="s">
        <v>55</v>
      </c>
    </row>
    <row r="5710" spans="1:5" x14ac:dyDescent="0.25">
      <c r="A5710" t="str">
        <f>HYPERLINK("https://www.773grp.com/globalSearch/TLV320AIC1103PBS/page-1", "TLV320AIC1103PBS")</f>
        <v>TLV320AIC1103PBS</v>
      </c>
      <c r="B5710" s="3" t="s">
        <v>90</v>
      </c>
      <c r="C5710" s="5">
        <v>4760</v>
      </c>
      <c r="D5710" s="6">
        <v>9.93</v>
      </c>
      <c r="E5710" t="s">
        <v>55</v>
      </c>
    </row>
    <row r="5711" spans="1:5" x14ac:dyDescent="0.25">
      <c r="A5711" t="str">
        <f>HYPERLINK("https://www.773grp.com/globalSearch/TLV320AIC1110PBS/page-1", "TLV320AIC1110PBS")</f>
        <v>TLV320AIC1110PBS</v>
      </c>
      <c r="B5711" s="3" t="s">
        <v>90</v>
      </c>
      <c r="C5711" s="5">
        <v>15812</v>
      </c>
      <c r="D5711" s="6">
        <v>10.09</v>
      </c>
      <c r="E5711" t="s">
        <v>55</v>
      </c>
    </row>
    <row r="5712" spans="1:5" x14ac:dyDescent="0.25">
      <c r="A5712" t="str">
        <f>HYPERLINK("https://www.773grp.com/globalSearch/PCM3052ARTF/page-1", "PCM3052ARTF")</f>
        <v>PCM3052ARTF</v>
      </c>
      <c r="B5712" s="3" t="s">
        <v>90</v>
      </c>
      <c r="C5712" s="5">
        <v>4000</v>
      </c>
      <c r="D5712" s="6">
        <v>10.130000000000001</v>
      </c>
      <c r="E5712" t="s">
        <v>55</v>
      </c>
    </row>
    <row r="5713" spans="1:5" x14ac:dyDescent="0.25">
      <c r="A5713" t="str">
        <f>HYPERLINK("https://www.773grp.com/globalSearch/TLV320AIC3106IGQE/page-1", "TLV320AIC3106IGQE")</f>
        <v>TLV320AIC3106IGQE</v>
      </c>
      <c r="B5713" s="3" t="s">
        <v>90</v>
      </c>
      <c r="C5713" s="5">
        <v>44</v>
      </c>
      <c r="D5713" s="6">
        <v>10.84</v>
      </c>
      <c r="E5713" t="s">
        <v>55</v>
      </c>
    </row>
    <row r="5714" spans="1:5" x14ac:dyDescent="0.25">
      <c r="A5714" t="str">
        <f>HYPERLINK("https://www.773grp.com/globalSearch/TLV320AIC3106IGQER/page-1", "TLV320AIC3106IGQER")</f>
        <v>TLV320AIC3106IGQER</v>
      </c>
      <c r="B5714" s="3" t="s">
        <v>90</v>
      </c>
      <c r="C5714" s="5">
        <v>2500</v>
      </c>
      <c r="D5714" s="6">
        <v>10.84</v>
      </c>
      <c r="E5714" t="s">
        <v>55</v>
      </c>
    </row>
    <row r="5715" spans="1:5" x14ac:dyDescent="0.25">
      <c r="A5715" t="str">
        <f>HYPERLINK("https://www.773grp.com/globalSearch/TLV320AIC3254IRHBR/page-1", "TLV320AIC3254IRHBR")</f>
        <v>TLV320AIC3254IRHBR</v>
      </c>
      <c r="B5715" s="3" t="s">
        <v>90</v>
      </c>
      <c r="C5715" s="5">
        <v>3000</v>
      </c>
      <c r="D5715" s="6">
        <v>11.1</v>
      </c>
      <c r="E5715" t="s">
        <v>55</v>
      </c>
    </row>
    <row r="5716" spans="1:5" x14ac:dyDescent="0.25">
      <c r="A5716" t="str">
        <f>HYPERLINK("https://www.773grp.com/globalSearch/TLV320AIC1107PWR/page-1", "TLV320AIC1107PWR")</f>
        <v>TLV320AIC1107PWR</v>
      </c>
      <c r="B5716" s="3" t="s">
        <v>90</v>
      </c>
      <c r="C5716" s="5">
        <v>3726</v>
      </c>
      <c r="D5716" s="6">
        <v>11.9</v>
      </c>
      <c r="E5716" t="s">
        <v>55</v>
      </c>
    </row>
    <row r="5717" spans="1:5" x14ac:dyDescent="0.25">
      <c r="A5717" t="str">
        <f>HYPERLINK("https://www.773grp.com/globalSearch/TLV320AIC3254IRHBT/page-1", "TLV320AIC3254IRHBT")</f>
        <v>TLV320AIC3254IRHBT</v>
      </c>
      <c r="B5717" s="3" t="str">
        <f>HYPERLINK("https://www.773grp.com/manufacturer/texas-instruments?pageNo=382", "Texas Instruments")</f>
        <v>Texas Instruments</v>
      </c>
      <c r="C5717" s="5">
        <v>750</v>
      </c>
      <c r="D5717" s="6">
        <v>12.79</v>
      </c>
      <c r="E5717" t="s">
        <v>55</v>
      </c>
    </row>
    <row r="5718" spans="1:5" x14ac:dyDescent="0.25">
      <c r="A5718" t="str">
        <f>HYPERLINK("https://www.773grp.com/globalSearch/TLV320AIC34IZAS/page-1", "TLV320AIC34IZAS")</f>
        <v>TLV320AIC34IZAS</v>
      </c>
      <c r="B5718" s="3" t="str">
        <f>HYPERLINK("https://www.773grp.com/manufacturer/texas-instruments?pageNo=675", "Texas Instruments")</f>
        <v>Texas Instruments</v>
      </c>
      <c r="C5718" s="5">
        <v>21</v>
      </c>
      <c r="D5718" s="6">
        <v>13.36</v>
      </c>
      <c r="E5718" t="s">
        <v>55</v>
      </c>
    </row>
    <row r="5719" spans="1:5" x14ac:dyDescent="0.25">
      <c r="A5719" t="str">
        <f>HYPERLINK("https://www.773grp.com/globalSearch/TLV320AIC1107PW/page-1", "TLV320AIC1107PW")</f>
        <v>TLV320AIC1107PW</v>
      </c>
      <c r="B5719" s="3" t="s">
        <v>90</v>
      </c>
      <c r="C5719" s="5">
        <v>1066</v>
      </c>
      <c r="D5719" s="6">
        <v>14.29</v>
      </c>
      <c r="E5719" t="s">
        <v>55</v>
      </c>
    </row>
    <row r="5720" spans="1:5" x14ac:dyDescent="0.25">
      <c r="A5720" t="str">
        <f>HYPERLINK("https://www.773grp.com/globalSearch/AIC111RHBR/page-1", "AIC111RHBR")</f>
        <v>AIC111RHBR</v>
      </c>
      <c r="B5720" s="3" t="s">
        <v>90</v>
      </c>
      <c r="C5720" s="5">
        <v>9000</v>
      </c>
      <c r="D5720" s="6">
        <v>14.63</v>
      </c>
      <c r="E5720" t="s">
        <v>55</v>
      </c>
    </row>
    <row r="5721" spans="1:5" x14ac:dyDescent="0.25">
      <c r="A5721" t="str">
        <f>HYPERLINK("https://www.773grp.com/globalSearch/AIC111YER/page-1", "AIC111YER")</f>
        <v>AIC111YER</v>
      </c>
      <c r="B5721" s="3" t="s">
        <v>90</v>
      </c>
      <c r="C5721" s="5">
        <v>9907</v>
      </c>
      <c r="D5721" s="6">
        <v>14.63</v>
      </c>
      <c r="E5721" t="s">
        <v>55</v>
      </c>
    </row>
    <row r="5722" spans="1:5" x14ac:dyDescent="0.25">
      <c r="A5722" t="str">
        <f>HYPERLINK("https://www.773grp.com/globalSearch/TLV320AIC12CDBTR/page-1", "TLV320AIC12CDBTR")</f>
        <v>TLV320AIC12CDBTR</v>
      </c>
      <c r="B5722" s="3" t="s">
        <v>90</v>
      </c>
      <c r="C5722" s="5">
        <v>180000</v>
      </c>
      <c r="D5722" s="6">
        <v>15.14</v>
      </c>
      <c r="E5722" t="s">
        <v>55</v>
      </c>
    </row>
    <row r="5723" spans="1:5" x14ac:dyDescent="0.25">
      <c r="A5723" t="str">
        <f>HYPERLINK("https://www.773grp.com/globalSearch/TLV320AIC12CDBTRG4/page-1", "TLV320AIC12CDBTRG4")</f>
        <v>TLV320AIC12CDBTRG4</v>
      </c>
      <c r="B5723" s="3" t="s">
        <v>90</v>
      </c>
      <c r="C5723" s="5">
        <v>32000</v>
      </c>
      <c r="D5723" s="6">
        <v>15.14</v>
      </c>
      <c r="E5723" t="s">
        <v>55</v>
      </c>
    </row>
    <row r="5724" spans="1:5" x14ac:dyDescent="0.25">
      <c r="A5724" t="str">
        <f>HYPERLINK("https://www.773grp.com/globalSearch/TLV320AIC14CDBT/page-1", "TLV320AIC14CDBT")</f>
        <v>TLV320AIC14CDBT</v>
      </c>
      <c r="B5724" s="3" t="s">
        <v>90</v>
      </c>
      <c r="C5724" s="5">
        <v>4224</v>
      </c>
      <c r="D5724" s="6">
        <v>16.829999999999998</v>
      </c>
      <c r="E5724" t="s">
        <v>55</v>
      </c>
    </row>
    <row r="5725" spans="1:5" x14ac:dyDescent="0.25">
      <c r="A5725" t="str">
        <f>HYPERLINK("https://www.773grp.com/globalSearch/AIC111YE/page-1", "AIC111YE")</f>
        <v>AIC111YE</v>
      </c>
      <c r="B5725" s="3" t="s">
        <v>90</v>
      </c>
      <c r="C5725" s="5">
        <v>2600</v>
      </c>
      <c r="D5725" s="6">
        <v>17.59</v>
      </c>
      <c r="E5725" t="s">
        <v>55</v>
      </c>
    </row>
    <row r="5726" spans="1:5" x14ac:dyDescent="0.25">
      <c r="A5726" t="str">
        <f>HYPERLINK("https://www.773grp.com/globalSearch/TLV320AIC12CDBT/page-1", "TLV320AIC12CDBT")</f>
        <v>TLV320AIC12CDBT</v>
      </c>
      <c r="B5726" s="3" t="s">
        <v>90</v>
      </c>
      <c r="C5726" s="5">
        <v>6495</v>
      </c>
      <c r="D5726" s="6">
        <v>18.18</v>
      </c>
      <c r="E5726" t="s">
        <v>55</v>
      </c>
    </row>
    <row r="5727" spans="1:5" x14ac:dyDescent="0.25">
      <c r="A5727" t="str">
        <f>HYPERLINK("https://www.773grp.com/globalSearch/TLV320AIC12CDBTG4/page-1", "TLV320AIC12CDBTG4")</f>
        <v>TLV320AIC12CDBTG4</v>
      </c>
      <c r="B5727" s="3" t="s">
        <v>90</v>
      </c>
      <c r="C5727" s="5">
        <v>95</v>
      </c>
      <c r="D5727" s="6">
        <v>18.18</v>
      </c>
      <c r="E5727" t="s">
        <v>55</v>
      </c>
    </row>
    <row r="5728" spans="1:5" x14ac:dyDescent="0.25">
      <c r="A5728" t="str">
        <f>HYPERLINK("https://www.773grp.com/globalSearch/AIC111RHB/page-1", "AIC111RHB")</f>
        <v>AIC111RHB</v>
      </c>
      <c r="B5728" s="3" t="s">
        <v>90</v>
      </c>
      <c r="C5728" s="5">
        <v>153</v>
      </c>
      <c r="D5728" s="6">
        <v>18.399999999999999</v>
      </c>
      <c r="E5728" t="s">
        <v>55</v>
      </c>
    </row>
    <row r="5729" spans="1:5" x14ac:dyDescent="0.25">
      <c r="A5729" t="str">
        <f>HYPERLINK("https://www.773grp.com/globalSearch/TLV320AIC12IDBT/page-1", "TLV320AIC12IDBT")</f>
        <v>TLV320AIC12IDBT</v>
      </c>
      <c r="B5729" s="3" t="s">
        <v>90</v>
      </c>
      <c r="C5729" s="5">
        <v>650</v>
      </c>
      <c r="D5729" s="6">
        <v>19.38</v>
      </c>
      <c r="E5729" t="s">
        <v>55</v>
      </c>
    </row>
    <row r="5730" spans="1:5" x14ac:dyDescent="0.25">
      <c r="A5730" t="str">
        <f>HYPERLINK("https://www.773grp.com/globalSearch/TCM2913J/page-1", "TCM2913J")</f>
        <v>TCM2913J</v>
      </c>
      <c r="B5730" s="3" t="s">
        <v>90</v>
      </c>
      <c r="C5730" s="5">
        <v>62</v>
      </c>
      <c r="D5730" s="6">
        <v>20.05</v>
      </c>
      <c r="E5730" t="s">
        <v>55</v>
      </c>
    </row>
    <row r="5731" spans="1:5" x14ac:dyDescent="0.25">
      <c r="A5731" t="str">
        <f>HYPERLINK("https://www.773grp.com/globalSearch/TLV320AIC24CPFBR/page-1", "TLV320AIC24CPFBR")</f>
        <v>TLV320AIC24CPFBR</v>
      </c>
      <c r="B5731" s="3" t="s">
        <v>90</v>
      </c>
      <c r="C5731" s="5">
        <v>40750</v>
      </c>
      <c r="D5731" s="6">
        <v>20.5</v>
      </c>
      <c r="E5731" t="s">
        <v>55</v>
      </c>
    </row>
    <row r="5732" spans="1:5" x14ac:dyDescent="0.25">
      <c r="A5732" t="str">
        <f>HYPERLINK("https://www.773grp.com/globalSearch/TLV320AIC25CPFB/page-1", "TLV320AIC25CPFB")</f>
        <v>TLV320AIC25CPFB</v>
      </c>
      <c r="B5732" s="3" t="s">
        <v>90</v>
      </c>
      <c r="C5732" s="5">
        <v>1146</v>
      </c>
      <c r="D5732" s="6">
        <v>21.46</v>
      </c>
      <c r="E5732" t="s">
        <v>55</v>
      </c>
    </row>
    <row r="5733" spans="1:5" x14ac:dyDescent="0.25">
      <c r="A5733" t="str">
        <f>HYPERLINK("https://www.773grp.com/globalSearch/TLV320AIC20CPFBR/page-1", "TLV320AIC20CPFBR")</f>
        <v>TLV320AIC20CPFBR</v>
      </c>
      <c r="B5733" s="3" t="s">
        <v>90</v>
      </c>
      <c r="C5733" s="5">
        <v>36800</v>
      </c>
      <c r="D5733" s="6">
        <v>21.69</v>
      </c>
      <c r="E5733" t="s">
        <v>55</v>
      </c>
    </row>
    <row r="5734" spans="1:5" x14ac:dyDescent="0.25">
      <c r="A5734" t="str">
        <f>HYPERLINK("https://www.773grp.com/globalSearch/TLV320AIC13CDBT/page-1", "TLV320AIC13CDBT")</f>
        <v>TLV320AIC13CDBT</v>
      </c>
      <c r="B5734" s="3" t="s">
        <v>90</v>
      </c>
      <c r="C5734" s="5">
        <v>10265</v>
      </c>
      <c r="D5734" s="6">
        <v>22.08</v>
      </c>
      <c r="E5734" t="s">
        <v>55</v>
      </c>
    </row>
    <row r="5735" spans="1:5" x14ac:dyDescent="0.25">
      <c r="A5735" t="str">
        <f>HYPERLINK("https://www.773grp.com/globalSearch/TLV320AIC24IPFBR/page-1", "TLV320AIC24IPFBR")</f>
        <v>TLV320AIC24IPFBR</v>
      </c>
      <c r="B5735" s="3" t="s">
        <v>90</v>
      </c>
      <c r="C5735" s="5">
        <v>1000</v>
      </c>
      <c r="D5735" s="6">
        <v>22.14</v>
      </c>
      <c r="E5735" t="s">
        <v>55</v>
      </c>
    </row>
    <row r="5736" spans="1:5" x14ac:dyDescent="0.25">
      <c r="A5736" t="str">
        <f>HYPERLINK("https://www.773grp.com/globalSearch/TLV320AIC25IPFB/page-1", "TLV320AIC25IPFB")</f>
        <v>TLV320AIC25IPFB</v>
      </c>
      <c r="B5736" s="3" t="s">
        <v>90</v>
      </c>
      <c r="C5736" s="5">
        <v>8344</v>
      </c>
      <c r="D5736" s="6">
        <v>22.9</v>
      </c>
      <c r="E5736" t="s">
        <v>55</v>
      </c>
    </row>
    <row r="5737" spans="1:5" x14ac:dyDescent="0.25">
      <c r="A5737" t="str">
        <f>HYPERLINK("https://www.773grp.com/globalSearch/TLV320AIC20IPFBR/page-1", "TLV320AIC20IPFBR")</f>
        <v>TLV320AIC20IPFBR</v>
      </c>
      <c r="B5737" s="3" t="s">
        <v>90</v>
      </c>
      <c r="C5737" s="5">
        <v>1940</v>
      </c>
      <c r="D5737" s="6">
        <v>23.43</v>
      </c>
      <c r="E5737" t="s">
        <v>55</v>
      </c>
    </row>
    <row r="5738" spans="1:5" x14ac:dyDescent="0.25">
      <c r="A5738" t="str">
        <f>HYPERLINK("https://www.773grp.com/globalSearch/TLV320AIC21CPFB/page-1", "TLV320AIC21CPFB")</f>
        <v>TLV320AIC21CPFB</v>
      </c>
      <c r="B5738" s="3" t="s">
        <v>90</v>
      </c>
      <c r="C5738" s="5">
        <v>4389</v>
      </c>
      <c r="D5738" s="6">
        <v>23.91</v>
      </c>
      <c r="E5738" t="s">
        <v>55</v>
      </c>
    </row>
    <row r="5739" spans="1:5" x14ac:dyDescent="0.25">
      <c r="A5739" t="str">
        <f>HYPERLINK("https://www.773grp.com/globalSearch/TLV320AIC24CPFB/page-1", "TLV320AIC24CPFB")</f>
        <v>TLV320AIC24CPFB</v>
      </c>
      <c r="B5739" s="3" t="s">
        <v>90</v>
      </c>
      <c r="C5739" s="5">
        <v>33996</v>
      </c>
      <c r="D5739" s="6">
        <v>24.59</v>
      </c>
      <c r="E5739" t="s">
        <v>55</v>
      </c>
    </row>
    <row r="5740" spans="1:5" x14ac:dyDescent="0.25">
      <c r="A5740" t="str">
        <f>HYPERLINK("https://www.773grp.com/globalSearch/TLV320AIC20CPFBG4/page-1", "TLV320AIC20CPFBG4")</f>
        <v>TLV320AIC20CPFBG4</v>
      </c>
      <c r="B5740" s="3" t="s">
        <v>90</v>
      </c>
      <c r="C5740" s="5">
        <v>360</v>
      </c>
      <c r="D5740" s="6">
        <v>26.04</v>
      </c>
      <c r="E5740" t="s">
        <v>55</v>
      </c>
    </row>
    <row r="5741" spans="1:5" x14ac:dyDescent="0.25">
      <c r="A5741" t="str">
        <f>HYPERLINK("https://www.773grp.com/globalSearch/TLV320AIC24IPFB/page-1", "TLV320AIC24IPFB")</f>
        <v>TLV320AIC24IPFB</v>
      </c>
      <c r="B5741" s="3" t="s">
        <v>90</v>
      </c>
      <c r="C5741" s="5">
        <v>245</v>
      </c>
      <c r="D5741" s="6">
        <v>26.24</v>
      </c>
      <c r="E5741" t="s">
        <v>55</v>
      </c>
    </row>
    <row r="5742" spans="1:5" x14ac:dyDescent="0.25">
      <c r="A5742" t="str">
        <f>HYPERLINK("https://www.773grp.com/globalSearch/TLV320AIC21IPFBR/page-1", "TLV320AIC21IPFBR")</f>
        <v>TLV320AIC21IPFBR</v>
      </c>
      <c r="B5742" s="3" t="s">
        <v>90</v>
      </c>
      <c r="C5742" s="5">
        <v>30950</v>
      </c>
      <c r="D5742" s="6">
        <v>27.14</v>
      </c>
      <c r="E5742" t="s">
        <v>55</v>
      </c>
    </row>
    <row r="5743" spans="1:5" x14ac:dyDescent="0.25">
      <c r="A5743" t="str">
        <f>HYPERLINK("https://www.773grp.com/globalSearch/TLV320AIC15IDBT/page-1", "TLV320AIC15IDBT")</f>
        <v>TLV320AIC15IDBT</v>
      </c>
      <c r="B5743" s="3" t="str">
        <f>HYPERLINK("https://www.773grp.com/manufacturer/texas-instruments?pageNo=330", "Texas Instruments")</f>
        <v>Texas Instruments</v>
      </c>
      <c r="C5743" s="5">
        <v>4860</v>
      </c>
      <c r="D5743" s="6">
        <v>29.33</v>
      </c>
      <c r="E5743" t="s">
        <v>55</v>
      </c>
    </row>
    <row r="5744" spans="1:5" x14ac:dyDescent="0.25">
      <c r="A5744" t="str">
        <f>HYPERLINK("https://www.773grp.com/globalSearch/TLV320AIC13IDBT/page-1", "TLV320AIC13IDBT")</f>
        <v>TLV320AIC13IDBT</v>
      </c>
      <c r="B5744" s="3" t="str">
        <f>HYPERLINK("https://www.773grp.com/manufacturer/texas-instruments?pageNo=892", "Texas Instruments")</f>
        <v>Texas Instruments</v>
      </c>
      <c r="C5744" s="5">
        <v>5721</v>
      </c>
      <c r="D5744" s="6">
        <v>32.909999999999997</v>
      </c>
      <c r="E5744" t="s">
        <v>55</v>
      </c>
    </row>
    <row r="5745" spans="1:5" x14ac:dyDescent="0.25">
      <c r="A5745" t="str">
        <f>HYPERLINK("https://www.773grp.com/globalSearch/TLV320AIC21IPFB/page-1", "TLV320AIC21IPFB")</f>
        <v>TLV320AIC21IPFB</v>
      </c>
      <c r="B5745" s="3" t="s">
        <v>90</v>
      </c>
      <c r="C5745" s="5">
        <v>7838</v>
      </c>
      <c r="D5745" s="6">
        <v>38.229999999999997</v>
      </c>
      <c r="E5745" t="s">
        <v>55</v>
      </c>
    </row>
    <row r="5746" spans="1:5" x14ac:dyDescent="0.25">
      <c r="A5746" t="str">
        <f>HYPERLINK("https://www.773grp.com/globalSearch/TLV320AD12APZ/page-1", "TLV320AD12APZ")</f>
        <v>TLV320AD12APZ</v>
      </c>
      <c r="B5746" s="3" t="s">
        <v>90</v>
      </c>
      <c r="C5746" s="5">
        <v>2990</v>
      </c>
      <c r="D5746" s="6">
        <v>42.19</v>
      </c>
      <c r="E5746" t="s">
        <v>55</v>
      </c>
    </row>
    <row r="5747" spans="1:5" x14ac:dyDescent="0.25">
      <c r="A5747" t="str">
        <f>HYPERLINK("https://www.773grp.com/globalSearch/TLV320AD11APZ/page-1", "TLV320AD11APZ")</f>
        <v>TLV320AD11APZ</v>
      </c>
      <c r="B5747" s="3" t="s">
        <v>90</v>
      </c>
      <c r="C5747" s="5">
        <v>26</v>
      </c>
      <c r="D5747" s="6">
        <v>59.85</v>
      </c>
      <c r="E5747" t="s">
        <v>55</v>
      </c>
    </row>
    <row r="5748" spans="1:5" x14ac:dyDescent="0.25">
      <c r="A5748" t="str">
        <f>HYPERLINK("https://www.773grp.com/globalSearch/MT9160AS/page-1", "MT9160AS")</f>
        <v>MT9160AS</v>
      </c>
      <c r="B5748" s="3" t="s">
        <v>116</v>
      </c>
      <c r="C5748" s="5">
        <v>41</v>
      </c>
      <c r="D5748" s="6">
        <v>6.53</v>
      </c>
      <c r="E5748" t="s">
        <v>55</v>
      </c>
    </row>
    <row r="5749" spans="1:5" x14ac:dyDescent="0.25">
      <c r="A5749" t="str">
        <f>HYPERLINK("https://www.773grp.com/globalSearch/MT9160AE/page-1", "MT9160AE")</f>
        <v>MT9160AE</v>
      </c>
      <c r="B5749" s="3" t="s">
        <v>116</v>
      </c>
      <c r="C5749" s="5">
        <v>2885</v>
      </c>
      <c r="D5749" s="6">
        <v>11.25</v>
      </c>
      <c r="E5749" t="s">
        <v>55</v>
      </c>
    </row>
    <row r="5750" spans="1:5" x14ac:dyDescent="0.25">
      <c r="A5750" t="str">
        <f>HYPERLINK("https://www.773grp.com/globalSearch/TVP5150AM1PBS/page-1", "TVP5150AM1PBS")</f>
        <v>TVP5150AM1PBS</v>
      </c>
      <c r="B5750" s="3" t="str">
        <f>HYPERLINK("https://www.773grp.com/manufacturer/texas-instruments?pageNo=570", "Texas Instruments")</f>
        <v>Texas Instruments</v>
      </c>
      <c r="C5750" s="5">
        <v>8280</v>
      </c>
      <c r="D5750" s="6">
        <v>6.79</v>
      </c>
      <c r="E5750" t="s">
        <v>101</v>
      </c>
    </row>
    <row r="5751" spans="1:5" x14ac:dyDescent="0.25">
      <c r="A5751" t="str">
        <f>HYPERLINK("https://www.773grp.com/globalSearch/TVP5150AM1PBSR/page-1", "TVP5150AM1PBSR")</f>
        <v>TVP5150AM1PBSR</v>
      </c>
      <c r="B5751" s="3" t="str">
        <f>HYPERLINK("https://www.773grp.com/manufacturer/texas-instruments?pageNo=571", "Texas Instruments")</f>
        <v>Texas Instruments</v>
      </c>
      <c r="C5751" s="5">
        <v>5403</v>
      </c>
      <c r="D5751" s="6">
        <v>6.79</v>
      </c>
      <c r="E5751" t="s">
        <v>101</v>
      </c>
    </row>
    <row r="5752" spans="1:5" x14ac:dyDescent="0.25">
      <c r="A5752" t="str">
        <f>HYPERLINK("https://www.773grp.com/globalSearch/TVP5150AM1ZQC/page-1", "TVP5150AM1ZQC")</f>
        <v>TVP5150AM1ZQC</v>
      </c>
      <c r="B5752" s="3" t="s">
        <v>90</v>
      </c>
      <c r="C5752" s="5">
        <v>1553</v>
      </c>
      <c r="D5752" s="6">
        <v>8.48</v>
      </c>
      <c r="E5752" t="s">
        <v>101</v>
      </c>
    </row>
    <row r="5753" spans="1:5" x14ac:dyDescent="0.25">
      <c r="A5753" t="str">
        <f>HYPERLINK("https://www.773grp.com/globalSearch/TVP5150AM1ZQCR/page-1", "TVP5150AM1ZQCR")</f>
        <v>TVP5150AM1ZQCR</v>
      </c>
      <c r="B5753" s="3" t="s">
        <v>90</v>
      </c>
      <c r="C5753" s="5">
        <v>25000</v>
      </c>
      <c r="D5753" s="6">
        <v>8.48</v>
      </c>
      <c r="E5753" t="s">
        <v>101</v>
      </c>
    </row>
    <row r="5754" spans="1:5" x14ac:dyDescent="0.25">
      <c r="A5754" t="str">
        <f>HYPERLINK("https://www.773grp.com/globalSearch/TVP5150AM1IZQC/page-1", "TVP5150AM1IZQC")</f>
        <v>TVP5150AM1IZQC</v>
      </c>
      <c r="B5754" s="3" t="s">
        <v>90</v>
      </c>
      <c r="C5754" s="5">
        <v>14525</v>
      </c>
      <c r="D5754" s="6">
        <v>9.15</v>
      </c>
      <c r="E5754" t="s">
        <v>101</v>
      </c>
    </row>
    <row r="5755" spans="1:5" x14ac:dyDescent="0.25">
      <c r="A5755" t="str">
        <f>HYPERLINK("https://www.773grp.com/globalSearch/TVP5151ZQCR/page-1", "TVP5151ZQCR")</f>
        <v>TVP5151ZQCR</v>
      </c>
      <c r="B5755" s="3" t="s">
        <v>90</v>
      </c>
      <c r="C5755" s="5">
        <v>7389</v>
      </c>
      <c r="D5755" s="6">
        <v>9.4</v>
      </c>
      <c r="E5755" t="s">
        <v>101</v>
      </c>
    </row>
    <row r="5756" spans="1:5" x14ac:dyDescent="0.25">
      <c r="A5756" t="str">
        <f>HYPERLINK("https://www.773grp.com/globalSearch/TVP5151ZQC/page-1", "TVP5151ZQC")</f>
        <v>TVP5151ZQC</v>
      </c>
      <c r="B5756" s="3" t="s">
        <v>90</v>
      </c>
      <c r="C5756" s="5">
        <v>15200</v>
      </c>
      <c r="D5756" s="6">
        <v>9.59</v>
      </c>
      <c r="E5756" t="s">
        <v>101</v>
      </c>
    </row>
    <row r="5757" spans="1:5" x14ac:dyDescent="0.25">
      <c r="A5757" t="str">
        <f>HYPERLINK("https://www.773grp.com/globalSearch/TVP5150PBS/page-1", "TVP5150PBS")</f>
        <v>TVP5150PBS</v>
      </c>
      <c r="B5757" s="3" t="s">
        <v>90</v>
      </c>
      <c r="C5757" s="5">
        <v>19841</v>
      </c>
      <c r="D5757" s="6">
        <v>9.93</v>
      </c>
      <c r="E5757" t="s">
        <v>101</v>
      </c>
    </row>
    <row r="5758" spans="1:5" x14ac:dyDescent="0.25">
      <c r="A5758" t="str">
        <f>HYPERLINK("https://www.773grp.com/globalSearch/TVP5147M1PFP/page-1", "TVP5147M1PFP")</f>
        <v>TVP5147M1PFP</v>
      </c>
      <c r="B5758" s="3" t="s">
        <v>90</v>
      </c>
      <c r="C5758" s="5">
        <v>188</v>
      </c>
      <c r="D5758" s="6">
        <v>10.64</v>
      </c>
      <c r="E5758" t="s">
        <v>101</v>
      </c>
    </row>
    <row r="5759" spans="1:5" x14ac:dyDescent="0.25">
      <c r="A5759" t="str">
        <f>HYPERLINK("https://www.773grp.com/globalSearch/TVP5147PFP/page-1", "TVP5147PFP")</f>
        <v>TVP5147PFP</v>
      </c>
      <c r="B5759" s="3" t="s">
        <v>90</v>
      </c>
      <c r="C5759" s="5">
        <v>65522</v>
      </c>
      <c r="D5759" s="6">
        <v>11.19</v>
      </c>
      <c r="E5759" t="s">
        <v>101</v>
      </c>
    </row>
    <row r="5760" spans="1:5" x14ac:dyDescent="0.25">
      <c r="A5760" t="str">
        <f>HYPERLINK("https://www.773grp.com/globalSearch/TVP5147PFPR/page-1", "TVP5147PFPR")</f>
        <v>TVP5147PFPR</v>
      </c>
      <c r="B5760" s="3" t="s">
        <v>90</v>
      </c>
      <c r="C5760" s="5">
        <v>3000</v>
      </c>
      <c r="D5760" s="6">
        <v>11.19</v>
      </c>
      <c r="E5760" t="s">
        <v>101</v>
      </c>
    </row>
    <row r="5761" spans="1:5" x14ac:dyDescent="0.25">
      <c r="A5761" t="str">
        <f>HYPERLINK("https://www.773grp.com/globalSearch/TVP5146M2PFP/page-1", "TVP5146M2PFP")</f>
        <v>TVP5146M2PFP</v>
      </c>
      <c r="B5761" s="3" t="s">
        <v>90</v>
      </c>
      <c r="C5761" s="5">
        <v>10382</v>
      </c>
      <c r="D5761" s="6">
        <v>11.65</v>
      </c>
      <c r="E5761" t="s">
        <v>101</v>
      </c>
    </row>
    <row r="5762" spans="1:5" x14ac:dyDescent="0.25">
      <c r="A5762" t="str">
        <f>HYPERLINK("https://www.773grp.com/globalSearch/TVP5146M1PFP/page-1", "TVP5146M1PFP")</f>
        <v>TVP5146M1PFP</v>
      </c>
      <c r="B5762" s="3" t="s">
        <v>90</v>
      </c>
      <c r="C5762" s="5">
        <v>11451</v>
      </c>
      <c r="D5762" s="6">
        <v>11.76</v>
      </c>
      <c r="E5762" t="s">
        <v>101</v>
      </c>
    </row>
    <row r="5763" spans="1:5" x14ac:dyDescent="0.25">
      <c r="A5763" t="str">
        <f>HYPERLINK("https://www.773grp.com/globalSearch/TVP5146PFP/page-1", "TVP5146PFP")</f>
        <v>TVP5146PFP</v>
      </c>
      <c r="B5763" s="3" t="s">
        <v>90</v>
      </c>
      <c r="C5763" s="5">
        <v>25135</v>
      </c>
      <c r="D5763" s="6">
        <v>12.01</v>
      </c>
      <c r="E5763" t="s">
        <v>101</v>
      </c>
    </row>
    <row r="5764" spans="1:5" x14ac:dyDescent="0.25">
      <c r="A5764" t="str">
        <f>HYPERLINK("https://www.773grp.com/globalSearch/TVP5147M1IPFP/page-1", "TVP5147M1IPFP")</f>
        <v>TVP5147M1IPFP</v>
      </c>
      <c r="B5764" s="3" t="str">
        <f>HYPERLINK("https://www.773grp.com/manufacturer/texas-instruments?pageNo=356", "Texas Instruments")</f>
        <v>Texas Instruments</v>
      </c>
      <c r="C5764" s="5">
        <v>473</v>
      </c>
      <c r="D5764" s="6">
        <v>12.74</v>
      </c>
      <c r="E5764" t="s">
        <v>101</v>
      </c>
    </row>
    <row r="5765" spans="1:5" x14ac:dyDescent="0.25">
      <c r="A5765" t="str">
        <f>HYPERLINK("https://www.773grp.com/globalSearch/TVP5160PNP/page-1", "TVP5160PNP")</f>
        <v>TVP5160PNP</v>
      </c>
      <c r="B5765" s="3" t="s">
        <v>90</v>
      </c>
      <c r="C5765" s="5">
        <v>12804</v>
      </c>
      <c r="D5765" s="6">
        <v>16.25</v>
      </c>
      <c r="E5765" t="s">
        <v>101</v>
      </c>
    </row>
    <row r="5766" spans="1:5" x14ac:dyDescent="0.25">
      <c r="A5766" t="str">
        <f>HYPERLINK("https://www.773grp.com/globalSearch/TMS320AV410PJM/page-1", "TMS320AV410PJM")</f>
        <v>TMS320AV410PJM</v>
      </c>
      <c r="B5766" s="3" t="s">
        <v>90</v>
      </c>
      <c r="C5766" s="5">
        <v>42912</v>
      </c>
      <c r="D5766" s="6">
        <v>17.079999999999998</v>
      </c>
      <c r="E5766" t="s">
        <v>101</v>
      </c>
    </row>
    <row r="5767" spans="1:5" x14ac:dyDescent="0.25">
      <c r="A5767" t="str">
        <f>HYPERLINK("https://www.773grp.com/globalSearch/TMS320AV411PJM/page-1", "TMS320AV411PJM")</f>
        <v>TMS320AV411PJM</v>
      </c>
      <c r="B5767" s="3" t="s">
        <v>90</v>
      </c>
      <c r="C5767" s="5">
        <v>7862</v>
      </c>
      <c r="D5767" s="6">
        <v>17.079999999999998</v>
      </c>
      <c r="E5767" t="s">
        <v>101</v>
      </c>
    </row>
    <row r="5768" spans="1:5" x14ac:dyDescent="0.25">
      <c r="A5768" t="str">
        <f>HYPERLINK("https://www.773grp.com/globalSearch/TVP5156PNP/page-1", "TVP5156PNP")</f>
        <v>TVP5156PNP</v>
      </c>
      <c r="B5768" s="3" t="s">
        <v>90</v>
      </c>
      <c r="C5768" s="5">
        <v>804</v>
      </c>
      <c r="D5768" s="6">
        <v>20.39</v>
      </c>
      <c r="E5768" t="s">
        <v>101</v>
      </c>
    </row>
    <row r="5769" spans="1:5" x14ac:dyDescent="0.25">
      <c r="A5769" t="str">
        <f>HYPERLINK("https://www.773grp.com/globalSearch/TVP6000CPFP/page-1", "TVP6000CPFP")</f>
        <v>TVP6000CPFP</v>
      </c>
      <c r="B5769" s="3" t="s">
        <v>90</v>
      </c>
      <c r="C5769" s="5">
        <v>22</v>
      </c>
      <c r="D5769" s="6">
        <v>21.38</v>
      </c>
      <c r="E5769" t="s">
        <v>101</v>
      </c>
    </row>
    <row r="5770" spans="1:5" x14ac:dyDescent="0.25">
      <c r="A5770" t="str">
        <f>HYPERLINK("https://www.773grp.com/globalSearch/TVP6000CPFP/page-1", "TVP6000CPFP")</f>
        <v>TVP6000CPFP</v>
      </c>
      <c r="B5770" s="3" t="s">
        <v>90</v>
      </c>
      <c r="C5770" s="5">
        <v>687</v>
      </c>
      <c r="D5770" s="6">
        <v>21.38</v>
      </c>
      <c r="E5770" t="s">
        <v>101</v>
      </c>
    </row>
    <row r="5771" spans="1:5" x14ac:dyDescent="0.25">
      <c r="A5771" t="str">
        <f>HYPERLINK("https://www.773grp.com/globalSearch/TVP5157PNP/page-1", "TVP5157PNP")</f>
        <v>TVP5157PNP</v>
      </c>
      <c r="B5771" s="3" t="s">
        <v>90</v>
      </c>
      <c r="C5771" s="5">
        <v>1032</v>
      </c>
      <c r="D5771" s="6">
        <v>22.66</v>
      </c>
      <c r="E5771" t="s">
        <v>101</v>
      </c>
    </row>
    <row r="5772" spans="1:5" x14ac:dyDescent="0.25">
      <c r="A5772" t="str">
        <f>HYPERLINK("https://www.773grp.com/globalSearch/TVP5150APBS/page-1", "TVP5150APBS")</f>
        <v>TVP5150APBS</v>
      </c>
      <c r="B5772" s="3" t="s">
        <v>90</v>
      </c>
      <c r="C5772" s="5">
        <v>17533</v>
      </c>
      <c r="D5772" s="6">
        <v>22.75</v>
      </c>
      <c r="E5772" t="s">
        <v>101</v>
      </c>
    </row>
    <row r="5773" spans="1:5" x14ac:dyDescent="0.25">
      <c r="A5773" t="str">
        <f>HYPERLINK("https://www.773grp.com/globalSearch/TVP5150APBSR/page-1", "TVP5150APBSR")</f>
        <v>TVP5150APBSR</v>
      </c>
      <c r="B5773" s="3" t="s">
        <v>90</v>
      </c>
      <c r="C5773" s="5">
        <v>28000</v>
      </c>
      <c r="D5773" s="6">
        <v>22.75</v>
      </c>
      <c r="E5773" t="s">
        <v>101</v>
      </c>
    </row>
    <row r="5774" spans="1:5" x14ac:dyDescent="0.25">
      <c r="A5774" t="str">
        <f>HYPERLINK("https://www.773grp.com/globalSearch/TVP5150APBSRG4/page-1", "TVP5150APBSRG4")</f>
        <v>TVP5150APBSRG4</v>
      </c>
      <c r="B5774" s="3" t="s">
        <v>90</v>
      </c>
      <c r="C5774" s="5">
        <v>13000</v>
      </c>
      <c r="D5774" s="6">
        <v>22.75</v>
      </c>
      <c r="E5774" t="s">
        <v>101</v>
      </c>
    </row>
    <row r="5775" spans="1:5" x14ac:dyDescent="0.25">
      <c r="A5775" t="str">
        <f>HYPERLINK("https://www.773grp.com/globalSearch/TVP5154PNP/page-1", "TVP5154PNP")</f>
        <v>TVP5154PNP</v>
      </c>
      <c r="B5775" s="3" t="s">
        <v>90</v>
      </c>
      <c r="C5775" s="5">
        <v>90</v>
      </c>
      <c r="D5775" s="6">
        <v>23.09</v>
      </c>
      <c r="E5775" t="s">
        <v>101</v>
      </c>
    </row>
    <row r="5776" spans="1:5" x14ac:dyDescent="0.25">
      <c r="A5776" t="str">
        <f>HYPERLINK("https://www.773grp.com/globalSearch/TVP5010CPFP/page-1", "TVP5010CPFP")</f>
        <v>TVP5010CPFP</v>
      </c>
      <c r="B5776" s="3" t="str">
        <f>HYPERLINK("https://www.773grp.com/manufacturer/texas-instruments?pageNo=808", "Texas Instruments")</f>
        <v>Texas Instruments</v>
      </c>
      <c r="C5776" s="5">
        <v>350</v>
      </c>
      <c r="D5776" s="6">
        <v>32.200000000000003</v>
      </c>
      <c r="E5776" t="s">
        <v>101</v>
      </c>
    </row>
    <row r="5777" spans="1:5" x14ac:dyDescent="0.25">
      <c r="A5777" t="str">
        <f>HYPERLINK("https://www.773grp.com/globalSearch/TVP5020CPFP/page-1", "TVP5020CPFP")</f>
        <v>TVP5020CPFP</v>
      </c>
      <c r="B5777" s="3" t="str">
        <f>HYPERLINK("https://www.773grp.com/manufacturer/texas-instruments?pageNo=809", "Texas Instruments")</f>
        <v>Texas Instruments</v>
      </c>
      <c r="C5777" s="5">
        <v>2026</v>
      </c>
      <c r="D5777" s="6">
        <v>32.200000000000003</v>
      </c>
      <c r="E5777" t="s">
        <v>101</v>
      </c>
    </row>
    <row r="5778" spans="1:5" x14ac:dyDescent="0.25">
      <c r="A5778" t="str">
        <f>HYPERLINK("https://www.773grp.com/globalSearch/TVP5031PFP/page-1", "TVP5031PFP")</f>
        <v>TVP5031PFP</v>
      </c>
      <c r="B5778" s="3" t="str">
        <f>HYPERLINK("https://www.773grp.com/manufacturer/texas-instruments?pageNo=810", "Texas Instruments")</f>
        <v>Texas Instruments</v>
      </c>
      <c r="C5778" s="5">
        <v>1918</v>
      </c>
      <c r="D5778" s="6">
        <v>32.200000000000003</v>
      </c>
      <c r="E5778" t="s">
        <v>101</v>
      </c>
    </row>
    <row r="5779" spans="1:5" x14ac:dyDescent="0.25">
      <c r="A5779" t="str">
        <f>HYPERLINK("https://www.773grp.com/globalSearch/TVP5040CPFP/page-1", "TVP5040CPFP")</f>
        <v>TVP5040CPFP</v>
      </c>
      <c r="B5779" s="3" t="str">
        <f>HYPERLINK("https://www.773grp.com/manufacturer/texas-instruments?pageNo=811", "Texas Instruments")</f>
        <v>Texas Instruments</v>
      </c>
      <c r="C5779" s="5">
        <v>1002</v>
      </c>
      <c r="D5779" s="6">
        <v>32.200000000000003</v>
      </c>
      <c r="E5779" t="s">
        <v>101</v>
      </c>
    </row>
    <row r="5780" spans="1:5" x14ac:dyDescent="0.25">
      <c r="A5780" t="str">
        <f>HYPERLINK("https://www.773grp.com/globalSearch/TMS320AV420PH/page-1", "TMS320AV420PH")</f>
        <v>TMS320AV420PH</v>
      </c>
      <c r="B5780" s="3" t="s">
        <v>90</v>
      </c>
      <c r="C5780" s="5">
        <v>751</v>
      </c>
      <c r="D5780" s="6">
        <v>34.340000000000003</v>
      </c>
      <c r="E5780" t="s">
        <v>101</v>
      </c>
    </row>
    <row r="5781" spans="1:5" x14ac:dyDescent="0.25">
      <c r="A5781" t="str">
        <f>HYPERLINK("https://www.773grp.com/globalSearch/TLC354CN/page-1", "TLC354CN")</f>
        <v>TLC354CN</v>
      </c>
      <c r="B5781" s="3" t="str">
        <f>HYPERLINK("https://www.773grp.com/manufacturer/texas-instruments?pageNo=59", "Texas Instruments")</f>
        <v>Texas Instruments</v>
      </c>
      <c r="C5781" s="5">
        <v>4639</v>
      </c>
      <c r="D5781" s="6">
        <v>3.95</v>
      </c>
      <c r="E5781" t="s">
        <v>7</v>
      </c>
    </row>
    <row r="5782" spans="1:5" x14ac:dyDescent="0.25">
      <c r="A5782" t="str">
        <f>HYPERLINK("https://www.773grp.com/globalSearch/TLV3011AIDBVR/page-1", "TLV3011AIDBVR")</f>
        <v>TLV3011AIDBVR</v>
      </c>
      <c r="B5782" s="3" t="str">
        <f>HYPERLINK("https://www.773grp.com/manufacturer/texas-instruments?pageNo=108", "Texas Instruments")</f>
        <v>Texas Instruments</v>
      </c>
      <c r="C5782" s="5">
        <v>27000</v>
      </c>
      <c r="D5782" s="6">
        <v>3.95</v>
      </c>
      <c r="E5782" t="s">
        <v>7</v>
      </c>
    </row>
    <row r="5783" spans="1:5" x14ac:dyDescent="0.25">
      <c r="A5783" t="str">
        <f>HYPERLINK("https://www.773grp.com/globalSearch/TLV3011AIDCKR/page-1", "TLV3011AIDCKR")</f>
        <v>TLV3011AIDCKR</v>
      </c>
      <c r="B5783" s="3" t="str">
        <f>HYPERLINK("https://www.773grp.com/manufacturer/texas-instruments?pageNo=109", "Texas Instruments")</f>
        <v>Texas Instruments</v>
      </c>
      <c r="C5783" s="5">
        <v>6000</v>
      </c>
      <c r="D5783" s="6">
        <v>3.95</v>
      </c>
      <c r="E5783" t="s">
        <v>7</v>
      </c>
    </row>
    <row r="5784" spans="1:5" x14ac:dyDescent="0.25">
      <c r="A5784" t="str">
        <f>HYPERLINK("https://www.773grp.com/globalSearch/TLV3012AIDBVR/page-1", "TLV3012AIDBVR")</f>
        <v>TLV3012AIDBVR</v>
      </c>
      <c r="B5784" s="3" t="str">
        <f>HYPERLINK("https://www.773grp.com/manufacturer/texas-instruments?pageNo=110", "Texas Instruments")</f>
        <v>Texas Instruments</v>
      </c>
      <c r="C5784" s="5">
        <v>63000</v>
      </c>
      <c r="D5784" s="6">
        <v>3.95</v>
      </c>
      <c r="E5784" t="s">
        <v>7</v>
      </c>
    </row>
    <row r="5785" spans="1:5" x14ac:dyDescent="0.25">
      <c r="A5785" t="str">
        <f>HYPERLINK("https://www.773grp.com/globalSearch/TLV3012AIDCKR/page-1", "TLV3012AIDCKR")</f>
        <v>TLV3012AIDCKR</v>
      </c>
      <c r="B5785" s="3" t="str">
        <f>HYPERLINK("https://www.773grp.com/manufacturer/texas-instruments?pageNo=111", "Texas Instruments")</f>
        <v>Texas Instruments</v>
      </c>
      <c r="C5785" s="5">
        <v>5224</v>
      </c>
      <c r="D5785" s="6">
        <v>3.95</v>
      </c>
      <c r="E5785" t="s">
        <v>7</v>
      </c>
    </row>
    <row r="5786" spans="1:5" x14ac:dyDescent="0.25">
      <c r="A5786" t="str">
        <f>HYPERLINK("https://www.773grp.com/globalSearch/TLV3401ID/page-1", "TLV3401ID")</f>
        <v>TLV3401ID</v>
      </c>
      <c r="B5786" s="3" t="str">
        <f>HYPERLINK("https://www.773grp.com/manufacturer/texas-instruments?pageNo=112", "Texas Instruments")</f>
        <v>Texas Instruments</v>
      </c>
      <c r="C5786" s="5">
        <v>29179</v>
      </c>
      <c r="D5786" s="6">
        <v>3.95</v>
      </c>
      <c r="E5786" t="s">
        <v>7</v>
      </c>
    </row>
    <row r="5787" spans="1:5" x14ac:dyDescent="0.25">
      <c r="A5787" t="str">
        <f>HYPERLINK("https://www.773grp.com/globalSearch/TLV3401IP/page-1", "TLV3401IP")</f>
        <v>TLV3401IP</v>
      </c>
      <c r="B5787" s="3" t="str">
        <f>HYPERLINK("https://www.773grp.com/manufacturer/texas-instruments?pageNo=114", "Texas Instruments")</f>
        <v>Texas Instruments</v>
      </c>
      <c r="C5787" s="5">
        <v>10481</v>
      </c>
      <c r="D5787" s="6">
        <v>3.95</v>
      </c>
      <c r="E5787" t="s">
        <v>7</v>
      </c>
    </row>
    <row r="5788" spans="1:5" x14ac:dyDescent="0.25">
      <c r="A5788" t="str">
        <f>HYPERLINK("https://www.773grp.com/globalSearch/TLV3492AIDCNT/page-1", "TLV3492AIDCNT")</f>
        <v>TLV3492AIDCNT</v>
      </c>
      <c r="B5788" s="3" t="str">
        <f>HYPERLINK("https://www.773grp.com/manufacturer/texas-instruments?pageNo=115", "Texas Instruments")</f>
        <v>Texas Instruments</v>
      </c>
      <c r="C5788" s="5">
        <v>30000</v>
      </c>
      <c r="D5788" s="6">
        <v>3.95</v>
      </c>
      <c r="E5788" t="s">
        <v>7</v>
      </c>
    </row>
    <row r="5789" spans="1:5" x14ac:dyDescent="0.25">
      <c r="A5789" t="str">
        <f>HYPERLINK("https://www.773grp.com/globalSearch/TLV3702CD/page-1", "TLV3702CD")</f>
        <v>TLV3702CD</v>
      </c>
      <c r="B5789" s="3" t="str">
        <f>HYPERLINK("https://www.773grp.com/manufacturer/texas-instruments?pageNo=116", "Texas Instruments")</f>
        <v>Texas Instruments</v>
      </c>
      <c r="C5789" s="5">
        <v>7932</v>
      </c>
      <c r="D5789" s="6">
        <v>3.95</v>
      </c>
      <c r="E5789" t="s">
        <v>7</v>
      </c>
    </row>
    <row r="5790" spans="1:5" x14ac:dyDescent="0.25">
      <c r="A5790" t="str">
        <f>HYPERLINK("https://www.773grp.com/globalSearch/TLV3702CDGKR/page-1", "TLV3702CDGKR")</f>
        <v>TLV3702CDGKR</v>
      </c>
      <c r="B5790" s="3" t="str">
        <f>HYPERLINK("https://www.773grp.com/manufacturer/texas-instruments?pageNo=117", "Texas Instruments")</f>
        <v>Texas Instruments</v>
      </c>
      <c r="C5790" s="5">
        <v>7500</v>
      </c>
      <c r="D5790" s="6">
        <v>3.95</v>
      </c>
      <c r="E5790" t="s">
        <v>7</v>
      </c>
    </row>
    <row r="5791" spans="1:5" x14ac:dyDescent="0.25">
      <c r="A5791" t="str">
        <f>HYPERLINK("https://www.773grp.com/globalSearch/LM139AD/page-1", "LM139AD")</f>
        <v>LM139AD</v>
      </c>
      <c r="B5791" s="3" t="str">
        <f>HYPERLINK("https://www.773grp.com/manufacturer/texas-instruments?pageNo=278", "Texas Instruments")</f>
        <v>Texas Instruments</v>
      </c>
      <c r="C5791" s="5">
        <v>22</v>
      </c>
      <c r="D5791" s="6">
        <v>3.63</v>
      </c>
      <c r="E5791" t="s">
        <v>7</v>
      </c>
    </row>
    <row r="5792" spans="1:5" x14ac:dyDescent="0.25">
      <c r="A5792" t="str">
        <f>HYPERLINK("https://www.773grp.com/globalSearch/LM139ADG4/page-1", "LM139ADG4")</f>
        <v>LM139ADG4</v>
      </c>
      <c r="B5792" s="3" t="str">
        <f>HYPERLINK("https://www.773grp.com/manufacturer/texas-instruments?pageNo=279", "Texas Instruments")</f>
        <v>Texas Instruments</v>
      </c>
      <c r="C5792" s="5">
        <v>27150</v>
      </c>
      <c r="D5792" s="6">
        <v>3.63</v>
      </c>
      <c r="E5792" t="s">
        <v>7</v>
      </c>
    </row>
    <row r="5793" spans="1:5" x14ac:dyDescent="0.25">
      <c r="A5793" t="str">
        <f>HYPERLINK("https://www.773grp.com/globalSearch/TLV3404IN/page-1", "TLV3404IN")</f>
        <v>TLV3404IN</v>
      </c>
      <c r="B5793" s="3" t="str">
        <f>HYPERLINK("https://www.773grp.com/manufacturer/texas-instruments?pageNo=603", "Texas Instruments")</f>
        <v>Texas Instruments</v>
      </c>
      <c r="C5793" s="5">
        <v>4506</v>
      </c>
      <c r="D5793" s="6">
        <v>3.66</v>
      </c>
      <c r="E5793" t="s">
        <v>7</v>
      </c>
    </row>
    <row r="5794" spans="1:5" x14ac:dyDescent="0.25">
      <c r="A5794" t="str">
        <f>HYPERLINK("https://www.773grp.com/globalSearch/LM306DR/page-1", "LM306DR")</f>
        <v>LM306DR</v>
      </c>
      <c r="B5794" s="3" t="s">
        <v>90</v>
      </c>
      <c r="C5794" s="5">
        <v>27500</v>
      </c>
      <c r="D5794" s="6">
        <v>4.16</v>
      </c>
      <c r="E5794" t="s">
        <v>7</v>
      </c>
    </row>
    <row r="5795" spans="1:5" x14ac:dyDescent="0.25">
      <c r="A5795" t="str">
        <f>HYPERLINK("https://www.773grp.com/globalSearch/TL712CDR/page-1", "TL712CDR")</f>
        <v>TL712CDR</v>
      </c>
      <c r="B5795" s="3" t="s">
        <v>90</v>
      </c>
      <c r="C5795" s="5">
        <v>12500</v>
      </c>
      <c r="D5795" s="6">
        <v>4.16</v>
      </c>
      <c r="E5795" t="s">
        <v>7</v>
      </c>
    </row>
    <row r="5796" spans="1:5" x14ac:dyDescent="0.25">
      <c r="A5796" t="str">
        <f>HYPERLINK("https://www.773grp.com/globalSearch/TL712CPWR/page-1", "TL712CPWR")</f>
        <v>TL712CPWR</v>
      </c>
      <c r="B5796" s="3" t="s">
        <v>90</v>
      </c>
      <c r="C5796" s="5">
        <v>70000</v>
      </c>
      <c r="D5796" s="6">
        <v>4.16</v>
      </c>
      <c r="E5796" t="s">
        <v>7</v>
      </c>
    </row>
    <row r="5797" spans="1:5" x14ac:dyDescent="0.25">
      <c r="A5797" t="str">
        <f>HYPERLINK("https://www.773grp.com/globalSearch/TLV7211AIDCKT/page-1", "TLV7211AIDCKT")</f>
        <v>TLV7211AIDCKT</v>
      </c>
      <c r="B5797" s="3" t="s">
        <v>90</v>
      </c>
      <c r="C5797" s="5">
        <v>250</v>
      </c>
      <c r="D5797" s="6">
        <v>4.16</v>
      </c>
      <c r="E5797" t="s">
        <v>7</v>
      </c>
    </row>
    <row r="5798" spans="1:5" x14ac:dyDescent="0.25">
      <c r="A5798" t="str">
        <f>HYPERLINK("https://www.773grp.com/globalSearch/TL3016ID/page-1", "TL3016ID")</f>
        <v>TL3016ID</v>
      </c>
      <c r="B5798" s="3" t="s">
        <v>90</v>
      </c>
      <c r="C5798" s="5">
        <v>432</v>
      </c>
      <c r="D5798" s="6">
        <v>3.8</v>
      </c>
      <c r="E5798" t="s">
        <v>7</v>
      </c>
    </row>
    <row r="5799" spans="1:5" x14ac:dyDescent="0.25">
      <c r="A5799" t="str">
        <f>HYPERLINK("https://www.773grp.com/globalSearch/TL3016IDG4/page-1", "TL3016IDG4")</f>
        <v>TL3016IDG4</v>
      </c>
      <c r="B5799" s="3" t="s">
        <v>90</v>
      </c>
      <c r="C5799" s="5">
        <v>3848</v>
      </c>
      <c r="D5799" s="6">
        <v>3.8</v>
      </c>
      <c r="E5799" t="s">
        <v>7</v>
      </c>
    </row>
    <row r="5800" spans="1:5" x14ac:dyDescent="0.25">
      <c r="A5800" t="str">
        <f>HYPERLINK("https://www.773grp.com/globalSearch/TL3016IPW/page-1", "TL3016IPW")</f>
        <v>TL3016IPW</v>
      </c>
      <c r="B5800" s="3" t="s">
        <v>90</v>
      </c>
      <c r="C5800" s="5">
        <v>1232</v>
      </c>
      <c r="D5800" s="6">
        <v>3.8</v>
      </c>
      <c r="E5800" t="s">
        <v>7</v>
      </c>
    </row>
    <row r="5801" spans="1:5" x14ac:dyDescent="0.25">
      <c r="A5801" t="str">
        <f>HYPERLINK("https://www.773grp.com/globalSearch/TLV3404IPW/page-1", "TLV3404IPW")</f>
        <v>TLV3404IPW</v>
      </c>
      <c r="B5801" s="3" t="s">
        <v>90</v>
      </c>
      <c r="C5801" s="5">
        <v>503</v>
      </c>
      <c r="D5801" s="6">
        <v>3.8</v>
      </c>
      <c r="E5801" t="s">
        <v>7</v>
      </c>
    </row>
    <row r="5802" spans="1:5" x14ac:dyDescent="0.25">
      <c r="A5802" t="str">
        <f>HYPERLINK("https://www.773grp.com/globalSearch/TLV3494AIPWR/page-1", "TLV3494AIPWR")</f>
        <v>TLV3494AIPWR</v>
      </c>
      <c r="B5802" s="3" t="s">
        <v>90</v>
      </c>
      <c r="C5802" s="5">
        <v>5140</v>
      </c>
      <c r="D5802" s="6">
        <v>3.8</v>
      </c>
      <c r="E5802" t="s">
        <v>7</v>
      </c>
    </row>
    <row r="5803" spans="1:5" x14ac:dyDescent="0.25">
      <c r="A5803" t="str">
        <f>HYPERLINK("https://www.773grp.com/globalSearch/TLC354CPW/page-1", "TLC354CPW")</f>
        <v>TLC354CPW</v>
      </c>
      <c r="B5803" s="3" t="str">
        <f>HYPERLINK("https://www.773grp.com/manufacturer/texas-instruments?pageNo=70", "Texas Instruments")</f>
        <v>Texas Instruments</v>
      </c>
      <c r="C5803" s="5">
        <v>2260</v>
      </c>
      <c r="D5803" s="6">
        <v>4.2300000000000004</v>
      </c>
      <c r="E5803" t="s">
        <v>7</v>
      </c>
    </row>
    <row r="5804" spans="1:5" x14ac:dyDescent="0.25">
      <c r="A5804" t="str">
        <f>HYPERLINK("https://www.773grp.com/globalSearch/TLV2352IDR/page-1", "TLV2352IDR")</f>
        <v>TLV2352IDR</v>
      </c>
      <c r="B5804" s="3" t="str">
        <f>HYPERLINK("https://www.773grp.com/manufacturer/texas-instruments?pageNo=86", "Texas Instruments")</f>
        <v>Texas Instruments</v>
      </c>
      <c r="C5804" s="5">
        <v>2500</v>
      </c>
      <c r="D5804" s="6">
        <v>4.2300000000000004</v>
      </c>
      <c r="E5804" t="s">
        <v>7</v>
      </c>
    </row>
    <row r="5805" spans="1:5" x14ac:dyDescent="0.25">
      <c r="A5805" t="str">
        <f>HYPERLINK("https://www.773grp.com/globalSearch/TLV2352IPWR/page-1", "TLV2352IPWR")</f>
        <v>TLV2352IPWR</v>
      </c>
      <c r="B5805" s="3" t="str">
        <f>HYPERLINK("https://www.773grp.com/manufacturer/texas-instruments?pageNo=87", "Texas Instruments")</f>
        <v>Texas Instruments</v>
      </c>
      <c r="C5805" s="5">
        <v>24000</v>
      </c>
      <c r="D5805" s="6">
        <v>4.2300000000000004</v>
      </c>
      <c r="E5805" t="s">
        <v>7</v>
      </c>
    </row>
    <row r="5806" spans="1:5" x14ac:dyDescent="0.25">
      <c r="A5806" t="str">
        <f>HYPERLINK("https://www.773grp.com/globalSearch/TLV3402CDR/page-1", "TLV3402CDR")</f>
        <v>TLV3402CDR</v>
      </c>
      <c r="B5806" s="3" t="str">
        <f>HYPERLINK("https://www.773grp.com/manufacturer/texas-instruments?pageNo=124", "Texas Instruments")</f>
        <v>Texas Instruments</v>
      </c>
      <c r="C5806" s="5">
        <v>42500</v>
      </c>
      <c r="D5806" s="6">
        <v>4.2300000000000004</v>
      </c>
      <c r="E5806" t="s">
        <v>7</v>
      </c>
    </row>
    <row r="5807" spans="1:5" x14ac:dyDescent="0.25">
      <c r="A5807" t="str">
        <f>HYPERLINK("https://www.773grp.com/globalSearch/TLV3492AID/page-1", "TLV3492AID")</f>
        <v>TLV3492AID</v>
      </c>
      <c r="B5807" s="3" t="str">
        <f>HYPERLINK("https://www.773grp.com/manufacturer/texas-instruments?pageNo=125", "Texas Instruments")</f>
        <v>Texas Instruments</v>
      </c>
      <c r="C5807" s="5">
        <v>28121</v>
      </c>
      <c r="D5807" s="6">
        <v>4.2300000000000004</v>
      </c>
      <c r="E5807" t="s">
        <v>7</v>
      </c>
    </row>
    <row r="5808" spans="1:5" x14ac:dyDescent="0.25">
      <c r="A5808" t="str">
        <f>HYPERLINK("https://www.773grp.com/globalSearch/TLV3702IDGKR/page-1", "TLV3702IDGKR")</f>
        <v>TLV3702IDGKR</v>
      </c>
      <c r="B5808" s="3" t="str">
        <f>HYPERLINK("https://www.773grp.com/manufacturer/texas-instruments?pageNo=126", "Texas Instruments")</f>
        <v>Texas Instruments</v>
      </c>
      <c r="C5808" s="5">
        <v>49138</v>
      </c>
      <c r="D5808" s="6">
        <v>4.2300000000000004</v>
      </c>
      <c r="E5808" t="s">
        <v>7</v>
      </c>
    </row>
    <row r="5809" spans="1:5" x14ac:dyDescent="0.25">
      <c r="A5809" t="str">
        <f>HYPERLINK("https://www.773grp.com/globalSearch/TLV3702IDGKRG4/page-1", "TLV3702IDGKRG4")</f>
        <v>TLV3702IDGKRG4</v>
      </c>
      <c r="B5809" s="3" t="str">
        <f>HYPERLINK("https://www.773grp.com/manufacturer/texas-instruments?pageNo=127", "Texas Instruments")</f>
        <v>Texas Instruments</v>
      </c>
      <c r="C5809" s="5">
        <v>50</v>
      </c>
      <c r="D5809" s="6">
        <v>4.2300000000000004</v>
      </c>
      <c r="E5809" t="s">
        <v>7</v>
      </c>
    </row>
    <row r="5810" spans="1:5" x14ac:dyDescent="0.25">
      <c r="A5810" t="str">
        <f>HYPERLINK("https://www.773grp.com/globalSearch/TLV3702IDR/page-1", "TLV3702IDR")</f>
        <v>TLV3702IDR</v>
      </c>
      <c r="B5810" s="3" t="str">
        <f>HYPERLINK("https://www.773grp.com/manufacturer/texas-instruments?pageNo=128", "Texas Instruments")</f>
        <v>Texas Instruments</v>
      </c>
      <c r="C5810" s="5">
        <v>2500</v>
      </c>
      <c r="D5810" s="6">
        <v>4.2300000000000004</v>
      </c>
      <c r="E5810" t="s">
        <v>7</v>
      </c>
    </row>
    <row r="5811" spans="1:5" x14ac:dyDescent="0.25">
      <c r="A5811" t="str">
        <f>HYPERLINK("https://www.773grp.com/globalSearch/TLV2354IN/page-1", "TLV2354IN")</f>
        <v>TLV2354IN</v>
      </c>
      <c r="B5811" s="3" t="str">
        <f>HYPERLINK("https://www.773grp.com/manufacturer/texas-instruments?pageNo=624", "Texas Instruments")</f>
        <v>Texas Instruments</v>
      </c>
      <c r="C5811" s="5">
        <v>10847</v>
      </c>
      <c r="D5811" s="6">
        <v>3.94</v>
      </c>
      <c r="E5811" t="s">
        <v>7</v>
      </c>
    </row>
    <row r="5812" spans="1:5" x14ac:dyDescent="0.25">
      <c r="A5812" t="str">
        <f>HYPERLINK("https://www.773grp.com/globalSearch/TLC354ID/page-1", "TLC354ID")</f>
        <v>TLC354ID</v>
      </c>
      <c r="B5812" s="3" t="s">
        <v>90</v>
      </c>
      <c r="C5812" s="5">
        <v>3719</v>
      </c>
      <c r="D5812" s="6">
        <v>4.49</v>
      </c>
      <c r="E5812" t="s">
        <v>7</v>
      </c>
    </row>
    <row r="5813" spans="1:5" x14ac:dyDescent="0.25">
      <c r="A5813" t="str">
        <f>HYPERLINK("https://www.773grp.com/globalSearch/TLV2354ID/page-1", "TLV2354ID")</f>
        <v>TLV2354ID</v>
      </c>
      <c r="B5813" s="3" t="s">
        <v>90</v>
      </c>
      <c r="C5813" s="5">
        <v>4608</v>
      </c>
      <c r="D5813" s="6">
        <v>4.09</v>
      </c>
      <c r="E5813" t="s">
        <v>7</v>
      </c>
    </row>
    <row r="5814" spans="1:5" x14ac:dyDescent="0.25">
      <c r="A5814" t="str">
        <f>HYPERLINK("https://www.773grp.com/globalSearch/TLV2354IPW/page-1", "TLV2354IPW")</f>
        <v>TLV2354IPW</v>
      </c>
      <c r="B5814" s="3" t="s">
        <v>90</v>
      </c>
      <c r="C5814" s="5">
        <v>9569</v>
      </c>
      <c r="D5814" s="6">
        <v>4.09</v>
      </c>
      <c r="E5814" t="s">
        <v>7</v>
      </c>
    </row>
    <row r="5815" spans="1:5" x14ac:dyDescent="0.25">
      <c r="A5815" t="str">
        <f>HYPERLINK("https://www.773grp.com/globalSearch/LM306P/page-1", "LM306P")</f>
        <v>LM306P</v>
      </c>
      <c r="B5815" s="3" t="s">
        <v>90</v>
      </c>
      <c r="C5815" s="5">
        <v>4338</v>
      </c>
      <c r="D5815" s="6">
        <v>4.54</v>
      </c>
      <c r="E5815" t="s">
        <v>7</v>
      </c>
    </row>
    <row r="5816" spans="1:5" x14ac:dyDescent="0.25">
      <c r="A5816" t="str">
        <f>HYPERLINK("https://www.773grp.com/globalSearch/INA200AIDR/page-1", "INA200AIDR")</f>
        <v>INA200AIDR</v>
      </c>
      <c r="B5816" s="3" t="s">
        <v>90</v>
      </c>
      <c r="C5816" s="5">
        <v>22500</v>
      </c>
      <c r="D5816" s="6">
        <v>4.74</v>
      </c>
      <c r="E5816" t="s">
        <v>7</v>
      </c>
    </row>
    <row r="5817" spans="1:5" x14ac:dyDescent="0.25">
      <c r="A5817" t="str">
        <f>HYPERLINK("https://www.773grp.com/globalSearch/INA201AIDGKR/page-1", "INA201AIDGKR")</f>
        <v>INA201AIDGKR</v>
      </c>
      <c r="B5817" s="3" t="s">
        <v>90</v>
      </c>
      <c r="C5817" s="5">
        <v>50000</v>
      </c>
      <c r="D5817" s="6">
        <v>4.74</v>
      </c>
      <c r="E5817" t="s">
        <v>7</v>
      </c>
    </row>
    <row r="5818" spans="1:5" x14ac:dyDescent="0.25">
      <c r="A5818" t="str">
        <f>HYPERLINK("https://www.773grp.com/globalSearch/TLV2352IP/page-1", "TLV2352IP")</f>
        <v>TLV2352IP</v>
      </c>
      <c r="B5818" s="3" t="s">
        <v>90</v>
      </c>
      <c r="C5818" s="5">
        <v>15594</v>
      </c>
      <c r="D5818" s="6">
        <v>4.74</v>
      </c>
      <c r="E5818" t="s">
        <v>7</v>
      </c>
    </row>
    <row r="5819" spans="1:5" x14ac:dyDescent="0.25">
      <c r="A5819" t="str">
        <f>HYPERLINK("https://www.773grp.com/globalSearch/TLV2352IPWLE/page-1", "TLV2352IPWLE")</f>
        <v>TLV2352IPWLE</v>
      </c>
      <c r="B5819" s="3" t="s">
        <v>90</v>
      </c>
      <c r="C5819" s="5">
        <v>10000</v>
      </c>
      <c r="D5819" s="6">
        <v>4.74</v>
      </c>
      <c r="E5819" t="s">
        <v>7</v>
      </c>
    </row>
    <row r="5820" spans="1:5" x14ac:dyDescent="0.25">
      <c r="A5820" t="str">
        <f>HYPERLINK("https://www.773grp.com/globalSearch/TLV3011AIDBVT/page-1", "TLV3011AIDBVT")</f>
        <v>TLV3011AIDBVT</v>
      </c>
      <c r="B5820" s="3" t="s">
        <v>90</v>
      </c>
      <c r="C5820" s="5">
        <v>1000</v>
      </c>
      <c r="D5820" s="6">
        <v>4.74</v>
      </c>
      <c r="E5820" t="s">
        <v>7</v>
      </c>
    </row>
    <row r="5821" spans="1:5" x14ac:dyDescent="0.25">
      <c r="A5821" t="str">
        <f>HYPERLINK("https://www.773grp.com/globalSearch/TLV3702CDGK/page-1", "TLV3702CDGK")</f>
        <v>TLV3702CDGK</v>
      </c>
      <c r="B5821" s="3" t="s">
        <v>90</v>
      </c>
      <c r="C5821" s="5">
        <v>12239</v>
      </c>
      <c r="D5821" s="6">
        <v>4.74</v>
      </c>
      <c r="E5821" t="s">
        <v>7</v>
      </c>
    </row>
    <row r="5822" spans="1:5" x14ac:dyDescent="0.25">
      <c r="A5822" t="str">
        <f>HYPERLINK("https://www.773grp.com/globalSearch/TLV3494AIPWT/page-1", "TLV3494AIPWT")</f>
        <v>TLV3494AIPWT</v>
      </c>
      <c r="B5822" s="3" t="s">
        <v>90</v>
      </c>
      <c r="C5822" s="5">
        <v>13641</v>
      </c>
      <c r="D5822" s="6">
        <v>4.3499999999999996</v>
      </c>
      <c r="E5822" t="s">
        <v>7</v>
      </c>
    </row>
    <row r="5823" spans="1:5" x14ac:dyDescent="0.25">
      <c r="A5823" t="str">
        <f>HYPERLINK("https://www.773grp.com/globalSearch/LM306D/page-1", "LM306D")</f>
        <v>LM306D</v>
      </c>
      <c r="B5823" s="3" t="str">
        <f>HYPERLINK("https://www.773grp.com/manufacturer/texas-instruments?pageNo=32", "Texas Instruments")</f>
        <v>Texas Instruments</v>
      </c>
      <c r="C5823" s="5">
        <v>24849</v>
      </c>
      <c r="D5823" s="6">
        <v>4.91</v>
      </c>
      <c r="E5823" t="s">
        <v>7</v>
      </c>
    </row>
    <row r="5824" spans="1:5" x14ac:dyDescent="0.25">
      <c r="A5824" t="str">
        <f>HYPERLINK("https://www.773grp.com/globalSearch/TL712CD/page-1", "TL712CD")</f>
        <v>TL712CD</v>
      </c>
      <c r="B5824" s="3" t="str">
        <f>HYPERLINK("https://www.773grp.com/manufacturer/texas-instruments?pageNo=190", "Texas Instruments")</f>
        <v>Texas Instruments</v>
      </c>
      <c r="C5824" s="5">
        <v>9621</v>
      </c>
      <c r="D5824" s="6">
        <v>4.91</v>
      </c>
      <c r="E5824" t="s">
        <v>7</v>
      </c>
    </row>
    <row r="5825" spans="1:5" x14ac:dyDescent="0.25">
      <c r="A5825" t="str">
        <f>HYPERLINK("https://www.773grp.com/globalSearch/TL712CPW/page-1", "TL712CPW")</f>
        <v>TL712CPW</v>
      </c>
      <c r="B5825" s="3" t="str">
        <f>HYPERLINK("https://www.773grp.com/manufacturer/texas-instruments?pageNo=191", "Texas Instruments")</f>
        <v>Texas Instruments</v>
      </c>
      <c r="C5825" s="5">
        <v>6100</v>
      </c>
      <c r="D5825" s="6">
        <v>4.91</v>
      </c>
      <c r="E5825" t="s">
        <v>7</v>
      </c>
    </row>
    <row r="5826" spans="1:5" x14ac:dyDescent="0.25">
      <c r="A5826" t="str">
        <f>HYPERLINK("https://www.773grp.com/globalSearch/INA203AIDGSR/page-1", "INA203AIDGSR")</f>
        <v>INA203AIDGSR</v>
      </c>
      <c r="B5826" s="3" t="str">
        <f>HYPERLINK("https://www.773grp.com/manufacturer/texas-instruments?pageNo=499", "Texas Instruments")</f>
        <v>Texas Instruments</v>
      </c>
      <c r="C5826" s="5">
        <v>32500</v>
      </c>
      <c r="D5826" s="6">
        <v>5.01</v>
      </c>
      <c r="E5826" t="s">
        <v>7</v>
      </c>
    </row>
    <row r="5827" spans="1:5" x14ac:dyDescent="0.25">
      <c r="A5827" t="str">
        <f>HYPERLINK("https://www.773grp.com/globalSearch/INA203AIDR/page-1", "INA203AIDR")</f>
        <v>INA203AIDR</v>
      </c>
      <c r="B5827" s="3" t="str">
        <f>HYPERLINK("https://www.773grp.com/manufacturer/texas-instruments?pageNo=500", "Texas Instruments")</f>
        <v>Texas Instruments</v>
      </c>
      <c r="C5827" s="5">
        <v>7500</v>
      </c>
      <c r="D5827" s="6">
        <v>5.01</v>
      </c>
      <c r="E5827" t="s">
        <v>7</v>
      </c>
    </row>
    <row r="5828" spans="1:5" x14ac:dyDescent="0.25">
      <c r="A5828" t="str">
        <f>HYPERLINK("https://www.773grp.com/globalSearch/INA203AIPWR/page-1", "INA203AIPWR")</f>
        <v>INA203AIPWR</v>
      </c>
      <c r="B5828" s="3" t="str">
        <f>HYPERLINK("https://www.773grp.com/manufacturer/texas-instruments?pageNo=501", "Texas Instruments")</f>
        <v>Texas Instruments</v>
      </c>
      <c r="C5828" s="5">
        <v>6000</v>
      </c>
      <c r="D5828" s="6">
        <v>5.01</v>
      </c>
      <c r="E5828" t="s">
        <v>7</v>
      </c>
    </row>
    <row r="5829" spans="1:5" x14ac:dyDescent="0.25">
      <c r="A5829" t="str">
        <f>HYPERLINK("https://www.773grp.com/globalSearch/INA204AIDGSR/page-1", "INA204AIDGSR")</f>
        <v>INA204AIDGSR</v>
      </c>
      <c r="B5829" s="3" t="str">
        <f>HYPERLINK("https://www.773grp.com/manufacturer/texas-instruments?pageNo=502", "Texas Instruments")</f>
        <v>Texas Instruments</v>
      </c>
      <c r="C5829" s="5">
        <v>8579</v>
      </c>
      <c r="D5829" s="6">
        <v>5.01</v>
      </c>
      <c r="E5829" t="s">
        <v>7</v>
      </c>
    </row>
    <row r="5830" spans="1:5" x14ac:dyDescent="0.25">
      <c r="A5830" t="str">
        <f>HYPERLINK("https://www.773grp.com/globalSearch/INA204AIDR/page-1", "INA204AIDR")</f>
        <v>INA204AIDR</v>
      </c>
      <c r="B5830" s="3" t="str">
        <f>HYPERLINK("https://www.773grp.com/manufacturer/texas-instruments?pageNo=503", "Texas Instruments")</f>
        <v>Texas Instruments</v>
      </c>
      <c r="C5830" s="5">
        <v>7500</v>
      </c>
      <c r="D5830" s="6">
        <v>5.01</v>
      </c>
      <c r="E5830" t="s">
        <v>7</v>
      </c>
    </row>
    <row r="5831" spans="1:5" x14ac:dyDescent="0.25">
      <c r="A5831" t="str">
        <f>HYPERLINK("https://www.773grp.com/globalSearch/INA204AIPWR/page-1", "INA204AIPWR")</f>
        <v>INA204AIPWR</v>
      </c>
      <c r="B5831" s="3" t="str">
        <f>HYPERLINK("https://www.773grp.com/manufacturer/texas-instruments?pageNo=504", "Texas Instruments")</f>
        <v>Texas Instruments</v>
      </c>
      <c r="C5831" s="5">
        <v>6000</v>
      </c>
      <c r="D5831" s="6">
        <v>5.01</v>
      </c>
      <c r="E5831" t="s">
        <v>7</v>
      </c>
    </row>
    <row r="5832" spans="1:5" x14ac:dyDescent="0.25">
      <c r="A5832" t="str">
        <f>HYPERLINK("https://www.773grp.com/globalSearch/INA205AIDGSR/page-1", "INA205AIDGSR")</f>
        <v>INA205AIDGSR</v>
      </c>
      <c r="B5832" s="3" t="str">
        <f>HYPERLINK("https://www.773grp.com/manufacturer/texas-instruments?pageNo=505", "Texas Instruments")</f>
        <v>Texas Instruments</v>
      </c>
      <c r="C5832" s="5">
        <v>10000</v>
      </c>
      <c r="D5832" s="6">
        <v>5.01</v>
      </c>
      <c r="E5832" t="s">
        <v>7</v>
      </c>
    </row>
    <row r="5833" spans="1:5" x14ac:dyDescent="0.25">
      <c r="A5833" t="str">
        <f>HYPERLINK("https://www.773grp.com/globalSearch/INA205AIDR/page-1", "INA205AIDR")</f>
        <v>INA205AIDR</v>
      </c>
      <c r="B5833" s="3" t="str">
        <f>HYPERLINK("https://www.773grp.com/manufacturer/texas-instruments?pageNo=506", "Texas Instruments")</f>
        <v>Texas Instruments</v>
      </c>
      <c r="C5833" s="5">
        <v>7500</v>
      </c>
      <c r="D5833" s="6">
        <v>5.01</v>
      </c>
      <c r="E5833" t="s">
        <v>7</v>
      </c>
    </row>
    <row r="5834" spans="1:5" x14ac:dyDescent="0.25">
      <c r="A5834" t="str">
        <f>HYPERLINK("https://www.773grp.com/globalSearch/INA205AIPWR/page-1", "INA205AIPWR")</f>
        <v>INA205AIPWR</v>
      </c>
      <c r="B5834" s="3" t="str">
        <f>HYPERLINK("https://www.773grp.com/manufacturer/texas-instruments?pageNo=507", "Texas Instruments")</f>
        <v>Texas Instruments</v>
      </c>
      <c r="C5834" s="5">
        <v>6000</v>
      </c>
      <c r="D5834" s="6">
        <v>5.01</v>
      </c>
      <c r="E5834" t="s">
        <v>7</v>
      </c>
    </row>
    <row r="5835" spans="1:5" x14ac:dyDescent="0.25">
      <c r="A5835" t="str">
        <f>HYPERLINK("https://www.773grp.com/globalSearch/INA206AIDGSR/page-1", "INA206AIDGSR")</f>
        <v>INA206AIDGSR</v>
      </c>
      <c r="B5835" s="3" t="str">
        <f>HYPERLINK("https://www.773grp.com/manufacturer/texas-instruments?pageNo=508", "Texas Instruments")</f>
        <v>Texas Instruments</v>
      </c>
      <c r="C5835" s="5">
        <v>206384</v>
      </c>
      <c r="D5835" s="6">
        <v>5.01</v>
      </c>
      <c r="E5835" t="s">
        <v>7</v>
      </c>
    </row>
    <row r="5836" spans="1:5" x14ac:dyDescent="0.25">
      <c r="A5836" t="str">
        <f>HYPERLINK("https://www.773grp.com/globalSearch/INA206AIDR/page-1", "INA206AIDR")</f>
        <v>INA206AIDR</v>
      </c>
      <c r="B5836" s="3" t="str">
        <f>HYPERLINK("https://www.773grp.com/manufacturer/texas-instruments?pageNo=509", "Texas Instruments")</f>
        <v>Texas Instruments</v>
      </c>
      <c r="C5836" s="5">
        <v>12500</v>
      </c>
      <c r="D5836" s="6">
        <v>5.01</v>
      </c>
      <c r="E5836" t="s">
        <v>7</v>
      </c>
    </row>
    <row r="5837" spans="1:5" x14ac:dyDescent="0.25">
      <c r="A5837" t="str">
        <f>HYPERLINK("https://www.773grp.com/globalSearch/INA207AIDGSR/page-1", "INA207AIDGSR")</f>
        <v>INA207AIDGSR</v>
      </c>
      <c r="B5837" s="3" t="str">
        <f>HYPERLINK("https://www.773grp.com/manufacturer/texas-instruments?pageNo=510", "Texas Instruments")</f>
        <v>Texas Instruments</v>
      </c>
      <c r="C5837" s="5">
        <v>2500</v>
      </c>
      <c r="D5837" s="6">
        <v>5.01</v>
      </c>
      <c r="E5837" t="s">
        <v>7</v>
      </c>
    </row>
    <row r="5838" spans="1:5" x14ac:dyDescent="0.25">
      <c r="A5838" t="str">
        <f>HYPERLINK("https://www.773grp.com/globalSearch/INA207AIDR/page-1", "INA207AIDR")</f>
        <v>INA207AIDR</v>
      </c>
      <c r="B5838" s="3" t="str">
        <f>HYPERLINK("https://www.773grp.com/manufacturer/texas-instruments?pageNo=511", "Texas Instruments")</f>
        <v>Texas Instruments</v>
      </c>
      <c r="C5838" s="5">
        <v>5000</v>
      </c>
      <c r="D5838" s="6">
        <v>5.01</v>
      </c>
      <c r="E5838" t="s">
        <v>7</v>
      </c>
    </row>
    <row r="5839" spans="1:5" x14ac:dyDescent="0.25">
      <c r="A5839" t="str">
        <f>HYPERLINK("https://www.773grp.com/globalSearch/INA207AIPWR/page-1", "INA207AIPWR")</f>
        <v>INA207AIPWR</v>
      </c>
      <c r="B5839" s="3" t="str">
        <f>HYPERLINK("https://www.773grp.com/manufacturer/texas-instruments?pageNo=512", "Texas Instruments")</f>
        <v>Texas Instruments</v>
      </c>
      <c r="C5839" s="5">
        <v>4000</v>
      </c>
      <c r="D5839" s="6">
        <v>5.01</v>
      </c>
      <c r="E5839" t="s">
        <v>7</v>
      </c>
    </row>
    <row r="5840" spans="1:5" x14ac:dyDescent="0.25">
      <c r="A5840" t="str">
        <f>HYPERLINK("https://www.773grp.com/globalSearch/INA208AIDR/page-1", "INA208AIDR")</f>
        <v>INA208AIDR</v>
      </c>
      <c r="B5840" s="3" t="str">
        <f>HYPERLINK("https://www.773grp.com/manufacturer/texas-instruments?pageNo=513", "Texas Instruments")</f>
        <v>Texas Instruments</v>
      </c>
      <c r="C5840" s="5">
        <v>2500</v>
      </c>
      <c r="D5840" s="6">
        <v>5.01</v>
      </c>
      <c r="E5840" t="s">
        <v>7</v>
      </c>
    </row>
    <row r="5841" spans="1:5" x14ac:dyDescent="0.25">
      <c r="A5841" t="str">
        <f>HYPERLINK("https://www.773grp.com/globalSearch/INA208AIPWR/page-1", "INA208AIPWR")</f>
        <v>INA208AIPWR</v>
      </c>
      <c r="B5841" s="3" t="str">
        <f>HYPERLINK("https://www.773grp.com/manufacturer/texas-instruments?pageNo=514", "Texas Instruments")</f>
        <v>Texas Instruments</v>
      </c>
      <c r="C5841" s="5">
        <v>3973</v>
      </c>
      <c r="D5841" s="6">
        <v>5.01</v>
      </c>
      <c r="E5841" t="s">
        <v>7</v>
      </c>
    </row>
    <row r="5842" spans="1:5" x14ac:dyDescent="0.25">
      <c r="A5842" t="str">
        <f>HYPERLINK("https://www.773grp.com/globalSearch/LP239D/page-1", "LP239D")</f>
        <v>LP239D</v>
      </c>
      <c r="B5842" s="3" t="str">
        <f>HYPERLINK("https://www.773grp.com/manufacturer/texas-instruments?pageNo=522", "Texas Instruments")</f>
        <v>Texas Instruments</v>
      </c>
      <c r="C5842" s="5">
        <v>466</v>
      </c>
      <c r="D5842" s="6">
        <v>5.01</v>
      </c>
      <c r="E5842" t="s">
        <v>7</v>
      </c>
    </row>
    <row r="5843" spans="1:5" x14ac:dyDescent="0.25">
      <c r="A5843" t="str">
        <f>HYPERLINK("https://www.773grp.com/globalSearch/TLV2352ID/page-1", "TLV2352ID")</f>
        <v>TLV2352ID</v>
      </c>
      <c r="B5843" s="3" t="str">
        <f>HYPERLINK("https://www.773grp.com/manufacturer/texas-instruments?pageNo=610", "Texas Instruments")</f>
        <v>Texas Instruments</v>
      </c>
      <c r="C5843" s="5">
        <v>1640</v>
      </c>
      <c r="D5843" s="6">
        <v>5.01</v>
      </c>
      <c r="E5843" t="s">
        <v>7</v>
      </c>
    </row>
    <row r="5844" spans="1:5" x14ac:dyDescent="0.25">
      <c r="A5844" t="str">
        <f>HYPERLINK("https://www.773grp.com/globalSearch/TLV2352IPW/page-1", "TLV2352IPW")</f>
        <v>TLV2352IPW</v>
      </c>
      <c r="B5844" s="3" t="str">
        <f>HYPERLINK("https://www.773grp.com/manufacturer/texas-instruments?pageNo=611", "Texas Instruments")</f>
        <v>Texas Instruments</v>
      </c>
      <c r="C5844" s="5">
        <v>160</v>
      </c>
      <c r="D5844" s="6">
        <v>5.01</v>
      </c>
      <c r="E5844" t="s">
        <v>7</v>
      </c>
    </row>
    <row r="5845" spans="1:5" x14ac:dyDescent="0.25">
      <c r="A5845" t="str">
        <f>HYPERLINK("https://www.773grp.com/globalSearch/TLV3702ID/page-1", "TLV3702ID")</f>
        <v>TLV3702ID</v>
      </c>
      <c r="B5845" s="3" t="str">
        <f>HYPERLINK("https://www.773grp.com/manufacturer/texas-instruments?pageNo=639", "Texas Instruments")</f>
        <v>Texas Instruments</v>
      </c>
      <c r="C5845" s="5">
        <v>4750</v>
      </c>
      <c r="D5845" s="6">
        <v>5.01</v>
      </c>
      <c r="E5845" t="s">
        <v>7</v>
      </c>
    </row>
    <row r="5846" spans="1:5" x14ac:dyDescent="0.25">
      <c r="A5846" t="str">
        <f>HYPERLINK("https://www.773grp.com/globalSearch/TLV3702IDGK/page-1", "TLV3702IDGK")</f>
        <v>TLV3702IDGK</v>
      </c>
      <c r="B5846" s="3" t="str">
        <f>HYPERLINK("https://www.773grp.com/manufacturer/texas-instruments?pageNo=640", "Texas Instruments")</f>
        <v>Texas Instruments</v>
      </c>
      <c r="C5846" s="5">
        <v>249</v>
      </c>
      <c r="D5846" s="6">
        <v>5.01</v>
      </c>
      <c r="E5846" t="s">
        <v>7</v>
      </c>
    </row>
    <row r="5847" spans="1:5" x14ac:dyDescent="0.25">
      <c r="A5847" t="str">
        <f>HYPERLINK("https://www.773grp.com/globalSearch/TLV3702IP/page-1", "TLV3702IP")</f>
        <v>TLV3702IP</v>
      </c>
      <c r="B5847" s="3" t="str">
        <f>HYPERLINK("https://www.773grp.com/manufacturer/texas-instruments?pageNo=642", "Texas Instruments")</f>
        <v>Texas Instruments</v>
      </c>
      <c r="C5847" s="5">
        <v>22550</v>
      </c>
      <c r="D5847" s="6">
        <v>5.01</v>
      </c>
      <c r="E5847" t="s">
        <v>7</v>
      </c>
    </row>
    <row r="5848" spans="1:5" x14ac:dyDescent="0.25">
      <c r="A5848" t="str">
        <f>HYPERLINK("https://www.773grp.com/globalSearch/TLV3704CD/page-1", "TLV3704CD")</f>
        <v>TLV3704CD</v>
      </c>
      <c r="B5848" s="3" t="str">
        <f>HYPERLINK("https://www.773grp.com/manufacturer/texas-instruments?pageNo=643", "Texas Instruments")</f>
        <v>Texas Instruments</v>
      </c>
      <c r="C5848" s="5">
        <v>1670</v>
      </c>
      <c r="D5848" s="6">
        <v>5.01</v>
      </c>
      <c r="E5848" t="s">
        <v>7</v>
      </c>
    </row>
    <row r="5849" spans="1:5" x14ac:dyDescent="0.25">
      <c r="A5849" t="str">
        <f>HYPERLINK("https://www.773grp.com/globalSearch/TLV3704CPW/page-1", "TLV3704CPW")</f>
        <v>TLV3704CPW</v>
      </c>
      <c r="B5849" s="3" t="str">
        <f>HYPERLINK("https://www.773grp.com/manufacturer/texas-instruments?pageNo=644", "Texas Instruments")</f>
        <v>Texas Instruments</v>
      </c>
      <c r="C5849" s="5">
        <v>9</v>
      </c>
      <c r="D5849" s="6">
        <v>5.01</v>
      </c>
      <c r="E5849" t="s">
        <v>7</v>
      </c>
    </row>
    <row r="5850" spans="1:5" x14ac:dyDescent="0.25">
      <c r="A5850" t="str">
        <f>HYPERLINK("https://www.773grp.com/globalSearch/TLV3494AID/page-1", "TLV3494AID")</f>
        <v>TLV3494AID</v>
      </c>
      <c r="B5850" s="3" t="s">
        <v>90</v>
      </c>
      <c r="C5850" s="5">
        <v>2714</v>
      </c>
      <c r="D5850" s="6">
        <v>4.6399999999999997</v>
      </c>
      <c r="E5850" t="s">
        <v>7</v>
      </c>
    </row>
    <row r="5851" spans="1:5" x14ac:dyDescent="0.25">
      <c r="A5851" t="str">
        <f>HYPERLINK("https://www.773grp.com/globalSearch/TL714CDR/page-1", "TL714CDR")</f>
        <v>TL714CDR</v>
      </c>
      <c r="B5851" s="3" t="s">
        <v>90</v>
      </c>
      <c r="C5851" s="5">
        <v>22039</v>
      </c>
      <c r="D5851" s="6">
        <v>5.44</v>
      </c>
      <c r="E5851" t="s">
        <v>7</v>
      </c>
    </row>
    <row r="5852" spans="1:5" x14ac:dyDescent="0.25">
      <c r="A5852" t="str">
        <f>HYPERLINK("https://www.773grp.com/globalSearch/TL714CD/page-1", "TL714CD")</f>
        <v>TL714CD</v>
      </c>
      <c r="B5852" s="3" t="str">
        <f>HYPERLINK("https://www.773grp.com/manufacturer/texas-instruments?pageNo=38", "Texas Instruments")</f>
        <v>Texas Instruments</v>
      </c>
      <c r="C5852" s="5">
        <v>2145</v>
      </c>
      <c r="D5852" s="6">
        <v>6.45</v>
      </c>
      <c r="E5852" t="s">
        <v>7</v>
      </c>
    </row>
    <row r="5853" spans="1:5" x14ac:dyDescent="0.25">
      <c r="A5853" t="str">
        <f>HYPERLINK("https://www.773grp.com/globalSearch/LM293JG/page-1", "LM293JG")</f>
        <v>LM293JG</v>
      </c>
      <c r="B5853" s="3" t="str">
        <f>HYPERLINK("https://www.773grp.com/manufacturer/texas-instruments?pageNo=459", "Texas Instruments")</f>
        <v>Texas Instruments</v>
      </c>
      <c r="C5853" s="5">
        <v>763</v>
      </c>
      <c r="D5853" s="6">
        <v>6.75</v>
      </c>
      <c r="E5853" t="s">
        <v>7</v>
      </c>
    </row>
    <row r="5854" spans="1:5" x14ac:dyDescent="0.25">
      <c r="A5854" t="str">
        <f>HYPERLINK("https://www.773grp.com/globalSearch/INA209AIPWR/page-1", "INA209AIPWR")</f>
        <v>INA209AIPWR</v>
      </c>
      <c r="B5854" s="3" t="str">
        <f>HYPERLINK("https://www.773grp.com/manufacturer/texas-instruments?pageNo=777", "Texas Instruments")</f>
        <v>Texas Instruments</v>
      </c>
      <c r="C5854" s="5">
        <v>7900</v>
      </c>
      <c r="D5854" s="6">
        <v>7.04</v>
      </c>
      <c r="E5854" t="s">
        <v>7</v>
      </c>
    </row>
    <row r="5855" spans="1:5" x14ac:dyDescent="0.25">
      <c r="A5855" t="str">
        <f>HYPERLINK("https://www.773grp.com/globalSearch/TL714CP/page-1", "TL714CP")</f>
        <v>TL714CP</v>
      </c>
      <c r="B5855" s="3" t="str">
        <f>HYPERLINK("https://www.773grp.com/manufacturer/texas-instruments?pageNo=850", "Texas Instruments")</f>
        <v>Texas Instruments</v>
      </c>
      <c r="C5855" s="5">
        <v>274509</v>
      </c>
      <c r="D5855" s="6">
        <v>7.04</v>
      </c>
      <c r="E5855" t="s">
        <v>7</v>
      </c>
    </row>
    <row r="5856" spans="1:5" x14ac:dyDescent="0.25">
      <c r="A5856" t="str">
        <f>HYPERLINK("https://www.773grp.com/globalSearch/INA209AIPW/page-1", "INA209AIPW")</f>
        <v>INA209AIPW</v>
      </c>
      <c r="B5856" s="3" t="s">
        <v>90</v>
      </c>
      <c r="C5856" s="5">
        <v>2465</v>
      </c>
      <c r="D5856" s="6">
        <v>8.44</v>
      </c>
      <c r="E5856" t="s">
        <v>7</v>
      </c>
    </row>
    <row r="5857" spans="1:5" x14ac:dyDescent="0.25">
      <c r="A5857" t="str">
        <f>HYPERLINK("https://www.773grp.com/globalSearch/LM193JG/page-1", "LM193JG")</f>
        <v>LM193JG</v>
      </c>
      <c r="B5857" s="3" t="s">
        <v>90</v>
      </c>
      <c r="C5857" s="5">
        <v>1</v>
      </c>
      <c r="D5857" s="6">
        <v>11.68</v>
      </c>
      <c r="E5857" t="s">
        <v>7</v>
      </c>
    </row>
    <row r="5858" spans="1:5" x14ac:dyDescent="0.25">
      <c r="A5858" t="str">
        <f>HYPERLINK("https://www.773grp.com/globalSearch/LM339J/page-1", "LM339J")</f>
        <v>LM339J</v>
      </c>
      <c r="B5858" s="3" t="str">
        <f>HYPERLINK("https://www.773grp.com/manufacturer/texas-instruments?pageNo=587", "Texas Instruments")</f>
        <v>Texas Instruments</v>
      </c>
      <c r="C5858" s="5">
        <v>4037</v>
      </c>
      <c r="D5858" s="6">
        <v>13.25</v>
      </c>
      <c r="E5858" t="s">
        <v>7</v>
      </c>
    </row>
    <row r="5859" spans="1:5" x14ac:dyDescent="0.25">
      <c r="A5859" t="str">
        <f>HYPERLINK("https://www.773grp.com/globalSearch/LT1016CP/page-1", "LT1016CP")</f>
        <v>LT1016CP</v>
      </c>
      <c r="B5859" s="3" t="s">
        <v>90</v>
      </c>
      <c r="C5859" s="5">
        <v>73</v>
      </c>
      <c r="D5859" s="6">
        <v>14.99</v>
      </c>
      <c r="E5859" t="s">
        <v>7</v>
      </c>
    </row>
    <row r="5860" spans="1:5" x14ac:dyDescent="0.25">
      <c r="A5860" t="str">
        <f>HYPERLINK("https://www.773grp.com/globalSearch/LT1016CDR/page-1", "LT1016CDR")</f>
        <v>LT1016CDR</v>
      </c>
      <c r="B5860" s="3" t="s">
        <v>90</v>
      </c>
      <c r="C5860" s="5">
        <v>4881</v>
      </c>
      <c r="D5860" s="6">
        <v>17.59</v>
      </c>
      <c r="E5860" t="s">
        <v>7</v>
      </c>
    </row>
    <row r="5861" spans="1:5" x14ac:dyDescent="0.25">
      <c r="A5861" t="str">
        <f>HYPERLINK("https://www.773grp.com/globalSearch/LM111FKB/page-1", "LM111FKB")</f>
        <v>LM111FKB</v>
      </c>
      <c r="B5861" s="3" t="s">
        <v>90</v>
      </c>
      <c r="C5861" s="5">
        <v>100</v>
      </c>
      <c r="D5861" s="6">
        <v>18.48</v>
      </c>
      <c r="E5861" t="s">
        <v>7</v>
      </c>
    </row>
    <row r="5862" spans="1:5" x14ac:dyDescent="0.25">
      <c r="A5862" t="str">
        <f>HYPERLINK("https://www.773grp.com/globalSearch/LM139AJ/page-1", "LM139AJ")</f>
        <v>LM139AJ</v>
      </c>
      <c r="B5862" s="3" t="s">
        <v>90</v>
      </c>
      <c r="C5862" s="5">
        <v>68</v>
      </c>
      <c r="D5862" s="6">
        <v>18.809999999999999</v>
      </c>
      <c r="E5862" t="s">
        <v>7</v>
      </c>
    </row>
    <row r="5863" spans="1:5" x14ac:dyDescent="0.25">
      <c r="A5863" t="str">
        <f>HYPERLINK("https://www.773grp.com/globalSearch/LT1011ACJG/page-1", "LT1011ACJG")</f>
        <v>LT1011ACJG</v>
      </c>
      <c r="B5863" s="3" t="s">
        <v>90</v>
      </c>
      <c r="C5863" s="5">
        <v>991</v>
      </c>
      <c r="D5863" s="6">
        <v>18.989999999999998</v>
      </c>
      <c r="E5863" t="s">
        <v>7</v>
      </c>
    </row>
    <row r="5864" spans="1:5" x14ac:dyDescent="0.25">
      <c r="A5864" t="str">
        <f>HYPERLINK("https://www.773grp.com/globalSearch/LM139FK/page-1", "LM139FK")</f>
        <v>LM139FK</v>
      </c>
      <c r="B5864" s="3" t="s">
        <v>90</v>
      </c>
      <c r="C5864" s="5">
        <v>643</v>
      </c>
      <c r="D5864" s="6">
        <v>19.350000000000001</v>
      </c>
      <c r="E5864" t="s">
        <v>7</v>
      </c>
    </row>
    <row r="5865" spans="1:5" x14ac:dyDescent="0.25">
      <c r="A5865" t="str">
        <f>HYPERLINK("https://www.773grp.com/globalSearch/LM139J/page-1", "LM139J")</f>
        <v>LM139J</v>
      </c>
      <c r="B5865" s="3" t="s">
        <v>90</v>
      </c>
      <c r="C5865" s="5">
        <v>240</v>
      </c>
      <c r="D5865" s="6">
        <v>21.23</v>
      </c>
      <c r="E5865" t="s">
        <v>7</v>
      </c>
    </row>
    <row r="5866" spans="1:5" x14ac:dyDescent="0.25">
      <c r="A5866" t="str">
        <f>HYPERLINK("https://www.773grp.com/globalSearch/TLV2352MJG/page-1", "TLV2352MJG")</f>
        <v>TLV2352MJG</v>
      </c>
      <c r="B5866" s="3" t="s">
        <v>90</v>
      </c>
      <c r="C5866" s="5">
        <v>1</v>
      </c>
      <c r="D5866" s="6">
        <v>21.31</v>
      </c>
      <c r="E5866" t="s">
        <v>7</v>
      </c>
    </row>
    <row r="5867" spans="1:5" x14ac:dyDescent="0.25">
      <c r="A5867" t="str">
        <f>HYPERLINK("https://www.773grp.com/globalSearch/5962-8773901CA/page-1", "5962-8773901CA")</f>
        <v>5962-8773901CA</v>
      </c>
      <c r="B5867" s="3" t="s">
        <v>90</v>
      </c>
      <c r="C5867" s="5">
        <v>82</v>
      </c>
      <c r="D5867" s="6">
        <v>22.14</v>
      </c>
      <c r="E5867" t="s">
        <v>7</v>
      </c>
    </row>
    <row r="5868" spans="1:5" x14ac:dyDescent="0.25">
      <c r="A5868" t="str">
        <f>HYPERLINK("https://www.773grp.com/globalSearch/LM139AJB/page-1", "LM139AJB")</f>
        <v>LM139AJB</v>
      </c>
      <c r="B5868" s="3" t="s">
        <v>90</v>
      </c>
      <c r="C5868" s="5">
        <v>24</v>
      </c>
      <c r="D5868" s="6">
        <v>22.14</v>
      </c>
      <c r="E5868" t="s">
        <v>7</v>
      </c>
    </row>
    <row r="5869" spans="1:5" x14ac:dyDescent="0.25">
      <c r="A5869" t="str">
        <f>HYPERLINK("https://www.773grp.com/globalSearch/JM38510-10304BPA/page-1", "JM38510-10304BPA")</f>
        <v>JM38510-10304BPA</v>
      </c>
      <c r="B5869" s="3" t="s">
        <v>90</v>
      </c>
      <c r="C5869" s="5">
        <v>1</v>
      </c>
      <c r="D5869" s="6">
        <v>22.19</v>
      </c>
      <c r="E5869" t="s">
        <v>7</v>
      </c>
    </row>
    <row r="5870" spans="1:5" x14ac:dyDescent="0.25">
      <c r="A5870" t="str">
        <f>HYPERLINK("https://www.773grp.com/globalSearch/TLC372MJG/page-1", "TLC372MJG")</f>
        <v>TLC372MJG</v>
      </c>
      <c r="B5870" s="3" t="s">
        <v>90</v>
      </c>
      <c r="C5870" s="5">
        <v>2</v>
      </c>
      <c r="D5870" s="6">
        <v>23.29</v>
      </c>
      <c r="E5870" t="s">
        <v>7</v>
      </c>
    </row>
    <row r="5871" spans="1:5" x14ac:dyDescent="0.25">
      <c r="A5871" t="str">
        <f>HYPERLINK("https://www.773grp.com/globalSearch/LM139AW/page-1", "LM139AW")</f>
        <v>LM139AW</v>
      </c>
      <c r="B5871" s="3" t="s">
        <v>90</v>
      </c>
      <c r="C5871" s="5">
        <v>383</v>
      </c>
      <c r="D5871" s="6">
        <v>24</v>
      </c>
      <c r="E5871" t="s">
        <v>7</v>
      </c>
    </row>
    <row r="5872" spans="1:5" x14ac:dyDescent="0.25">
      <c r="A5872" t="str">
        <f>HYPERLINK("https://www.773grp.com/globalSearch/TLC3702MJG/page-1", "TLC3702MJG")</f>
        <v>TLC3702MJG</v>
      </c>
      <c r="B5872" s="3" t="s">
        <v>90</v>
      </c>
      <c r="C5872" s="5">
        <v>59</v>
      </c>
      <c r="D5872" s="6">
        <v>24.75</v>
      </c>
      <c r="E5872" t="s">
        <v>7</v>
      </c>
    </row>
    <row r="5873" spans="1:5" x14ac:dyDescent="0.25">
      <c r="A5873" t="str">
        <f>HYPERLINK("https://www.773grp.com/globalSearch/5962-9153202QPA/page-1", "5962-9153202QPA")</f>
        <v>5962-9153202QPA</v>
      </c>
      <c r="B5873" s="3" t="s">
        <v>90</v>
      </c>
      <c r="C5873" s="5">
        <v>279</v>
      </c>
      <c r="D5873" s="6">
        <v>24.93</v>
      </c>
      <c r="E5873" t="s">
        <v>7</v>
      </c>
    </row>
    <row r="5874" spans="1:5" x14ac:dyDescent="0.25">
      <c r="A5874" t="str">
        <f>HYPERLINK("https://www.773grp.com/globalSearch/LM193FK/page-1", "LM193FK")</f>
        <v>LM193FK</v>
      </c>
      <c r="B5874" s="3" t="s">
        <v>90</v>
      </c>
      <c r="C5874" s="5">
        <v>3</v>
      </c>
      <c r="D5874" s="6">
        <v>26.13</v>
      </c>
      <c r="E5874" t="s">
        <v>7</v>
      </c>
    </row>
    <row r="5875" spans="1:5" x14ac:dyDescent="0.25">
      <c r="A5875" t="str">
        <f>HYPERLINK("https://www.773grp.com/globalSearch/5962-9555101QPA/page-1", "5962-9555101QPA")</f>
        <v>5962-9555101QPA</v>
      </c>
      <c r="B5875" s="3" t="s">
        <v>90</v>
      </c>
      <c r="C5875" s="5">
        <v>29</v>
      </c>
      <c r="D5875" s="6">
        <v>26.58</v>
      </c>
      <c r="E5875" t="s">
        <v>7</v>
      </c>
    </row>
    <row r="5876" spans="1:5" x14ac:dyDescent="0.25">
      <c r="A5876" t="str">
        <f>HYPERLINK("https://www.773grp.com/globalSearch/TLC193MJGB/page-1", "TLC193MJGB")</f>
        <v>TLC193MJGB</v>
      </c>
      <c r="B5876" s="3" t="s">
        <v>90</v>
      </c>
      <c r="C5876" s="5">
        <v>550</v>
      </c>
      <c r="D5876" s="6">
        <v>26.58</v>
      </c>
      <c r="E5876" t="s">
        <v>7</v>
      </c>
    </row>
    <row r="5877" spans="1:5" x14ac:dyDescent="0.25">
      <c r="A5877" t="str">
        <f>HYPERLINK("https://www.773grp.com/globalSearch/TLC3704MJ/page-1", "TLC3704MJ")</f>
        <v>TLC3704MJ</v>
      </c>
      <c r="B5877" s="3" t="s">
        <v>90</v>
      </c>
      <c r="C5877" s="5">
        <v>191</v>
      </c>
      <c r="D5877" s="6">
        <v>27.25</v>
      </c>
      <c r="E5877" t="s">
        <v>7</v>
      </c>
    </row>
    <row r="5878" spans="1:5" x14ac:dyDescent="0.25">
      <c r="A5878" t="str">
        <f>HYPERLINK("https://www.773grp.com/globalSearch/LM111LB/page-1", "LM111LB")</f>
        <v>LM111LB</v>
      </c>
      <c r="B5878" s="3" t="str">
        <f>HYPERLINK("https://www.773grp.com/manufacturer/texas-instruments?pageNo=10", "Texas Instruments")</f>
        <v>Texas Instruments</v>
      </c>
      <c r="C5878" s="5">
        <v>1916</v>
      </c>
      <c r="D5878" s="6">
        <v>27.43</v>
      </c>
      <c r="E5878" t="s">
        <v>7</v>
      </c>
    </row>
    <row r="5879" spans="1:5" x14ac:dyDescent="0.25">
      <c r="A5879" t="str">
        <f>HYPERLINK("https://www.773grp.com/globalSearch/5962-9688201QCA/page-1", "5962-9688201QCA")</f>
        <v>5962-9688201QCA</v>
      </c>
      <c r="B5879" s="3" t="str">
        <f>HYPERLINK("https://www.773grp.com/manufacturer/texas-instruments?pageNo=181", "Texas Instruments")</f>
        <v>Texas Instruments</v>
      </c>
      <c r="C5879" s="5">
        <v>342</v>
      </c>
      <c r="D5879" s="6">
        <v>28.19</v>
      </c>
      <c r="E5879" t="s">
        <v>7</v>
      </c>
    </row>
    <row r="5880" spans="1:5" x14ac:dyDescent="0.25">
      <c r="A5880" t="str">
        <f>HYPERLINK("https://www.773grp.com/globalSearch/TLV2354MJB/page-1", "TLV2354MJB")</f>
        <v>TLV2354MJB</v>
      </c>
      <c r="B5880" s="3" t="str">
        <f>HYPERLINK("https://www.773grp.com/manufacturer/texas-instruments?pageNo=182", "Texas Instruments")</f>
        <v>Texas Instruments</v>
      </c>
      <c r="C5880" s="5">
        <v>537</v>
      </c>
      <c r="D5880" s="6">
        <v>28.19</v>
      </c>
      <c r="E5880" t="s">
        <v>7</v>
      </c>
    </row>
    <row r="5881" spans="1:5" x14ac:dyDescent="0.25">
      <c r="A5881" t="str">
        <f>HYPERLINK("https://www.773grp.com/globalSearch/5962-8765901CA/page-1", "5962-8765901CA")</f>
        <v>5962-8765901CA</v>
      </c>
      <c r="B5881" s="3" t="str">
        <f>HYPERLINK("https://www.773grp.com/manufacturer/texas-instruments?pageNo=348", "Texas Instruments")</f>
        <v>Texas Instruments</v>
      </c>
      <c r="C5881" s="5">
        <v>397</v>
      </c>
      <c r="D5881" s="6">
        <v>29.4</v>
      </c>
      <c r="E5881" t="s">
        <v>7</v>
      </c>
    </row>
    <row r="5882" spans="1:5" x14ac:dyDescent="0.25">
      <c r="A5882" t="str">
        <f>HYPERLINK("https://www.773grp.com/globalSearch/TLC3704MJB/page-1", "TLC3704MJB")</f>
        <v>TLC3704MJB</v>
      </c>
      <c r="B5882" s="3" t="str">
        <f>HYPERLINK("https://www.773grp.com/manufacturer/texas-instruments?pageNo=856", "Texas Instruments")</f>
        <v>Texas Instruments</v>
      </c>
      <c r="C5882" s="5">
        <v>3830</v>
      </c>
      <c r="D5882" s="6">
        <v>32.51</v>
      </c>
      <c r="E5882" t="s">
        <v>7</v>
      </c>
    </row>
    <row r="5883" spans="1:5" x14ac:dyDescent="0.25">
      <c r="A5883" t="str">
        <f>HYPERLINK("https://www.773grp.com/globalSearch/5962-8773901DA/page-1", "5962-8773901DA")</f>
        <v>5962-8773901DA</v>
      </c>
      <c r="B5883" s="3" t="s">
        <v>90</v>
      </c>
      <c r="C5883" s="5">
        <v>67</v>
      </c>
      <c r="D5883" s="6">
        <v>34.229999999999997</v>
      </c>
      <c r="E5883" t="s">
        <v>7</v>
      </c>
    </row>
    <row r="5884" spans="1:5" x14ac:dyDescent="0.25">
      <c r="A5884" t="str">
        <f>HYPERLINK("https://www.773grp.com/globalSearch/LM139AWB/page-1", "LM139AWB")</f>
        <v>LM139AWB</v>
      </c>
      <c r="B5884" s="3" t="s">
        <v>90</v>
      </c>
      <c r="C5884" s="5">
        <v>33</v>
      </c>
      <c r="D5884" s="6">
        <v>34.229999999999997</v>
      </c>
      <c r="E5884" t="s">
        <v>7</v>
      </c>
    </row>
    <row r="5885" spans="1:5" x14ac:dyDescent="0.25">
      <c r="A5885" t="str">
        <f>HYPERLINK("https://www.773grp.com/globalSearch/7700801DA/page-1", "7700801DA")</f>
        <v>7700801DA</v>
      </c>
      <c r="B5885" s="3" t="s">
        <v>90</v>
      </c>
      <c r="C5885" s="5">
        <v>23</v>
      </c>
      <c r="D5885" s="6">
        <v>34.340000000000003</v>
      </c>
      <c r="E5885" t="s">
        <v>7</v>
      </c>
    </row>
    <row r="5886" spans="1:5" x14ac:dyDescent="0.25">
      <c r="A5886" t="str">
        <f>HYPERLINK("https://www.773grp.com/globalSearch/LM139WB/page-1", "LM139WB")</f>
        <v>LM139WB</v>
      </c>
      <c r="B5886" s="3" t="s">
        <v>90</v>
      </c>
      <c r="C5886" s="5">
        <v>249</v>
      </c>
      <c r="D5886" s="6">
        <v>34.340000000000003</v>
      </c>
      <c r="E5886" t="s">
        <v>7</v>
      </c>
    </row>
    <row r="5887" spans="1:5" x14ac:dyDescent="0.25">
      <c r="A5887" t="str">
        <f>HYPERLINK("https://www.773grp.com/globalSearch/TLC354MN/page-1", "TLC354MN")</f>
        <v>TLC354MN</v>
      </c>
      <c r="B5887" s="3" t="s">
        <v>90</v>
      </c>
      <c r="C5887" s="5">
        <v>919</v>
      </c>
      <c r="D5887" s="6">
        <v>35.15</v>
      </c>
      <c r="E5887" t="s">
        <v>7</v>
      </c>
    </row>
    <row r="5888" spans="1:5" x14ac:dyDescent="0.25">
      <c r="A5888" t="str">
        <f>HYPERLINK("https://www.773grp.com/globalSearch/UC161AJ/page-1", "UC161AJ")</f>
        <v>UC161AJ</v>
      </c>
      <c r="B5888" s="3" t="s">
        <v>90</v>
      </c>
      <c r="C5888" s="5">
        <v>174</v>
      </c>
      <c r="D5888" s="6">
        <v>40.08</v>
      </c>
      <c r="E5888" t="s">
        <v>7</v>
      </c>
    </row>
    <row r="5889" spans="1:5" x14ac:dyDescent="0.25">
      <c r="A5889" t="str">
        <f>HYPERLINK("https://www.773grp.com/globalSearch/LM111JGB/page-1", "LM111JGB")</f>
        <v>LM111JGB</v>
      </c>
      <c r="B5889" s="3" t="s">
        <v>90</v>
      </c>
      <c r="C5889" s="5">
        <v>189</v>
      </c>
      <c r="D5889" s="6">
        <v>40.590000000000003</v>
      </c>
      <c r="E5889" t="s">
        <v>7</v>
      </c>
    </row>
    <row r="5890" spans="1:5" x14ac:dyDescent="0.25">
      <c r="A5890" t="str">
        <f>HYPERLINK("https://www.773grp.com/globalSearch/TLC3702MFKB/page-1", "TLC3702MFKB")</f>
        <v>TLC3702MFKB</v>
      </c>
      <c r="B5890" s="3" t="s">
        <v>90</v>
      </c>
      <c r="C5890" s="5">
        <v>75</v>
      </c>
      <c r="D5890" s="6">
        <v>43.93</v>
      </c>
      <c r="E5890" t="s">
        <v>7</v>
      </c>
    </row>
    <row r="5891" spans="1:5" x14ac:dyDescent="0.25">
      <c r="A5891" t="str">
        <f>HYPERLINK("https://www.773grp.com/globalSearch/5962-7700801VCA/page-1", "5962-7700801VCA")</f>
        <v>5962-7700801VCA</v>
      </c>
      <c r="B5891" s="3" t="s">
        <v>90</v>
      </c>
      <c r="C5891" s="5">
        <v>18</v>
      </c>
      <c r="D5891" s="6">
        <v>44.16</v>
      </c>
      <c r="E5891" t="s">
        <v>7</v>
      </c>
    </row>
    <row r="5892" spans="1:5" x14ac:dyDescent="0.25">
      <c r="A5892" t="str">
        <f>HYPERLINK("https://www.773grp.com/globalSearch/5962-9688201QDA/page-1", "5962-9688201QDA")</f>
        <v>5962-9688201QDA</v>
      </c>
      <c r="B5892" s="3" t="s">
        <v>90</v>
      </c>
      <c r="C5892" s="5">
        <v>20</v>
      </c>
      <c r="D5892" s="6">
        <v>45.18</v>
      </c>
      <c r="E5892" t="s">
        <v>7</v>
      </c>
    </row>
    <row r="5893" spans="1:5" x14ac:dyDescent="0.25">
      <c r="A5893" t="str">
        <f>HYPERLINK("https://www.773grp.com/globalSearch/TLC372MUB/page-1", "TLC372MUB")</f>
        <v>TLC372MUB</v>
      </c>
      <c r="B5893" s="3" t="s">
        <v>90</v>
      </c>
      <c r="C5893" s="5">
        <v>906</v>
      </c>
      <c r="D5893" s="6">
        <v>48.38</v>
      </c>
      <c r="E5893" t="s">
        <v>7</v>
      </c>
    </row>
    <row r="5894" spans="1:5" x14ac:dyDescent="0.25">
      <c r="A5894" t="str">
        <f>HYPERLINK("https://www.773grp.com/globalSearch/5962-9452601QPA/page-1", "5962-9452601QPA")</f>
        <v>5962-9452601QPA</v>
      </c>
      <c r="B5894" s="3" t="s">
        <v>90</v>
      </c>
      <c r="C5894" s="5">
        <v>74</v>
      </c>
      <c r="D5894" s="6">
        <v>49.7</v>
      </c>
      <c r="E5894" t="s">
        <v>7</v>
      </c>
    </row>
    <row r="5895" spans="1:5" x14ac:dyDescent="0.25">
      <c r="A5895" t="str">
        <f>HYPERLINK("https://www.773grp.com/globalSearch/LM193JGB/page-1", "LM193JGB")</f>
        <v>LM193JGB</v>
      </c>
      <c r="B5895" s="3" t="s">
        <v>90</v>
      </c>
      <c r="C5895" s="5">
        <v>596</v>
      </c>
      <c r="D5895" s="6">
        <v>49.7</v>
      </c>
      <c r="E5895" t="s">
        <v>7</v>
      </c>
    </row>
    <row r="5896" spans="1:5" x14ac:dyDescent="0.25">
      <c r="A5896" t="str">
        <f>HYPERLINK("https://www.773grp.com/globalSearch/5962-9688201Q2A/page-1", "5962-9688201Q2A")</f>
        <v>5962-9688201Q2A</v>
      </c>
      <c r="B5896" s="3" t="s">
        <v>90</v>
      </c>
      <c r="C5896" s="5">
        <v>80</v>
      </c>
      <c r="D5896" s="6">
        <v>50.96</v>
      </c>
      <c r="E5896" t="s">
        <v>7</v>
      </c>
    </row>
    <row r="5897" spans="1:5" x14ac:dyDescent="0.25">
      <c r="A5897" t="str">
        <f>HYPERLINK("https://www.773grp.com/globalSearch/TLV2354MFKB/page-1", "TLV2354MFKB")</f>
        <v>TLV2354MFKB</v>
      </c>
      <c r="B5897" s="3" t="s">
        <v>90</v>
      </c>
      <c r="C5897" s="5">
        <v>4</v>
      </c>
      <c r="D5897" s="6">
        <v>50.96</v>
      </c>
      <c r="E5897" t="s">
        <v>7</v>
      </c>
    </row>
    <row r="5898" spans="1:5" x14ac:dyDescent="0.25">
      <c r="A5898" t="str">
        <f>HYPERLINK("https://www.773grp.com/globalSearch/5962-87739012A/page-1", "5962-87739012A")</f>
        <v>5962-87739012A</v>
      </c>
      <c r="B5898" s="3" t="s">
        <v>90</v>
      </c>
      <c r="C5898" s="5">
        <v>1114</v>
      </c>
      <c r="D5898" s="6">
        <v>51.94</v>
      </c>
      <c r="E5898" t="s">
        <v>7</v>
      </c>
    </row>
    <row r="5899" spans="1:5" x14ac:dyDescent="0.25">
      <c r="A5899" t="str">
        <f>HYPERLINK("https://www.773grp.com/globalSearch/TLC374MFKB/page-1", "TLC374MFKB")</f>
        <v>TLC374MFKB</v>
      </c>
      <c r="B5899" s="3" t="s">
        <v>90</v>
      </c>
      <c r="C5899" s="5">
        <v>11</v>
      </c>
      <c r="D5899" s="6">
        <v>53.29</v>
      </c>
      <c r="E5899" t="s">
        <v>7</v>
      </c>
    </row>
    <row r="5900" spans="1:5" x14ac:dyDescent="0.25">
      <c r="A5900" t="str">
        <f>HYPERLINK("https://www.773grp.com/globalSearch/5962-87659022A/page-1", "5962-87659022A")</f>
        <v>5962-87659022A</v>
      </c>
      <c r="B5900" s="3" t="s">
        <v>90</v>
      </c>
      <c r="C5900" s="5">
        <v>17</v>
      </c>
      <c r="D5900" s="6">
        <v>53.38</v>
      </c>
      <c r="E5900" t="s">
        <v>7</v>
      </c>
    </row>
    <row r="5901" spans="1:5" x14ac:dyDescent="0.25">
      <c r="A5901" t="str">
        <f>HYPERLINK("https://www.773grp.com/globalSearch/TLC139MJ/page-1", "TLC139MJ")</f>
        <v>TLC139MJ</v>
      </c>
      <c r="B5901" s="3" t="s">
        <v>90</v>
      </c>
      <c r="C5901" s="5">
        <v>162</v>
      </c>
      <c r="D5901" s="6">
        <v>53.38</v>
      </c>
      <c r="E5901" t="s">
        <v>7</v>
      </c>
    </row>
    <row r="5902" spans="1:5" x14ac:dyDescent="0.25">
      <c r="A5902" t="str">
        <f>HYPERLINK("https://www.773grp.com/globalSearch/5962-9096901M2A/page-1", "5962-9096901M2A")</f>
        <v>5962-9096901M2A</v>
      </c>
      <c r="B5902" s="3" t="s">
        <v>90</v>
      </c>
      <c r="C5902" s="5">
        <v>6</v>
      </c>
      <c r="D5902" s="6">
        <v>53.53</v>
      </c>
      <c r="E5902" t="s">
        <v>7</v>
      </c>
    </row>
    <row r="5903" spans="1:5" x14ac:dyDescent="0.25">
      <c r="A5903" t="str">
        <f>HYPERLINK("https://www.773grp.com/globalSearch/TLC3704MFKB/page-1", "TLC3704MFKB")</f>
        <v>TLC3704MFKB</v>
      </c>
      <c r="B5903" s="3" t="s">
        <v>90</v>
      </c>
      <c r="C5903" s="5">
        <v>63</v>
      </c>
      <c r="D5903" s="6">
        <v>53.53</v>
      </c>
      <c r="E5903" t="s">
        <v>7</v>
      </c>
    </row>
    <row r="5904" spans="1:5" x14ac:dyDescent="0.25">
      <c r="A5904" t="str">
        <f>HYPERLINK("https://www.773grp.com/globalSearch/TSC2046IPW/page-1", "TSC2046IPW")</f>
        <v>TSC2046IPW</v>
      </c>
      <c r="B5904" s="3" t="str">
        <f>HYPERLINK("https://www.773grp.com/manufacturer/texas-instruments?pageNo=799", "Texas Instruments")</f>
        <v>Texas Instruments</v>
      </c>
      <c r="C5904" s="5">
        <v>2187</v>
      </c>
      <c r="D5904" s="6">
        <v>3.68</v>
      </c>
      <c r="E5904" t="s">
        <v>20</v>
      </c>
    </row>
    <row r="5905" spans="1:5" x14ac:dyDescent="0.25">
      <c r="A5905" t="str">
        <f>HYPERLINK("https://www.773grp.com/globalSearch/TSC2046IRGVT/page-1", "TSC2046IRGVT")</f>
        <v>TSC2046IRGVT</v>
      </c>
      <c r="B5905" s="3" t="str">
        <f>HYPERLINK("https://www.773grp.com/manufacturer/texas-instruments?pageNo=800", "Texas Instruments")</f>
        <v>Texas Instruments</v>
      </c>
      <c r="C5905" s="5">
        <v>14490</v>
      </c>
      <c r="D5905" s="6">
        <v>3.68</v>
      </c>
      <c r="E5905" t="s">
        <v>20</v>
      </c>
    </row>
    <row r="5906" spans="1:5" x14ac:dyDescent="0.25">
      <c r="A5906" t="str">
        <f>HYPERLINK("https://www.773grp.com/globalSearch/SN75DP119RGYR/page-1", "SN75DP119RGYR")</f>
        <v>SN75DP119RGYR</v>
      </c>
      <c r="B5906" s="3" t="str">
        <f>HYPERLINK("https://www.773grp.com/manufacturer/texas-instruments?pageNo=24", "Texas Instruments")</f>
        <v>Texas Instruments</v>
      </c>
      <c r="C5906" s="5">
        <v>153000</v>
      </c>
      <c r="D5906" s="6">
        <v>4.2300000000000004</v>
      </c>
      <c r="E5906" t="s">
        <v>20</v>
      </c>
    </row>
    <row r="5907" spans="1:5" x14ac:dyDescent="0.25">
      <c r="A5907" t="str">
        <f>HYPERLINK("https://www.773grp.com/globalSearch/TSC2046IZQCR-90/page-1", "TSC2046IZQCR-90")</f>
        <v>TSC2046IZQCR-90</v>
      </c>
      <c r="B5907" s="3" t="str">
        <f>HYPERLINK("https://www.773grp.com/manufacturer/texas-instruments?pageNo=517", "Texas Instruments")</f>
        <v>Texas Instruments</v>
      </c>
      <c r="C5907" s="5">
        <v>140000</v>
      </c>
      <c r="D5907" s="6">
        <v>3.91</v>
      </c>
      <c r="E5907" t="s">
        <v>20</v>
      </c>
    </row>
    <row r="5908" spans="1:5" x14ac:dyDescent="0.25">
      <c r="A5908" t="str">
        <f>HYPERLINK("https://www.773grp.com/globalSearch/TSC2046IZQCT/page-1", "TSC2046IZQCT")</f>
        <v>TSC2046IZQCT</v>
      </c>
      <c r="B5908" s="3" t="str">
        <f>HYPERLINK("https://www.773grp.com/manufacturer/texas-instruments?pageNo=518", "Texas Instruments")</f>
        <v>Texas Instruments</v>
      </c>
      <c r="C5908" s="5">
        <v>10500</v>
      </c>
      <c r="D5908" s="6">
        <v>3.91</v>
      </c>
      <c r="E5908" t="s">
        <v>20</v>
      </c>
    </row>
    <row r="5909" spans="1:5" x14ac:dyDescent="0.25">
      <c r="A5909" t="str">
        <f>HYPERLINK("https://www.773grp.com/globalSearch/SN75DP118RHHT/page-1", "SN75DP118RHHT")</f>
        <v>SN75DP118RHHT</v>
      </c>
      <c r="B5909" s="3" t="str">
        <f>HYPERLINK("https://www.773grp.com/manufacturer/texas-instruments?pageNo=600", "Texas Instruments")</f>
        <v>Texas Instruments</v>
      </c>
      <c r="C5909" s="5">
        <v>10250</v>
      </c>
      <c r="D5909" s="6">
        <v>3.94</v>
      </c>
      <c r="E5909" t="s">
        <v>20</v>
      </c>
    </row>
    <row r="5910" spans="1:5" x14ac:dyDescent="0.25">
      <c r="A5910" t="str">
        <f>HYPERLINK("https://www.773grp.com/globalSearch/TSC2046EIRGVR/page-1", "TSC2046EIRGVR")</f>
        <v>TSC2046EIRGVR</v>
      </c>
      <c r="B5910" s="3" t="s">
        <v>90</v>
      </c>
      <c r="C5910" s="5">
        <v>27470</v>
      </c>
      <c r="D5910" s="6">
        <v>4.49</v>
      </c>
      <c r="E5910" t="s">
        <v>20</v>
      </c>
    </row>
    <row r="5911" spans="1:5" x14ac:dyDescent="0.25">
      <c r="A5911" t="str">
        <f>HYPERLINK("https://www.773grp.com/globalSearch/TMDS361PAGR/page-1", "TMDS361PAGR")</f>
        <v>TMDS361PAGR</v>
      </c>
      <c r="B5911" s="3" t="s">
        <v>90</v>
      </c>
      <c r="C5911" s="5">
        <v>13500</v>
      </c>
      <c r="D5911" s="6">
        <v>4.09</v>
      </c>
      <c r="E5911" t="s">
        <v>20</v>
      </c>
    </row>
    <row r="5912" spans="1:5" x14ac:dyDescent="0.25">
      <c r="A5912" t="str">
        <f>HYPERLINK("https://www.773grp.com/globalSearch/SN75DP129RHHT/page-1", "SN75DP129RHHT")</f>
        <v>SN75DP129RHHT</v>
      </c>
      <c r="B5912" s="3" t="s">
        <v>90</v>
      </c>
      <c r="C5912" s="5">
        <v>293</v>
      </c>
      <c r="D5912" s="6">
        <v>4.2300000000000004</v>
      </c>
      <c r="E5912" t="s">
        <v>20</v>
      </c>
    </row>
    <row r="5913" spans="1:5" x14ac:dyDescent="0.25">
      <c r="A5913" t="str">
        <f>HYPERLINK("https://www.773grp.com/globalSearch/DIT4096IPWR/page-1", "DIT4096IPWR")</f>
        <v>DIT4096IPWR</v>
      </c>
      <c r="B5913" s="3" t="s">
        <v>90</v>
      </c>
      <c r="C5913" s="5">
        <v>2000</v>
      </c>
      <c r="D5913" s="6">
        <v>4.28</v>
      </c>
      <c r="E5913" t="s">
        <v>20</v>
      </c>
    </row>
    <row r="5914" spans="1:5" x14ac:dyDescent="0.25">
      <c r="A5914" t="str">
        <f>HYPERLINK("https://www.773grp.com/globalSearch/TSC2046EIZQCR/page-1", "TSC2046EIZQCR")</f>
        <v>TSC2046EIZQCR</v>
      </c>
      <c r="B5914" s="3" t="s">
        <v>90</v>
      </c>
      <c r="C5914" s="5">
        <v>2500</v>
      </c>
      <c r="D5914" s="6">
        <v>4.74</v>
      </c>
      <c r="E5914" t="s">
        <v>20</v>
      </c>
    </row>
    <row r="5915" spans="1:5" x14ac:dyDescent="0.25">
      <c r="A5915" t="str">
        <f>HYPERLINK("https://www.773grp.com/globalSearch/TLV320ADC3101IRGER/page-1", "TLV320ADC3101IRGER")</f>
        <v>TLV320ADC3101IRGER</v>
      </c>
      <c r="B5915" s="3" t="s">
        <v>90</v>
      </c>
      <c r="C5915" s="5">
        <v>9000</v>
      </c>
      <c r="D5915" s="6">
        <v>4.3499999999999996</v>
      </c>
      <c r="E5915" t="s">
        <v>20</v>
      </c>
    </row>
    <row r="5916" spans="1:5" x14ac:dyDescent="0.25">
      <c r="A5916" t="str">
        <f>HYPERLINK("https://www.773grp.com/globalSearch/TMDS250PAGR/page-1", "TMDS250PAGR")</f>
        <v>TMDS250PAGR</v>
      </c>
      <c r="B5916" s="3" t="str">
        <f>HYPERLINK("https://www.773grp.com/manufacturer/texas-instruments?pageNo=385", "Texas Instruments")</f>
        <v>Texas Instruments</v>
      </c>
      <c r="C5916" s="5">
        <v>49500</v>
      </c>
      <c r="D5916" s="6">
        <v>4.5</v>
      </c>
      <c r="E5916" t="s">
        <v>20</v>
      </c>
    </row>
    <row r="5917" spans="1:5" x14ac:dyDescent="0.25">
      <c r="A5917" t="str">
        <f>HYPERLINK("https://www.773grp.com/globalSearch/SN75DP119RGYT/page-1", "SN75DP119RGYT")</f>
        <v>SN75DP119RGYT</v>
      </c>
      <c r="B5917" s="3" t="str">
        <f>HYPERLINK("https://www.773grp.com/manufacturer/texas-instruments?pageNo=564", "Texas Instruments")</f>
        <v>Texas Instruments</v>
      </c>
      <c r="C5917" s="5">
        <v>2208</v>
      </c>
      <c r="D5917" s="6">
        <v>5.01</v>
      </c>
      <c r="E5917" t="s">
        <v>20</v>
      </c>
    </row>
    <row r="5918" spans="1:5" x14ac:dyDescent="0.25">
      <c r="A5918" t="str">
        <f>HYPERLINK("https://www.773grp.com/globalSearch/TMDS261BPAG/page-1", "TMDS261BPAG")</f>
        <v>TMDS261BPAG</v>
      </c>
      <c r="B5918" s="3" t="s">
        <v>90</v>
      </c>
      <c r="C5918" s="5">
        <v>160</v>
      </c>
      <c r="D5918" s="6">
        <v>4.6399999999999997</v>
      </c>
      <c r="E5918" t="s">
        <v>20</v>
      </c>
    </row>
    <row r="5919" spans="1:5" x14ac:dyDescent="0.25">
      <c r="A5919" t="str">
        <f>HYPERLINK("https://www.773grp.com/globalSearch/TMDS261PAGR/page-1", "TMDS261PAGR")</f>
        <v>TMDS261PAGR</v>
      </c>
      <c r="B5919" s="3" t="s">
        <v>90</v>
      </c>
      <c r="C5919" s="5">
        <v>39000</v>
      </c>
      <c r="D5919" s="6">
        <v>4.78</v>
      </c>
      <c r="E5919" t="s">
        <v>20</v>
      </c>
    </row>
    <row r="5920" spans="1:5" x14ac:dyDescent="0.25">
      <c r="A5920" t="str">
        <f>HYPERLINK("https://www.773grp.com/globalSearch/TAS5086DBTR/page-1", "TAS5086DBTR")</f>
        <v>TAS5086DBTR</v>
      </c>
      <c r="B5920" s="3" t="s">
        <v>90</v>
      </c>
      <c r="C5920" s="5">
        <v>30000</v>
      </c>
      <c r="D5920" s="6">
        <v>4.8099999999999996</v>
      </c>
      <c r="E5920" t="s">
        <v>20</v>
      </c>
    </row>
    <row r="5921" spans="1:5" x14ac:dyDescent="0.25">
      <c r="A5921" t="str">
        <f>HYPERLINK("https://www.773grp.com/globalSearch/TSC2004IRTJR/page-1", "TSC2004IRTJR")</f>
        <v>TSC2004IRTJR</v>
      </c>
      <c r="B5921" s="3" t="s">
        <v>90</v>
      </c>
      <c r="C5921" s="5">
        <v>75000</v>
      </c>
      <c r="D5921" s="6">
        <v>4.93</v>
      </c>
      <c r="E5921" t="s">
        <v>20</v>
      </c>
    </row>
    <row r="5922" spans="1:5" x14ac:dyDescent="0.25">
      <c r="A5922" t="str">
        <f>HYPERLINK("https://www.773grp.com/globalSearch/TSC2006IRTJR/page-1", "TSC2006IRTJR")</f>
        <v>TSC2006IRTJR</v>
      </c>
      <c r="B5922" s="3" t="s">
        <v>90</v>
      </c>
      <c r="C5922" s="5">
        <v>192000</v>
      </c>
      <c r="D5922" s="6">
        <v>4.93</v>
      </c>
      <c r="E5922" t="s">
        <v>20</v>
      </c>
    </row>
    <row r="5923" spans="1:5" x14ac:dyDescent="0.25">
      <c r="A5923" t="str">
        <f>HYPERLINK("https://www.773grp.com/globalSearch/TSC2007IPWR/page-1", "TSC2007IPWR")</f>
        <v>TSC2007IPWR</v>
      </c>
      <c r="B5923" s="3" t="s">
        <v>90</v>
      </c>
      <c r="C5923" s="5">
        <v>49014</v>
      </c>
      <c r="D5923" s="6">
        <v>4.93</v>
      </c>
      <c r="E5923" t="s">
        <v>20</v>
      </c>
    </row>
    <row r="5924" spans="1:5" x14ac:dyDescent="0.25">
      <c r="A5924" t="str">
        <f>HYPERLINK("https://www.773grp.com/globalSearch/TSC2008IRGVT/page-1", "TSC2008IRGVT")</f>
        <v>TSC2008IRGVT</v>
      </c>
      <c r="B5924" s="3" t="s">
        <v>90</v>
      </c>
      <c r="C5924" s="5">
        <v>2616</v>
      </c>
      <c r="D5924" s="6">
        <v>4.93</v>
      </c>
      <c r="E5924" t="s">
        <v>20</v>
      </c>
    </row>
    <row r="5925" spans="1:5" x14ac:dyDescent="0.25">
      <c r="A5925" t="str">
        <f>HYPERLINK("https://www.773grp.com/globalSearch/DIR9001PWR/page-1", "DIR9001PWR")</f>
        <v>DIR9001PWR</v>
      </c>
      <c r="B5925" s="3" t="s">
        <v>90</v>
      </c>
      <c r="C5925" s="5">
        <v>2000</v>
      </c>
      <c r="D5925" s="6">
        <v>5.0599999999999996</v>
      </c>
      <c r="E5925" t="s">
        <v>20</v>
      </c>
    </row>
    <row r="5926" spans="1:5" x14ac:dyDescent="0.25">
      <c r="A5926" t="str">
        <f>HYPERLINK("https://www.773grp.com/globalSearch/DIT4096IPW/page-1", "DIT4096IPW")</f>
        <v>DIT4096IPW</v>
      </c>
      <c r="B5926" s="3" t="s">
        <v>90</v>
      </c>
      <c r="C5926" s="5">
        <v>387</v>
      </c>
      <c r="D5926" s="6">
        <v>5.1100000000000003</v>
      </c>
      <c r="E5926" t="s">
        <v>20</v>
      </c>
    </row>
    <row r="5927" spans="1:5" x14ac:dyDescent="0.25">
      <c r="A5927" t="str">
        <f>HYPERLINK("https://www.773grp.com/globalSearch/DIR1701E/page-1", "DIR1701E")</f>
        <v>DIR1701E</v>
      </c>
      <c r="B5927" s="3" t="s">
        <v>90</v>
      </c>
      <c r="C5927" s="5">
        <v>6408</v>
      </c>
      <c r="D5927" s="6">
        <v>5.35</v>
      </c>
      <c r="E5927" t="s">
        <v>20</v>
      </c>
    </row>
    <row r="5928" spans="1:5" x14ac:dyDescent="0.25">
      <c r="A5928" t="str">
        <f>HYPERLINK("https://www.773grp.com/globalSearch/DIR1703E/page-1", "DIR1703E")</f>
        <v>DIR1703E</v>
      </c>
      <c r="B5928" s="3" t="s">
        <v>90</v>
      </c>
      <c r="C5928" s="5">
        <v>2758</v>
      </c>
      <c r="D5928" s="6">
        <v>5.35</v>
      </c>
      <c r="E5928" t="s">
        <v>20</v>
      </c>
    </row>
    <row r="5929" spans="1:5" x14ac:dyDescent="0.25">
      <c r="A5929" t="str">
        <f>HYPERLINK("https://www.773grp.com/globalSearch/DIR1703E/page-1", "DIR1703E")</f>
        <v>DIR1703E</v>
      </c>
      <c r="B5929" s="3" t="s">
        <v>90</v>
      </c>
      <c r="C5929" s="5">
        <v>4982</v>
      </c>
      <c r="D5929" s="6">
        <v>5.35</v>
      </c>
      <c r="E5929" t="s">
        <v>20</v>
      </c>
    </row>
    <row r="5930" spans="1:5" x14ac:dyDescent="0.25">
      <c r="A5930" t="str">
        <f>HYPERLINK("https://www.773grp.com/globalSearch/SN75DP122RTQR/page-1", "SN75DP122RTQR")</f>
        <v>SN75DP122RTQR</v>
      </c>
      <c r="B5930" s="3" t="s">
        <v>90</v>
      </c>
      <c r="C5930" s="5">
        <v>77915</v>
      </c>
      <c r="D5930" s="6">
        <v>5.35</v>
      </c>
      <c r="E5930" t="s">
        <v>20</v>
      </c>
    </row>
    <row r="5931" spans="1:5" x14ac:dyDescent="0.25">
      <c r="A5931" t="str">
        <f>HYPERLINK("https://www.773grp.com/globalSearch/TLC320AD91CPT/page-1", "TLC320AD91CPT")</f>
        <v>TLC320AD91CPT</v>
      </c>
      <c r="B5931" s="3" t="s">
        <v>90</v>
      </c>
      <c r="C5931" s="5">
        <v>396</v>
      </c>
      <c r="D5931" s="6">
        <v>5.45</v>
      </c>
      <c r="E5931" t="s">
        <v>20</v>
      </c>
    </row>
    <row r="5932" spans="1:5" x14ac:dyDescent="0.25">
      <c r="A5932" t="str">
        <f>HYPERLINK("https://www.773grp.com/globalSearch/TSC2004IYZKR/page-1", "TSC2004IYZKR")</f>
        <v>TSC2004IYZKR</v>
      </c>
      <c r="B5932" s="3" t="s">
        <v>90</v>
      </c>
      <c r="C5932" s="5">
        <v>439145</v>
      </c>
      <c r="D5932" s="6">
        <v>5.49</v>
      </c>
      <c r="E5932" t="s">
        <v>20</v>
      </c>
    </row>
    <row r="5933" spans="1:5" x14ac:dyDescent="0.25">
      <c r="A5933" t="str">
        <f>HYPERLINK("https://www.773grp.com/globalSearch/TAS5086DBT/page-1", "TAS5086DBT")</f>
        <v>TAS5086DBT</v>
      </c>
      <c r="B5933" s="3" t="s">
        <v>90</v>
      </c>
      <c r="C5933" s="5">
        <v>2322</v>
      </c>
      <c r="D5933" s="6">
        <v>5.78</v>
      </c>
      <c r="E5933" t="s">
        <v>20</v>
      </c>
    </row>
    <row r="5934" spans="1:5" x14ac:dyDescent="0.25">
      <c r="A5934" t="str">
        <f>HYPERLINK("https://www.773grp.com/globalSearch/TSC2004IRTJT/page-1", "TSC2004IRTJT")</f>
        <v>TSC2004IRTJT</v>
      </c>
      <c r="B5934" s="3" t="s">
        <v>90</v>
      </c>
      <c r="C5934" s="5">
        <v>5750</v>
      </c>
      <c r="D5934" s="6">
        <v>5.78</v>
      </c>
      <c r="E5934" t="s">
        <v>20</v>
      </c>
    </row>
    <row r="5935" spans="1:5" x14ac:dyDescent="0.25">
      <c r="A5935" t="str">
        <f>HYPERLINK("https://www.773grp.com/globalSearch/TSC2006IRTJT/page-1", "TSC2006IRTJT")</f>
        <v>TSC2006IRTJT</v>
      </c>
      <c r="B5935" s="3" t="s">
        <v>90</v>
      </c>
      <c r="C5935" s="5">
        <v>1975</v>
      </c>
      <c r="D5935" s="6">
        <v>5.78</v>
      </c>
      <c r="E5935" t="s">
        <v>20</v>
      </c>
    </row>
    <row r="5936" spans="1:5" x14ac:dyDescent="0.25">
      <c r="A5936" t="str">
        <f>HYPERLINK("https://www.773grp.com/globalSearch/SN75DP122RTQT/page-1", "SN75DP122RTQT")</f>
        <v>SN75DP122RTQT</v>
      </c>
      <c r="B5936" s="3" t="s">
        <v>90</v>
      </c>
      <c r="C5936" s="5">
        <v>5275</v>
      </c>
      <c r="D5936" s="6">
        <v>6.19</v>
      </c>
      <c r="E5936" t="s">
        <v>20</v>
      </c>
    </row>
    <row r="5937" spans="1:5" x14ac:dyDescent="0.25">
      <c r="A5937" t="str">
        <f>HYPERLINK("https://www.773grp.com/globalSearch/TSC2007IYZGT/page-1", "TSC2007IYZGT")</f>
        <v>TSC2007IYZGT</v>
      </c>
      <c r="B5937" s="3" t="s">
        <v>90</v>
      </c>
      <c r="C5937" s="5">
        <v>1212</v>
      </c>
      <c r="D5937" s="6">
        <v>6.33</v>
      </c>
      <c r="E5937" t="s">
        <v>20</v>
      </c>
    </row>
    <row r="5938" spans="1:5" x14ac:dyDescent="0.25">
      <c r="A5938" t="str">
        <f>HYPERLINK("https://www.773grp.com/globalSearch/TRF7961RHBR/page-1", "TRF7961RHBR")</f>
        <v>TRF7961RHBR</v>
      </c>
      <c r="B5938" s="3" t="str">
        <f>HYPERLINK("https://www.773grp.com/manufacturer/texas-instruments?pageNo=143", "Texas Instruments")</f>
        <v>Texas Instruments</v>
      </c>
      <c r="C5938" s="5">
        <v>3000</v>
      </c>
      <c r="D5938" s="6">
        <v>6.46</v>
      </c>
      <c r="E5938" t="s">
        <v>20</v>
      </c>
    </row>
    <row r="5939" spans="1:5" x14ac:dyDescent="0.25">
      <c r="A5939" t="str">
        <f>HYPERLINK("https://www.773grp.com/globalSearch/TWL1106PWR/page-1", "TWL1106PWR")</f>
        <v>TWL1106PWR</v>
      </c>
      <c r="B5939" s="3" t="str">
        <f>HYPERLINK("https://www.773grp.com/manufacturer/texas-instruments?pageNo=144", "Texas Instruments")</f>
        <v>Texas Instruments</v>
      </c>
      <c r="C5939" s="5">
        <v>22000</v>
      </c>
      <c r="D5939" s="6">
        <v>6.46</v>
      </c>
      <c r="E5939" t="s">
        <v>20</v>
      </c>
    </row>
    <row r="5940" spans="1:5" x14ac:dyDescent="0.25">
      <c r="A5940" t="str">
        <f>HYPERLINK("https://www.773grp.com/globalSearch/TWL1107PWR/page-1", "TWL1107PWR")</f>
        <v>TWL1107PWR</v>
      </c>
      <c r="B5940" s="3" t="str">
        <f>HYPERLINK("https://www.773grp.com/manufacturer/texas-instruments?pageNo=145", "Texas Instruments")</f>
        <v>Texas Instruments</v>
      </c>
      <c r="C5940" s="5">
        <v>1452</v>
      </c>
      <c r="D5940" s="6">
        <v>6.46</v>
      </c>
      <c r="E5940" t="s">
        <v>20</v>
      </c>
    </row>
    <row r="5941" spans="1:5" x14ac:dyDescent="0.25">
      <c r="A5941" t="str">
        <f>HYPERLINK("https://www.773grp.com/globalSearch/DIT4192IPW/page-1", "DIT4192IPW")</f>
        <v>DIT4192IPW</v>
      </c>
      <c r="B5941" s="3" t="str">
        <f>HYPERLINK("https://www.773grp.com/manufacturer/texas-instruments?pageNo=453", "Texas Instruments")</f>
        <v>Texas Instruments</v>
      </c>
      <c r="C5941" s="5">
        <v>5</v>
      </c>
      <c r="D5941" s="6">
        <v>6.75</v>
      </c>
      <c r="E5941" t="s">
        <v>20</v>
      </c>
    </row>
    <row r="5942" spans="1:5" x14ac:dyDescent="0.25">
      <c r="A5942" t="str">
        <f>HYPERLINK("https://www.773grp.com/globalSearch/DIT4192IPW/page-1", "DIT4192IPW")</f>
        <v>DIT4192IPW</v>
      </c>
      <c r="B5942" s="3" t="str">
        <f>HYPERLINK("https://www.773grp.com/manufacturer/texas-instruments?pageNo=454", "Texas Instruments")</f>
        <v>Texas Instruments</v>
      </c>
      <c r="C5942" s="5">
        <v>50</v>
      </c>
      <c r="D5942" s="6">
        <v>6.75</v>
      </c>
      <c r="E5942" t="s">
        <v>20</v>
      </c>
    </row>
    <row r="5943" spans="1:5" x14ac:dyDescent="0.25">
      <c r="A5943" t="str">
        <f>HYPERLINK("https://www.773grp.com/globalSearch/TCM320AC36CN/page-1", "TCM320AC36CN")</f>
        <v>TCM320AC36CN</v>
      </c>
      <c r="B5943" s="3" t="str">
        <f>HYPERLINK("https://www.773grp.com/manufacturer/texas-instruments?pageNo=502", "Texas Instruments")</f>
        <v>Texas Instruments</v>
      </c>
      <c r="C5943" s="5">
        <v>1733</v>
      </c>
      <c r="D5943" s="6">
        <v>6.75</v>
      </c>
      <c r="E5943" t="s">
        <v>20</v>
      </c>
    </row>
    <row r="5944" spans="1:5" x14ac:dyDescent="0.25">
      <c r="A5944" t="str">
        <f>HYPERLINK("https://www.773grp.com/globalSearch/TCM320AC37CN/page-1", "TCM320AC37CN")</f>
        <v>TCM320AC37CN</v>
      </c>
      <c r="B5944" s="3" t="str">
        <f>HYPERLINK("https://www.773grp.com/manufacturer/texas-instruments?pageNo=503", "Texas Instruments")</f>
        <v>Texas Instruments</v>
      </c>
      <c r="C5944" s="5">
        <v>351</v>
      </c>
      <c r="D5944" s="6">
        <v>6.75</v>
      </c>
      <c r="E5944" t="s">
        <v>20</v>
      </c>
    </row>
    <row r="5945" spans="1:5" x14ac:dyDescent="0.25">
      <c r="A5945" t="str">
        <f>HYPERLINK("https://www.773grp.com/globalSearch/TLV320AIC10CGQER/page-1", "TLV320AIC10CGQER")</f>
        <v>TLV320AIC10CGQER</v>
      </c>
      <c r="B5945" s="3" t="str">
        <f>HYPERLINK("https://www.773grp.com/manufacturer/texas-instruments?pageNo=519", "Texas Instruments")</f>
        <v>Texas Instruments</v>
      </c>
      <c r="C5945" s="5">
        <v>2250</v>
      </c>
      <c r="D5945" s="6">
        <v>6.75</v>
      </c>
      <c r="E5945" t="s">
        <v>20</v>
      </c>
    </row>
    <row r="5946" spans="1:5" x14ac:dyDescent="0.25">
      <c r="A5946" t="str">
        <f>HYPERLINK("https://www.773grp.com/globalSearch/TRF7900APW/page-1", "TRF7900APW")</f>
        <v>TRF7900APW</v>
      </c>
      <c r="B5946" s="3" t="str">
        <f>HYPERLINK("https://www.773grp.com/manufacturer/texas-instruments?pageNo=895", "Texas Instruments")</f>
        <v>Texas Instruments</v>
      </c>
      <c r="C5946" s="5">
        <v>238</v>
      </c>
      <c r="D5946" s="6">
        <v>7.04</v>
      </c>
      <c r="E5946" t="s">
        <v>20</v>
      </c>
    </row>
    <row r="5947" spans="1:5" x14ac:dyDescent="0.25">
      <c r="A5947" t="str">
        <f>HYPERLINK("https://www.773grp.com/globalSearch/TCM320AC36IN/page-1", "TCM320AC36IN")</f>
        <v>TCM320AC36IN</v>
      </c>
      <c r="B5947" s="3" t="str">
        <f>HYPERLINK("https://www.773grp.com/manufacturer/texas-instruments?pageNo=958", "Texas Instruments")</f>
        <v>Texas Instruments</v>
      </c>
      <c r="C5947" s="5">
        <v>2403</v>
      </c>
      <c r="D5947" s="6">
        <v>7.14</v>
      </c>
      <c r="E5947" t="s">
        <v>20</v>
      </c>
    </row>
    <row r="5948" spans="1:5" x14ac:dyDescent="0.25">
      <c r="A5948" t="str">
        <f>HYPERLINK("https://www.773grp.com/globalSearch/TCM320AC36IDW/page-1", "TCM320AC36IDW")</f>
        <v>TCM320AC36IDW</v>
      </c>
      <c r="B5948" s="3" t="s">
        <v>90</v>
      </c>
      <c r="C5948" s="5">
        <v>2</v>
      </c>
      <c r="D5948" s="6">
        <v>7.2</v>
      </c>
      <c r="E5948" t="s">
        <v>20</v>
      </c>
    </row>
    <row r="5949" spans="1:5" x14ac:dyDescent="0.25">
      <c r="A5949" t="str">
        <f>HYPERLINK("https://www.773grp.com/globalSearch/TCM320AC46CN/page-1", "TCM320AC46CN")</f>
        <v>TCM320AC46CN</v>
      </c>
      <c r="B5949" s="3" t="s">
        <v>90</v>
      </c>
      <c r="C5949" s="5">
        <v>1220</v>
      </c>
      <c r="D5949" s="6">
        <v>7.2</v>
      </c>
      <c r="E5949" t="s">
        <v>20</v>
      </c>
    </row>
    <row r="5950" spans="1:5" x14ac:dyDescent="0.25">
      <c r="A5950" t="str">
        <f>HYPERLINK("https://www.773grp.com/globalSearch/TSC2102IDAR/page-1", "TSC2102IDAR")</f>
        <v>TSC2102IDAR</v>
      </c>
      <c r="B5950" s="3" t="s">
        <v>90</v>
      </c>
      <c r="C5950" s="5">
        <v>6000</v>
      </c>
      <c r="D5950" s="6">
        <v>7.39</v>
      </c>
      <c r="E5950" t="s">
        <v>20</v>
      </c>
    </row>
    <row r="5951" spans="1:5" x14ac:dyDescent="0.25">
      <c r="A5951" t="str">
        <f>HYPERLINK("https://www.773grp.com/globalSearch/TSC2003IPWRQ1/page-1", "TSC2003IPWRQ1")</f>
        <v>TSC2003IPWRQ1</v>
      </c>
      <c r="B5951" s="3" t="s">
        <v>90</v>
      </c>
      <c r="C5951" s="5">
        <v>2500</v>
      </c>
      <c r="D5951" s="6">
        <v>7.46</v>
      </c>
      <c r="E5951" t="s">
        <v>20</v>
      </c>
    </row>
    <row r="5952" spans="1:5" x14ac:dyDescent="0.25">
      <c r="A5952" t="str">
        <f>HYPERLINK("https://www.773grp.com/globalSearch/TRF7960RHBR/page-1", "TRF7960RHBR")</f>
        <v>TRF7960RHBR</v>
      </c>
      <c r="B5952" s="3" t="s">
        <v>90</v>
      </c>
      <c r="C5952" s="5">
        <v>14487</v>
      </c>
      <c r="D5952" s="6">
        <v>7.88</v>
      </c>
      <c r="E5952" t="s">
        <v>20</v>
      </c>
    </row>
    <row r="5953" spans="1:5" x14ac:dyDescent="0.25">
      <c r="A5953" t="str">
        <f>HYPERLINK("https://www.773grp.com/globalSearch/TLC976CDGG/page-1", "TLC976CDGG")</f>
        <v>TLC976CDGG</v>
      </c>
      <c r="B5953" s="3" t="s">
        <v>90</v>
      </c>
      <c r="C5953" s="5">
        <v>6122</v>
      </c>
      <c r="D5953" s="6">
        <v>7.99</v>
      </c>
      <c r="E5953" t="s">
        <v>20</v>
      </c>
    </row>
    <row r="5954" spans="1:5" x14ac:dyDescent="0.25">
      <c r="A5954" t="str">
        <f>HYPERLINK("https://www.773grp.com/globalSearch/TLV320AIC26IRHBR/page-1", "TLV320AIC26IRHBR")</f>
        <v>TLV320AIC26IRHBR</v>
      </c>
      <c r="B5954" s="3" t="s">
        <v>90</v>
      </c>
      <c r="C5954" s="5">
        <v>77450</v>
      </c>
      <c r="D5954" s="6">
        <v>8.14</v>
      </c>
      <c r="E5954" t="s">
        <v>20</v>
      </c>
    </row>
    <row r="5955" spans="1:5" x14ac:dyDescent="0.25">
      <c r="A5955" t="str">
        <f>HYPERLINK("https://www.773grp.com/globalSearch/TLV320AIC26IRHBRG4/page-1", "TLV320AIC26IRHBRG4")</f>
        <v>TLV320AIC26IRHBRG4</v>
      </c>
      <c r="B5955" s="3" t="s">
        <v>90</v>
      </c>
      <c r="C5955" s="5">
        <v>20900</v>
      </c>
      <c r="D5955" s="6">
        <v>8.14</v>
      </c>
      <c r="E5955" t="s">
        <v>20</v>
      </c>
    </row>
    <row r="5956" spans="1:5" x14ac:dyDescent="0.25">
      <c r="A5956" t="str">
        <f>HYPERLINK("https://www.773grp.com/globalSearch/DIR9001IPWQ1/page-1", "DIR9001IPWQ1")</f>
        <v>DIR9001IPWQ1</v>
      </c>
      <c r="B5956" s="3" t="s">
        <v>90</v>
      </c>
      <c r="C5956" s="5">
        <v>7851</v>
      </c>
      <c r="D5956" s="6">
        <v>8.15</v>
      </c>
      <c r="E5956" t="s">
        <v>20</v>
      </c>
    </row>
    <row r="5957" spans="1:5" x14ac:dyDescent="0.25">
      <c r="A5957" t="str">
        <f>HYPERLINK("https://www.773grp.com/globalSearch/TPIC8101DW/page-1", "TPIC8101DW")</f>
        <v>TPIC8101DW</v>
      </c>
      <c r="B5957" s="3" t="s">
        <v>90</v>
      </c>
      <c r="C5957" s="5">
        <v>1250</v>
      </c>
      <c r="D5957" s="6">
        <v>8.15</v>
      </c>
      <c r="E5957" t="s">
        <v>20</v>
      </c>
    </row>
    <row r="5958" spans="1:5" x14ac:dyDescent="0.25">
      <c r="A5958" t="str">
        <f>HYPERLINK("https://www.773grp.com/globalSearch/TPIC8101DWR/page-1", "TPIC8101DWR")</f>
        <v>TPIC8101DWR</v>
      </c>
      <c r="B5958" s="3" t="s">
        <v>90</v>
      </c>
      <c r="C5958" s="5">
        <v>3000</v>
      </c>
      <c r="D5958" s="6">
        <v>8.15</v>
      </c>
      <c r="E5958" t="s">
        <v>20</v>
      </c>
    </row>
    <row r="5959" spans="1:5" x14ac:dyDescent="0.25">
      <c r="A5959" t="str">
        <f>HYPERLINK("https://www.773grp.com/globalSearch/TPIC8101DWRG4/page-1", "TPIC8101DWRG4")</f>
        <v>TPIC8101DWRG4</v>
      </c>
      <c r="B5959" s="3" t="s">
        <v>90</v>
      </c>
      <c r="C5959" s="5">
        <v>2100</v>
      </c>
      <c r="D5959" s="6">
        <v>8.15</v>
      </c>
      <c r="E5959" t="s">
        <v>20</v>
      </c>
    </row>
    <row r="5960" spans="1:5" x14ac:dyDescent="0.25">
      <c r="A5960" t="str">
        <f>HYPERLINK("https://www.773grp.com/globalSearch/TCM320AC39IDW/page-1", "TCM320AC39IDW")</f>
        <v>TCM320AC39IDW</v>
      </c>
      <c r="B5960" s="3" t="s">
        <v>90</v>
      </c>
      <c r="C5960" s="5">
        <v>150</v>
      </c>
      <c r="D5960" s="6">
        <v>8.24</v>
      </c>
      <c r="E5960" t="s">
        <v>20</v>
      </c>
    </row>
    <row r="5961" spans="1:5" x14ac:dyDescent="0.25">
      <c r="A5961" t="str">
        <f>HYPERLINK("https://www.773grp.com/globalSearch/TPA5052RSAR/page-1", "TPA5052RSAR")</f>
        <v>TPA5052RSAR</v>
      </c>
      <c r="B5961" s="3" t="s">
        <v>90</v>
      </c>
      <c r="C5961" s="5">
        <v>3000</v>
      </c>
      <c r="D5961" s="6">
        <v>8.3000000000000007</v>
      </c>
      <c r="E5961" t="s">
        <v>20</v>
      </c>
    </row>
    <row r="5962" spans="1:5" x14ac:dyDescent="0.25">
      <c r="A5962" t="str">
        <f>HYPERLINK("https://www.773grp.com/globalSearch/TCM320AC36CPT/page-1", "TCM320AC36CPT")</f>
        <v>TCM320AC36CPT</v>
      </c>
      <c r="B5962" s="3" t="s">
        <v>90</v>
      </c>
      <c r="C5962" s="5">
        <v>1167</v>
      </c>
      <c r="D5962" s="6">
        <v>8.33</v>
      </c>
      <c r="E5962" t="s">
        <v>20</v>
      </c>
    </row>
    <row r="5963" spans="1:5" x14ac:dyDescent="0.25">
      <c r="A5963" t="str">
        <f>HYPERLINK("https://www.773grp.com/globalSearch/TWL1110PBS/page-1", "TWL1110PBS")</f>
        <v>TWL1110PBS</v>
      </c>
      <c r="B5963" s="3" t="s">
        <v>90</v>
      </c>
      <c r="C5963" s="5">
        <v>128</v>
      </c>
      <c r="D5963" s="6">
        <v>8.5500000000000007</v>
      </c>
      <c r="E5963" t="s">
        <v>20</v>
      </c>
    </row>
    <row r="5964" spans="1:5" x14ac:dyDescent="0.25">
      <c r="A5964" t="str">
        <f>HYPERLINK("https://www.773grp.com/globalSearch/TWL1110PBSR/page-1", "TWL1110PBSR")</f>
        <v>TWL1110PBSR</v>
      </c>
      <c r="B5964" s="3" t="s">
        <v>90</v>
      </c>
      <c r="C5964" s="5">
        <v>3000</v>
      </c>
      <c r="D5964" s="6">
        <v>8.61</v>
      </c>
      <c r="E5964" t="s">
        <v>20</v>
      </c>
    </row>
    <row r="5965" spans="1:5" x14ac:dyDescent="0.25">
      <c r="A5965" t="str">
        <f>HYPERLINK("https://www.773grp.com/globalSearch/TLV990-21PFB/page-1", "TLV990-21PFB")</f>
        <v>TLV990-21PFB</v>
      </c>
      <c r="B5965" s="3" t="s">
        <v>90</v>
      </c>
      <c r="C5965" s="5">
        <v>4123</v>
      </c>
      <c r="D5965" s="6">
        <v>8.73</v>
      </c>
      <c r="E5965" t="s">
        <v>20</v>
      </c>
    </row>
    <row r="5966" spans="1:5" x14ac:dyDescent="0.25">
      <c r="A5966" t="str">
        <f>HYPERLINK("https://www.773grp.com/globalSearch/TAS5001PFBRG4/page-1", "TAS5001PFBRG4")</f>
        <v>TAS5001PFBRG4</v>
      </c>
      <c r="B5966" s="3" t="s">
        <v>90</v>
      </c>
      <c r="C5966" s="5">
        <v>10000</v>
      </c>
      <c r="D5966" s="6">
        <v>8.74</v>
      </c>
      <c r="E5966" t="s">
        <v>20</v>
      </c>
    </row>
    <row r="5967" spans="1:5" x14ac:dyDescent="0.25">
      <c r="A5967" t="str">
        <f>HYPERLINK("https://www.773grp.com/globalSearch/SRC4190IDBR/page-1", "SRC4190IDBR")</f>
        <v>SRC4190IDBR</v>
      </c>
      <c r="B5967" s="3" t="s">
        <v>90</v>
      </c>
      <c r="C5967" s="5">
        <v>9900</v>
      </c>
      <c r="D5967" s="6">
        <v>8.86</v>
      </c>
      <c r="E5967" t="s">
        <v>20</v>
      </c>
    </row>
    <row r="5968" spans="1:5" x14ac:dyDescent="0.25">
      <c r="A5968" t="str">
        <f>HYPERLINK("https://www.773grp.com/globalSearch/TLV320AIC11CPFB/page-1", "TLV320AIC11CPFB")</f>
        <v>TLV320AIC11CPFB</v>
      </c>
      <c r="B5968" s="3" t="s">
        <v>90</v>
      </c>
      <c r="C5968" s="5">
        <v>18591</v>
      </c>
      <c r="D5968" s="6">
        <v>8.86</v>
      </c>
      <c r="E5968" t="s">
        <v>20</v>
      </c>
    </row>
    <row r="5969" spans="1:5" x14ac:dyDescent="0.25">
      <c r="A5969" t="str">
        <f>HYPERLINK("https://www.773grp.com/globalSearch/TCM320AC39CPT/page-1", "TCM320AC39CPT")</f>
        <v>TCM320AC39CPT</v>
      </c>
      <c r="B5969" s="3" t="s">
        <v>90</v>
      </c>
      <c r="C5969" s="5">
        <v>21</v>
      </c>
      <c r="D5969" s="6">
        <v>8.89</v>
      </c>
      <c r="E5969" t="s">
        <v>20</v>
      </c>
    </row>
    <row r="5970" spans="1:5" x14ac:dyDescent="0.25">
      <c r="A5970" t="str">
        <f>HYPERLINK("https://www.773grp.com/globalSearch/TSC2102IDA/page-1", "TSC2102IDA")</f>
        <v>TSC2102IDA</v>
      </c>
      <c r="B5970" s="3" t="s">
        <v>90</v>
      </c>
      <c r="C5970" s="5">
        <v>6476</v>
      </c>
      <c r="D5970" s="6">
        <v>8.89</v>
      </c>
      <c r="E5970" t="s">
        <v>20</v>
      </c>
    </row>
    <row r="5971" spans="1:5" x14ac:dyDescent="0.25">
      <c r="A5971" t="str">
        <f>HYPERLINK("https://www.773grp.com/globalSearch/TAS5010IPFBR/page-1", "TAS5010IPFBR")</f>
        <v>TAS5010IPFBR</v>
      </c>
      <c r="B5971" s="3" t="s">
        <v>90</v>
      </c>
      <c r="C5971" s="5">
        <v>3000</v>
      </c>
      <c r="D5971" s="6">
        <v>9</v>
      </c>
      <c r="E5971" t="s">
        <v>20</v>
      </c>
    </row>
    <row r="5972" spans="1:5" x14ac:dyDescent="0.25">
      <c r="A5972" t="str">
        <f>HYPERLINK("https://www.773grp.com/globalSearch/TPA5051RSAR/page-1", "TPA5051RSAR")</f>
        <v>TPA5051RSAR</v>
      </c>
      <c r="B5972" s="3" t="s">
        <v>90</v>
      </c>
      <c r="C5972" s="5">
        <v>21000</v>
      </c>
      <c r="D5972" s="6">
        <v>9</v>
      </c>
      <c r="E5972" t="s">
        <v>20</v>
      </c>
    </row>
    <row r="5973" spans="1:5" x14ac:dyDescent="0.25">
      <c r="A5973" t="str">
        <f>HYPERLINK("https://www.773grp.com/globalSearch/TSC2100IRHBR/page-1", "TSC2100IRHBR")</f>
        <v>TSC2100IRHBR</v>
      </c>
      <c r="B5973" s="3" t="s">
        <v>90</v>
      </c>
      <c r="C5973" s="5">
        <v>21605</v>
      </c>
      <c r="D5973" s="6">
        <v>9</v>
      </c>
      <c r="E5973" t="s">
        <v>20</v>
      </c>
    </row>
    <row r="5974" spans="1:5" x14ac:dyDescent="0.25">
      <c r="A5974" t="str">
        <f>HYPERLINK("https://www.773grp.com/globalSearch/TSC2100IRHBRG4/page-1", "TSC2100IRHBRG4")</f>
        <v>TSC2100IRHBRG4</v>
      </c>
      <c r="B5974" s="3" t="s">
        <v>90</v>
      </c>
      <c r="C5974" s="5">
        <v>612</v>
      </c>
      <c r="D5974" s="6">
        <v>9</v>
      </c>
      <c r="E5974" t="s">
        <v>20</v>
      </c>
    </row>
    <row r="5975" spans="1:5" x14ac:dyDescent="0.25">
      <c r="A5975" t="str">
        <f>HYPERLINK("https://www.773grp.com/globalSearch/TWL1102PBS/page-1", "TWL1102PBS")</f>
        <v>TWL1102PBS</v>
      </c>
      <c r="B5975" s="3" t="s">
        <v>90</v>
      </c>
      <c r="C5975" s="5">
        <v>5184</v>
      </c>
      <c r="D5975" s="6">
        <v>9.06</v>
      </c>
      <c r="E5975" t="s">
        <v>20</v>
      </c>
    </row>
    <row r="5976" spans="1:5" x14ac:dyDescent="0.25">
      <c r="A5976" t="str">
        <f>HYPERLINK("https://www.773grp.com/globalSearch/TWL1103PBS/page-1", "TWL1103PBS")</f>
        <v>TWL1103PBS</v>
      </c>
      <c r="B5976" s="3" t="s">
        <v>90</v>
      </c>
      <c r="C5976" s="5">
        <v>200</v>
      </c>
      <c r="D5976" s="6">
        <v>9.06</v>
      </c>
      <c r="E5976" t="s">
        <v>20</v>
      </c>
    </row>
    <row r="5977" spans="1:5" x14ac:dyDescent="0.25">
      <c r="A5977" t="str">
        <f>HYPERLINK("https://www.773grp.com/globalSearch/TWL1103PBSR/page-1", "TWL1103PBSR")</f>
        <v>TWL1103PBSR</v>
      </c>
      <c r="B5977" s="3" t="s">
        <v>90</v>
      </c>
      <c r="C5977" s="5">
        <v>31950</v>
      </c>
      <c r="D5977" s="6">
        <v>9.06</v>
      </c>
      <c r="E5977" t="s">
        <v>20</v>
      </c>
    </row>
    <row r="5978" spans="1:5" x14ac:dyDescent="0.25">
      <c r="A5978" t="str">
        <f>HYPERLINK("https://www.773grp.com/globalSearch/TLV320AIC29IRGZR/page-1", "TLV320AIC29IRGZR")</f>
        <v>TLV320AIC29IRGZR</v>
      </c>
      <c r="B5978" s="3" t="s">
        <v>90</v>
      </c>
      <c r="C5978" s="5">
        <v>4871</v>
      </c>
      <c r="D5978" s="6">
        <v>9.15</v>
      </c>
      <c r="E5978" t="s">
        <v>20</v>
      </c>
    </row>
    <row r="5979" spans="1:5" x14ac:dyDescent="0.25">
      <c r="A5979" t="str">
        <f>HYPERLINK("https://www.773grp.com/globalSearch/TWL1103GQER/page-1", "TWL1103GQER")</f>
        <v>TWL1103GQER</v>
      </c>
      <c r="B5979" s="3" t="s">
        <v>90</v>
      </c>
      <c r="C5979" s="5">
        <v>12500</v>
      </c>
      <c r="D5979" s="6">
        <v>9.15</v>
      </c>
      <c r="E5979" t="s">
        <v>20</v>
      </c>
    </row>
    <row r="5980" spans="1:5" x14ac:dyDescent="0.25">
      <c r="A5980" t="str">
        <f>HYPERLINK("https://www.773grp.com/globalSearch/TCM320AC46IDW/page-1", "TCM320AC46IDW")</f>
        <v>TCM320AC46IDW</v>
      </c>
      <c r="B5980" s="3" t="s">
        <v>90</v>
      </c>
      <c r="C5980" s="5">
        <v>185</v>
      </c>
      <c r="D5980" s="6">
        <v>9.23</v>
      </c>
      <c r="E5980" t="s">
        <v>20</v>
      </c>
    </row>
    <row r="5981" spans="1:5" x14ac:dyDescent="0.25">
      <c r="A5981" t="str">
        <f>HYPERLINK("https://www.773grp.com/globalSearch/TWL1101PFB/page-1", "TWL1101PFB")</f>
        <v>TWL1101PFB</v>
      </c>
      <c r="B5981" s="3" t="s">
        <v>90</v>
      </c>
      <c r="C5981" s="5">
        <v>156</v>
      </c>
      <c r="D5981" s="6">
        <v>9.31</v>
      </c>
      <c r="E5981" t="s">
        <v>20</v>
      </c>
    </row>
    <row r="5982" spans="1:5" x14ac:dyDescent="0.25">
      <c r="A5982" t="str">
        <f>HYPERLINK("https://www.773grp.com/globalSearch/TWL1101PFBR/page-1", "TWL1101PFBR")</f>
        <v>TWL1101PFBR</v>
      </c>
      <c r="B5982" s="3" t="s">
        <v>90</v>
      </c>
      <c r="C5982" s="5">
        <v>1186</v>
      </c>
      <c r="D5982" s="6">
        <v>9.4</v>
      </c>
      <c r="E5982" t="s">
        <v>20</v>
      </c>
    </row>
    <row r="5983" spans="1:5" x14ac:dyDescent="0.25">
      <c r="A5983" t="str">
        <f>HYPERLINK("https://www.773grp.com/globalSearch/TLV320AIC11IPFB/page-1", "TLV320AIC11IPFB")</f>
        <v>TLV320AIC11IPFB</v>
      </c>
      <c r="B5983" s="3" t="s">
        <v>90</v>
      </c>
      <c r="C5983" s="5">
        <v>1452</v>
      </c>
      <c r="D5983" s="6">
        <v>9.56</v>
      </c>
      <c r="E5983" t="s">
        <v>20</v>
      </c>
    </row>
    <row r="5984" spans="1:5" x14ac:dyDescent="0.25">
      <c r="A5984" t="str">
        <f>HYPERLINK("https://www.773grp.com/globalSearch/TLV320AIC3253IRGET/page-1", "TLV320AIC3253IRGET")</f>
        <v>TLV320AIC3253IRGET</v>
      </c>
      <c r="B5984" s="3" t="s">
        <v>90</v>
      </c>
      <c r="C5984" s="5">
        <v>608</v>
      </c>
      <c r="D5984" s="6">
        <v>9.56</v>
      </c>
      <c r="E5984" t="s">
        <v>20</v>
      </c>
    </row>
    <row r="5985" spans="1:5" x14ac:dyDescent="0.25">
      <c r="A5985" t="str">
        <f>HYPERLINK("https://www.773grp.com/globalSearch/TPA5052RSAT/page-1", "TPA5052RSAT")</f>
        <v>TPA5052RSAT</v>
      </c>
      <c r="B5985" s="3" t="s">
        <v>90</v>
      </c>
      <c r="C5985" s="5">
        <v>12000</v>
      </c>
      <c r="D5985" s="6">
        <v>9.56</v>
      </c>
      <c r="E5985" t="s">
        <v>20</v>
      </c>
    </row>
    <row r="5986" spans="1:5" x14ac:dyDescent="0.25">
      <c r="A5986" t="str">
        <f>HYPERLINK("https://www.773grp.com/globalSearch/TLV320AIC33IGQER/page-1", "TLV320AIC33IGQER")</f>
        <v>TLV320AIC33IGQER</v>
      </c>
      <c r="B5986" s="3" t="s">
        <v>90</v>
      </c>
      <c r="C5986" s="5">
        <v>10000</v>
      </c>
      <c r="D5986" s="6">
        <v>9.6999999999999993</v>
      </c>
      <c r="E5986" t="s">
        <v>20</v>
      </c>
    </row>
    <row r="5987" spans="1:5" x14ac:dyDescent="0.25">
      <c r="A5987" t="str">
        <f>HYPERLINK("https://www.773grp.com/globalSearch/TLV320AIC33IZQER/page-1", "TLV320AIC33IZQER")</f>
        <v>TLV320AIC33IZQER</v>
      </c>
      <c r="B5987" s="3" t="s">
        <v>90</v>
      </c>
      <c r="C5987" s="5">
        <v>19224</v>
      </c>
      <c r="D5987" s="6">
        <v>9.6999999999999993</v>
      </c>
      <c r="E5987" t="s">
        <v>20</v>
      </c>
    </row>
    <row r="5988" spans="1:5" x14ac:dyDescent="0.25">
      <c r="A5988" t="str">
        <f>HYPERLINK("https://www.773grp.com/globalSearch/TPA5050RSAR/page-1", "TPA5050RSAR")</f>
        <v>TPA5050RSAR</v>
      </c>
      <c r="B5988" s="3" t="s">
        <v>90</v>
      </c>
      <c r="C5988" s="5">
        <v>44100</v>
      </c>
      <c r="D5988" s="6">
        <v>9.6999999999999993</v>
      </c>
      <c r="E5988" t="s">
        <v>20</v>
      </c>
    </row>
    <row r="5989" spans="1:5" x14ac:dyDescent="0.25">
      <c r="A5989" t="str">
        <f>HYPERLINK("https://www.773grp.com/globalSearch/TPA5050RSAR/page-1", "TPA5050RSAR")</f>
        <v>TPA5050RSAR</v>
      </c>
      <c r="B5989" s="3" t="s">
        <v>90</v>
      </c>
      <c r="C5989" s="5">
        <v>4733</v>
      </c>
      <c r="D5989" s="6">
        <v>9.6999999999999993</v>
      </c>
      <c r="E5989" t="s">
        <v>20</v>
      </c>
    </row>
    <row r="5990" spans="1:5" x14ac:dyDescent="0.25">
      <c r="A5990" t="str">
        <f>HYPERLINK("https://www.773grp.com/globalSearch/TLV320AIC26IRHB/page-1", "TLV320AIC26IRHB")</f>
        <v>TLV320AIC26IRHB</v>
      </c>
      <c r="B5990" s="3" t="s">
        <v>90</v>
      </c>
      <c r="C5990" s="5">
        <v>1456</v>
      </c>
      <c r="D5990" s="6">
        <v>9.75</v>
      </c>
      <c r="E5990" t="s">
        <v>20</v>
      </c>
    </row>
    <row r="5991" spans="1:5" x14ac:dyDescent="0.25">
      <c r="A5991" t="str">
        <f>HYPERLINK("https://www.773grp.com/globalSearch/PCM3008T-2K/page-1", "PCM3008T-2K")</f>
        <v>PCM3008T-2K</v>
      </c>
      <c r="B5991" s="3" t="s">
        <v>90</v>
      </c>
      <c r="C5991" s="5">
        <v>2000</v>
      </c>
      <c r="D5991" s="6">
        <v>9.83</v>
      </c>
      <c r="E5991" t="s">
        <v>20</v>
      </c>
    </row>
    <row r="5992" spans="1:5" x14ac:dyDescent="0.25">
      <c r="A5992" t="str">
        <f>HYPERLINK("https://www.773grp.com/globalSearch/TLV320AIC23BGQER/page-1", "TLV320AIC23BGQER")</f>
        <v>TLV320AIC23BGQER</v>
      </c>
      <c r="B5992" s="3" t="s">
        <v>90</v>
      </c>
      <c r="C5992" s="5">
        <v>123880</v>
      </c>
      <c r="D5992" s="6">
        <v>9.84</v>
      </c>
      <c r="E5992" t="s">
        <v>20</v>
      </c>
    </row>
    <row r="5993" spans="1:5" x14ac:dyDescent="0.25">
      <c r="A5993" t="str">
        <f>HYPERLINK("https://www.773grp.com/globalSearch/TLV320AIC23BPWR/page-1", "TLV320AIC23BPWR")</f>
        <v>TLV320AIC23BPWR</v>
      </c>
      <c r="B5993" s="3" t="s">
        <v>90</v>
      </c>
      <c r="C5993" s="5">
        <v>6510</v>
      </c>
      <c r="D5993" s="6">
        <v>9.9</v>
      </c>
      <c r="E5993" t="s">
        <v>20</v>
      </c>
    </row>
    <row r="5994" spans="1:5" x14ac:dyDescent="0.25">
      <c r="A5994" t="str">
        <f>HYPERLINK("https://www.773grp.com/globalSearch/TLV320AIC23BRHDR/page-1", "TLV320AIC23BRHDR")</f>
        <v>TLV320AIC23BRHDR</v>
      </c>
      <c r="B5994" s="3" t="s">
        <v>90</v>
      </c>
      <c r="C5994" s="5">
        <v>392005</v>
      </c>
      <c r="D5994" s="6">
        <v>9.9</v>
      </c>
      <c r="E5994" t="s">
        <v>20</v>
      </c>
    </row>
    <row r="5995" spans="1:5" x14ac:dyDescent="0.25">
      <c r="A5995" t="str">
        <f>HYPERLINK("https://www.773grp.com/globalSearch/TLV320AIC23BZQER/page-1", "TLV320AIC23BZQER")</f>
        <v>TLV320AIC23BZQER</v>
      </c>
      <c r="B5995" s="3" t="s">
        <v>90</v>
      </c>
      <c r="C5995" s="5">
        <v>45000</v>
      </c>
      <c r="D5995" s="6">
        <v>9.9</v>
      </c>
      <c r="E5995" t="s">
        <v>20</v>
      </c>
    </row>
    <row r="5996" spans="1:5" x14ac:dyDescent="0.25">
      <c r="A5996" t="str">
        <f>HYPERLINK("https://www.773grp.com/globalSearch/TLV320AIC28IRGZR/page-1", "TLV320AIC28IRGZR")</f>
        <v>TLV320AIC28IRGZR</v>
      </c>
      <c r="B5996" s="3" t="s">
        <v>90</v>
      </c>
      <c r="C5996" s="5">
        <v>9800</v>
      </c>
      <c r="D5996" s="6">
        <v>9.9</v>
      </c>
      <c r="E5996" t="s">
        <v>20</v>
      </c>
    </row>
    <row r="5997" spans="1:5" x14ac:dyDescent="0.25">
      <c r="A5997" t="str">
        <f>HYPERLINK("https://www.773grp.com/globalSearch/TLV320AIC28IRGZRG4/page-1", "TLV320AIC28IRGZRG4")</f>
        <v>TLV320AIC28IRGZRG4</v>
      </c>
      <c r="B5997" s="3" t="s">
        <v>90</v>
      </c>
      <c r="C5997" s="5">
        <v>2500</v>
      </c>
      <c r="D5997" s="6">
        <v>9.9</v>
      </c>
      <c r="E5997" t="s">
        <v>20</v>
      </c>
    </row>
    <row r="5998" spans="1:5" x14ac:dyDescent="0.25">
      <c r="A5998" t="str">
        <f>HYPERLINK("https://www.773grp.com/globalSearch/TAS3002PFB/page-1", "TAS3002PFB")</f>
        <v>TAS3002PFB</v>
      </c>
      <c r="B5998" s="3" t="s">
        <v>90</v>
      </c>
      <c r="C5998" s="5">
        <v>227</v>
      </c>
      <c r="D5998" s="6">
        <v>9.99</v>
      </c>
      <c r="E5998" t="s">
        <v>20</v>
      </c>
    </row>
    <row r="5999" spans="1:5" x14ac:dyDescent="0.25">
      <c r="A5999" t="str">
        <f>HYPERLINK("https://www.773grp.com/globalSearch/TAS3002PFBR/page-1", "TAS3002PFBR")</f>
        <v>TAS3002PFBR</v>
      </c>
      <c r="B5999" s="3" t="s">
        <v>90</v>
      </c>
      <c r="C5999" s="5">
        <v>2000</v>
      </c>
      <c r="D5999" s="6">
        <v>9.99</v>
      </c>
      <c r="E5999" t="s">
        <v>20</v>
      </c>
    </row>
    <row r="6000" spans="1:5" x14ac:dyDescent="0.25">
      <c r="A6000" t="str">
        <f>HYPERLINK("https://www.773grp.com/globalSearch/TAS3002PFBRG4/page-1", "TAS3002PFBRG4")</f>
        <v>TAS3002PFBRG4</v>
      </c>
      <c r="B6000" s="3" t="s">
        <v>90</v>
      </c>
      <c r="C6000" s="5">
        <v>1000</v>
      </c>
      <c r="D6000" s="6">
        <v>9.99</v>
      </c>
      <c r="E6000" t="s">
        <v>20</v>
      </c>
    </row>
    <row r="6001" spans="1:5" x14ac:dyDescent="0.25">
      <c r="A6001" t="str">
        <f>HYPERLINK("https://www.773grp.com/globalSearch/TVP7002PZP/page-1", "TVP7002PZP")</f>
        <v>TVP7002PZP</v>
      </c>
      <c r="B6001" s="3" t="s">
        <v>90</v>
      </c>
      <c r="C6001" s="5">
        <v>81</v>
      </c>
      <c r="D6001" s="6">
        <v>10.09</v>
      </c>
      <c r="E6001" t="s">
        <v>20</v>
      </c>
    </row>
    <row r="6002" spans="1:5" x14ac:dyDescent="0.25">
      <c r="A6002" t="str">
        <f>HYPERLINK("https://www.773grp.com/globalSearch/TLV320AIC22PT/page-1", "TLV320AIC22PT")</f>
        <v>TLV320AIC22PT</v>
      </c>
      <c r="B6002" s="3" t="s">
        <v>90</v>
      </c>
      <c r="C6002" s="5">
        <v>21</v>
      </c>
      <c r="D6002" s="6">
        <v>10.41</v>
      </c>
      <c r="E6002" t="s">
        <v>20</v>
      </c>
    </row>
    <row r="6003" spans="1:5" x14ac:dyDescent="0.25">
      <c r="A6003" t="str">
        <f>HYPERLINK("https://www.773grp.com/globalSearch/TLV320AIC23GQER/page-1", "TLV320AIC23GQER")</f>
        <v>TLV320AIC23GQER</v>
      </c>
      <c r="B6003" s="3" t="s">
        <v>90</v>
      </c>
      <c r="C6003" s="5">
        <v>62500</v>
      </c>
      <c r="D6003" s="6">
        <v>10.41</v>
      </c>
      <c r="E6003" t="s">
        <v>20</v>
      </c>
    </row>
    <row r="6004" spans="1:5" x14ac:dyDescent="0.25">
      <c r="A6004" t="str">
        <f>HYPERLINK("https://www.773grp.com/globalSearch/TPA5051RSAT/page-1", "TPA5051RSAT")</f>
        <v>TPA5051RSAT</v>
      </c>
      <c r="B6004" s="3" t="s">
        <v>90</v>
      </c>
      <c r="C6004" s="5">
        <v>5644</v>
      </c>
      <c r="D6004" s="6">
        <v>10.41</v>
      </c>
      <c r="E6004" t="s">
        <v>20</v>
      </c>
    </row>
    <row r="6005" spans="1:5" x14ac:dyDescent="0.25">
      <c r="A6005" t="str">
        <f>HYPERLINK("https://www.773grp.com/globalSearch/TAS5001PFB/page-1", "TAS5001PFB")</f>
        <v>TAS5001PFB</v>
      </c>
      <c r="B6005" s="3" t="s">
        <v>90</v>
      </c>
      <c r="C6005" s="5">
        <v>4931</v>
      </c>
      <c r="D6005" s="6">
        <v>10.5</v>
      </c>
      <c r="E6005" t="s">
        <v>20</v>
      </c>
    </row>
    <row r="6006" spans="1:5" x14ac:dyDescent="0.25">
      <c r="A6006" t="str">
        <f>HYPERLINK("https://www.773grp.com/globalSearch/TFP101APZP/page-1", "TFP101APZP")</f>
        <v>TFP101APZP</v>
      </c>
      <c r="B6006" s="3" t="s">
        <v>90</v>
      </c>
      <c r="C6006" s="5">
        <v>40909</v>
      </c>
      <c r="D6006" s="6">
        <v>10.55</v>
      </c>
      <c r="E6006" t="s">
        <v>20</v>
      </c>
    </row>
    <row r="6007" spans="1:5" x14ac:dyDescent="0.25">
      <c r="A6007" t="str">
        <f>HYPERLINK("https://www.773grp.com/globalSearch/TFP101PZP/page-1", "TFP101PZP")</f>
        <v>TFP101PZP</v>
      </c>
      <c r="B6007" s="3" t="s">
        <v>90</v>
      </c>
      <c r="C6007" s="5">
        <v>2939</v>
      </c>
      <c r="D6007" s="6">
        <v>10.55</v>
      </c>
      <c r="E6007" t="s">
        <v>20</v>
      </c>
    </row>
    <row r="6008" spans="1:5" x14ac:dyDescent="0.25">
      <c r="A6008" t="str">
        <f>HYPERLINK("https://www.773grp.com/globalSearch/TLV320AIC23BIZQER/page-1", "TLV320AIC23BIZQER")</f>
        <v>TLV320AIC23BIZQER</v>
      </c>
      <c r="B6008" s="3" t="s">
        <v>90</v>
      </c>
      <c r="C6008" s="5">
        <v>2500</v>
      </c>
      <c r="D6008" s="6">
        <v>10.55</v>
      </c>
      <c r="E6008" t="s">
        <v>20</v>
      </c>
    </row>
    <row r="6009" spans="1:5" x14ac:dyDescent="0.25">
      <c r="A6009" t="str">
        <f>HYPERLINK("https://www.773grp.com/globalSearch/TLV320AIC27CPFB/page-1", "TLV320AIC27CPFB")</f>
        <v>TLV320AIC27CPFB</v>
      </c>
      <c r="B6009" s="3" t="s">
        <v>90</v>
      </c>
      <c r="C6009" s="5">
        <v>27523</v>
      </c>
      <c r="D6009" s="6">
        <v>10.55</v>
      </c>
      <c r="E6009" t="s">
        <v>20</v>
      </c>
    </row>
    <row r="6010" spans="1:5" x14ac:dyDescent="0.25">
      <c r="A6010" t="str">
        <f>HYPERLINK("https://www.773grp.com/globalSearch/TLV320AIC29IRGZT/page-1", "TLV320AIC29IRGZT")</f>
        <v>TLV320AIC29IRGZT</v>
      </c>
      <c r="B6010" s="3" t="s">
        <v>90</v>
      </c>
      <c r="C6010" s="5">
        <v>2950</v>
      </c>
      <c r="D6010" s="6">
        <v>10.55</v>
      </c>
      <c r="E6010" t="s">
        <v>20</v>
      </c>
    </row>
    <row r="6011" spans="1:5" x14ac:dyDescent="0.25">
      <c r="A6011" t="str">
        <f>HYPERLINK("https://www.773grp.com/globalSearch/TLV320AIC32IRHBT/page-1", "TLV320AIC32IRHBT")</f>
        <v>TLV320AIC32IRHBT</v>
      </c>
      <c r="B6011" s="3" t="s">
        <v>90</v>
      </c>
      <c r="C6011" s="5">
        <v>500</v>
      </c>
      <c r="D6011" s="6">
        <v>10.55</v>
      </c>
      <c r="E6011" t="s">
        <v>20</v>
      </c>
    </row>
    <row r="6012" spans="1:5" x14ac:dyDescent="0.25">
      <c r="A6012" t="str">
        <f>HYPERLINK("https://www.773grp.com/globalSearch/TPS65920BZCHR/page-1", "TPS65920BZCHR")</f>
        <v>TPS65920BZCHR</v>
      </c>
      <c r="B6012" s="3" t="s">
        <v>90</v>
      </c>
      <c r="C6012" s="5">
        <v>4000</v>
      </c>
      <c r="D6012" s="6">
        <v>10.55</v>
      </c>
      <c r="E6012" t="s">
        <v>20</v>
      </c>
    </row>
    <row r="6013" spans="1:5" x14ac:dyDescent="0.25">
      <c r="A6013" t="str">
        <f>HYPERLINK("https://www.773grp.com/globalSearch/PCM3003E-2K/page-1", "PCM3003E-2K")</f>
        <v>PCM3003E-2K</v>
      </c>
      <c r="B6013" s="3" t="s">
        <v>90</v>
      </c>
      <c r="C6013" s="5">
        <v>7000</v>
      </c>
      <c r="D6013" s="6">
        <v>10.6</v>
      </c>
      <c r="E6013" t="s">
        <v>20</v>
      </c>
    </row>
    <row r="6014" spans="1:5" x14ac:dyDescent="0.25">
      <c r="A6014" t="str">
        <f>HYPERLINK("https://www.773grp.com/globalSearch/PCM3006T-2K/page-1", "PCM3006T-2K")</f>
        <v>PCM3006T-2K</v>
      </c>
      <c r="B6014" s="3" t="s">
        <v>90</v>
      </c>
      <c r="C6014" s="5">
        <v>20000</v>
      </c>
      <c r="D6014" s="6">
        <v>10.6</v>
      </c>
      <c r="E6014" t="s">
        <v>20</v>
      </c>
    </row>
    <row r="6015" spans="1:5" x14ac:dyDescent="0.25">
      <c r="A6015" t="str">
        <f>HYPERLINK("https://www.773grp.com/globalSearch/SRC4190IDB/page-1", "SRC4190IDB")</f>
        <v>SRC4190IDB</v>
      </c>
      <c r="B6015" s="3" t="s">
        <v>90</v>
      </c>
      <c r="C6015" s="5">
        <v>804</v>
      </c>
      <c r="D6015" s="6">
        <v>10.64</v>
      </c>
      <c r="E6015" t="s">
        <v>20</v>
      </c>
    </row>
    <row r="6016" spans="1:5" x14ac:dyDescent="0.25">
      <c r="A6016" t="str">
        <f>HYPERLINK("https://www.773grp.com/globalSearch/TWL1103TPBSQ1/page-1", "TWL1103TPBSQ1")</f>
        <v>TWL1103TPBSQ1</v>
      </c>
      <c r="B6016" s="3" t="s">
        <v>90</v>
      </c>
      <c r="C6016" s="5">
        <v>1000</v>
      </c>
      <c r="D6016" s="6">
        <v>10.69</v>
      </c>
      <c r="E6016" t="s">
        <v>20</v>
      </c>
    </row>
    <row r="6017" spans="1:5" x14ac:dyDescent="0.25">
      <c r="A6017" t="str">
        <f>HYPERLINK("https://www.773grp.com/globalSearch/TSC2100IDA/page-1", "TSC2100IDA")</f>
        <v>TSC2100IDA</v>
      </c>
      <c r="B6017" s="3" t="s">
        <v>90</v>
      </c>
      <c r="C6017" s="5">
        <v>11233</v>
      </c>
      <c r="D6017" s="6">
        <v>10.8</v>
      </c>
      <c r="E6017" t="s">
        <v>20</v>
      </c>
    </row>
    <row r="6018" spans="1:5" x14ac:dyDescent="0.25">
      <c r="A6018" t="str">
        <f>HYPERLINK("https://www.773grp.com/globalSearch/TSC2100IRHB/page-1", "TSC2100IRHB")</f>
        <v>TSC2100IRHB</v>
      </c>
      <c r="B6018" s="3" t="s">
        <v>90</v>
      </c>
      <c r="C6018" s="5">
        <v>841</v>
      </c>
      <c r="D6018" s="6">
        <v>10.8</v>
      </c>
      <c r="E6018" t="s">
        <v>20</v>
      </c>
    </row>
    <row r="6019" spans="1:5" x14ac:dyDescent="0.25">
      <c r="A6019" t="str">
        <f>HYPERLINK("https://www.773grp.com/globalSearch/TAS3004PFB/page-1", "TAS3004PFB")</f>
        <v>TAS3004PFB</v>
      </c>
      <c r="B6019" s="3" t="s">
        <v>90</v>
      </c>
      <c r="C6019" s="5">
        <v>659</v>
      </c>
      <c r="D6019" s="6">
        <v>10.84</v>
      </c>
      <c r="E6019" t="s">
        <v>20</v>
      </c>
    </row>
    <row r="6020" spans="1:5" x14ac:dyDescent="0.25">
      <c r="A6020" t="str">
        <f>HYPERLINK("https://www.773grp.com/globalSearch/TAS3004PFBG4/page-1", "TAS3004PFBG4")</f>
        <v>TAS3004PFBG4</v>
      </c>
      <c r="B6020" s="3" t="s">
        <v>90</v>
      </c>
      <c r="C6020" s="5">
        <v>2330</v>
      </c>
      <c r="D6020" s="6">
        <v>10.84</v>
      </c>
      <c r="E6020" t="s">
        <v>20</v>
      </c>
    </row>
    <row r="6021" spans="1:5" x14ac:dyDescent="0.25">
      <c r="A6021" t="str">
        <f>HYPERLINK("https://www.773grp.com/globalSearch/TAS5010PFBR/page-1", "TAS5010PFBR")</f>
        <v>TAS5010PFBR</v>
      </c>
      <c r="B6021" s="3" t="s">
        <v>90</v>
      </c>
      <c r="C6021" s="5">
        <v>14000</v>
      </c>
      <c r="D6021" s="6">
        <v>10.98</v>
      </c>
      <c r="E6021" t="s">
        <v>20</v>
      </c>
    </row>
    <row r="6022" spans="1:5" x14ac:dyDescent="0.25">
      <c r="A6022" t="str">
        <f>HYPERLINK("https://www.773grp.com/globalSearch/THS8200PFP/page-1", "THS8200PFP")</f>
        <v>THS8200PFP</v>
      </c>
      <c r="B6022" s="3" t="s">
        <v>90</v>
      </c>
      <c r="C6022" s="5">
        <v>1016</v>
      </c>
      <c r="D6022" s="6">
        <v>10.98</v>
      </c>
      <c r="E6022" t="s">
        <v>20</v>
      </c>
    </row>
    <row r="6023" spans="1:5" x14ac:dyDescent="0.25">
      <c r="A6023" t="str">
        <f>HYPERLINK("https://www.773grp.com/globalSearch/TLV320AIC23BIGQER/page-1", "TLV320AIC23BIGQER")</f>
        <v>TLV320AIC23BIGQER</v>
      </c>
      <c r="B6023" s="3" t="s">
        <v>90</v>
      </c>
      <c r="C6023" s="5">
        <v>2500</v>
      </c>
      <c r="D6023" s="6">
        <v>10.98</v>
      </c>
      <c r="E6023" t="s">
        <v>20</v>
      </c>
    </row>
    <row r="6024" spans="1:5" x14ac:dyDescent="0.25">
      <c r="A6024" t="str">
        <f>HYPERLINK("https://www.773grp.com/globalSearch/TPA5050RSAT/page-1", "TPA5050RSAT")</f>
        <v>TPA5050RSAT</v>
      </c>
      <c r="B6024" s="3" t="s">
        <v>90</v>
      </c>
      <c r="C6024" s="5">
        <v>7950</v>
      </c>
      <c r="D6024" s="6">
        <v>10.98</v>
      </c>
      <c r="E6024" t="s">
        <v>20</v>
      </c>
    </row>
    <row r="6025" spans="1:5" x14ac:dyDescent="0.25">
      <c r="A6025" t="str">
        <f>HYPERLINK("https://www.773grp.com/globalSearch/TLV320AIC23BIRHDR/page-1", "TLV320AIC23BIRHDR")</f>
        <v>TLV320AIC23BIRHDR</v>
      </c>
      <c r="B6025" s="3" t="s">
        <v>90</v>
      </c>
      <c r="C6025" s="5">
        <v>9567</v>
      </c>
      <c r="D6025" s="6">
        <v>11.09</v>
      </c>
      <c r="E6025" t="s">
        <v>20</v>
      </c>
    </row>
    <row r="6026" spans="1:5" x14ac:dyDescent="0.25">
      <c r="A6026" t="str">
        <f>HYPERLINK("https://www.773grp.com/globalSearch/TSC2101IRGZR/page-1", "TSC2101IRGZR")</f>
        <v>TSC2101IRGZR</v>
      </c>
      <c r="B6026" s="3" t="s">
        <v>90</v>
      </c>
      <c r="C6026" s="5">
        <v>99681</v>
      </c>
      <c r="D6026" s="6">
        <v>11.09</v>
      </c>
      <c r="E6026" t="s">
        <v>20</v>
      </c>
    </row>
    <row r="6027" spans="1:5" x14ac:dyDescent="0.25">
      <c r="A6027" t="str">
        <f>HYPERLINK("https://www.773grp.com/globalSearch/TAS5001IPFB/page-1", "TAS5001IPFB")</f>
        <v>TAS5001IPFB</v>
      </c>
      <c r="B6027" s="3" t="s">
        <v>90</v>
      </c>
      <c r="C6027" s="5">
        <v>761</v>
      </c>
      <c r="D6027" s="6">
        <v>11.1</v>
      </c>
      <c r="E6027" t="s">
        <v>20</v>
      </c>
    </row>
    <row r="6028" spans="1:5" x14ac:dyDescent="0.25">
      <c r="A6028" t="str">
        <f>HYPERLINK("https://www.773grp.com/globalSearch/TLV320AIC23IPWR/page-1", "TLV320AIC23IPWR")</f>
        <v>TLV320AIC23IPWR</v>
      </c>
      <c r="B6028" s="3" t="s">
        <v>90</v>
      </c>
      <c r="C6028" s="5">
        <v>3195</v>
      </c>
      <c r="D6028" s="6">
        <v>11.1</v>
      </c>
      <c r="E6028" t="s">
        <v>20</v>
      </c>
    </row>
    <row r="6029" spans="1:5" x14ac:dyDescent="0.25">
      <c r="A6029" t="str">
        <f>HYPERLINK("https://www.773grp.com/globalSearch/TLV320AIC33IRGZ/page-1", "TLV320AIC33IRGZ")</f>
        <v>TLV320AIC33IRGZ</v>
      </c>
      <c r="B6029" s="3" t="s">
        <v>90</v>
      </c>
      <c r="C6029" s="5">
        <v>2428</v>
      </c>
      <c r="D6029" s="6">
        <v>11.1</v>
      </c>
      <c r="E6029" t="s">
        <v>20</v>
      </c>
    </row>
    <row r="6030" spans="1:5" x14ac:dyDescent="0.25">
      <c r="A6030" t="str">
        <f>HYPERLINK("https://www.773grp.com/globalSearch/TPS65930BZCHR/page-1", "TPS65930BZCHR")</f>
        <v>TPS65930BZCHR</v>
      </c>
      <c r="B6030" s="3" t="s">
        <v>90</v>
      </c>
      <c r="C6030" s="5">
        <v>4546</v>
      </c>
      <c r="D6030" s="6">
        <v>11.1</v>
      </c>
      <c r="E6030" t="s">
        <v>20</v>
      </c>
    </row>
    <row r="6031" spans="1:5" x14ac:dyDescent="0.25">
      <c r="A6031" t="str">
        <f>HYPERLINK("https://www.773grp.com/globalSearch/TFP401APZP/page-1", "TFP401APZP")</f>
        <v>TFP401APZP</v>
      </c>
      <c r="B6031" s="3" t="s">
        <v>90</v>
      </c>
      <c r="C6031" s="5">
        <v>68</v>
      </c>
      <c r="D6031" s="6">
        <v>11.25</v>
      </c>
      <c r="E6031" t="s">
        <v>20</v>
      </c>
    </row>
    <row r="6032" spans="1:5" x14ac:dyDescent="0.25">
      <c r="A6032" t="str">
        <f>HYPERLINK("https://www.773grp.com/globalSearch/TFP401PZP/page-1", "TFP401PZP")</f>
        <v>TFP401PZP</v>
      </c>
      <c r="B6032" s="3" t="s">
        <v>90</v>
      </c>
      <c r="C6032" s="5">
        <v>1570</v>
      </c>
      <c r="D6032" s="6">
        <v>11.25</v>
      </c>
      <c r="E6032" t="s">
        <v>20</v>
      </c>
    </row>
    <row r="6033" spans="1:5" x14ac:dyDescent="0.25">
      <c r="A6033" t="str">
        <f>HYPERLINK("https://www.773grp.com/globalSearch/TLV320AIC33IRGZT/page-1", "TLV320AIC33IRGZT")</f>
        <v>TLV320AIC33IRGZT</v>
      </c>
      <c r="B6033" s="3" t="s">
        <v>90</v>
      </c>
      <c r="C6033" s="5">
        <v>610</v>
      </c>
      <c r="D6033" s="6">
        <v>11.25</v>
      </c>
      <c r="E6033" t="s">
        <v>20</v>
      </c>
    </row>
    <row r="6034" spans="1:5" x14ac:dyDescent="0.25">
      <c r="A6034" t="str">
        <f>HYPERLINK("https://www.773grp.com/globalSearch/TLV320AIC23PWR/page-1", "TLV320AIC23PWR")</f>
        <v>TLV320AIC23PWR</v>
      </c>
      <c r="B6034" s="3" t="s">
        <v>90</v>
      </c>
      <c r="C6034" s="5">
        <v>19836</v>
      </c>
      <c r="D6034" s="6">
        <v>11.34</v>
      </c>
      <c r="E6034" t="s">
        <v>20</v>
      </c>
    </row>
    <row r="6035" spans="1:5" x14ac:dyDescent="0.25">
      <c r="A6035" t="str">
        <f>HYPERLINK("https://www.773grp.com/globalSearch/TLV990-13PFB/page-1", "TLV990-13PFB")</f>
        <v>TLV990-13PFB</v>
      </c>
      <c r="B6035" s="3" t="s">
        <v>90</v>
      </c>
      <c r="C6035" s="5">
        <v>2293</v>
      </c>
      <c r="D6035" s="6">
        <v>11.36</v>
      </c>
      <c r="E6035" t="s">
        <v>20</v>
      </c>
    </row>
    <row r="6036" spans="1:5" x14ac:dyDescent="0.25">
      <c r="A6036" t="str">
        <f>HYPERLINK("https://www.773grp.com/globalSearch/TLV320AIC33IGQE/page-1", "TLV320AIC33IGQE")</f>
        <v>TLV320AIC33IGQE</v>
      </c>
      <c r="B6036" s="3" t="s">
        <v>90</v>
      </c>
      <c r="C6036" s="5">
        <v>1373</v>
      </c>
      <c r="D6036" s="6">
        <v>11.68</v>
      </c>
      <c r="E6036" t="s">
        <v>20</v>
      </c>
    </row>
    <row r="6037" spans="1:5" x14ac:dyDescent="0.25">
      <c r="A6037" t="str">
        <f>HYPERLINK("https://www.773grp.com/globalSearch/TLV320AIC33IZQE/page-1", "TLV320AIC33IZQE")</f>
        <v>TLV320AIC33IZQE</v>
      </c>
      <c r="B6037" s="3" t="s">
        <v>90</v>
      </c>
      <c r="C6037" s="5">
        <v>32755</v>
      </c>
      <c r="D6037" s="6">
        <v>11.68</v>
      </c>
      <c r="E6037" t="s">
        <v>20</v>
      </c>
    </row>
    <row r="6038" spans="1:5" x14ac:dyDescent="0.25">
      <c r="A6038" t="str">
        <f>HYPERLINK("https://www.773grp.com/globalSearch/TLV320AIC27TPFB/page-1", "TLV320AIC27TPFB")</f>
        <v>TLV320AIC27TPFB</v>
      </c>
      <c r="B6038" s="3" t="s">
        <v>90</v>
      </c>
      <c r="C6038" s="5">
        <v>1013</v>
      </c>
      <c r="D6038" s="6">
        <v>11.78</v>
      </c>
      <c r="E6038" t="s">
        <v>20</v>
      </c>
    </row>
    <row r="6039" spans="1:5" x14ac:dyDescent="0.25">
      <c r="A6039" t="str">
        <f>HYPERLINK("https://www.773grp.com/globalSearch/TLV320AIC23BPW/page-1", "TLV320AIC23BPW")</f>
        <v>TLV320AIC23BPW</v>
      </c>
      <c r="B6039" s="3" t="s">
        <v>90</v>
      </c>
      <c r="C6039" s="5">
        <v>4963</v>
      </c>
      <c r="D6039" s="6">
        <v>11.86</v>
      </c>
      <c r="E6039" t="s">
        <v>20</v>
      </c>
    </row>
    <row r="6040" spans="1:5" x14ac:dyDescent="0.25">
      <c r="A6040" t="str">
        <f>HYPERLINK("https://www.773grp.com/globalSearch/TLV320AIC23BRHD/page-1", "TLV320AIC23BRHD")</f>
        <v>TLV320AIC23BRHD</v>
      </c>
      <c r="B6040" s="3" t="s">
        <v>90</v>
      </c>
      <c r="C6040" s="5">
        <v>562</v>
      </c>
      <c r="D6040" s="6">
        <v>11.86</v>
      </c>
      <c r="E6040" t="s">
        <v>20</v>
      </c>
    </row>
    <row r="6041" spans="1:5" x14ac:dyDescent="0.25">
      <c r="A6041" t="str">
        <f>HYPERLINK("https://www.773grp.com/globalSearch/TLV320AIC23BRHDG4/page-1", "TLV320AIC23BRHDG4")</f>
        <v>TLV320AIC23BRHDG4</v>
      </c>
      <c r="B6041" s="3" t="s">
        <v>90</v>
      </c>
      <c r="C6041" s="5">
        <v>73</v>
      </c>
      <c r="D6041" s="6">
        <v>11.86</v>
      </c>
      <c r="E6041" t="s">
        <v>20</v>
      </c>
    </row>
    <row r="6042" spans="1:5" x14ac:dyDescent="0.25">
      <c r="A6042" t="str">
        <f>HYPERLINK("https://www.773grp.com/globalSearch/TLV320AIC23BZQE/page-1", "TLV320AIC23BZQE")</f>
        <v>TLV320AIC23BZQE</v>
      </c>
      <c r="B6042" s="3" t="s">
        <v>90</v>
      </c>
      <c r="C6042" s="5">
        <v>62244</v>
      </c>
      <c r="D6042" s="6">
        <v>11.86</v>
      </c>
      <c r="E6042" t="s">
        <v>20</v>
      </c>
    </row>
    <row r="6043" spans="1:5" x14ac:dyDescent="0.25">
      <c r="A6043" t="str">
        <f>HYPERLINK("https://www.773grp.com/globalSearch/TLV320AIC28IRGZ/page-1", "TLV320AIC28IRGZ")</f>
        <v>TLV320AIC28IRGZ</v>
      </c>
      <c r="B6043" s="3" t="s">
        <v>90</v>
      </c>
      <c r="C6043" s="5">
        <v>2958</v>
      </c>
      <c r="D6043" s="6">
        <v>11.86</v>
      </c>
      <c r="E6043" t="s">
        <v>20</v>
      </c>
    </row>
    <row r="6044" spans="1:5" x14ac:dyDescent="0.25">
      <c r="A6044" t="str">
        <f>HYPERLINK("https://www.773grp.com/globalSearch/TVP7000PZP/page-1", "TVP7000PZP")</f>
        <v>TVP7000PZP</v>
      </c>
      <c r="B6044" s="3" t="s">
        <v>90</v>
      </c>
      <c r="C6044" s="5">
        <v>8582</v>
      </c>
      <c r="D6044" s="6">
        <v>11.93</v>
      </c>
      <c r="E6044" t="s">
        <v>20</v>
      </c>
    </row>
    <row r="6045" spans="1:5" x14ac:dyDescent="0.25">
      <c r="A6045" t="str">
        <f>HYPERLINK("https://www.773grp.com/globalSearch/TLC320AD77CDB/page-1", "TLC320AD77CDB")</f>
        <v>TLC320AD77CDB</v>
      </c>
      <c r="B6045" s="3" t="s">
        <v>90</v>
      </c>
      <c r="C6045" s="5">
        <v>18565</v>
      </c>
      <c r="D6045" s="6">
        <v>11.95</v>
      </c>
      <c r="E6045" t="s">
        <v>20</v>
      </c>
    </row>
    <row r="6046" spans="1:5" x14ac:dyDescent="0.25">
      <c r="A6046" t="str">
        <f>HYPERLINK("https://www.773grp.com/globalSearch/TLV320AIC23BGQE/page-1", "TLV320AIC23BGQE")</f>
        <v>TLV320AIC23BGQE</v>
      </c>
      <c r="B6046" s="3" t="str">
        <f>HYPERLINK("https://www.773grp.com/manufacturer/texas-instruments?pageNo=85", "Texas Instruments")</f>
        <v>Texas Instruments</v>
      </c>
      <c r="C6046" s="5">
        <v>11814</v>
      </c>
      <c r="D6046" s="6">
        <v>12.29</v>
      </c>
      <c r="E6046" t="s">
        <v>20</v>
      </c>
    </row>
    <row r="6047" spans="1:5" x14ac:dyDescent="0.25">
      <c r="A6047" t="str">
        <f>HYPERLINK("https://www.773grp.com/globalSearch/TFP201APZP/page-1", "TFP201APZP")</f>
        <v>TFP201APZP</v>
      </c>
      <c r="B6047" s="3" t="str">
        <f>HYPERLINK("https://www.773grp.com/manufacturer/texas-instruments?pageNo=146", "Texas Instruments")</f>
        <v>Texas Instruments</v>
      </c>
      <c r="C6047" s="5">
        <v>20453</v>
      </c>
      <c r="D6047" s="6">
        <v>12.38</v>
      </c>
      <c r="E6047" t="s">
        <v>20</v>
      </c>
    </row>
    <row r="6048" spans="1:5" x14ac:dyDescent="0.25">
      <c r="A6048" t="str">
        <f>HYPERLINK("https://www.773grp.com/globalSearch/TFP201PZP/page-1", "TFP201PZP")</f>
        <v>TFP201PZP</v>
      </c>
      <c r="B6048" s="3" t="str">
        <f>HYPERLINK("https://www.773grp.com/manufacturer/texas-instruments?pageNo=147", "Texas Instruments")</f>
        <v>Texas Instruments</v>
      </c>
      <c r="C6048" s="5">
        <v>83552</v>
      </c>
      <c r="D6048" s="6">
        <v>12.38</v>
      </c>
      <c r="E6048" t="s">
        <v>20</v>
      </c>
    </row>
    <row r="6049" spans="1:5" x14ac:dyDescent="0.25">
      <c r="A6049" t="str">
        <f>HYPERLINK("https://www.773grp.com/globalSearch/TAS3103IDBT/page-1", "TAS3103IDBT")</f>
        <v>TAS3103IDBT</v>
      </c>
      <c r="B6049" s="3" t="str">
        <f>HYPERLINK("https://www.773grp.com/manufacturer/texas-instruments?pageNo=220", "Texas Instruments")</f>
        <v>Texas Instruments</v>
      </c>
      <c r="C6049" s="5">
        <v>4600</v>
      </c>
      <c r="D6049" s="6">
        <v>12.53</v>
      </c>
      <c r="E6049" t="s">
        <v>20</v>
      </c>
    </row>
    <row r="6050" spans="1:5" x14ac:dyDescent="0.25">
      <c r="A6050" t="str">
        <f>HYPERLINK("https://www.773grp.com/globalSearch/TSC2117IRGZR/page-1", "TSC2117IRGZR")</f>
        <v>TSC2117IRGZR</v>
      </c>
      <c r="B6050" s="3" t="str">
        <f>HYPERLINK("https://www.773grp.com/manufacturer/texas-instruments?pageNo=237", "Texas Instruments")</f>
        <v>Texas Instruments</v>
      </c>
      <c r="C6050" s="5">
        <v>5000</v>
      </c>
      <c r="D6050" s="6">
        <v>12.53</v>
      </c>
      <c r="E6050" t="s">
        <v>20</v>
      </c>
    </row>
    <row r="6051" spans="1:5" x14ac:dyDescent="0.25">
      <c r="A6051" t="str">
        <f>HYPERLINK("https://www.773grp.com/globalSearch/TSC2300IPAGR/page-1", "TSC2300IPAGR")</f>
        <v>TSC2300IPAGR</v>
      </c>
      <c r="B6051" s="3" t="str">
        <f>HYPERLINK("https://www.773grp.com/manufacturer/texas-instruments?pageNo=238", "Texas Instruments")</f>
        <v>Texas Instruments</v>
      </c>
      <c r="C6051" s="5">
        <v>1500</v>
      </c>
      <c r="D6051" s="6">
        <v>12.53</v>
      </c>
      <c r="E6051" t="s">
        <v>20</v>
      </c>
    </row>
    <row r="6052" spans="1:5" x14ac:dyDescent="0.25">
      <c r="A6052" t="str">
        <f>HYPERLINK("https://www.773grp.com/globalSearch/6PAIC23BIPWRG4Q1/page-1", "6PAIC23BIPWRG4Q1")</f>
        <v>6PAIC23BIPWRG4Q1</v>
      </c>
      <c r="B6052" s="3" t="str">
        <f>HYPERLINK("https://www.773grp.com/manufacturer/texas-instruments?pageNo=252", "Texas Instruments")</f>
        <v>Texas Instruments</v>
      </c>
      <c r="C6052" s="5">
        <v>12000</v>
      </c>
      <c r="D6052" s="6">
        <v>12.58</v>
      </c>
      <c r="E6052" t="s">
        <v>20</v>
      </c>
    </row>
    <row r="6053" spans="1:5" x14ac:dyDescent="0.25">
      <c r="A6053" t="str">
        <f>HYPERLINK("https://www.773grp.com/globalSearch/TLV320AIC23BIPWRQ1/page-1", "TLV320AIC23BIPWRQ1")</f>
        <v>TLV320AIC23BIPWRQ1</v>
      </c>
      <c r="B6053" s="3" t="str">
        <f>HYPERLINK("https://www.773grp.com/manufacturer/texas-instruments?pageNo=258", "Texas Instruments")</f>
        <v>Texas Instruments</v>
      </c>
      <c r="C6053" s="5">
        <v>36473</v>
      </c>
      <c r="D6053" s="6">
        <v>12.58</v>
      </c>
      <c r="E6053" t="s">
        <v>20</v>
      </c>
    </row>
    <row r="6054" spans="1:5" x14ac:dyDescent="0.25">
      <c r="A6054" t="str">
        <f>HYPERLINK("https://www.773grp.com/globalSearch/PCM3000E/page-1", "PCM3000E")</f>
        <v>PCM3000E</v>
      </c>
      <c r="B6054" s="3" t="str">
        <f>HYPERLINK("https://www.773grp.com/manufacturer/texas-instruments?pageNo=331", "Texas Instruments")</f>
        <v>Texas Instruments</v>
      </c>
      <c r="C6054" s="5">
        <v>11</v>
      </c>
      <c r="D6054" s="6">
        <v>12.71</v>
      </c>
      <c r="E6054" t="s">
        <v>20</v>
      </c>
    </row>
    <row r="6055" spans="1:5" x14ac:dyDescent="0.25">
      <c r="A6055" t="str">
        <f>HYPERLINK("https://www.773grp.com/globalSearch/PCM3001E/page-1", "PCM3001E")</f>
        <v>PCM3001E</v>
      </c>
      <c r="B6055" s="3" t="str">
        <f>HYPERLINK("https://www.773grp.com/manufacturer/texas-instruments?pageNo=332", "Texas Instruments")</f>
        <v>Texas Instruments</v>
      </c>
      <c r="C6055" s="5">
        <v>786</v>
      </c>
      <c r="D6055" s="6">
        <v>12.71</v>
      </c>
      <c r="E6055" t="s">
        <v>20</v>
      </c>
    </row>
    <row r="6056" spans="1:5" x14ac:dyDescent="0.25">
      <c r="A6056" t="str">
        <f>HYPERLINK("https://www.773grp.com/globalSearch/PCM3002E/page-1", "PCM3002E")</f>
        <v>PCM3002E</v>
      </c>
      <c r="B6056" s="3" t="str">
        <f>HYPERLINK("https://www.773grp.com/manufacturer/texas-instruments?pageNo=333", "Texas Instruments")</f>
        <v>Texas Instruments</v>
      </c>
      <c r="C6056" s="5">
        <v>871</v>
      </c>
      <c r="D6056" s="6">
        <v>12.71</v>
      </c>
      <c r="E6056" t="s">
        <v>20</v>
      </c>
    </row>
    <row r="6057" spans="1:5" x14ac:dyDescent="0.25">
      <c r="A6057" t="str">
        <f>HYPERLINK("https://www.773grp.com/globalSearch/PCM3002EG/page-1", "PCM3002EG")</f>
        <v>PCM3002EG</v>
      </c>
      <c r="B6057" s="3" t="str">
        <f>HYPERLINK("https://www.773grp.com/manufacturer/texas-instruments?pageNo=334", "Texas Instruments")</f>
        <v>Texas Instruments</v>
      </c>
      <c r="C6057" s="5">
        <v>870</v>
      </c>
      <c r="D6057" s="6">
        <v>12.71</v>
      </c>
      <c r="E6057" t="s">
        <v>20</v>
      </c>
    </row>
    <row r="6058" spans="1:5" x14ac:dyDescent="0.25">
      <c r="A6058" t="str">
        <f>HYPERLINK("https://www.773grp.com/globalSearch/PCM3003E/page-1", "PCM3003E")</f>
        <v>PCM3003E</v>
      </c>
      <c r="B6058" s="3" t="str">
        <f>HYPERLINK("https://www.773grp.com/manufacturer/texas-instruments?pageNo=335", "Texas Instruments")</f>
        <v>Texas Instruments</v>
      </c>
      <c r="C6058" s="5">
        <v>169</v>
      </c>
      <c r="D6058" s="6">
        <v>12.71</v>
      </c>
      <c r="E6058" t="s">
        <v>20</v>
      </c>
    </row>
    <row r="6059" spans="1:5" x14ac:dyDescent="0.25">
      <c r="A6059" t="str">
        <f>HYPERLINK("https://www.773grp.com/globalSearch/PCM3003E/page-1", "PCM3003E")</f>
        <v>PCM3003E</v>
      </c>
      <c r="B6059" s="3" t="str">
        <f>HYPERLINK("https://www.773grp.com/manufacturer/texas-instruments?pageNo=336", "Texas Instruments")</f>
        <v>Texas Instruments</v>
      </c>
      <c r="C6059" s="5">
        <v>11333</v>
      </c>
      <c r="D6059" s="6">
        <v>12.71</v>
      </c>
      <c r="E6059" t="s">
        <v>20</v>
      </c>
    </row>
    <row r="6060" spans="1:5" x14ac:dyDescent="0.25">
      <c r="A6060" t="str">
        <f>HYPERLINK("https://www.773grp.com/globalSearch/PCM3006T/page-1", "PCM3006T")</f>
        <v>PCM3006T</v>
      </c>
      <c r="B6060" s="3" t="str">
        <f>HYPERLINK("https://www.773grp.com/manufacturer/texas-instruments?pageNo=337", "Texas Instruments")</f>
        <v>Texas Instruments</v>
      </c>
      <c r="C6060" s="5">
        <v>173</v>
      </c>
      <c r="D6060" s="6">
        <v>12.71</v>
      </c>
      <c r="E6060" t="s">
        <v>20</v>
      </c>
    </row>
    <row r="6061" spans="1:5" x14ac:dyDescent="0.25">
      <c r="A6061" t="str">
        <f>HYPERLINK("https://www.773grp.com/globalSearch/TSC2302IRGZR/page-1", "TSC2302IRGZR")</f>
        <v>TSC2302IRGZR</v>
      </c>
      <c r="B6061" s="3" t="str">
        <f>HYPERLINK("https://www.773grp.com/manufacturer/texas-instruments?pageNo=387", "Texas Instruments")</f>
        <v>Texas Instruments</v>
      </c>
      <c r="C6061" s="5">
        <v>22000</v>
      </c>
      <c r="D6061" s="6">
        <v>12.79</v>
      </c>
      <c r="E6061" t="s">
        <v>20</v>
      </c>
    </row>
    <row r="6062" spans="1:5" x14ac:dyDescent="0.25">
      <c r="A6062" t="str">
        <f>HYPERLINK("https://www.773grp.com/globalSearch/TAS5504PAG/page-1", "TAS5504PAG")</f>
        <v>TAS5504PAG</v>
      </c>
      <c r="B6062" s="3" t="str">
        <f>HYPERLINK("https://www.773grp.com/manufacturer/texas-instruments?pageNo=422", "Texas Instruments")</f>
        <v>Texas Instruments</v>
      </c>
      <c r="C6062" s="5">
        <v>5696</v>
      </c>
      <c r="D6062" s="6">
        <v>12.88</v>
      </c>
      <c r="E6062" t="s">
        <v>20</v>
      </c>
    </row>
    <row r="6063" spans="1:5" x14ac:dyDescent="0.25">
      <c r="A6063" t="str">
        <f>HYPERLINK("https://www.773grp.com/globalSearch/TAS5504PAGR/page-1", "TAS5504PAGR")</f>
        <v>TAS5504PAGR</v>
      </c>
      <c r="B6063" s="3" t="str">
        <f>HYPERLINK("https://www.773grp.com/manufacturer/texas-instruments?pageNo=423", "Texas Instruments")</f>
        <v>Texas Instruments</v>
      </c>
      <c r="C6063" s="5">
        <v>65700</v>
      </c>
      <c r="D6063" s="6">
        <v>12.88</v>
      </c>
      <c r="E6063" t="s">
        <v>20</v>
      </c>
    </row>
    <row r="6064" spans="1:5" x14ac:dyDescent="0.25">
      <c r="A6064" t="str">
        <f>HYPERLINK("https://www.773grp.com/globalSearch/TLV320AIC23BIRHD/page-1", "TLV320AIC23BIRHD")</f>
        <v>TLV320AIC23BIRHD</v>
      </c>
      <c r="B6064" s="3" t="str">
        <f>HYPERLINK("https://www.773grp.com/manufacturer/texas-instruments?pageNo=534", "Texas Instruments")</f>
        <v>Texas Instruments</v>
      </c>
      <c r="C6064" s="5">
        <v>1580</v>
      </c>
      <c r="D6064" s="6">
        <v>13.08</v>
      </c>
      <c r="E6064" t="s">
        <v>20</v>
      </c>
    </row>
    <row r="6065" spans="1:5" x14ac:dyDescent="0.25">
      <c r="A6065" t="str">
        <f>HYPERLINK("https://www.773grp.com/globalSearch/TLV320AIC23BIZQE/page-1", "TLV320AIC23BIZQE")</f>
        <v>TLV320AIC23BIZQE</v>
      </c>
      <c r="B6065" s="3" t="str">
        <f>HYPERLINK("https://www.773grp.com/manufacturer/texas-instruments?pageNo=535", "Texas Instruments")</f>
        <v>Texas Instruments</v>
      </c>
      <c r="C6065" s="5">
        <v>2281</v>
      </c>
      <c r="D6065" s="6">
        <v>13.08</v>
      </c>
      <c r="E6065" t="s">
        <v>20</v>
      </c>
    </row>
    <row r="6066" spans="1:5" x14ac:dyDescent="0.25">
      <c r="A6066" t="str">
        <f>HYPERLINK("https://www.773grp.com/globalSearch/TSC2301IGQZR/page-1", "TSC2301IGQZR")</f>
        <v>TSC2301IGQZR</v>
      </c>
      <c r="B6066" s="3" t="str">
        <f>HYPERLINK("https://www.773grp.com/manufacturer/texas-instruments?pageNo=537", "Texas Instruments")</f>
        <v>Texas Instruments</v>
      </c>
      <c r="C6066" s="5">
        <v>7500</v>
      </c>
      <c r="D6066" s="6">
        <v>13.08</v>
      </c>
      <c r="E6066" t="s">
        <v>20</v>
      </c>
    </row>
    <row r="6067" spans="1:5" x14ac:dyDescent="0.25">
      <c r="A6067" t="str">
        <f>HYPERLINK("https://www.773grp.com/globalSearch/TAS5010PFB/page-1", "TAS5010PFB")</f>
        <v>TAS5010PFB</v>
      </c>
      <c r="B6067" s="3" t="str">
        <f>HYPERLINK("https://www.773grp.com/manufacturer/texas-instruments?pageNo=555", "Texas Instruments")</f>
        <v>Texas Instruments</v>
      </c>
      <c r="C6067" s="5">
        <v>250</v>
      </c>
      <c r="D6067" s="6">
        <v>13.16</v>
      </c>
      <c r="E6067" t="s">
        <v>20</v>
      </c>
    </row>
    <row r="6068" spans="1:5" x14ac:dyDescent="0.25">
      <c r="A6068" t="str">
        <f>HYPERLINK("https://www.773grp.com/globalSearch/TSC2101IRGZ/page-1", "TSC2101IRGZ")</f>
        <v>TSC2101IRGZ</v>
      </c>
      <c r="B6068" s="3" t="str">
        <f>HYPERLINK("https://www.773grp.com/manufacturer/texas-instruments?pageNo=634", "Texas Instruments")</f>
        <v>Texas Instruments</v>
      </c>
      <c r="C6068" s="5">
        <v>5516</v>
      </c>
      <c r="D6068" s="6">
        <v>13.3</v>
      </c>
      <c r="E6068" t="s">
        <v>20</v>
      </c>
    </row>
    <row r="6069" spans="1:5" x14ac:dyDescent="0.25">
      <c r="A6069" t="str">
        <f>HYPERLINK("https://www.773grp.com/globalSearch/TLV320AIC31IRHBT/page-1", "TLV320AIC31IRHBT")</f>
        <v>TLV320AIC31IRHBT</v>
      </c>
      <c r="B6069" s="3" t="str">
        <f>HYPERLINK("https://www.773grp.com/manufacturer/texas-instruments?pageNo=674", "Texas Instruments")</f>
        <v>Texas Instruments</v>
      </c>
      <c r="C6069" s="5">
        <v>2181</v>
      </c>
      <c r="D6069" s="6">
        <v>13.36</v>
      </c>
      <c r="E6069" t="s">
        <v>20</v>
      </c>
    </row>
    <row r="6070" spans="1:5" x14ac:dyDescent="0.25">
      <c r="A6070" t="str">
        <f>HYPERLINK("https://www.773grp.com/globalSearch/TLV990-28PFB/page-1", "TLV990-28PFB")</f>
        <v>TLV990-28PFB</v>
      </c>
      <c r="B6070" s="3" t="str">
        <f>HYPERLINK("https://www.773grp.com/manufacturer/texas-instruments?pageNo=709", "Texas Instruments")</f>
        <v>Texas Instruments</v>
      </c>
      <c r="C6070" s="5">
        <v>1500</v>
      </c>
      <c r="D6070" s="6">
        <v>13.45</v>
      </c>
      <c r="E6070" t="s">
        <v>20</v>
      </c>
    </row>
    <row r="6071" spans="1:5" x14ac:dyDescent="0.25">
      <c r="A6071" t="str">
        <f>HYPERLINK("https://www.773grp.com/globalSearch/TVP70025IPZP/page-1", "TVP70025IPZP")</f>
        <v>TVP70025IPZP</v>
      </c>
      <c r="B6071" s="3" t="str">
        <f>HYPERLINK("https://www.773grp.com/manufacturer/texas-instruments?pageNo=710", "Texas Instruments")</f>
        <v>Texas Instruments</v>
      </c>
      <c r="C6071" s="5">
        <v>483</v>
      </c>
      <c r="D6071" s="6">
        <v>13.45</v>
      </c>
      <c r="E6071" t="s">
        <v>20</v>
      </c>
    </row>
    <row r="6072" spans="1:5" x14ac:dyDescent="0.25">
      <c r="A6072" t="str">
        <f>HYPERLINK("https://www.773grp.com/globalSearch/TLV320AIC23BIGQE/page-1", "TLV320AIC23BIGQE")</f>
        <v>TLV320AIC23BIGQE</v>
      </c>
      <c r="B6072" s="3" t="str">
        <f>HYPERLINK("https://www.773grp.com/manufacturer/texas-instruments?pageNo=752", "Texas Instruments")</f>
        <v>Texas Instruments</v>
      </c>
      <c r="C6072" s="5">
        <v>18678</v>
      </c>
      <c r="D6072" s="6">
        <v>13.5</v>
      </c>
      <c r="E6072" t="s">
        <v>20</v>
      </c>
    </row>
    <row r="6073" spans="1:5" x14ac:dyDescent="0.25">
      <c r="A6073" t="str">
        <f>HYPERLINK("https://www.773grp.com/globalSearch/TLV320AIC23GQE/page-1", "TLV320AIC23GQE")</f>
        <v>TLV320AIC23GQE</v>
      </c>
      <c r="B6073" s="3" t="str">
        <f>HYPERLINK("https://www.773grp.com/manufacturer/texas-instruments?pageNo=753", "Texas Instruments")</f>
        <v>Texas Instruments</v>
      </c>
      <c r="C6073" s="5">
        <v>26411</v>
      </c>
      <c r="D6073" s="6">
        <v>13.5</v>
      </c>
      <c r="E6073" t="s">
        <v>20</v>
      </c>
    </row>
    <row r="6074" spans="1:5" x14ac:dyDescent="0.25">
      <c r="A6074" t="str">
        <f>HYPERLINK("https://www.773grp.com/globalSearch/TLV320AIC23PW/page-1", "TLV320AIC23PW")</f>
        <v>TLV320AIC23PW</v>
      </c>
      <c r="B6074" s="3" t="str">
        <f>HYPERLINK("https://www.773grp.com/manufacturer/texas-instruments?pageNo=800", "Texas Instruments")</f>
        <v>Texas Instruments</v>
      </c>
      <c r="C6074" s="5">
        <v>3392</v>
      </c>
      <c r="D6074" s="6">
        <v>13.61</v>
      </c>
      <c r="E6074" t="s">
        <v>20</v>
      </c>
    </row>
    <row r="6075" spans="1:5" x14ac:dyDescent="0.25">
      <c r="A6075" t="str">
        <f>HYPERLINK("https://www.773grp.com/globalSearch/TSC2301IZQZR/page-1", "TSC2301IZQZR")</f>
        <v>TSC2301IZQZR</v>
      </c>
      <c r="B6075" s="3" t="str">
        <f>HYPERLINK("https://www.773grp.com/manufacturer/texas-instruments?pageNo=861", "Texas Instruments")</f>
        <v>Texas Instruments</v>
      </c>
      <c r="C6075" s="5">
        <v>65000</v>
      </c>
      <c r="D6075" s="6">
        <v>13.73</v>
      </c>
      <c r="E6075" t="s">
        <v>20</v>
      </c>
    </row>
    <row r="6076" spans="1:5" x14ac:dyDescent="0.25">
      <c r="A6076" t="str">
        <f>HYPERLINK("https://www.773grp.com/globalSearch/TAS5508APAG/page-1", "TAS5508APAG")</f>
        <v>TAS5508APAG</v>
      </c>
      <c r="B6076" s="3" t="s">
        <v>90</v>
      </c>
      <c r="C6076" s="5">
        <v>2030</v>
      </c>
      <c r="D6076" s="6">
        <v>14.06</v>
      </c>
      <c r="E6076" t="s">
        <v>20</v>
      </c>
    </row>
    <row r="6077" spans="1:5" x14ac:dyDescent="0.25">
      <c r="A6077" t="str">
        <f>HYPERLINK("https://www.773grp.com/globalSearch/PCM2902E-2K/page-1", "PCM2902E-2K")</f>
        <v>PCM2902E-2K</v>
      </c>
      <c r="B6077" s="3" t="s">
        <v>90</v>
      </c>
      <c r="C6077" s="5">
        <v>2000</v>
      </c>
      <c r="D6077" s="6">
        <v>14.09</v>
      </c>
      <c r="E6077" t="s">
        <v>20</v>
      </c>
    </row>
    <row r="6078" spans="1:5" x14ac:dyDescent="0.25">
      <c r="A6078" t="str">
        <f>HYPERLINK("https://www.773grp.com/globalSearch/PCM3010DB/page-1", "PCM3010DB")</f>
        <v>PCM3010DB</v>
      </c>
      <c r="B6078" s="3" t="s">
        <v>90</v>
      </c>
      <c r="C6078" s="5">
        <v>58</v>
      </c>
      <c r="D6078" s="6">
        <v>14.14</v>
      </c>
      <c r="E6078" t="s">
        <v>20</v>
      </c>
    </row>
    <row r="6079" spans="1:5" x14ac:dyDescent="0.25">
      <c r="A6079" t="str">
        <f>HYPERLINK("https://www.773grp.com/globalSearch/TAS5010IPFB/page-1", "TAS5010IPFB")</f>
        <v>TAS5010IPFB</v>
      </c>
      <c r="B6079" s="3" t="s">
        <v>90</v>
      </c>
      <c r="C6079" s="5">
        <v>7091</v>
      </c>
      <c r="D6079" s="6">
        <v>14.48</v>
      </c>
      <c r="E6079" t="s">
        <v>20</v>
      </c>
    </row>
    <row r="6080" spans="1:5" x14ac:dyDescent="0.25">
      <c r="A6080" t="str">
        <f>HYPERLINK("https://www.773grp.com/globalSearch/TSC2117IRGZT/page-1", "TSC2117IRGZT")</f>
        <v>TSC2117IRGZT</v>
      </c>
      <c r="B6080" s="3" t="s">
        <v>90</v>
      </c>
      <c r="C6080" s="5">
        <v>13988</v>
      </c>
      <c r="D6080" s="6">
        <v>14.48</v>
      </c>
      <c r="E6080" t="s">
        <v>20</v>
      </c>
    </row>
    <row r="6081" spans="1:5" x14ac:dyDescent="0.25">
      <c r="A6081" t="str">
        <f>HYPERLINK("https://www.773grp.com/globalSearch/TSC2301IGQZ/page-1", "TSC2301IGQZ")</f>
        <v>TSC2301IGQZ</v>
      </c>
      <c r="B6081" s="3" t="s">
        <v>90</v>
      </c>
      <c r="C6081" s="5">
        <v>8850</v>
      </c>
      <c r="D6081" s="6">
        <v>14.48</v>
      </c>
      <c r="E6081" t="s">
        <v>20</v>
      </c>
    </row>
    <row r="6082" spans="1:5" x14ac:dyDescent="0.25">
      <c r="A6082" t="str">
        <f>HYPERLINK("https://www.773grp.com/globalSearch/SRC4193IDBR/page-1", "SRC4193IDBR")</f>
        <v>SRC4193IDBR</v>
      </c>
      <c r="B6082" s="3" t="s">
        <v>90</v>
      </c>
      <c r="C6082" s="5">
        <v>6000</v>
      </c>
      <c r="D6082" s="6">
        <v>14.63</v>
      </c>
      <c r="E6082" t="s">
        <v>20</v>
      </c>
    </row>
    <row r="6083" spans="1:5" x14ac:dyDescent="0.25">
      <c r="A6083" t="str">
        <f>HYPERLINK("https://www.773grp.com/globalSearch/TLV990-40PFB/page-1", "TLV990-40PFB")</f>
        <v>TLV990-40PFB</v>
      </c>
      <c r="B6083" s="3" t="s">
        <v>90</v>
      </c>
      <c r="C6083" s="5">
        <v>1140</v>
      </c>
      <c r="D6083" s="6">
        <v>14.76</v>
      </c>
      <c r="E6083" t="s">
        <v>20</v>
      </c>
    </row>
    <row r="6084" spans="1:5" x14ac:dyDescent="0.25">
      <c r="A6084" t="str">
        <f>HYPERLINK("https://www.773grp.com/globalSearch/TPS65950A2ZXN/page-1", "TPS65950A2ZXN")</f>
        <v>TPS65950A2ZXN</v>
      </c>
      <c r="B6084" s="3" t="s">
        <v>90</v>
      </c>
      <c r="C6084" s="5">
        <v>1290</v>
      </c>
      <c r="D6084" s="6">
        <v>14.85</v>
      </c>
      <c r="E6084" t="s">
        <v>20</v>
      </c>
    </row>
    <row r="6085" spans="1:5" x14ac:dyDescent="0.25">
      <c r="A6085" t="str">
        <f>HYPERLINK("https://www.773grp.com/globalSearch/TLV320AIC23IPW/page-1", "TLV320AIC23IPW")</f>
        <v>TLV320AIC23IPW</v>
      </c>
      <c r="B6085" s="3" t="s">
        <v>90</v>
      </c>
      <c r="C6085" s="5">
        <v>882</v>
      </c>
      <c r="D6085" s="6">
        <v>14.96</v>
      </c>
      <c r="E6085" t="s">
        <v>20</v>
      </c>
    </row>
    <row r="6086" spans="1:5" x14ac:dyDescent="0.25">
      <c r="A6086" t="str">
        <f>HYPERLINK("https://www.773grp.com/globalSearch/TFP403PZP/page-1", "TFP403PZP")</f>
        <v>TFP403PZP</v>
      </c>
      <c r="B6086" s="3" t="s">
        <v>90</v>
      </c>
      <c r="C6086" s="5">
        <v>2564</v>
      </c>
      <c r="D6086" s="6">
        <v>15.33</v>
      </c>
      <c r="E6086" t="s">
        <v>20</v>
      </c>
    </row>
    <row r="6087" spans="1:5" x14ac:dyDescent="0.25">
      <c r="A6087" t="str">
        <f>HYPERLINK("https://www.773grp.com/globalSearch/TLV320AIC23IGQE/page-1", "TLV320AIC23IGQE")</f>
        <v>TLV320AIC23IGQE</v>
      </c>
      <c r="B6087" s="3" t="s">
        <v>90</v>
      </c>
      <c r="C6087" s="5">
        <v>21165</v>
      </c>
      <c r="D6087" s="6">
        <v>15.39</v>
      </c>
      <c r="E6087" t="s">
        <v>20</v>
      </c>
    </row>
    <row r="6088" spans="1:5" x14ac:dyDescent="0.25">
      <c r="A6088" t="str">
        <f>HYPERLINK("https://www.773grp.com/globalSearch/TPS65950BZXNR/page-1", "TPS65950BZXNR")</f>
        <v>TPS65950BZXNR</v>
      </c>
      <c r="B6088" s="3" t="s">
        <v>90</v>
      </c>
      <c r="C6088" s="5">
        <v>2000</v>
      </c>
      <c r="D6088" s="6">
        <v>15.48</v>
      </c>
      <c r="E6088" t="s">
        <v>20</v>
      </c>
    </row>
    <row r="6089" spans="1:5" x14ac:dyDescent="0.25">
      <c r="A6089" t="str">
        <f>HYPERLINK("https://www.773grp.com/globalSearch/TSC2302IRGZ/page-1", "TSC2302IRGZ")</f>
        <v>TSC2302IRGZ</v>
      </c>
      <c r="B6089" s="3" t="s">
        <v>90</v>
      </c>
      <c r="C6089" s="5">
        <v>7380</v>
      </c>
      <c r="D6089" s="6">
        <v>15.48</v>
      </c>
      <c r="E6089" t="s">
        <v>20</v>
      </c>
    </row>
    <row r="6090" spans="1:5" x14ac:dyDescent="0.25">
      <c r="A6090" t="str">
        <f>HYPERLINK("https://www.773grp.com/globalSearch/TAS5508APAGR/page-1", "TAS5508APAGR")</f>
        <v>TAS5508APAGR</v>
      </c>
      <c r="B6090" s="3" t="s">
        <v>90</v>
      </c>
      <c r="C6090" s="5">
        <v>6000</v>
      </c>
      <c r="D6090" s="6">
        <v>15.64</v>
      </c>
      <c r="E6090" t="s">
        <v>20</v>
      </c>
    </row>
    <row r="6091" spans="1:5" x14ac:dyDescent="0.25">
      <c r="A6091" t="str">
        <f>HYPERLINK("https://www.773grp.com/globalSearch/TSC2300IPAG/page-1", "TSC2300IPAG")</f>
        <v>TSC2300IPAG</v>
      </c>
      <c r="B6091" s="3" t="s">
        <v>90</v>
      </c>
      <c r="C6091" s="5">
        <v>17006</v>
      </c>
      <c r="D6091" s="6">
        <v>15.75</v>
      </c>
      <c r="E6091" t="s">
        <v>20</v>
      </c>
    </row>
    <row r="6092" spans="1:5" x14ac:dyDescent="0.25">
      <c r="A6092" t="str">
        <f>HYPERLINK("https://www.773grp.com/globalSearch/TSC2301IZQZ/page-1", "TSC2301IZQZ")</f>
        <v>TSC2301IZQZ</v>
      </c>
      <c r="B6092" s="3" t="s">
        <v>90</v>
      </c>
      <c r="C6092" s="5">
        <v>26750</v>
      </c>
      <c r="D6092" s="6">
        <v>15.75</v>
      </c>
      <c r="E6092" t="s">
        <v>20</v>
      </c>
    </row>
    <row r="6093" spans="1:5" x14ac:dyDescent="0.25">
      <c r="A6093" t="str">
        <f>HYPERLINK("https://www.773grp.com/globalSearch/TVP7001PZP/page-1", "TVP7001PZP")</f>
        <v>TVP7001PZP</v>
      </c>
      <c r="B6093" s="3" t="s">
        <v>90</v>
      </c>
      <c r="C6093" s="5">
        <v>50</v>
      </c>
      <c r="D6093" s="6">
        <v>15.98</v>
      </c>
      <c r="E6093" t="s">
        <v>20</v>
      </c>
    </row>
    <row r="6094" spans="1:5" x14ac:dyDescent="0.25">
      <c r="A6094" t="str">
        <f>HYPERLINK("https://www.773grp.com/globalSearch/TVP7001PZPR/page-1", "TVP7001PZPR")</f>
        <v>TVP7001PZPR</v>
      </c>
      <c r="B6094" s="3" t="s">
        <v>90</v>
      </c>
      <c r="C6094" s="5">
        <v>6000</v>
      </c>
      <c r="D6094" s="6">
        <v>15.98</v>
      </c>
      <c r="E6094" t="s">
        <v>20</v>
      </c>
    </row>
    <row r="6095" spans="1:5" x14ac:dyDescent="0.25">
      <c r="A6095" t="str">
        <f>HYPERLINK("https://www.773grp.com/globalSearch/PCM3168APAP/page-1", "PCM3168APAP")</f>
        <v>PCM3168APAP</v>
      </c>
      <c r="B6095" s="3" t="s">
        <v>90</v>
      </c>
      <c r="C6095" s="5">
        <v>911</v>
      </c>
      <c r="D6095" s="6">
        <v>16.309999999999999</v>
      </c>
      <c r="E6095" t="s">
        <v>20</v>
      </c>
    </row>
    <row r="6096" spans="1:5" x14ac:dyDescent="0.25">
      <c r="A6096" t="str">
        <f>HYPERLINK("https://www.773grp.com/globalSearch/VSP1221PFB/page-1", "VSP1221PFB")</f>
        <v>VSP1221PFB</v>
      </c>
      <c r="B6096" s="3" t="s">
        <v>90</v>
      </c>
      <c r="C6096" s="5">
        <v>78</v>
      </c>
      <c r="D6096" s="6">
        <v>16.34</v>
      </c>
      <c r="E6096" t="s">
        <v>20</v>
      </c>
    </row>
    <row r="6097" spans="1:5" x14ac:dyDescent="0.25">
      <c r="A6097" t="str">
        <f>HYPERLINK("https://www.773grp.com/globalSearch/PCM2904DB/page-1", "PCM2904DB")</f>
        <v>PCM2904DB</v>
      </c>
      <c r="B6097" s="3" t="s">
        <v>90</v>
      </c>
      <c r="C6097" s="5">
        <v>141</v>
      </c>
      <c r="D6097" s="6">
        <v>16.399999999999999</v>
      </c>
      <c r="E6097" t="s">
        <v>20</v>
      </c>
    </row>
    <row r="6098" spans="1:5" x14ac:dyDescent="0.25">
      <c r="A6098" t="str">
        <f>HYPERLINK("https://www.773grp.com/globalSearch/TSC2301IPAG/page-1", "TSC2301IPAG")</f>
        <v>TSC2301IPAG</v>
      </c>
      <c r="B6098" s="3" t="s">
        <v>90</v>
      </c>
      <c r="C6098" s="5">
        <v>315</v>
      </c>
      <c r="D6098" s="6">
        <v>16.489999999999998</v>
      </c>
      <c r="E6098" t="s">
        <v>20</v>
      </c>
    </row>
    <row r="6099" spans="1:5" x14ac:dyDescent="0.25">
      <c r="A6099" t="str">
        <f>HYPERLINK("https://www.773grp.com/globalSearch/PCM2901E/page-1", "PCM2901E")</f>
        <v>PCM2901E</v>
      </c>
      <c r="B6099" s="3" t="s">
        <v>90</v>
      </c>
      <c r="C6099" s="5">
        <v>1442</v>
      </c>
      <c r="D6099" s="6">
        <v>16.649999999999999</v>
      </c>
      <c r="E6099" t="s">
        <v>20</v>
      </c>
    </row>
    <row r="6100" spans="1:5" x14ac:dyDescent="0.25">
      <c r="A6100" t="str">
        <f>HYPERLINK("https://www.773grp.com/globalSearch/PCM2901E/page-1", "PCM2901E")</f>
        <v>PCM2901E</v>
      </c>
      <c r="B6100" s="3" t="s">
        <v>90</v>
      </c>
      <c r="C6100" s="5">
        <v>109</v>
      </c>
      <c r="D6100" s="6">
        <v>16.649999999999999</v>
      </c>
      <c r="E6100" t="s">
        <v>20</v>
      </c>
    </row>
    <row r="6101" spans="1:5" x14ac:dyDescent="0.25">
      <c r="A6101" t="str">
        <f>HYPERLINK("https://www.773grp.com/globalSearch/TSB15LV01PFC/page-1", "TSB15LV01PFC")</f>
        <v>TSB15LV01PFC</v>
      </c>
      <c r="B6101" s="3" t="s">
        <v>90</v>
      </c>
      <c r="C6101" s="5">
        <v>5264</v>
      </c>
      <c r="D6101" s="6">
        <v>16.88</v>
      </c>
      <c r="E6101" t="s">
        <v>20</v>
      </c>
    </row>
    <row r="6102" spans="1:5" x14ac:dyDescent="0.25">
      <c r="A6102" t="str">
        <f>HYPERLINK("https://www.773grp.com/globalSearch/TAS5000PFB/page-1", "TAS5000PFB")</f>
        <v>TAS5000PFB</v>
      </c>
      <c r="B6102" s="3" t="s">
        <v>90</v>
      </c>
      <c r="C6102" s="5">
        <v>687</v>
      </c>
      <c r="D6102" s="6">
        <v>16.93</v>
      </c>
      <c r="E6102" t="s">
        <v>20</v>
      </c>
    </row>
    <row r="6103" spans="1:5" x14ac:dyDescent="0.25">
      <c r="A6103" t="str">
        <f>HYPERLINK("https://www.773grp.com/globalSearch/TAS5028PAGR/page-1", "TAS5028PAGR")</f>
        <v>TAS5028PAGR</v>
      </c>
      <c r="B6103" s="3" t="s">
        <v>90</v>
      </c>
      <c r="C6103" s="5">
        <v>4500</v>
      </c>
      <c r="D6103" s="6">
        <v>17.3</v>
      </c>
      <c r="E6103" t="s">
        <v>20</v>
      </c>
    </row>
    <row r="6104" spans="1:5" x14ac:dyDescent="0.25">
      <c r="A6104" t="str">
        <f>HYPERLINK("https://www.773grp.com/globalSearch/TAS3103DBT/page-1", "TAS3103DBT")</f>
        <v>TAS3103DBT</v>
      </c>
      <c r="B6104" s="3" t="s">
        <v>90</v>
      </c>
      <c r="C6104" s="5">
        <v>616</v>
      </c>
      <c r="D6104" s="6">
        <v>17.350000000000001</v>
      </c>
      <c r="E6104" t="s">
        <v>20</v>
      </c>
    </row>
    <row r="6105" spans="1:5" x14ac:dyDescent="0.25">
      <c r="A6105" t="str">
        <f>HYPERLINK("https://www.773grp.com/globalSearch/TAS3103DBTR/page-1", "TAS3103DBTR")</f>
        <v>TAS3103DBTR</v>
      </c>
      <c r="B6105" s="3" t="s">
        <v>90</v>
      </c>
      <c r="C6105" s="5">
        <v>74822</v>
      </c>
      <c r="D6105" s="6">
        <v>17.350000000000001</v>
      </c>
      <c r="E6105" t="s">
        <v>20</v>
      </c>
    </row>
    <row r="6106" spans="1:5" x14ac:dyDescent="0.25">
      <c r="A6106" t="str">
        <f>HYPERLINK("https://www.773grp.com/globalSearch/TAS3103DBTRG4/page-1", "TAS3103DBTRG4")</f>
        <v>TAS3103DBTRG4</v>
      </c>
      <c r="B6106" s="3" t="s">
        <v>90</v>
      </c>
      <c r="C6106" s="5">
        <v>5600</v>
      </c>
      <c r="D6106" s="6">
        <v>17.350000000000001</v>
      </c>
      <c r="E6106" t="s">
        <v>20</v>
      </c>
    </row>
    <row r="6107" spans="1:5" x14ac:dyDescent="0.25">
      <c r="A6107" t="str">
        <f>HYPERLINK("https://www.773grp.com/globalSearch/TAS5012PFBR/page-1", "TAS5012PFBR")</f>
        <v>TAS5012PFBR</v>
      </c>
      <c r="B6107" s="3" t="s">
        <v>90</v>
      </c>
      <c r="C6107" s="5">
        <v>7000</v>
      </c>
      <c r="D6107" s="6">
        <v>17.46</v>
      </c>
      <c r="E6107" t="s">
        <v>20</v>
      </c>
    </row>
    <row r="6108" spans="1:5" x14ac:dyDescent="0.25">
      <c r="A6108" t="str">
        <f>HYPERLINK("https://www.773grp.com/globalSearch/SN761210FR/page-1", "SN761210FR")</f>
        <v>SN761210FR</v>
      </c>
      <c r="B6108" s="3" t="s">
        <v>90</v>
      </c>
      <c r="C6108" s="5">
        <v>50</v>
      </c>
      <c r="D6108" s="6">
        <v>17.55</v>
      </c>
      <c r="E6108" t="s">
        <v>20</v>
      </c>
    </row>
    <row r="6109" spans="1:5" x14ac:dyDescent="0.25">
      <c r="A6109" t="str">
        <f>HYPERLINK("https://www.773grp.com/globalSearch/SRC4192IDB/page-1", "SRC4192IDB")</f>
        <v>SRC4192IDB</v>
      </c>
      <c r="B6109" s="3" t="s">
        <v>90</v>
      </c>
      <c r="C6109" s="5">
        <v>2465</v>
      </c>
      <c r="D6109" s="6">
        <v>17.55</v>
      </c>
      <c r="E6109" t="s">
        <v>20</v>
      </c>
    </row>
    <row r="6110" spans="1:5" x14ac:dyDescent="0.25">
      <c r="A6110" t="str">
        <f>HYPERLINK("https://www.773grp.com/globalSearch/SRC4193IDB/page-1", "SRC4193IDB")</f>
        <v>SRC4193IDB</v>
      </c>
      <c r="B6110" s="3" t="s">
        <v>90</v>
      </c>
      <c r="C6110" s="5">
        <v>671</v>
      </c>
      <c r="D6110" s="6">
        <v>17.55</v>
      </c>
      <c r="E6110" t="s">
        <v>20</v>
      </c>
    </row>
    <row r="6111" spans="1:5" x14ac:dyDescent="0.25">
      <c r="A6111" t="str">
        <f>HYPERLINK("https://www.773grp.com/globalSearch/SRC4193IDB/page-1", "SRC4193IDB")</f>
        <v>SRC4193IDB</v>
      </c>
      <c r="B6111" s="3" t="s">
        <v>90</v>
      </c>
      <c r="C6111" s="5">
        <v>6865</v>
      </c>
      <c r="D6111" s="6">
        <v>17.55</v>
      </c>
      <c r="E6111" t="s">
        <v>20</v>
      </c>
    </row>
    <row r="6112" spans="1:5" x14ac:dyDescent="0.25">
      <c r="A6112" t="str">
        <f>HYPERLINK("https://www.773grp.com/globalSearch/PCM2902E/page-1", "PCM2902E")</f>
        <v>PCM2902E</v>
      </c>
      <c r="B6112" s="3" t="s">
        <v>90</v>
      </c>
      <c r="C6112" s="5">
        <v>1</v>
      </c>
      <c r="D6112" s="6">
        <v>17.600000000000001</v>
      </c>
      <c r="E6112" t="s">
        <v>20</v>
      </c>
    </row>
    <row r="6113" spans="1:5" x14ac:dyDescent="0.25">
      <c r="A6113" t="str">
        <f>HYPERLINK("https://www.773grp.com/globalSearch/PCM2902EG4/page-1", "PCM2902EG4")</f>
        <v>PCM2902EG4</v>
      </c>
      <c r="B6113" s="3" t="s">
        <v>90</v>
      </c>
      <c r="C6113" s="5">
        <v>468</v>
      </c>
      <c r="D6113" s="6">
        <v>17.600000000000001</v>
      </c>
      <c r="E6113" t="s">
        <v>20</v>
      </c>
    </row>
    <row r="6114" spans="1:5" x14ac:dyDescent="0.25">
      <c r="A6114" t="str">
        <f>HYPERLINK("https://www.773grp.com/globalSearch/PCM2903E/page-1", "PCM2903E")</f>
        <v>PCM2903E</v>
      </c>
      <c r="B6114" s="3" t="s">
        <v>90</v>
      </c>
      <c r="C6114" s="5">
        <v>128</v>
      </c>
      <c r="D6114" s="6">
        <v>17.89</v>
      </c>
      <c r="E6114" t="s">
        <v>20</v>
      </c>
    </row>
    <row r="6115" spans="1:5" x14ac:dyDescent="0.25">
      <c r="A6115" t="str">
        <f>HYPERLINK("https://www.773grp.com/globalSearch/TAS5508BPAG/page-1", "TAS5508BPAG")</f>
        <v>TAS5508BPAG</v>
      </c>
      <c r="B6115" s="3" t="s">
        <v>90</v>
      </c>
      <c r="C6115" s="5">
        <v>4622</v>
      </c>
      <c r="D6115" s="6">
        <v>18.399999999999999</v>
      </c>
      <c r="E6115" t="s">
        <v>20</v>
      </c>
    </row>
    <row r="6116" spans="1:5" x14ac:dyDescent="0.25">
      <c r="A6116" t="str">
        <f>HYPERLINK("https://www.773grp.com/globalSearch/VSP1900DBTR/page-1", "VSP1900DBTR")</f>
        <v>VSP1900DBTR</v>
      </c>
      <c r="B6116" s="3" t="s">
        <v>90</v>
      </c>
      <c r="C6116" s="5">
        <v>14000</v>
      </c>
      <c r="D6116" s="6">
        <v>18.43</v>
      </c>
      <c r="E6116" t="s">
        <v>20</v>
      </c>
    </row>
    <row r="6117" spans="1:5" x14ac:dyDescent="0.25">
      <c r="A6117" t="str">
        <f>HYPERLINK("https://www.773grp.com/globalSearch/PCM2906DBR/page-1", "PCM2906DBR")</f>
        <v>PCM2906DBR</v>
      </c>
      <c r="B6117" s="3" t="s">
        <v>90</v>
      </c>
      <c r="C6117" s="5">
        <v>10000</v>
      </c>
      <c r="D6117" s="6">
        <v>18.559999999999999</v>
      </c>
      <c r="E6117" t="s">
        <v>20</v>
      </c>
    </row>
    <row r="6118" spans="1:5" x14ac:dyDescent="0.25">
      <c r="A6118" t="str">
        <f>HYPERLINK("https://www.773grp.com/globalSearch/TPS65950BZXN/page-1", "TPS65950BZXN")</f>
        <v>TPS65950BZXN</v>
      </c>
      <c r="B6118" s="3" t="s">
        <v>90</v>
      </c>
      <c r="C6118" s="5">
        <v>1309</v>
      </c>
      <c r="D6118" s="6">
        <v>18.559999999999999</v>
      </c>
      <c r="E6118" t="s">
        <v>20</v>
      </c>
    </row>
    <row r="6119" spans="1:5" x14ac:dyDescent="0.25">
      <c r="A6119" t="str">
        <f>HYPERLINK("https://www.773grp.com/globalSearch/TSB15LV01IPFC/page-1", "TSB15LV01IPFC")</f>
        <v>TSB15LV01IPFC</v>
      </c>
      <c r="B6119" s="3" t="s">
        <v>90</v>
      </c>
      <c r="C6119" s="5">
        <v>8903</v>
      </c>
      <c r="D6119" s="6">
        <v>18.559999999999999</v>
      </c>
      <c r="E6119" t="s">
        <v>20</v>
      </c>
    </row>
    <row r="6120" spans="1:5" x14ac:dyDescent="0.25">
      <c r="A6120" t="str">
        <f>HYPERLINK("https://www.773grp.com/globalSearch/TAS3202PAG/page-1", "TAS3202PAG")</f>
        <v>TAS3202PAG</v>
      </c>
      <c r="B6120" s="3" t="s">
        <v>90</v>
      </c>
      <c r="C6120" s="5">
        <v>345</v>
      </c>
      <c r="D6120" s="6">
        <v>19.04</v>
      </c>
      <c r="E6120" t="s">
        <v>20</v>
      </c>
    </row>
    <row r="6121" spans="1:5" x14ac:dyDescent="0.25">
      <c r="A6121" t="str">
        <f>HYPERLINK("https://www.773grp.com/globalSearch/TAS5026PAG/page-1", "TAS5026PAG")</f>
        <v>TAS5026PAG</v>
      </c>
      <c r="B6121" s="3" t="s">
        <v>90</v>
      </c>
      <c r="C6121" s="5">
        <v>17280</v>
      </c>
      <c r="D6121" s="6">
        <v>19.28</v>
      </c>
      <c r="E6121" t="s">
        <v>20</v>
      </c>
    </row>
    <row r="6122" spans="1:5" x14ac:dyDescent="0.25">
      <c r="A6122" t="str">
        <f>HYPERLINK("https://www.773grp.com/globalSearch/TAS5026PAGR/page-1", "TAS5026PAGR")</f>
        <v>TAS5026PAGR</v>
      </c>
      <c r="B6122" s="3" t="s">
        <v>90</v>
      </c>
      <c r="C6122" s="5">
        <v>16500</v>
      </c>
      <c r="D6122" s="6">
        <v>19.28</v>
      </c>
      <c r="E6122" t="s">
        <v>20</v>
      </c>
    </row>
    <row r="6123" spans="1:5" x14ac:dyDescent="0.25">
      <c r="A6123" t="str">
        <f>HYPERLINK("https://www.773grp.com/globalSearch/TLC320AD80CPM/page-1", "TLC320AD80CPM")</f>
        <v>TLC320AD80CPM</v>
      </c>
      <c r="B6123" s="3" t="s">
        <v>90</v>
      </c>
      <c r="C6123" s="5">
        <v>2070</v>
      </c>
      <c r="D6123" s="6">
        <v>19.63</v>
      </c>
      <c r="E6123" t="s">
        <v>20</v>
      </c>
    </row>
    <row r="6124" spans="1:5" x14ac:dyDescent="0.25">
      <c r="A6124" t="str">
        <f>HYPERLINK("https://www.773grp.com/globalSearch/SRC4184IPAGT/page-1", "SRC4184IPAGT")</f>
        <v>SRC4184IPAGT</v>
      </c>
      <c r="B6124" s="3" t="s">
        <v>90</v>
      </c>
      <c r="C6124" s="5">
        <v>4030</v>
      </c>
      <c r="D6124" s="6">
        <v>20.21</v>
      </c>
      <c r="E6124" t="s">
        <v>20</v>
      </c>
    </row>
    <row r="6125" spans="1:5" x14ac:dyDescent="0.25">
      <c r="A6125" t="str">
        <f>HYPERLINK("https://www.773grp.com/globalSearch/SRC4382IPFB/page-1", "SRC4382IPFB")</f>
        <v>SRC4382IPFB</v>
      </c>
      <c r="B6125" s="3" t="s">
        <v>90</v>
      </c>
      <c r="C6125" s="5">
        <v>4800</v>
      </c>
      <c r="D6125" s="6">
        <v>20.25</v>
      </c>
      <c r="E6125" t="s">
        <v>20</v>
      </c>
    </row>
    <row r="6126" spans="1:5" x14ac:dyDescent="0.25">
      <c r="A6126" t="str">
        <f>HYPERLINK("https://www.773grp.com/globalSearch/PCM2900E-2K/page-1", "PCM2900E-2K")</f>
        <v>PCM2900E-2K</v>
      </c>
      <c r="B6126" s="3" t="s">
        <v>90</v>
      </c>
      <c r="C6126" s="5">
        <v>2000</v>
      </c>
      <c r="D6126" s="6">
        <v>20.7</v>
      </c>
      <c r="E6126" t="s">
        <v>20</v>
      </c>
    </row>
    <row r="6127" spans="1:5" x14ac:dyDescent="0.25">
      <c r="A6127" t="str">
        <f>HYPERLINK("https://www.773grp.com/globalSearch/TAS5028APAG/page-1", "TAS5028APAG")</f>
        <v>TAS5028APAG</v>
      </c>
      <c r="B6127" s="3" t="s">
        <v>90</v>
      </c>
      <c r="C6127" s="5">
        <v>900</v>
      </c>
      <c r="D6127" s="6">
        <v>20.81</v>
      </c>
      <c r="E6127" t="s">
        <v>20</v>
      </c>
    </row>
    <row r="6128" spans="1:5" x14ac:dyDescent="0.25">
      <c r="A6128" t="str">
        <f>HYPERLINK("https://www.773grp.com/globalSearch/VSP2260Y-2K/page-1", "VSP2260Y-2K")</f>
        <v>VSP2260Y-2K</v>
      </c>
      <c r="B6128" s="3" t="s">
        <v>90</v>
      </c>
      <c r="C6128" s="5">
        <v>2000</v>
      </c>
      <c r="D6128" s="6">
        <v>20.84</v>
      </c>
      <c r="E6128" t="s">
        <v>20</v>
      </c>
    </row>
    <row r="6129" spans="1:5" x14ac:dyDescent="0.25">
      <c r="A6129" t="str">
        <f>HYPERLINK("https://www.773grp.com/globalSearch/TAS5508PAG/page-1", "TAS5508PAG")</f>
        <v>TAS5508PAG</v>
      </c>
      <c r="B6129" s="3" t="s">
        <v>90</v>
      </c>
      <c r="C6129" s="5">
        <v>15240</v>
      </c>
      <c r="D6129" s="6">
        <v>20.96</v>
      </c>
      <c r="E6129" t="s">
        <v>20</v>
      </c>
    </row>
    <row r="6130" spans="1:5" x14ac:dyDescent="0.25">
      <c r="A6130" t="str">
        <f>HYPERLINK("https://www.773grp.com/globalSearch/SRC4184IPAG/page-1", "SRC4184IPAG")</f>
        <v>SRC4184IPAG</v>
      </c>
      <c r="B6130" s="3" t="s">
        <v>90</v>
      </c>
      <c r="C6130" s="5">
        <v>991</v>
      </c>
      <c r="D6130" s="6">
        <v>21.1</v>
      </c>
      <c r="E6130" t="s">
        <v>20</v>
      </c>
    </row>
    <row r="6131" spans="1:5" x14ac:dyDescent="0.25">
      <c r="A6131" t="str">
        <f>HYPERLINK("https://www.773grp.com/globalSearch/SRC4184IPAGG4/page-1", "SRC4184IPAGG4")</f>
        <v>SRC4184IPAGG4</v>
      </c>
      <c r="B6131" s="3" t="s">
        <v>90</v>
      </c>
      <c r="C6131" s="5">
        <v>310</v>
      </c>
      <c r="D6131" s="6">
        <v>21.1</v>
      </c>
      <c r="E6131" t="s">
        <v>20</v>
      </c>
    </row>
    <row r="6132" spans="1:5" x14ac:dyDescent="0.25">
      <c r="A6132" t="str">
        <f>HYPERLINK("https://www.773grp.com/globalSearch/TAS3208PZPR/page-1", "TAS3208PZPR")</f>
        <v>TAS3208PZPR</v>
      </c>
      <c r="B6132" s="3" t="s">
        <v>90</v>
      </c>
      <c r="C6132" s="5">
        <v>1000</v>
      </c>
      <c r="D6132" s="6">
        <v>21.51</v>
      </c>
      <c r="E6132" t="s">
        <v>20</v>
      </c>
    </row>
    <row r="6133" spans="1:5" x14ac:dyDescent="0.25">
      <c r="A6133" t="str">
        <f>HYPERLINK("https://www.773grp.com/globalSearch/TAS5026IPAGR/page-1", "TAS5026IPAGR")</f>
        <v>TAS5026IPAGR</v>
      </c>
      <c r="B6133" s="3" t="s">
        <v>90</v>
      </c>
      <c r="C6133" s="5">
        <v>3000</v>
      </c>
      <c r="D6133" s="6">
        <v>21.51</v>
      </c>
      <c r="E6133" t="s">
        <v>20</v>
      </c>
    </row>
    <row r="6134" spans="1:5" x14ac:dyDescent="0.25">
      <c r="A6134" t="str">
        <f>HYPERLINK("https://www.773grp.com/globalSearch/TAS5028PAG/page-1", "TAS5028PAG")</f>
        <v>TAS5028PAG</v>
      </c>
      <c r="B6134" s="3" t="s">
        <v>90</v>
      </c>
      <c r="C6134" s="5">
        <v>7941</v>
      </c>
      <c r="D6134" s="6">
        <v>21.74</v>
      </c>
      <c r="E6134" t="s">
        <v>20</v>
      </c>
    </row>
    <row r="6135" spans="1:5" x14ac:dyDescent="0.25">
      <c r="A6135" t="str">
        <f>HYPERLINK("https://www.773grp.com/globalSearch/TAS3208IPZP/page-1", "TAS3208IPZP")</f>
        <v>TAS3208IPZP</v>
      </c>
      <c r="B6135" s="3" t="s">
        <v>90</v>
      </c>
      <c r="C6135" s="5">
        <v>145</v>
      </c>
      <c r="D6135" s="6">
        <v>21.85</v>
      </c>
      <c r="E6135" t="s">
        <v>20</v>
      </c>
    </row>
    <row r="6136" spans="1:5" x14ac:dyDescent="0.25">
      <c r="A6136" t="str">
        <f>HYPERLINK("https://www.773grp.com/globalSearch/TAS3208PZP/page-1", "TAS3208PZP")</f>
        <v>TAS3208PZP</v>
      </c>
      <c r="B6136" s="3" t="s">
        <v>90</v>
      </c>
      <c r="C6136" s="5">
        <v>111</v>
      </c>
      <c r="D6136" s="6">
        <v>21.85</v>
      </c>
      <c r="E6136" t="s">
        <v>20</v>
      </c>
    </row>
    <row r="6137" spans="1:5" x14ac:dyDescent="0.25">
      <c r="A6137" t="str">
        <f>HYPERLINK("https://www.773grp.com/globalSearch/TAS3308PZTR/page-1", "TAS3308PZTR")</f>
        <v>TAS3308PZTR</v>
      </c>
      <c r="B6137" s="3" t="s">
        <v>90</v>
      </c>
      <c r="C6137" s="5">
        <v>2000</v>
      </c>
      <c r="D6137" s="6">
        <v>22.23</v>
      </c>
      <c r="E6137" t="s">
        <v>20</v>
      </c>
    </row>
    <row r="6138" spans="1:5" x14ac:dyDescent="0.25">
      <c r="A6138" t="str">
        <f>HYPERLINK("https://www.773grp.com/globalSearch/TFP501PZP/page-1", "TFP501PZP")</f>
        <v>TFP501PZP</v>
      </c>
      <c r="B6138" s="3" t="s">
        <v>90</v>
      </c>
      <c r="C6138" s="5">
        <v>7229</v>
      </c>
      <c r="D6138" s="6">
        <v>22.48</v>
      </c>
      <c r="E6138" t="s">
        <v>20</v>
      </c>
    </row>
    <row r="6139" spans="1:5" x14ac:dyDescent="0.25">
      <c r="A6139" t="str">
        <f>HYPERLINK("https://www.773grp.com/globalSearch/PCM3168ATPAPQ1/page-1", "PCM3168ATPAPQ1")</f>
        <v>PCM3168ATPAPQ1</v>
      </c>
      <c r="B6139" s="3" t="s">
        <v>90</v>
      </c>
      <c r="C6139" s="5">
        <v>2390</v>
      </c>
      <c r="D6139" s="6">
        <v>22.79</v>
      </c>
      <c r="E6139" t="s">
        <v>20</v>
      </c>
    </row>
    <row r="6140" spans="1:5" x14ac:dyDescent="0.25">
      <c r="A6140" t="str">
        <f>HYPERLINK("https://www.773grp.com/globalSearch/TAS5012IPFB/page-1", "TAS5012IPFB")</f>
        <v>TAS5012IPFB</v>
      </c>
      <c r="B6140" s="3" t="s">
        <v>90</v>
      </c>
      <c r="C6140" s="5">
        <v>1900</v>
      </c>
      <c r="D6140" s="6">
        <v>23.04</v>
      </c>
      <c r="E6140" t="s">
        <v>20</v>
      </c>
    </row>
    <row r="6141" spans="1:5" x14ac:dyDescent="0.25">
      <c r="A6141" t="str">
        <f>HYPERLINK("https://www.773grp.com/globalSearch/VSP2265GSJ/page-1", "VSP2265GSJ")</f>
        <v>VSP2265GSJ</v>
      </c>
      <c r="B6141" s="3" t="s">
        <v>90</v>
      </c>
      <c r="C6141" s="5">
        <v>161</v>
      </c>
      <c r="D6141" s="6">
        <v>23.06</v>
      </c>
      <c r="E6141" t="s">
        <v>20</v>
      </c>
    </row>
    <row r="6142" spans="1:5" x14ac:dyDescent="0.25">
      <c r="A6142" t="str">
        <f>HYPERLINK("https://www.773grp.com/globalSearch/TAS5508PAGR/page-1", "TAS5508PAGR")</f>
        <v>TAS5508PAGR</v>
      </c>
      <c r="B6142" s="3" t="s">
        <v>90</v>
      </c>
      <c r="C6142" s="5">
        <v>19500</v>
      </c>
      <c r="D6142" s="6">
        <v>23.2</v>
      </c>
      <c r="E6142" t="s">
        <v>20</v>
      </c>
    </row>
    <row r="6143" spans="1:5" x14ac:dyDescent="0.25">
      <c r="A6143" t="str">
        <f>HYPERLINK("https://www.773grp.com/globalSearch/PCM2906DB/page-1", "PCM2906DB")</f>
        <v>PCM2906DB</v>
      </c>
      <c r="B6143" s="3" t="s">
        <v>90</v>
      </c>
      <c r="C6143" s="5">
        <v>394</v>
      </c>
      <c r="D6143" s="6">
        <v>23.63</v>
      </c>
      <c r="E6143" t="s">
        <v>20</v>
      </c>
    </row>
    <row r="6144" spans="1:5" x14ac:dyDescent="0.25">
      <c r="A6144" t="str">
        <f>HYPERLINK("https://www.773grp.com/globalSearch/TAS5026APAGR/page-1", "TAS5026APAGR")</f>
        <v>TAS5026APAGR</v>
      </c>
      <c r="B6144" s="3" t="s">
        <v>90</v>
      </c>
      <c r="C6144" s="5">
        <v>123000</v>
      </c>
      <c r="D6144" s="6">
        <v>23.76</v>
      </c>
      <c r="E6144" t="s">
        <v>20</v>
      </c>
    </row>
    <row r="6145" spans="1:5" x14ac:dyDescent="0.25">
      <c r="A6145" t="str">
        <f>HYPERLINK("https://www.773grp.com/globalSearch/TAS5026APAGRG4/page-1", "TAS5026APAGRG4")</f>
        <v>TAS5026APAGRG4</v>
      </c>
      <c r="B6145" s="3" t="s">
        <v>90</v>
      </c>
      <c r="C6145" s="5">
        <v>4500</v>
      </c>
      <c r="D6145" s="6">
        <v>23.76</v>
      </c>
      <c r="E6145" t="s">
        <v>20</v>
      </c>
    </row>
    <row r="6146" spans="1:5" x14ac:dyDescent="0.25">
      <c r="A6146" t="str">
        <f>HYPERLINK("https://www.773grp.com/globalSearch/TAS5066PAGR/page-1", "TAS5066PAGR")</f>
        <v>TAS5066PAGR</v>
      </c>
      <c r="B6146" s="3" t="s">
        <v>90</v>
      </c>
      <c r="C6146" s="5">
        <v>9000</v>
      </c>
      <c r="D6146" s="6">
        <v>23.76</v>
      </c>
      <c r="E6146" t="s">
        <v>20</v>
      </c>
    </row>
    <row r="6147" spans="1:5" x14ac:dyDescent="0.25">
      <c r="A6147" t="str">
        <f>HYPERLINK("https://www.773grp.com/globalSearch/VSP2260Y/page-1", "VSP2260Y")</f>
        <v>VSP2260Y</v>
      </c>
      <c r="B6147" s="3" t="s">
        <v>90</v>
      </c>
      <c r="C6147" s="5">
        <v>851</v>
      </c>
      <c r="D6147" s="6">
        <v>24.84</v>
      </c>
      <c r="E6147" t="s">
        <v>20</v>
      </c>
    </row>
    <row r="6148" spans="1:5" x14ac:dyDescent="0.25">
      <c r="A6148" t="str">
        <f>HYPERLINK("https://www.773grp.com/globalSearch/VSP3100Y/page-1", "VSP3100Y")</f>
        <v>VSP3100Y</v>
      </c>
      <c r="B6148" s="3" t="s">
        <v>90</v>
      </c>
      <c r="C6148" s="5">
        <v>210</v>
      </c>
      <c r="D6148" s="6">
        <v>25.49</v>
      </c>
      <c r="E6148" t="s">
        <v>20</v>
      </c>
    </row>
    <row r="6149" spans="1:5" x14ac:dyDescent="0.25">
      <c r="A6149" t="str">
        <f>HYPERLINK("https://www.773grp.com/globalSearch/SRC4194IPAGR/page-1", "SRC4194IPAGR")</f>
        <v>SRC4194IPAGR</v>
      </c>
      <c r="B6149" s="3" t="s">
        <v>90</v>
      </c>
      <c r="C6149" s="5">
        <v>1500</v>
      </c>
      <c r="D6149" s="6">
        <v>26.58</v>
      </c>
      <c r="E6149" t="s">
        <v>20</v>
      </c>
    </row>
    <row r="6150" spans="1:5" x14ac:dyDescent="0.25">
      <c r="A6150" t="str">
        <f>HYPERLINK("https://www.773grp.com/globalSearch/VSP2101Y/page-1", "VSP2101Y")</f>
        <v>VSP2101Y</v>
      </c>
      <c r="B6150" s="3" t="s">
        <v>90</v>
      </c>
      <c r="C6150" s="5">
        <v>80</v>
      </c>
      <c r="D6150" s="6">
        <v>26.58</v>
      </c>
      <c r="E6150" t="s">
        <v>20</v>
      </c>
    </row>
    <row r="6151" spans="1:5" x14ac:dyDescent="0.25">
      <c r="A6151" t="str">
        <f>HYPERLINK("https://www.773grp.com/globalSearch/TAS3218IPZPR/page-1", "TAS3218IPZPR")</f>
        <v>TAS3218IPZPR</v>
      </c>
      <c r="B6151" s="3" t="s">
        <v>90</v>
      </c>
      <c r="C6151" s="5">
        <v>1000</v>
      </c>
      <c r="D6151" s="6">
        <v>27.29</v>
      </c>
      <c r="E6151" t="s">
        <v>20</v>
      </c>
    </row>
    <row r="6152" spans="1:5" x14ac:dyDescent="0.25">
      <c r="A6152" t="str">
        <f>HYPERLINK("https://www.773grp.com/globalSearch/VSP3210Y-2K/page-1", "VSP3210Y-2K")</f>
        <v>VSP3210Y-2K</v>
      </c>
      <c r="B6152" s="3" t="str">
        <f>HYPERLINK("https://www.773grp.com/manufacturer/texas-instruments?pageNo=74", "Texas Instruments")</f>
        <v>Texas Instruments</v>
      </c>
      <c r="C6152" s="5">
        <v>2000</v>
      </c>
      <c r="D6152" s="6">
        <v>27.79</v>
      </c>
      <c r="E6152" t="s">
        <v>20</v>
      </c>
    </row>
    <row r="6153" spans="1:5" x14ac:dyDescent="0.25">
      <c r="A6153" t="str">
        <f>HYPERLINK("https://www.773grp.com/globalSearch/TAS5026APAG/page-1", "TAS5026APAG")</f>
        <v>TAS5026APAG</v>
      </c>
      <c r="B6153" s="3" t="str">
        <f>HYPERLINK("https://www.773grp.com/manufacturer/texas-instruments?pageNo=239", "Texas Instruments")</f>
        <v>Texas Instruments</v>
      </c>
      <c r="C6153" s="5">
        <v>229443</v>
      </c>
      <c r="D6153" s="6">
        <v>28.55</v>
      </c>
      <c r="E6153" t="s">
        <v>20</v>
      </c>
    </row>
    <row r="6154" spans="1:5" x14ac:dyDescent="0.25">
      <c r="A6154" t="str">
        <f>HYPERLINK("https://www.773grp.com/globalSearch/TAS5066PAG/page-1", "TAS5066PAG")</f>
        <v>TAS5066PAG</v>
      </c>
      <c r="B6154" s="3" t="str">
        <f>HYPERLINK("https://www.773grp.com/manufacturer/texas-instruments?pageNo=240", "Texas Instruments")</f>
        <v>Texas Instruments</v>
      </c>
      <c r="C6154" s="5">
        <v>8592</v>
      </c>
      <c r="D6154" s="6">
        <v>28.55</v>
      </c>
      <c r="E6154" t="s">
        <v>20</v>
      </c>
    </row>
    <row r="6155" spans="1:5" x14ac:dyDescent="0.25">
      <c r="A6155" t="str">
        <f>HYPERLINK("https://www.773grp.com/globalSearch/TAS5026IPAG/page-1", "TAS5026IPAG")</f>
        <v>TAS5026IPAG</v>
      </c>
      <c r="B6155" s="3" t="str">
        <f>HYPERLINK("https://www.773grp.com/manufacturer/texas-instruments?pageNo=319", "Texas Instruments")</f>
        <v>Texas Instruments</v>
      </c>
      <c r="C6155" s="5">
        <v>1920</v>
      </c>
      <c r="D6155" s="6">
        <v>29.25</v>
      </c>
      <c r="E6155" t="s">
        <v>20</v>
      </c>
    </row>
    <row r="6156" spans="1:5" x14ac:dyDescent="0.25">
      <c r="A6156" t="str">
        <f>HYPERLINK("https://www.773grp.com/globalSearch/TAS5518CPAG/page-1", "TAS5518CPAG")</f>
        <v>TAS5518CPAG</v>
      </c>
      <c r="B6156" s="3" t="str">
        <f>HYPERLINK("https://www.773grp.com/manufacturer/texas-instruments?pageNo=320", "Texas Instruments")</f>
        <v>Texas Instruments</v>
      </c>
      <c r="C6156" s="5">
        <v>1375</v>
      </c>
      <c r="D6156" s="6">
        <v>29.25</v>
      </c>
      <c r="E6156" t="s">
        <v>20</v>
      </c>
    </row>
    <row r="6157" spans="1:5" x14ac:dyDescent="0.25">
      <c r="A6157" t="str">
        <f>HYPERLINK("https://www.773grp.com/globalSearch/TAS5518PAG/page-1", "TAS5518PAG")</f>
        <v>TAS5518PAG</v>
      </c>
      <c r="B6157" s="3" t="str">
        <f>HYPERLINK("https://www.773grp.com/manufacturer/texas-instruments?pageNo=322", "Texas Instruments")</f>
        <v>Texas Instruments</v>
      </c>
      <c r="C6157" s="5">
        <v>12311</v>
      </c>
      <c r="D6157" s="6">
        <v>29.25</v>
      </c>
      <c r="E6157" t="s">
        <v>20</v>
      </c>
    </row>
    <row r="6158" spans="1:5" x14ac:dyDescent="0.25">
      <c r="A6158" t="str">
        <f>HYPERLINK("https://www.773grp.com/globalSearch/TAS5518PAGR/page-1", "TAS5518PAGR")</f>
        <v>TAS5518PAGR</v>
      </c>
      <c r="B6158" s="3" t="str">
        <f>HYPERLINK("https://www.773grp.com/manufacturer/texas-instruments?pageNo=323", "Texas Instruments")</f>
        <v>Texas Instruments</v>
      </c>
      <c r="C6158" s="5">
        <v>16500</v>
      </c>
      <c r="D6158" s="6">
        <v>29.25</v>
      </c>
      <c r="E6158" t="s">
        <v>20</v>
      </c>
    </row>
    <row r="6159" spans="1:5" x14ac:dyDescent="0.25">
      <c r="A6159" t="str">
        <f>HYPERLINK("https://www.773grp.com/globalSearch/VSP2264GSJ/page-1", "VSP2264GSJ")</f>
        <v>VSP2264GSJ</v>
      </c>
      <c r="B6159" s="3" t="str">
        <f>HYPERLINK("https://www.773grp.com/manufacturer/texas-instruments?pageNo=390", "Texas Instruments")</f>
        <v>Texas Instruments</v>
      </c>
      <c r="C6159" s="5">
        <v>218</v>
      </c>
      <c r="D6159" s="6">
        <v>29.54</v>
      </c>
      <c r="E6159" t="s">
        <v>20</v>
      </c>
    </row>
    <row r="6160" spans="1:5" x14ac:dyDescent="0.25">
      <c r="A6160" t="str">
        <f>HYPERLINK("https://www.773grp.com/globalSearch/PCM2900BDB/page-1", "PCM2900BDB")</f>
        <v>PCM2900BDB</v>
      </c>
      <c r="B6160" s="3" t="str">
        <f>HYPERLINK("https://www.773grp.com/manufacturer/texas-instruments?pageNo=406", "Texas Instruments")</f>
        <v>Texas Instruments</v>
      </c>
      <c r="C6160" s="5">
        <v>601</v>
      </c>
      <c r="D6160" s="6">
        <v>29.75</v>
      </c>
      <c r="E6160" t="s">
        <v>20</v>
      </c>
    </row>
    <row r="6161" spans="1:5" x14ac:dyDescent="0.25">
      <c r="A6161" t="str">
        <f>HYPERLINK("https://www.773grp.com/globalSearch/PCM2900BDB/page-1", "PCM2900BDB")</f>
        <v>PCM2900BDB</v>
      </c>
      <c r="B6161" s="3" t="str">
        <f>HYPERLINK("https://www.773grp.com/manufacturer/texas-instruments?pageNo=407", "Texas Instruments")</f>
        <v>Texas Instruments</v>
      </c>
      <c r="C6161" s="5">
        <v>34</v>
      </c>
      <c r="D6161" s="6">
        <v>29.75</v>
      </c>
      <c r="E6161" t="s">
        <v>20</v>
      </c>
    </row>
    <row r="6162" spans="1:5" x14ac:dyDescent="0.25">
      <c r="A6162" t="str">
        <f>HYPERLINK("https://www.773grp.com/globalSearch/PCM2900E/page-1", "PCM2900E")</f>
        <v>PCM2900E</v>
      </c>
      <c r="B6162" s="3" t="str">
        <f>HYPERLINK("https://www.773grp.com/manufacturer/texas-instruments?pageNo=408", "Texas Instruments")</f>
        <v>Texas Instruments</v>
      </c>
      <c r="C6162" s="5">
        <v>315</v>
      </c>
      <c r="D6162" s="6">
        <v>29.75</v>
      </c>
      <c r="E6162" t="s">
        <v>20</v>
      </c>
    </row>
    <row r="6163" spans="1:5" x14ac:dyDescent="0.25">
      <c r="A6163" t="str">
        <f>HYPERLINK("https://www.773grp.com/globalSearch/SRC4194IPAGT/page-1", "SRC4194IPAGT")</f>
        <v>SRC4194IPAGT</v>
      </c>
      <c r="B6163" s="3" t="str">
        <f>HYPERLINK("https://www.773grp.com/manufacturer/texas-instruments?pageNo=512", "Texas Instruments")</f>
        <v>Texas Instruments</v>
      </c>
      <c r="C6163" s="5">
        <v>7365</v>
      </c>
      <c r="D6163" s="6">
        <v>30.58</v>
      </c>
      <c r="E6163" t="s">
        <v>20</v>
      </c>
    </row>
    <row r="6164" spans="1:5" x14ac:dyDescent="0.25">
      <c r="A6164" t="str">
        <f>HYPERLINK("https://www.773grp.com/globalSearch/SRC4194IPAG/page-1", "SRC4194IPAG")</f>
        <v>SRC4194IPAG</v>
      </c>
      <c r="B6164" s="3" t="str">
        <f>HYPERLINK("https://www.773grp.com/manufacturer/texas-instruments?pageNo=601", "Texas Instruments")</f>
        <v>Texas Instruments</v>
      </c>
      <c r="C6164" s="5">
        <v>495</v>
      </c>
      <c r="D6164" s="6">
        <v>30.8</v>
      </c>
      <c r="E6164" t="s">
        <v>20</v>
      </c>
    </row>
    <row r="6165" spans="1:5" x14ac:dyDescent="0.25">
      <c r="A6165" t="str">
        <f>HYPERLINK("https://www.773grp.com/globalSearch/VSP2270Y/page-1", "VSP2270Y")</f>
        <v>VSP2270Y</v>
      </c>
      <c r="B6165" s="3" t="str">
        <f>HYPERLINK("https://www.773grp.com/manufacturer/texas-instruments?pageNo=644", "Texas Instruments")</f>
        <v>Texas Instruments</v>
      </c>
      <c r="C6165" s="5">
        <v>1573</v>
      </c>
      <c r="D6165" s="6">
        <v>31.01</v>
      </c>
      <c r="E6165" t="s">
        <v>20</v>
      </c>
    </row>
    <row r="6166" spans="1:5" x14ac:dyDescent="0.25">
      <c r="A6166" t="str">
        <f>HYPERLINK("https://www.773grp.com/globalSearch/VSP3010Y/page-1", "VSP3010Y")</f>
        <v>VSP3010Y</v>
      </c>
      <c r="B6166" s="3" t="str">
        <f>HYPERLINK("https://www.773grp.com/manufacturer/texas-instruments?pageNo=843", "Texas Instruments")</f>
        <v>Texas Instruments</v>
      </c>
      <c r="C6166" s="5">
        <v>24</v>
      </c>
      <c r="D6166" s="6">
        <v>32.35</v>
      </c>
      <c r="E6166" t="s">
        <v>20</v>
      </c>
    </row>
    <row r="6167" spans="1:5" x14ac:dyDescent="0.25">
      <c r="A6167" t="str">
        <f>HYPERLINK("https://www.773grp.com/globalSearch/VSP1900DBT/page-1", "VSP1900DBT")</f>
        <v>VSP1900DBT</v>
      </c>
      <c r="B6167" s="3" t="str">
        <f>HYPERLINK("https://www.773grp.com/manufacturer/texas-instruments?pageNo=873", "Texas Instruments")</f>
        <v>Texas Instruments</v>
      </c>
      <c r="C6167" s="5">
        <v>51</v>
      </c>
      <c r="D6167" s="6">
        <v>32.65</v>
      </c>
      <c r="E6167" t="s">
        <v>20</v>
      </c>
    </row>
    <row r="6168" spans="1:5" x14ac:dyDescent="0.25">
      <c r="A6168" t="str">
        <f>HYPERLINK("https://www.773grp.com/globalSearch/VSP3210Y/page-1", "VSP3210Y")</f>
        <v>VSP3210Y</v>
      </c>
      <c r="B6168" s="3" t="str">
        <f>HYPERLINK("https://www.773grp.com/manufacturer/texas-instruments?pageNo=893", "Texas Instruments")</f>
        <v>Texas Instruments</v>
      </c>
      <c r="C6168" s="5">
        <v>125</v>
      </c>
      <c r="D6168" s="6">
        <v>32.909999999999997</v>
      </c>
      <c r="E6168" t="s">
        <v>20</v>
      </c>
    </row>
    <row r="6169" spans="1:5" x14ac:dyDescent="0.25">
      <c r="A6169" t="str">
        <f>HYPERLINK("https://www.773grp.com/globalSearch/VSP2272M/page-1", "VSP2272M")</f>
        <v>VSP2272M</v>
      </c>
      <c r="B6169" s="3" t="s">
        <v>90</v>
      </c>
      <c r="C6169" s="5">
        <v>490</v>
      </c>
      <c r="D6169" s="6">
        <v>34.880000000000003</v>
      </c>
      <c r="E6169" t="s">
        <v>20</v>
      </c>
    </row>
    <row r="6170" spans="1:5" x14ac:dyDescent="0.25">
      <c r="A6170" t="str">
        <f>HYPERLINK("https://www.773grp.com/globalSearch/VSP2262Y-2K/page-1", "VSP2262Y-2K")</f>
        <v>VSP2262Y-2K</v>
      </c>
      <c r="B6170" s="3" t="s">
        <v>90</v>
      </c>
      <c r="C6170" s="5">
        <v>4000</v>
      </c>
      <c r="D6170" s="6">
        <v>36.65</v>
      </c>
      <c r="E6170" t="s">
        <v>20</v>
      </c>
    </row>
    <row r="6171" spans="1:5" x14ac:dyDescent="0.25">
      <c r="A6171" t="str">
        <f>HYPERLINK("https://www.773grp.com/globalSearch/VSP2566PT/page-1", "VSP2566PT")</f>
        <v>VSP2566PT</v>
      </c>
      <c r="B6171" s="3" t="s">
        <v>90</v>
      </c>
      <c r="C6171" s="5">
        <v>324</v>
      </c>
      <c r="D6171" s="6">
        <v>37.6</v>
      </c>
      <c r="E6171" t="s">
        <v>20</v>
      </c>
    </row>
    <row r="6172" spans="1:5" x14ac:dyDescent="0.25">
      <c r="A6172" t="str">
        <f>HYPERLINK("https://www.773grp.com/globalSearch/TAS5036APFC/page-1", "TAS5036APFC")</f>
        <v>TAS5036APFC</v>
      </c>
      <c r="B6172" s="3" t="s">
        <v>90</v>
      </c>
      <c r="C6172" s="5">
        <v>384</v>
      </c>
      <c r="D6172" s="6">
        <v>43.16</v>
      </c>
      <c r="E6172" t="s">
        <v>20</v>
      </c>
    </row>
    <row r="6173" spans="1:5" x14ac:dyDescent="0.25">
      <c r="A6173" t="str">
        <f>HYPERLINK("https://www.773grp.com/globalSearch/TAS5036APFCR/page-1", "TAS5036APFCR")</f>
        <v>TAS5036APFCR</v>
      </c>
      <c r="B6173" s="3" t="s">
        <v>90</v>
      </c>
      <c r="C6173" s="5">
        <v>6000</v>
      </c>
      <c r="D6173" s="6">
        <v>43.16</v>
      </c>
      <c r="E6173" t="s">
        <v>20</v>
      </c>
    </row>
    <row r="6174" spans="1:5" x14ac:dyDescent="0.25">
      <c r="A6174" t="str">
        <f>HYPERLINK("https://www.773grp.com/globalSearch/TAS5036BPFCR/page-1", "TAS5036BPFCR")</f>
        <v>TAS5036BPFCR</v>
      </c>
      <c r="B6174" s="3" t="s">
        <v>90</v>
      </c>
      <c r="C6174" s="5">
        <v>2000</v>
      </c>
      <c r="D6174" s="6">
        <v>43.16</v>
      </c>
      <c r="E6174" t="s">
        <v>20</v>
      </c>
    </row>
    <row r="6175" spans="1:5" x14ac:dyDescent="0.25">
      <c r="A6175" t="str">
        <f>HYPERLINK("https://www.773grp.com/globalSearch/VSP2230Y/page-1", "VSP2230Y")</f>
        <v>VSP2230Y</v>
      </c>
      <c r="B6175" s="3" t="s">
        <v>90</v>
      </c>
      <c r="C6175" s="5">
        <v>92</v>
      </c>
      <c r="D6175" s="6">
        <v>43.93</v>
      </c>
      <c r="E6175" t="s">
        <v>20</v>
      </c>
    </row>
    <row r="6176" spans="1:5" x14ac:dyDescent="0.25">
      <c r="A6176" t="str">
        <f>HYPERLINK("https://www.773grp.com/globalSearch/VSP2254GSJR/page-1", "VSP2254GSJR")</f>
        <v>VSP2254GSJR</v>
      </c>
      <c r="B6176" s="3" t="s">
        <v>90</v>
      </c>
      <c r="C6176" s="5">
        <v>4000</v>
      </c>
      <c r="D6176" s="6">
        <v>44.3</v>
      </c>
      <c r="E6176" t="s">
        <v>20</v>
      </c>
    </row>
    <row r="6177" spans="1:5" x14ac:dyDescent="0.25">
      <c r="A6177" t="str">
        <f>HYPERLINK("https://www.773grp.com/globalSearch/VSP2262Y/page-1", "VSP2262Y")</f>
        <v>VSP2262Y</v>
      </c>
      <c r="B6177" s="3" t="s">
        <v>90</v>
      </c>
      <c r="C6177" s="5">
        <v>56</v>
      </c>
      <c r="D6177" s="6">
        <v>46.1</v>
      </c>
      <c r="E6177" t="s">
        <v>20</v>
      </c>
    </row>
    <row r="6178" spans="1:5" x14ac:dyDescent="0.25">
      <c r="A6178" t="str">
        <f>HYPERLINK("https://www.773grp.com/globalSearch/VSP2210Y/page-1", "VSP2210Y")</f>
        <v>VSP2210Y</v>
      </c>
      <c r="B6178" s="3" t="s">
        <v>90</v>
      </c>
      <c r="C6178" s="5">
        <v>4493</v>
      </c>
      <c r="D6178" s="6">
        <v>46.41</v>
      </c>
      <c r="E6178" t="s">
        <v>20</v>
      </c>
    </row>
    <row r="6179" spans="1:5" x14ac:dyDescent="0.25">
      <c r="A6179" t="str">
        <f>HYPERLINK("https://www.773grp.com/globalSearch/TAS5036BPFC/page-1", "TAS5036BPFC")</f>
        <v>TAS5036BPFC</v>
      </c>
      <c r="B6179" s="3" t="s">
        <v>90</v>
      </c>
      <c r="C6179" s="5">
        <v>4602</v>
      </c>
      <c r="D6179" s="6">
        <v>47.39</v>
      </c>
      <c r="E6179" t="s">
        <v>20</v>
      </c>
    </row>
    <row r="6180" spans="1:5" x14ac:dyDescent="0.25">
      <c r="A6180" t="str">
        <f>HYPERLINK("https://www.773grp.com/globalSearch/TAS5076PFCR/page-1", "TAS5076PFCR")</f>
        <v>TAS5076PFCR</v>
      </c>
      <c r="B6180" s="3" t="s">
        <v>90</v>
      </c>
      <c r="C6180" s="5">
        <v>25000</v>
      </c>
      <c r="D6180" s="6">
        <v>51.05</v>
      </c>
      <c r="E6180" t="s">
        <v>20</v>
      </c>
    </row>
    <row r="6181" spans="1:5" x14ac:dyDescent="0.25">
      <c r="A6181" t="str">
        <f>HYPERLINK("https://www.773grp.com/globalSearch/TAS5076PFC/page-1", "TAS5076PFC")</f>
        <v>TAS5076PFC</v>
      </c>
      <c r="B6181" s="3" t="s">
        <v>90</v>
      </c>
      <c r="C6181" s="5">
        <v>155</v>
      </c>
      <c r="D6181" s="6">
        <v>55.26</v>
      </c>
      <c r="E6181" t="s">
        <v>20</v>
      </c>
    </row>
    <row r="6182" spans="1:5" x14ac:dyDescent="0.25">
      <c r="A6182" t="str">
        <f>HYPERLINK("https://www.773grp.com/globalSearch/VSP2212Y/page-1", "VSP2212Y")</f>
        <v>VSP2212Y</v>
      </c>
      <c r="B6182" s="3" t="s">
        <v>90</v>
      </c>
      <c r="C6182" s="5">
        <v>166</v>
      </c>
      <c r="D6182" s="6">
        <v>55.64</v>
      </c>
      <c r="E6182" t="s">
        <v>20</v>
      </c>
    </row>
    <row r="6183" spans="1:5" x14ac:dyDescent="0.25">
      <c r="A6183" t="str">
        <f>HYPERLINK("https://www.773grp.com/globalSearch/TMS3471C/page-1", "TMS3471C")</f>
        <v>TMS3471C</v>
      </c>
      <c r="B6183" s="3" t="s">
        <v>90</v>
      </c>
      <c r="C6183" s="5">
        <v>1175</v>
      </c>
      <c r="D6183" s="6">
        <v>59.74</v>
      </c>
      <c r="E6183" t="s">
        <v>20</v>
      </c>
    </row>
    <row r="6184" spans="1:5" x14ac:dyDescent="0.25">
      <c r="A6184" t="str">
        <f>HYPERLINK("https://www.773grp.com/globalSearch/VSP2254GSJ/page-1", "VSP2254GSJ")</f>
        <v>VSP2254GSJ</v>
      </c>
      <c r="B6184" s="3" t="s">
        <v>90</v>
      </c>
      <c r="C6184" s="5">
        <v>207</v>
      </c>
      <c r="D6184" s="6">
        <v>64.13</v>
      </c>
      <c r="E6184" t="s">
        <v>20</v>
      </c>
    </row>
    <row r="6185" spans="1:5" x14ac:dyDescent="0.25">
      <c r="A6185" t="str">
        <f>HYPERLINK("https://www.773grp.com/globalSearch/TAS5015PFB/page-1", "TAS5015PFB")</f>
        <v>TAS5015PFB</v>
      </c>
      <c r="B6185" s="3" t="s">
        <v>90</v>
      </c>
      <c r="C6185" s="5">
        <v>661</v>
      </c>
      <c r="D6185" s="6">
        <v>92.81</v>
      </c>
      <c r="E6185" t="s">
        <v>20</v>
      </c>
    </row>
    <row r="6186" spans="1:5" x14ac:dyDescent="0.25">
      <c r="A6186" t="str">
        <f>HYPERLINK("https://www.773grp.com/globalSearch/GC1115IZDJ/page-1", "GC1115IZDJ")</f>
        <v>GC1115IZDJ</v>
      </c>
      <c r="B6186" s="3" t="s">
        <v>90</v>
      </c>
      <c r="C6186" s="5">
        <v>13631</v>
      </c>
      <c r="D6186" s="6">
        <v>128.68</v>
      </c>
      <c r="E6186" t="s">
        <v>20</v>
      </c>
    </row>
    <row r="6187" spans="1:5" x14ac:dyDescent="0.25">
      <c r="A6187" t="str">
        <f>HYPERLINK("https://www.773grp.com/globalSearch/AFEDRI8201PFBR/page-1", "AFEDRI8201PFBR")</f>
        <v>AFEDRI8201PFBR</v>
      </c>
      <c r="B6187" s="3" t="str">
        <f>HYPERLINK("https://www.773grp.com/manufacturer/texas-instruments?pageNo=498", "Texas Instruments")</f>
        <v>Texas Instruments</v>
      </c>
      <c r="C6187" s="5">
        <v>32468</v>
      </c>
      <c r="D6187" s="6">
        <v>210.94</v>
      </c>
      <c r="E6187" t="s">
        <v>20</v>
      </c>
    </row>
    <row r="6188" spans="1:5" x14ac:dyDescent="0.25">
      <c r="A6188" t="str">
        <f>HYPERLINK("https://www.773grp.com/globalSearch/GC1011A/page-1", "GC1011A")</f>
        <v>GC1011A</v>
      </c>
      <c r="B6188" s="3" t="s">
        <v>90</v>
      </c>
      <c r="C6188" s="5">
        <v>3639</v>
      </c>
      <c r="D6188" s="6">
        <v>384.5</v>
      </c>
      <c r="E6188" t="s">
        <v>20</v>
      </c>
    </row>
    <row r="6189" spans="1:5" x14ac:dyDescent="0.25">
      <c r="A6189" t="str">
        <f>HYPERLINK("https://www.773grp.com/globalSearch/X98017L128-3.3-Z/page-1", "X98017L128-3.3-Z")</f>
        <v>X98017L128-3.3-Z</v>
      </c>
      <c r="B6189" s="3" t="s">
        <v>114</v>
      </c>
      <c r="C6189" s="5">
        <v>792</v>
      </c>
      <c r="D6189" s="6">
        <v>66.38</v>
      </c>
      <c r="E6189" t="s">
        <v>20</v>
      </c>
    </row>
    <row r="6190" spans="1:5" x14ac:dyDescent="0.25">
      <c r="A6190" t="str">
        <f>HYPERLINK("https://www.773grp.com/globalSearch/X98017L128-3.3-Z/page-1", "X98017L128-3.3-Z")</f>
        <v>X98017L128-3.3-Z</v>
      </c>
      <c r="B6190" s="3" t="s">
        <v>114</v>
      </c>
      <c r="C6190" s="5">
        <v>264</v>
      </c>
      <c r="D6190" s="6">
        <v>66.38</v>
      </c>
      <c r="E6190" t="s">
        <v>20</v>
      </c>
    </row>
    <row r="6191" spans="1:5" x14ac:dyDescent="0.25">
      <c r="A6191" t="str">
        <f>HYPERLINK("https://www.773grp.com/globalSearch/X98021L128-3.3-Z/page-1", "X98021L128-3.3-Z")</f>
        <v>X98021L128-3.3-Z</v>
      </c>
      <c r="B6191" s="3" t="s">
        <v>114</v>
      </c>
      <c r="C6191" s="5">
        <v>330</v>
      </c>
      <c r="D6191" s="6">
        <v>94.79</v>
      </c>
      <c r="E6191" t="s">
        <v>20</v>
      </c>
    </row>
    <row r="6192" spans="1:5" x14ac:dyDescent="0.25">
      <c r="A6192" t="str">
        <f>HYPERLINK("https://www.773grp.com/globalSearch/SN74LS90D/page-1", "SN74LS90D")</f>
        <v>SN74LS90D</v>
      </c>
      <c r="B6192" s="3" t="str">
        <f>HYPERLINK("https://www.773grp.com/manufacturer/texas-instruments?pageNo=343", "Texas Instruments")</f>
        <v>Texas Instruments</v>
      </c>
      <c r="C6192" s="5">
        <v>19032</v>
      </c>
      <c r="D6192" s="6">
        <v>3.63</v>
      </c>
      <c r="E6192" t="s">
        <v>23</v>
      </c>
    </row>
    <row r="6193" spans="1:5" x14ac:dyDescent="0.25">
      <c r="A6193" t="str">
        <f>HYPERLINK("https://www.773grp.com/globalSearch/SN74LS92D/page-1", "SN74LS92D")</f>
        <v>SN74LS92D</v>
      </c>
      <c r="B6193" s="3" t="str">
        <f>HYPERLINK("https://www.773grp.com/manufacturer/texas-instruments?pageNo=344", "Texas Instruments")</f>
        <v>Texas Instruments</v>
      </c>
      <c r="C6193" s="5">
        <v>14626</v>
      </c>
      <c r="D6193" s="6">
        <v>3.63</v>
      </c>
      <c r="E6193" t="s">
        <v>23</v>
      </c>
    </row>
    <row r="6194" spans="1:5" x14ac:dyDescent="0.25">
      <c r="A6194" t="str">
        <f>HYPERLINK("https://www.773grp.com/globalSearch/SN74LS93D/page-1", "SN74LS93D")</f>
        <v>SN74LS93D</v>
      </c>
      <c r="B6194" s="3" t="str">
        <f>HYPERLINK("https://www.773grp.com/manufacturer/texas-instruments?pageNo=345", "Texas Instruments")</f>
        <v>Texas Instruments</v>
      </c>
      <c r="C6194" s="5">
        <v>7907</v>
      </c>
      <c r="D6194" s="6">
        <v>3.63</v>
      </c>
      <c r="E6194" t="s">
        <v>23</v>
      </c>
    </row>
    <row r="6195" spans="1:5" x14ac:dyDescent="0.25">
      <c r="A6195" t="str">
        <f>HYPERLINK("https://www.773grp.com/globalSearch/SN74ALS163BN3/page-1", "SN74ALS163BN3")</f>
        <v>SN74ALS163BN3</v>
      </c>
      <c r="B6195" s="3" t="str">
        <f>HYPERLINK("https://www.773grp.com/manufacturer/texas-instruments?pageNo=895", "Texas Instruments")</f>
        <v>Texas Instruments</v>
      </c>
      <c r="C6195" s="5">
        <v>4400</v>
      </c>
      <c r="D6195" s="6">
        <v>4.1100000000000003</v>
      </c>
      <c r="E6195" t="s">
        <v>23</v>
      </c>
    </row>
    <row r="6196" spans="1:5" x14ac:dyDescent="0.25">
      <c r="A6196" t="str">
        <f>HYPERLINK("https://www.773grp.com/globalSearch/CD74HC190PWT/page-1", "CD74HC190PWT")</f>
        <v>CD74HC190PWT</v>
      </c>
      <c r="B6196" s="3" t="str">
        <f>HYPERLINK("https://www.773grp.com/manufacturer/texas-instruments?pageNo=979", "Texas Instruments")</f>
        <v>Texas Instruments</v>
      </c>
      <c r="C6196" s="5">
        <v>1500</v>
      </c>
      <c r="D6196" s="6">
        <v>4.16</v>
      </c>
      <c r="E6196" t="s">
        <v>23</v>
      </c>
    </row>
    <row r="6197" spans="1:5" x14ac:dyDescent="0.25">
      <c r="A6197" t="str">
        <f>HYPERLINK("https://www.773grp.com/globalSearch/CD74HC93E/page-1", "CD74HC93E")</f>
        <v>CD74HC93E</v>
      </c>
      <c r="B6197" s="3" t="s">
        <v>90</v>
      </c>
      <c r="C6197" s="5">
        <v>35625</v>
      </c>
      <c r="D6197" s="6">
        <v>4.16</v>
      </c>
      <c r="E6197" t="s">
        <v>23</v>
      </c>
    </row>
    <row r="6198" spans="1:5" x14ac:dyDescent="0.25">
      <c r="A6198" t="str">
        <f>HYPERLINK("https://www.773grp.com/globalSearch/CY74FCT191CTQCT/page-1", "CY74FCT191CTQCT")</f>
        <v>CY74FCT191CTQCT</v>
      </c>
      <c r="B6198" s="3" t="s">
        <v>90</v>
      </c>
      <c r="C6198" s="5">
        <v>2000</v>
      </c>
      <c r="D6198" s="6">
        <v>4.16</v>
      </c>
      <c r="E6198" t="s">
        <v>23</v>
      </c>
    </row>
    <row r="6199" spans="1:5" x14ac:dyDescent="0.25">
      <c r="A6199" t="str">
        <f>HYPERLINK("https://www.773grp.com/globalSearch/CY74FCT191CTSOCT/page-1", "CY74FCT191CTSOCT")</f>
        <v>CY74FCT191CTSOCT</v>
      </c>
      <c r="B6199" s="3" t="s">
        <v>90</v>
      </c>
      <c r="C6199" s="5">
        <v>4000</v>
      </c>
      <c r="D6199" s="6">
        <v>4.16</v>
      </c>
      <c r="E6199" t="s">
        <v>23</v>
      </c>
    </row>
    <row r="6200" spans="1:5" x14ac:dyDescent="0.25">
      <c r="A6200" t="str">
        <f>HYPERLINK("https://www.773grp.com/globalSearch/SN74LS169BN/page-1", "SN74LS169BN")</f>
        <v>SN74LS169BN</v>
      </c>
      <c r="B6200" s="3" t="s">
        <v>90</v>
      </c>
      <c r="C6200" s="5">
        <v>24931</v>
      </c>
      <c r="D6200" s="6">
        <v>4.16</v>
      </c>
      <c r="E6200" t="s">
        <v>23</v>
      </c>
    </row>
    <row r="6201" spans="1:5" x14ac:dyDescent="0.25">
      <c r="A6201" t="str">
        <f>HYPERLINK("https://www.773grp.com/globalSearch/SN74LS390D/page-1", "SN74LS390D")</f>
        <v>SN74LS390D</v>
      </c>
      <c r="B6201" s="3" t="s">
        <v>90</v>
      </c>
      <c r="C6201" s="5">
        <v>480</v>
      </c>
      <c r="D6201" s="6">
        <v>4.16</v>
      </c>
      <c r="E6201" t="s">
        <v>23</v>
      </c>
    </row>
    <row r="6202" spans="1:5" x14ac:dyDescent="0.25">
      <c r="A6202" t="str">
        <f>HYPERLINK("https://www.773grp.com/globalSearch/SN74LV4040APWT/page-1", "SN74LV4040APWT")</f>
        <v>SN74LV4040APWT</v>
      </c>
      <c r="B6202" s="3" t="s">
        <v>90</v>
      </c>
      <c r="C6202" s="5">
        <v>1750</v>
      </c>
      <c r="D6202" s="6">
        <v>4.16</v>
      </c>
      <c r="E6202" t="s">
        <v>23</v>
      </c>
    </row>
    <row r="6203" spans="1:5" x14ac:dyDescent="0.25">
      <c r="A6203" t="str">
        <f>HYPERLINK("https://www.773grp.com/globalSearch/SN74LV4040AMPWREP/page-1", "SN74LV4040AMPWREP")</f>
        <v>SN74LV4040AMPWREP</v>
      </c>
      <c r="B6203" s="3" t="str">
        <f>HYPERLINK("https://www.773grp.com/manufacturer/texas-instruments?pageNo=21", "Texas Instruments")</f>
        <v>Texas Instruments</v>
      </c>
      <c r="C6203" s="5">
        <v>460</v>
      </c>
      <c r="D6203" s="6">
        <v>4.2300000000000004</v>
      </c>
      <c r="E6203" t="s">
        <v>23</v>
      </c>
    </row>
    <row r="6204" spans="1:5" x14ac:dyDescent="0.25">
      <c r="A6204" t="str">
        <f>HYPERLINK("https://www.773grp.com/globalSearch/SN74LS669J/page-1", "SN74LS669J")</f>
        <v>SN74LS669J</v>
      </c>
      <c r="B6204" s="3" t="str">
        <f>HYPERLINK("https://www.773grp.com/manufacturer/texas-instruments?pageNo=425", "Texas Instruments")</f>
        <v>Texas Instruments</v>
      </c>
      <c r="C6204" s="5">
        <v>82</v>
      </c>
      <c r="D6204" s="6">
        <v>3.89</v>
      </c>
      <c r="E6204" t="s">
        <v>23</v>
      </c>
    </row>
    <row r="6205" spans="1:5" x14ac:dyDescent="0.25">
      <c r="A6205" t="str">
        <f>HYPERLINK("https://www.773grp.com/globalSearch/SN74ALS160BD/page-1", "SN74ALS160BD")</f>
        <v>SN74ALS160BD</v>
      </c>
      <c r="B6205" s="3" t="str">
        <f>HYPERLINK("https://www.773grp.com/manufacturer/texas-instruments?pageNo=481", "Texas Instruments")</f>
        <v>Texas Instruments</v>
      </c>
      <c r="C6205" s="5">
        <v>4</v>
      </c>
      <c r="D6205" s="6">
        <v>4.33</v>
      </c>
      <c r="E6205" t="s">
        <v>23</v>
      </c>
    </row>
    <row r="6206" spans="1:5" x14ac:dyDescent="0.25">
      <c r="A6206" t="str">
        <f>HYPERLINK("https://www.773grp.com/globalSearch/CD74HC4518E/page-1", "CD74HC4518E")</f>
        <v>CD74HC4518E</v>
      </c>
      <c r="B6206" s="3" t="str">
        <f>HYPERLINK("https://www.773grp.com/manufacturer/texas-instruments?pageNo=750", "Texas Instruments")</f>
        <v>Texas Instruments</v>
      </c>
      <c r="C6206" s="5">
        <v>440</v>
      </c>
      <c r="D6206" s="6">
        <v>4.38</v>
      </c>
      <c r="E6206" t="s">
        <v>23</v>
      </c>
    </row>
    <row r="6207" spans="1:5" x14ac:dyDescent="0.25">
      <c r="A6207" t="str">
        <f>HYPERLINK("https://www.773grp.com/globalSearch/SN74ALS193ADR/page-1", "SN74ALS193ADR")</f>
        <v>SN74ALS193ADR</v>
      </c>
      <c r="B6207" s="3" t="str">
        <f>HYPERLINK("https://www.773grp.com/manufacturer/texas-instruments?pageNo=824", "Texas Instruments")</f>
        <v>Texas Instruments</v>
      </c>
      <c r="C6207" s="5">
        <v>12500</v>
      </c>
      <c r="D6207" s="6">
        <v>4</v>
      </c>
      <c r="E6207" t="s">
        <v>23</v>
      </c>
    </row>
    <row r="6208" spans="1:5" x14ac:dyDescent="0.25">
      <c r="A6208" t="str">
        <f>HYPERLINK("https://www.773grp.com/globalSearch/SN74ALS191ADR/page-1", "SN74ALS191ADR")</f>
        <v>SN74ALS191ADR</v>
      </c>
      <c r="B6208" s="3" t="str">
        <f>HYPERLINK("https://www.773grp.com/manufacturer/texas-instruments?pageNo=943", "Texas Instruments")</f>
        <v>Texas Instruments</v>
      </c>
      <c r="C6208" s="5">
        <v>2500</v>
      </c>
      <c r="D6208" s="6">
        <v>4.01</v>
      </c>
      <c r="E6208" t="s">
        <v>23</v>
      </c>
    </row>
    <row r="6209" spans="1:5" x14ac:dyDescent="0.25">
      <c r="A6209" t="str">
        <f>HYPERLINK("https://www.773grp.com/globalSearch/SN74LS92N/page-1", "SN74LS92N")</f>
        <v>SN74LS92N</v>
      </c>
      <c r="B6209" s="3" t="str">
        <f>HYPERLINK("https://www.773grp.com/manufacturer/texas-instruments?pageNo=974", "Texas Instruments")</f>
        <v>Texas Instruments</v>
      </c>
      <c r="C6209" s="5">
        <v>14339</v>
      </c>
      <c r="D6209" s="6">
        <v>4.01</v>
      </c>
      <c r="E6209" t="s">
        <v>23</v>
      </c>
    </row>
    <row r="6210" spans="1:5" x14ac:dyDescent="0.25">
      <c r="A6210" t="str">
        <f>HYPERLINK("https://www.773grp.com/globalSearch/SN74LS92NSR/page-1", "SN74LS92NSR")</f>
        <v>SN74LS92NSR</v>
      </c>
      <c r="B6210" s="3" t="str">
        <f>HYPERLINK("https://www.773grp.com/manufacturer/texas-instruments?pageNo=975", "Texas Instruments")</f>
        <v>Texas Instruments</v>
      </c>
      <c r="C6210" s="5">
        <v>24000</v>
      </c>
      <c r="D6210" s="6">
        <v>4.01</v>
      </c>
      <c r="E6210" t="s">
        <v>23</v>
      </c>
    </row>
    <row r="6211" spans="1:5" x14ac:dyDescent="0.25">
      <c r="A6211" t="str">
        <f>HYPERLINK("https://www.773grp.com/globalSearch/CD74HC93MT/page-1", "CD74HC93MT")</f>
        <v>CD74HC93MT</v>
      </c>
      <c r="B6211" s="3" t="s">
        <v>90</v>
      </c>
      <c r="C6211" s="5">
        <v>250</v>
      </c>
      <c r="D6211" s="6">
        <v>4.54</v>
      </c>
      <c r="E6211" t="s">
        <v>23</v>
      </c>
    </row>
    <row r="6212" spans="1:5" x14ac:dyDescent="0.25">
      <c r="A6212" t="str">
        <f>HYPERLINK("https://www.773grp.com/globalSearch/SN74LS169BD/page-1", "SN74LS169BD")</f>
        <v>SN74LS169BD</v>
      </c>
      <c r="B6212" s="3" t="s">
        <v>90</v>
      </c>
      <c r="C6212" s="5">
        <v>10231</v>
      </c>
      <c r="D6212" s="6">
        <v>4.54</v>
      </c>
      <c r="E6212" t="s">
        <v>23</v>
      </c>
    </row>
    <row r="6213" spans="1:5" x14ac:dyDescent="0.25">
      <c r="A6213" t="str">
        <f>HYPERLINK("https://www.773grp.com/globalSearch/SN54LS160AJ/page-1", "SN54LS160AJ")</f>
        <v>SN54LS160AJ</v>
      </c>
      <c r="B6213" s="3" t="s">
        <v>90</v>
      </c>
      <c r="C6213" s="5">
        <v>1</v>
      </c>
      <c r="D6213" s="6">
        <v>4.16</v>
      </c>
      <c r="E6213" t="s">
        <v>23</v>
      </c>
    </row>
    <row r="6214" spans="1:5" x14ac:dyDescent="0.25">
      <c r="A6214" t="str">
        <f>HYPERLINK("https://www.773grp.com/globalSearch/SN74ALS191AN/page-1", "SN74ALS191AN")</f>
        <v>SN74ALS191AN</v>
      </c>
      <c r="B6214" s="3" t="s">
        <v>90</v>
      </c>
      <c r="C6214" s="5">
        <v>3503</v>
      </c>
      <c r="D6214" s="6">
        <v>4.2300000000000004</v>
      </c>
      <c r="E6214" t="s">
        <v>23</v>
      </c>
    </row>
    <row r="6215" spans="1:5" x14ac:dyDescent="0.25">
      <c r="A6215" t="str">
        <f>HYPERLINK("https://www.773grp.com/globalSearch/SN74ALS193AN/page-1", "SN74ALS193AN")</f>
        <v>SN74ALS193AN</v>
      </c>
      <c r="B6215" s="3" t="s">
        <v>90</v>
      </c>
      <c r="C6215" s="5">
        <v>2</v>
      </c>
      <c r="D6215" s="6">
        <v>4.2300000000000004</v>
      </c>
      <c r="E6215" t="s">
        <v>23</v>
      </c>
    </row>
    <row r="6216" spans="1:5" x14ac:dyDescent="0.25">
      <c r="A6216" t="str">
        <f>HYPERLINK("https://www.773grp.com/globalSearch/SN74ALS193ANSR/page-1", "SN74ALS193ANSR")</f>
        <v>SN74ALS193ANSR</v>
      </c>
      <c r="B6216" s="3" t="s">
        <v>90</v>
      </c>
      <c r="C6216" s="5">
        <v>4000</v>
      </c>
      <c r="D6216" s="6">
        <v>4.2300000000000004</v>
      </c>
      <c r="E6216" t="s">
        <v>23</v>
      </c>
    </row>
    <row r="6217" spans="1:5" x14ac:dyDescent="0.25">
      <c r="A6217" t="str">
        <f>HYPERLINK("https://www.773grp.com/globalSearch/SN74AS161D/page-1", "SN74AS161D")</f>
        <v>SN74AS161D</v>
      </c>
      <c r="B6217" s="3" t="s">
        <v>90</v>
      </c>
      <c r="C6217" s="5">
        <v>12187</v>
      </c>
      <c r="D6217" s="6">
        <v>4.3</v>
      </c>
      <c r="E6217" t="s">
        <v>23</v>
      </c>
    </row>
    <row r="6218" spans="1:5" x14ac:dyDescent="0.25">
      <c r="A6218" t="str">
        <f>HYPERLINK("https://www.773grp.com/globalSearch/SN74AS161DR/page-1", "SN74AS161DR")</f>
        <v>SN74AS161DR</v>
      </c>
      <c r="B6218" s="3" t="s">
        <v>90</v>
      </c>
      <c r="C6218" s="5">
        <v>2500</v>
      </c>
      <c r="D6218" s="6">
        <v>4.3</v>
      </c>
      <c r="E6218" t="s">
        <v>23</v>
      </c>
    </row>
    <row r="6219" spans="1:5" x14ac:dyDescent="0.25">
      <c r="A6219" t="str">
        <f>HYPERLINK("https://www.773grp.com/globalSearch/CD74AC191E/page-1", "CD74AC191E")</f>
        <v>CD74AC191E</v>
      </c>
      <c r="B6219" s="3" t="s">
        <v>90</v>
      </c>
      <c r="C6219" s="5">
        <v>3069</v>
      </c>
      <c r="D6219" s="6">
        <v>4.43</v>
      </c>
      <c r="E6219" t="s">
        <v>23</v>
      </c>
    </row>
    <row r="6220" spans="1:5" x14ac:dyDescent="0.25">
      <c r="A6220" t="str">
        <f>HYPERLINK("https://www.773grp.com/globalSearch/CD74HC4059E/page-1", "CD74HC4059E")</f>
        <v>CD74HC4059E</v>
      </c>
      <c r="B6220" s="3" t="s">
        <v>90</v>
      </c>
      <c r="C6220" s="5">
        <v>2794</v>
      </c>
      <c r="D6220" s="6">
        <v>4.43</v>
      </c>
      <c r="E6220" t="s">
        <v>23</v>
      </c>
    </row>
    <row r="6221" spans="1:5" x14ac:dyDescent="0.25">
      <c r="A6221" t="str">
        <f>HYPERLINK("https://www.773grp.com/globalSearch/CD74HC4059E/page-1", "CD74HC4059E")</f>
        <v>CD74HC4059E</v>
      </c>
      <c r="B6221" s="3" t="s">
        <v>90</v>
      </c>
      <c r="C6221" s="5">
        <v>90</v>
      </c>
      <c r="D6221" s="6">
        <v>4.43</v>
      </c>
      <c r="E6221" t="s">
        <v>23</v>
      </c>
    </row>
    <row r="6222" spans="1:5" x14ac:dyDescent="0.25">
      <c r="A6222" t="str">
        <f>HYPERLINK("https://www.773grp.com/globalSearch/SN74LS293D/page-1", "SN74LS293D")</f>
        <v>SN74LS293D</v>
      </c>
      <c r="B6222" s="3" t="s">
        <v>90</v>
      </c>
      <c r="C6222" s="5">
        <v>30313</v>
      </c>
      <c r="D6222" s="6">
        <v>4.43</v>
      </c>
      <c r="E6222" t="s">
        <v>23</v>
      </c>
    </row>
    <row r="6223" spans="1:5" x14ac:dyDescent="0.25">
      <c r="A6223" t="str">
        <f>HYPERLINK("https://www.773grp.com/globalSearch/CY74FCT163CTSOCT/page-1", "CY74FCT163CTSOCT")</f>
        <v>CY74FCT163CTSOCT</v>
      </c>
      <c r="B6223" s="3" t="str">
        <f>HYPERLINK("https://www.773grp.com/manufacturer/texas-instruments?pageNo=31", "Texas Instruments")</f>
        <v>Texas Instruments</v>
      </c>
      <c r="C6223" s="5">
        <v>40000</v>
      </c>
      <c r="D6223" s="6">
        <v>4.91</v>
      </c>
      <c r="E6223" t="s">
        <v>23</v>
      </c>
    </row>
    <row r="6224" spans="1:5" x14ac:dyDescent="0.25">
      <c r="A6224" t="str">
        <f>HYPERLINK("https://www.773grp.com/globalSearch/SN74ALS169BN/page-1", "SN74ALS169BN")</f>
        <v>SN74ALS169BN</v>
      </c>
      <c r="B6224" s="3" t="str">
        <f>HYPERLINK("https://www.773grp.com/manufacturer/texas-instruments?pageNo=73", "Texas Instruments")</f>
        <v>Texas Instruments</v>
      </c>
      <c r="C6224" s="5">
        <v>1158</v>
      </c>
      <c r="D6224" s="6">
        <v>4.91</v>
      </c>
      <c r="E6224" t="s">
        <v>23</v>
      </c>
    </row>
    <row r="6225" spans="1:5" x14ac:dyDescent="0.25">
      <c r="A6225" t="str">
        <f>HYPERLINK("https://www.773grp.com/globalSearch/SN74ALS169BNSR/page-1", "SN74ALS169BNSR")</f>
        <v>SN74ALS169BNSR</v>
      </c>
      <c r="B6225" s="3" t="str">
        <f>HYPERLINK("https://www.773grp.com/manufacturer/texas-instruments?pageNo=74", "Texas Instruments")</f>
        <v>Texas Instruments</v>
      </c>
      <c r="C6225" s="5">
        <v>2000</v>
      </c>
      <c r="D6225" s="6">
        <v>4.91</v>
      </c>
      <c r="E6225" t="s">
        <v>23</v>
      </c>
    </row>
    <row r="6226" spans="1:5" x14ac:dyDescent="0.25">
      <c r="A6226" t="str">
        <f>HYPERLINK("https://www.773grp.com/globalSearch/SN5492AJ/page-1", "SN5492AJ")</f>
        <v>SN5492AJ</v>
      </c>
      <c r="B6226" s="3" t="str">
        <f>HYPERLINK("https://www.773grp.com/manufacturer/texas-instruments?pageNo=832", "Texas Instruments")</f>
        <v>Texas Instruments</v>
      </c>
      <c r="C6226" s="5">
        <v>170</v>
      </c>
      <c r="D6226" s="6">
        <v>4.59</v>
      </c>
      <c r="E6226" t="s">
        <v>23</v>
      </c>
    </row>
    <row r="6227" spans="1:5" x14ac:dyDescent="0.25">
      <c r="A6227" t="str">
        <f>HYPERLINK("https://www.773grp.com/globalSearch/SN74162N/page-1", "SN74162N")</f>
        <v>SN74162N</v>
      </c>
      <c r="B6227" s="3" t="str">
        <f>HYPERLINK("https://www.773grp.com/manufacturer/texas-instruments?pageNo=885", "Texas Instruments")</f>
        <v>Texas Instruments</v>
      </c>
      <c r="C6227" s="5">
        <v>1560</v>
      </c>
      <c r="D6227" s="6">
        <v>4.6100000000000003</v>
      </c>
      <c r="E6227" t="s">
        <v>23</v>
      </c>
    </row>
    <row r="6228" spans="1:5" x14ac:dyDescent="0.25">
      <c r="A6228" t="str">
        <f>HYPERLINK("https://www.773grp.com/globalSearch/SN74ALS191AD/page-1", "SN74ALS191AD")</f>
        <v>SN74ALS191AD</v>
      </c>
      <c r="B6228" s="3" t="str">
        <f>HYPERLINK("https://www.773grp.com/manufacturer/texas-instruments?pageNo=888", "Texas Instruments")</f>
        <v>Texas Instruments</v>
      </c>
      <c r="C6228" s="5">
        <v>89874</v>
      </c>
      <c r="D6228" s="6">
        <v>4.6100000000000003</v>
      </c>
      <c r="E6228" t="s">
        <v>23</v>
      </c>
    </row>
    <row r="6229" spans="1:5" x14ac:dyDescent="0.25">
      <c r="A6229" t="str">
        <f>HYPERLINK("https://www.773grp.com/globalSearch/SN74ALS193AD/page-1", "SN74ALS193AD")</f>
        <v>SN74ALS193AD</v>
      </c>
      <c r="B6229" s="3" t="str">
        <f>HYPERLINK("https://www.773grp.com/manufacturer/texas-instruments?pageNo=889", "Texas Instruments")</f>
        <v>Texas Instruments</v>
      </c>
      <c r="C6229" s="5">
        <v>28334</v>
      </c>
      <c r="D6229" s="6">
        <v>4.6100000000000003</v>
      </c>
      <c r="E6229" t="s">
        <v>23</v>
      </c>
    </row>
    <row r="6230" spans="1:5" x14ac:dyDescent="0.25">
      <c r="A6230" t="str">
        <f>HYPERLINK("https://www.773grp.com/globalSearch/SN74AS163NSR/page-1", "SN74AS163NSR")</f>
        <v>SN74AS163NSR</v>
      </c>
      <c r="B6230" s="3" t="s">
        <v>90</v>
      </c>
      <c r="C6230" s="5">
        <v>6000</v>
      </c>
      <c r="D6230" s="6">
        <v>4.68</v>
      </c>
      <c r="E6230" t="s">
        <v>23</v>
      </c>
    </row>
    <row r="6231" spans="1:5" x14ac:dyDescent="0.25">
      <c r="A6231" t="str">
        <f>HYPERLINK("https://www.773grp.com/globalSearch/SN74ALS162BD/page-1", "SN74ALS162BD")</f>
        <v>SN74ALS162BD</v>
      </c>
      <c r="B6231" s="3" t="s">
        <v>90</v>
      </c>
      <c r="C6231" s="5">
        <v>1629</v>
      </c>
      <c r="D6231" s="6">
        <v>5.16</v>
      </c>
      <c r="E6231" t="s">
        <v>23</v>
      </c>
    </row>
    <row r="6232" spans="1:5" x14ac:dyDescent="0.25">
      <c r="A6232" t="str">
        <f>HYPERLINK("https://www.773grp.com/globalSearch/SN74ALS162BN/page-1", "SN74ALS162BN")</f>
        <v>SN74ALS162BN</v>
      </c>
      <c r="B6232" s="3" t="s">
        <v>90</v>
      </c>
      <c r="C6232" s="5">
        <v>7454</v>
      </c>
      <c r="D6232" s="6">
        <v>5.16</v>
      </c>
      <c r="E6232" t="s">
        <v>23</v>
      </c>
    </row>
    <row r="6233" spans="1:5" x14ac:dyDescent="0.25">
      <c r="A6233" t="str">
        <f>HYPERLINK("https://www.773grp.com/globalSearch/SN74F168D/page-1", "SN74F168D")</f>
        <v>SN74F168D</v>
      </c>
      <c r="B6233" s="3" t="s">
        <v>90</v>
      </c>
      <c r="C6233" s="5">
        <v>93</v>
      </c>
      <c r="D6233" s="6">
        <v>4.6900000000000004</v>
      </c>
      <c r="E6233" t="s">
        <v>23</v>
      </c>
    </row>
    <row r="6234" spans="1:5" x14ac:dyDescent="0.25">
      <c r="A6234" t="str">
        <f>HYPERLINK("https://www.773grp.com/globalSearch/SN74F193AD/page-1", "SN74F193AD")</f>
        <v>SN74F193AD</v>
      </c>
      <c r="B6234" s="3" t="s">
        <v>90</v>
      </c>
      <c r="C6234" s="5">
        <v>125</v>
      </c>
      <c r="D6234" s="6">
        <v>4.6900000000000004</v>
      </c>
      <c r="E6234" t="s">
        <v>23</v>
      </c>
    </row>
    <row r="6235" spans="1:5" x14ac:dyDescent="0.25">
      <c r="A6235" t="str">
        <f>HYPERLINK("https://www.773grp.com/globalSearch/SN74F193AN/page-1", "SN74F193AN")</f>
        <v>SN74F193AN</v>
      </c>
      <c r="B6235" s="3" t="s">
        <v>90</v>
      </c>
      <c r="C6235" s="5">
        <v>812</v>
      </c>
      <c r="D6235" s="6">
        <v>4.6900000000000004</v>
      </c>
      <c r="E6235" t="s">
        <v>23</v>
      </c>
    </row>
    <row r="6236" spans="1:5" x14ac:dyDescent="0.25">
      <c r="A6236" t="str">
        <f>HYPERLINK("https://www.773grp.com/globalSearch/SN54AS163J/page-1", "SN54AS163J")</f>
        <v>SN54AS163J</v>
      </c>
      <c r="B6236" s="3" t="s">
        <v>90</v>
      </c>
      <c r="C6236" s="5">
        <v>225</v>
      </c>
      <c r="D6236" s="6">
        <v>4.78</v>
      </c>
      <c r="E6236" t="s">
        <v>23</v>
      </c>
    </row>
    <row r="6237" spans="1:5" x14ac:dyDescent="0.25">
      <c r="A6237" t="str">
        <f>HYPERLINK("https://www.773grp.com/globalSearch/SN74S163N3/page-1", "SN74S163N3")</f>
        <v>SN74S163N3</v>
      </c>
      <c r="B6237" s="3" t="s">
        <v>90</v>
      </c>
      <c r="C6237" s="5">
        <v>728</v>
      </c>
      <c r="D6237" s="6">
        <v>4.9000000000000004</v>
      </c>
      <c r="E6237" t="s">
        <v>23</v>
      </c>
    </row>
    <row r="6238" spans="1:5" x14ac:dyDescent="0.25">
      <c r="A6238" t="str">
        <f>HYPERLINK("https://www.773grp.com/globalSearch/SN74LS293N/page-1", "SN74LS293N")</f>
        <v>SN74LS293N</v>
      </c>
      <c r="B6238" s="3" t="s">
        <v>90</v>
      </c>
      <c r="C6238" s="5">
        <v>764</v>
      </c>
      <c r="D6238" s="6">
        <v>5.03</v>
      </c>
      <c r="E6238" t="s">
        <v>23</v>
      </c>
    </row>
    <row r="6239" spans="1:5" x14ac:dyDescent="0.25">
      <c r="A6239" t="str">
        <f>HYPERLINK("https://www.773grp.com/globalSearch/SN74293N/page-1", "SN74293N")</f>
        <v>SN74293N</v>
      </c>
      <c r="B6239" s="3" t="s">
        <v>90</v>
      </c>
      <c r="C6239" s="5">
        <v>404</v>
      </c>
      <c r="D6239" s="6">
        <v>5.31</v>
      </c>
      <c r="E6239" t="s">
        <v>23</v>
      </c>
    </row>
    <row r="6240" spans="1:5" x14ac:dyDescent="0.25">
      <c r="A6240" t="str">
        <f>HYPERLINK("https://www.773grp.com/globalSearch/SN74ALS569ADW/page-1", "SN74ALS569ADW")</f>
        <v>SN74ALS569ADW</v>
      </c>
      <c r="B6240" s="3" t="s">
        <v>90</v>
      </c>
      <c r="C6240" s="5">
        <v>5055</v>
      </c>
      <c r="D6240" s="6">
        <v>5.36</v>
      </c>
      <c r="E6240" t="s">
        <v>23</v>
      </c>
    </row>
    <row r="6241" spans="1:5" x14ac:dyDescent="0.25">
      <c r="A6241" t="str">
        <f>HYPERLINK("https://www.773grp.com/globalSearch/SN54LS668J/page-1", "SN54LS668J")</f>
        <v>SN54LS668J</v>
      </c>
      <c r="B6241" s="3" t="s">
        <v>90</v>
      </c>
      <c r="C6241" s="5">
        <v>211</v>
      </c>
      <c r="D6241" s="6">
        <v>5.54</v>
      </c>
      <c r="E6241" t="s">
        <v>23</v>
      </c>
    </row>
    <row r="6242" spans="1:5" x14ac:dyDescent="0.25">
      <c r="A6242" t="str">
        <f>HYPERLINK("https://www.773grp.com/globalSearch/SN54LS699J/page-1", "SN54LS699J")</f>
        <v>SN54LS699J</v>
      </c>
      <c r="B6242" s="3" t="s">
        <v>90</v>
      </c>
      <c r="C6242" s="5">
        <v>6</v>
      </c>
      <c r="D6242" s="6">
        <v>5.54</v>
      </c>
      <c r="E6242" t="s">
        <v>23</v>
      </c>
    </row>
    <row r="6243" spans="1:5" x14ac:dyDescent="0.25">
      <c r="A6243" t="str">
        <f>HYPERLINK("https://www.773grp.com/globalSearch/SN74LS668N/page-1", "SN74LS668N")</f>
        <v>SN74LS668N</v>
      </c>
      <c r="B6243" s="3" t="s">
        <v>90</v>
      </c>
      <c r="C6243" s="5">
        <v>2</v>
      </c>
      <c r="D6243" s="6">
        <v>5.58</v>
      </c>
      <c r="E6243" t="s">
        <v>23</v>
      </c>
    </row>
    <row r="6244" spans="1:5" x14ac:dyDescent="0.25">
      <c r="A6244" t="str">
        <f>HYPERLINK("https://www.773grp.com/globalSearch/CD4059AE/page-1", "CD4059AE")</f>
        <v>CD4059AE</v>
      </c>
      <c r="B6244" s="3" t="s">
        <v>90</v>
      </c>
      <c r="C6244" s="5">
        <v>325</v>
      </c>
      <c r="D6244" s="6">
        <v>5.63</v>
      </c>
      <c r="E6244" t="s">
        <v>23</v>
      </c>
    </row>
    <row r="6245" spans="1:5" x14ac:dyDescent="0.25">
      <c r="A6245" t="str">
        <f>HYPERLINK("https://www.773grp.com/globalSearch/CD4059AE/page-1", "CD4059AE")</f>
        <v>CD4059AE</v>
      </c>
      <c r="B6245" s="3" t="s">
        <v>90</v>
      </c>
      <c r="C6245" s="5">
        <v>234</v>
      </c>
      <c r="D6245" s="6">
        <v>5.63</v>
      </c>
      <c r="E6245" t="s">
        <v>23</v>
      </c>
    </row>
    <row r="6246" spans="1:5" x14ac:dyDescent="0.25">
      <c r="A6246" t="str">
        <f>HYPERLINK("https://www.773grp.com/globalSearch/SN7490AN/page-1", "SN7490AN")</f>
        <v>SN7490AN</v>
      </c>
      <c r="B6246" s="3" t="s">
        <v>90</v>
      </c>
      <c r="C6246" s="5">
        <v>1846</v>
      </c>
      <c r="D6246" s="6">
        <v>5.63</v>
      </c>
      <c r="E6246" t="s">
        <v>23</v>
      </c>
    </row>
    <row r="6247" spans="1:5" x14ac:dyDescent="0.25">
      <c r="A6247" t="str">
        <f>HYPERLINK("https://www.773grp.com/globalSearch/SN74AS163N/page-1", "SN74AS163N")</f>
        <v>SN74AS163N</v>
      </c>
      <c r="B6247" s="3" t="s">
        <v>90</v>
      </c>
      <c r="C6247" s="5">
        <v>14606</v>
      </c>
      <c r="D6247" s="6">
        <v>5.63</v>
      </c>
      <c r="E6247" t="s">
        <v>23</v>
      </c>
    </row>
    <row r="6248" spans="1:5" x14ac:dyDescent="0.25">
      <c r="A6248" t="str">
        <f>HYPERLINK("https://www.773grp.com/globalSearch/SN74ALS561ADW/page-1", "SN74ALS561ADW")</f>
        <v>SN74ALS561ADW</v>
      </c>
      <c r="B6248" s="3" t="s">
        <v>90</v>
      </c>
      <c r="C6248" s="5">
        <v>4760</v>
      </c>
      <c r="D6248" s="6">
        <v>5.91</v>
      </c>
      <c r="E6248" t="s">
        <v>23</v>
      </c>
    </row>
    <row r="6249" spans="1:5" x14ac:dyDescent="0.25">
      <c r="A6249" t="str">
        <f>HYPERLINK("https://www.773grp.com/globalSearch/SN74LS68N/page-1", "SN74LS68N")</f>
        <v>SN74LS68N</v>
      </c>
      <c r="B6249" s="3" t="s">
        <v>90</v>
      </c>
      <c r="C6249" s="5">
        <v>1977</v>
      </c>
      <c r="D6249" s="6">
        <v>5.96</v>
      </c>
      <c r="E6249" t="s">
        <v>23</v>
      </c>
    </row>
    <row r="6250" spans="1:5" x14ac:dyDescent="0.25">
      <c r="A6250" t="str">
        <f>HYPERLINK("https://www.773grp.com/globalSearch/SN74LS69N/page-1", "SN74LS69N")</f>
        <v>SN74LS69N</v>
      </c>
      <c r="B6250" s="3" t="s">
        <v>90</v>
      </c>
      <c r="C6250" s="5">
        <v>277</v>
      </c>
      <c r="D6250" s="6">
        <v>5.96</v>
      </c>
      <c r="E6250" t="s">
        <v>23</v>
      </c>
    </row>
    <row r="6251" spans="1:5" x14ac:dyDescent="0.25">
      <c r="A6251" t="str">
        <f>HYPERLINK("https://www.773grp.com/globalSearch/CD54HC161F/page-1", "CD54HC161F")</f>
        <v>CD54HC161F</v>
      </c>
      <c r="B6251" s="3" t="s">
        <v>90</v>
      </c>
      <c r="C6251" s="5">
        <v>494</v>
      </c>
      <c r="D6251" s="6">
        <v>6.11</v>
      </c>
      <c r="E6251" t="s">
        <v>23</v>
      </c>
    </row>
    <row r="6252" spans="1:5" x14ac:dyDescent="0.25">
      <c r="A6252" t="str">
        <f>HYPERLINK("https://www.773grp.com/globalSearch/SN74AS161N/page-1", "SN74AS161N")</f>
        <v>SN74AS161N</v>
      </c>
      <c r="B6252" s="3" t="s">
        <v>90</v>
      </c>
      <c r="C6252" s="5">
        <v>4668</v>
      </c>
      <c r="D6252" s="6">
        <v>6.21</v>
      </c>
      <c r="E6252" t="s">
        <v>23</v>
      </c>
    </row>
    <row r="6253" spans="1:5" x14ac:dyDescent="0.25">
      <c r="A6253" t="str">
        <f>HYPERLINK("https://www.773grp.com/globalSearch/SN74AS161NSR/page-1", "SN74AS161NSR")</f>
        <v>SN74AS161NSR</v>
      </c>
      <c r="B6253" s="3" t="s">
        <v>90</v>
      </c>
      <c r="C6253" s="5">
        <v>6000</v>
      </c>
      <c r="D6253" s="6">
        <v>6.21</v>
      </c>
      <c r="E6253" t="s">
        <v>23</v>
      </c>
    </row>
    <row r="6254" spans="1:5" x14ac:dyDescent="0.25">
      <c r="A6254" t="str">
        <f>HYPERLINK("https://www.773grp.com/globalSearch/SN74AS163D/page-1", "SN74AS163D")</f>
        <v>SN74AS163D</v>
      </c>
      <c r="B6254" s="3" t="s">
        <v>90</v>
      </c>
      <c r="C6254" s="5">
        <v>14255</v>
      </c>
      <c r="D6254" s="6">
        <v>6.21</v>
      </c>
      <c r="E6254" t="s">
        <v>23</v>
      </c>
    </row>
    <row r="6255" spans="1:5" x14ac:dyDescent="0.25">
      <c r="A6255" t="str">
        <f>HYPERLINK("https://www.773grp.com/globalSearch/SN74AS169AD/page-1", "SN74AS169AD")</f>
        <v>SN74AS169AD</v>
      </c>
      <c r="B6255" s="3" t="str">
        <f>HYPERLINK("https://www.773grp.com/manufacturer/texas-instruments?pageNo=3", "Texas Instruments")</f>
        <v>Texas Instruments</v>
      </c>
      <c r="C6255" s="5">
        <v>1642</v>
      </c>
      <c r="D6255" s="6">
        <v>6.45</v>
      </c>
      <c r="E6255" t="s">
        <v>23</v>
      </c>
    </row>
    <row r="6256" spans="1:5" x14ac:dyDescent="0.25">
      <c r="A6256" t="str">
        <f>HYPERLINK("https://www.773grp.com/globalSearch/SN74AS169ADR/page-1", "SN74AS169ADR")</f>
        <v>SN74AS169ADR</v>
      </c>
      <c r="B6256" s="3" t="str">
        <f>HYPERLINK("https://www.773grp.com/manufacturer/texas-instruments?pageNo=4", "Texas Instruments")</f>
        <v>Texas Instruments</v>
      </c>
      <c r="C6256" s="5">
        <v>5000</v>
      </c>
      <c r="D6256" s="6">
        <v>6.45</v>
      </c>
      <c r="E6256" t="s">
        <v>23</v>
      </c>
    </row>
    <row r="6257" spans="1:5" x14ac:dyDescent="0.25">
      <c r="A6257" t="str">
        <f>HYPERLINK("https://www.773grp.com/globalSearch/SN74393N/page-1", "SN74393N")</f>
        <v>SN74393N</v>
      </c>
      <c r="B6257" s="3" t="str">
        <f>HYPERLINK("https://www.773grp.com/manufacturer/texas-instruments?pageNo=236", "Texas Instruments")</f>
        <v>Texas Instruments</v>
      </c>
      <c r="C6257" s="5">
        <v>1891</v>
      </c>
      <c r="D6257" s="6">
        <v>6.55</v>
      </c>
      <c r="E6257" t="s">
        <v>23</v>
      </c>
    </row>
    <row r="6258" spans="1:5" x14ac:dyDescent="0.25">
      <c r="A6258" t="str">
        <f>HYPERLINK("https://www.773grp.com/globalSearch/SN74LS69D/page-1", "SN74LS69D")</f>
        <v>SN74LS69D</v>
      </c>
      <c r="B6258" s="3" t="str">
        <f>HYPERLINK("https://www.773grp.com/manufacturer/texas-instruments?pageNo=837", "Texas Instruments")</f>
        <v>Texas Instruments</v>
      </c>
      <c r="C6258" s="5">
        <v>1017</v>
      </c>
      <c r="D6258" s="6">
        <v>7.04</v>
      </c>
      <c r="E6258" t="s">
        <v>23</v>
      </c>
    </row>
    <row r="6259" spans="1:5" x14ac:dyDescent="0.25">
      <c r="A6259" t="str">
        <f>HYPERLINK("https://www.773grp.com/globalSearch/SN74ALS561ADWR/page-1", "SN74ALS561ADWR")</f>
        <v>SN74ALS561ADWR</v>
      </c>
      <c r="B6259" s="3" t="str">
        <f>HYPERLINK("https://www.773grp.com/manufacturer/texas-instruments?pageNo=943", "Texas Instruments")</f>
        <v>Texas Instruments</v>
      </c>
      <c r="C6259" s="5">
        <v>1000</v>
      </c>
      <c r="D6259" s="6">
        <v>7.13</v>
      </c>
      <c r="E6259" t="s">
        <v>23</v>
      </c>
    </row>
    <row r="6260" spans="1:5" x14ac:dyDescent="0.25">
      <c r="A6260" t="str">
        <f>HYPERLINK("https://www.773grp.com/globalSearch/SNJ54176J/page-1", "SNJ54176J")</f>
        <v>SNJ54176J</v>
      </c>
      <c r="B6260" s="3" t="s">
        <v>90</v>
      </c>
      <c r="C6260" s="5">
        <v>85</v>
      </c>
      <c r="D6260" s="6">
        <v>7.48</v>
      </c>
      <c r="E6260" t="s">
        <v>23</v>
      </c>
    </row>
    <row r="6261" spans="1:5" x14ac:dyDescent="0.25">
      <c r="A6261" t="str">
        <f>HYPERLINK("https://www.773grp.com/globalSearch/SN74ALS569AN/page-1", "SN74ALS569AN")</f>
        <v>SN74ALS569AN</v>
      </c>
      <c r="B6261" s="3" t="s">
        <v>90</v>
      </c>
      <c r="C6261" s="5">
        <v>4653</v>
      </c>
      <c r="D6261" s="6">
        <v>7.85</v>
      </c>
      <c r="E6261" t="s">
        <v>23</v>
      </c>
    </row>
    <row r="6262" spans="1:5" x14ac:dyDescent="0.25">
      <c r="A6262" t="str">
        <f>HYPERLINK("https://www.773grp.com/globalSearch/SN74S169N/page-1", "SN74S169N")</f>
        <v>SN74S169N</v>
      </c>
      <c r="B6262" s="3" t="s">
        <v>90</v>
      </c>
      <c r="C6262" s="5">
        <v>18833</v>
      </c>
      <c r="D6262" s="6">
        <v>8.14</v>
      </c>
      <c r="E6262" t="s">
        <v>23</v>
      </c>
    </row>
    <row r="6263" spans="1:5" x14ac:dyDescent="0.25">
      <c r="A6263" t="str">
        <f>HYPERLINK("https://www.773grp.com/globalSearch/SNJ54LS668J/page-1", "SNJ54LS668J")</f>
        <v>SNJ54LS668J</v>
      </c>
      <c r="B6263" s="3" t="s">
        <v>90</v>
      </c>
      <c r="C6263" s="5">
        <v>125</v>
      </c>
      <c r="D6263" s="6">
        <v>8.4</v>
      </c>
      <c r="E6263" t="s">
        <v>23</v>
      </c>
    </row>
    <row r="6264" spans="1:5" x14ac:dyDescent="0.25">
      <c r="A6264" t="str">
        <f>HYPERLINK("https://www.773grp.com/globalSearch/SN54HC161J/page-1", "SN54HC161J")</f>
        <v>SN54HC161J</v>
      </c>
      <c r="B6264" s="3" t="s">
        <v>90</v>
      </c>
      <c r="C6264" s="5">
        <v>120</v>
      </c>
      <c r="D6264" s="6">
        <v>8.48</v>
      </c>
      <c r="E6264" t="s">
        <v>23</v>
      </c>
    </row>
    <row r="6265" spans="1:5" x14ac:dyDescent="0.25">
      <c r="A6265" t="str">
        <f>HYPERLINK("https://www.773grp.com/globalSearch/SN7497N3/page-1", "SN7497N3")</f>
        <v>SN7497N3</v>
      </c>
      <c r="B6265" s="3" t="s">
        <v>90</v>
      </c>
      <c r="C6265" s="5">
        <v>192</v>
      </c>
      <c r="D6265" s="6">
        <v>8.61</v>
      </c>
      <c r="E6265" t="s">
        <v>23</v>
      </c>
    </row>
    <row r="6266" spans="1:5" x14ac:dyDescent="0.25">
      <c r="A6266" t="str">
        <f>HYPERLINK("https://www.773grp.com/globalSearch/SN74ALS561AN/page-1", "SN74ALS561AN")</f>
        <v>SN74ALS561AN</v>
      </c>
      <c r="B6266" s="3" t="s">
        <v>90</v>
      </c>
      <c r="C6266" s="5">
        <v>2556</v>
      </c>
      <c r="D6266" s="6">
        <v>8.64</v>
      </c>
      <c r="E6266" t="s">
        <v>23</v>
      </c>
    </row>
    <row r="6267" spans="1:5" x14ac:dyDescent="0.25">
      <c r="A6267" t="str">
        <f>HYPERLINK("https://www.773grp.com/globalSearch/SN74S163N/page-1", "SN74S163N")</f>
        <v>SN74S163N</v>
      </c>
      <c r="B6267" s="3" t="s">
        <v>90</v>
      </c>
      <c r="C6267" s="5">
        <v>20140</v>
      </c>
      <c r="D6267" s="6">
        <v>8.69</v>
      </c>
      <c r="E6267" t="s">
        <v>23</v>
      </c>
    </row>
    <row r="6268" spans="1:5" x14ac:dyDescent="0.25">
      <c r="A6268" t="str">
        <f>HYPERLINK("https://www.773grp.com/globalSearch/SN74AS169AN/page-1", "SN74AS169AN")</f>
        <v>SN74AS169AN</v>
      </c>
      <c r="B6268" s="3" t="s">
        <v>90</v>
      </c>
      <c r="C6268" s="5">
        <v>24842</v>
      </c>
      <c r="D6268" s="6">
        <v>9.25</v>
      </c>
      <c r="E6268" t="s">
        <v>23</v>
      </c>
    </row>
    <row r="6269" spans="1:5" x14ac:dyDescent="0.25">
      <c r="A6269" t="str">
        <f>HYPERLINK("https://www.773grp.com/globalSearch/SN74LS697DW/page-1", "SN74LS697DW")</f>
        <v>SN74LS697DW</v>
      </c>
      <c r="B6269" s="3" t="s">
        <v>90</v>
      </c>
      <c r="C6269" s="5">
        <v>6220</v>
      </c>
      <c r="D6269" s="6">
        <v>9.65</v>
      </c>
      <c r="E6269" t="s">
        <v>23</v>
      </c>
    </row>
    <row r="6270" spans="1:5" x14ac:dyDescent="0.25">
      <c r="A6270" t="str">
        <f>HYPERLINK("https://www.773grp.com/globalSearch/SN54LS161AJ/page-1", "SN54LS161AJ")</f>
        <v>SN54LS161AJ</v>
      </c>
      <c r="B6270" s="3" t="s">
        <v>90</v>
      </c>
      <c r="C6270" s="5">
        <v>14</v>
      </c>
      <c r="D6270" s="6">
        <v>9.6999999999999993</v>
      </c>
      <c r="E6270" t="s">
        <v>23</v>
      </c>
    </row>
    <row r="6271" spans="1:5" x14ac:dyDescent="0.25">
      <c r="A6271" t="str">
        <f>HYPERLINK("https://www.773grp.com/globalSearch/74ACT11590DW/page-1", "74ACT11590DW")</f>
        <v>74ACT11590DW</v>
      </c>
      <c r="B6271" s="3" t="s">
        <v>90</v>
      </c>
      <c r="C6271" s="5">
        <v>1500</v>
      </c>
      <c r="D6271" s="6">
        <v>10.039999999999999</v>
      </c>
      <c r="E6271" t="s">
        <v>23</v>
      </c>
    </row>
    <row r="6272" spans="1:5" x14ac:dyDescent="0.25">
      <c r="A6272" t="str">
        <f>HYPERLINK("https://www.773grp.com/globalSearch/SNJ54AS169AJ/page-1", "SNJ54AS169AJ")</f>
        <v>SNJ54AS169AJ</v>
      </c>
      <c r="B6272" s="3" t="s">
        <v>90</v>
      </c>
      <c r="C6272" s="5">
        <v>303</v>
      </c>
      <c r="D6272" s="6">
        <v>10.08</v>
      </c>
      <c r="E6272" t="s">
        <v>23</v>
      </c>
    </row>
    <row r="6273" spans="1:5" x14ac:dyDescent="0.25">
      <c r="A6273" t="str">
        <f>HYPERLINK("https://www.773grp.com/globalSearch/CD54HC193F-3A/page-1", "CD54HC193F-3A")</f>
        <v>CD54HC193F-3A</v>
      </c>
      <c r="B6273" s="3" t="s">
        <v>90</v>
      </c>
      <c r="C6273" s="5">
        <v>170</v>
      </c>
      <c r="D6273" s="6">
        <v>10.41</v>
      </c>
      <c r="E6273" t="s">
        <v>23</v>
      </c>
    </row>
    <row r="6274" spans="1:5" x14ac:dyDescent="0.25">
      <c r="A6274" t="str">
        <f>HYPERLINK("https://www.773grp.com/globalSearch/SN54ALS191AJ/page-1", "SN54ALS191AJ")</f>
        <v>SN54ALS191AJ</v>
      </c>
      <c r="B6274" s="3" t="s">
        <v>90</v>
      </c>
      <c r="C6274" s="5">
        <v>70</v>
      </c>
      <c r="D6274" s="6">
        <v>10.55</v>
      </c>
      <c r="E6274" t="s">
        <v>23</v>
      </c>
    </row>
    <row r="6275" spans="1:5" x14ac:dyDescent="0.25">
      <c r="A6275" t="str">
        <f>HYPERLINK("https://www.773grp.com/globalSearch/SN74LS699N/page-1", "SN74LS699N")</f>
        <v>SN74LS699N</v>
      </c>
      <c r="B6275" s="3" t="s">
        <v>90</v>
      </c>
      <c r="C6275" s="5">
        <v>3883</v>
      </c>
      <c r="D6275" s="6">
        <v>10.58</v>
      </c>
      <c r="E6275" t="s">
        <v>23</v>
      </c>
    </row>
    <row r="6276" spans="1:5" x14ac:dyDescent="0.25">
      <c r="A6276" t="str">
        <f>HYPERLINK("https://www.773grp.com/globalSearch/SN74LS697N/page-1", "SN74LS697N")</f>
        <v>SN74LS697N</v>
      </c>
      <c r="B6276" s="3" t="s">
        <v>90</v>
      </c>
      <c r="C6276" s="5">
        <v>13593</v>
      </c>
      <c r="D6276" s="6">
        <v>10.66</v>
      </c>
      <c r="E6276" t="s">
        <v>23</v>
      </c>
    </row>
    <row r="6277" spans="1:5" x14ac:dyDescent="0.25">
      <c r="A6277" t="str">
        <f>HYPERLINK("https://www.773grp.com/globalSearch/SN54390J/page-1", "SN54390J")</f>
        <v>SN54390J</v>
      </c>
      <c r="B6277" s="3" t="s">
        <v>90</v>
      </c>
      <c r="C6277" s="5">
        <v>3</v>
      </c>
      <c r="D6277" s="6">
        <v>10.84</v>
      </c>
      <c r="E6277" t="s">
        <v>23</v>
      </c>
    </row>
    <row r="6278" spans="1:5" x14ac:dyDescent="0.25">
      <c r="A6278" t="str">
        <f>HYPERLINK("https://www.773grp.com/globalSearch/CD54HC4040F/page-1", "CD54HC4040F")</f>
        <v>CD54HC4040F</v>
      </c>
      <c r="B6278" s="3" t="s">
        <v>90</v>
      </c>
      <c r="C6278" s="5">
        <v>127</v>
      </c>
      <c r="D6278" s="6">
        <v>10.85</v>
      </c>
      <c r="E6278" t="s">
        <v>23</v>
      </c>
    </row>
    <row r="6279" spans="1:5" x14ac:dyDescent="0.25">
      <c r="A6279" t="str">
        <f>HYPERLINK("https://www.773grp.com/globalSearch/SNJ54LS190W/page-1", "SNJ54LS190W")</f>
        <v>SNJ54LS190W</v>
      </c>
      <c r="B6279" s="3" t="s">
        <v>90</v>
      </c>
      <c r="C6279" s="5">
        <v>225</v>
      </c>
      <c r="D6279" s="6">
        <v>11</v>
      </c>
      <c r="E6279" t="s">
        <v>23</v>
      </c>
    </row>
    <row r="6280" spans="1:5" x14ac:dyDescent="0.25">
      <c r="A6280" t="str">
        <f>HYPERLINK("https://www.773grp.com/globalSearch/SN74LS669D/page-1", "SN74LS669D")</f>
        <v>SN74LS669D</v>
      </c>
      <c r="B6280" s="3" t="s">
        <v>90</v>
      </c>
      <c r="C6280" s="5">
        <v>12620</v>
      </c>
      <c r="D6280" s="6">
        <v>11.09</v>
      </c>
      <c r="E6280" t="s">
        <v>23</v>
      </c>
    </row>
    <row r="6281" spans="1:5" x14ac:dyDescent="0.25">
      <c r="A6281" t="str">
        <f>HYPERLINK("https://www.773grp.com/globalSearch/SN54192J/page-1", "SN54192J")</f>
        <v>SN54192J</v>
      </c>
      <c r="B6281" s="3" t="s">
        <v>90</v>
      </c>
      <c r="C6281" s="5">
        <v>400</v>
      </c>
      <c r="D6281" s="6">
        <v>11.1</v>
      </c>
      <c r="E6281" t="s">
        <v>23</v>
      </c>
    </row>
    <row r="6282" spans="1:5" x14ac:dyDescent="0.25">
      <c r="A6282" t="str">
        <f>HYPERLINK("https://www.773grp.com/globalSearch/SN54HC193J/page-1", "SN54HC193J")</f>
        <v>SN54HC193J</v>
      </c>
      <c r="B6282" s="3" t="s">
        <v>90</v>
      </c>
      <c r="C6282" s="5">
        <v>200</v>
      </c>
      <c r="D6282" s="6">
        <v>11.39</v>
      </c>
      <c r="E6282" t="s">
        <v>23</v>
      </c>
    </row>
    <row r="6283" spans="1:5" x14ac:dyDescent="0.25">
      <c r="A6283" t="str">
        <f>HYPERLINK("https://www.773grp.com/globalSearch/CD54HC4020F/page-1", "CD54HC4020F")</f>
        <v>CD54HC4020F</v>
      </c>
      <c r="B6283" s="3" t="s">
        <v>90</v>
      </c>
      <c r="C6283" s="5">
        <v>1</v>
      </c>
      <c r="D6283" s="6">
        <v>11.43</v>
      </c>
      <c r="E6283" t="s">
        <v>23</v>
      </c>
    </row>
    <row r="6284" spans="1:5" x14ac:dyDescent="0.25">
      <c r="A6284" t="str">
        <f>HYPERLINK("https://www.773grp.com/globalSearch/SN54HC191J/page-1", "SN54HC191J")</f>
        <v>SN54HC191J</v>
      </c>
      <c r="B6284" s="3" t="s">
        <v>90</v>
      </c>
      <c r="C6284" s="5">
        <v>236</v>
      </c>
      <c r="D6284" s="6">
        <v>11.53</v>
      </c>
      <c r="E6284" t="s">
        <v>23</v>
      </c>
    </row>
    <row r="6285" spans="1:5" x14ac:dyDescent="0.25">
      <c r="A6285" t="str">
        <f>HYPERLINK("https://www.773grp.com/globalSearch/JM38510-31504BEA/page-1", "JM38510-31504BEA")</f>
        <v>JM38510-31504BEA</v>
      </c>
      <c r="B6285" s="3" t="s">
        <v>90</v>
      </c>
      <c r="C6285" s="5">
        <v>489</v>
      </c>
      <c r="D6285" s="6">
        <v>11.56</v>
      </c>
      <c r="E6285" t="s">
        <v>23</v>
      </c>
    </row>
    <row r="6286" spans="1:5" x14ac:dyDescent="0.25">
      <c r="A6286" t="str">
        <f>HYPERLINK("https://www.773grp.com/globalSearch/SN74LS590N3/page-1", "SN74LS590N3")</f>
        <v>SN74LS590N3</v>
      </c>
      <c r="B6286" s="3" t="s">
        <v>90</v>
      </c>
      <c r="C6286" s="5">
        <v>360</v>
      </c>
      <c r="D6286" s="6">
        <v>11.56</v>
      </c>
      <c r="E6286" t="s">
        <v>23</v>
      </c>
    </row>
    <row r="6287" spans="1:5" x14ac:dyDescent="0.25">
      <c r="A6287" t="str">
        <f>HYPERLINK("https://www.773grp.com/globalSearch/SN74F169D/page-1", "SN74F169D")</f>
        <v>SN74F169D</v>
      </c>
      <c r="B6287" s="3" t="s">
        <v>90</v>
      </c>
      <c r="C6287" s="5">
        <v>20138</v>
      </c>
      <c r="D6287" s="6">
        <v>11.61</v>
      </c>
      <c r="E6287" t="s">
        <v>23</v>
      </c>
    </row>
    <row r="6288" spans="1:5" x14ac:dyDescent="0.25">
      <c r="A6288" t="str">
        <f>HYPERLINK("https://www.773grp.com/globalSearch/SN74F169N/page-1", "SN74F169N")</f>
        <v>SN74F169N</v>
      </c>
      <c r="B6288" s="3" t="s">
        <v>90</v>
      </c>
      <c r="C6288" s="5">
        <v>4667</v>
      </c>
      <c r="D6288" s="6">
        <v>11.61</v>
      </c>
      <c r="E6288" t="s">
        <v>23</v>
      </c>
    </row>
    <row r="6289" spans="1:5" x14ac:dyDescent="0.25">
      <c r="A6289" t="str">
        <f>HYPERLINK("https://www.773grp.com/globalSearch/SN74ALS568AN/page-1", "SN74ALS568AN")</f>
        <v>SN74ALS568AN</v>
      </c>
      <c r="B6289" s="3" t="s">
        <v>90</v>
      </c>
      <c r="C6289" s="5">
        <v>793</v>
      </c>
      <c r="D6289" s="6">
        <v>11.65</v>
      </c>
      <c r="E6289" t="s">
        <v>23</v>
      </c>
    </row>
    <row r="6290" spans="1:5" x14ac:dyDescent="0.25">
      <c r="A6290" t="str">
        <f>HYPERLINK("https://www.773grp.com/globalSearch/SN54LS693J/page-1", "SN54LS693J")</f>
        <v>SN54LS693J</v>
      </c>
      <c r="B6290" s="3" t="s">
        <v>90</v>
      </c>
      <c r="C6290" s="5">
        <v>277</v>
      </c>
      <c r="D6290" s="6">
        <v>11.95</v>
      </c>
      <c r="E6290" t="s">
        <v>23</v>
      </c>
    </row>
    <row r="6291" spans="1:5" x14ac:dyDescent="0.25">
      <c r="A6291" t="str">
        <f>HYPERLINK("https://www.773grp.com/globalSearch/CD4017BF/page-1", "CD4017BF")</f>
        <v>CD4017BF</v>
      </c>
      <c r="B6291" s="3" t="s">
        <v>90</v>
      </c>
      <c r="C6291" s="5">
        <v>278</v>
      </c>
      <c r="D6291" s="6">
        <v>12.06</v>
      </c>
      <c r="E6291" t="s">
        <v>23</v>
      </c>
    </row>
    <row r="6292" spans="1:5" x14ac:dyDescent="0.25">
      <c r="A6292" t="str">
        <f>HYPERLINK("https://www.773grp.com/globalSearch/SN5497J/page-1", "SN5497J")</f>
        <v>SN5497J</v>
      </c>
      <c r="B6292" s="3" t="s">
        <v>90</v>
      </c>
      <c r="C6292" s="5">
        <v>25</v>
      </c>
      <c r="D6292" s="6">
        <v>12.1</v>
      </c>
      <c r="E6292" t="s">
        <v>23</v>
      </c>
    </row>
    <row r="6293" spans="1:5" x14ac:dyDescent="0.25">
      <c r="A6293" t="str">
        <f>HYPERLINK("https://www.773grp.com/globalSearch/SN7497N/page-1", "SN7497N")</f>
        <v>SN7497N</v>
      </c>
      <c r="B6293" s="3" t="str">
        <f>HYPERLINK("https://www.773grp.com/manufacturer/texas-instruments?pageNo=5", "Texas Instruments")</f>
        <v>Texas Instruments</v>
      </c>
      <c r="C6293" s="5">
        <v>647</v>
      </c>
      <c r="D6293" s="6">
        <v>12.11</v>
      </c>
      <c r="E6293" t="s">
        <v>23</v>
      </c>
    </row>
    <row r="6294" spans="1:5" x14ac:dyDescent="0.25">
      <c r="A6294" t="str">
        <f>HYPERLINK("https://www.773grp.com/globalSearch/CD4017BF3A/page-1", "CD4017BF3A")</f>
        <v>CD4017BF3A</v>
      </c>
      <c r="B6294" s="3" t="str">
        <f>HYPERLINK("https://www.773grp.com/manufacturer/texas-instruments?pageNo=194", "Texas Instruments")</f>
        <v>Texas Instruments</v>
      </c>
      <c r="C6294" s="5">
        <v>538</v>
      </c>
      <c r="D6294" s="6">
        <v>12.49</v>
      </c>
      <c r="E6294" t="s">
        <v>23</v>
      </c>
    </row>
    <row r="6295" spans="1:5" x14ac:dyDescent="0.25">
      <c r="A6295" t="str">
        <f>HYPERLINK("https://www.773grp.com/globalSearch/SN74LS669N/page-1", "SN74LS669N")</f>
        <v>SN74LS669N</v>
      </c>
      <c r="B6295" s="3" t="str">
        <f>HYPERLINK("https://www.773grp.com/manufacturer/texas-instruments?pageNo=297", "Texas Instruments")</f>
        <v>Texas Instruments</v>
      </c>
      <c r="C6295" s="5">
        <v>316</v>
      </c>
      <c r="D6295" s="6">
        <v>12.66</v>
      </c>
      <c r="E6295" t="s">
        <v>23</v>
      </c>
    </row>
    <row r="6296" spans="1:5" x14ac:dyDescent="0.25">
      <c r="A6296" t="str">
        <f>HYPERLINK("https://www.773grp.com/globalSearch/SNJ54LS293W/page-1", "SNJ54LS293W")</f>
        <v>SNJ54LS293W</v>
      </c>
      <c r="B6296" s="3" t="str">
        <f>HYPERLINK("https://www.773grp.com/manufacturer/texas-instruments?pageNo=363", "Texas Instruments")</f>
        <v>Texas Instruments</v>
      </c>
      <c r="C6296" s="5">
        <v>17</v>
      </c>
      <c r="D6296" s="6">
        <v>12.78</v>
      </c>
      <c r="E6296" t="s">
        <v>23</v>
      </c>
    </row>
    <row r="6297" spans="1:5" x14ac:dyDescent="0.25">
      <c r="A6297" t="str">
        <f>HYPERLINK("https://www.773grp.com/globalSearch/SN54LS163AJ/page-1", "SN54LS163AJ")</f>
        <v>SN54LS163AJ</v>
      </c>
      <c r="B6297" s="3" t="str">
        <f>HYPERLINK("https://www.773grp.com/manufacturer/texas-instruments?pageNo=554", "Texas Instruments")</f>
        <v>Texas Instruments</v>
      </c>
      <c r="C6297" s="5">
        <v>2205</v>
      </c>
      <c r="D6297" s="6">
        <v>13.16</v>
      </c>
      <c r="E6297" t="s">
        <v>23</v>
      </c>
    </row>
    <row r="6298" spans="1:5" x14ac:dyDescent="0.25">
      <c r="A6298" t="str">
        <f>HYPERLINK("https://www.773grp.com/globalSearch/SNJ54LS490W/page-1", "SNJ54LS490W")</f>
        <v>SNJ54LS490W</v>
      </c>
      <c r="B6298" s="3" t="str">
        <f>HYPERLINK("https://www.773grp.com/manufacturer/texas-instruments?pageNo=573", "Texas Instruments")</f>
        <v>Texas Instruments</v>
      </c>
      <c r="C6298" s="5">
        <v>523</v>
      </c>
      <c r="D6298" s="6">
        <v>13.21</v>
      </c>
      <c r="E6298" t="s">
        <v>23</v>
      </c>
    </row>
    <row r="6299" spans="1:5" x14ac:dyDescent="0.25">
      <c r="A6299" t="str">
        <f>HYPERLINK("https://www.773grp.com/globalSearch/7600801EA/page-1", "7600801EA")</f>
        <v>7600801EA</v>
      </c>
      <c r="B6299" s="3" t="str">
        <f>HYPERLINK("https://www.773grp.com/manufacturer/texas-instruments?pageNo=802", "Texas Instruments")</f>
        <v>Texas Instruments</v>
      </c>
      <c r="C6299" s="5">
        <v>35</v>
      </c>
      <c r="D6299" s="6">
        <v>13.64</v>
      </c>
      <c r="E6299" t="s">
        <v>23</v>
      </c>
    </row>
    <row r="6300" spans="1:5" x14ac:dyDescent="0.25">
      <c r="A6300" t="str">
        <f>HYPERLINK("https://www.773grp.com/globalSearch/SNJ54LS161AJ/page-1", "SNJ54LS161AJ")</f>
        <v>SNJ54LS161AJ</v>
      </c>
      <c r="B6300" s="3" t="str">
        <f>HYPERLINK("https://www.773grp.com/manufacturer/texas-instruments?pageNo=821", "Texas Instruments")</f>
        <v>Texas Instruments</v>
      </c>
      <c r="C6300" s="5">
        <v>3</v>
      </c>
      <c r="D6300" s="6">
        <v>13.64</v>
      </c>
      <c r="E6300" t="s">
        <v>23</v>
      </c>
    </row>
    <row r="6301" spans="1:5" x14ac:dyDescent="0.25">
      <c r="A6301" t="str">
        <f>HYPERLINK("https://www.773grp.com/globalSearch/SN74AS867DWR/page-1", "SN74AS867DWR")</f>
        <v>SN74AS867DWR</v>
      </c>
      <c r="B6301" s="3" t="str">
        <f>HYPERLINK("https://www.773grp.com/manufacturer/texas-instruments?pageNo=937", "Texas Instruments")</f>
        <v>Texas Instruments</v>
      </c>
      <c r="C6301" s="5">
        <v>2000</v>
      </c>
      <c r="D6301" s="6">
        <v>13.88</v>
      </c>
      <c r="E6301" t="s">
        <v>23</v>
      </c>
    </row>
    <row r="6302" spans="1:5" x14ac:dyDescent="0.25">
      <c r="A6302" t="str">
        <f>HYPERLINK("https://www.773grp.com/globalSearch/SNJ54393J/page-1", "SNJ54393J")</f>
        <v>SNJ54393J</v>
      </c>
      <c r="B6302" s="3" t="s">
        <v>90</v>
      </c>
      <c r="C6302" s="5">
        <v>1</v>
      </c>
      <c r="D6302" s="6">
        <v>14.01</v>
      </c>
      <c r="E6302" t="s">
        <v>23</v>
      </c>
    </row>
    <row r="6303" spans="1:5" x14ac:dyDescent="0.25">
      <c r="A6303" t="str">
        <f>HYPERLINK("https://www.773grp.com/globalSearch/SN54HC4040J/page-1", "SN54HC4040J")</f>
        <v>SN54HC4040J</v>
      </c>
      <c r="B6303" s="3" t="s">
        <v>90</v>
      </c>
      <c r="C6303" s="5">
        <v>2</v>
      </c>
      <c r="D6303" s="6">
        <v>14.35</v>
      </c>
      <c r="E6303" t="s">
        <v>23</v>
      </c>
    </row>
    <row r="6304" spans="1:5" x14ac:dyDescent="0.25">
      <c r="A6304" t="str">
        <f>HYPERLINK("https://www.773grp.com/globalSearch/7603401EA/page-1", "7603401EA")</f>
        <v>7603401EA</v>
      </c>
      <c r="B6304" s="3" t="s">
        <v>90</v>
      </c>
      <c r="C6304" s="5">
        <v>201</v>
      </c>
      <c r="D6304" s="6">
        <v>14.69</v>
      </c>
      <c r="E6304" t="s">
        <v>23</v>
      </c>
    </row>
    <row r="6305" spans="1:5" x14ac:dyDescent="0.25">
      <c r="A6305" t="str">
        <f>HYPERLINK("https://www.773grp.com/globalSearch/SNJ54LS163AJ/page-1", "SNJ54LS163AJ")</f>
        <v>SNJ54LS163AJ</v>
      </c>
      <c r="B6305" s="3" t="s">
        <v>90</v>
      </c>
      <c r="C6305" s="5">
        <v>61</v>
      </c>
      <c r="D6305" s="6">
        <v>14.69</v>
      </c>
      <c r="E6305" t="s">
        <v>23</v>
      </c>
    </row>
    <row r="6306" spans="1:5" x14ac:dyDescent="0.25">
      <c r="A6306" t="str">
        <f>HYPERLINK("https://www.773grp.com/globalSearch/SN54HC4024J/page-1", "SN54HC4024J")</f>
        <v>SN54HC4024J</v>
      </c>
      <c r="B6306" s="3" t="s">
        <v>90</v>
      </c>
      <c r="C6306" s="5">
        <v>11</v>
      </c>
      <c r="D6306" s="6">
        <v>14.96</v>
      </c>
      <c r="E6306" t="s">
        <v>23</v>
      </c>
    </row>
    <row r="6307" spans="1:5" x14ac:dyDescent="0.25">
      <c r="A6307" t="str">
        <f>HYPERLINK("https://www.773grp.com/globalSearch/8407501EA/page-1", "8407501EA")</f>
        <v>8407501EA</v>
      </c>
      <c r="B6307" s="3" t="s">
        <v>90</v>
      </c>
      <c r="C6307" s="5">
        <v>12</v>
      </c>
      <c r="D6307" s="6">
        <v>15.14</v>
      </c>
      <c r="E6307" t="s">
        <v>23</v>
      </c>
    </row>
    <row r="6308" spans="1:5" x14ac:dyDescent="0.25">
      <c r="A6308" t="str">
        <f>HYPERLINK("https://www.773grp.com/globalSearch/SN54LS93J/page-1", "SN54LS93J")</f>
        <v>SN54LS93J</v>
      </c>
      <c r="B6308" s="3" t="s">
        <v>90</v>
      </c>
      <c r="C6308" s="5">
        <v>29</v>
      </c>
      <c r="D6308" s="6">
        <v>15.19</v>
      </c>
      <c r="E6308" t="s">
        <v>23</v>
      </c>
    </row>
    <row r="6309" spans="1:5" x14ac:dyDescent="0.25">
      <c r="A6309" t="str">
        <f>HYPERLINK("https://www.773grp.com/globalSearch/SNJ54LS160AW/page-1", "SNJ54LS160AW")</f>
        <v>SNJ54LS160AW</v>
      </c>
      <c r="B6309" s="3" t="s">
        <v>90</v>
      </c>
      <c r="C6309" s="5">
        <v>52</v>
      </c>
      <c r="D6309" s="6">
        <v>15.24</v>
      </c>
      <c r="E6309" t="s">
        <v>23</v>
      </c>
    </row>
    <row r="6310" spans="1:5" x14ac:dyDescent="0.25">
      <c r="A6310" t="str">
        <f>HYPERLINK("https://www.773grp.com/globalSearch/SN74ALS867ADWR/page-1", "SN74ALS867ADWR")</f>
        <v>SN74ALS867ADWR</v>
      </c>
      <c r="B6310" s="3" t="s">
        <v>90</v>
      </c>
      <c r="C6310" s="5">
        <v>1000</v>
      </c>
      <c r="D6310" s="6">
        <v>15.3</v>
      </c>
      <c r="E6310" t="s">
        <v>23</v>
      </c>
    </row>
    <row r="6311" spans="1:5" x14ac:dyDescent="0.25">
      <c r="A6311" t="str">
        <f>HYPERLINK("https://www.773grp.com/globalSearch/SNJ54290J/page-1", "SNJ54290J")</f>
        <v>SNJ54290J</v>
      </c>
      <c r="B6311" s="3" t="s">
        <v>90</v>
      </c>
      <c r="C6311" s="5">
        <v>163</v>
      </c>
      <c r="D6311" s="6">
        <v>15.48</v>
      </c>
      <c r="E6311" t="s">
        <v>23</v>
      </c>
    </row>
    <row r="6312" spans="1:5" x14ac:dyDescent="0.25">
      <c r="A6312" t="str">
        <f>HYPERLINK("https://www.773grp.com/globalSearch/SN54HC4020J/page-1", "SN54HC4020J")</f>
        <v>SN54HC4020J</v>
      </c>
      <c r="B6312" s="3" t="s">
        <v>90</v>
      </c>
      <c r="C6312" s="5">
        <v>110</v>
      </c>
      <c r="D6312" s="6">
        <v>15.53</v>
      </c>
      <c r="E6312" t="s">
        <v>23</v>
      </c>
    </row>
    <row r="6313" spans="1:5" x14ac:dyDescent="0.25">
      <c r="A6313" t="str">
        <f>HYPERLINK("https://www.773grp.com/globalSearch/SN74LS590DR/page-1", "SN74LS590DR")</f>
        <v>SN74LS590DR</v>
      </c>
      <c r="B6313" s="3" t="s">
        <v>90</v>
      </c>
      <c r="C6313" s="5">
        <v>5000</v>
      </c>
      <c r="D6313" s="6">
        <v>16.059999999999999</v>
      </c>
      <c r="E6313" t="s">
        <v>23</v>
      </c>
    </row>
    <row r="6314" spans="1:5" x14ac:dyDescent="0.25">
      <c r="A6314" t="str">
        <f>HYPERLINK("https://www.773grp.com/globalSearch/7600801FA/page-1", "7600801FA")</f>
        <v>7600801FA</v>
      </c>
      <c r="B6314" s="3" t="s">
        <v>90</v>
      </c>
      <c r="C6314" s="5">
        <v>88</v>
      </c>
      <c r="D6314" s="6">
        <v>16.09</v>
      </c>
      <c r="E6314" t="s">
        <v>23</v>
      </c>
    </row>
    <row r="6315" spans="1:5" x14ac:dyDescent="0.25">
      <c r="A6315" t="str">
        <f>HYPERLINK("https://www.773grp.com/globalSearch/SNJ54LS161AW/page-1", "SNJ54LS161AW")</f>
        <v>SNJ54LS161AW</v>
      </c>
      <c r="B6315" s="3" t="s">
        <v>90</v>
      </c>
      <c r="C6315" s="5">
        <v>95</v>
      </c>
      <c r="D6315" s="6">
        <v>16.09</v>
      </c>
      <c r="E6315" t="s">
        <v>23</v>
      </c>
    </row>
    <row r="6316" spans="1:5" x14ac:dyDescent="0.25">
      <c r="A6316" t="str">
        <f>HYPERLINK("https://www.773grp.com/globalSearch/CD4020BF3A/page-1", "CD4020BF3A")</f>
        <v>CD4020BF3A</v>
      </c>
      <c r="B6316" s="3" t="s">
        <v>90</v>
      </c>
      <c r="C6316" s="5">
        <v>969</v>
      </c>
      <c r="D6316" s="6">
        <v>16.239999999999998</v>
      </c>
      <c r="E6316" t="s">
        <v>23</v>
      </c>
    </row>
    <row r="6317" spans="1:5" x14ac:dyDescent="0.25">
      <c r="A6317" t="str">
        <f>HYPERLINK("https://www.773grp.com/globalSearch/JM38510-31508BEA/page-1", "JM38510-31508BEA")</f>
        <v>JM38510-31508BEA</v>
      </c>
      <c r="B6317" s="3" t="s">
        <v>90</v>
      </c>
      <c r="C6317" s="5">
        <v>980</v>
      </c>
      <c r="D6317" s="6">
        <v>16.38</v>
      </c>
      <c r="E6317" t="s">
        <v>23</v>
      </c>
    </row>
    <row r="6318" spans="1:5" x14ac:dyDescent="0.25">
      <c r="A6318" t="str">
        <f>HYPERLINK("https://www.773grp.com/globalSearch/SNJ54LS169BJ/page-1", "SNJ54LS169BJ")</f>
        <v>SNJ54LS169BJ</v>
      </c>
      <c r="B6318" s="3" t="s">
        <v>90</v>
      </c>
      <c r="C6318" s="5">
        <v>351</v>
      </c>
      <c r="D6318" s="6">
        <v>16.43</v>
      </c>
      <c r="E6318" t="s">
        <v>23</v>
      </c>
    </row>
    <row r="6319" spans="1:5" x14ac:dyDescent="0.25">
      <c r="A6319" t="str">
        <f>HYPERLINK("https://www.773grp.com/globalSearch/CD4060BF3A/page-1", "CD4060BF3A")</f>
        <v>CD4060BF3A</v>
      </c>
      <c r="B6319" s="3" t="s">
        <v>90</v>
      </c>
      <c r="C6319" s="5">
        <v>470</v>
      </c>
      <c r="D6319" s="6">
        <v>16.760000000000002</v>
      </c>
      <c r="E6319" t="s">
        <v>23</v>
      </c>
    </row>
    <row r="6320" spans="1:5" x14ac:dyDescent="0.25">
      <c r="A6320" t="str">
        <f>HYPERLINK("https://www.773grp.com/globalSearch/8607601EA/page-1", "8607601EA")</f>
        <v>8607601EA</v>
      </c>
      <c r="B6320" s="3" t="s">
        <v>90</v>
      </c>
      <c r="C6320" s="5">
        <v>538</v>
      </c>
      <c r="D6320" s="6">
        <v>16.829999999999998</v>
      </c>
      <c r="E6320" t="s">
        <v>23</v>
      </c>
    </row>
    <row r="6321" spans="1:5" x14ac:dyDescent="0.25">
      <c r="A6321" t="str">
        <f>HYPERLINK("https://www.773grp.com/globalSearch/SNJ54163J/page-1", "SNJ54163J")</f>
        <v>SNJ54163J</v>
      </c>
      <c r="B6321" s="3" t="s">
        <v>90</v>
      </c>
      <c r="C6321" s="5">
        <v>2065</v>
      </c>
      <c r="D6321" s="6">
        <v>16.88</v>
      </c>
      <c r="E6321" t="s">
        <v>23</v>
      </c>
    </row>
    <row r="6322" spans="1:5" x14ac:dyDescent="0.25">
      <c r="A6322" t="str">
        <f>HYPERLINK("https://www.773grp.com/globalSearch/7603201CA/page-1", "7603201CA")</f>
        <v>7603201CA</v>
      </c>
      <c r="B6322" s="3" t="s">
        <v>90</v>
      </c>
      <c r="C6322" s="5">
        <v>49</v>
      </c>
      <c r="D6322" s="6">
        <v>16.96</v>
      </c>
      <c r="E6322" t="s">
        <v>23</v>
      </c>
    </row>
    <row r="6323" spans="1:5" x14ac:dyDescent="0.25">
      <c r="A6323" t="str">
        <f>HYPERLINK("https://www.773grp.com/globalSearch/SNJ54LS90J/page-1", "SNJ54LS90J")</f>
        <v>SNJ54LS90J</v>
      </c>
      <c r="B6323" s="3" t="s">
        <v>90</v>
      </c>
      <c r="C6323" s="5">
        <v>46</v>
      </c>
      <c r="D6323" s="6">
        <v>16.96</v>
      </c>
      <c r="E6323" t="s">
        <v>23</v>
      </c>
    </row>
    <row r="6324" spans="1:5" x14ac:dyDescent="0.25">
      <c r="A6324" t="str">
        <f>HYPERLINK("https://www.773grp.com/globalSearch/7700101CA/page-1", "7700101CA")</f>
        <v>7700101CA</v>
      </c>
      <c r="B6324" s="3" t="s">
        <v>90</v>
      </c>
      <c r="C6324" s="5">
        <v>476</v>
      </c>
      <c r="D6324" s="6">
        <v>17.13</v>
      </c>
      <c r="E6324" t="s">
        <v>23</v>
      </c>
    </row>
    <row r="6325" spans="1:5" x14ac:dyDescent="0.25">
      <c r="A6325" t="str">
        <f>HYPERLINK("https://www.773grp.com/globalSearch/SNJ54LS93J/page-1", "SNJ54LS93J")</f>
        <v>SNJ54LS93J</v>
      </c>
      <c r="B6325" s="3" t="s">
        <v>90</v>
      </c>
      <c r="C6325" s="5">
        <v>12</v>
      </c>
      <c r="D6325" s="6">
        <v>17.13</v>
      </c>
      <c r="E6325" t="s">
        <v>23</v>
      </c>
    </row>
    <row r="6326" spans="1:5" x14ac:dyDescent="0.25">
      <c r="A6326" t="str">
        <f>HYPERLINK("https://www.773grp.com/globalSearch/SNJ54390J/page-1", "SNJ54390J")</f>
        <v>SNJ54390J</v>
      </c>
      <c r="B6326" s="3" t="s">
        <v>90</v>
      </c>
      <c r="C6326" s="5">
        <v>1196</v>
      </c>
      <c r="D6326" s="6">
        <v>17.21</v>
      </c>
      <c r="E6326" t="s">
        <v>23</v>
      </c>
    </row>
    <row r="6327" spans="1:5" x14ac:dyDescent="0.25">
      <c r="A6327" t="str">
        <f>HYPERLINK("https://www.773grp.com/globalSearch/CD54ACT163F3A/page-1", "CD54ACT163F3A")</f>
        <v>CD54ACT163F3A</v>
      </c>
      <c r="B6327" s="3" t="s">
        <v>90</v>
      </c>
      <c r="C6327" s="5">
        <v>52</v>
      </c>
      <c r="D6327" s="6">
        <v>17.350000000000001</v>
      </c>
      <c r="E6327" t="s">
        <v>23</v>
      </c>
    </row>
    <row r="6328" spans="1:5" x14ac:dyDescent="0.25">
      <c r="A6328" t="str">
        <f>HYPERLINK("https://www.773grp.com/globalSearch/SN74LS592DR/page-1", "SN74LS592DR")</f>
        <v>SN74LS592DR</v>
      </c>
      <c r="B6328" s="3" t="s">
        <v>90</v>
      </c>
      <c r="C6328" s="5">
        <v>9800</v>
      </c>
      <c r="D6328" s="6">
        <v>17.46</v>
      </c>
      <c r="E6328" t="s">
        <v>23</v>
      </c>
    </row>
    <row r="6329" spans="1:5" x14ac:dyDescent="0.25">
      <c r="A6329" t="str">
        <f>HYPERLINK("https://www.773grp.com/globalSearch/SN74LS590N/page-1", "SN74LS590N")</f>
        <v>SN74LS590N</v>
      </c>
      <c r="B6329" s="3" t="s">
        <v>90</v>
      </c>
      <c r="C6329" s="5">
        <v>7844</v>
      </c>
      <c r="D6329" s="6">
        <v>17.690000000000001</v>
      </c>
      <c r="E6329" t="s">
        <v>23</v>
      </c>
    </row>
    <row r="6330" spans="1:5" x14ac:dyDescent="0.25">
      <c r="A6330" t="str">
        <f>HYPERLINK("https://www.773grp.com/globalSearch/SN74LS590NE4/page-1", "SN74LS590NE4")</f>
        <v>SN74LS590NE4</v>
      </c>
      <c r="B6330" s="3" t="s">
        <v>90</v>
      </c>
      <c r="C6330" s="5">
        <v>1000</v>
      </c>
      <c r="D6330" s="6">
        <v>17.690000000000001</v>
      </c>
      <c r="E6330" t="s">
        <v>23</v>
      </c>
    </row>
    <row r="6331" spans="1:5" x14ac:dyDescent="0.25">
      <c r="A6331" t="str">
        <f>HYPERLINK("https://www.773grp.com/globalSearch/SN54LS193J/page-1", "SN54LS193J")</f>
        <v>SN54LS193J</v>
      </c>
      <c r="B6331" s="3" t="s">
        <v>90</v>
      </c>
      <c r="C6331" s="5">
        <v>84</v>
      </c>
      <c r="D6331" s="6">
        <v>17.98</v>
      </c>
      <c r="E6331" t="s">
        <v>23</v>
      </c>
    </row>
    <row r="6332" spans="1:5" x14ac:dyDescent="0.25">
      <c r="A6332" t="str">
        <f>HYPERLINK("https://www.773grp.com/globalSearch/SN54LS191J/page-1", "SN54LS191J")</f>
        <v>SN54LS191J</v>
      </c>
      <c r="B6332" s="3" t="s">
        <v>90</v>
      </c>
      <c r="C6332" s="5">
        <v>981</v>
      </c>
      <c r="D6332" s="6">
        <v>18.09</v>
      </c>
      <c r="E6332" t="s">
        <v>23</v>
      </c>
    </row>
    <row r="6333" spans="1:5" x14ac:dyDescent="0.25">
      <c r="A6333" t="str">
        <f>HYPERLINK("https://www.773grp.com/globalSearch/SN74AS867DW/page-1", "SN74AS867DW")</f>
        <v>SN74AS867DW</v>
      </c>
      <c r="B6333" s="3" t="s">
        <v>90</v>
      </c>
      <c r="C6333" s="5">
        <v>3581</v>
      </c>
      <c r="D6333" s="6">
        <v>18.28</v>
      </c>
      <c r="E6333" t="s">
        <v>23</v>
      </c>
    </row>
    <row r="6334" spans="1:5" x14ac:dyDescent="0.25">
      <c r="A6334" t="str">
        <f>HYPERLINK("https://www.773grp.com/globalSearch/SN74AS869DW/page-1", "SN74AS869DW")</f>
        <v>SN74AS869DW</v>
      </c>
      <c r="B6334" s="3" t="s">
        <v>90</v>
      </c>
      <c r="C6334" s="5">
        <v>4717</v>
      </c>
      <c r="D6334" s="6">
        <v>18.28</v>
      </c>
      <c r="E6334" t="s">
        <v>23</v>
      </c>
    </row>
    <row r="6335" spans="1:5" x14ac:dyDescent="0.25">
      <c r="A6335" t="str">
        <f>HYPERLINK("https://www.773grp.com/globalSearch/JM38510-31504BFA/page-1", "JM38510-31504BFA")</f>
        <v>JM38510-31504BFA</v>
      </c>
      <c r="B6335" s="3" t="s">
        <v>90</v>
      </c>
      <c r="C6335" s="5">
        <v>195</v>
      </c>
      <c r="D6335" s="6">
        <v>18.48</v>
      </c>
      <c r="E6335" t="s">
        <v>23</v>
      </c>
    </row>
    <row r="6336" spans="1:5" x14ac:dyDescent="0.25">
      <c r="A6336" t="str">
        <f>HYPERLINK("https://www.773grp.com/globalSearch/SN74LS696N/page-1", "SN74LS696N")</f>
        <v>SN74LS696N</v>
      </c>
      <c r="B6336" s="3" t="s">
        <v>90</v>
      </c>
      <c r="C6336" s="5">
        <v>2332</v>
      </c>
      <c r="D6336" s="6">
        <v>18.559999999999999</v>
      </c>
      <c r="E6336" t="s">
        <v>23</v>
      </c>
    </row>
    <row r="6337" spans="1:5" x14ac:dyDescent="0.25">
      <c r="A6337" t="str">
        <f>HYPERLINK("https://www.773grp.com/globalSearch/CD54HC4520F/page-1", "CD54HC4520F")</f>
        <v>CD54HC4520F</v>
      </c>
      <c r="B6337" s="3" t="s">
        <v>90</v>
      </c>
      <c r="C6337" s="5">
        <v>194</v>
      </c>
      <c r="D6337" s="6">
        <v>18.739999999999998</v>
      </c>
      <c r="E6337" t="s">
        <v>23</v>
      </c>
    </row>
    <row r="6338" spans="1:5" x14ac:dyDescent="0.25">
      <c r="A6338" t="str">
        <f>HYPERLINK("https://www.773grp.com/globalSearch/SN74LS693N/page-1", "SN74LS693N")</f>
        <v>SN74LS693N</v>
      </c>
      <c r="B6338" s="3" t="s">
        <v>90</v>
      </c>
      <c r="C6338" s="5">
        <v>399</v>
      </c>
      <c r="D6338" s="6">
        <v>18.79</v>
      </c>
      <c r="E6338" t="s">
        <v>23</v>
      </c>
    </row>
    <row r="6339" spans="1:5" x14ac:dyDescent="0.25">
      <c r="A6339" t="str">
        <f>HYPERLINK("https://www.773grp.com/globalSearch/SN54LS393J/page-1", "SN54LS393J")</f>
        <v>SN54LS393J</v>
      </c>
      <c r="B6339" s="3" t="s">
        <v>90</v>
      </c>
      <c r="C6339" s="5">
        <v>1470</v>
      </c>
      <c r="D6339" s="6">
        <v>19.04</v>
      </c>
      <c r="E6339" t="s">
        <v>23</v>
      </c>
    </row>
    <row r="6340" spans="1:5" x14ac:dyDescent="0.25">
      <c r="A6340" t="str">
        <f>HYPERLINK("https://www.773grp.com/globalSearch/CD40193BF3A/page-1", "CD40193BF3A")</f>
        <v>CD40193BF3A</v>
      </c>
      <c r="B6340" s="3" t="s">
        <v>90</v>
      </c>
      <c r="C6340" s="5">
        <v>141</v>
      </c>
      <c r="D6340" s="6">
        <v>19.13</v>
      </c>
      <c r="E6340" t="s">
        <v>23</v>
      </c>
    </row>
    <row r="6341" spans="1:5" x14ac:dyDescent="0.25">
      <c r="A6341" t="str">
        <f>HYPERLINK("https://www.773grp.com/globalSearch/SN74LS590D/page-1", "SN74LS590D")</f>
        <v>SN74LS590D</v>
      </c>
      <c r="B6341" s="3" t="s">
        <v>90</v>
      </c>
      <c r="C6341" s="5">
        <v>8077</v>
      </c>
      <c r="D6341" s="6">
        <v>19.29</v>
      </c>
      <c r="E6341" t="s">
        <v>23</v>
      </c>
    </row>
    <row r="6342" spans="1:5" x14ac:dyDescent="0.25">
      <c r="A6342" t="str">
        <f>HYPERLINK("https://www.773grp.com/globalSearch/SN74LS592N/page-1", "SN74LS592N")</f>
        <v>SN74LS592N</v>
      </c>
      <c r="B6342" s="3" t="s">
        <v>90</v>
      </c>
      <c r="C6342" s="5">
        <v>2784</v>
      </c>
      <c r="D6342" s="6">
        <v>19.29</v>
      </c>
      <c r="E6342" t="s">
        <v>23</v>
      </c>
    </row>
    <row r="6343" spans="1:5" x14ac:dyDescent="0.25">
      <c r="A6343" t="str">
        <f>HYPERLINK("https://www.773grp.com/globalSearch/SN54LS169BJ/page-1", "SN54LS169BJ")</f>
        <v>SN54LS169BJ</v>
      </c>
      <c r="B6343" s="3" t="s">
        <v>90</v>
      </c>
      <c r="C6343" s="5">
        <v>861</v>
      </c>
      <c r="D6343" s="6">
        <v>19.38</v>
      </c>
      <c r="E6343" t="s">
        <v>23</v>
      </c>
    </row>
    <row r="6344" spans="1:5" x14ac:dyDescent="0.25">
      <c r="A6344" t="str">
        <f>HYPERLINK("https://www.773grp.com/globalSearch/CD54HC4024F/page-1", "CD54HC4024F")</f>
        <v>CD54HC4024F</v>
      </c>
      <c r="B6344" s="3" t="s">
        <v>90</v>
      </c>
      <c r="C6344" s="5">
        <v>56</v>
      </c>
      <c r="D6344" s="6">
        <v>19.579999999999998</v>
      </c>
      <c r="E6344" t="s">
        <v>23</v>
      </c>
    </row>
    <row r="6345" spans="1:5" x14ac:dyDescent="0.25">
      <c r="A6345" t="str">
        <f>HYPERLINK("https://www.773grp.com/globalSearch/7600601FA/page-1", "7600601FA")</f>
        <v>7600601FA</v>
      </c>
      <c r="B6345" s="3" t="s">
        <v>90</v>
      </c>
      <c r="C6345" s="5">
        <v>156</v>
      </c>
      <c r="D6345" s="6">
        <v>19.61</v>
      </c>
      <c r="E6345" t="s">
        <v>23</v>
      </c>
    </row>
    <row r="6346" spans="1:5" x14ac:dyDescent="0.25">
      <c r="A6346" t="str">
        <f>HYPERLINK("https://www.773grp.com/globalSearch/SNJ54LS193W/page-1", "SNJ54LS193W")</f>
        <v>SNJ54LS193W</v>
      </c>
      <c r="B6346" s="3" t="s">
        <v>90</v>
      </c>
      <c r="C6346" s="5">
        <v>11</v>
      </c>
      <c r="D6346" s="6">
        <v>19.61</v>
      </c>
      <c r="E6346" t="s">
        <v>23</v>
      </c>
    </row>
    <row r="6347" spans="1:5" x14ac:dyDescent="0.25">
      <c r="A6347" t="str">
        <f>HYPERLINK("https://www.773grp.com/globalSearch/SNJ54ALS191AJ/page-1", "SNJ54ALS191AJ")</f>
        <v>SNJ54ALS191AJ</v>
      </c>
      <c r="B6347" s="3" t="s">
        <v>90</v>
      </c>
      <c r="C6347" s="5">
        <v>88</v>
      </c>
      <c r="D6347" s="6">
        <v>19.88</v>
      </c>
      <c r="E6347" t="s">
        <v>23</v>
      </c>
    </row>
    <row r="6348" spans="1:5" x14ac:dyDescent="0.25">
      <c r="A6348" t="str">
        <f>HYPERLINK("https://www.773grp.com/globalSearch/CD54HC193F3A/page-1", "CD54HC193F3A")</f>
        <v>CD54HC193F3A</v>
      </c>
      <c r="B6348" s="3" t="s">
        <v>90</v>
      </c>
      <c r="C6348" s="5">
        <v>229</v>
      </c>
      <c r="D6348" s="6">
        <v>20.05</v>
      </c>
      <c r="E6348" t="s">
        <v>23</v>
      </c>
    </row>
    <row r="6349" spans="1:5" x14ac:dyDescent="0.25">
      <c r="A6349" t="str">
        <f>HYPERLINK("https://www.773grp.com/globalSearch/SN74ALS869DW/page-1", "SN74ALS869DW")</f>
        <v>SN74ALS869DW</v>
      </c>
      <c r="B6349" s="3" t="s">
        <v>90</v>
      </c>
      <c r="C6349" s="5">
        <v>16536</v>
      </c>
      <c r="D6349" s="6">
        <v>20.09</v>
      </c>
      <c r="E6349" t="s">
        <v>23</v>
      </c>
    </row>
    <row r="6350" spans="1:5" x14ac:dyDescent="0.25">
      <c r="A6350" t="str">
        <f>HYPERLINK("https://www.773grp.com/globalSearch/SNJ54LS699J/page-1", "SNJ54LS699J")</f>
        <v>SNJ54LS699J</v>
      </c>
      <c r="B6350" s="3" t="s">
        <v>90</v>
      </c>
      <c r="C6350" s="5">
        <v>138</v>
      </c>
      <c r="D6350" s="6">
        <v>20.09</v>
      </c>
      <c r="E6350" t="s">
        <v>23</v>
      </c>
    </row>
    <row r="6351" spans="1:5" x14ac:dyDescent="0.25">
      <c r="A6351" t="str">
        <f>HYPERLINK("https://www.773grp.com/globalSearch/5962-8772401EA/page-1", "5962-8772401EA")</f>
        <v>5962-8772401EA</v>
      </c>
      <c r="B6351" s="3" t="s">
        <v>90</v>
      </c>
      <c r="C6351" s="5">
        <v>192</v>
      </c>
      <c r="D6351" s="6">
        <v>20.25</v>
      </c>
      <c r="E6351" t="s">
        <v>23</v>
      </c>
    </row>
    <row r="6352" spans="1:5" x14ac:dyDescent="0.25">
      <c r="A6352" t="str">
        <f>HYPERLINK("https://www.773grp.com/globalSearch/SN54196J/page-1", "SN54196J")</f>
        <v>SN54196J</v>
      </c>
      <c r="B6352" s="3" t="s">
        <v>90</v>
      </c>
      <c r="C6352" s="5">
        <v>57</v>
      </c>
      <c r="D6352" s="6">
        <v>20.25</v>
      </c>
      <c r="E6352" t="s">
        <v>23</v>
      </c>
    </row>
    <row r="6353" spans="1:5" x14ac:dyDescent="0.25">
      <c r="A6353" t="str">
        <f>HYPERLINK("https://www.773grp.com/globalSearch/SNJ54HC193J/page-1", "SNJ54HC193J")</f>
        <v>SNJ54HC193J</v>
      </c>
      <c r="B6353" s="3" t="s">
        <v>90</v>
      </c>
      <c r="C6353" s="5">
        <v>1508</v>
      </c>
      <c r="D6353" s="6">
        <v>20.25</v>
      </c>
      <c r="E6353" t="s">
        <v>23</v>
      </c>
    </row>
    <row r="6354" spans="1:5" x14ac:dyDescent="0.25">
      <c r="A6354" t="str">
        <f>HYPERLINK("https://www.773grp.com/globalSearch/7600601EA/page-1", "7600601EA")</f>
        <v>7600601EA</v>
      </c>
      <c r="B6354" s="3" t="s">
        <v>90</v>
      </c>
      <c r="C6354" s="5">
        <v>177</v>
      </c>
      <c r="D6354" s="6">
        <v>20.3</v>
      </c>
      <c r="E6354" t="s">
        <v>23</v>
      </c>
    </row>
    <row r="6355" spans="1:5" x14ac:dyDescent="0.25">
      <c r="A6355" t="str">
        <f>HYPERLINK("https://www.773grp.com/globalSearch/CD4520BF/page-1", "CD4520BF")</f>
        <v>CD4520BF</v>
      </c>
      <c r="B6355" s="3" t="s">
        <v>90</v>
      </c>
      <c r="C6355" s="5">
        <v>80</v>
      </c>
      <c r="D6355" s="6">
        <v>20.3</v>
      </c>
      <c r="E6355" t="s">
        <v>23</v>
      </c>
    </row>
    <row r="6356" spans="1:5" x14ac:dyDescent="0.25">
      <c r="A6356" t="str">
        <f>HYPERLINK("https://www.773grp.com/globalSearch/SNJ54LS196W/page-1", "SNJ54LS196W")</f>
        <v>SNJ54LS196W</v>
      </c>
      <c r="B6356" s="3" t="s">
        <v>90</v>
      </c>
      <c r="C6356" s="5">
        <v>68</v>
      </c>
      <c r="D6356" s="6">
        <v>20.3</v>
      </c>
      <c r="E6356" t="s">
        <v>23</v>
      </c>
    </row>
    <row r="6357" spans="1:5" x14ac:dyDescent="0.25">
      <c r="A6357" t="str">
        <f>HYPERLINK("https://www.773grp.com/globalSearch/SNJ54LS191J/page-1", "SNJ54LS191J")</f>
        <v>SNJ54LS191J</v>
      </c>
      <c r="B6357" s="3" t="s">
        <v>90</v>
      </c>
      <c r="C6357" s="5">
        <v>8</v>
      </c>
      <c r="D6357" s="6">
        <v>20.45</v>
      </c>
      <c r="E6357" t="s">
        <v>23</v>
      </c>
    </row>
    <row r="6358" spans="1:5" x14ac:dyDescent="0.25">
      <c r="A6358" t="str">
        <f>HYPERLINK("https://www.773grp.com/globalSearch/CD54HC393F3A/page-1", "CD54HC393F3A")</f>
        <v>CD54HC393F3A</v>
      </c>
      <c r="B6358" s="3" t="s">
        <v>90</v>
      </c>
      <c r="C6358" s="5">
        <v>8</v>
      </c>
      <c r="D6358" s="6">
        <v>20.5</v>
      </c>
      <c r="E6358" t="s">
        <v>23</v>
      </c>
    </row>
    <row r="6359" spans="1:5" x14ac:dyDescent="0.25">
      <c r="A6359" t="str">
        <f>HYPERLINK("https://www.773grp.com/globalSearch/SNJ54HC191J/page-1", "SNJ54HC191J")</f>
        <v>SNJ54HC191J</v>
      </c>
      <c r="B6359" s="3" t="s">
        <v>90</v>
      </c>
      <c r="C6359" s="5">
        <v>196</v>
      </c>
      <c r="D6359" s="6">
        <v>20.54</v>
      </c>
      <c r="E6359" t="s">
        <v>23</v>
      </c>
    </row>
    <row r="6360" spans="1:5" x14ac:dyDescent="0.25">
      <c r="A6360" t="str">
        <f>HYPERLINK("https://www.773grp.com/globalSearch/SNJ54LS161AFK/page-1", "SNJ54LS161AFK")</f>
        <v>SNJ54LS161AFK</v>
      </c>
      <c r="B6360" s="3" t="s">
        <v>90</v>
      </c>
      <c r="C6360" s="5">
        <v>257</v>
      </c>
      <c r="D6360" s="6">
        <v>20.55</v>
      </c>
      <c r="E6360" t="s">
        <v>23</v>
      </c>
    </row>
    <row r="6361" spans="1:5" x14ac:dyDescent="0.25">
      <c r="A6361" t="str">
        <f>HYPERLINK("https://www.773grp.com/globalSearch/8302202EA/page-1", "8302202EA")</f>
        <v>8302202EA</v>
      </c>
      <c r="B6361" s="3" t="s">
        <v>90</v>
      </c>
      <c r="C6361" s="5">
        <v>62</v>
      </c>
      <c r="D6361" s="6">
        <v>20.63</v>
      </c>
      <c r="E6361" t="s">
        <v>23</v>
      </c>
    </row>
    <row r="6362" spans="1:5" x14ac:dyDescent="0.25">
      <c r="A6362" t="str">
        <f>HYPERLINK("https://www.773grp.com/globalSearch/CD4022BF/page-1", "CD4022BF")</f>
        <v>CD4022BF</v>
      </c>
      <c r="B6362" s="3" t="s">
        <v>90</v>
      </c>
      <c r="C6362" s="5">
        <v>72</v>
      </c>
      <c r="D6362" s="6">
        <v>20.63</v>
      </c>
      <c r="E6362" t="s">
        <v>23</v>
      </c>
    </row>
    <row r="6363" spans="1:5" x14ac:dyDescent="0.25">
      <c r="A6363" t="str">
        <f>HYPERLINK("https://www.773grp.com/globalSearch/SNJ54ALS163BJ/page-1", "SNJ54ALS163BJ")</f>
        <v>SNJ54ALS163BJ</v>
      </c>
      <c r="B6363" s="3" t="s">
        <v>90</v>
      </c>
      <c r="C6363" s="5">
        <v>154</v>
      </c>
      <c r="D6363" s="6">
        <v>20.63</v>
      </c>
      <c r="E6363" t="s">
        <v>23</v>
      </c>
    </row>
    <row r="6364" spans="1:5" x14ac:dyDescent="0.25">
      <c r="A6364" t="str">
        <f>HYPERLINK("https://www.773grp.com/globalSearch/CD4024BF/page-1", "CD4024BF")</f>
        <v>CD4024BF</v>
      </c>
      <c r="B6364" s="3" t="s">
        <v>90</v>
      </c>
      <c r="C6364" s="5">
        <v>1</v>
      </c>
      <c r="D6364" s="6">
        <v>20.7</v>
      </c>
      <c r="E6364" t="s">
        <v>23</v>
      </c>
    </row>
    <row r="6365" spans="1:5" x14ac:dyDescent="0.25">
      <c r="A6365" t="str">
        <f>HYPERLINK("https://www.773grp.com/globalSearch/SN74AS867NT/page-1", "SN74AS867NT")</f>
        <v>SN74AS867NT</v>
      </c>
      <c r="B6365" s="3" t="s">
        <v>90</v>
      </c>
      <c r="C6365" s="5">
        <v>509</v>
      </c>
      <c r="D6365" s="6">
        <v>20.7</v>
      </c>
      <c r="E6365" t="s">
        <v>23</v>
      </c>
    </row>
    <row r="6366" spans="1:5" x14ac:dyDescent="0.25">
      <c r="A6366" t="str">
        <f>HYPERLINK("https://www.773grp.com/globalSearch/SN74AS869NT/page-1", "SN74AS869NT")</f>
        <v>SN74AS869NT</v>
      </c>
      <c r="B6366" s="3" t="s">
        <v>90</v>
      </c>
      <c r="C6366" s="5">
        <v>3885</v>
      </c>
      <c r="D6366" s="6">
        <v>20.7</v>
      </c>
      <c r="E6366" t="s">
        <v>23</v>
      </c>
    </row>
    <row r="6367" spans="1:5" x14ac:dyDescent="0.25">
      <c r="A6367" t="str">
        <f>HYPERLINK("https://www.773grp.com/globalSearch/SNJ54HC393J/page-1", "SNJ54HC393J")</f>
        <v>SNJ54HC393J</v>
      </c>
      <c r="B6367" s="3" t="s">
        <v>90</v>
      </c>
      <c r="C6367" s="5">
        <v>376</v>
      </c>
      <c r="D6367" s="6">
        <v>20.79</v>
      </c>
      <c r="E6367" t="s">
        <v>23</v>
      </c>
    </row>
    <row r="6368" spans="1:5" x14ac:dyDescent="0.25">
      <c r="A6368" t="str">
        <f>HYPERLINK("https://www.773grp.com/globalSearch/CD4518BF/page-1", "CD4518BF")</f>
        <v>CD4518BF</v>
      </c>
      <c r="B6368" s="3" t="s">
        <v>90</v>
      </c>
      <c r="C6368" s="5">
        <v>151</v>
      </c>
      <c r="D6368" s="6">
        <v>20.84</v>
      </c>
      <c r="E6368" t="s">
        <v>23</v>
      </c>
    </row>
    <row r="6369" spans="1:5" x14ac:dyDescent="0.25">
      <c r="A6369" t="str">
        <f>HYPERLINK("https://www.773grp.com/globalSearch/CD4518BF/page-1", "CD4518BF")</f>
        <v>CD4518BF</v>
      </c>
      <c r="B6369" s="3" t="s">
        <v>90</v>
      </c>
      <c r="C6369" s="5">
        <v>117</v>
      </c>
      <c r="D6369" s="6">
        <v>20.84</v>
      </c>
      <c r="E6369" t="s">
        <v>23</v>
      </c>
    </row>
    <row r="6370" spans="1:5" x14ac:dyDescent="0.25">
      <c r="A6370" t="str">
        <f>HYPERLINK("https://www.773grp.com/globalSearch/CD4018BF/page-1", "CD4018BF")</f>
        <v>CD4018BF</v>
      </c>
      <c r="B6370" s="3" t="s">
        <v>90</v>
      </c>
      <c r="C6370" s="5">
        <v>144</v>
      </c>
      <c r="D6370" s="6">
        <v>21.1</v>
      </c>
      <c r="E6370" t="s">
        <v>23</v>
      </c>
    </row>
    <row r="6371" spans="1:5" x14ac:dyDescent="0.25">
      <c r="A6371" t="str">
        <f>HYPERLINK("https://www.773grp.com/globalSearch/SN74LS592D/page-1", "SN74LS592D")</f>
        <v>SN74LS592D</v>
      </c>
      <c r="B6371" s="3" t="s">
        <v>90</v>
      </c>
      <c r="C6371" s="5">
        <v>3580</v>
      </c>
      <c r="D6371" s="6">
        <v>21.1</v>
      </c>
      <c r="E6371" t="s">
        <v>23</v>
      </c>
    </row>
    <row r="6372" spans="1:5" x14ac:dyDescent="0.25">
      <c r="A6372" t="str">
        <f>HYPERLINK("https://www.773grp.com/globalSearch/JM38510-31509BEA/page-1", "JM38510-31509BEA")</f>
        <v>JM38510-31509BEA</v>
      </c>
      <c r="B6372" s="3" t="s">
        <v>90</v>
      </c>
      <c r="C6372" s="5">
        <v>292</v>
      </c>
      <c r="D6372" s="6">
        <v>21.56</v>
      </c>
      <c r="E6372" t="s">
        <v>23</v>
      </c>
    </row>
    <row r="6373" spans="1:5" x14ac:dyDescent="0.25">
      <c r="A6373" t="str">
        <f>HYPERLINK("https://www.773grp.com/globalSearch/SNJ54LS393J/page-1", "SNJ54LS393J")</f>
        <v>SNJ54LS393J</v>
      </c>
      <c r="B6373" s="3" t="s">
        <v>90</v>
      </c>
      <c r="C6373" s="5">
        <v>15</v>
      </c>
      <c r="D6373" s="6">
        <v>21.83</v>
      </c>
      <c r="E6373" t="s">
        <v>23</v>
      </c>
    </row>
    <row r="6374" spans="1:5" x14ac:dyDescent="0.25">
      <c r="A6374" t="str">
        <f>HYPERLINK("https://www.773grp.com/globalSearch/CD54HC4520F3A/page-1", "CD54HC4520F3A")</f>
        <v>CD54HC4520F3A</v>
      </c>
      <c r="B6374" s="3" t="s">
        <v>90</v>
      </c>
      <c r="C6374" s="5">
        <v>27</v>
      </c>
      <c r="D6374" s="6">
        <v>21.99</v>
      </c>
      <c r="E6374" t="s">
        <v>23</v>
      </c>
    </row>
    <row r="6375" spans="1:5" x14ac:dyDescent="0.25">
      <c r="A6375" t="str">
        <f>HYPERLINK("https://www.773grp.com/globalSearch/CD4089BF3A/page-1", "CD4089BF3A")</f>
        <v>CD4089BF3A</v>
      </c>
      <c r="B6375" s="3" t="s">
        <v>90</v>
      </c>
      <c r="C6375" s="5">
        <v>385</v>
      </c>
      <c r="D6375" s="6">
        <v>22.41</v>
      </c>
      <c r="E6375" t="s">
        <v>23</v>
      </c>
    </row>
    <row r="6376" spans="1:5" x14ac:dyDescent="0.25">
      <c r="A6376" t="str">
        <f>HYPERLINK("https://www.773grp.com/globalSearch/SN74ALS869NT/page-1", "SN74ALS869NT")</f>
        <v>SN74ALS869NT</v>
      </c>
      <c r="B6376" s="3" t="s">
        <v>90</v>
      </c>
      <c r="C6376" s="5">
        <v>223</v>
      </c>
      <c r="D6376" s="6">
        <v>22.7</v>
      </c>
      <c r="E6376" t="s">
        <v>23</v>
      </c>
    </row>
    <row r="6377" spans="1:5" x14ac:dyDescent="0.25">
      <c r="A6377" t="str">
        <f>HYPERLINK("https://www.773grp.com/globalSearch/SN74ALS869NT/page-1", "SN74ALS869NT")</f>
        <v>SN74ALS869NT</v>
      </c>
      <c r="B6377" s="3" t="s">
        <v>90</v>
      </c>
      <c r="C6377" s="5">
        <v>7771</v>
      </c>
      <c r="D6377" s="6">
        <v>22.7</v>
      </c>
      <c r="E6377" t="s">
        <v>23</v>
      </c>
    </row>
    <row r="6378" spans="1:5" x14ac:dyDescent="0.25">
      <c r="A6378" t="str">
        <f>HYPERLINK("https://www.773grp.com/globalSearch/7601501DA/page-1", "7601501DA")</f>
        <v>7601501DA</v>
      </c>
      <c r="B6378" s="3" t="s">
        <v>90</v>
      </c>
      <c r="C6378" s="5">
        <v>17</v>
      </c>
      <c r="D6378" s="6">
        <v>22.73</v>
      </c>
      <c r="E6378" t="s">
        <v>23</v>
      </c>
    </row>
    <row r="6379" spans="1:5" x14ac:dyDescent="0.25">
      <c r="A6379" t="str">
        <f>HYPERLINK("https://www.773grp.com/globalSearch/SNJ5497J/page-1", "SNJ5497J")</f>
        <v>SNJ5497J</v>
      </c>
      <c r="B6379" s="3" t="s">
        <v>90</v>
      </c>
      <c r="C6379" s="5">
        <v>116</v>
      </c>
      <c r="D6379" s="6">
        <v>22.91</v>
      </c>
      <c r="E6379" t="s">
        <v>23</v>
      </c>
    </row>
    <row r="6380" spans="1:5" x14ac:dyDescent="0.25">
      <c r="A6380" t="str">
        <f>HYPERLINK("https://www.773grp.com/globalSearch/8302201EA/page-1", "8302201EA")</f>
        <v>8302201EA</v>
      </c>
      <c r="B6380" s="3" t="s">
        <v>90</v>
      </c>
      <c r="C6380" s="5">
        <v>198</v>
      </c>
      <c r="D6380" s="6">
        <v>23.29</v>
      </c>
      <c r="E6380" t="s">
        <v>23</v>
      </c>
    </row>
    <row r="6381" spans="1:5" x14ac:dyDescent="0.25">
      <c r="A6381" t="str">
        <f>HYPERLINK("https://www.773grp.com/globalSearch/CD40103BF/page-1", "CD40103BF")</f>
        <v>CD40103BF</v>
      </c>
      <c r="B6381" s="3" t="s">
        <v>90</v>
      </c>
      <c r="C6381" s="5">
        <v>2981</v>
      </c>
      <c r="D6381" s="6">
        <v>23.29</v>
      </c>
      <c r="E6381" t="s">
        <v>23</v>
      </c>
    </row>
    <row r="6382" spans="1:5" x14ac:dyDescent="0.25">
      <c r="A6382" t="str">
        <f>HYPERLINK("https://www.773grp.com/globalSearch/8101602EA/page-1", "8101602EA")</f>
        <v>8101602EA</v>
      </c>
      <c r="B6382" s="3" t="s">
        <v>90</v>
      </c>
      <c r="C6382" s="5">
        <v>78</v>
      </c>
      <c r="D6382" s="6">
        <v>23.33</v>
      </c>
      <c r="E6382" t="s">
        <v>23</v>
      </c>
    </row>
    <row r="6383" spans="1:5" x14ac:dyDescent="0.25">
      <c r="A6383" t="str">
        <f>HYPERLINK("https://www.773grp.com/globalSearch/CD4029BF3A/page-1", "CD4029BF3A")</f>
        <v>CD4029BF3A</v>
      </c>
      <c r="B6383" s="3" t="s">
        <v>90</v>
      </c>
      <c r="C6383" s="5">
        <v>14</v>
      </c>
      <c r="D6383" s="6">
        <v>23.33</v>
      </c>
      <c r="E6383" t="s">
        <v>23</v>
      </c>
    </row>
    <row r="6384" spans="1:5" x14ac:dyDescent="0.25">
      <c r="A6384" t="str">
        <f>HYPERLINK("https://www.773grp.com/globalSearch/CD4022BF3A/page-1", "CD4022BF3A")</f>
        <v>CD4022BF3A</v>
      </c>
      <c r="B6384" s="3" t="s">
        <v>90</v>
      </c>
      <c r="C6384" s="5">
        <v>22</v>
      </c>
      <c r="D6384" s="6">
        <v>23.88</v>
      </c>
      <c r="E6384" t="s">
        <v>23</v>
      </c>
    </row>
    <row r="6385" spans="1:5" x14ac:dyDescent="0.25">
      <c r="A6385" t="str">
        <f>HYPERLINK("https://www.773grp.com/globalSearch/JM38510-31502BCA/page-1", "JM38510-31502BCA")</f>
        <v>JM38510-31502BCA</v>
      </c>
      <c r="B6385" s="3" t="s">
        <v>90</v>
      </c>
      <c r="C6385" s="5">
        <v>54</v>
      </c>
      <c r="D6385" s="6">
        <v>23.88</v>
      </c>
      <c r="E6385" t="s">
        <v>23</v>
      </c>
    </row>
    <row r="6386" spans="1:5" x14ac:dyDescent="0.25">
      <c r="A6386" t="str">
        <f>HYPERLINK("https://www.773grp.com/globalSearch/SNJ54L93J/page-1", "SNJ54L93J")</f>
        <v>SNJ54L93J</v>
      </c>
      <c r="B6386" s="3" t="s">
        <v>90</v>
      </c>
      <c r="C6386" s="5">
        <v>10</v>
      </c>
      <c r="D6386" s="6">
        <v>23.91</v>
      </c>
      <c r="E6386" t="s">
        <v>23</v>
      </c>
    </row>
    <row r="6387" spans="1:5" x14ac:dyDescent="0.25">
      <c r="A6387" t="str">
        <f>HYPERLINK("https://www.773grp.com/globalSearch/5962-8869801EA/page-1", "5962-8869801EA")</f>
        <v>5962-8869801EA</v>
      </c>
      <c r="B6387" s="3" t="s">
        <v>90</v>
      </c>
      <c r="C6387" s="5">
        <v>9</v>
      </c>
      <c r="D6387" s="6">
        <v>23.96</v>
      </c>
      <c r="E6387" t="s">
        <v>23</v>
      </c>
    </row>
    <row r="6388" spans="1:5" x14ac:dyDescent="0.25">
      <c r="A6388" t="str">
        <f>HYPERLINK("https://www.773grp.com/globalSearch/SN74ALS867ADW/page-1", "SN74ALS867ADW")</f>
        <v>SN74ALS867ADW</v>
      </c>
      <c r="B6388" s="3" t="s">
        <v>90</v>
      </c>
      <c r="C6388" s="5">
        <v>22917</v>
      </c>
      <c r="D6388" s="6">
        <v>24.1</v>
      </c>
      <c r="E6388" t="s">
        <v>23</v>
      </c>
    </row>
    <row r="6389" spans="1:5" x14ac:dyDescent="0.25">
      <c r="A6389" t="str">
        <f>HYPERLINK("https://www.773grp.com/globalSearch/CD4541BF3A/page-1", "CD4541BF3A")</f>
        <v>CD4541BF3A</v>
      </c>
      <c r="B6389" s="3" t="s">
        <v>90</v>
      </c>
      <c r="C6389" s="5">
        <v>732</v>
      </c>
      <c r="D6389" s="6">
        <v>24.16</v>
      </c>
      <c r="E6389" t="s">
        <v>23</v>
      </c>
    </row>
    <row r="6390" spans="1:5" x14ac:dyDescent="0.25">
      <c r="A6390" t="str">
        <f>HYPERLINK("https://www.773grp.com/globalSearch/SN74ALS867ANT/page-1", "SN74ALS867ANT")</f>
        <v>SN74ALS867ANT</v>
      </c>
      <c r="B6390" s="3" t="s">
        <v>90</v>
      </c>
      <c r="C6390" s="5">
        <v>3505</v>
      </c>
      <c r="D6390" s="6">
        <v>24.26</v>
      </c>
      <c r="E6390" t="s">
        <v>23</v>
      </c>
    </row>
    <row r="6391" spans="1:5" x14ac:dyDescent="0.25">
      <c r="A6391" t="str">
        <f>HYPERLINK("https://www.773grp.com/globalSearch/SN74LS593N/page-1", "SN74LS593N")</f>
        <v>SN74LS593N</v>
      </c>
      <c r="B6391" s="3" t="s">
        <v>90</v>
      </c>
      <c r="C6391" s="5">
        <v>6777</v>
      </c>
      <c r="D6391" s="6">
        <v>24.3</v>
      </c>
      <c r="E6391" t="s">
        <v>23</v>
      </c>
    </row>
    <row r="6392" spans="1:5" x14ac:dyDescent="0.25">
      <c r="A6392" t="str">
        <f>HYPERLINK("https://www.773grp.com/globalSearch/SNJ54ALS162BFK/page-1", "SNJ54ALS162BFK")</f>
        <v>SNJ54ALS162BFK</v>
      </c>
      <c r="B6392" s="3" t="s">
        <v>90</v>
      </c>
      <c r="C6392" s="5">
        <v>25</v>
      </c>
      <c r="D6392" s="6">
        <v>25.23</v>
      </c>
      <c r="E6392" t="s">
        <v>23</v>
      </c>
    </row>
    <row r="6393" spans="1:5" x14ac:dyDescent="0.25">
      <c r="A6393" t="str">
        <f>HYPERLINK("https://www.773grp.com/globalSearch/SNJ54177J/page-1", "SNJ54177J")</f>
        <v>SNJ54177J</v>
      </c>
      <c r="B6393" s="3" t="s">
        <v>90</v>
      </c>
      <c r="C6393" s="5">
        <v>815</v>
      </c>
      <c r="D6393" s="6">
        <v>25.31</v>
      </c>
      <c r="E6393" t="s">
        <v>23</v>
      </c>
    </row>
    <row r="6394" spans="1:5" x14ac:dyDescent="0.25">
      <c r="A6394" t="str">
        <f>HYPERLINK("https://www.773grp.com/globalSearch/SN54LS669J/page-1", "SN54LS669J")</f>
        <v>SN54LS669J</v>
      </c>
      <c r="B6394" s="3" t="s">
        <v>90</v>
      </c>
      <c r="C6394" s="5">
        <v>76</v>
      </c>
      <c r="D6394" s="6">
        <v>25.43</v>
      </c>
      <c r="E6394" t="s">
        <v>23</v>
      </c>
    </row>
    <row r="6395" spans="1:5" x14ac:dyDescent="0.25">
      <c r="A6395" t="str">
        <f>HYPERLINK("https://www.773grp.com/globalSearch/JM38510-31501BCA/page-1", "JM38510-31501BCA")</f>
        <v>JM38510-31501BCA</v>
      </c>
      <c r="B6395" s="3" t="s">
        <v>90</v>
      </c>
      <c r="C6395" s="5">
        <v>12</v>
      </c>
      <c r="D6395" s="6">
        <v>25.56</v>
      </c>
      <c r="E6395" t="s">
        <v>23</v>
      </c>
    </row>
    <row r="6396" spans="1:5" x14ac:dyDescent="0.25">
      <c r="A6396" t="str">
        <f>HYPERLINK("https://www.773grp.com/globalSearch/5962-9055301EA/page-1", "5962-9055301EA")</f>
        <v>5962-9055301EA</v>
      </c>
      <c r="B6396" s="3" t="s">
        <v>90</v>
      </c>
      <c r="C6396" s="5">
        <v>508</v>
      </c>
      <c r="D6396" s="6">
        <v>25.76</v>
      </c>
      <c r="E6396" t="s">
        <v>23</v>
      </c>
    </row>
    <row r="6397" spans="1:5" x14ac:dyDescent="0.25">
      <c r="A6397" t="str">
        <f>HYPERLINK("https://www.773grp.com/globalSearch/CD54HC40103F3A/page-1", "CD54HC40103F3A")</f>
        <v>CD54HC40103F3A</v>
      </c>
      <c r="B6397" s="3" t="s">
        <v>90</v>
      </c>
      <c r="C6397" s="5">
        <v>55</v>
      </c>
      <c r="D6397" s="6">
        <v>25.76</v>
      </c>
      <c r="E6397" t="s">
        <v>23</v>
      </c>
    </row>
    <row r="6398" spans="1:5" x14ac:dyDescent="0.25">
      <c r="A6398" t="str">
        <f>HYPERLINK("https://www.773grp.com/globalSearch/SNJ54HC4040J/page-1", "SNJ54HC4040J")</f>
        <v>SNJ54HC4040J</v>
      </c>
      <c r="B6398" s="3" t="s">
        <v>90</v>
      </c>
      <c r="C6398" s="5">
        <v>23</v>
      </c>
      <c r="D6398" s="6">
        <v>25.95</v>
      </c>
      <c r="E6398" t="s">
        <v>23</v>
      </c>
    </row>
    <row r="6399" spans="1:5" x14ac:dyDescent="0.25">
      <c r="A6399" t="str">
        <f>HYPERLINK("https://www.773grp.com/globalSearch/SNJ5492AW/page-1", "SNJ5492AW")</f>
        <v>SNJ5492AW</v>
      </c>
      <c r="B6399" s="3" t="s">
        <v>90</v>
      </c>
      <c r="C6399" s="5">
        <v>5</v>
      </c>
      <c r="D6399" s="6">
        <v>26.08</v>
      </c>
      <c r="E6399" t="s">
        <v>23</v>
      </c>
    </row>
    <row r="6400" spans="1:5" x14ac:dyDescent="0.25">
      <c r="A6400" t="str">
        <f>HYPERLINK("https://www.773grp.com/globalSearch/5962-8862401JA/page-1", "5962-8862401JA")</f>
        <v>5962-8862401JA</v>
      </c>
      <c r="B6400" s="3" t="s">
        <v>90</v>
      </c>
      <c r="C6400" s="5">
        <v>167</v>
      </c>
      <c r="D6400" s="6">
        <v>26.53</v>
      </c>
      <c r="E6400" t="s">
        <v>23</v>
      </c>
    </row>
    <row r="6401" spans="1:5" x14ac:dyDescent="0.25">
      <c r="A6401" t="str">
        <f>HYPERLINK("https://www.773grp.com/globalSearch/CD54HCT4017F3A/page-1", "CD54HCT4017F3A")</f>
        <v>CD54HCT4017F3A</v>
      </c>
      <c r="B6401" s="3" t="s">
        <v>90</v>
      </c>
      <c r="C6401" s="5">
        <v>26</v>
      </c>
      <c r="D6401" s="6">
        <v>26.53</v>
      </c>
      <c r="E6401" t="s">
        <v>23</v>
      </c>
    </row>
    <row r="6402" spans="1:5" x14ac:dyDescent="0.25">
      <c r="A6402" t="str">
        <f>HYPERLINK("https://www.773grp.com/globalSearch/SN74LS593DW/page-1", "SN74LS593DW")</f>
        <v>SN74LS593DW</v>
      </c>
      <c r="B6402" s="3" t="s">
        <v>90</v>
      </c>
      <c r="C6402" s="5">
        <v>6189</v>
      </c>
      <c r="D6402" s="6">
        <v>26.53</v>
      </c>
      <c r="E6402" t="s">
        <v>23</v>
      </c>
    </row>
    <row r="6403" spans="1:5" x14ac:dyDescent="0.25">
      <c r="A6403" t="str">
        <f>HYPERLINK("https://www.773grp.com/globalSearch/CD54HCT4059F3A/page-1", "CD54HCT4059F3A")</f>
        <v>CD54HCT4059F3A</v>
      </c>
      <c r="B6403" s="3" t="s">
        <v>90</v>
      </c>
      <c r="C6403" s="5">
        <v>65</v>
      </c>
      <c r="D6403" s="6">
        <v>26.55</v>
      </c>
      <c r="E6403" t="s">
        <v>23</v>
      </c>
    </row>
    <row r="6404" spans="1:5" x14ac:dyDescent="0.25">
      <c r="A6404" t="str">
        <f>HYPERLINK("https://www.773grp.com/globalSearch/CD40103BF3A/page-1", "CD40103BF3A")</f>
        <v>CD40103BF3A</v>
      </c>
      <c r="B6404" s="3" t="s">
        <v>90</v>
      </c>
      <c r="C6404" s="5">
        <v>76</v>
      </c>
      <c r="D6404" s="6">
        <v>27.14</v>
      </c>
      <c r="E6404" t="s">
        <v>23</v>
      </c>
    </row>
    <row r="6405" spans="1:5" x14ac:dyDescent="0.25">
      <c r="A6405" t="str">
        <f>HYPERLINK("https://www.773grp.com/globalSearch/SN54S163J/page-1", "SN54S163J")</f>
        <v>SN54S163J</v>
      </c>
      <c r="B6405" s="3" t="str">
        <f>HYPERLINK("https://www.773grp.com/manufacturer/texas-instruments?pageNo=223", "Texas Instruments")</f>
        <v>Texas Instruments</v>
      </c>
      <c r="C6405" s="5">
        <v>87</v>
      </c>
      <c r="D6405" s="6">
        <v>28.44</v>
      </c>
      <c r="E6405" t="s">
        <v>23</v>
      </c>
    </row>
    <row r="6406" spans="1:5" x14ac:dyDescent="0.25">
      <c r="A6406" t="str">
        <f>HYPERLINK("https://www.773grp.com/globalSearch/CD4536BF3A/page-1", "CD4536BF3A")</f>
        <v>CD4536BF3A</v>
      </c>
      <c r="B6406" s="3" t="str">
        <f>HYPERLINK("https://www.773grp.com/manufacturer/texas-instruments?pageNo=246", "Texas Instruments")</f>
        <v>Texas Instruments</v>
      </c>
      <c r="C6406" s="5">
        <v>248</v>
      </c>
      <c r="D6406" s="6">
        <v>28.69</v>
      </c>
      <c r="E6406" t="s">
        <v>23</v>
      </c>
    </row>
    <row r="6407" spans="1:5" x14ac:dyDescent="0.25">
      <c r="A6407" t="str">
        <f>HYPERLINK("https://www.773grp.com/globalSearch/SNJ54LS669J/page-1", "SNJ54LS669J")</f>
        <v>SNJ54LS669J</v>
      </c>
      <c r="B6407" s="3" t="str">
        <f>HYPERLINK("https://www.773grp.com/manufacturer/texas-instruments?pageNo=268", "Texas Instruments")</f>
        <v>Texas Instruments</v>
      </c>
      <c r="C6407" s="5">
        <v>44</v>
      </c>
      <c r="D6407" s="6">
        <v>28.86</v>
      </c>
      <c r="E6407" t="s">
        <v>23</v>
      </c>
    </row>
    <row r="6408" spans="1:5" x14ac:dyDescent="0.25">
      <c r="A6408" t="str">
        <f>HYPERLINK("https://www.773grp.com/globalSearch/JM38510-31503B2A/page-1", "JM38510-31503B2A")</f>
        <v>JM38510-31503B2A</v>
      </c>
      <c r="B6408" s="3" t="str">
        <f>HYPERLINK("https://www.773grp.com/manufacturer/texas-instruments?pageNo=656", "Texas Instruments")</f>
        <v>Texas Instruments</v>
      </c>
      <c r="C6408" s="5">
        <v>29</v>
      </c>
      <c r="D6408" s="6">
        <v>31.19</v>
      </c>
      <c r="E6408" t="s">
        <v>23</v>
      </c>
    </row>
    <row r="6409" spans="1:5" x14ac:dyDescent="0.25">
      <c r="A6409" t="str">
        <f>HYPERLINK("https://www.773grp.com/globalSearch/SN74143N/page-1", "SN74143N")</f>
        <v>SN74143N</v>
      </c>
      <c r="B6409" s="3" t="str">
        <f>HYPERLINK("https://www.773grp.com/manufacturer/texas-instruments?pageNo=833", "Texas Instruments")</f>
        <v>Texas Instruments</v>
      </c>
      <c r="C6409" s="5">
        <v>1509</v>
      </c>
      <c r="D6409" s="6">
        <v>32.35</v>
      </c>
      <c r="E6409" t="s">
        <v>23</v>
      </c>
    </row>
    <row r="6410" spans="1:5" x14ac:dyDescent="0.25">
      <c r="A6410" t="str">
        <f>HYPERLINK("https://www.773grp.com/globalSearch/JM38510-31508B2A/page-1", "JM38510-31508B2A")</f>
        <v>JM38510-31508B2A</v>
      </c>
      <c r="B6410" s="3" t="s">
        <v>90</v>
      </c>
      <c r="C6410" s="5">
        <v>96</v>
      </c>
      <c r="D6410" s="6">
        <v>34.68</v>
      </c>
      <c r="E6410" t="s">
        <v>23</v>
      </c>
    </row>
    <row r="6411" spans="1:5" x14ac:dyDescent="0.25">
      <c r="A6411" t="str">
        <f>HYPERLINK("https://www.773grp.com/globalSearch/CD54HCT163F3A/page-1", "CD54HCT163F3A")</f>
        <v>CD54HCT163F3A</v>
      </c>
      <c r="B6411" s="3" t="s">
        <v>90</v>
      </c>
      <c r="C6411" s="5">
        <v>3</v>
      </c>
      <c r="D6411" s="6">
        <v>34.85</v>
      </c>
      <c r="E6411" t="s">
        <v>23</v>
      </c>
    </row>
    <row r="6412" spans="1:5" x14ac:dyDescent="0.25">
      <c r="A6412" t="str">
        <f>HYPERLINK("https://www.773grp.com/globalSearch/8607601FA/page-1", "8607601FA")</f>
        <v>8607601FA</v>
      </c>
      <c r="B6412" s="3" t="s">
        <v>90</v>
      </c>
      <c r="C6412" s="5">
        <v>84</v>
      </c>
      <c r="D6412" s="6">
        <v>34.94</v>
      </c>
      <c r="E6412" t="s">
        <v>23</v>
      </c>
    </row>
    <row r="6413" spans="1:5" x14ac:dyDescent="0.25">
      <c r="A6413" t="str">
        <f>HYPERLINK("https://www.773grp.com/globalSearch/8302502RA/page-1", "8302502RA")</f>
        <v>8302502RA</v>
      </c>
      <c r="B6413" s="3" t="s">
        <v>90</v>
      </c>
      <c r="C6413" s="5">
        <v>929</v>
      </c>
      <c r="D6413" s="6">
        <v>35.89</v>
      </c>
      <c r="E6413" t="s">
        <v>23</v>
      </c>
    </row>
    <row r="6414" spans="1:5" x14ac:dyDescent="0.25">
      <c r="A6414" t="str">
        <f>HYPERLINK("https://www.773grp.com/globalSearch/SNJ54ALS569AJ/page-1", "SNJ54ALS569AJ")</f>
        <v>SNJ54ALS569AJ</v>
      </c>
      <c r="B6414" s="3" t="s">
        <v>90</v>
      </c>
      <c r="C6414" s="5">
        <v>29</v>
      </c>
      <c r="D6414" s="6">
        <v>35.89</v>
      </c>
      <c r="E6414" t="s">
        <v>23</v>
      </c>
    </row>
    <row r="6415" spans="1:5" x14ac:dyDescent="0.25">
      <c r="A6415" t="str">
        <f>HYPERLINK("https://www.773grp.com/globalSearch/5962-8945801EA/page-1", "5962-8945801EA")</f>
        <v>5962-8945801EA</v>
      </c>
      <c r="B6415" s="3" t="s">
        <v>90</v>
      </c>
      <c r="C6415" s="5">
        <v>6</v>
      </c>
      <c r="D6415" s="6">
        <v>35.979999999999997</v>
      </c>
      <c r="E6415" t="s">
        <v>23</v>
      </c>
    </row>
    <row r="6416" spans="1:5" x14ac:dyDescent="0.25">
      <c r="A6416" t="str">
        <f>HYPERLINK("https://www.773grp.com/globalSearch/5962-8994701MEA/page-1", "5962-8994701MEA")</f>
        <v>5962-8994701MEA</v>
      </c>
      <c r="B6416" s="3" t="s">
        <v>90</v>
      </c>
      <c r="C6416" s="5">
        <v>4</v>
      </c>
      <c r="D6416" s="6">
        <v>36.450000000000003</v>
      </c>
      <c r="E6416" t="s">
        <v>23</v>
      </c>
    </row>
    <row r="6417" spans="1:5" x14ac:dyDescent="0.25">
      <c r="A6417" t="str">
        <f>HYPERLINK("https://www.773grp.com/globalSearch/SNJ54ALS191FK/page-1", "SNJ54ALS191FK")</f>
        <v>SNJ54ALS191FK</v>
      </c>
      <c r="B6417" s="3" t="s">
        <v>90</v>
      </c>
      <c r="C6417" s="5">
        <v>96</v>
      </c>
      <c r="D6417" s="6">
        <v>37.33</v>
      </c>
      <c r="E6417" t="s">
        <v>23</v>
      </c>
    </row>
    <row r="6418" spans="1:5" x14ac:dyDescent="0.25">
      <c r="A6418" t="str">
        <f>HYPERLINK("https://www.773grp.com/globalSearch/5962-9098401MEA/page-1", "5962-9098401MEA")</f>
        <v>5962-9098401MEA</v>
      </c>
      <c r="B6418" s="3" t="s">
        <v>90</v>
      </c>
      <c r="C6418" s="5">
        <v>29</v>
      </c>
      <c r="D6418" s="6">
        <v>38.51</v>
      </c>
      <c r="E6418" t="s">
        <v>23</v>
      </c>
    </row>
    <row r="6419" spans="1:5" x14ac:dyDescent="0.25">
      <c r="A6419" t="str">
        <f>HYPERLINK("https://www.773grp.com/globalSearch/CD54HCT390F3A/page-1", "CD54HCT390F3A")</f>
        <v>CD54HCT390F3A</v>
      </c>
      <c r="B6419" s="3" t="s">
        <v>90</v>
      </c>
      <c r="C6419" s="5">
        <v>21</v>
      </c>
      <c r="D6419" s="6">
        <v>38.51</v>
      </c>
      <c r="E6419" t="s">
        <v>23</v>
      </c>
    </row>
    <row r="6420" spans="1:5" x14ac:dyDescent="0.25">
      <c r="A6420" t="str">
        <f>HYPERLINK("https://www.773grp.com/globalSearch/5962-8989001CA/page-1", "5962-8989001CA")</f>
        <v>5962-8989001CA</v>
      </c>
      <c r="B6420" s="3" t="s">
        <v>90</v>
      </c>
      <c r="C6420" s="5">
        <v>53</v>
      </c>
      <c r="D6420" s="6">
        <v>38.53</v>
      </c>
      <c r="E6420" t="s">
        <v>23</v>
      </c>
    </row>
    <row r="6421" spans="1:5" x14ac:dyDescent="0.25">
      <c r="A6421" t="str">
        <f>HYPERLINK("https://www.773grp.com/globalSearch/CD54ACT191F3A/page-1", "CD54ACT191F3A")</f>
        <v>CD54ACT191F3A</v>
      </c>
      <c r="B6421" s="3" t="s">
        <v>90</v>
      </c>
      <c r="C6421" s="5">
        <v>80</v>
      </c>
      <c r="D6421" s="6">
        <v>39.19</v>
      </c>
      <c r="E6421" t="s">
        <v>23</v>
      </c>
    </row>
    <row r="6422" spans="1:5" x14ac:dyDescent="0.25">
      <c r="A6422" t="str">
        <f>HYPERLINK("https://www.773grp.com/globalSearch/7603401FA/page-1", "7603401FA")</f>
        <v>7603401FA</v>
      </c>
      <c r="B6422" s="3" t="s">
        <v>90</v>
      </c>
      <c r="C6422" s="5">
        <v>2</v>
      </c>
      <c r="D6422" s="6">
        <v>40.39</v>
      </c>
      <c r="E6422" t="s">
        <v>23</v>
      </c>
    </row>
    <row r="6423" spans="1:5" x14ac:dyDescent="0.25">
      <c r="A6423" t="str">
        <f>HYPERLINK("https://www.773grp.com/globalSearch/SN54HC590AJ/page-1", "SN54HC590AJ")</f>
        <v>SN54HC590AJ</v>
      </c>
      <c r="B6423" s="3" t="s">
        <v>90</v>
      </c>
      <c r="C6423" s="5">
        <v>266</v>
      </c>
      <c r="D6423" s="6">
        <v>40.409999999999997</v>
      </c>
      <c r="E6423" t="s">
        <v>23</v>
      </c>
    </row>
    <row r="6424" spans="1:5" x14ac:dyDescent="0.25">
      <c r="A6424" t="str">
        <f>HYPERLINK("https://www.773grp.com/globalSearch/7603201DA/page-1", "7603201DA")</f>
        <v>7603201DA</v>
      </c>
      <c r="B6424" s="3" t="s">
        <v>90</v>
      </c>
      <c r="C6424" s="5">
        <v>105</v>
      </c>
      <c r="D6424" s="6">
        <v>40.75</v>
      </c>
      <c r="E6424" t="s">
        <v>23</v>
      </c>
    </row>
    <row r="6425" spans="1:5" x14ac:dyDescent="0.25">
      <c r="A6425" t="str">
        <f>HYPERLINK("https://www.773grp.com/globalSearch/JM38510-32702B2A/page-1", "JM38510-32702B2A")</f>
        <v>JM38510-32702B2A</v>
      </c>
      <c r="B6425" s="3" t="s">
        <v>90</v>
      </c>
      <c r="C6425" s="5">
        <v>16</v>
      </c>
      <c r="D6425" s="6">
        <v>40.75</v>
      </c>
      <c r="E6425" t="s">
        <v>23</v>
      </c>
    </row>
    <row r="6426" spans="1:5" x14ac:dyDescent="0.25">
      <c r="A6426" t="str">
        <f>HYPERLINK("https://www.773grp.com/globalSearch/SNJ54LS90W/page-1", "SNJ54LS90W")</f>
        <v>SNJ54LS90W</v>
      </c>
      <c r="B6426" s="3" t="s">
        <v>90</v>
      </c>
      <c r="C6426" s="5">
        <v>165</v>
      </c>
      <c r="D6426" s="6">
        <v>40.75</v>
      </c>
      <c r="E6426" t="s">
        <v>23</v>
      </c>
    </row>
    <row r="6427" spans="1:5" x14ac:dyDescent="0.25">
      <c r="A6427" t="str">
        <f>HYPERLINK("https://www.773grp.com/globalSearch/SNJ54S169J/page-1", "SNJ54S169J")</f>
        <v>SNJ54S169J</v>
      </c>
      <c r="B6427" s="3" t="s">
        <v>90</v>
      </c>
      <c r="C6427" s="5">
        <v>931</v>
      </c>
      <c r="D6427" s="6">
        <v>41.26</v>
      </c>
      <c r="E6427" t="s">
        <v>23</v>
      </c>
    </row>
    <row r="6428" spans="1:5" x14ac:dyDescent="0.25">
      <c r="A6428" t="str">
        <f>HYPERLINK("https://www.773grp.com/globalSearch/5962-9084801MEA/page-1", "5962-9084801MEA")</f>
        <v>5962-9084801MEA</v>
      </c>
      <c r="B6428" s="3" t="s">
        <v>90</v>
      </c>
      <c r="C6428" s="5">
        <v>9</v>
      </c>
      <c r="D6428" s="6">
        <v>41.29</v>
      </c>
      <c r="E6428" t="s">
        <v>23</v>
      </c>
    </row>
    <row r="6429" spans="1:5" x14ac:dyDescent="0.25">
      <c r="A6429" t="str">
        <f>HYPERLINK("https://www.773grp.com/globalSearch/83022022A/page-1", "83022022A")</f>
        <v>83022022A</v>
      </c>
      <c r="B6429" s="3" t="s">
        <v>90</v>
      </c>
      <c r="C6429" s="5">
        <v>60</v>
      </c>
      <c r="D6429" s="6">
        <v>41.74</v>
      </c>
      <c r="E6429" t="s">
        <v>23</v>
      </c>
    </row>
    <row r="6430" spans="1:5" x14ac:dyDescent="0.25">
      <c r="A6430" t="str">
        <f>HYPERLINK("https://www.773grp.com/globalSearch/SN54LS592J/page-1", "SN54LS592J")</f>
        <v>SN54LS592J</v>
      </c>
      <c r="B6430" s="3" t="s">
        <v>90</v>
      </c>
      <c r="C6430" s="5">
        <v>14</v>
      </c>
      <c r="D6430" s="6">
        <v>42.48</v>
      </c>
      <c r="E6430" t="s">
        <v>23</v>
      </c>
    </row>
    <row r="6431" spans="1:5" x14ac:dyDescent="0.25">
      <c r="A6431" t="str">
        <f>HYPERLINK("https://www.773grp.com/globalSearch/SNJ54LS191FK/page-1", "SNJ54LS191FK")</f>
        <v>SNJ54LS191FK</v>
      </c>
      <c r="B6431" s="3" t="s">
        <v>90</v>
      </c>
      <c r="C6431" s="5">
        <v>32</v>
      </c>
      <c r="D6431" s="6">
        <v>43.06</v>
      </c>
      <c r="E6431" t="s">
        <v>23</v>
      </c>
    </row>
    <row r="6432" spans="1:5" x14ac:dyDescent="0.25">
      <c r="A6432" t="str">
        <f>HYPERLINK("https://www.773grp.com/globalSearch/SNJ54LS393FK/page-1", "SNJ54LS393FK")</f>
        <v>SNJ54LS393FK</v>
      </c>
      <c r="B6432" s="3" t="s">
        <v>90</v>
      </c>
      <c r="C6432" s="5">
        <v>972</v>
      </c>
      <c r="D6432" s="6">
        <v>43.5</v>
      </c>
      <c r="E6432" t="s">
        <v>23</v>
      </c>
    </row>
    <row r="6433" spans="1:5" x14ac:dyDescent="0.25">
      <c r="A6433" t="str">
        <f>HYPERLINK("https://www.773grp.com/globalSearch/8302201FA/page-1", "8302201FA")</f>
        <v>8302201FA</v>
      </c>
      <c r="B6433" s="3" t="s">
        <v>90</v>
      </c>
      <c r="C6433" s="5">
        <v>5</v>
      </c>
      <c r="D6433" s="6">
        <v>43.83</v>
      </c>
      <c r="E6433" t="s">
        <v>23</v>
      </c>
    </row>
    <row r="6434" spans="1:5" x14ac:dyDescent="0.25">
      <c r="A6434" t="str">
        <f>HYPERLINK("https://www.773grp.com/globalSearch/84100012A/page-1", "84100012A")</f>
        <v>84100012A</v>
      </c>
      <c r="B6434" s="3" t="s">
        <v>90</v>
      </c>
      <c r="C6434" s="5">
        <v>471</v>
      </c>
      <c r="D6434" s="6">
        <v>43.84</v>
      </c>
      <c r="E6434" t="s">
        <v>23</v>
      </c>
    </row>
    <row r="6435" spans="1:5" x14ac:dyDescent="0.25">
      <c r="A6435" t="str">
        <f>HYPERLINK("https://www.773grp.com/globalSearch/SNJ54HC393FK/page-1", "SNJ54HC393FK")</f>
        <v>SNJ54HC393FK</v>
      </c>
      <c r="B6435" s="3" t="s">
        <v>90</v>
      </c>
      <c r="C6435" s="5">
        <v>46</v>
      </c>
      <c r="D6435" s="6">
        <v>43.84</v>
      </c>
      <c r="E6435" t="s">
        <v>23</v>
      </c>
    </row>
    <row r="6436" spans="1:5" x14ac:dyDescent="0.25">
      <c r="A6436" t="str">
        <f>HYPERLINK("https://www.773grp.com/globalSearch/SNJ54LS169BFK/page-1", "SNJ54LS169BFK")</f>
        <v>SNJ54LS169BFK</v>
      </c>
      <c r="B6436" s="3" t="s">
        <v>90</v>
      </c>
      <c r="C6436" s="5">
        <v>26</v>
      </c>
      <c r="D6436" s="6">
        <v>44.46</v>
      </c>
      <c r="E6436" t="s">
        <v>23</v>
      </c>
    </row>
    <row r="6437" spans="1:5" x14ac:dyDescent="0.25">
      <c r="A6437" t="str">
        <f>HYPERLINK("https://www.773grp.com/globalSearch/5962-8952601KA/page-1", "5962-8952601KA")</f>
        <v>5962-8952601KA</v>
      </c>
      <c r="B6437" s="3" t="s">
        <v>90</v>
      </c>
      <c r="C6437" s="5">
        <v>33</v>
      </c>
      <c r="D6437" s="6">
        <v>44.89</v>
      </c>
      <c r="E6437" t="s">
        <v>23</v>
      </c>
    </row>
    <row r="6438" spans="1:5" x14ac:dyDescent="0.25">
      <c r="A6438" t="str">
        <f>HYPERLINK("https://www.773grp.com/globalSearch/5962-86840012A/page-1", "5962-86840012A")</f>
        <v>5962-86840012A</v>
      </c>
      <c r="B6438" s="3" t="s">
        <v>90</v>
      </c>
      <c r="C6438" s="5">
        <v>27</v>
      </c>
      <c r="D6438" s="6">
        <v>44.98</v>
      </c>
      <c r="E6438" t="s">
        <v>23</v>
      </c>
    </row>
    <row r="6439" spans="1:5" x14ac:dyDescent="0.25">
      <c r="A6439" t="str">
        <f>HYPERLINK("https://www.773grp.com/globalSearch/5962-87724012A/page-1", "5962-87724012A")</f>
        <v>5962-87724012A</v>
      </c>
      <c r="B6439" s="3" t="s">
        <v>90</v>
      </c>
      <c r="C6439" s="5">
        <v>16</v>
      </c>
      <c r="D6439" s="6">
        <v>44.98</v>
      </c>
      <c r="E6439" t="s">
        <v>23</v>
      </c>
    </row>
    <row r="6440" spans="1:5" x14ac:dyDescent="0.25">
      <c r="A6440" t="str">
        <f>HYPERLINK("https://www.773grp.com/globalSearch/SNJ54LS390FK/page-1", "SNJ54LS390FK")</f>
        <v>SNJ54LS390FK</v>
      </c>
      <c r="B6440" s="3" t="s">
        <v>90</v>
      </c>
      <c r="C6440" s="5">
        <v>197</v>
      </c>
      <c r="D6440" s="6">
        <v>45.68</v>
      </c>
      <c r="E6440" t="s">
        <v>23</v>
      </c>
    </row>
    <row r="6441" spans="1:5" x14ac:dyDescent="0.25">
      <c r="A6441" t="str">
        <f>HYPERLINK("https://www.773grp.com/globalSearch/SNJ54LS163AFK/page-1", "SNJ54LS163AFK")</f>
        <v>SNJ54LS163AFK</v>
      </c>
      <c r="B6441" s="3" t="s">
        <v>90</v>
      </c>
      <c r="C6441" s="5">
        <v>6</v>
      </c>
      <c r="D6441" s="6">
        <v>46.24</v>
      </c>
      <c r="E6441" t="s">
        <v>23</v>
      </c>
    </row>
    <row r="6442" spans="1:5" x14ac:dyDescent="0.25">
      <c r="A6442" t="str">
        <f>HYPERLINK("https://www.773grp.com/globalSearch/SNJ54LS393W/page-1", "SNJ54LS393W")</f>
        <v>SNJ54LS393W</v>
      </c>
      <c r="B6442" s="3" t="s">
        <v>90</v>
      </c>
      <c r="C6442" s="5">
        <v>101</v>
      </c>
      <c r="D6442" s="6">
        <v>47.03</v>
      </c>
      <c r="E6442" t="s">
        <v>23</v>
      </c>
    </row>
    <row r="6443" spans="1:5" x14ac:dyDescent="0.25">
      <c r="A6443" t="str">
        <f>HYPERLINK("https://www.773grp.com/globalSearch/83022012A/page-1", "83022012A")</f>
        <v>83022012A</v>
      </c>
      <c r="B6443" s="3" t="s">
        <v>90</v>
      </c>
      <c r="C6443" s="5">
        <v>21</v>
      </c>
      <c r="D6443" s="6">
        <v>47.05</v>
      </c>
      <c r="E6443" t="s">
        <v>23</v>
      </c>
    </row>
    <row r="6444" spans="1:5" x14ac:dyDescent="0.25">
      <c r="A6444" t="str">
        <f>HYPERLINK("https://www.773grp.com/globalSearch/SNJ54163W/page-1", "SNJ54163W")</f>
        <v>SNJ54163W</v>
      </c>
      <c r="B6444" s="3" t="s">
        <v>90</v>
      </c>
      <c r="C6444" s="5">
        <v>16</v>
      </c>
      <c r="D6444" s="6">
        <v>48.8</v>
      </c>
      <c r="E6444" t="s">
        <v>23</v>
      </c>
    </row>
    <row r="6445" spans="1:5" x14ac:dyDescent="0.25">
      <c r="A6445" t="str">
        <f>HYPERLINK("https://www.773grp.com/globalSearch/JM38510-31512B2A/page-1", "JM38510-31512B2A")</f>
        <v>JM38510-31512B2A</v>
      </c>
      <c r="B6445" s="3" t="s">
        <v>90</v>
      </c>
      <c r="C6445" s="5">
        <v>37</v>
      </c>
      <c r="D6445" s="6">
        <v>49.65</v>
      </c>
      <c r="E6445" t="s">
        <v>23</v>
      </c>
    </row>
    <row r="6446" spans="1:5" x14ac:dyDescent="0.25">
      <c r="A6446" t="str">
        <f>HYPERLINK("https://www.773grp.com/globalSearch/SNJ54LS592FK/page-1", "SNJ54LS592FK")</f>
        <v>SNJ54LS592FK</v>
      </c>
      <c r="B6446" s="3" t="s">
        <v>90</v>
      </c>
      <c r="C6446" s="5">
        <v>20</v>
      </c>
      <c r="D6446" s="6">
        <v>50.46</v>
      </c>
      <c r="E6446" t="s">
        <v>23</v>
      </c>
    </row>
    <row r="6447" spans="1:5" x14ac:dyDescent="0.25">
      <c r="A6447" t="str">
        <f>HYPERLINK("https://www.773grp.com/globalSearch/83025022A/page-1", "83025022A")</f>
        <v>83025022A</v>
      </c>
      <c r="B6447" s="3" t="s">
        <v>90</v>
      </c>
      <c r="C6447" s="5">
        <v>502</v>
      </c>
      <c r="D6447" s="6">
        <v>51.94</v>
      </c>
      <c r="E6447" t="s">
        <v>23</v>
      </c>
    </row>
    <row r="6448" spans="1:5" x14ac:dyDescent="0.25">
      <c r="A6448" t="str">
        <f>HYPERLINK("https://www.773grp.com/globalSearch/5962-8966801LA/page-1", "5962-8966801LA")</f>
        <v>5962-8966801LA</v>
      </c>
      <c r="B6448" s="3" t="s">
        <v>90</v>
      </c>
      <c r="C6448" s="5">
        <v>183</v>
      </c>
      <c r="D6448" s="6">
        <v>52.6</v>
      </c>
      <c r="E6448" t="s">
        <v>23</v>
      </c>
    </row>
    <row r="6449" spans="1:5" x14ac:dyDescent="0.25">
      <c r="A6449" t="str">
        <f>HYPERLINK("https://www.773grp.com/globalSearch/5962-8952601LA/page-1", "5962-8952601LA")</f>
        <v>5962-8952601LA</v>
      </c>
      <c r="B6449" s="3" t="s">
        <v>90</v>
      </c>
      <c r="C6449" s="5">
        <v>42</v>
      </c>
      <c r="D6449" s="6">
        <v>52.95</v>
      </c>
      <c r="E6449" t="s">
        <v>23</v>
      </c>
    </row>
    <row r="6450" spans="1:5" x14ac:dyDescent="0.25">
      <c r="A6450" t="str">
        <f>HYPERLINK("https://www.773grp.com/globalSearch/JM38510-32701B2A/page-1", "JM38510-32701B2A")</f>
        <v>JM38510-32701B2A</v>
      </c>
      <c r="B6450" s="3" t="s">
        <v>90</v>
      </c>
      <c r="C6450" s="5">
        <v>41</v>
      </c>
      <c r="D6450" s="6">
        <v>53.24</v>
      </c>
      <c r="E6450" t="s">
        <v>23</v>
      </c>
    </row>
    <row r="6451" spans="1:5" x14ac:dyDescent="0.25">
      <c r="A6451" t="str">
        <f>HYPERLINK("https://www.773grp.com/globalSearch/SNJ54HC4024FK/page-1", "SNJ54HC4024FK")</f>
        <v>SNJ54HC4024FK</v>
      </c>
      <c r="B6451" s="3" t="s">
        <v>90</v>
      </c>
      <c r="C6451" s="5">
        <v>6</v>
      </c>
      <c r="D6451" s="6">
        <v>54.05</v>
      </c>
      <c r="E6451" t="s">
        <v>23</v>
      </c>
    </row>
    <row r="6452" spans="1:5" x14ac:dyDescent="0.25">
      <c r="A6452" t="str">
        <f>HYPERLINK("https://www.773grp.com/globalSearch/5962-8977101EA/page-1", "5962-8977101EA")</f>
        <v>5962-8977101EA</v>
      </c>
      <c r="B6452" s="3" t="s">
        <v>90</v>
      </c>
      <c r="C6452" s="5">
        <v>90</v>
      </c>
      <c r="D6452" s="6">
        <v>54.63</v>
      </c>
      <c r="E6452" t="s">
        <v>23</v>
      </c>
    </row>
    <row r="6453" spans="1:5" x14ac:dyDescent="0.25">
      <c r="A6453" t="str">
        <f>HYPERLINK("https://www.773grp.com/globalSearch/CD54HCT4060F3A/page-1", "CD54HCT4060F3A")</f>
        <v>CD54HCT4060F3A</v>
      </c>
      <c r="B6453" s="3" t="s">
        <v>90</v>
      </c>
      <c r="C6453" s="5">
        <v>177</v>
      </c>
      <c r="D6453" s="6">
        <v>54.63</v>
      </c>
      <c r="E6453" t="s">
        <v>23</v>
      </c>
    </row>
    <row r="6454" spans="1:5" x14ac:dyDescent="0.25">
      <c r="A6454" t="str">
        <f>HYPERLINK("https://www.773grp.com/globalSearch/SNJ54HC191FK/page-1", "SNJ54HC191FK")</f>
        <v>SNJ54HC191FK</v>
      </c>
      <c r="B6454" s="3" t="s">
        <v>90</v>
      </c>
      <c r="C6454" s="5">
        <v>45</v>
      </c>
      <c r="D6454" s="6">
        <v>54.63</v>
      </c>
      <c r="E6454" t="s">
        <v>23</v>
      </c>
    </row>
    <row r="6455" spans="1:5" x14ac:dyDescent="0.25">
      <c r="A6455" t="str">
        <f>HYPERLINK("https://www.773grp.com/globalSearch/84075012A/page-1", "84075012A")</f>
        <v>84075012A</v>
      </c>
      <c r="B6455" s="3" t="s">
        <v>90</v>
      </c>
      <c r="C6455" s="5">
        <v>167</v>
      </c>
      <c r="D6455" s="6">
        <v>54.81</v>
      </c>
      <c r="E6455" t="s">
        <v>23</v>
      </c>
    </row>
    <row r="6456" spans="1:5" x14ac:dyDescent="0.25">
      <c r="A6456" t="str">
        <f>HYPERLINK("https://www.773grp.com/globalSearch/8500301FA/page-1", "8500301FA")</f>
        <v>8500301FA</v>
      </c>
      <c r="B6456" s="3" t="s">
        <v>90</v>
      </c>
      <c r="C6456" s="5">
        <v>7</v>
      </c>
      <c r="D6456" s="6">
        <v>56.56</v>
      </c>
      <c r="E6456" t="s">
        <v>23</v>
      </c>
    </row>
    <row r="6457" spans="1:5" x14ac:dyDescent="0.25">
      <c r="A6457" t="str">
        <f>HYPERLINK("https://www.773grp.com/globalSearch/JM38510-38001BEA/page-1", "JM38510-38001BEA")</f>
        <v>JM38510-38001BEA</v>
      </c>
      <c r="B6457" s="3" t="s">
        <v>90</v>
      </c>
      <c r="C6457" s="5">
        <v>443</v>
      </c>
      <c r="D6457" s="6">
        <v>57.26</v>
      </c>
      <c r="E6457" t="s">
        <v>23</v>
      </c>
    </row>
    <row r="6458" spans="1:5" x14ac:dyDescent="0.25">
      <c r="A6458" t="str">
        <f>HYPERLINK("https://www.773grp.com/globalSearch/JM38510-38002BEA/page-1", "JM38510-38002BEA")</f>
        <v>JM38510-38002BEA</v>
      </c>
      <c r="B6458" s="3" t="s">
        <v>90</v>
      </c>
      <c r="C6458" s="5">
        <v>84</v>
      </c>
      <c r="D6458" s="6">
        <v>57.46</v>
      </c>
      <c r="E6458" t="s">
        <v>23</v>
      </c>
    </row>
    <row r="6459" spans="1:5" x14ac:dyDescent="0.25">
      <c r="A6459" t="str">
        <f>HYPERLINK("https://www.773grp.com/globalSearch/85004012A/page-1", "85004012A")</f>
        <v>85004012A</v>
      </c>
      <c r="B6459" s="3" t="s">
        <v>90</v>
      </c>
      <c r="C6459" s="5">
        <v>27</v>
      </c>
      <c r="D6459" s="6">
        <v>59.94</v>
      </c>
      <c r="E6459" t="s">
        <v>23</v>
      </c>
    </row>
    <row r="6460" spans="1:5" x14ac:dyDescent="0.25">
      <c r="A6460" t="str">
        <f>HYPERLINK("https://www.773grp.com/globalSearch/SNJ54HC4020FK/page-1", "SNJ54HC4020FK")</f>
        <v>SNJ54HC4020FK</v>
      </c>
      <c r="B6460" s="3" t="s">
        <v>90</v>
      </c>
      <c r="C6460" s="5">
        <v>28</v>
      </c>
      <c r="D6460" s="6">
        <v>60.19</v>
      </c>
      <c r="E6460" t="s">
        <v>23</v>
      </c>
    </row>
    <row r="6461" spans="1:5" x14ac:dyDescent="0.25">
      <c r="A6461" t="str">
        <f>HYPERLINK("https://www.773grp.com/globalSearch/SNJ54LS593FK/page-1", "SNJ54LS593FK")</f>
        <v>SNJ54LS593FK</v>
      </c>
      <c r="B6461" s="3" t="s">
        <v>90</v>
      </c>
      <c r="C6461" s="5">
        <v>40</v>
      </c>
      <c r="D6461" s="6">
        <v>61</v>
      </c>
      <c r="E6461" t="s">
        <v>23</v>
      </c>
    </row>
    <row r="6462" spans="1:5" x14ac:dyDescent="0.25">
      <c r="A6462" t="str">
        <f>HYPERLINK("https://www.773grp.com/globalSearch/8500401FA/page-1", "8500401FA")</f>
        <v>8500401FA</v>
      </c>
      <c r="B6462" s="3" t="s">
        <v>90</v>
      </c>
      <c r="C6462" s="5">
        <v>22</v>
      </c>
      <c r="D6462" s="6">
        <v>62.21</v>
      </c>
      <c r="E6462" t="s">
        <v>23</v>
      </c>
    </row>
    <row r="6463" spans="1:5" x14ac:dyDescent="0.25">
      <c r="A6463" t="str">
        <f>HYPERLINK("https://www.773grp.com/globalSearch/CD54HC4060F3A/page-1", "CD54HC4060F3A")</f>
        <v>CD54HC4060F3A</v>
      </c>
      <c r="B6463" s="3" t="s">
        <v>90</v>
      </c>
      <c r="C6463" s="5">
        <v>2</v>
      </c>
      <c r="D6463" s="6">
        <v>63.5</v>
      </c>
      <c r="E6463" t="s">
        <v>23</v>
      </c>
    </row>
    <row r="6464" spans="1:5" x14ac:dyDescent="0.25">
      <c r="A6464" t="str">
        <f>HYPERLINK("https://www.773grp.com/globalSearch/JM38510-66304BEA/page-1", "JM38510-66304BEA")</f>
        <v>JM38510-66304BEA</v>
      </c>
      <c r="B6464" s="3" t="s">
        <v>90</v>
      </c>
      <c r="C6464" s="5">
        <v>68</v>
      </c>
      <c r="D6464" s="6">
        <v>73.040000000000006</v>
      </c>
      <c r="E6464" t="s">
        <v>23</v>
      </c>
    </row>
    <row r="6465" spans="1:5" x14ac:dyDescent="0.25">
      <c r="A6465" t="str">
        <f>HYPERLINK("https://www.773grp.com/globalSearch/5962-8751701EA/page-1", "5962-8751701EA")</f>
        <v>5962-8751701EA</v>
      </c>
      <c r="B6465" s="3" t="s">
        <v>90</v>
      </c>
      <c r="C6465" s="5">
        <v>109</v>
      </c>
      <c r="D6465" s="6">
        <v>73.709999999999994</v>
      </c>
      <c r="E6465" t="s">
        <v>23</v>
      </c>
    </row>
    <row r="6466" spans="1:5" x14ac:dyDescent="0.25">
      <c r="A6466" t="str">
        <f>HYPERLINK("https://www.773grp.com/globalSearch/SNJ54LS590J/page-1", "SNJ54LS590J")</f>
        <v>SNJ54LS590J</v>
      </c>
      <c r="B6466" s="3" t="s">
        <v>90</v>
      </c>
      <c r="C6466" s="5">
        <v>526</v>
      </c>
      <c r="D6466" s="6">
        <v>73.709999999999994</v>
      </c>
      <c r="E6466" t="s">
        <v>23</v>
      </c>
    </row>
    <row r="6467" spans="1:5" x14ac:dyDescent="0.25">
      <c r="A6467" t="str">
        <f>HYPERLINK("https://www.773grp.com/globalSearch/JM38510-66309BCA/page-1", "JM38510-66309BCA")</f>
        <v>JM38510-66309BCA</v>
      </c>
      <c r="B6467" s="3" t="s">
        <v>90</v>
      </c>
      <c r="C6467" s="5">
        <v>137</v>
      </c>
      <c r="D6467" s="6">
        <v>75.06</v>
      </c>
      <c r="E6467" t="s">
        <v>23</v>
      </c>
    </row>
    <row r="6468" spans="1:5" x14ac:dyDescent="0.25">
      <c r="A6468" t="str">
        <f>HYPERLINK("https://www.773grp.com/globalSearch/JM38510-66302BEA/page-1", "JM38510-66302BEA")</f>
        <v>JM38510-66302BEA</v>
      </c>
      <c r="B6468" s="3" t="s">
        <v>90</v>
      </c>
      <c r="C6468" s="5">
        <v>33</v>
      </c>
      <c r="D6468" s="6">
        <v>75.900000000000006</v>
      </c>
      <c r="E6468" t="s">
        <v>23</v>
      </c>
    </row>
    <row r="6469" spans="1:5" x14ac:dyDescent="0.25">
      <c r="A6469" t="str">
        <f>HYPERLINK("https://www.773grp.com/globalSearch/SNJ54LS592J/page-1", "SNJ54LS592J")</f>
        <v>SNJ54LS592J</v>
      </c>
      <c r="B6469" s="3" t="s">
        <v>90</v>
      </c>
      <c r="C6469" s="5">
        <v>24</v>
      </c>
      <c r="D6469" s="6">
        <v>76.61</v>
      </c>
      <c r="E6469" t="s">
        <v>23</v>
      </c>
    </row>
    <row r="6470" spans="1:5" x14ac:dyDescent="0.25">
      <c r="A6470" t="str">
        <f>HYPERLINK("https://www.773grp.com/globalSearch/SN54HC4060FK/page-1", "SN54HC4060FK")</f>
        <v>SN54HC4060FK</v>
      </c>
      <c r="B6470" s="3" t="s">
        <v>90</v>
      </c>
      <c r="C6470" s="5">
        <v>5</v>
      </c>
      <c r="D6470" s="6">
        <v>78.59</v>
      </c>
      <c r="E6470" t="s">
        <v>23</v>
      </c>
    </row>
    <row r="6471" spans="1:5" x14ac:dyDescent="0.25">
      <c r="A6471" t="str">
        <f>HYPERLINK("https://www.773grp.com/globalSearch/SNJ54AS869FK/page-1", "SNJ54AS869FK")</f>
        <v>SNJ54AS869FK</v>
      </c>
      <c r="B6471" s="3" t="s">
        <v>90</v>
      </c>
      <c r="C6471" s="5">
        <v>19</v>
      </c>
      <c r="D6471" s="6">
        <v>79.400000000000006</v>
      </c>
      <c r="E6471" t="s">
        <v>23</v>
      </c>
    </row>
    <row r="6472" spans="1:5" x14ac:dyDescent="0.25">
      <c r="A6472" t="str">
        <f>HYPERLINK("https://www.773grp.com/globalSearch/SNJ54LS590FK/page-1", "SNJ54LS590FK")</f>
        <v>SNJ54LS590FK</v>
      </c>
      <c r="B6472" s="3" t="s">
        <v>90</v>
      </c>
      <c r="C6472" s="5">
        <v>32</v>
      </c>
      <c r="D6472" s="6">
        <v>80.86</v>
      </c>
      <c r="E6472" t="s">
        <v>23</v>
      </c>
    </row>
    <row r="6473" spans="1:5" x14ac:dyDescent="0.25">
      <c r="A6473" t="str">
        <f>HYPERLINK("https://www.773grp.com/globalSearch/JM38510-05653BEA/page-1", "JM38510-05653BEA")</f>
        <v>JM38510-05653BEA</v>
      </c>
      <c r="B6473" s="3" t="s">
        <v>90</v>
      </c>
      <c r="C6473" s="5">
        <v>343</v>
      </c>
      <c r="D6473" s="6">
        <v>107.41</v>
      </c>
      <c r="E6473" t="s">
        <v>23</v>
      </c>
    </row>
    <row r="6474" spans="1:5" x14ac:dyDescent="0.25">
      <c r="A6474" t="str">
        <f>HYPERLINK("https://www.773grp.com/globalSearch/JM38510-05651BEA/page-1", "JM38510-05651BEA")</f>
        <v>JM38510-05651BEA</v>
      </c>
      <c r="B6474" s="3" t="s">
        <v>90</v>
      </c>
      <c r="C6474" s="5">
        <v>2</v>
      </c>
      <c r="D6474" s="6">
        <v>111.15</v>
      </c>
      <c r="E6474" t="s">
        <v>23</v>
      </c>
    </row>
    <row r="6475" spans="1:5" x14ac:dyDescent="0.25">
      <c r="A6475" t="str">
        <f>HYPERLINK("https://www.773grp.com/globalSearch/JM38510-05655BCA/page-1", "JM38510-05655BCA")</f>
        <v>JM38510-05655BCA</v>
      </c>
      <c r="B6475" s="3" t="s">
        <v>90</v>
      </c>
      <c r="C6475" s="5">
        <v>18</v>
      </c>
      <c r="D6475" s="6">
        <v>121.95</v>
      </c>
      <c r="E6475" t="s">
        <v>23</v>
      </c>
    </row>
    <row r="6476" spans="1:5" x14ac:dyDescent="0.25">
      <c r="A6476" t="str">
        <f>HYPERLINK("https://www.773grp.com/globalSearch/SN54HC160J/page-1", "SN54HC160J")</f>
        <v>SN54HC160J</v>
      </c>
      <c r="B6476" s="3" t="str">
        <f>HYPERLINK("https://www.773grp.com/manufacturer/texas-instruments?pageNo=542", "Texas Instruments")</f>
        <v>Texas Instruments</v>
      </c>
      <c r="C6476" s="5">
        <v>43</v>
      </c>
      <c r="D6476" s="6">
        <v>222.19</v>
      </c>
      <c r="E6476" t="s">
        <v>23</v>
      </c>
    </row>
    <row r="6477" spans="1:5" x14ac:dyDescent="0.25">
      <c r="A6477" t="str">
        <f>HYPERLINK("https://www.773grp.com/globalSearch/JM38510-31508SFA/page-1", "JM38510-31508SFA")</f>
        <v>JM38510-31508SFA</v>
      </c>
      <c r="B6477" s="3" t="s">
        <v>90</v>
      </c>
      <c r="C6477" s="5">
        <v>9</v>
      </c>
      <c r="D6477" s="6">
        <v>293.70999999999998</v>
      </c>
      <c r="E6477" t="s">
        <v>23</v>
      </c>
    </row>
    <row r="6478" spans="1:5" x14ac:dyDescent="0.25">
      <c r="A6478" t="str">
        <f>HYPERLINK("https://www.773grp.com/globalSearch/SN74LS697N/page-1", "SN74LS697N")</f>
        <v>SN74LS697N</v>
      </c>
      <c r="B6478" s="3" t="s">
        <v>112</v>
      </c>
      <c r="C6478" s="5">
        <v>6</v>
      </c>
      <c r="D6478" s="6">
        <v>10.66</v>
      </c>
      <c r="E6478" t="s">
        <v>23</v>
      </c>
    </row>
    <row r="6479" spans="1:5" x14ac:dyDescent="0.25">
      <c r="A6479" t="str">
        <f>HYPERLINK("https://www.773grp.com/globalSearch/SN7445NSR/page-1", "SN7445NSR")</f>
        <v>SN7445NSR</v>
      </c>
      <c r="B6479" s="3" t="str">
        <f>HYPERLINK("https://www.773grp.com/manufacturer/texas-instruments?pageNo=321", "Texas Instruments")</f>
        <v>Texas Instruments</v>
      </c>
      <c r="C6479" s="5">
        <v>2000</v>
      </c>
      <c r="D6479" s="6">
        <v>3.63</v>
      </c>
      <c r="E6479" t="s">
        <v>32</v>
      </c>
    </row>
    <row r="6480" spans="1:5" x14ac:dyDescent="0.25">
      <c r="A6480" t="str">
        <f>HYPERLINK("https://www.773grp.com/globalSearch/SN74S139AN/page-1", "SN74S139AN")</f>
        <v>SN74S139AN</v>
      </c>
      <c r="B6480" s="3" t="str">
        <f>HYPERLINK("https://www.773grp.com/manufacturer/texas-instruments?pageNo=370", "Texas Instruments")</f>
        <v>Texas Instruments</v>
      </c>
      <c r="C6480" s="5">
        <v>9287</v>
      </c>
      <c r="D6480" s="6">
        <v>3.63</v>
      </c>
      <c r="E6480" t="s">
        <v>32</v>
      </c>
    </row>
    <row r="6481" spans="1:5" x14ac:dyDescent="0.25">
      <c r="A6481" t="str">
        <f>HYPERLINK("https://www.773grp.com/globalSearch/SN74AS137N/page-1", "SN74AS137N")</f>
        <v>SN74AS137N</v>
      </c>
      <c r="B6481" s="3" t="str">
        <f>HYPERLINK("https://www.773grp.com/manufacturer/texas-instruments?pageNo=701", "Texas Instruments")</f>
        <v>Texas Instruments</v>
      </c>
      <c r="C6481" s="5">
        <v>220</v>
      </c>
      <c r="D6481" s="6">
        <v>4.0599999999999996</v>
      </c>
      <c r="E6481" t="s">
        <v>32</v>
      </c>
    </row>
    <row r="6482" spans="1:5" x14ac:dyDescent="0.25">
      <c r="A6482" t="str">
        <f>HYPERLINK("https://www.773grp.com/globalSearch/CY74FCT138ATQCT/page-1", "CY74FCT138ATQCT")</f>
        <v>CY74FCT138ATQCT</v>
      </c>
      <c r="B6482" s="3" t="s">
        <v>90</v>
      </c>
      <c r="C6482" s="5">
        <v>20298</v>
      </c>
      <c r="D6482" s="6">
        <v>4.16</v>
      </c>
      <c r="E6482" t="s">
        <v>32</v>
      </c>
    </row>
    <row r="6483" spans="1:5" x14ac:dyDescent="0.25">
      <c r="A6483" t="str">
        <f>HYPERLINK("https://www.773grp.com/globalSearch/CY74FCT138TQCT/page-1", "CY74FCT138TQCT")</f>
        <v>CY74FCT138TQCT</v>
      </c>
      <c r="B6483" s="3" t="s">
        <v>90</v>
      </c>
      <c r="C6483" s="5">
        <v>17390</v>
      </c>
      <c r="D6483" s="6">
        <v>4.16</v>
      </c>
      <c r="E6483" t="s">
        <v>32</v>
      </c>
    </row>
    <row r="6484" spans="1:5" x14ac:dyDescent="0.25">
      <c r="A6484" t="str">
        <f>HYPERLINK("https://www.773grp.com/globalSearch/SN74LS47D/page-1", "SN74LS47D")</f>
        <v>SN74LS47D</v>
      </c>
      <c r="B6484" s="3" t="s">
        <v>90</v>
      </c>
      <c r="C6484" s="5">
        <v>14364</v>
      </c>
      <c r="D6484" s="6">
        <v>4.16</v>
      </c>
      <c r="E6484" t="s">
        <v>32</v>
      </c>
    </row>
    <row r="6485" spans="1:5" x14ac:dyDescent="0.25">
      <c r="A6485" t="str">
        <f>HYPERLINK("https://www.773grp.com/globalSearch/CD74HCT154E/page-1", "CD74HCT154E")</f>
        <v>CD74HCT154E</v>
      </c>
      <c r="B6485" s="3" t="s">
        <v>90</v>
      </c>
      <c r="C6485" s="5">
        <v>9098</v>
      </c>
      <c r="D6485" s="6">
        <v>3.76</v>
      </c>
      <c r="E6485" t="s">
        <v>32</v>
      </c>
    </row>
    <row r="6486" spans="1:5" x14ac:dyDescent="0.25">
      <c r="A6486" t="str">
        <f>HYPERLINK("https://www.773grp.com/globalSearch/CD74HC154E/page-1", "CD74HC154E")</f>
        <v>CD74HC154E</v>
      </c>
      <c r="B6486" s="3" t="s">
        <v>90</v>
      </c>
      <c r="C6486" s="5">
        <v>1652</v>
      </c>
      <c r="D6486" s="6">
        <v>3.8</v>
      </c>
      <c r="E6486" t="s">
        <v>32</v>
      </c>
    </row>
    <row r="6487" spans="1:5" x14ac:dyDescent="0.25">
      <c r="A6487" t="str">
        <f>HYPERLINK("https://www.773grp.com/globalSearch/74AC11138N/page-1", "74AC11138N")</f>
        <v>74AC11138N</v>
      </c>
      <c r="B6487" s="3" t="str">
        <f>HYPERLINK("https://www.773grp.com/manufacturer/texas-instruments?pageNo=241", "Texas Instruments")</f>
        <v>Texas Instruments</v>
      </c>
      <c r="C6487" s="5">
        <v>13041</v>
      </c>
      <c r="D6487" s="6">
        <v>3.83</v>
      </c>
      <c r="E6487" t="s">
        <v>32</v>
      </c>
    </row>
    <row r="6488" spans="1:5" x14ac:dyDescent="0.25">
      <c r="A6488" t="str">
        <f>HYPERLINK("https://www.773grp.com/globalSearch/SN7445N/page-1", "SN7445N")</f>
        <v>SN7445N</v>
      </c>
      <c r="B6488" s="3" t="str">
        <f>HYPERLINK("https://www.773grp.com/manufacturer/texas-instruments?pageNo=262", "Texas Instruments")</f>
        <v>Texas Instruments</v>
      </c>
      <c r="C6488" s="5">
        <v>2950</v>
      </c>
      <c r="D6488" s="6">
        <v>3.83</v>
      </c>
      <c r="E6488" t="s">
        <v>32</v>
      </c>
    </row>
    <row r="6489" spans="1:5" x14ac:dyDescent="0.25">
      <c r="A6489" t="str">
        <f>HYPERLINK("https://www.773grp.com/globalSearch/CD74HCT4514E/page-1", "CD74HCT4514E")</f>
        <v>CD74HCT4514E</v>
      </c>
      <c r="B6489" s="3" t="str">
        <f>HYPERLINK("https://www.773grp.com/manufacturer/texas-instruments?pageNo=723", "Texas Instruments")</f>
        <v>Texas Instruments</v>
      </c>
      <c r="C6489" s="5">
        <v>675</v>
      </c>
      <c r="D6489" s="6">
        <v>3.96</v>
      </c>
      <c r="E6489" t="s">
        <v>32</v>
      </c>
    </row>
    <row r="6490" spans="1:5" x14ac:dyDescent="0.25">
      <c r="A6490" t="str">
        <f>HYPERLINK("https://www.773grp.com/globalSearch/CD74HCT4515E/page-1", "CD74HCT4515E")</f>
        <v>CD74HCT4515E</v>
      </c>
      <c r="B6490" s="3" t="str">
        <f>HYPERLINK("https://www.773grp.com/manufacturer/texas-instruments?pageNo=724", "Texas Instruments")</f>
        <v>Texas Instruments</v>
      </c>
      <c r="C6490" s="5">
        <v>622</v>
      </c>
      <c r="D6490" s="6">
        <v>3.96</v>
      </c>
      <c r="E6490" t="s">
        <v>32</v>
      </c>
    </row>
    <row r="6491" spans="1:5" x14ac:dyDescent="0.25">
      <c r="A6491" t="str">
        <f>HYPERLINK("https://www.773grp.com/globalSearch/CY74FCT138ATQC/page-1", "CY74FCT138ATQC")</f>
        <v>CY74FCT138ATQC</v>
      </c>
      <c r="B6491" s="3" t="str">
        <f>HYPERLINK("https://www.773grp.com/manufacturer/texas-instruments?pageNo=754", "Texas Instruments")</f>
        <v>Texas Instruments</v>
      </c>
      <c r="C6491" s="5">
        <v>1370</v>
      </c>
      <c r="D6491" s="6">
        <v>4.38</v>
      </c>
      <c r="E6491" t="s">
        <v>32</v>
      </c>
    </row>
    <row r="6492" spans="1:5" x14ac:dyDescent="0.25">
      <c r="A6492" t="str">
        <f>HYPERLINK("https://www.773grp.com/globalSearch/74AC11238N/page-1", "74AC11238N")</f>
        <v>74AC11238N</v>
      </c>
      <c r="B6492" s="3" t="s">
        <v>90</v>
      </c>
      <c r="C6492" s="5">
        <v>1830</v>
      </c>
      <c r="D6492" s="6">
        <v>4.54</v>
      </c>
      <c r="E6492" t="s">
        <v>32</v>
      </c>
    </row>
    <row r="6493" spans="1:5" x14ac:dyDescent="0.25">
      <c r="A6493" t="str">
        <f>HYPERLINK("https://www.773grp.com/globalSearch/CY74FCT138CTQCT/page-1", "CY74FCT138CTQCT")</f>
        <v>CY74FCT138CTQCT</v>
      </c>
      <c r="B6493" s="3" t="s">
        <v>90</v>
      </c>
      <c r="C6493" s="5">
        <v>6988</v>
      </c>
      <c r="D6493" s="6">
        <v>4.54</v>
      </c>
      <c r="E6493" t="s">
        <v>32</v>
      </c>
    </row>
    <row r="6494" spans="1:5" x14ac:dyDescent="0.25">
      <c r="A6494" t="str">
        <f>HYPERLINK("https://www.773grp.com/globalSearch/SN74LS247N/page-1", "SN74LS247N")</f>
        <v>SN74LS247N</v>
      </c>
      <c r="B6494" s="3" t="s">
        <v>90</v>
      </c>
      <c r="C6494" s="5">
        <v>41310</v>
      </c>
      <c r="D6494" s="6">
        <v>4.54</v>
      </c>
      <c r="E6494" t="s">
        <v>32</v>
      </c>
    </row>
    <row r="6495" spans="1:5" x14ac:dyDescent="0.25">
      <c r="A6495" t="str">
        <f>HYPERLINK("https://www.773grp.com/globalSearch/SN74LS247NE4/page-1", "SN74LS247NE4")</f>
        <v>SN74LS247NE4</v>
      </c>
      <c r="B6495" s="3" t="s">
        <v>90</v>
      </c>
      <c r="C6495" s="5">
        <v>343</v>
      </c>
      <c r="D6495" s="6">
        <v>4.54</v>
      </c>
      <c r="E6495" t="s">
        <v>32</v>
      </c>
    </row>
    <row r="6496" spans="1:5" x14ac:dyDescent="0.25">
      <c r="A6496" t="str">
        <f>HYPERLINK("https://www.773grp.com/globalSearch/SN74LS47N/page-1", "SN74LS47N")</f>
        <v>SN74LS47N</v>
      </c>
      <c r="B6496" s="3" t="s">
        <v>90</v>
      </c>
      <c r="C6496" s="5">
        <v>9204</v>
      </c>
      <c r="D6496" s="6">
        <v>4.54</v>
      </c>
      <c r="E6496" t="s">
        <v>32</v>
      </c>
    </row>
    <row r="6497" spans="1:5" x14ac:dyDescent="0.25">
      <c r="A6497" t="str">
        <f>HYPERLINK("https://www.773grp.com/globalSearch/SN74LS47NSR/page-1", "SN74LS47NSR")</f>
        <v>SN74LS47NSR</v>
      </c>
      <c r="B6497" s="3" t="s">
        <v>90</v>
      </c>
      <c r="C6497" s="5">
        <v>1406</v>
      </c>
      <c r="D6497" s="6">
        <v>4.54</v>
      </c>
      <c r="E6497" t="s">
        <v>32</v>
      </c>
    </row>
    <row r="6498" spans="1:5" x14ac:dyDescent="0.25">
      <c r="A6498" t="str">
        <f>HYPERLINK("https://www.773grp.com/globalSearch/SN74S139ANSR/page-1", "SN74S139ANSR")</f>
        <v>SN74S139ANSR</v>
      </c>
      <c r="B6498" s="3" t="s">
        <v>90</v>
      </c>
      <c r="C6498" s="5">
        <v>2000</v>
      </c>
      <c r="D6498" s="6">
        <v>4.59</v>
      </c>
      <c r="E6498" t="s">
        <v>32</v>
      </c>
    </row>
    <row r="6499" spans="1:5" x14ac:dyDescent="0.25">
      <c r="A6499" t="str">
        <f>HYPERLINK("https://www.773grp.com/globalSearch/74AC11138D/page-1", "74AC11138D")</f>
        <v>74AC11138D</v>
      </c>
      <c r="B6499" s="3" t="s">
        <v>90</v>
      </c>
      <c r="C6499" s="5">
        <v>1717</v>
      </c>
      <c r="D6499" s="6">
        <v>4.2300000000000004</v>
      </c>
      <c r="E6499" t="s">
        <v>32</v>
      </c>
    </row>
    <row r="6500" spans="1:5" x14ac:dyDescent="0.25">
      <c r="A6500" t="str">
        <f>HYPERLINK("https://www.773grp.com/globalSearch/74AC11138PW/page-1", "74AC11138PW")</f>
        <v>74AC11138PW</v>
      </c>
      <c r="B6500" s="3" t="s">
        <v>90</v>
      </c>
      <c r="C6500" s="5">
        <v>6780</v>
      </c>
      <c r="D6500" s="6">
        <v>4.2300000000000004</v>
      </c>
      <c r="E6500" t="s">
        <v>32</v>
      </c>
    </row>
    <row r="6501" spans="1:5" x14ac:dyDescent="0.25">
      <c r="A6501" t="str">
        <f>HYPERLINK("https://www.773grp.com/globalSearch/74ACT11139D/page-1", "74ACT11139D")</f>
        <v>74ACT11139D</v>
      </c>
      <c r="B6501" s="3" t="s">
        <v>90</v>
      </c>
      <c r="C6501" s="5">
        <v>11720</v>
      </c>
      <c r="D6501" s="6">
        <v>4.2300000000000004</v>
      </c>
      <c r="E6501" t="s">
        <v>32</v>
      </c>
    </row>
    <row r="6502" spans="1:5" x14ac:dyDescent="0.25">
      <c r="A6502" t="str">
        <f>HYPERLINK("https://www.773grp.com/globalSearch/CD74HC4515M/page-1", "CD74HC4515M")</f>
        <v>CD74HC4515M</v>
      </c>
      <c r="B6502" s="3" t="s">
        <v>90</v>
      </c>
      <c r="C6502" s="5">
        <v>1984</v>
      </c>
      <c r="D6502" s="6">
        <v>4.2300000000000004</v>
      </c>
      <c r="E6502" t="s">
        <v>32</v>
      </c>
    </row>
    <row r="6503" spans="1:5" x14ac:dyDescent="0.25">
      <c r="A6503" t="str">
        <f>HYPERLINK("https://www.773grp.com/globalSearch/CD74HC4515M96/page-1", "CD74HC4515M96")</f>
        <v>CD74HC4515M96</v>
      </c>
      <c r="B6503" s="3" t="s">
        <v>90</v>
      </c>
      <c r="C6503" s="5">
        <v>900</v>
      </c>
      <c r="D6503" s="6">
        <v>4.2300000000000004</v>
      </c>
      <c r="E6503" t="s">
        <v>32</v>
      </c>
    </row>
    <row r="6504" spans="1:5" x14ac:dyDescent="0.25">
      <c r="A6504" t="str">
        <f>HYPERLINK("https://www.773grp.com/globalSearch/SN74AS138DR/page-1", "SN74AS138DR")</f>
        <v>SN74AS138DR</v>
      </c>
      <c r="B6504" s="3" t="s">
        <v>90</v>
      </c>
      <c r="C6504" s="5">
        <v>5000</v>
      </c>
      <c r="D6504" s="6">
        <v>4.2300000000000004</v>
      </c>
      <c r="E6504" t="s">
        <v>32</v>
      </c>
    </row>
    <row r="6505" spans="1:5" x14ac:dyDescent="0.25">
      <c r="A6505" t="str">
        <f>HYPERLINK("https://www.773grp.com/globalSearch/SN74LS42NS/page-1", "SN74LS42NS")</f>
        <v>SN74LS42NS</v>
      </c>
      <c r="B6505" s="3" t="s">
        <v>90</v>
      </c>
      <c r="C6505" s="5">
        <v>4750</v>
      </c>
      <c r="D6505" s="6">
        <v>4.6900000000000004</v>
      </c>
      <c r="E6505" t="s">
        <v>32</v>
      </c>
    </row>
    <row r="6506" spans="1:5" x14ac:dyDescent="0.25">
      <c r="A6506" t="str">
        <f>HYPERLINK("https://www.773grp.com/globalSearch/CD74HCT154EN/page-1", "CD74HCT154EN")</f>
        <v>CD74HCT154EN</v>
      </c>
      <c r="B6506" s="3" t="s">
        <v>90</v>
      </c>
      <c r="C6506" s="5">
        <v>857</v>
      </c>
      <c r="D6506" s="6">
        <v>4.79</v>
      </c>
      <c r="E6506" t="s">
        <v>32</v>
      </c>
    </row>
    <row r="6507" spans="1:5" x14ac:dyDescent="0.25">
      <c r="A6507" t="str">
        <f>HYPERLINK("https://www.773grp.com/globalSearch/CD74HCT154EN/page-1", "CD74HCT154EN")</f>
        <v>CD74HCT154EN</v>
      </c>
      <c r="B6507" s="3" t="s">
        <v>90</v>
      </c>
      <c r="C6507" s="5">
        <v>1028</v>
      </c>
      <c r="D6507" s="6">
        <v>4.79</v>
      </c>
      <c r="E6507" t="s">
        <v>32</v>
      </c>
    </row>
    <row r="6508" spans="1:5" x14ac:dyDescent="0.25">
      <c r="A6508" t="str">
        <f>HYPERLINK("https://www.773grp.com/globalSearch/CD74HC4514M/page-1", "CD74HC4514M")</f>
        <v>CD74HC4514M</v>
      </c>
      <c r="B6508" s="3" t="s">
        <v>90</v>
      </c>
      <c r="C6508" s="5">
        <v>3759</v>
      </c>
      <c r="D6508" s="6">
        <v>4.43</v>
      </c>
      <c r="E6508" t="s">
        <v>32</v>
      </c>
    </row>
    <row r="6509" spans="1:5" x14ac:dyDescent="0.25">
      <c r="A6509" t="str">
        <f>HYPERLINK("https://www.773grp.com/globalSearch/CD74HC4514M96/page-1", "CD74HC4514M96")</f>
        <v>CD74HC4514M96</v>
      </c>
      <c r="B6509" s="3" t="s">
        <v>90</v>
      </c>
      <c r="C6509" s="5">
        <v>3800</v>
      </c>
      <c r="D6509" s="6">
        <v>4.43</v>
      </c>
      <c r="E6509" t="s">
        <v>32</v>
      </c>
    </row>
    <row r="6510" spans="1:5" x14ac:dyDescent="0.25">
      <c r="A6510" t="str">
        <f>HYPERLINK("https://www.773grp.com/globalSearch/CD74HC4514ME4/page-1", "CD74HC4514ME4")</f>
        <v>CD74HC4514ME4</v>
      </c>
      <c r="B6510" s="3" t="s">
        <v>90</v>
      </c>
      <c r="C6510" s="5">
        <v>587</v>
      </c>
      <c r="D6510" s="6">
        <v>4.43</v>
      </c>
      <c r="E6510" t="s">
        <v>32</v>
      </c>
    </row>
    <row r="6511" spans="1:5" x14ac:dyDescent="0.25">
      <c r="A6511" t="str">
        <f>HYPERLINK("https://www.773grp.com/globalSearch/SN74LS247D/page-1", "SN74LS247D")</f>
        <v>SN74LS247D</v>
      </c>
      <c r="B6511" s="3" t="str">
        <f>HYPERLINK("https://www.773grp.com/manufacturer/texas-instruments?pageNo=132", "Texas Instruments")</f>
        <v>Texas Instruments</v>
      </c>
      <c r="C6511" s="5">
        <v>556</v>
      </c>
      <c r="D6511" s="6">
        <v>4.91</v>
      </c>
      <c r="E6511" t="s">
        <v>32</v>
      </c>
    </row>
    <row r="6512" spans="1:5" x14ac:dyDescent="0.25">
      <c r="A6512" t="str">
        <f>HYPERLINK("https://www.773grp.com/globalSearch/SN74S138AD/page-1", "SN74S138AD")</f>
        <v>SN74S138AD</v>
      </c>
      <c r="B6512" s="3" t="str">
        <f>HYPERLINK("https://www.773grp.com/manufacturer/texas-instruments?pageNo=160", "Texas Instruments")</f>
        <v>Texas Instruments</v>
      </c>
      <c r="C6512" s="5">
        <v>16850</v>
      </c>
      <c r="D6512" s="6">
        <v>4.91</v>
      </c>
      <c r="E6512" t="s">
        <v>32</v>
      </c>
    </row>
    <row r="6513" spans="1:5" x14ac:dyDescent="0.25">
      <c r="A6513" t="str">
        <f>HYPERLINK("https://www.773grp.com/globalSearch/CD74HC4515EN/page-1", "CD74HC4515EN")</f>
        <v>CD74HC4515EN</v>
      </c>
      <c r="B6513" s="3" t="str">
        <f>HYPERLINK("https://www.773grp.com/manufacturer/texas-instruments?pageNo=869", "Texas Instruments")</f>
        <v>Texas Instruments</v>
      </c>
      <c r="C6513" s="5">
        <v>7672</v>
      </c>
      <c r="D6513" s="6">
        <v>4.6100000000000003</v>
      </c>
      <c r="E6513" t="s">
        <v>32</v>
      </c>
    </row>
    <row r="6514" spans="1:5" x14ac:dyDescent="0.25">
      <c r="A6514" t="str">
        <f>HYPERLINK("https://www.773grp.com/globalSearch/SN74AS138N/page-1", "SN74AS138N")</f>
        <v>SN74AS138N</v>
      </c>
      <c r="B6514" s="3" t="str">
        <f>HYPERLINK("https://www.773grp.com/manufacturer/texas-instruments?pageNo=895", "Texas Instruments")</f>
        <v>Texas Instruments</v>
      </c>
      <c r="C6514" s="5">
        <v>83322</v>
      </c>
      <c r="D6514" s="6">
        <v>4.6100000000000003</v>
      </c>
      <c r="E6514" t="s">
        <v>32</v>
      </c>
    </row>
    <row r="6515" spans="1:5" x14ac:dyDescent="0.25">
      <c r="A6515" t="str">
        <f>HYPERLINK("https://www.773grp.com/globalSearch/SN74AS138NSR/page-1", "SN74AS138NSR")</f>
        <v>SN74AS138NSR</v>
      </c>
      <c r="B6515" s="3" t="str">
        <f>HYPERLINK("https://www.773grp.com/manufacturer/texas-instruments?pageNo=896", "Texas Instruments")</f>
        <v>Texas Instruments</v>
      </c>
      <c r="C6515" s="5">
        <v>2000</v>
      </c>
      <c r="D6515" s="6">
        <v>4.6100000000000003</v>
      </c>
      <c r="E6515" t="s">
        <v>32</v>
      </c>
    </row>
    <row r="6516" spans="1:5" x14ac:dyDescent="0.25">
      <c r="A6516" t="str">
        <f>HYPERLINK("https://www.773grp.com/globalSearch/CD74HC4515E/page-1", "CD74HC4515E")</f>
        <v>CD74HC4515E</v>
      </c>
      <c r="B6516" s="3" t="s">
        <v>90</v>
      </c>
      <c r="C6516" s="5">
        <v>2645</v>
      </c>
      <c r="D6516" s="6">
        <v>4.68</v>
      </c>
      <c r="E6516" t="s">
        <v>32</v>
      </c>
    </row>
    <row r="6517" spans="1:5" x14ac:dyDescent="0.25">
      <c r="A6517" t="str">
        <f>HYPERLINK("https://www.773grp.com/globalSearch/SN7447AN/page-1", "SN7447AN")</f>
        <v>SN7447AN</v>
      </c>
      <c r="B6517" s="3" t="s">
        <v>90</v>
      </c>
      <c r="C6517" s="5">
        <v>17878</v>
      </c>
      <c r="D6517" s="6">
        <v>4.78</v>
      </c>
      <c r="E6517" t="s">
        <v>32</v>
      </c>
    </row>
    <row r="6518" spans="1:5" x14ac:dyDescent="0.25">
      <c r="A6518" t="str">
        <f>HYPERLINK("https://www.773grp.com/globalSearch/CD74HC4514E/page-1", "CD74HC4514E")</f>
        <v>CD74HC4514E</v>
      </c>
      <c r="B6518" s="3" t="s">
        <v>90</v>
      </c>
      <c r="C6518" s="5">
        <v>1815</v>
      </c>
      <c r="D6518" s="6">
        <v>4.8099999999999996</v>
      </c>
      <c r="E6518" t="s">
        <v>32</v>
      </c>
    </row>
    <row r="6519" spans="1:5" x14ac:dyDescent="0.25">
      <c r="A6519" t="str">
        <f>HYPERLINK("https://www.773grp.com/globalSearch/SN74ALS137ADR/page-1", "SN74ALS137ADR")</f>
        <v>SN74ALS137ADR</v>
      </c>
      <c r="B6519" s="3" t="s">
        <v>90</v>
      </c>
      <c r="C6519" s="5">
        <v>12500</v>
      </c>
      <c r="D6519" s="6">
        <v>4.8099999999999996</v>
      </c>
      <c r="E6519" t="s">
        <v>32</v>
      </c>
    </row>
    <row r="6520" spans="1:5" x14ac:dyDescent="0.25">
      <c r="A6520" t="str">
        <f>HYPERLINK("https://www.773grp.com/globalSearch/SN74ALS156DR/page-1", "SN74ALS156DR")</f>
        <v>SN74ALS156DR</v>
      </c>
      <c r="B6520" s="3" t="s">
        <v>90</v>
      </c>
      <c r="C6520" s="5">
        <v>5000</v>
      </c>
      <c r="D6520" s="6">
        <v>4.8099999999999996</v>
      </c>
      <c r="E6520" t="s">
        <v>32</v>
      </c>
    </row>
    <row r="6521" spans="1:5" x14ac:dyDescent="0.25">
      <c r="A6521" t="str">
        <f>HYPERLINK("https://www.773grp.com/globalSearch/SN74ALS156N/page-1", "SN74ALS156N")</f>
        <v>SN74ALS156N</v>
      </c>
      <c r="B6521" s="3" t="s">
        <v>90</v>
      </c>
      <c r="C6521" s="5">
        <v>15015</v>
      </c>
      <c r="D6521" s="6">
        <v>5.24</v>
      </c>
      <c r="E6521" t="s">
        <v>32</v>
      </c>
    </row>
    <row r="6522" spans="1:5" x14ac:dyDescent="0.25">
      <c r="A6522" t="str">
        <f>HYPERLINK("https://www.773grp.com/globalSearch/SN74AS138D/page-1", "SN74AS138D")</f>
        <v>SN74AS138D</v>
      </c>
      <c r="B6522" s="3" t="s">
        <v>90</v>
      </c>
      <c r="C6522" s="5">
        <v>15385</v>
      </c>
      <c r="D6522" s="6">
        <v>5.24</v>
      </c>
      <c r="E6522" t="s">
        <v>32</v>
      </c>
    </row>
    <row r="6523" spans="1:5" x14ac:dyDescent="0.25">
      <c r="A6523" t="str">
        <f>HYPERLINK("https://www.773grp.com/globalSearch/SN74154N3/page-1", "SN74154N3")</f>
        <v>SN74154N3</v>
      </c>
      <c r="B6523" s="3" t="s">
        <v>90</v>
      </c>
      <c r="C6523" s="5">
        <v>1127</v>
      </c>
      <c r="D6523" s="6">
        <v>5.31</v>
      </c>
      <c r="E6523" t="s">
        <v>32</v>
      </c>
    </row>
    <row r="6524" spans="1:5" x14ac:dyDescent="0.25">
      <c r="A6524" t="str">
        <f>HYPERLINK("https://www.773grp.com/globalSearch/SN74ALS156D/page-1", "SN74ALS156D")</f>
        <v>SN74ALS156D</v>
      </c>
      <c r="B6524" s="3" t="s">
        <v>90</v>
      </c>
      <c r="C6524" s="5">
        <v>586</v>
      </c>
      <c r="D6524" s="6">
        <v>5.63</v>
      </c>
      <c r="E6524" t="s">
        <v>32</v>
      </c>
    </row>
    <row r="6525" spans="1:5" x14ac:dyDescent="0.25">
      <c r="A6525" t="str">
        <f>HYPERLINK("https://www.773grp.com/globalSearch/SN74ALS156D/page-1", "SN74ALS156D")</f>
        <v>SN74ALS156D</v>
      </c>
      <c r="B6525" s="3" t="s">
        <v>90</v>
      </c>
      <c r="C6525" s="5">
        <v>16613</v>
      </c>
      <c r="D6525" s="6">
        <v>5.63</v>
      </c>
      <c r="E6525" t="s">
        <v>32</v>
      </c>
    </row>
    <row r="6526" spans="1:5" x14ac:dyDescent="0.25">
      <c r="A6526" t="str">
        <f>HYPERLINK("https://www.773grp.com/globalSearch/SN5446AJ/page-1", "SN5446AJ")</f>
        <v>SN5446AJ</v>
      </c>
      <c r="B6526" s="3" t="s">
        <v>90</v>
      </c>
      <c r="C6526" s="5">
        <v>42</v>
      </c>
      <c r="D6526" s="6">
        <v>5.69</v>
      </c>
      <c r="E6526" t="s">
        <v>32</v>
      </c>
    </row>
    <row r="6527" spans="1:5" x14ac:dyDescent="0.25">
      <c r="A6527" t="str">
        <f>HYPERLINK("https://www.773grp.com/globalSearch/SN74ALS137AN/page-1", "SN74ALS137AN")</f>
        <v>SN74ALS137AN</v>
      </c>
      <c r="B6527" s="3" t="s">
        <v>90</v>
      </c>
      <c r="C6527" s="5">
        <v>63500</v>
      </c>
      <c r="D6527" s="6">
        <v>5.83</v>
      </c>
      <c r="E6527" t="s">
        <v>32</v>
      </c>
    </row>
    <row r="6528" spans="1:5" x14ac:dyDescent="0.25">
      <c r="A6528" t="str">
        <f>HYPERLINK("https://www.773grp.com/globalSearch/SN74154N/page-1", "SN74154N")</f>
        <v>SN74154N</v>
      </c>
      <c r="B6528" s="3" t="s">
        <v>90</v>
      </c>
      <c r="C6528" s="5">
        <v>5352</v>
      </c>
      <c r="D6528" s="6">
        <v>5.94</v>
      </c>
      <c r="E6528" t="s">
        <v>32</v>
      </c>
    </row>
    <row r="6529" spans="1:5" x14ac:dyDescent="0.25">
      <c r="A6529" t="str">
        <f>HYPERLINK("https://www.773grp.com/globalSearch/SN74145N/page-1", "SN74145N")</f>
        <v>SN74145N</v>
      </c>
      <c r="B6529" s="3" t="s">
        <v>90</v>
      </c>
      <c r="C6529" s="5">
        <v>712</v>
      </c>
      <c r="D6529" s="6">
        <v>6.16</v>
      </c>
      <c r="E6529" t="s">
        <v>32</v>
      </c>
    </row>
    <row r="6530" spans="1:5" x14ac:dyDescent="0.25">
      <c r="A6530" t="str">
        <f>HYPERLINK("https://www.773grp.com/globalSearch/CD54HC138F/page-1", "CD54HC138F")</f>
        <v>CD54HC138F</v>
      </c>
      <c r="B6530" s="3" t="s">
        <v>90</v>
      </c>
      <c r="C6530" s="5">
        <v>994</v>
      </c>
      <c r="D6530" s="6">
        <v>6.21</v>
      </c>
      <c r="E6530" t="s">
        <v>32</v>
      </c>
    </row>
    <row r="6531" spans="1:5" x14ac:dyDescent="0.25">
      <c r="A6531" t="str">
        <f>HYPERLINK("https://www.773grp.com/globalSearch/CD74HC4514EN/page-1", "CD74HC4514EN")</f>
        <v>CD74HC4514EN</v>
      </c>
      <c r="B6531" s="3" t="s">
        <v>90</v>
      </c>
      <c r="C6531" s="5">
        <v>3316</v>
      </c>
      <c r="D6531" s="6">
        <v>6.38</v>
      </c>
      <c r="E6531" t="s">
        <v>32</v>
      </c>
    </row>
    <row r="6532" spans="1:5" x14ac:dyDescent="0.25">
      <c r="A6532" t="str">
        <f>HYPERLINK("https://www.773grp.com/globalSearch/SN74ALS137AD/page-1", "SN74ALS137AD")</f>
        <v>SN74ALS137AD</v>
      </c>
      <c r="B6532" s="3" t="s">
        <v>90</v>
      </c>
      <c r="C6532" s="5">
        <v>27569</v>
      </c>
      <c r="D6532" s="6">
        <v>6.45</v>
      </c>
      <c r="E6532" t="s">
        <v>32</v>
      </c>
    </row>
    <row r="6533" spans="1:5" x14ac:dyDescent="0.25">
      <c r="A6533" t="str">
        <f>HYPERLINK("https://www.773grp.com/globalSearch/SNJ54155J/page-1", "SNJ54155J")</f>
        <v>SNJ54155J</v>
      </c>
      <c r="B6533" s="3" t="str">
        <f>HYPERLINK("https://www.773grp.com/manufacturer/texas-instruments?pageNo=395", "Texas Instruments")</f>
        <v>Texas Instruments</v>
      </c>
      <c r="C6533" s="5">
        <v>12</v>
      </c>
      <c r="D6533" s="6">
        <v>6.64</v>
      </c>
      <c r="E6533" t="s">
        <v>32</v>
      </c>
    </row>
    <row r="6534" spans="1:5" x14ac:dyDescent="0.25">
      <c r="A6534" t="str">
        <f>HYPERLINK("https://www.773grp.com/globalSearch/SN54HCT138J/page-1", "SN54HCT138J")</f>
        <v>SN54HCT138J</v>
      </c>
      <c r="B6534" s="3" t="s">
        <v>90</v>
      </c>
      <c r="C6534" s="5">
        <v>532</v>
      </c>
      <c r="D6534" s="6">
        <v>7.31</v>
      </c>
      <c r="E6534" t="s">
        <v>32</v>
      </c>
    </row>
    <row r="6535" spans="1:5" x14ac:dyDescent="0.25">
      <c r="A6535" t="str">
        <f>HYPERLINK("https://www.773grp.com/globalSearch/SN54HC138J/page-1", "SN54HC138J")</f>
        <v>SN54HC138J</v>
      </c>
      <c r="B6535" s="3" t="s">
        <v>90</v>
      </c>
      <c r="C6535" s="5">
        <v>954</v>
      </c>
      <c r="D6535" s="6">
        <v>7.43</v>
      </c>
      <c r="E6535" t="s">
        <v>32</v>
      </c>
    </row>
    <row r="6536" spans="1:5" x14ac:dyDescent="0.25">
      <c r="A6536" t="str">
        <f>HYPERLINK("https://www.773grp.com/globalSearch/SN74BCT2414N/page-1", "SN74BCT2414N")</f>
        <v>SN74BCT2414N</v>
      </c>
      <c r="B6536" s="3" t="s">
        <v>90</v>
      </c>
      <c r="C6536" s="5">
        <v>7226</v>
      </c>
      <c r="D6536" s="6">
        <v>7.43</v>
      </c>
      <c r="E6536" t="s">
        <v>32</v>
      </c>
    </row>
    <row r="6537" spans="1:5" x14ac:dyDescent="0.25">
      <c r="A6537" t="str">
        <f>HYPERLINK("https://www.773grp.com/globalSearch/SN74LS445N/page-1", "SN74LS445N")</f>
        <v>SN74LS445N</v>
      </c>
      <c r="B6537" s="3" t="s">
        <v>90</v>
      </c>
      <c r="C6537" s="5">
        <v>1576</v>
      </c>
      <c r="D6537" s="6">
        <v>7.51</v>
      </c>
      <c r="E6537" t="s">
        <v>32</v>
      </c>
    </row>
    <row r="6538" spans="1:5" x14ac:dyDescent="0.25">
      <c r="A6538" t="str">
        <f>HYPERLINK("https://www.773grp.com/globalSearch/SN54HC139J/page-1", "SN54HC139J")</f>
        <v>SN54HC139J</v>
      </c>
      <c r="B6538" s="3" t="s">
        <v>90</v>
      </c>
      <c r="C6538" s="5">
        <v>779</v>
      </c>
      <c r="D6538" s="6">
        <v>7.6</v>
      </c>
      <c r="E6538" t="s">
        <v>32</v>
      </c>
    </row>
    <row r="6539" spans="1:5" x14ac:dyDescent="0.25">
      <c r="A6539" t="str">
        <f>HYPERLINK("https://www.773grp.com/globalSearch/SN74159N/page-1", "SN74159N")</f>
        <v>SN74159N</v>
      </c>
      <c r="B6539" s="3" t="s">
        <v>90</v>
      </c>
      <c r="C6539" s="5">
        <v>863</v>
      </c>
      <c r="D6539" s="6">
        <v>7.68</v>
      </c>
      <c r="E6539" t="s">
        <v>32</v>
      </c>
    </row>
    <row r="6540" spans="1:5" x14ac:dyDescent="0.25">
      <c r="A6540" t="str">
        <f>HYPERLINK("https://www.773grp.com/globalSearch/SNJ54F138J/page-1", "SNJ54F138J")</f>
        <v>SNJ54F138J</v>
      </c>
      <c r="B6540" s="3" t="s">
        <v>90</v>
      </c>
      <c r="C6540" s="5">
        <v>160</v>
      </c>
      <c r="D6540" s="6">
        <v>7.8</v>
      </c>
      <c r="E6540" t="s">
        <v>32</v>
      </c>
    </row>
    <row r="6541" spans="1:5" x14ac:dyDescent="0.25">
      <c r="A6541" t="str">
        <f>HYPERLINK("https://www.773grp.com/globalSearch/SN54LS42J/page-1", "SN54LS42J")</f>
        <v>SN54LS42J</v>
      </c>
      <c r="B6541" s="3" t="s">
        <v>90</v>
      </c>
      <c r="C6541" s="5">
        <v>2</v>
      </c>
      <c r="D6541" s="6">
        <v>7.88</v>
      </c>
      <c r="E6541" t="s">
        <v>32</v>
      </c>
    </row>
    <row r="6542" spans="1:5" x14ac:dyDescent="0.25">
      <c r="A6542" t="str">
        <f>HYPERLINK("https://www.773grp.com/globalSearch/CD54HCT138F/page-1", "CD54HCT138F")</f>
        <v>CD54HCT138F</v>
      </c>
      <c r="B6542" s="3" t="s">
        <v>90</v>
      </c>
      <c r="C6542" s="5">
        <v>2018</v>
      </c>
      <c r="D6542" s="6">
        <v>7.94</v>
      </c>
      <c r="E6542" t="s">
        <v>32</v>
      </c>
    </row>
    <row r="6543" spans="1:5" x14ac:dyDescent="0.25">
      <c r="A6543" t="str">
        <f>HYPERLINK("https://www.773grp.com/globalSearch/5962-9558201QEA/page-1", "5962-9558201QEA")</f>
        <v>5962-9558201QEA</v>
      </c>
      <c r="B6543" s="3" t="s">
        <v>90</v>
      </c>
      <c r="C6543" s="5">
        <v>132</v>
      </c>
      <c r="D6543" s="6">
        <v>8.06</v>
      </c>
      <c r="E6543" t="s">
        <v>32</v>
      </c>
    </row>
    <row r="6544" spans="1:5" x14ac:dyDescent="0.25">
      <c r="A6544" t="str">
        <f>HYPERLINK("https://www.773grp.com/globalSearch/SN74BCT2414DW/page-1", "SN74BCT2414DW")</f>
        <v>SN74BCT2414DW</v>
      </c>
      <c r="B6544" s="3" t="s">
        <v>90</v>
      </c>
      <c r="C6544" s="5">
        <v>1784</v>
      </c>
      <c r="D6544" s="6">
        <v>8.24</v>
      </c>
      <c r="E6544" t="s">
        <v>32</v>
      </c>
    </row>
    <row r="6545" spans="1:5" x14ac:dyDescent="0.25">
      <c r="A6545" t="str">
        <f>HYPERLINK("https://www.773grp.com/globalSearch/SN74AS131AD/page-1", "SN74AS131AD")</f>
        <v>SN74AS131AD</v>
      </c>
      <c r="B6545" s="3" t="s">
        <v>90</v>
      </c>
      <c r="C6545" s="5">
        <v>350</v>
      </c>
      <c r="D6545" s="6">
        <v>8.44</v>
      </c>
      <c r="E6545" t="s">
        <v>32</v>
      </c>
    </row>
    <row r="6546" spans="1:5" x14ac:dyDescent="0.25">
      <c r="A6546" t="str">
        <f>HYPERLINK("https://www.773grp.com/globalSearch/5962-9851701QEA/page-1", "5962-9851701QEA")</f>
        <v>5962-9851701QEA</v>
      </c>
      <c r="B6546" s="3" t="s">
        <v>90</v>
      </c>
      <c r="C6546" s="5">
        <v>7</v>
      </c>
      <c r="D6546" s="6">
        <v>9.0299999999999994</v>
      </c>
      <c r="E6546" t="s">
        <v>32</v>
      </c>
    </row>
    <row r="6547" spans="1:5" x14ac:dyDescent="0.25">
      <c r="A6547" t="str">
        <f>HYPERLINK("https://www.773grp.com/globalSearch/SN74LS248N/page-1", "SN74LS248N")</f>
        <v>SN74LS248N</v>
      </c>
      <c r="B6547" s="3" t="s">
        <v>90</v>
      </c>
      <c r="C6547" s="5">
        <v>1674</v>
      </c>
      <c r="D6547" s="6">
        <v>9.99</v>
      </c>
      <c r="E6547" t="s">
        <v>32</v>
      </c>
    </row>
    <row r="6548" spans="1:5" x14ac:dyDescent="0.25">
      <c r="A6548" t="str">
        <f>HYPERLINK("https://www.773grp.com/globalSearch/7600701EA/page-1", "7600701EA")</f>
        <v>7600701EA</v>
      </c>
      <c r="B6548" s="3" t="s">
        <v>90</v>
      </c>
      <c r="C6548" s="5">
        <v>66</v>
      </c>
      <c r="D6548" s="6">
        <v>10.26</v>
      </c>
      <c r="E6548" t="s">
        <v>32</v>
      </c>
    </row>
    <row r="6549" spans="1:5" x14ac:dyDescent="0.25">
      <c r="A6549" t="str">
        <f>HYPERLINK("https://www.773grp.com/globalSearch/SNJ54LS139AJ/page-1", "SNJ54LS139AJ")</f>
        <v>SNJ54LS139AJ</v>
      </c>
      <c r="B6549" s="3" t="s">
        <v>90</v>
      </c>
      <c r="C6549" s="5">
        <v>476</v>
      </c>
      <c r="D6549" s="6">
        <v>10.26</v>
      </c>
      <c r="E6549" t="s">
        <v>32</v>
      </c>
    </row>
    <row r="6550" spans="1:5" x14ac:dyDescent="0.25">
      <c r="A6550" t="str">
        <f>HYPERLINK("https://www.773grp.com/globalSearch/CD54AC139F3A/page-1", "CD54AC139F3A")</f>
        <v>CD54AC139F3A</v>
      </c>
      <c r="B6550" s="3" t="s">
        <v>90</v>
      </c>
      <c r="C6550" s="5">
        <v>348</v>
      </c>
      <c r="D6550" s="6">
        <v>11.73</v>
      </c>
      <c r="E6550" t="s">
        <v>32</v>
      </c>
    </row>
    <row r="6551" spans="1:5" x14ac:dyDescent="0.25">
      <c r="A6551" t="str">
        <f>HYPERLINK("https://www.773grp.com/globalSearch/CD54ACT138F3A/page-1", "CD54ACT138F3A")</f>
        <v>CD54ACT138F3A</v>
      </c>
      <c r="B6551" s="3" t="s">
        <v>90</v>
      </c>
      <c r="C6551" s="5">
        <v>198</v>
      </c>
      <c r="D6551" s="6">
        <v>11.73</v>
      </c>
      <c r="E6551" t="s">
        <v>32</v>
      </c>
    </row>
    <row r="6552" spans="1:5" x14ac:dyDescent="0.25">
      <c r="A6552" t="str">
        <f>HYPERLINK("https://www.773grp.com/globalSearch/CD54AC138F3A/page-1", "CD54AC138F3A")</f>
        <v>CD54AC138F3A</v>
      </c>
      <c r="B6552" s="3" t="s">
        <v>90</v>
      </c>
      <c r="C6552" s="5">
        <v>1938</v>
      </c>
      <c r="D6552" s="6">
        <v>11.85</v>
      </c>
      <c r="E6552" t="s">
        <v>32</v>
      </c>
    </row>
    <row r="6553" spans="1:5" x14ac:dyDescent="0.25">
      <c r="A6553" t="str">
        <f>HYPERLINK("https://www.773grp.com/globalSearch/JM38510-30702BEA/page-1", "JM38510-30702BEA")</f>
        <v>JM38510-30702BEA</v>
      </c>
      <c r="B6553" s="3" t="s">
        <v>90</v>
      </c>
      <c r="C6553" s="5">
        <v>20</v>
      </c>
      <c r="D6553" s="6">
        <v>11.86</v>
      </c>
      <c r="E6553" t="s">
        <v>32</v>
      </c>
    </row>
    <row r="6554" spans="1:5" x14ac:dyDescent="0.25">
      <c r="A6554" t="str">
        <f>HYPERLINK("https://www.773grp.com/globalSearch/SN54LS138J/page-1", "SN54LS138J")</f>
        <v>SN54LS138J</v>
      </c>
      <c r="B6554" s="3" t="str">
        <f>HYPERLINK("https://www.773grp.com/manufacturer/texas-instruments?pageNo=166", "Texas Instruments")</f>
        <v>Texas Instruments</v>
      </c>
      <c r="C6554" s="5">
        <v>27</v>
      </c>
      <c r="D6554" s="6">
        <v>12.44</v>
      </c>
      <c r="E6554" t="s">
        <v>32</v>
      </c>
    </row>
    <row r="6555" spans="1:5" x14ac:dyDescent="0.25">
      <c r="A6555" t="str">
        <f>HYPERLINK("https://www.773grp.com/globalSearch/SN54LS139AJ/page-1", "SN54LS139AJ")</f>
        <v>SN54LS139AJ</v>
      </c>
      <c r="B6555" s="3" t="str">
        <f>HYPERLINK("https://www.773grp.com/manufacturer/texas-instruments?pageNo=167", "Texas Instruments")</f>
        <v>Texas Instruments</v>
      </c>
      <c r="C6555" s="5">
        <v>746</v>
      </c>
      <c r="D6555" s="6">
        <v>12.44</v>
      </c>
      <c r="E6555" t="s">
        <v>32</v>
      </c>
    </row>
    <row r="6556" spans="1:5" x14ac:dyDescent="0.25">
      <c r="A6556" t="str">
        <f>HYPERLINK("https://www.773grp.com/globalSearch/8550401EA/page-1", "8550401EA")</f>
        <v>8550401EA</v>
      </c>
      <c r="B6556" s="3" t="str">
        <f>HYPERLINK("https://www.773grp.com/manufacturer/texas-instruments?pageNo=364", "Texas Instruments")</f>
        <v>Texas Instruments</v>
      </c>
      <c r="C6556" s="5">
        <v>12</v>
      </c>
      <c r="D6556" s="6">
        <v>12.79</v>
      </c>
      <c r="E6556" t="s">
        <v>32</v>
      </c>
    </row>
    <row r="6557" spans="1:5" x14ac:dyDescent="0.25">
      <c r="A6557" t="str">
        <f>HYPERLINK("https://www.773grp.com/globalSearch/SNJ5442AW/page-1", "SNJ5442AW")</f>
        <v>SNJ5442AW</v>
      </c>
      <c r="B6557" s="3" t="str">
        <f>HYPERLINK("https://www.773grp.com/manufacturer/texas-instruments?pageNo=420", "Texas Instruments")</f>
        <v>Texas Instruments</v>
      </c>
      <c r="C6557" s="5">
        <v>74</v>
      </c>
      <c r="D6557" s="6">
        <v>12.88</v>
      </c>
      <c r="E6557" t="s">
        <v>32</v>
      </c>
    </row>
    <row r="6558" spans="1:5" x14ac:dyDescent="0.25">
      <c r="A6558" t="str">
        <f>HYPERLINK("https://www.773grp.com/globalSearch/SN54LS155AJ/page-1", "SN54LS155AJ")</f>
        <v>SN54LS155AJ</v>
      </c>
      <c r="B6558" s="3" t="str">
        <f>HYPERLINK("https://www.773grp.com/manufacturer/texas-instruments?pageNo=664", "Texas Instruments")</f>
        <v>Texas Instruments</v>
      </c>
      <c r="C6558" s="5">
        <v>179</v>
      </c>
      <c r="D6558" s="6">
        <v>13.36</v>
      </c>
      <c r="E6558" t="s">
        <v>32</v>
      </c>
    </row>
    <row r="6559" spans="1:5" x14ac:dyDescent="0.25">
      <c r="A6559" t="str">
        <f>HYPERLINK("https://www.773grp.com/globalSearch/CD54HC139F3A/page-1", "CD54HC139F3A")</f>
        <v>CD54HC139F3A</v>
      </c>
      <c r="B6559" s="3" t="s">
        <v>90</v>
      </c>
      <c r="C6559" s="5">
        <v>8</v>
      </c>
      <c r="D6559" s="6">
        <v>14.51</v>
      </c>
      <c r="E6559" t="s">
        <v>32</v>
      </c>
    </row>
    <row r="6560" spans="1:5" x14ac:dyDescent="0.25">
      <c r="A6560" t="str">
        <f>HYPERLINK("https://www.773grp.com/globalSearch/SN54LS145J/page-1", "SN54LS145J")</f>
        <v>SN54LS145J</v>
      </c>
      <c r="B6560" s="3" t="s">
        <v>90</v>
      </c>
      <c r="C6560" s="5">
        <v>4</v>
      </c>
      <c r="D6560" s="6">
        <v>14.51</v>
      </c>
      <c r="E6560" t="s">
        <v>32</v>
      </c>
    </row>
    <row r="6561" spans="1:5" x14ac:dyDescent="0.25">
      <c r="A6561" t="str">
        <f>HYPERLINK("https://www.773grp.com/globalSearch/5962-9750801QEA/page-1", "5962-9750801QEA")</f>
        <v>5962-9750801QEA</v>
      </c>
      <c r="B6561" s="3" t="s">
        <v>90</v>
      </c>
      <c r="C6561" s="5">
        <v>79</v>
      </c>
      <c r="D6561" s="6">
        <v>14.69</v>
      </c>
      <c r="E6561" t="s">
        <v>32</v>
      </c>
    </row>
    <row r="6562" spans="1:5" x14ac:dyDescent="0.25">
      <c r="A6562" t="str">
        <f>HYPERLINK("https://www.773grp.com/globalSearch/SNJ54LS155AJ/page-1", "SNJ54LS155AJ")</f>
        <v>SNJ54LS155AJ</v>
      </c>
      <c r="B6562" s="3" t="s">
        <v>90</v>
      </c>
      <c r="C6562" s="5">
        <v>261</v>
      </c>
      <c r="D6562" s="6">
        <v>14.69</v>
      </c>
      <c r="E6562" t="s">
        <v>32</v>
      </c>
    </row>
    <row r="6563" spans="1:5" x14ac:dyDescent="0.25">
      <c r="A6563" t="str">
        <f>HYPERLINK("https://www.773grp.com/globalSearch/5962-8768301EA/page-1", "5962-8768301EA")</f>
        <v>5962-8768301EA</v>
      </c>
      <c r="B6563" s="3" t="s">
        <v>90</v>
      </c>
      <c r="C6563" s="5">
        <v>75</v>
      </c>
      <c r="D6563" s="6">
        <v>14.89</v>
      </c>
      <c r="E6563" t="s">
        <v>32</v>
      </c>
    </row>
    <row r="6564" spans="1:5" x14ac:dyDescent="0.25">
      <c r="A6564" t="str">
        <f>HYPERLINK("https://www.773grp.com/globalSearch/SNJ54ALS139J/page-1", "SNJ54ALS139J")</f>
        <v>SNJ54ALS139J</v>
      </c>
      <c r="B6564" s="3" t="s">
        <v>90</v>
      </c>
      <c r="C6564" s="5">
        <v>71</v>
      </c>
      <c r="D6564" s="6">
        <v>14.89</v>
      </c>
      <c r="E6564" t="s">
        <v>32</v>
      </c>
    </row>
    <row r="6565" spans="1:5" x14ac:dyDescent="0.25">
      <c r="A6565" t="str">
        <f>HYPERLINK("https://www.773grp.com/globalSearch/SNJ54LS156J/page-1", "SNJ54LS156J")</f>
        <v>SNJ54LS156J</v>
      </c>
      <c r="B6565" s="3" t="s">
        <v>90</v>
      </c>
      <c r="C6565" s="5">
        <v>223</v>
      </c>
      <c r="D6565" s="6">
        <v>14.9</v>
      </c>
      <c r="E6565" t="s">
        <v>32</v>
      </c>
    </row>
    <row r="6566" spans="1:5" x14ac:dyDescent="0.25">
      <c r="A6566" t="str">
        <f>HYPERLINK("https://www.773grp.com/globalSearch/SN54LS137J/page-1", "SN54LS137J")</f>
        <v>SN54LS137J</v>
      </c>
      <c r="B6566" s="3" t="s">
        <v>90</v>
      </c>
      <c r="C6566" s="5">
        <v>278</v>
      </c>
      <c r="D6566" s="6">
        <v>14.99</v>
      </c>
      <c r="E6566" t="s">
        <v>32</v>
      </c>
    </row>
    <row r="6567" spans="1:5" x14ac:dyDescent="0.25">
      <c r="A6567" t="str">
        <f>HYPERLINK("https://www.773grp.com/globalSearch/5962-9758201Q2A/page-1", "5962-9758201Q2A")</f>
        <v>5962-9758201Q2A</v>
      </c>
      <c r="B6567" s="3" t="s">
        <v>90</v>
      </c>
      <c r="C6567" s="5">
        <v>56</v>
      </c>
      <c r="D6567" s="6">
        <v>15.19</v>
      </c>
      <c r="E6567" t="s">
        <v>32</v>
      </c>
    </row>
    <row r="6568" spans="1:5" x14ac:dyDescent="0.25">
      <c r="A6568" t="str">
        <f>HYPERLINK("https://www.773grp.com/globalSearch/JM38510-33701BFA/page-1", "JM38510-33701BFA")</f>
        <v>JM38510-33701BFA</v>
      </c>
      <c r="B6568" s="3" t="s">
        <v>90</v>
      </c>
      <c r="C6568" s="5">
        <v>282</v>
      </c>
      <c r="D6568" s="6">
        <v>15.24</v>
      </c>
      <c r="E6568" t="s">
        <v>32</v>
      </c>
    </row>
    <row r="6569" spans="1:5" x14ac:dyDescent="0.25">
      <c r="A6569" t="str">
        <f>HYPERLINK("https://www.773grp.com/globalSearch/JM38510-33701B2A/page-1", "JM38510-33701B2A")</f>
        <v>JM38510-33701B2A</v>
      </c>
      <c r="B6569" s="3" t="s">
        <v>90</v>
      </c>
      <c r="C6569" s="5">
        <v>106</v>
      </c>
      <c r="D6569" s="6">
        <v>15.3</v>
      </c>
      <c r="E6569" t="s">
        <v>32</v>
      </c>
    </row>
    <row r="6570" spans="1:5" x14ac:dyDescent="0.25">
      <c r="A6570" t="str">
        <f>HYPERLINK("https://www.773grp.com/globalSearch/SN54LS47J/page-1", "SN54LS47J")</f>
        <v>SN54LS47J</v>
      </c>
      <c r="B6570" s="3" t="s">
        <v>90</v>
      </c>
      <c r="C6570" s="5">
        <v>1</v>
      </c>
      <c r="D6570" s="6">
        <v>15.48</v>
      </c>
      <c r="E6570" t="s">
        <v>32</v>
      </c>
    </row>
    <row r="6571" spans="1:5" x14ac:dyDescent="0.25">
      <c r="A6571" t="str">
        <f>HYPERLINK("https://www.773grp.com/globalSearch/JM38510-30702BFA/page-1", "JM38510-30702BFA")</f>
        <v>JM38510-30702BFA</v>
      </c>
      <c r="B6571" s="3" t="s">
        <v>90</v>
      </c>
      <c r="C6571" s="5">
        <v>6</v>
      </c>
      <c r="D6571" s="6">
        <v>16.11</v>
      </c>
      <c r="E6571" t="s">
        <v>32</v>
      </c>
    </row>
    <row r="6572" spans="1:5" x14ac:dyDescent="0.25">
      <c r="A6572" t="str">
        <f>HYPERLINK("https://www.773grp.com/globalSearch/SNJ54LS145J/page-1", "SNJ54LS145J")</f>
        <v>SNJ54LS145J</v>
      </c>
      <c r="B6572" s="3" t="s">
        <v>90</v>
      </c>
      <c r="C6572" s="5">
        <v>105</v>
      </c>
      <c r="D6572" s="6">
        <v>17.21</v>
      </c>
      <c r="E6572" t="s">
        <v>32</v>
      </c>
    </row>
    <row r="6573" spans="1:5" x14ac:dyDescent="0.25">
      <c r="A6573" t="str">
        <f>HYPERLINK("https://www.773grp.com/globalSearch/SNJ54LS42FK/page-1", "SNJ54LS42FK")</f>
        <v>SNJ54LS42FK</v>
      </c>
      <c r="B6573" s="3" t="s">
        <v>90</v>
      </c>
      <c r="C6573" s="5">
        <v>110</v>
      </c>
      <c r="D6573" s="6">
        <v>17.39</v>
      </c>
      <c r="E6573" t="s">
        <v>32</v>
      </c>
    </row>
    <row r="6574" spans="1:5" x14ac:dyDescent="0.25">
      <c r="A6574" t="str">
        <f>HYPERLINK("https://www.773grp.com/globalSearch/JM38510-30701BFA/page-1", "JM38510-30701BFA")</f>
        <v>JM38510-30701BFA</v>
      </c>
      <c r="B6574" s="3" t="s">
        <v>90</v>
      </c>
      <c r="C6574" s="5">
        <v>105</v>
      </c>
      <c r="D6574" s="6">
        <v>17.510000000000002</v>
      </c>
      <c r="E6574" t="s">
        <v>32</v>
      </c>
    </row>
    <row r="6575" spans="1:5" x14ac:dyDescent="0.25">
      <c r="A6575" t="str">
        <f>HYPERLINK("https://www.773grp.com/globalSearch/7604501EA/page-1", "7604501EA")</f>
        <v>7604501EA</v>
      </c>
      <c r="B6575" s="3" t="s">
        <v>90</v>
      </c>
      <c r="C6575" s="5">
        <v>608</v>
      </c>
      <c r="D6575" s="6">
        <v>17.64</v>
      </c>
      <c r="E6575" t="s">
        <v>32</v>
      </c>
    </row>
    <row r="6576" spans="1:5" x14ac:dyDescent="0.25">
      <c r="A6576" t="str">
        <f>HYPERLINK("https://www.773grp.com/globalSearch/CD4028BF/page-1", "CD4028BF")</f>
        <v>CD4028BF</v>
      </c>
      <c r="B6576" s="3" t="s">
        <v>90</v>
      </c>
      <c r="C6576" s="5">
        <v>272</v>
      </c>
      <c r="D6576" s="6">
        <v>19.28</v>
      </c>
      <c r="E6576" t="s">
        <v>32</v>
      </c>
    </row>
    <row r="6577" spans="1:5" x14ac:dyDescent="0.25">
      <c r="A6577" t="str">
        <f>HYPERLINK("https://www.773grp.com/globalSearch/5962-8974501EA/page-1", "5962-8974501EA")</f>
        <v>5962-8974501EA</v>
      </c>
      <c r="B6577" s="3" t="s">
        <v>90</v>
      </c>
      <c r="C6577" s="5">
        <v>3</v>
      </c>
      <c r="D6577" s="6">
        <v>19.88</v>
      </c>
      <c r="E6577" t="s">
        <v>32</v>
      </c>
    </row>
    <row r="6578" spans="1:5" x14ac:dyDescent="0.25">
      <c r="A6578" t="str">
        <f>HYPERLINK("https://www.773grp.com/globalSearch/SNJ54ALS138AJ/page-1", "SNJ54ALS138AJ")</f>
        <v>SNJ54ALS138AJ</v>
      </c>
      <c r="B6578" s="3" t="s">
        <v>90</v>
      </c>
      <c r="C6578" s="5">
        <v>55</v>
      </c>
      <c r="D6578" s="6">
        <v>20.09</v>
      </c>
      <c r="E6578" t="s">
        <v>32</v>
      </c>
    </row>
    <row r="6579" spans="1:5" x14ac:dyDescent="0.25">
      <c r="A6579" t="str">
        <f>HYPERLINK("https://www.773grp.com/globalSearch/CD4556BF/page-1", "CD4556BF")</f>
        <v>CD4556BF</v>
      </c>
      <c r="B6579" s="3" t="s">
        <v>90</v>
      </c>
      <c r="C6579" s="5">
        <v>55</v>
      </c>
      <c r="D6579" s="6">
        <v>20.7</v>
      </c>
      <c r="E6579" t="s">
        <v>32</v>
      </c>
    </row>
    <row r="6580" spans="1:5" x14ac:dyDescent="0.25">
      <c r="A6580" t="str">
        <f>HYPERLINK("https://www.773grp.com/globalSearch/SNJ5445J/page-1", "SNJ5445J")</f>
        <v>SNJ5445J</v>
      </c>
      <c r="B6580" s="3" t="s">
        <v>90</v>
      </c>
      <c r="C6580" s="5">
        <v>24</v>
      </c>
      <c r="D6580" s="6">
        <v>20.88</v>
      </c>
      <c r="E6580" t="s">
        <v>32</v>
      </c>
    </row>
    <row r="6581" spans="1:5" x14ac:dyDescent="0.25">
      <c r="A6581" t="str">
        <f>HYPERLINK("https://www.773grp.com/globalSearch/SNJ54LS49J/page-1", "SNJ54LS49J")</f>
        <v>SNJ54LS49J</v>
      </c>
      <c r="B6581" s="3" t="s">
        <v>90</v>
      </c>
      <c r="C6581" s="5">
        <v>30</v>
      </c>
      <c r="D6581" s="6">
        <v>20.88</v>
      </c>
      <c r="E6581" t="s">
        <v>32</v>
      </c>
    </row>
    <row r="6582" spans="1:5" x14ac:dyDescent="0.25">
      <c r="A6582" t="str">
        <f>HYPERLINK("https://www.773grp.com/globalSearch/SNJ54145J/page-1", "SNJ54145J")</f>
        <v>SNJ54145J</v>
      </c>
      <c r="B6582" s="3" t="s">
        <v>90</v>
      </c>
      <c r="C6582" s="5">
        <v>6</v>
      </c>
      <c r="D6582" s="6">
        <v>21.18</v>
      </c>
      <c r="E6582" t="s">
        <v>32</v>
      </c>
    </row>
    <row r="6583" spans="1:5" x14ac:dyDescent="0.25">
      <c r="A6583" t="str">
        <f>HYPERLINK("https://www.773grp.com/globalSearch/CD4511BF/page-1", "CD4511BF")</f>
        <v>CD4511BF</v>
      </c>
      <c r="B6583" s="3" t="s">
        <v>90</v>
      </c>
      <c r="C6583" s="5">
        <v>48</v>
      </c>
      <c r="D6583" s="6">
        <v>21.31</v>
      </c>
      <c r="E6583" t="s">
        <v>32</v>
      </c>
    </row>
    <row r="6584" spans="1:5" x14ac:dyDescent="0.25">
      <c r="A6584" t="str">
        <f>HYPERLINK("https://www.773grp.com/globalSearch/SNJ54159J/page-1", "SNJ54159J")</f>
        <v>SNJ54159J</v>
      </c>
      <c r="B6584" s="3" t="s">
        <v>90</v>
      </c>
      <c r="C6584" s="5">
        <v>287</v>
      </c>
      <c r="D6584" s="6">
        <v>22.36</v>
      </c>
      <c r="E6584" t="s">
        <v>32</v>
      </c>
    </row>
    <row r="6585" spans="1:5" x14ac:dyDescent="0.25">
      <c r="A6585" t="str">
        <f>HYPERLINK("https://www.773grp.com/globalSearch/CD4028BF3A/page-1", "CD4028BF3A")</f>
        <v>CD4028BF3A</v>
      </c>
      <c r="B6585" s="3" t="s">
        <v>90</v>
      </c>
      <c r="C6585" s="5">
        <v>90</v>
      </c>
      <c r="D6585" s="6">
        <v>22.5</v>
      </c>
      <c r="E6585" t="s">
        <v>32</v>
      </c>
    </row>
    <row r="6586" spans="1:5" x14ac:dyDescent="0.25">
      <c r="A6586" t="str">
        <f>HYPERLINK("https://www.773grp.com/globalSearch/SNJ54LS139AFK/page-1", "SNJ54LS139AFK")</f>
        <v>SNJ54LS139AFK</v>
      </c>
      <c r="B6586" s="3" t="s">
        <v>90</v>
      </c>
      <c r="C6586" s="5">
        <v>21</v>
      </c>
      <c r="D6586" s="6">
        <v>22.5</v>
      </c>
      <c r="E6586" t="s">
        <v>32</v>
      </c>
    </row>
    <row r="6587" spans="1:5" x14ac:dyDescent="0.25">
      <c r="A6587" t="str">
        <f>HYPERLINK("https://www.773grp.com/globalSearch/SNJ54156W/page-1", "SNJ54156W")</f>
        <v>SNJ54156W</v>
      </c>
      <c r="B6587" s="3" t="s">
        <v>90</v>
      </c>
      <c r="C6587" s="5">
        <v>50</v>
      </c>
      <c r="D6587" s="6">
        <v>22.75</v>
      </c>
      <c r="E6587" t="s">
        <v>32</v>
      </c>
    </row>
    <row r="6588" spans="1:5" x14ac:dyDescent="0.25">
      <c r="A6588" t="str">
        <f>HYPERLINK("https://www.773grp.com/globalSearch/SN54S138J/page-1", "SN54S138J")</f>
        <v>SN54S138J</v>
      </c>
      <c r="B6588" s="3" t="s">
        <v>90</v>
      </c>
      <c r="C6588" s="5">
        <v>150</v>
      </c>
      <c r="D6588" s="6">
        <v>23.63</v>
      </c>
      <c r="E6588" t="s">
        <v>32</v>
      </c>
    </row>
    <row r="6589" spans="1:5" x14ac:dyDescent="0.25">
      <c r="A6589" t="str">
        <f>HYPERLINK("https://www.773grp.com/globalSearch/SNJ54L42J/page-1", "SNJ54L42J")</f>
        <v>SNJ54L42J</v>
      </c>
      <c r="B6589" s="3" t="s">
        <v>90</v>
      </c>
      <c r="C6589" s="5">
        <v>284</v>
      </c>
      <c r="D6589" s="6">
        <v>23.91</v>
      </c>
      <c r="E6589" t="s">
        <v>32</v>
      </c>
    </row>
    <row r="6590" spans="1:5" x14ac:dyDescent="0.25">
      <c r="A6590" t="str">
        <f>HYPERLINK("https://www.773grp.com/globalSearch/7704801EA/page-1", "7704801EA")</f>
        <v>7704801EA</v>
      </c>
      <c r="B6590" s="3" t="s">
        <v>90</v>
      </c>
      <c r="C6590" s="5">
        <v>44</v>
      </c>
      <c r="D6590" s="6">
        <v>24.14</v>
      </c>
      <c r="E6590" t="s">
        <v>32</v>
      </c>
    </row>
    <row r="6591" spans="1:5" x14ac:dyDescent="0.25">
      <c r="A6591" t="str">
        <f>HYPERLINK("https://www.773grp.com/globalSearch/CD4556BF3A/page-1", "CD4556BF3A")</f>
        <v>CD4556BF3A</v>
      </c>
      <c r="B6591" s="3" t="s">
        <v>90</v>
      </c>
      <c r="C6591" s="5">
        <v>47</v>
      </c>
      <c r="D6591" s="6">
        <v>24.14</v>
      </c>
      <c r="E6591" t="s">
        <v>32</v>
      </c>
    </row>
    <row r="6592" spans="1:5" x14ac:dyDescent="0.25">
      <c r="A6592" t="str">
        <f>HYPERLINK("https://www.773grp.com/globalSearch/7704701EA/page-1", "7704701EA")</f>
        <v>7704701EA</v>
      </c>
      <c r="B6592" s="3" t="s">
        <v>90</v>
      </c>
      <c r="C6592" s="5">
        <v>43</v>
      </c>
      <c r="D6592" s="6">
        <v>24.16</v>
      </c>
      <c r="E6592" t="s">
        <v>32</v>
      </c>
    </row>
    <row r="6593" spans="1:5" x14ac:dyDescent="0.25">
      <c r="A6593" t="str">
        <f>HYPERLINK("https://www.773grp.com/globalSearch/CD4555BF3A/page-1", "CD4555BF3A")</f>
        <v>CD4555BF3A</v>
      </c>
      <c r="B6593" s="3" t="s">
        <v>90</v>
      </c>
      <c r="C6593" s="5">
        <v>73</v>
      </c>
      <c r="D6593" s="6">
        <v>24.16</v>
      </c>
      <c r="E6593" t="s">
        <v>32</v>
      </c>
    </row>
    <row r="6594" spans="1:5" x14ac:dyDescent="0.25">
      <c r="A6594" t="str">
        <f>HYPERLINK("https://www.773grp.com/globalSearch/CD4511BF3A/page-1", "CD4511BF3A")</f>
        <v>CD4511BF3A</v>
      </c>
      <c r="B6594" s="3" t="s">
        <v>90</v>
      </c>
      <c r="C6594" s="5">
        <v>61</v>
      </c>
      <c r="D6594" s="6">
        <v>24.84</v>
      </c>
      <c r="E6594" t="s">
        <v>32</v>
      </c>
    </row>
    <row r="6595" spans="1:5" x14ac:dyDescent="0.25">
      <c r="A6595" t="str">
        <f>HYPERLINK("https://www.773grp.com/globalSearch/5962-8860601EA/page-1", "5962-8860601EA")</f>
        <v>5962-8860601EA</v>
      </c>
      <c r="B6595" s="3" t="s">
        <v>90</v>
      </c>
      <c r="C6595" s="5">
        <v>139</v>
      </c>
      <c r="D6595" s="6">
        <v>25.11</v>
      </c>
      <c r="E6595" t="s">
        <v>32</v>
      </c>
    </row>
    <row r="6596" spans="1:5" x14ac:dyDescent="0.25">
      <c r="A6596" t="str">
        <f>HYPERLINK("https://www.773grp.com/globalSearch/CD54HCT139F3A/page-1", "CD54HCT139F3A")</f>
        <v>CD54HCT139F3A</v>
      </c>
      <c r="B6596" s="3" t="s">
        <v>90</v>
      </c>
      <c r="C6596" s="5">
        <v>6</v>
      </c>
      <c r="D6596" s="6">
        <v>26.53</v>
      </c>
      <c r="E6596" t="s">
        <v>32</v>
      </c>
    </row>
    <row r="6597" spans="1:5" x14ac:dyDescent="0.25">
      <c r="A6597" t="str">
        <f>HYPERLINK("https://www.773grp.com/globalSearch/7604101EA/page-1", "7604101EA")</f>
        <v>7604101EA</v>
      </c>
      <c r="B6597" s="3" t="s">
        <v>90</v>
      </c>
      <c r="C6597" s="5">
        <v>5</v>
      </c>
      <c r="D6597" s="6">
        <v>26.8</v>
      </c>
      <c r="E6597" t="s">
        <v>32</v>
      </c>
    </row>
    <row r="6598" spans="1:5" x14ac:dyDescent="0.25">
      <c r="A6598" t="str">
        <f>HYPERLINK("https://www.773grp.com/globalSearch/SNJ54S138J/page-1", "SNJ54S138J")</f>
        <v>SNJ54S138J</v>
      </c>
      <c r="B6598" s="3" t="s">
        <v>90</v>
      </c>
      <c r="C6598" s="5">
        <v>21</v>
      </c>
      <c r="D6598" s="6">
        <v>26.8</v>
      </c>
      <c r="E6598" t="s">
        <v>32</v>
      </c>
    </row>
    <row r="6599" spans="1:5" x14ac:dyDescent="0.25">
      <c r="A6599" t="str">
        <f>HYPERLINK("https://www.773grp.com/globalSearch/5962-9856401QEA/page-1", "5962-9856401QEA")</f>
        <v>5962-9856401QEA</v>
      </c>
      <c r="B6599" s="3" t="s">
        <v>90</v>
      </c>
      <c r="C6599" s="5">
        <v>1</v>
      </c>
      <c r="D6599" s="6">
        <v>26.86</v>
      </c>
      <c r="E6599" t="s">
        <v>32</v>
      </c>
    </row>
    <row r="6600" spans="1:5" x14ac:dyDescent="0.25">
      <c r="A6600" t="str">
        <f>HYPERLINK("https://www.773grp.com/globalSearch/SN5444AW/page-1", "SN5444AW")</f>
        <v>SN5444AW</v>
      </c>
      <c r="B6600" s="3" t="str">
        <f>HYPERLINK("https://www.773grp.com/manufacturer/texas-instruments?pageNo=12", "Texas Instruments")</f>
        <v>Texas Instruments</v>
      </c>
      <c r="C6600" s="5">
        <v>101</v>
      </c>
      <c r="D6600" s="6">
        <v>27.43</v>
      </c>
      <c r="E6600" t="s">
        <v>32</v>
      </c>
    </row>
    <row r="6601" spans="1:5" x14ac:dyDescent="0.25">
      <c r="A6601" t="str">
        <f>HYPERLINK("https://www.773grp.com/globalSearch/SN54S139J/page-1", "SN54S139J")</f>
        <v>SN54S139J</v>
      </c>
      <c r="B6601" s="3" t="str">
        <f>HYPERLINK("https://www.773grp.com/manufacturer/texas-instruments?pageNo=46", "Texas Instruments")</f>
        <v>Texas Instruments</v>
      </c>
      <c r="C6601" s="5">
        <v>61</v>
      </c>
      <c r="D6601" s="6">
        <v>27.68</v>
      </c>
      <c r="E6601" t="s">
        <v>32</v>
      </c>
    </row>
    <row r="6602" spans="1:5" x14ac:dyDescent="0.25">
      <c r="A6602" t="str">
        <f>HYPERLINK("https://www.773grp.com/globalSearch/7700401EA/page-1", "7700401EA")</f>
        <v>7700401EA</v>
      </c>
      <c r="B6602" s="3" t="str">
        <f>HYPERLINK("https://www.773grp.com/manufacturer/texas-instruments?pageNo=604", "Texas Instruments")</f>
        <v>Texas Instruments</v>
      </c>
      <c r="C6602" s="5">
        <v>12</v>
      </c>
      <c r="D6602" s="6">
        <v>30.83</v>
      </c>
      <c r="E6602" t="s">
        <v>32</v>
      </c>
    </row>
    <row r="6603" spans="1:5" x14ac:dyDescent="0.25">
      <c r="A6603" t="str">
        <f>HYPERLINK("https://www.773grp.com/globalSearch/8508401FA/page-1", "8508401FA")</f>
        <v>8508401FA</v>
      </c>
      <c r="B6603" s="3" t="str">
        <f>HYPERLINK("https://www.773grp.com/manufacturer/texas-instruments?pageNo=740", "Texas Instruments")</f>
        <v>Texas Instruments</v>
      </c>
      <c r="C6603" s="5">
        <v>90</v>
      </c>
      <c r="D6603" s="6">
        <v>31.81</v>
      </c>
      <c r="E6603" t="s">
        <v>32</v>
      </c>
    </row>
    <row r="6604" spans="1:5" x14ac:dyDescent="0.25">
      <c r="A6604" t="str">
        <f>HYPERLINK("https://www.773grp.com/globalSearch/SNJ54AHCT138FK/page-1", "SNJ54AHCT138FK")</f>
        <v>SNJ54AHCT138FK</v>
      </c>
      <c r="B6604" s="3" t="str">
        <f>HYPERLINK("https://www.773grp.com/manufacturer/texas-instruments?pageNo=799", "Texas Instruments")</f>
        <v>Texas Instruments</v>
      </c>
      <c r="C6604" s="5">
        <v>69</v>
      </c>
      <c r="D6604" s="6">
        <v>32.18</v>
      </c>
      <c r="E6604" t="s">
        <v>32</v>
      </c>
    </row>
    <row r="6605" spans="1:5" x14ac:dyDescent="0.25">
      <c r="A6605" t="str">
        <f>HYPERLINK("https://www.773grp.com/globalSearch/SNJ54AHC138FK/page-1", "SNJ54AHC138FK")</f>
        <v>SNJ54AHC138FK</v>
      </c>
      <c r="B6605" s="3" t="str">
        <f>HYPERLINK("https://www.773grp.com/manufacturer/texas-instruments?pageNo=822", "Texas Instruments")</f>
        <v>Texas Instruments</v>
      </c>
      <c r="C6605" s="5">
        <v>27</v>
      </c>
      <c r="D6605" s="6">
        <v>32.31</v>
      </c>
      <c r="E6605" t="s">
        <v>32</v>
      </c>
    </row>
    <row r="6606" spans="1:5" x14ac:dyDescent="0.25">
      <c r="A6606" t="str">
        <f>HYPERLINK("https://www.773grp.com/globalSearch/5962-9851701QFA/page-1", "5962-9851701QFA")</f>
        <v>5962-9851701QFA</v>
      </c>
      <c r="B6606" s="3" t="str">
        <f>HYPERLINK("https://www.773grp.com/manufacturer/texas-instruments?pageNo=934", "Texas Instruments")</f>
        <v>Texas Instruments</v>
      </c>
      <c r="C6606" s="5">
        <v>12</v>
      </c>
      <c r="D6606" s="6">
        <v>33.25</v>
      </c>
      <c r="E6606" t="s">
        <v>32</v>
      </c>
    </row>
    <row r="6607" spans="1:5" x14ac:dyDescent="0.25">
      <c r="A6607" t="str">
        <f>HYPERLINK("https://www.773grp.com/globalSearch/5962-9851601QFA/page-1", "5962-9851601QFA")</f>
        <v>5962-9851601QFA</v>
      </c>
      <c r="B6607" s="3" t="s">
        <v>90</v>
      </c>
      <c r="C6607" s="5">
        <v>38</v>
      </c>
      <c r="D6607" s="6">
        <v>33.75</v>
      </c>
      <c r="E6607" t="s">
        <v>32</v>
      </c>
    </row>
    <row r="6608" spans="1:5" x14ac:dyDescent="0.25">
      <c r="A6608" t="str">
        <f>HYPERLINK("https://www.773grp.com/globalSearch/SNJ54AHC138W/page-1", "SNJ54AHC138W")</f>
        <v>SNJ54AHC138W</v>
      </c>
      <c r="B6608" s="3" t="s">
        <v>90</v>
      </c>
      <c r="C6608" s="5">
        <v>200</v>
      </c>
      <c r="D6608" s="6">
        <v>33.75</v>
      </c>
      <c r="E6608" t="s">
        <v>32</v>
      </c>
    </row>
    <row r="6609" spans="1:5" x14ac:dyDescent="0.25">
      <c r="A6609" t="str">
        <f>HYPERLINK("https://www.773grp.com/globalSearch/SNJ54LS156W/page-1", "SNJ54LS156W")</f>
        <v>SNJ54LS156W</v>
      </c>
      <c r="B6609" s="3" t="s">
        <v>90</v>
      </c>
      <c r="C6609" s="5">
        <v>2</v>
      </c>
      <c r="D6609" s="6">
        <v>34.049999999999997</v>
      </c>
      <c r="E6609" t="s">
        <v>32</v>
      </c>
    </row>
    <row r="6610" spans="1:5" x14ac:dyDescent="0.25">
      <c r="A6610" t="str">
        <f>HYPERLINK("https://www.773grp.com/globalSearch/JM38510-65803BFA/page-1", "JM38510-65803BFA")</f>
        <v>JM38510-65803BFA</v>
      </c>
      <c r="B6610" s="3" t="s">
        <v>90</v>
      </c>
      <c r="C6610" s="5">
        <v>135</v>
      </c>
      <c r="D6610" s="6">
        <v>35.49</v>
      </c>
      <c r="E6610" t="s">
        <v>32</v>
      </c>
    </row>
    <row r="6611" spans="1:5" x14ac:dyDescent="0.25">
      <c r="A6611" t="str">
        <f>HYPERLINK("https://www.773grp.com/globalSearch/5962-9750801QFA/page-1", "5962-9750801QFA")</f>
        <v>5962-9750801QFA</v>
      </c>
      <c r="B6611" s="3" t="s">
        <v>90</v>
      </c>
      <c r="C6611" s="5">
        <v>45</v>
      </c>
      <c r="D6611" s="6">
        <v>36.03</v>
      </c>
      <c r="E6611" t="s">
        <v>32</v>
      </c>
    </row>
    <row r="6612" spans="1:5" x14ac:dyDescent="0.25">
      <c r="A6612" t="str">
        <f>HYPERLINK("https://www.773grp.com/globalSearch/SNJ54LS155AW/page-1", "SNJ54LS155AW")</f>
        <v>SNJ54LS155AW</v>
      </c>
      <c r="B6612" s="3" t="s">
        <v>90</v>
      </c>
      <c r="C6612" s="5">
        <v>4</v>
      </c>
      <c r="D6612" s="6">
        <v>36.03</v>
      </c>
      <c r="E6612" t="s">
        <v>32</v>
      </c>
    </row>
    <row r="6613" spans="1:5" x14ac:dyDescent="0.25">
      <c r="A6613" t="str">
        <f>HYPERLINK("https://www.773grp.com/globalSearch/5962-8682201JA/page-1", "5962-8682201JA")</f>
        <v>5962-8682201JA</v>
      </c>
      <c r="B6613" s="3" t="s">
        <v>90</v>
      </c>
      <c r="C6613" s="5">
        <v>6</v>
      </c>
      <c r="D6613" s="6">
        <v>37.909999999999997</v>
      </c>
      <c r="E6613" t="s">
        <v>32</v>
      </c>
    </row>
    <row r="6614" spans="1:5" x14ac:dyDescent="0.25">
      <c r="A6614" t="str">
        <f>HYPERLINK("https://www.773grp.com/globalSearch/CD54HC154F3A/page-1", "CD54HC154F3A")</f>
        <v>CD54HC154F3A</v>
      </c>
      <c r="B6614" s="3" t="s">
        <v>90</v>
      </c>
      <c r="C6614" s="5">
        <v>21</v>
      </c>
      <c r="D6614" s="6">
        <v>37.909999999999997</v>
      </c>
      <c r="E6614" t="s">
        <v>32</v>
      </c>
    </row>
    <row r="6615" spans="1:5" x14ac:dyDescent="0.25">
      <c r="A6615" t="str">
        <f>HYPERLINK("https://www.773grp.com/globalSearch/JM38510-30701B2A/page-1", "JM38510-30701B2A")</f>
        <v>JM38510-30701B2A</v>
      </c>
      <c r="B6615" s="3" t="s">
        <v>90</v>
      </c>
      <c r="C6615" s="5">
        <v>1</v>
      </c>
      <c r="D6615" s="6">
        <v>38.56</v>
      </c>
      <c r="E6615" t="s">
        <v>32</v>
      </c>
    </row>
    <row r="6616" spans="1:5" x14ac:dyDescent="0.25">
      <c r="A6616" t="str">
        <f>HYPERLINK("https://www.773grp.com/globalSearch/JM38510-30702B2A/page-1", "JM38510-30702B2A")</f>
        <v>JM38510-30702B2A</v>
      </c>
      <c r="B6616" s="3" t="s">
        <v>90</v>
      </c>
      <c r="C6616" s="5">
        <v>5</v>
      </c>
      <c r="D6616" s="6">
        <v>40.75</v>
      </c>
      <c r="E6616" t="s">
        <v>32</v>
      </c>
    </row>
    <row r="6617" spans="1:5" x14ac:dyDescent="0.25">
      <c r="A6617" t="str">
        <f>HYPERLINK("https://www.773grp.com/globalSearch/SN54L46J/page-1", "SN54L46J")</f>
        <v>SN54L46J</v>
      </c>
      <c r="B6617" s="3" t="s">
        <v>90</v>
      </c>
      <c r="C6617" s="5">
        <v>815</v>
      </c>
      <c r="D6617" s="6">
        <v>40.79</v>
      </c>
      <c r="E6617" t="s">
        <v>32</v>
      </c>
    </row>
    <row r="6618" spans="1:5" x14ac:dyDescent="0.25">
      <c r="A6618" t="str">
        <f>HYPERLINK("https://www.773grp.com/globalSearch/JM38510-37701BEA/page-1", "JM38510-37701BEA")</f>
        <v>JM38510-37701BEA</v>
      </c>
      <c r="B6618" s="3" t="s">
        <v>90</v>
      </c>
      <c r="C6618" s="5">
        <v>202</v>
      </c>
      <c r="D6618" s="6">
        <v>41.6</v>
      </c>
      <c r="E6618" t="s">
        <v>32</v>
      </c>
    </row>
    <row r="6619" spans="1:5" x14ac:dyDescent="0.25">
      <c r="A6619" t="str">
        <f>HYPERLINK("https://www.773grp.com/globalSearch/85504012A/page-1", "85504012A")</f>
        <v>85504012A</v>
      </c>
      <c r="B6619" s="3" t="s">
        <v>90</v>
      </c>
      <c r="C6619" s="5">
        <v>39</v>
      </c>
      <c r="D6619" s="6">
        <v>42.86</v>
      </c>
      <c r="E6619" t="s">
        <v>32</v>
      </c>
    </row>
    <row r="6620" spans="1:5" x14ac:dyDescent="0.25">
      <c r="A6620" t="str">
        <f>HYPERLINK("https://www.773grp.com/globalSearch/5962-8686601FA/page-1", "5962-8686601FA")</f>
        <v>5962-8686601FA</v>
      </c>
      <c r="B6620" s="3" t="s">
        <v>90</v>
      </c>
      <c r="C6620" s="5">
        <v>20</v>
      </c>
      <c r="D6620" s="6">
        <v>43.83</v>
      </c>
      <c r="E6620" t="s">
        <v>32</v>
      </c>
    </row>
    <row r="6621" spans="1:5" x14ac:dyDescent="0.25">
      <c r="A6621" t="str">
        <f>HYPERLINK("https://www.773grp.com/globalSearch/SNJ54S139W/page-1", "SNJ54S139W")</f>
        <v>SNJ54S139W</v>
      </c>
      <c r="B6621" s="3" t="s">
        <v>90</v>
      </c>
      <c r="C6621" s="5">
        <v>27</v>
      </c>
      <c r="D6621" s="6">
        <v>44.05</v>
      </c>
      <c r="E6621" t="s">
        <v>32</v>
      </c>
    </row>
    <row r="6622" spans="1:5" x14ac:dyDescent="0.25">
      <c r="A6622" t="str">
        <f>HYPERLINK("https://www.773grp.com/globalSearch/5962-8773301EA/page-1", "5962-8773301EA")</f>
        <v>5962-8773301EA</v>
      </c>
      <c r="B6622" s="3" t="s">
        <v>90</v>
      </c>
      <c r="C6622" s="5">
        <v>79</v>
      </c>
      <c r="D6622" s="6">
        <v>46.04</v>
      </c>
      <c r="E6622" t="s">
        <v>32</v>
      </c>
    </row>
    <row r="6623" spans="1:5" x14ac:dyDescent="0.25">
      <c r="A6623" t="str">
        <f>HYPERLINK("https://www.773grp.com/globalSearch/CD54HCT154F3A/page-1", "CD54HCT154F3A")</f>
        <v>CD54HCT154F3A</v>
      </c>
      <c r="B6623" s="3" t="s">
        <v>90</v>
      </c>
      <c r="C6623" s="5">
        <v>42</v>
      </c>
      <c r="D6623" s="6">
        <v>46.19</v>
      </c>
      <c r="E6623" t="s">
        <v>32</v>
      </c>
    </row>
    <row r="6624" spans="1:5" x14ac:dyDescent="0.25">
      <c r="A6624" t="str">
        <f>HYPERLINK("https://www.773grp.com/globalSearch/5962-86866012A/page-1", "5962-86866012A")</f>
        <v>5962-86866012A</v>
      </c>
      <c r="B6624" s="3" t="s">
        <v>90</v>
      </c>
      <c r="C6624" s="5">
        <v>320</v>
      </c>
      <c r="D6624" s="6">
        <v>47.34</v>
      </c>
      <c r="E6624" t="s">
        <v>32</v>
      </c>
    </row>
    <row r="6625" spans="1:5" x14ac:dyDescent="0.25">
      <c r="A6625" t="str">
        <f>HYPERLINK("https://www.773grp.com/globalSearch/5962-87683012A/page-1", "5962-87683012A")</f>
        <v>5962-87683012A</v>
      </c>
      <c r="B6625" s="3" t="s">
        <v>90</v>
      </c>
      <c r="C6625" s="5">
        <v>71</v>
      </c>
      <c r="D6625" s="6">
        <v>47.68</v>
      </c>
      <c r="E6625" t="s">
        <v>32</v>
      </c>
    </row>
    <row r="6626" spans="1:5" x14ac:dyDescent="0.25">
      <c r="A6626" t="str">
        <f>HYPERLINK("https://www.773grp.com/globalSearch/5962-8768301FA/page-1", "5962-8768301FA")</f>
        <v>5962-8768301FA</v>
      </c>
      <c r="B6626" s="3" t="s">
        <v>90</v>
      </c>
      <c r="C6626" s="5">
        <v>36</v>
      </c>
      <c r="D6626" s="6">
        <v>48.21</v>
      </c>
      <c r="E6626" t="s">
        <v>32</v>
      </c>
    </row>
    <row r="6627" spans="1:5" x14ac:dyDescent="0.25">
      <c r="A6627" t="str">
        <f>HYPERLINK("https://www.773grp.com/globalSearch/JM38510-07701BFA/page-1", "JM38510-07701BFA")</f>
        <v>JM38510-07701BFA</v>
      </c>
      <c r="B6627" s="3" t="s">
        <v>90</v>
      </c>
      <c r="C6627" s="5">
        <v>2059</v>
      </c>
      <c r="D6627" s="6">
        <v>51</v>
      </c>
      <c r="E6627" t="s">
        <v>32</v>
      </c>
    </row>
    <row r="6628" spans="1:5" x14ac:dyDescent="0.25">
      <c r="A6628" t="str">
        <f>HYPERLINK("https://www.773grp.com/globalSearch/JM38510-65802BEA/page-1", "JM38510-65802BEA")</f>
        <v>JM38510-65802BEA</v>
      </c>
      <c r="B6628" s="3" t="s">
        <v>90</v>
      </c>
      <c r="C6628" s="5">
        <v>1</v>
      </c>
      <c r="D6628" s="6">
        <v>51.5</v>
      </c>
      <c r="E6628" t="s">
        <v>32</v>
      </c>
    </row>
    <row r="6629" spans="1:5" x14ac:dyDescent="0.25">
      <c r="A6629" t="str">
        <f>HYPERLINK("https://www.773grp.com/globalSearch/5962-9223306M2A/page-1", "5962-9223306M2A")</f>
        <v>5962-9223306M2A</v>
      </c>
      <c r="B6629" s="3" t="s">
        <v>90</v>
      </c>
      <c r="C6629" s="5">
        <v>11</v>
      </c>
      <c r="D6629" s="6">
        <v>52.01</v>
      </c>
      <c r="E6629" t="s">
        <v>32</v>
      </c>
    </row>
    <row r="6630" spans="1:5" x14ac:dyDescent="0.25">
      <c r="A6630" t="str">
        <f>HYPERLINK("https://www.773grp.com/globalSearch/JM38510-07701BEA/page-1", "JM38510-07701BEA")</f>
        <v>JM38510-07701BEA</v>
      </c>
      <c r="B6630" s="3" t="s">
        <v>90</v>
      </c>
      <c r="C6630" s="5">
        <v>172</v>
      </c>
      <c r="D6630" s="6">
        <v>52.23</v>
      </c>
      <c r="E6630" t="s">
        <v>32</v>
      </c>
    </row>
    <row r="6631" spans="1:5" x14ac:dyDescent="0.25">
      <c r="A6631" t="str">
        <f>HYPERLINK("https://www.773grp.com/globalSearch/84092012A/page-1", "84092012A")</f>
        <v>84092012A</v>
      </c>
      <c r="B6631" s="3" t="s">
        <v>90</v>
      </c>
      <c r="C6631" s="5">
        <v>48</v>
      </c>
      <c r="D6631" s="6">
        <v>52.54</v>
      </c>
      <c r="E6631" t="s">
        <v>32</v>
      </c>
    </row>
    <row r="6632" spans="1:5" x14ac:dyDescent="0.25">
      <c r="A6632" t="str">
        <f>HYPERLINK("https://www.773grp.com/globalSearch/SNJ54HC139FK/page-1", "SNJ54HC139FK")</f>
        <v>SNJ54HC139FK</v>
      </c>
      <c r="B6632" s="3" t="s">
        <v>90</v>
      </c>
      <c r="C6632" s="5">
        <v>12</v>
      </c>
      <c r="D6632" s="6">
        <v>52.54</v>
      </c>
      <c r="E6632" t="s">
        <v>32</v>
      </c>
    </row>
    <row r="6633" spans="1:5" x14ac:dyDescent="0.25">
      <c r="A6633" t="str">
        <f>HYPERLINK("https://www.773grp.com/globalSearch/SNJ54HC138FK/page-1", "SNJ54HC138FK")</f>
        <v>SNJ54HC138FK</v>
      </c>
      <c r="B6633" s="3" t="s">
        <v>90</v>
      </c>
      <c r="C6633" s="5">
        <v>19</v>
      </c>
      <c r="D6633" s="6">
        <v>52.65</v>
      </c>
      <c r="E6633" t="s">
        <v>32</v>
      </c>
    </row>
    <row r="6634" spans="1:5" x14ac:dyDescent="0.25">
      <c r="A6634" t="str">
        <f>HYPERLINK("https://www.773grp.com/globalSearch/JM38510-65852BEA/page-1", "JM38510-65852BEA")</f>
        <v>JM38510-65852BEA</v>
      </c>
      <c r="B6634" s="3" t="s">
        <v>90</v>
      </c>
      <c r="C6634" s="5">
        <v>42</v>
      </c>
      <c r="D6634" s="6">
        <v>65.650000000000006</v>
      </c>
      <c r="E6634" t="s">
        <v>32</v>
      </c>
    </row>
    <row r="6635" spans="1:5" x14ac:dyDescent="0.25">
      <c r="A6635" t="str">
        <f>HYPERLINK("https://www.773grp.com/globalSearch/JM38510-65803BEA/page-1", "JM38510-65803BEA")</f>
        <v>JM38510-65803BEA</v>
      </c>
      <c r="B6635" s="3" t="s">
        <v>90</v>
      </c>
      <c r="C6635" s="5">
        <v>1</v>
      </c>
      <c r="D6635" s="6">
        <v>75.78</v>
      </c>
      <c r="E6635" t="s">
        <v>32</v>
      </c>
    </row>
    <row r="6636" spans="1:5" x14ac:dyDescent="0.25">
      <c r="A6636" t="str">
        <f>HYPERLINK("https://www.773grp.com/globalSearch/JM38510-30701SFA/page-1", "JM38510-30701SFA")</f>
        <v>JM38510-30701SFA</v>
      </c>
      <c r="B6636" s="3" t="str">
        <f>HYPERLINK("https://www.773grp.com/manufacturer/texas-instruments?pageNo=686", "Texas Instruments")</f>
        <v>Texas Instruments</v>
      </c>
      <c r="C6636" s="5">
        <v>86</v>
      </c>
      <c r="D6636" s="6">
        <v>222.26</v>
      </c>
      <c r="E6636" t="s">
        <v>32</v>
      </c>
    </row>
    <row r="6637" spans="1:5" x14ac:dyDescent="0.25">
      <c r="A6637" t="str">
        <f>HYPERLINK("https://www.773grp.com/globalSearch/TPL0202-10MRTER/page-1", "TPL0202-10MRTER")</f>
        <v>TPL0202-10MRTER</v>
      </c>
      <c r="B6637" s="3" t="s">
        <v>90</v>
      </c>
      <c r="C6637" s="5">
        <v>5720</v>
      </c>
      <c r="D6637" s="6">
        <v>4.49</v>
      </c>
      <c r="E6637" t="s">
        <v>79</v>
      </c>
    </row>
    <row r="6638" spans="1:5" x14ac:dyDescent="0.25">
      <c r="A6638" t="str">
        <f>HYPERLINK("https://www.773grp.com/globalSearch/X93154UM8I-3/page-1", "X93154UM8I-3")</f>
        <v>X93154UM8I-3</v>
      </c>
      <c r="B6638" s="3" t="s">
        <v>114</v>
      </c>
      <c r="C6638" s="5">
        <v>240</v>
      </c>
      <c r="D6638" s="6">
        <v>2.4300000000000002</v>
      </c>
      <c r="E6638" t="s">
        <v>79</v>
      </c>
    </row>
    <row r="6639" spans="1:5" x14ac:dyDescent="0.25">
      <c r="A6639" t="str">
        <f>HYPERLINK("https://www.773grp.com/globalSearch/X9015UM8-2.7/page-1", "X9015UM8-2.7")</f>
        <v>X9015UM8-2.7</v>
      </c>
      <c r="B6639" s="3" t="s">
        <v>114</v>
      </c>
      <c r="C6639" s="5">
        <v>766</v>
      </c>
      <c r="D6639" s="6">
        <v>2.48</v>
      </c>
      <c r="E6639" t="s">
        <v>79</v>
      </c>
    </row>
    <row r="6640" spans="1:5" x14ac:dyDescent="0.25">
      <c r="A6640" t="str">
        <f>HYPERLINK("https://www.773grp.com/globalSearch/X9015UM8-2.7T1/page-1", "X9015UM8-2.7T1")</f>
        <v>X9015UM8-2.7T1</v>
      </c>
      <c r="B6640" s="3" t="s">
        <v>114</v>
      </c>
      <c r="C6640" s="5">
        <v>5000</v>
      </c>
      <c r="D6640" s="6">
        <v>2.48</v>
      </c>
      <c r="E6640" t="s">
        <v>79</v>
      </c>
    </row>
    <row r="6641" spans="1:5" x14ac:dyDescent="0.25">
      <c r="A6641" t="str">
        <f>HYPERLINK("https://www.773grp.com/globalSearch/X93155UM8I/page-1", "X93155UM8I")</f>
        <v>X93155UM8I</v>
      </c>
      <c r="B6641" s="3" t="s">
        <v>114</v>
      </c>
      <c r="C6641" s="5">
        <v>80</v>
      </c>
      <c r="D6641" s="6">
        <v>2.59</v>
      </c>
      <c r="E6641" t="s">
        <v>79</v>
      </c>
    </row>
    <row r="6642" spans="1:5" x14ac:dyDescent="0.25">
      <c r="A6642" t="str">
        <f>HYPERLINK("https://www.773grp.com/globalSearch/X9015UM8I-2.7/page-1", "X9015UM8I-2.7")</f>
        <v>X9015UM8I-2.7</v>
      </c>
      <c r="B6642" s="3" t="s">
        <v>114</v>
      </c>
      <c r="C6642" s="5">
        <v>515</v>
      </c>
      <c r="D6642" s="6">
        <v>3.1</v>
      </c>
      <c r="E6642" t="s">
        <v>79</v>
      </c>
    </row>
    <row r="6643" spans="1:5" x14ac:dyDescent="0.25">
      <c r="A6643" t="str">
        <f>HYPERLINK("https://www.773grp.com/globalSearch/X9015UM8I-2.7T2/page-1", "X9015UM8I-2.7T2")</f>
        <v>X9015UM8I-2.7T2</v>
      </c>
      <c r="B6643" s="3" t="s">
        <v>114</v>
      </c>
      <c r="C6643" s="5">
        <v>2500</v>
      </c>
      <c r="D6643" s="6">
        <v>3.1</v>
      </c>
      <c r="E6643" t="s">
        <v>79</v>
      </c>
    </row>
    <row r="6644" spans="1:5" x14ac:dyDescent="0.25">
      <c r="A6644" t="str">
        <f>HYPERLINK("https://www.773grp.com/globalSearch/X9315US/page-1", "X9315US")</f>
        <v>X9315US</v>
      </c>
      <c r="B6644" s="3" t="s">
        <v>114</v>
      </c>
      <c r="C6644" s="5">
        <v>89</v>
      </c>
      <c r="D6644" s="6">
        <v>3.08</v>
      </c>
      <c r="E6644" t="s">
        <v>79</v>
      </c>
    </row>
    <row r="6645" spans="1:5" x14ac:dyDescent="0.25">
      <c r="A6645" t="str">
        <f>HYPERLINK("https://www.773grp.com/globalSearch/X9015US8/page-1", "X9015US8")</f>
        <v>X9015US8</v>
      </c>
      <c r="B6645" s="3" t="s">
        <v>114</v>
      </c>
      <c r="C6645" s="5">
        <v>100</v>
      </c>
      <c r="D6645" s="6">
        <v>3.15</v>
      </c>
      <c r="E6645" t="s">
        <v>79</v>
      </c>
    </row>
    <row r="6646" spans="1:5" x14ac:dyDescent="0.25">
      <c r="A6646" t="str">
        <f>HYPERLINK("https://www.773grp.com/globalSearch/X9015US8I/page-1", "X9015US8I")</f>
        <v>X9015US8I</v>
      </c>
      <c r="B6646" s="3" t="s">
        <v>114</v>
      </c>
      <c r="C6646" s="5">
        <v>16032</v>
      </c>
      <c r="D6646" s="6">
        <v>3.15</v>
      </c>
      <c r="E6646" t="s">
        <v>79</v>
      </c>
    </row>
    <row r="6647" spans="1:5" x14ac:dyDescent="0.25">
      <c r="A6647" t="str">
        <f>HYPERLINK("https://www.773grp.com/globalSearch/X9116WM8I-2.7/page-1", "X9116WM8I-2.7")</f>
        <v>X9116WM8I-2.7</v>
      </c>
      <c r="B6647" s="3" t="s">
        <v>114</v>
      </c>
      <c r="C6647" s="5">
        <v>377</v>
      </c>
      <c r="D6647" s="6">
        <v>3.33</v>
      </c>
      <c r="E6647" t="s">
        <v>79</v>
      </c>
    </row>
    <row r="6648" spans="1:5" x14ac:dyDescent="0.25">
      <c r="A6648" t="str">
        <f>HYPERLINK("https://www.773grp.com/globalSearch/X9116WS8/page-1", "X9116WS8")</f>
        <v>X9116WS8</v>
      </c>
      <c r="B6648" s="3" t="s">
        <v>114</v>
      </c>
      <c r="C6648" s="5">
        <v>180</v>
      </c>
      <c r="D6648" s="6">
        <v>3.85</v>
      </c>
      <c r="E6648" t="s">
        <v>79</v>
      </c>
    </row>
    <row r="6649" spans="1:5" x14ac:dyDescent="0.25">
      <c r="A6649" t="str">
        <f>HYPERLINK("https://www.773grp.com/globalSearch/X9313ZM/page-1", "X9313ZM")</f>
        <v>X9313ZM</v>
      </c>
      <c r="B6649" s="3" t="s">
        <v>114</v>
      </c>
      <c r="C6649" s="5">
        <v>480</v>
      </c>
      <c r="D6649" s="6">
        <v>3.6</v>
      </c>
      <c r="E6649" t="s">
        <v>79</v>
      </c>
    </row>
    <row r="6650" spans="1:5" x14ac:dyDescent="0.25">
      <c r="A6650" t="str">
        <f>HYPERLINK("https://www.773grp.com/globalSearch/X9319US8/page-1", "X9319US8")</f>
        <v>X9319US8</v>
      </c>
      <c r="B6650" s="3" t="s">
        <v>114</v>
      </c>
      <c r="C6650" s="5">
        <v>100</v>
      </c>
      <c r="D6650" s="6">
        <v>3.68</v>
      </c>
      <c r="E6650" t="s">
        <v>79</v>
      </c>
    </row>
    <row r="6651" spans="1:5" x14ac:dyDescent="0.25">
      <c r="A6651" t="str">
        <f>HYPERLINK("https://www.773grp.com/globalSearch/X9313USI/page-1", "X9313USI")</f>
        <v>X9313USI</v>
      </c>
      <c r="B6651" s="3" t="s">
        <v>114</v>
      </c>
      <c r="C6651" s="5">
        <v>800</v>
      </c>
      <c r="D6651" s="6">
        <v>3.83</v>
      </c>
      <c r="E6651" t="s">
        <v>79</v>
      </c>
    </row>
    <row r="6652" spans="1:5" x14ac:dyDescent="0.25">
      <c r="A6652" t="str">
        <f>HYPERLINK("https://www.773grp.com/globalSearch/X93254UV14I-3/page-1", "X93254UV14I-3")</f>
        <v>X93254UV14I-3</v>
      </c>
      <c r="B6652" s="3" t="s">
        <v>114</v>
      </c>
      <c r="C6652" s="5">
        <v>89</v>
      </c>
      <c r="D6652" s="6">
        <v>4.33</v>
      </c>
      <c r="E6652" t="s">
        <v>79</v>
      </c>
    </row>
    <row r="6653" spans="1:5" x14ac:dyDescent="0.25">
      <c r="A6653" t="str">
        <f>HYPERLINK("https://www.773grp.com/globalSearch/X9313ZM-3/page-1", "X9313ZM-3")</f>
        <v>X9313ZM-3</v>
      </c>
      <c r="B6653" s="3" t="s">
        <v>114</v>
      </c>
      <c r="C6653" s="5">
        <v>154</v>
      </c>
      <c r="D6653" s="6">
        <v>3.94</v>
      </c>
      <c r="E6653" t="s">
        <v>79</v>
      </c>
    </row>
    <row r="6654" spans="1:5" x14ac:dyDescent="0.25">
      <c r="A6654" t="str">
        <f>HYPERLINK("https://www.773grp.com/globalSearch/X9314WM-3T1/page-1", "X9314WM-3T1")</f>
        <v>X9314WM-3T1</v>
      </c>
      <c r="B6654" s="3" t="s">
        <v>114</v>
      </c>
      <c r="C6654" s="5">
        <v>5000</v>
      </c>
      <c r="D6654" s="6">
        <v>3.94</v>
      </c>
      <c r="E6654" t="s">
        <v>79</v>
      </c>
    </row>
    <row r="6655" spans="1:5" x14ac:dyDescent="0.25">
      <c r="A6655" t="str">
        <f>HYPERLINK("https://www.773grp.com/globalSearch/X9116WS8-2.7/page-1", "X9116WS8-2.7")</f>
        <v>X9116WS8-2.7</v>
      </c>
      <c r="B6655" s="3" t="s">
        <v>114</v>
      </c>
      <c r="C6655" s="5">
        <v>6175</v>
      </c>
      <c r="D6655" s="6">
        <v>4.01</v>
      </c>
      <c r="E6655" t="s">
        <v>79</v>
      </c>
    </row>
    <row r="6656" spans="1:5" x14ac:dyDescent="0.25">
      <c r="A6656" t="str">
        <f>HYPERLINK("https://www.773grp.com/globalSearch/X9315TSI-2.7/page-1", "X9315TSI-2.7")</f>
        <v>X9315TSI-2.7</v>
      </c>
      <c r="B6656" s="3" t="s">
        <v>114</v>
      </c>
      <c r="C6656" s="5">
        <v>11509</v>
      </c>
      <c r="D6656" s="6">
        <v>4.28</v>
      </c>
      <c r="E6656" t="s">
        <v>79</v>
      </c>
    </row>
    <row r="6657" spans="1:5" x14ac:dyDescent="0.25">
      <c r="A6657" t="str">
        <f>HYPERLINK("https://www.773grp.com/globalSearch/X9315WM/page-1", "X9315WM")</f>
        <v>X9315WM</v>
      </c>
      <c r="B6657" s="3" t="s">
        <v>114</v>
      </c>
      <c r="C6657" s="5">
        <v>400</v>
      </c>
      <c r="D6657" s="6">
        <v>4.5</v>
      </c>
      <c r="E6657" t="s">
        <v>79</v>
      </c>
    </row>
    <row r="6658" spans="1:5" x14ac:dyDescent="0.25">
      <c r="A6658" t="str">
        <f>HYPERLINK("https://www.773grp.com/globalSearch/X93256UV14IZ-2.7/page-1", "X93256UV14IZ-2.7")</f>
        <v>X93256UV14IZ-2.7</v>
      </c>
      <c r="B6658" s="3" t="s">
        <v>114</v>
      </c>
      <c r="C6658" s="5">
        <v>2539</v>
      </c>
      <c r="D6658" s="6">
        <v>5.1100000000000003</v>
      </c>
      <c r="E6658" t="s">
        <v>79</v>
      </c>
    </row>
    <row r="6659" spans="1:5" x14ac:dyDescent="0.25">
      <c r="A6659" t="str">
        <f>HYPERLINK("https://www.773grp.com/globalSearch/X9317US8-2.7/page-1", "X9317US8-2.7")</f>
        <v>X9317US8-2.7</v>
      </c>
      <c r="B6659" s="3" t="s">
        <v>114</v>
      </c>
      <c r="C6659" s="5">
        <v>4650</v>
      </c>
      <c r="D6659" s="6">
        <v>5.03</v>
      </c>
      <c r="E6659" t="s">
        <v>79</v>
      </c>
    </row>
    <row r="6660" spans="1:5" x14ac:dyDescent="0.25">
      <c r="A6660" t="str">
        <f>HYPERLINK("https://www.773grp.com/globalSearch/X9460KV14I/page-1", "X9460KV14I")</f>
        <v>X9460KV14I</v>
      </c>
      <c r="B6660" s="3" t="s">
        <v>114</v>
      </c>
      <c r="C6660" s="5">
        <v>84</v>
      </c>
      <c r="D6660" s="6">
        <v>5.51</v>
      </c>
      <c r="E6660" t="s">
        <v>79</v>
      </c>
    </row>
    <row r="6661" spans="1:5" x14ac:dyDescent="0.25">
      <c r="A6661" t="str">
        <f>HYPERLINK("https://www.773grp.com/globalSearch/X9313USZ/page-1", "X9313USZ")</f>
        <v>X9313USZ</v>
      </c>
      <c r="B6661" s="3" t="s">
        <v>114</v>
      </c>
      <c r="C6661" s="5">
        <v>3844</v>
      </c>
      <c r="D6661" s="6">
        <v>5.54</v>
      </c>
      <c r="E6661" t="s">
        <v>79</v>
      </c>
    </row>
    <row r="6662" spans="1:5" x14ac:dyDescent="0.25">
      <c r="A6662" t="str">
        <f>HYPERLINK("https://www.773grp.com/globalSearch/X9314WSZT1/page-1", "X9314WSZT1")</f>
        <v>X9314WSZT1</v>
      </c>
      <c r="B6662" s="3" t="s">
        <v>114</v>
      </c>
      <c r="C6662" s="5">
        <v>4585</v>
      </c>
      <c r="D6662" s="6">
        <v>5.54</v>
      </c>
      <c r="E6662" t="s">
        <v>79</v>
      </c>
    </row>
    <row r="6663" spans="1:5" x14ac:dyDescent="0.25">
      <c r="A6663" t="str">
        <f>HYPERLINK("https://www.773grp.com/globalSearch/X9315WS/page-1", "X9315WS")</f>
        <v>X9315WS</v>
      </c>
      <c r="B6663" s="3" t="s">
        <v>114</v>
      </c>
      <c r="C6663" s="5">
        <v>3563</v>
      </c>
      <c r="D6663" s="6">
        <v>5.54</v>
      </c>
      <c r="E6663" t="s">
        <v>79</v>
      </c>
    </row>
    <row r="6664" spans="1:5" x14ac:dyDescent="0.25">
      <c r="A6664" t="str">
        <f>HYPERLINK("https://www.773grp.com/globalSearch/X9420YS16-2.7/page-1", "X9420YS16-2.7")</f>
        <v>X9420YS16-2.7</v>
      </c>
      <c r="B6664" s="3" t="s">
        <v>114</v>
      </c>
      <c r="C6664" s="5">
        <v>45</v>
      </c>
      <c r="D6664" s="6">
        <v>5.54</v>
      </c>
      <c r="E6664" t="s">
        <v>79</v>
      </c>
    </row>
    <row r="6665" spans="1:5" x14ac:dyDescent="0.25">
      <c r="A6665" t="str">
        <f>HYPERLINK("https://www.773grp.com/globalSearch/X9511WSZ/page-1", "X9511WSZ")</f>
        <v>X9511WSZ</v>
      </c>
      <c r="B6665" s="3" t="s">
        <v>114</v>
      </c>
      <c r="C6665" s="5">
        <v>200</v>
      </c>
      <c r="D6665" s="6">
        <v>5.54</v>
      </c>
      <c r="E6665" t="s">
        <v>79</v>
      </c>
    </row>
    <row r="6666" spans="1:5" x14ac:dyDescent="0.25">
      <c r="A6666" t="str">
        <f>HYPERLINK("https://www.773grp.com/globalSearch/X9317TM8-2.7/page-1", "X9317TM8-2.7")</f>
        <v>X9317TM8-2.7</v>
      </c>
      <c r="B6666" s="3" t="s">
        <v>114</v>
      </c>
      <c r="C6666" s="5">
        <v>15</v>
      </c>
      <c r="D6666" s="6">
        <v>5.94</v>
      </c>
      <c r="E6666" t="s">
        <v>79</v>
      </c>
    </row>
    <row r="6667" spans="1:5" x14ac:dyDescent="0.25">
      <c r="A6667" t="str">
        <f>HYPERLINK("https://www.773grp.com/globalSearch/X9317WM8-2.7/page-1", "X9317WM8-2.7")</f>
        <v>X9317WM8-2.7</v>
      </c>
      <c r="B6667" s="3" t="s">
        <v>114</v>
      </c>
      <c r="C6667" s="5">
        <v>63</v>
      </c>
      <c r="D6667" s="6">
        <v>5.94</v>
      </c>
      <c r="E6667" t="s">
        <v>79</v>
      </c>
    </row>
    <row r="6668" spans="1:5" x14ac:dyDescent="0.25">
      <c r="A6668" t="str">
        <f>HYPERLINK("https://www.773grp.com/globalSearch/X9116WM8IZ-2.7/page-1", "X9116WM8IZ-2.7")</f>
        <v>X9116WM8IZ-2.7</v>
      </c>
      <c r="B6668" s="3" t="s">
        <v>114</v>
      </c>
      <c r="C6668" s="5">
        <v>495</v>
      </c>
      <c r="D6668" s="6">
        <v>5.96</v>
      </c>
      <c r="E6668" t="s">
        <v>79</v>
      </c>
    </row>
    <row r="6669" spans="1:5" x14ac:dyDescent="0.25">
      <c r="A6669" t="str">
        <f>HYPERLINK("https://www.773grp.com/globalSearch/X9116WS8I-2.7/page-1", "X9116WS8I-2.7")</f>
        <v>X9116WS8I-2.7</v>
      </c>
      <c r="B6669" s="3" t="s">
        <v>114</v>
      </c>
      <c r="C6669" s="5">
        <v>1752</v>
      </c>
      <c r="D6669" s="6">
        <v>6.11</v>
      </c>
      <c r="E6669" t="s">
        <v>79</v>
      </c>
    </row>
    <row r="6670" spans="1:5" x14ac:dyDescent="0.25">
      <c r="A6670" t="str">
        <f>HYPERLINK("https://www.773grp.com/globalSearch/X9317TS8I-2.7/page-1", "X9317TS8I-2.7")</f>
        <v>X9317TS8I-2.7</v>
      </c>
      <c r="B6670" s="3" t="s">
        <v>114</v>
      </c>
      <c r="C6670" s="5">
        <v>90</v>
      </c>
      <c r="D6670" s="6">
        <v>6.28</v>
      </c>
      <c r="E6670" t="s">
        <v>79</v>
      </c>
    </row>
    <row r="6671" spans="1:5" x14ac:dyDescent="0.25">
      <c r="A6671" t="str">
        <f>HYPERLINK("https://www.773grp.com/globalSearch/X9429WV14-2.7/page-1", "X9429WV14-2.7")</f>
        <v>X9429WV14-2.7</v>
      </c>
      <c r="B6671" s="3" t="s">
        <v>114</v>
      </c>
      <c r="C6671" s="5">
        <v>1457</v>
      </c>
      <c r="D6671" s="6">
        <v>6.53</v>
      </c>
      <c r="E6671" t="s">
        <v>79</v>
      </c>
    </row>
    <row r="6672" spans="1:5" x14ac:dyDescent="0.25">
      <c r="A6672" t="str">
        <f>HYPERLINK("https://www.773grp.com/globalSearch/X9313WP/page-1", "X9313WP")</f>
        <v>X9313WP</v>
      </c>
      <c r="B6672" s="3" t="s">
        <v>114</v>
      </c>
      <c r="C6672" s="5">
        <v>1085</v>
      </c>
      <c r="D6672" s="6">
        <v>6.66</v>
      </c>
      <c r="E6672" t="s">
        <v>79</v>
      </c>
    </row>
    <row r="6673" spans="1:5" x14ac:dyDescent="0.25">
      <c r="A6673" t="str">
        <f>HYPERLINK("https://www.773grp.com/globalSearch/X9313WS/page-1", "X9313WS")</f>
        <v>X9313WS</v>
      </c>
      <c r="B6673" s="3" t="s">
        <v>114</v>
      </c>
      <c r="C6673" s="5">
        <v>3502</v>
      </c>
      <c r="D6673" s="6">
        <v>6.66</v>
      </c>
      <c r="E6673" t="s">
        <v>79</v>
      </c>
    </row>
    <row r="6674" spans="1:5" x14ac:dyDescent="0.25">
      <c r="A6674" t="str">
        <f>HYPERLINK("https://www.773grp.com/globalSearch/X9313ZS/page-1", "X9313ZS")</f>
        <v>X9313ZS</v>
      </c>
      <c r="B6674" s="3" t="s">
        <v>114</v>
      </c>
      <c r="C6674" s="5">
        <v>14</v>
      </c>
      <c r="D6674" s="6">
        <v>6.66</v>
      </c>
      <c r="E6674" t="s">
        <v>79</v>
      </c>
    </row>
    <row r="6675" spans="1:5" x14ac:dyDescent="0.25">
      <c r="A6675" t="str">
        <f>HYPERLINK("https://www.773grp.com/globalSearch/X9314WS/page-1", "X9314WS")</f>
        <v>X9314WS</v>
      </c>
      <c r="B6675" s="3" t="s">
        <v>114</v>
      </c>
      <c r="C6675" s="5">
        <v>348</v>
      </c>
      <c r="D6675" s="6">
        <v>6.66</v>
      </c>
      <c r="E6675" t="s">
        <v>79</v>
      </c>
    </row>
    <row r="6676" spans="1:5" x14ac:dyDescent="0.25">
      <c r="A6676" t="str">
        <f>HYPERLINK("https://www.773grp.com/globalSearch/X9315WP/page-1", "X9315WP")</f>
        <v>X9315WP</v>
      </c>
      <c r="B6676" s="3" t="s">
        <v>114</v>
      </c>
      <c r="C6676" s="5">
        <v>100</v>
      </c>
      <c r="D6676" s="6">
        <v>6.66</v>
      </c>
      <c r="E6676" t="s">
        <v>79</v>
      </c>
    </row>
    <row r="6677" spans="1:5" x14ac:dyDescent="0.25">
      <c r="A6677" t="str">
        <f>HYPERLINK("https://www.773grp.com/globalSearch/X9511WP/page-1", "X9511WP")</f>
        <v>X9511WP</v>
      </c>
      <c r="B6677" s="3" t="s">
        <v>114</v>
      </c>
      <c r="C6677" s="5">
        <v>3790</v>
      </c>
      <c r="D6677" s="6">
        <v>6.66</v>
      </c>
      <c r="E6677" t="s">
        <v>79</v>
      </c>
    </row>
    <row r="6678" spans="1:5" x14ac:dyDescent="0.25">
      <c r="A6678" t="str">
        <f>HYPERLINK("https://www.773grp.com/globalSearch/X9511WS/page-1", "X9511WS")</f>
        <v>X9511WS</v>
      </c>
      <c r="B6678" s="3" t="s">
        <v>114</v>
      </c>
      <c r="C6678" s="5">
        <v>660</v>
      </c>
      <c r="D6678" s="6">
        <v>6.66</v>
      </c>
      <c r="E6678" t="s">
        <v>79</v>
      </c>
    </row>
    <row r="6679" spans="1:5" x14ac:dyDescent="0.25">
      <c r="A6679" t="str">
        <f>HYPERLINK("https://www.773grp.com/globalSearch/X95840UV20I-2.7/page-1", "X95840UV20I-2.7")</f>
        <v>X95840UV20I-2.7</v>
      </c>
      <c r="B6679" s="3" t="s">
        <v>114</v>
      </c>
      <c r="C6679" s="5">
        <v>3764</v>
      </c>
      <c r="D6679" s="6">
        <v>6.71</v>
      </c>
      <c r="E6679" t="s">
        <v>79</v>
      </c>
    </row>
    <row r="6680" spans="1:5" x14ac:dyDescent="0.25">
      <c r="A6680" t="str">
        <f>HYPERLINK("https://www.773grp.com/globalSearch/X9511WPIZ/page-1", "X9511WPIZ")</f>
        <v>X9511WPIZ</v>
      </c>
      <c r="B6680" s="3" t="s">
        <v>114</v>
      </c>
      <c r="C6680" s="5">
        <v>50</v>
      </c>
      <c r="D6680" s="6">
        <v>6.84</v>
      </c>
      <c r="E6680" t="s">
        <v>79</v>
      </c>
    </row>
    <row r="6681" spans="1:5" x14ac:dyDescent="0.25">
      <c r="A6681" t="str">
        <f>HYPERLINK("https://www.773grp.com/globalSearch/X9460KV14IZ/page-1", "X9460KV14IZ")</f>
        <v>X9460KV14IZ</v>
      </c>
      <c r="B6681" s="3" t="s">
        <v>114</v>
      </c>
      <c r="C6681" s="5">
        <v>129</v>
      </c>
      <c r="D6681" s="6">
        <v>6.98</v>
      </c>
      <c r="E6681" t="s">
        <v>79</v>
      </c>
    </row>
    <row r="6682" spans="1:5" x14ac:dyDescent="0.25">
      <c r="A6682" t="str">
        <f>HYPERLINK("https://www.773grp.com/globalSearch/X9460KV14IZ-2.7T1/page-1", "X9460KV14IZ-2.7T1")</f>
        <v>X9460KV14IZ-2.7T1</v>
      </c>
      <c r="B6682" s="3" t="s">
        <v>114</v>
      </c>
      <c r="C6682" s="5">
        <v>5000</v>
      </c>
      <c r="D6682" s="6">
        <v>6.98</v>
      </c>
      <c r="E6682" t="s">
        <v>79</v>
      </c>
    </row>
    <row r="6683" spans="1:5" x14ac:dyDescent="0.25">
      <c r="A6683" t="str">
        <f>HYPERLINK("https://www.773grp.com/globalSearch/X9313ZMZ-3/page-1", "X9313ZMZ-3")</f>
        <v>X9313ZMZ-3</v>
      </c>
      <c r="B6683" s="3" t="s">
        <v>114</v>
      </c>
      <c r="C6683" s="5">
        <v>889</v>
      </c>
      <c r="D6683" s="6">
        <v>7.09</v>
      </c>
      <c r="E6683" t="s">
        <v>79</v>
      </c>
    </row>
    <row r="6684" spans="1:5" x14ac:dyDescent="0.25">
      <c r="A6684" t="str">
        <f>HYPERLINK("https://www.773grp.com/globalSearch/X9313ZMZ-3/page-1", "X9313ZMZ-3")</f>
        <v>X9313ZMZ-3</v>
      </c>
      <c r="B6684" s="3" t="s">
        <v>114</v>
      </c>
      <c r="C6684" s="5">
        <v>150</v>
      </c>
      <c r="D6684" s="6">
        <v>7.09</v>
      </c>
      <c r="E6684" t="s">
        <v>79</v>
      </c>
    </row>
    <row r="6685" spans="1:5" x14ac:dyDescent="0.25">
      <c r="A6685" t="str">
        <f>HYPERLINK("https://www.773grp.com/globalSearch/X9313WS-3/page-1", "X9313WS-3")</f>
        <v>X9313WS-3</v>
      </c>
      <c r="B6685" s="3" t="s">
        <v>114</v>
      </c>
      <c r="C6685" s="5">
        <v>173</v>
      </c>
      <c r="D6685" s="6">
        <v>7.31</v>
      </c>
      <c r="E6685" t="s">
        <v>79</v>
      </c>
    </row>
    <row r="6686" spans="1:5" x14ac:dyDescent="0.25">
      <c r="A6686" t="str">
        <f>HYPERLINK("https://www.773grp.com/globalSearch/X9315WS-2.7/page-1", "X9315WS-2.7")</f>
        <v>X9315WS-2.7</v>
      </c>
      <c r="B6686" s="3" t="s">
        <v>114</v>
      </c>
      <c r="C6686" s="5">
        <v>1026</v>
      </c>
      <c r="D6686" s="6">
        <v>7.31</v>
      </c>
      <c r="E6686" t="s">
        <v>79</v>
      </c>
    </row>
    <row r="6687" spans="1:5" x14ac:dyDescent="0.25">
      <c r="A6687" t="str">
        <f>HYPERLINK("https://www.773grp.com/globalSearch/X9315WS-2.7T1/page-1", "X9315WS-2.7T1")</f>
        <v>X9315WS-2.7T1</v>
      </c>
      <c r="B6687" s="3" t="s">
        <v>114</v>
      </c>
      <c r="C6687" s="5">
        <v>2500</v>
      </c>
      <c r="D6687" s="6">
        <v>7.31</v>
      </c>
      <c r="E6687" t="s">
        <v>79</v>
      </c>
    </row>
    <row r="6688" spans="1:5" x14ac:dyDescent="0.25">
      <c r="A6688" t="str">
        <f>HYPERLINK("https://www.773grp.com/globalSearch/X9317UV8I-2.7/page-1", "X9317UV8I-2.7")</f>
        <v>X9317UV8I-2.7</v>
      </c>
      <c r="B6688" s="3" t="s">
        <v>114</v>
      </c>
      <c r="C6688" s="5">
        <v>100</v>
      </c>
      <c r="D6688" s="6">
        <v>7.43</v>
      </c>
      <c r="E6688" t="s">
        <v>79</v>
      </c>
    </row>
    <row r="6689" spans="1:5" x14ac:dyDescent="0.25">
      <c r="A6689" t="str">
        <f>HYPERLINK("https://www.773grp.com/globalSearch/X9429YV14I/page-1", "X9429YV14I")</f>
        <v>X9429YV14I</v>
      </c>
      <c r="B6689" s="3" t="s">
        <v>114</v>
      </c>
      <c r="C6689" s="5">
        <v>57</v>
      </c>
      <c r="D6689" s="6">
        <v>7.43</v>
      </c>
      <c r="E6689" t="s">
        <v>79</v>
      </c>
    </row>
    <row r="6690" spans="1:5" x14ac:dyDescent="0.25">
      <c r="A6690" t="str">
        <f>HYPERLINK("https://www.773grp.com/globalSearch/X9315WSIZ-2.7/page-1", "X9315WSIZ-2.7")</f>
        <v>X9315WSIZ-2.7</v>
      </c>
      <c r="B6690" s="3" t="s">
        <v>114</v>
      </c>
      <c r="C6690" s="5">
        <v>90</v>
      </c>
      <c r="D6690" s="6">
        <v>7.54</v>
      </c>
      <c r="E6690" t="s">
        <v>79</v>
      </c>
    </row>
    <row r="6691" spans="1:5" x14ac:dyDescent="0.25">
      <c r="A6691" t="str">
        <f>HYPERLINK("https://www.773grp.com/globalSearch/X9319WS8I/page-1", "X9319WS8I")</f>
        <v>X9319WS8I</v>
      </c>
      <c r="B6691" s="3" t="s">
        <v>114</v>
      </c>
      <c r="C6691" s="5">
        <v>367</v>
      </c>
      <c r="D6691" s="6">
        <v>8.15</v>
      </c>
      <c r="E6691" t="s">
        <v>79</v>
      </c>
    </row>
    <row r="6692" spans="1:5" x14ac:dyDescent="0.25">
      <c r="A6692" t="str">
        <f>HYPERLINK("https://www.773grp.com/globalSearch/X9421WV14I-2.7/page-1", "X9421WV14I-2.7")</f>
        <v>X9421WV14I-2.7</v>
      </c>
      <c r="B6692" s="3" t="s">
        <v>114</v>
      </c>
      <c r="C6692" s="5">
        <v>260</v>
      </c>
      <c r="D6692" s="6">
        <v>8.15</v>
      </c>
      <c r="E6692" t="s">
        <v>79</v>
      </c>
    </row>
    <row r="6693" spans="1:5" x14ac:dyDescent="0.25">
      <c r="A6693" t="str">
        <f>HYPERLINK("https://www.773grp.com/globalSearch/X9421YV14I-2.7/page-1", "X9421YV14I-2.7")</f>
        <v>X9421YV14I-2.7</v>
      </c>
      <c r="B6693" s="3" t="s">
        <v>114</v>
      </c>
      <c r="C6693" s="5">
        <v>93</v>
      </c>
      <c r="D6693" s="6">
        <v>8.15</v>
      </c>
      <c r="E6693" t="s">
        <v>79</v>
      </c>
    </row>
    <row r="6694" spans="1:5" x14ac:dyDescent="0.25">
      <c r="A6694" t="str">
        <f>HYPERLINK("https://www.773grp.com/globalSearch/X9313WSI/page-1", "X9313WSI")</f>
        <v>X9313WSI</v>
      </c>
      <c r="B6694" s="3" t="s">
        <v>114</v>
      </c>
      <c r="C6694" s="5">
        <v>930</v>
      </c>
      <c r="D6694" s="6">
        <v>8.2100000000000009</v>
      </c>
      <c r="E6694" t="s">
        <v>79</v>
      </c>
    </row>
    <row r="6695" spans="1:5" x14ac:dyDescent="0.25">
      <c r="A6695" t="str">
        <f>HYPERLINK("https://www.773grp.com/globalSearch/X9313ZSI/page-1", "X9313ZSI")</f>
        <v>X9313ZSI</v>
      </c>
      <c r="B6695" s="3" t="s">
        <v>114</v>
      </c>
      <c r="C6695" s="5">
        <v>428</v>
      </c>
      <c r="D6695" s="6">
        <v>8.2100000000000009</v>
      </c>
      <c r="E6695" t="s">
        <v>79</v>
      </c>
    </row>
    <row r="6696" spans="1:5" x14ac:dyDescent="0.25">
      <c r="A6696" t="str">
        <f>HYPERLINK("https://www.773grp.com/globalSearch/X9314WSI/page-1", "X9314WSI")</f>
        <v>X9314WSI</v>
      </c>
      <c r="B6696" s="3" t="s">
        <v>114</v>
      </c>
      <c r="C6696" s="5">
        <v>900</v>
      </c>
      <c r="D6696" s="6">
        <v>8.2100000000000009</v>
      </c>
      <c r="E6696" t="s">
        <v>79</v>
      </c>
    </row>
    <row r="6697" spans="1:5" x14ac:dyDescent="0.25">
      <c r="A6697" t="str">
        <f>HYPERLINK("https://www.773grp.com/globalSearch/X9511WPI/page-1", "X9511WPI")</f>
        <v>X9511WPI</v>
      </c>
      <c r="B6697" s="3" t="s">
        <v>114</v>
      </c>
      <c r="C6697" s="5">
        <v>727</v>
      </c>
      <c r="D6697" s="6">
        <v>8.2100000000000009</v>
      </c>
      <c r="E6697" t="s">
        <v>79</v>
      </c>
    </row>
    <row r="6698" spans="1:5" x14ac:dyDescent="0.25">
      <c r="A6698" t="str">
        <f>HYPERLINK("https://www.773grp.com/globalSearch/X9511WSI/page-1", "X9511WSI")</f>
        <v>X9511WSI</v>
      </c>
      <c r="B6698" s="3" t="s">
        <v>114</v>
      </c>
      <c r="C6698" s="5">
        <v>85</v>
      </c>
      <c r="D6698" s="6">
        <v>8.2100000000000009</v>
      </c>
      <c r="E6698" t="s">
        <v>79</v>
      </c>
    </row>
    <row r="6699" spans="1:5" x14ac:dyDescent="0.25">
      <c r="A6699" t="str">
        <f>HYPERLINK("https://www.773grp.com/globalSearch/X9C503PZ/page-1", "X9C503PZ")</f>
        <v>X9C503PZ</v>
      </c>
      <c r="B6699" s="3" t="s">
        <v>114</v>
      </c>
      <c r="C6699" s="5">
        <v>118</v>
      </c>
      <c r="D6699" s="6">
        <v>8.24</v>
      </c>
      <c r="E6699" t="s">
        <v>79</v>
      </c>
    </row>
    <row r="6700" spans="1:5" x14ac:dyDescent="0.25">
      <c r="A6700" t="str">
        <f>HYPERLINK("https://www.773grp.com/globalSearch/X9271UV14/page-1", "X9271UV14")</f>
        <v>X9271UV14</v>
      </c>
      <c r="B6700" s="3" t="s">
        <v>114</v>
      </c>
      <c r="C6700" s="5">
        <v>95</v>
      </c>
      <c r="D6700" s="6">
        <v>8.49</v>
      </c>
      <c r="E6700" t="s">
        <v>79</v>
      </c>
    </row>
    <row r="6701" spans="1:5" x14ac:dyDescent="0.25">
      <c r="A6701" t="str">
        <f>HYPERLINK("https://www.773grp.com/globalSearch/X9279TV14/page-1", "X9279TV14")</f>
        <v>X9279TV14</v>
      </c>
      <c r="B6701" s="3" t="s">
        <v>114</v>
      </c>
      <c r="C6701" s="5">
        <v>190</v>
      </c>
      <c r="D6701" s="6">
        <v>8.49</v>
      </c>
      <c r="E6701" t="s">
        <v>79</v>
      </c>
    </row>
    <row r="6702" spans="1:5" x14ac:dyDescent="0.25">
      <c r="A6702" t="str">
        <f>HYPERLINK("https://www.773grp.com/globalSearch/X9271TV14-2.7/page-1", "X9271TV14-2.7")</f>
        <v>X9271TV14-2.7</v>
      </c>
      <c r="B6702" s="3" t="s">
        <v>114</v>
      </c>
      <c r="C6702" s="5">
        <v>190</v>
      </c>
      <c r="D6702" s="6">
        <v>9.36</v>
      </c>
      <c r="E6702" t="s">
        <v>79</v>
      </c>
    </row>
    <row r="6703" spans="1:5" x14ac:dyDescent="0.25">
      <c r="A6703" t="str">
        <f>HYPERLINK("https://www.773grp.com/globalSearch/X9221AUSI/page-1", "X9221AUSI")</f>
        <v>X9221AUSI</v>
      </c>
      <c r="B6703" s="3" t="s">
        <v>114</v>
      </c>
      <c r="C6703" s="5">
        <v>946</v>
      </c>
      <c r="D6703" s="6">
        <v>9.49</v>
      </c>
      <c r="E6703" t="s">
        <v>79</v>
      </c>
    </row>
    <row r="6704" spans="1:5" x14ac:dyDescent="0.25">
      <c r="A6704" t="str">
        <f>HYPERLINK("https://www.773grp.com/globalSearch/X9221AYSI/page-1", "X9221AYSI")</f>
        <v>X9221AYSI</v>
      </c>
      <c r="B6704" s="3" t="s">
        <v>114</v>
      </c>
      <c r="C6704" s="5">
        <v>35</v>
      </c>
      <c r="D6704" s="6">
        <v>9.49</v>
      </c>
      <c r="E6704" t="s">
        <v>79</v>
      </c>
    </row>
    <row r="6705" spans="1:5" x14ac:dyDescent="0.25">
      <c r="A6705" t="str">
        <f>HYPERLINK("https://www.773grp.com/globalSearch/X9C103P/page-1", "X9C103P")</f>
        <v>X9C103P</v>
      </c>
      <c r="B6705" s="3" t="s">
        <v>114</v>
      </c>
      <c r="C6705" s="5">
        <v>1548</v>
      </c>
      <c r="D6705" s="6">
        <v>9.83</v>
      </c>
      <c r="E6705" t="s">
        <v>79</v>
      </c>
    </row>
    <row r="6706" spans="1:5" x14ac:dyDescent="0.25">
      <c r="A6706" t="str">
        <f>HYPERLINK("https://www.773grp.com/globalSearch/X9C103S/page-1", "X9C103S")</f>
        <v>X9C103S</v>
      </c>
      <c r="B6706" s="3" t="s">
        <v>114</v>
      </c>
      <c r="C6706" s="5">
        <v>10149</v>
      </c>
      <c r="D6706" s="6">
        <v>9.83</v>
      </c>
      <c r="E6706" t="s">
        <v>79</v>
      </c>
    </row>
    <row r="6707" spans="1:5" x14ac:dyDescent="0.25">
      <c r="A6707" t="str">
        <f>HYPERLINK("https://www.773grp.com/globalSearch/X9C104P/page-1", "X9C104P")</f>
        <v>X9C104P</v>
      </c>
      <c r="B6707" s="3" t="s">
        <v>114</v>
      </c>
      <c r="C6707" s="5">
        <v>471</v>
      </c>
      <c r="D6707" s="6">
        <v>9.83</v>
      </c>
      <c r="E6707" t="s">
        <v>79</v>
      </c>
    </row>
    <row r="6708" spans="1:5" x14ac:dyDescent="0.25">
      <c r="A6708" t="str">
        <f>HYPERLINK("https://www.773grp.com/globalSearch/X9C104S/page-1", "X9C104S")</f>
        <v>X9C104S</v>
      </c>
      <c r="B6708" s="3" t="s">
        <v>114</v>
      </c>
      <c r="C6708" s="5">
        <v>1312</v>
      </c>
      <c r="D6708" s="6">
        <v>9.83</v>
      </c>
      <c r="E6708" t="s">
        <v>79</v>
      </c>
    </row>
    <row r="6709" spans="1:5" x14ac:dyDescent="0.25">
      <c r="A6709" t="str">
        <f>HYPERLINK("https://www.773grp.com/globalSearch/X9317WP/page-1", "X9317WP")</f>
        <v>X9317WP</v>
      </c>
      <c r="B6709" s="3" t="s">
        <v>114</v>
      </c>
      <c r="C6709" s="5">
        <v>344</v>
      </c>
      <c r="D6709" s="6">
        <v>9.9</v>
      </c>
      <c r="E6709" t="s">
        <v>79</v>
      </c>
    </row>
    <row r="6710" spans="1:5" x14ac:dyDescent="0.25">
      <c r="A6710" t="str">
        <f>HYPERLINK("https://www.773grp.com/globalSearch/X9317WS8/page-1", "X9317WS8")</f>
        <v>X9317WS8</v>
      </c>
      <c r="B6710" s="3" t="s">
        <v>114</v>
      </c>
      <c r="C6710" s="5">
        <v>8365</v>
      </c>
      <c r="D6710" s="6">
        <v>9.9</v>
      </c>
      <c r="E6710" t="s">
        <v>79</v>
      </c>
    </row>
    <row r="6711" spans="1:5" x14ac:dyDescent="0.25">
      <c r="A6711" t="str">
        <f>HYPERLINK("https://www.773grp.com/globalSearch/X9317WS8T1/page-1", "X9317WS8T1")</f>
        <v>X9317WS8T1</v>
      </c>
      <c r="B6711" s="3" t="s">
        <v>114</v>
      </c>
      <c r="C6711" s="5">
        <v>5000</v>
      </c>
      <c r="D6711" s="6">
        <v>9.9</v>
      </c>
      <c r="E6711" t="s">
        <v>79</v>
      </c>
    </row>
    <row r="6712" spans="1:5" x14ac:dyDescent="0.25">
      <c r="A6712" t="str">
        <f>HYPERLINK("https://www.773grp.com/globalSearch/X95840UV20IZ-2.7T1/page-1", "X95840UV20IZ-2.7T1")</f>
        <v>X95840UV20IZ-2.7T1</v>
      </c>
      <c r="B6712" s="3" t="s">
        <v>114</v>
      </c>
      <c r="C6712" s="5">
        <v>2500</v>
      </c>
      <c r="D6712" s="6">
        <v>9.9</v>
      </c>
      <c r="E6712" t="s">
        <v>79</v>
      </c>
    </row>
    <row r="6713" spans="1:5" x14ac:dyDescent="0.25">
      <c r="A6713" t="str">
        <f>HYPERLINK("https://www.773grp.com/globalSearch/X9C102P/page-1", "X9C102P")</f>
        <v>X9C102P</v>
      </c>
      <c r="B6713" s="3" t="s">
        <v>114</v>
      </c>
      <c r="C6713" s="5">
        <v>650</v>
      </c>
      <c r="D6713" s="6">
        <v>9.9</v>
      </c>
      <c r="E6713" t="s">
        <v>79</v>
      </c>
    </row>
    <row r="6714" spans="1:5" x14ac:dyDescent="0.25">
      <c r="A6714" t="str">
        <f>HYPERLINK("https://www.773grp.com/globalSearch/X9C102ST1/page-1", "X9C102ST1")</f>
        <v>X9C102ST1</v>
      </c>
      <c r="B6714" s="3" t="s">
        <v>114</v>
      </c>
      <c r="C6714" s="5">
        <v>2500</v>
      </c>
      <c r="D6714" s="6">
        <v>9.9</v>
      </c>
      <c r="E6714" t="s">
        <v>79</v>
      </c>
    </row>
    <row r="6715" spans="1:5" x14ac:dyDescent="0.25">
      <c r="A6715" t="str">
        <f>HYPERLINK("https://www.773grp.com/globalSearch/X9C503P/page-1", "X9C503P")</f>
        <v>X9C503P</v>
      </c>
      <c r="B6715" s="3" t="s">
        <v>114</v>
      </c>
      <c r="C6715" s="5">
        <v>1124</v>
      </c>
      <c r="D6715" s="6">
        <v>9.9</v>
      </c>
      <c r="E6715" t="s">
        <v>79</v>
      </c>
    </row>
    <row r="6716" spans="1:5" x14ac:dyDescent="0.25">
      <c r="A6716" t="str">
        <f>HYPERLINK("https://www.773grp.com/globalSearch/X9C303PIZ/page-1", "X9C303PIZ")</f>
        <v>X9C303PIZ</v>
      </c>
      <c r="B6716" s="3" t="s">
        <v>114</v>
      </c>
      <c r="C6716" s="5">
        <v>146</v>
      </c>
      <c r="D6716" s="6">
        <v>10.33</v>
      </c>
      <c r="E6716" t="s">
        <v>79</v>
      </c>
    </row>
    <row r="6717" spans="1:5" x14ac:dyDescent="0.25">
      <c r="A6717" t="str">
        <f>HYPERLINK("https://www.773grp.com/globalSearch/X9401WS24/page-1", "X9401WS24")</f>
        <v>X9401WS24</v>
      </c>
      <c r="B6717" s="3" t="s">
        <v>114</v>
      </c>
      <c r="C6717" s="5">
        <v>78</v>
      </c>
      <c r="D6717" s="6">
        <v>10.43</v>
      </c>
      <c r="E6717" t="s">
        <v>79</v>
      </c>
    </row>
    <row r="6718" spans="1:5" x14ac:dyDescent="0.25">
      <c r="A6718" t="str">
        <f>HYPERLINK("https://www.773grp.com/globalSearch/X9408WS24/page-1", "X9408WS24")</f>
        <v>X9408WS24</v>
      </c>
      <c r="B6718" s="3" t="s">
        <v>114</v>
      </c>
      <c r="C6718" s="5">
        <v>90</v>
      </c>
      <c r="D6718" s="6">
        <v>10.43</v>
      </c>
      <c r="E6718" t="s">
        <v>79</v>
      </c>
    </row>
    <row r="6719" spans="1:5" x14ac:dyDescent="0.25">
      <c r="A6719" t="str">
        <f>HYPERLINK("https://www.773grp.com/globalSearch/X9111TV14I/page-1", "X9111TV14I")</f>
        <v>X9111TV14I</v>
      </c>
      <c r="B6719" s="3" t="s">
        <v>114</v>
      </c>
      <c r="C6719" s="5">
        <v>75</v>
      </c>
      <c r="D6719" s="6">
        <v>10.6</v>
      </c>
      <c r="E6719" t="s">
        <v>79</v>
      </c>
    </row>
    <row r="6720" spans="1:5" x14ac:dyDescent="0.25">
      <c r="A6720" t="str">
        <f>HYPERLINK("https://www.773grp.com/globalSearch/X9420YV14Z/page-1", "X9420YV14Z")</f>
        <v>X9420YV14Z</v>
      </c>
      <c r="B6720" s="3" t="s">
        <v>114</v>
      </c>
      <c r="C6720" s="5">
        <v>53</v>
      </c>
      <c r="D6720" s="6">
        <v>10.69</v>
      </c>
      <c r="E6720" t="s">
        <v>79</v>
      </c>
    </row>
    <row r="6721" spans="1:5" x14ac:dyDescent="0.25">
      <c r="A6721" t="str">
        <f>HYPERLINK("https://www.773grp.com/globalSearch/X9315WMI-2.7/page-1", "X9315WMI-2.7")</f>
        <v>X9315WMI-2.7</v>
      </c>
      <c r="B6721" s="3" t="s">
        <v>114</v>
      </c>
      <c r="C6721" s="5">
        <v>4</v>
      </c>
      <c r="D6721" s="6">
        <v>10.75</v>
      </c>
      <c r="E6721" t="s">
        <v>79</v>
      </c>
    </row>
    <row r="6722" spans="1:5" x14ac:dyDescent="0.25">
      <c r="A6722" t="str">
        <f>HYPERLINK("https://www.773grp.com/globalSearch/X9317WS8-2.7/page-1", "X9317WS8-2.7")</f>
        <v>X9317WS8-2.7</v>
      </c>
      <c r="B6722" s="3" t="s">
        <v>114</v>
      </c>
      <c r="C6722" s="5">
        <v>945</v>
      </c>
      <c r="D6722" s="6">
        <v>10.89</v>
      </c>
      <c r="E6722" t="s">
        <v>79</v>
      </c>
    </row>
    <row r="6723" spans="1:5" x14ac:dyDescent="0.25">
      <c r="A6723" t="str">
        <f>HYPERLINK("https://www.773grp.com/globalSearch/X9400YS24-2.7/page-1", "X9400YS24-2.7")</f>
        <v>X9400YS24-2.7</v>
      </c>
      <c r="B6723" s="3" t="s">
        <v>114</v>
      </c>
      <c r="C6723" s="5">
        <v>26</v>
      </c>
      <c r="D6723" s="6">
        <v>11.44</v>
      </c>
      <c r="E6723" t="s">
        <v>79</v>
      </c>
    </row>
    <row r="6724" spans="1:5" x14ac:dyDescent="0.25">
      <c r="A6724" t="str">
        <f>HYPERLINK("https://www.773grp.com/globalSearch/X9401WS24-2.7/page-1", "X9401WS24-2.7")</f>
        <v>X9401WS24-2.7</v>
      </c>
      <c r="B6724" s="3" t="s">
        <v>114</v>
      </c>
      <c r="C6724" s="5">
        <v>30</v>
      </c>
      <c r="D6724" s="6">
        <v>11.44</v>
      </c>
      <c r="E6724" t="s">
        <v>79</v>
      </c>
    </row>
    <row r="6725" spans="1:5" x14ac:dyDescent="0.25">
      <c r="A6725" t="str">
        <f>HYPERLINK("https://www.773grp.com/globalSearch/X9408WS24-2.7/page-1", "X9408WS24-2.7")</f>
        <v>X9408WS24-2.7</v>
      </c>
      <c r="B6725" s="3" t="s">
        <v>114</v>
      </c>
      <c r="C6725" s="5">
        <v>30</v>
      </c>
      <c r="D6725" s="6">
        <v>11.44</v>
      </c>
      <c r="E6725" t="s">
        <v>79</v>
      </c>
    </row>
    <row r="6726" spans="1:5" x14ac:dyDescent="0.25">
      <c r="A6726" t="str">
        <f>HYPERLINK("https://www.773grp.com/globalSearch/X9317WM8/page-1", "X9317WM8")</f>
        <v>X9317WM8</v>
      </c>
      <c r="B6726" s="3" t="s">
        <v>114</v>
      </c>
      <c r="C6726" s="5">
        <v>270</v>
      </c>
      <c r="D6726" s="6">
        <v>11.59</v>
      </c>
      <c r="E6726" t="s">
        <v>79</v>
      </c>
    </row>
    <row r="6727" spans="1:5" x14ac:dyDescent="0.25">
      <c r="A6727" t="str">
        <f>HYPERLINK("https://www.773grp.com/globalSearch/X9317WV8/page-1", "X9317WV8")</f>
        <v>X9317WV8</v>
      </c>
      <c r="B6727" s="3" t="s">
        <v>114</v>
      </c>
      <c r="C6727" s="5">
        <v>300</v>
      </c>
      <c r="D6727" s="6">
        <v>11.59</v>
      </c>
      <c r="E6727" t="s">
        <v>79</v>
      </c>
    </row>
    <row r="6728" spans="1:5" x14ac:dyDescent="0.25">
      <c r="A6728" t="str">
        <f>HYPERLINK("https://www.773grp.com/globalSearch/X9317WV8/page-1", "X9317WV8")</f>
        <v>X9317WV8</v>
      </c>
      <c r="B6728" s="3" t="s">
        <v>114</v>
      </c>
      <c r="C6728" s="5">
        <v>247</v>
      </c>
      <c r="D6728" s="6">
        <v>11.59</v>
      </c>
      <c r="E6728" t="s">
        <v>79</v>
      </c>
    </row>
    <row r="6729" spans="1:5" x14ac:dyDescent="0.25">
      <c r="A6729" t="str">
        <f>HYPERLINK("https://www.773grp.com/globalSearch/X9111TV14I-2.7/page-1", "X9111TV14I-2.7")</f>
        <v>X9111TV14I-2.7</v>
      </c>
      <c r="B6729" s="3" t="s">
        <v>114</v>
      </c>
      <c r="C6729" s="5">
        <v>213</v>
      </c>
      <c r="D6729" s="6">
        <v>11.65</v>
      </c>
      <c r="E6729" t="s">
        <v>79</v>
      </c>
    </row>
    <row r="6730" spans="1:5" x14ac:dyDescent="0.25">
      <c r="A6730" t="str">
        <f>HYPERLINK("https://www.773grp.com/globalSearch/X9261TS24-2.7/page-1", "X9261TS24-2.7")</f>
        <v>X9261TS24-2.7</v>
      </c>
      <c r="B6730" s="3" t="s">
        <v>114</v>
      </c>
      <c r="C6730" s="5">
        <v>30</v>
      </c>
      <c r="D6730" s="6">
        <v>11.7</v>
      </c>
      <c r="E6730" t="s">
        <v>79</v>
      </c>
    </row>
    <row r="6731" spans="1:5" x14ac:dyDescent="0.25">
      <c r="A6731" t="str">
        <f>HYPERLINK("https://www.773grp.com/globalSearch/X9C103PI/page-1", "X9C103PI")</f>
        <v>X9C103PI</v>
      </c>
      <c r="B6731" s="3" t="s">
        <v>114</v>
      </c>
      <c r="C6731" s="5">
        <v>753</v>
      </c>
      <c r="D6731" s="6">
        <v>12.26</v>
      </c>
      <c r="E6731" t="s">
        <v>79</v>
      </c>
    </row>
    <row r="6732" spans="1:5" x14ac:dyDescent="0.25">
      <c r="A6732" t="str">
        <f>HYPERLINK("https://www.773grp.com/globalSearch/X9C103SI/page-1", "X9C103SI")</f>
        <v>X9C103SI</v>
      </c>
      <c r="B6732" s="3" t="s">
        <v>114</v>
      </c>
      <c r="C6732" s="5">
        <v>2026</v>
      </c>
      <c r="D6732" s="6">
        <v>12.26</v>
      </c>
      <c r="E6732" t="s">
        <v>79</v>
      </c>
    </row>
    <row r="6733" spans="1:5" x14ac:dyDescent="0.25">
      <c r="A6733" t="str">
        <f>HYPERLINK("https://www.773grp.com/globalSearch/X9C104PI/page-1", "X9C104PI")</f>
        <v>X9C104PI</v>
      </c>
      <c r="B6733" s="3" t="s">
        <v>114</v>
      </c>
      <c r="C6733" s="5">
        <v>1269</v>
      </c>
      <c r="D6733" s="6">
        <v>12.26</v>
      </c>
      <c r="E6733" t="s">
        <v>79</v>
      </c>
    </row>
    <row r="6734" spans="1:5" x14ac:dyDescent="0.25">
      <c r="A6734" t="str">
        <f>HYPERLINK("https://www.773grp.com/globalSearch/X9C104SI/page-1", "X9C104SI")</f>
        <v>X9C104SI</v>
      </c>
      <c r="B6734" s="3" t="s">
        <v>114</v>
      </c>
      <c r="C6734" s="5">
        <v>640</v>
      </c>
      <c r="D6734" s="6">
        <v>12.26</v>
      </c>
      <c r="E6734" t="s">
        <v>79</v>
      </c>
    </row>
    <row r="6735" spans="1:5" x14ac:dyDescent="0.25">
      <c r="A6735" t="str">
        <f>HYPERLINK("https://www.773grp.com/globalSearch/X9317WS8I/page-1", "X9317WS8I")</f>
        <v>X9317WS8I</v>
      </c>
      <c r="B6735" s="3" t="s">
        <v>114</v>
      </c>
      <c r="C6735" s="5">
        <v>215</v>
      </c>
      <c r="D6735" s="6">
        <v>12.38</v>
      </c>
      <c r="E6735" t="s">
        <v>79</v>
      </c>
    </row>
    <row r="6736" spans="1:5" x14ac:dyDescent="0.25">
      <c r="A6736" t="str">
        <f>HYPERLINK("https://www.773grp.com/globalSearch/X9C102PI/page-1", "X9C102PI")</f>
        <v>X9C102PI</v>
      </c>
      <c r="B6736" s="3" t="s">
        <v>114</v>
      </c>
      <c r="C6736" s="5">
        <v>1194</v>
      </c>
      <c r="D6736" s="6">
        <v>12.38</v>
      </c>
      <c r="E6736" t="s">
        <v>79</v>
      </c>
    </row>
    <row r="6737" spans="1:5" x14ac:dyDescent="0.25">
      <c r="A6737" t="str">
        <f>HYPERLINK("https://www.773grp.com/globalSearch/X9C102SI/page-1", "X9C102SI")</f>
        <v>X9C102SI</v>
      </c>
      <c r="B6737" s="3" t="s">
        <v>114</v>
      </c>
      <c r="C6737" s="5">
        <v>3074</v>
      </c>
      <c r="D6737" s="6">
        <v>12.38</v>
      </c>
      <c r="E6737" t="s">
        <v>79</v>
      </c>
    </row>
    <row r="6738" spans="1:5" x14ac:dyDescent="0.25">
      <c r="A6738" t="str">
        <f>HYPERLINK("https://www.773grp.com/globalSearch/X9C303S8I/page-1", "X9C303S8I")</f>
        <v>X9C303S8I</v>
      </c>
      <c r="B6738" s="3" t="s">
        <v>114</v>
      </c>
      <c r="C6738" s="5">
        <v>221</v>
      </c>
      <c r="D6738" s="6">
        <v>12.38</v>
      </c>
      <c r="E6738" t="s">
        <v>79</v>
      </c>
    </row>
    <row r="6739" spans="1:5" x14ac:dyDescent="0.25">
      <c r="A6739" t="str">
        <f>HYPERLINK("https://www.773grp.com/globalSearch/X9C503PI/page-1", "X9C503PI")</f>
        <v>X9C503PI</v>
      </c>
      <c r="B6739" s="3" t="s">
        <v>114</v>
      </c>
      <c r="C6739" s="5">
        <v>353</v>
      </c>
      <c r="D6739" s="6">
        <v>12.38</v>
      </c>
      <c r="E6739" t="s">
        <v>79</v>
      </c>
    </row>
    <row r="6740" spans="1:5" x14ac:dyDescent="0.25">
      <c r="A6740" t="str">
        <f>HYPERLINK("https://www.773grp.com/globalSearch/X9C503SI/page-1", "X9C503SI")</f>
        <v>X9C503SI</v>
      </c>
      <c r="B6740" s="3" t="s">
        <v>114</v>
      </c>
      <c r="C6740" s="5">
        <v>12</v>
      </c>
      <c r="D6740" s="6">
        <v>12.38</v>
      </c>
      <c r="E6740" t="s">
        <v>79</v>
      </c>
    </row>
    <row r="6741" spans="1:5" x14ac:dyDescent="0.25">
      <c r="A6741" t="str">
        <f>HYPERLINK("https://www.773grp.com/globalSearch/X9261US24I/page-1", "X9261US24I")</f>
        <v>X9261US24I</v>
      </c>
      <c r="B6741" s="3" t="s">
        <v>114</v>
      </c>
      <c r="C6741" s="5">
        <v>30</v>
      </c>
      <c r="D6741" s="6">
        <v>13.3</v>
      </c>
      <c r="E6741" t="s">
        <v>79</v>
      </c>
    </row>
    <row r="6742" spans="1:5" x14ac:dyDescent="0.25">
      <c r="A6742" t="str">
        <f>HYPERLINK("https://www.773grp.com/globalSearch/X9268TS24I/page-1", "X9268TS24I")</f>
        <v>X9268TS24I</v>
      </c>
      <c r="B6742" s="3" t="s">
        <v>114</v>
      </c>
      <c r="C6742" s="5">
        <v>20</v>
      </c>
      <c r="D6742" s="6">
        <v>13.3</v>
      </c>
      <c r="E6742" t="s">
        <v>79</v>
      </c>
    </row>
    <row r="6743" spans="1:5" x14ac:dyDescent="0.25">
      <c r="A6743" t="str">
        <f>HYPERLINK("https://www.773grp.com/globalSearch/X9317UV8IZ-2.7/page-1", "X9317UV8IZ-2.7")</f>
        <v>X9317UV8IZ-2.7</v>
      </c>
      <c r="B6743" s="3" t="s">
        <v>114</v>
      </c>
      <c r="C6743" s="5">
        <v>927</v>
      </c>
      <c r="D6743" s="6">
        <v>13.41</v>
      </c>
      <c r="E6743" t="s">
        <v>79</v>
      </c>
    </row>
    <row r="6744" spans="1:5" x14ac:dyDescent="0.25">
      <c r="A6744" t="str">
        <f>HYPERLINK("https://www.773grp.com/globalSearch/X9317WV8IZ-2.7/page-1", "X9317WV8IZ-2.7")</f>
        <v>X9317WV8IZ-2.7</v>
      </c>
      <c r="B6744" s="3" t="s">
        <v>114</v>
      </c>
      <c r="C6744" s="5">
        <v>252</v>
      </c>
      <c r="D6744" s="6">
        <v>13.41</v>
      </c>
      <c r="E6744" t="s">
        <v>79</v>
      </c>
    </row>
    <row r="6745" spans="1:5" x14ac:dyDescent="0.25">
      <c r="A6745" t="str">
        <f>HYPERLINK("https://www.773grp.com/globalSearch/X9317US8I-2.7/page-1", "X9317US8I-2.7")</f>
        <v>X9317US8I-2.7</v>
      </c>
      <c r="B6745" s="3" t="s">
        <v>114</v>
      </c>
      <c r="C6745" s="5">
        <v>1990</v>
      </c>
      <c r="D6745" s="6">
        <v>13.55</v>
      </c>
      <c r="E6745" t="s">
        <v>79</v>
      </c>
    </row>
    <row r="6746" spans="1:5" x14ac:dyDescent="0.25">
      <c r="A6746" t="str">
        <f>HYPERLINK("https://www.773grp.com/globalSearch/X9252US24IZ-2.7/page-1", "X9252US24IZ-2.7")</f>
        <v>X9252US24IZ-2.7</v>
      </c>
      <c r="B6746" s="3" t="s">
        <v>114</v>
      </c>
      <c r="C6746" s="5">
        <v>229</v>
      </c>
      <c r="D6746" s="6">
        <v>14.01</v>
      </c>
      <c r="E6746" t="s">
        <v>79</v>
      </c>
    </row>
    <row r="6747" spans="1:5" x14ac:dyDescent="0.25">
      <c r="A6747" t="str">
        <f>HYPERLINK("https://www.773grp.com/globalSearch/X9408WV24-2.7T1/page-1", "X9408WV24-2.7T1")</f>
        <v>X9408WV24-2.7T1</v>
      </c>
      <c r="B6747" s="3" t="s">
        <v>114</v>
      </c>
      <c r="C6747" s="5">
        <v>2500</v>
      </c>
      <c r="D6747" s="6">
        <v>14.29</v>
      </c>
      <c r="E6747" t="s">
        <v>79</v>
      </c>
    </row>
    <row r="6748" spans="1:5" x14ac:dyDescent="0.25">
      <c r="A6748" t="str">
        <f>HYPERLINK("https://www.773grp.com/globalSearch/X9317WM8I/page-1", "X9317WM8I")</f>
        <v>X9317WM8I</v>
      </c>
      <c r="B6748" s="3" t="s">
        <v>114</v>
      </c>
      <c r="C6748" s="5">
        <v>572</v>
      </c>
      <c r="D6748" s="6">
        <v>14.55</v>
      </c>
      <c r="E6748" t="s">
        <v>79</v>
      </c>
    </row>
    <row r="6749" spans="1:5" x14ac:dyDescent="0.25">
      <c r="A6749" t="str">
        <f>HYPERLINK("https://www.773grp.com/globalSearch/X9251TS24/page-1", "X9251TS24")</f>
        <v>X9251TS24</v>
      </c>
      <c r="B6749" s="3" t="s">
        <v>114</v>
      </c>
      <c r="C6749" s="5">
        <v>60</v>
      </c>
      <c r="D6749" s="6">
        <v>14.63</v>
      </c>
      <c r="E6749" t="s">
        <v>79</v>
      </c>
    </row>
    <row r="6750" spans="1:5" x14ac:dyDescent="0.25">
      <c r="A6750" t="str">
        <f>HYPERLINK("https://www.773grp.com/globalSearch/X9429WV14IZ-2.7T1/page-1", "X9429WV14IZ-2.7T1")</f>
        <v>X9429WV14IZ-2.7T1</v>
      </c>
      <c r="B6750" s="3" t="s">
        <v>114</v>
      </c>
      <c r="C6750" s="5">
        <v>2500</v>
      </c>
      <c r="D6750" s="6">
        <v>14.69</v>
      </c>
      <c r="E6750" t="s">
        <v>79</v>
      </c>
    </row>
    <row r="6751" spans="1:5" x14ac:dyDescent="0.25">
      <c r="A6751" t="str">
        <f>HYPERLINK("https://www.773grp.com/globalSearch/X9119TV14Z/page-1", "X9119TV14Z")</f>
        <v>X9119TV14Z</v>
      </c>
      <c r="B6751" s="3" t="s">
        <v>114</v>
      </c>
      <c r="C6751" s="5">
        <v>67</v>
      </c>
      <c r="D6751" s="6">
        <v>15.24</v>
      </c>
      <c r="E6751" t="s">
        <v>79</v>
      </c>
    </row>
    <row r="6752" spans="1:5" x14ac:dyDescent="0.25">
      <c r="A6752" t="str">
        <f>HYPERLINK("https://www.773grp.com/globalSearch/X9259UV24/page-1", "X9259UV24")</f>
        <v>X9259UV24</v>
      </c>
      <c r="B6752" s="3" t="s">
        <v>114</v>
      </c>
      <c r="C6752" s="5">
        <v>40</v>
      </c>
      <c r="D6752" s="6">
        <v>15.36</v>
      </c>
      <c r="E6752" t="s">
        <v>79</v>
      </c>
    </row>
    <row r="6753" spans="1:5" x14ac:dyDescent="0.25">
      <c r="A6753" t="str">
        <f>HYPERLINK("https://www.773grp.com/globalSearch/X9455WV24IZ-2.7/page-1", "X9455WV24IZ-2.7")</f>
        <v>X9455WV24IZ-2.7</v>
      </c>
      <c r="B6753" s="3" t="s">
        <v>114</v>
      </c>
      <c r="C6753" s="5">
        <v>62</v>
      </c>
      <c r="D6753" s="6">
        <v>15.41</v>
      </c>
      <c r="E6753" t="s">
        <v>79</v>
      </c>
    </row>
    <row r="6754" spans="1:5" x14ac:dyDescent="0.25">
      <c r="A6754" t="str">
        <f>HYPERLINK("https://www.773grp.com/globalSearch/X9251TS24-2.7/page-1", "X9251TS24-2.7")</f>
        <v>X9251TS24-2.7</v>
      </c>
      <c r="B6754" s="3" t="s">
        <v>114</v>
      </c>
      <c r="C6754" s="5">
        <v>60</v>
      </c>
      <c r="D6754" s="6">
        <v>16.09</v>
      </c>
      <c r="E6754" t="s">
        <v>79</v>
      </c>
    </row>
    <row r="6755" spans="1:5" x14ac:dyDescent="0.25">
      <c r="A6755" t="str">
        <f>HYPERLINK("https://www.773grp.com/globalSearch/X9259TS24-2.7/page-1", "X9259TS24-2.7")</f>
        <v>X9259TS24-2.7</v>
      </c>
      <c r="B6755" s="3" t="s">
        <v>114</v>
      </c>
      <c r="C6755" s="5">
        <v>363</v>
      </c>
      <c r="D6755" s="6">
        <v>16.09</v>
      </c>
      <c r="E6755" t="s">
        <v>79</v>
      </c>
    </row>
    <row r="6756" spans="1:5" x14ac:dyDescent="0.25">
      <c r="A6756" t="str">
        <f>HYPERLINK("https://www.773grp.com/globalSearch/X9259US24-2.7/page-1", "X9259US24-2.7")</f>
        <v>X9259US24-2.7</v>
      </c>
      <c r="B6756" s="3" t="s">
        <v>114</v>
      </c>
      <c r="C6756" s="5">
        <v>28</v>
      </c>
      <c r="D6756" s="6">
        <v>16.09</v>
      </c>
      <c r="E6756" t="s">
        <v>79</v>
      </c>
    </row>
    <row r="6757" spans="1:5" x14ac:dyDescent="0.25">
      <c r="A6757" t="str">
        <f>HYPERLINK("https://www.773grp.com/globalSearch/X9317UM8I-2.7/page-1", "X9317UM8I-2.7")</f>
        <v>X9317UM8I-2.7</v>
      </c>
      <c r="B6757" s="3" t="s">
        <v>114</v>
      </c>
      <c r="C6757" s="5">
        <v>226</v>
      </c>
      <c r="D6757" s="6">
        <v>16.09</v>
      </c>
      <c r="E6757" t="s">
        <v>79</v>
      </c>
    </row>
    <row r="6758" spans="1:5" x14ac:dyDescent="0.25">
      <c r="A6758" t="str">
        <f>HYPERLINK("https://www.773grp.com/globalSearch/X9221AWS/page-1", "X9221AWS")</f>
        <v>X9221AWS</v>
      </c>
      <c r="B6758" s="3" t="s">
        <v>114</v>
      </c>
      <c r="C6758" s="5">
        <v>25</v>
      </c>
      <c r="D6758" s="6">
        <v>16.399999999999999</v>
      </c>
      <c r="E6758" t="s">
        <v>79</v>
      </c>
    </row>
    <row r="6759" spans="1:5" x14ac:dyDescent="0.25">
      <c r="A6759" t="str">
        <f>HYPERLINK("https://www.773grp.com/globalSearch/X9221AYP/page-1", "X9221AYP")</f>
        <v>X9221AYP</v>
      </c>
      <c r="B6759" s="3" t="s">
        <v>114</v>
      </c>
      <c r="C6759" s="5">
        <v>17</v>
      </c>
      <c r="D6759" s="6">
        <v>16.399999999999999</v>
      </c>
      <c r="E6759" t="s">
        <v>79</v>
      </c>
    </row>
    <row r="6760" spans="1:5" x14ac:dyDescent="0.25">
      <c r="A6760" t="str">
        <f>HYPERLINK("https://www.773grp.com/globalSearch/X9221AYP/page-1", "X9221AYP")</f>
        <v>X9221AYP</v>
      </c>
      <c r="B6760" s="3" t="s">
        <v>114</v>
      </c>
      <c r="C6760" s="5">
        <v>14</v>
      </c>
      <c r="D6760" s="6">
        <v>16.399999999999999</v>
      </c>
      <c r="E6760" t="s">
        <v>79</v>
      </c>
    </row>
    <row r="6761" spans="1:5" x14ac:dyDescent="0.25">
      <c r="A6761" t="str">
        <f>HYPERLINK("https://www.773grp.com/globalSearch/X9111TV14-2.7/page-1", "X9111TV14-2.7")</f>
        <v>X9111TV14-2.7</v>
      </c>
      <c r="B6761" s="3" t="s">
        <v>114</v>
      </c>
      <c r="C6761" s="5">
        <v>369</v>
      </c>
      <c r="D6761" s="6">
        <v>16.79</v>
      </c>
      <c r="E6761" t="s">
        <v>79</v>
      </c>
    </row>
    <row r="6762" spans="1:5" x14ac:dyDescent="0.25">
      <c r="A6762" t="str">
        <f>HYPERLINK("https://www.773grp.com/globalSearch/X9279TV14Z-2.7T1/page-1", "X9279TV14Z-2.7T1")</f>
        <v>X9279TV14Z-2.7T1</v>
      </c>
      <c r="B6762" s="3" t="s">
        <v>114</v>
      </c>
      <c r="C6762" s="5">
        <v>2300</v>
      </c>
      <c r="D6762" s="6">
        <v>16.88</v>
      </c>
      <c r="E6762" t="s">
        <v>79</v>
      </c>
    </row>
    <row r="6763" spans="1:5" x14ac:dyDescent="0.25">
      <c r="A6763" t="str">
        <f>HYPERLINK("https://www.773grp.com/globalSearch/X9279UV14Z-2.7T1/page-1", "X9279UV14Z-2.7T1")</f>
        <v>X9279UV14Z-2.7T1</v>
      </c>
      <c r="B6763" s="3" t="s">
        <v>114</v>
      </c>
      <c r="C6763" s="5">
        <v>2484</v>
      </c>
      <c r="D6763" s="6">
        <v>16.88</v>
      </c>
      <c r="E6763" t="s">
        <v>79</v>
      </c>
    </row>
    <row r="6764" spans="1:5" x14ac:dyDescent="0.25">
      <c r="A6764" t="str">
        <f>HYPERLINK("https://www.773grp.com/globalSearch/X9221AWSIZT1/page-1", "X9221AWSIZT1")</f>
        <v>X9221AWSIZT1</v>
      </c>
      <c r="B6764" s="3" t="s">
        <v>114</v>
      </c>
      <c r="C6764" s="5">
        <v>541</v>
      </c>
      <c r="D6764" s="6">
        <v>17.079999999999998</v>
      </c>
      <c r="E6764" t="s">
        <v>79</v>
      </c>
    </row>
    <row r="6765" spans="1:5" x14ac:dyDescent="0.25">
      <c r="A6765" t="str">
        <f>HYPERLINK("https://www.773grp.com/globalSearch/X9221AYSIZ/page-1", "X9221AYSIZ")</f>
        <v>X9221AYSIZ</v>
      </c>
      <c r="B6765" s="3" t="s">
        <v>114</v>
      </c>
      <c r="C6765" s="5">
        <v>68</v>
      </c>
      <c r="D6765" s="6">
        <v>17.079999999999998</v>
      </c>
      <c r="E6765" t="s">
        <v>79</v>
      </c>
    </row>
    <row r="6766" spans="1:5" x14ac:dyDescent="0.25">
      <c r="A6766" t="str">
        <f>HYPERLINK("https://www.773grp.com/globalSearch/X9221AYSIZT1/page-1", "X9221AYSIZT1")</f>
        <v>X9221AYSIZT1</v>
      </c>
      <c r="B6766" s="3" t="s">
        <v>114</v>
      </c>
      <c r="C6766" s="5">
        <v>2000</v>
      </c>
      <c r="D6766" s="6">
        <v>17.079999999999998</v>
      </c>
      <c r="E6766" t="s">
        <v>79</v>
      </c>
    </row>
    <row r="6767" spans="1:5" x14ac:dyDescent="0.25">
      <c r="A6767" t="str">
        <f>HYPERLINK("https://www.773grp.com/globalSearch/X9252UV24I-2.7/page-1", "X9252UV24I-2.7")</f>
        <v>X9252UV24I-2.7</v>
      </c>
      <c r="B6767" s="3" t="s">
        <v>114</v>
      </c>
      <c r="C6767" s="5">
        <v>198</v>
      </c>
      <c r="D6767" s="6">
        <v>17.16</v>
      </c>
      <c r="E6767" t="s">
        <v>79</v>
      </c>
    </row>
    <row r="6768" spans="1:5" x14ac:dyDescent="0.25">
      <c r="A6768" t="str">
        <f>HYPERLINK("https://www.773grp.com/globalSearch/X9252WV24I-2.7/page-1", "X9252WV24I-2.7")</f>
        <v>X9252WV24I-2.7</v>
      </c>
      <c r="B6768" s="3" t="s">
        <v>114</v>
      </c>
      <c r="C6768" s="5">
        <v>722</v>
      </c>
      <c r="D6768" s="6">
        <v>17.16</v>
      </c>
      <c r="E6768" t="s">
        <v>79</v>
      </c>
    </row>
    <row r="6769" spans="1:5" x14ac:dyDescent="0.25">
      <c r="A6769" t="str">
        <f>HYPERLINK("https://www.773grp.com/globalSearch/X9420WV14I-2.7/page-1", "X9420WV14I-2.7")</f>
        <v>X9420WV14I-2.7</v>
      </c>
      <c r="B6769" s="3" t="s">
        <v>114</v>
      </c>
      <c r="C6769" s="5">
        <v>1281</v>
      </c>
      <c r="D6769" s="6">
        <v>17.64</v>
      </c>
      <c r="E6769" t="s">
        <v>79</v>
      </c>
    </row>
    <row r="6770" spans="1:5" x14ac:dyDescent="0.25">
      <c r="A6770" t="str">
        <f>HYPERLINK("https://www.773grp.com/globalSearch/X9258US24I/page-1", "X9258US24I")</f>
        <v>X9258US24I</v>
      </c>
      <c r="B6770" s="3" t="s">
        <v>114</v>
      </c>
      <c r="C6770" s="5">
        <v>65</v>
      </c>
      <c r="D6770" s="6">
        <v>17.73</v>
      </c>
      <c r="E6770" t="s">
        <v>79</v>
      </c>
    </row>
    <row r="6771" spans="1:5" x14ac:dyDescent="0.25">
      <c r="A6771" t="str">
        <f>HYPERLINK("https://www.773grp.com/globalSearch/X9400WV24I-2.7/page-1", "X9400WV24I-2.7")</f>
        <v>X9400WV24I-2.7</v>
      </c>
      <c r="B6771" s="3" t="s">
        <v>114</v>
      </c>
      <c r="C6771" s="5">
        <v>236</v>
      </c>
      <c r="D6771" s="6">
        <v>17.89</v>
      </c>
      <c r="E6771" t="s">
        <v>79</v>
      </c>
    </row>
    <row r="6772" spans="1:5" x14ac:dyDescent="0.25">
      <c r="A6772" t="str">
        <f>HYPERLINK("https://www.773grp.com/globalSearch/X9409WV24I-2.7/page-1", "X9409WV24I-2.7")</f>
        <v>X9409WV24I-2.7</v>
      </c>
      <c r="B6772" s="3" t="s">
        <v>114</v>
      </c>
      <c r="C6772" s="5">
        <v>152</v>
      </c>
      <c r="D6772" s="6">
        <v>17.89</v>
      </c>
      <c r="E6772" t="s">
        <v>79</v>
      </c>
    </row>
    <row r="6773" spans="1:5" x14ac:dyDescent="0.25">
      <c r="A6773" t="str">
        <f>HYPERLINK("https://www.773grp.com/globalSearch/X9110TV14/page-1", "X9110TV14")</f>
        <v>X9110TV14</v>
      </c>
      <c r="B6773" s="3" t="s">
        <v>114</v>
      </c>
      <c r="C6773" s="5">
        <v>860</v>
      </c>
      <c r="D6773" s="6">
        <v>18.28</v>
      </c>
      <c r="E6773" t="s">
        <v>79</v>
      </c>
    </row>
    <row r="6774" spans="1:5" x14ac:dyDescent="0.25">
      <c r="A6774" t="str">
        <f>HYPERLINK("https://www.773grp.com/globalSearch/X9111TV14/page-1", "X9111TV14")</f>
        <v>X9111TV14</v>
      </c>
      <c r="B6774" s="3" t="s">
        <v>114</v>
      </c>
      <c r="C6774" s="5">
        <v>1502</v>
      </c>
      <c r="D6774" s="6">
        <v>18.28</v>
      </c>
      <c r="E6774" t="s">
        <v>79</v>
      </c>
    </row>
    <row r="6775" spans="1:5" x14ac:dyDescent="0.25">
      <c r="A6775" t="str">
        <f>HYPERLINK("https://www.773grp.com/globalSearch/X9118TV14/page-1", "X9118TV14")</f>
        <v>X9118TV14</v>
      </c>
      <c r="B6775" s="3" t="s">
        <v>114</v>
      </c>
      <c r="C6775" s="5">
        <v>95</v>
      </c>
      <c r="D6775" s="6">
        <v>18.28</v>
      </c>
      <c r="E6775" t="s">
        <v>79</v>
      </c>
    </row>
    <row r="6776" spans="1:5" x14ac:dyDescent="0.25">
      <c r="A6776" t="str">
        <f>HYPERLINK("https://www.773grp.com/globalSearch/X9118TV14/page-1", "X9118TV14")</f>
        <v>X9118TV14</v>
      </c>
      <c r="B6776" s="3" t="s">
        <v>114</v>
      </c>
      <c r="C6776" s="5">
        <v>189</v>
      </c>
      <c r="D6776" s="6">
        <v>18.28</v>
      </c>
      <c r="E6776" t="s">
        <v>79</v>
      </c>
    </row>
    <row r="6777" spans="1:5" x14ac:dyDescent="0.25">
      <c r="A6777" t="str">
        <f>HYPERLINK("https://www.773grp.com/globalSearch/X9119TV14/page-1", "X9119TV14")</f>
        <v>X9119TV14</v>
      </c>
      <c r="B6777" s="3" t="s">
        <v>114</v>
      </c>
      <c r="C6777" s="5">
        <v>280</v>
      </c>
      <c r="D6777" s="6">
        <v>18.28</v>
      </c>
      <c r="E6777" t="s">
        <v>79</v>
      </c>
    </row>
    <row r="6778" spans="1:5" x14ac:dyDescent="0.25">
      <c r="A6778" t="str">
        <f>HYPERLINK("https://www.773grp.com/globalSearch/X9279UV14/page-1", "X9279UV14")</f>
        <v>X9279UV14</v>
      </c>
      <c r="B6778" s="3" t="s">
        <v>114</v>
      </c>
      <c r="C6778" s="5">
        <v>328</v>
      </c>
      <c r="D6778" s="6">
        <v>18.34</v>
      </c>
      <c r="E6778" t="s">
        <v>79</v>
      </c>
    </row>
    <row r="6779" spans="1:5" x14ac:dyDescent="0.25">
      <c r="A6779" t="str">
        <f>HYPERLINK("https://www.773grp.com/globalSearch/X9271UV14IZ/page-1", "X9271UV14IZ")</f>
        <v>X9271UV14IZ</v>
      </c>
      <c r="B6779" s="3" t="s">
        <v>114</v>
      </c>
      <c r="C6779" s="5">
        <v>966</v>
      </c>
      <c r="D6779" s="6">
        <v>18.36</v>
      </c>
      <c r="E6779" t="s">
        <v>79</v>
      </c>
    </row>
    <row r="6780" spans="1:5" x14ac:dyDescent="0.25">
      <c r="A6780" t="str">
        <f>HYPERLINK("https://www.773grp.com/globalSearch/X9241AWPIZ/page-1", "X9241AWPIZ")</f>
        <v>X9241AWPIZ</v>
      </c>
      <c r="B6780" s="3" t="s">
        <v>114</v>
      </c>
      <c r="C6780" s="5">
        <v>7</v>
      </c>
      <c r="D6780" s="6">
        <v>19.63</v>
      </c>
      <c r="E6780" t="s">
        <v>79</v>
      </c>
    </row>
    <row r="6781" spans="1:5" x14ac:dyDescent="0.25">
      <c r="A6781" t="str">
        <f>HYPERLINK("https://www.773grp.com/globalSearch/X9259TS24I-2.7/page-1", "X9259TS24I-2.7")</f>
        <v>X9259TS24I-2.7</v>
      </c>
      <c r="B6781" s="3" t="s">
        <v>114</v>
      </c>
      <c r="C6781" s="5">
        <v>6</v>
      </c>
      <c r="D6781" s="6">
        <v>20.14</v>
      </c>
      <c r="E6781" t="s">
        <v>79</v>
      </c>
    </row>
    <row r="6782" spans="1:5" x14ac:dyDescent="0.25">
      <c r="A6782" t="str">
        <f>HYPERLINK("https://www.773grp.com/globalSearch/X9119TV14-2.7/page-1", "X9119TV14-2.7")</f>
        <v>X9119TV14-2.7</v>
      </c>
      <c r="B6782" s="3" t="s">
        <v>114</v>
      </c>
      <c r="C6782" s="5">
        <v>806</v>
      </c>
      <c r="D6782" s="6">
        <v>20.16</v>
      </c>
      <c r="E6782" t="s">
        <v>79</v>
      </c>
    </row>
    <row r="6783" spans="1:5" x14ac:dyDescent="0.25">
      <c r="A6783" t="str">
        <f>HYPERLINK("https://www.773grp.com/globalSearch/X9271TV14IZ-2.7T1/page-1", "X9271TV14IZ-2.7T1")</f>
        <v>X9271TV14IZ-2.7T1</v>
      </c>
      <c r="B6783" s="3" t="s">
        <v>114</v>
      </c>
      <c r="C6783" s="5">
        <v>4896</v>
      </c>
      <c r="D6783" s="6">
        <v>20.25</v>
      </c>
      <c r="E6783" t="s">
        <v>79</v>
      </c>
    </row>
    <row r="6784" spans="1:5" x14ac:dyDescent="0.25">
      <c r="A6784" t="str">
        <f>HYPERLINK("https://www.773grp.com/globalSearch/X9271UV14IZ-2.7T1/page-1", "X9271UV14IZ-2.7T1")</f>
        <v>X9271UV14IZ-2.7T1</v>
      </c>
      <c r="B6784" s="3" t="s">
        <v>114</v>
      </c>
      <c r="C6784" s="5">
        <v>3869</v>
      </c>
      <c r="D6784" s="6">
        <v>20.25</v>
      </c>
      <c r="E6784" t="s">
        <v>79</v>
      </c>
    </row>
    <row r="6785" spans="1:5" x14ac:dyDescent="0.25">
      <c r="A6785" t="str">
        <f>HYPERLINK("https://www.773grp.com/globalSearch/X9279TV14IZ-2.7T1/page-1", "X9279TV14IZ-2.7T1")</f>
        <v>X9279TV14IZ-2.7T1</v>
      </c>
      <c r="B6785" s="3" t="s">
        <v>114</v>
      </c>
      <c r="C6785" s="5">
        <v>2500</v>
      </c>
      <c r="D6785" s="6">
        <v>20.25</v>
      </c>
      <c r="E6785" t="s">
        <v>79</v>
      </c>
    </row>
    <row r="6786" spans="1:5" x14ac:dyDescent="0.25">
      <c r="A6786" t="str">
        <f>HYPERLINK("https://www.773grp.com/globalSearch/X9111TV14IZ-2.7T1/page-1", "X9111TV14IZ-2.7T1")</f>
        <v>X9111TV14IZ-2.7T1</v>
      </c>
      <c r="B6786" s="3" t="s">
        <v>114</v>
      </c>
      <c r="C6786" s="5">
        <v>2425</v>
      </c>
      <c r="D6786" s="6">
        <v>21.01</v>
      </c>
      <c r="E6786" t="s">
        <v>79</v>
      </c>
    </row>
    <row r="6787" spans="1:5" x14ac:dyDescent="0.25">
      <c r="A6787" t="str">
        <f>HYPERLINK("https://www.773grp.com/globalSearch/X9241AMP/page-1", "X9241AMP")</f>
        <v>X9241AMP</v>
      </c>
      <c r="B6787" s="3" t="s">
        <v>114</v>
      </c>
      <c r="C6787" s="5">
        <v>229</v>
      </c>
      <c r="D6787" s="6">
        <v>21.56</v>
      </c>
      <c r="E6787" t="s">
        <v>79</v>
      </c>
    </row>
    <row r="6788" spans="1:5" x14ac:dyDescent="0.25">
      <c r="A6788" t="str">
        <f>HYPERLINK("https://www.773grp.com/globalSearch/X9241AUP/page-1", "X9241AUP")</f>
        <v>X9241AUP</v>
      </c>
      <c r="B6788" s="3" t="s">
        <v>114</v>
      </c>
      <c r="C6788" s="5">
        <v>2763</v>
      </c>
      <c r="D6788" s="6">
        <v>21.56</v>
      </c>
      <c r="E6788" t="s">
        <v>79</v>
      </c>
    </row>
    <row r="6789" spans="1:5" x14ac:dyDescent="0.25">
      <c r="A6789" t="str">
        <f>HYPERLINK("https://www.773grp.com/globalSearch/X9241AWS/page-1", "X9241AWS")</f>
        <v>X9241AWS</v>
      </c>
      <c r="B6789" s="3" t="s">
        <v>114</v>
      </c>
      <c r="C6789" s="5">
        <v>1188</v>
      </c>
      <c r="D6789" s="6">
        <v>21.56</v>
      </c>
      <c r="E6789" t="s">
        <v>79</v>
      </c>
    </row>
    <row r="6790" spans="1:5" x14ac:dyDescent="0.25">
      <c r="A6790" t="str">
        <f>HYPERLINK("https://www.773grp.com/globalSearch/X9241AYS/page-1", "X9241AYS")</f>
        <v>X9241AYS</v>
      </c>
      <c r="B6790" s="3" t="s">
        <v>114</v>
      </c>
      <c r="C6790" s="5">
        <v>18</v>
      </c>
      <c r="D6790" s="6">
        <v>21.56</v>
      </c>
      <c r="E6790" t="s">
        <v>79</v>
      </c>
    </row>
    <row r="6791" spans="1:5" x14ac:dyDescent="0.25">
      <c r="A6791" t="str">
        <f>HYPERLINK("https://www.773grp.com/globalSearch/X9250TS24Z/page-1", "X9250TS24Z")</f>
        <v>X9250TS24Z</v>
      </c>
      <c r="B6791" s="3" t="s">
        <v>114</v>
      </c>
      <c r="C6791" s="5">
        <v>501</v>
      </c>
      <c r="D6791" s="6">
        <v>22.05</v>
      </c>
      <c r="E6791" t="s">
        <v>79</v>
      </c>
    </row>
    <row r="6792" spans="1:5" x14ac:dyDescent="0.25">
      <c r="A6792" t="str">
        <f>HYPERLINK("https://www.773grp.com/globalSearch/X9251TS24Z/page-1", "X9251TS24Z")</f>
        <v>X9251TS24Z</v>
      </c>
      <c r="B6792" s="3" t="s">
        <v>114</v>
      </c>
      <c r="C6792" s="5">
        <v>919</v>
      </c>
      <c r="D6792" s="6">
        <v>22.05</v>
      </c>
      <c r="E6792" t="s">
        <v>79</v>
      </c>
    </row>
    <row r="6793" spans="1:5" x14ac:dyDescent="0.25">
      <c r="A6793" t="str">
        <f>HYPERLINK("https://www.773grp.com/globalSearch/X9418WS24I-2.7/page-1", "X9418WS24I-2.7")</f>
        <v>X9418WS24I-2.7</v>
      </c>
      <c r="B6793" s="3" t="s">
        <v>114</v>
      </c>
      <c r="C6793" s="5">
        <v>48</v>
      </c>
      <c r="D6793" s="6">
        <v>22.19</v>
      </c>
      <c r="E6793" t="s">
        <v>79</v>
      </c>
    </row>
    <row r="6794" spans="1:5" x14ac:dyDescent="0.25">
      <c r="A6794" t="str">
        <f>HYPERLINK("https://www.773grp.com/globalSearch/X9119TV14IZ-2.7T1/page-1", "X9119TV14IZ-2.7T1")</f>
        <v>X9119TV14IZ-2.7T1</v>
      </c>
      <c r="B6794" s="3" t="s">
        <v>114</v>
      </c>
      <c r="C6794" s="5">
        <v>2500</v>
      </c>
      <c r="D6794" s="6">
        <v>22.84</v>
      </c>
      <c r="E6794" t="s">
        <v>79</v>
      </c>
    </row>
    <row r="6795" spans="1:5" x14ac:dyDescent="0.25">
      <c r="A6795" t="str">
        <f>HYPERLINK("https://www.773grp.com/globalSearch/X9119TV14I/page-1", "X9119TV14I")</f>
        <v>X9119TV14I</v>
      </c>
      <c r="B6795" s="3" t="s">
        <v>114</v>
      </c>
      <c r="C6795" s="5">
        <v>276</v>
      </c>
      <c r="D6795" s="6">
        <v>22.86</v>
      </c>
      <c r="E6795" t="s">
        <v>79</v>
      </c>
    </row>
    <row r="6796" spans="1:5" x14ac:dyDescent="0.25">
      <c r="A6796" t="str">
        <f>HYPERLINK("https://www.773grp.com/globalSearch/X9261US24/page-1", "X9261US24")</f>
        <v>X9261US24</v>
      </c>
      <c r="B6796" s="3" t="s">
        <v>114</v>
      </c>
      <c r="C6796" s="5">
        <v>491</v>
      </c>
      <c r="D6796" s="6">
        <v>22.99</v>
      </c>
      <c r="E6796" t="s">
        <v>79</v>
      </c>
    </row>
    <row r="6797" spans="1:5" x14ac:dyDescent="0.25">
      <c r="A6797" t="str">
        <f>HYPERLINK("https://www.773grp.com/globalSearch/X9268TS24/page-1", "X9268TS24")</f>
        <v>X9268TS24</v>
      </c>
      <c r="B6797" s="3" t="s">
        <v>114</v>
      </c>
      <c r="C6797" s="5">
        <v>30</v>
      </c>
      <c r="D6797" s="6">
        <v>22.99</v>
      </c>
      <c r="E6797" t="s">
        <v>79</v>
      </c>
    </row>
    <row r="6798" spans="1:5" x14ac:dyDescent="0.25">
      <c r="A6798" t="str">
        <f>HYPERLINK("https://www.773grp.com/globalSearch/X9241AMVIZ/page-1", "X9241AMVIZ")</f>
        <v>X9241AMVIZ</v>
      </c>
      <c r="B6798" s="3" t="s">
        <v>114</v>
      </c>
      <c r="C6798" s="5">
        <v>392</v>
      </c>
      <c r="D6798" s="6">
        <v>23.18</v>
      </c>
      <c r="E6798" t="s">
        <v>79</v>
      </c>
    </row>
    <row r="6799" spans="1:5" x14ac:dyDescent="0.25">
      <c r="A6799" t="str">
        <f>HYPERLINK("https://www.773grp.com/globalSearch/X9241AWVI/page-1", "X9241AWVI")</f>
        <v>X9241AWVI</v>
      </c>
      <c r="B6799" s="3" t="s">
        <v>114</v>
      </c>
      <c r="C6799" s="5">
        <v>466</v>
      </c>
      <c r="D6799" s="6">
        <v>23.18</v>
      </c>
      <c r="E6799" t="s">
        <v>79</v>
      </c>
    </row>
    <row r="6800" spans="1:5" x14ac:dyDescent="0.25">
      <c r="A6800" t="str">
        <f>HYPERLINK("https://www.773grp.com/globalSearch/X9271UV14I-2.7/page-1", "X9271UV14I-2.7")</f>
        <v>X9271UV14I-2.7</v>
      </c>
      <c r="B6800" s="3" t="s">
        <v>114</v>
      </c>
      <c r="C6800" s="5">
        <v>429</v>
      </c>
      <c r="D6800" s="6">
        <v>24.26</v>
      </c>
      <c r="E6800" t="s">
        <v>79</v>
      </c>
    </row>
    <row r="6801" spans="1:5" x14ac:dyDescent="0.25">
      <c r="A6801" t="str">
        <f>HYPERLINK("https://www.773grp.com/globalSearch/X9119TV14I-2.7/page-1", "X9119TV14I-2.7")</f>
        <v>X9119TV14I-2.7</v>
      </c>
      <c r="B6801" s="3" t="s">
        <v>114</v>
      </c>
      <c r="C6801" s="5">
        <v>212</v>
      </c>
      <c r="D6801" s="6">
        <v>25.23</v>
      </c>
      <c r="E6801" t="s">
        <v>79</v>
      </c>
    </row>
    <row r="6802" spans="1:5" x14ac:dyDescent="0.25">
      <c r="A6802" t="str">
        <f>HYPERLINK("https://www.773grp.com/globalSearch/X9410WV24I/page-1", "X9410WV24I")</f>
        <v>X9410WV24I</v>
      </c>
      <c r="B6802" s="3" t="s">
        <v>114</v>
      </c>
      <c r="C6802" s="5">
        <v>47</v>
      </c>
      <c r="D6802" s="6">
        <v>25.54</v>
      </c>
      <c r="E6802" t="s">
        <v>79</v>
      </c>
    </row>
    <row r="6803" spans="1:5" x14ac:dyDescent="0.25">
      <c r="A6803" t="str">
        <f>HYPERLINK("https://www.773grp.com/globalSearch/X9268TS24IZ-2.7/page-1", "X9268TS24IZ-2.7")</f>
        <v>X9268TS24IZ-2.7</v>
      </c>
      <c r="B6803" s="3" t="s">
        <v>114</v>
      </c>
      <c r="C6803" s="5">
        <v>52</v>
      </c>
      <c r="D6803" s="6">
        <v>26.36</v>
      </c>
      <c r="E6803" t="s">
        <v>79</v>
      </c>
    </row>
    <row r="6804" spans="1:5" x14ac:dyDescent="0.25">
      <c r="A6804" t="str">
        <f>HYPERLINK("https://www.773grp.com/globalSearch/X9400WS24I/page-1", "X9400WS24I")</f>
        <v>X9400WS24I</v>
      </c>
      <c r="B6804" s="3" t="s">
        <v>114</v>
      </c>
      <c r="C6804" s="5">
        <v>28</v>
      </c>
      <c r="D6804" s="6">
        <v>26.95</v>
      </c>
      <c r="E6804" t="s">
        <v>79</v>
      </c>
    </row>
    <row r="6805" spans="1:5" x14ac:dyDescent="0.25">
      <c r="A6805" t="str">
        <f>HYPERLINK("https://www.773grp.com/globalSearch/X9400WS24I/page-1", "X9400WS24I")</f>
        <v>X9400WS24I</v>
      </c>
      <c r="B6805" s="3" t="s">
        <v>114</v>
      </c>
      <c r="C6805" s="5">
        <v>59</v>
      </c>
      <c r="D6805" s="6">
        <v>26.95</v>
      </c>
      <c r="E6805" t="s">
        <v>79</v>
      </c>
    </row>
    <row r="6806" spans="1:5" x14ac:dyDescent="0.25">
      <c r="A6806" t="str">
        <f>HYPERLINK("https://www.773grp.com/globalSearch/X9408WS24I/page-1", "X9408WS24I")</f>
        <v>X9408WS24I</v>
      </c>
      <c r="B6806" s="3" t="s">
        <v>114</v>
      </c>
      <c r="C6806" s="5">
        <v>4</v>
      </c>
      <c r="D6806" s="6">
        <v>26.95</v>
      </c>
      <c r="E6806" t="s">
        <v>79</v>
      </c>
    </row>
    <row r="6807" spans="1:5" x14ac:dyDescent="0.25">
      <c r="A6807" t="str">
        <f>HYPERLINK("https://www.773grp.com/globalSearch/X9408WV24/page-1", "X9408WV24")</f>
        <v>X9408WV24</v>
      </c>
      <c r="B6807" s="3" t="s">
        <v>114</v>
      </c>
      <c r="C6807" s="5">
        <v>24</v>
      </c>
      <c r="D6807" s="6">
        <v>26.95</v>
      </c>
      <c r="E6807" t="s">
        <v>79</v>
      </c>
    </row>
    <row r="6808" spans="1:5" x14ac:dyDescent="0.25">
      <c r="A6808" t="str">
        <f>HYPERLINK("https://www.773grp.com/globalSearch/X9408YV24IZ-2.7/page-1", "X9408YV24IZ-2.7")</f>
        <v>X9408YV24IZ-2.7</v>
      </c>
      <c r="B6808" s="3" t="s">
        <v>114</v>
      </c>
      <c r="C6808" s="5">
        <v>1337</v>
      </c>
      <c r="D6808" s="6">
        <v>26.96</v>
      </c>
      <c r="E6808" t="s">
        <v>79</v>
      </c>
    </row>
    <row r="6809" spans="1:5" x14ac:dyDescent="0.25">
      <c r="A6809" t="str">
        <f>HYPERLINK("https://www.773grp.com/globalSearch/X9259US24IZ/page-1", "X9259US24IZ")</f>
        <v>X9259US24IZ</v>
      </c>
      <c r="B6809" s="3" t="s">
        <v>114</v>
      </c>
      <c r="C6809" s="5">
        <v>895</v>
      </c>
      <c r="D6809" s="6">
        <v>27.59</v>
      </c>
      <c r="E6809" t="s">
        <v>79</v>
      </c>
    </row>
    <row r="6810" spans="1:5" x14ac:dyDescent="0.25">
      <c r="A6810" t="str">
        <f>HYPERLINK("https://www.773grp.com/globalSearch/X9250TS24/page-1", "X9250TS24")</f>
        <v>X9250TS24</v>
      </c>
      <c r="B6810" s="3" t="s">
        <v>114</v>
      </c>
      <c r="C6810" s="5">
        <v>1</v>
      </c>
      <c r="D6810" s="6">
        <v>30.33</v>
      </c>
      <c r="E6810" t="s">
        <v>79</v>
      </c>
    </row>
    <row r="6811" spans="1:5" x14ac:dyDescent="0.25">
      <c r="A6811" t="str">
        <f>HYPERLINK("https://www.773grp.com/globalSearch/X9250US24/page-1", "X9250US24")</f>
        <v>X9250US24</v>
      </c>
      <c r="B6811" s="3" t="s">
        <v>114</v>
      </c>
      <c r="C6811" s="5">
        <v>944</v>
      </c>
      <c r="D6811" s="6">
        <v>30.33</v>
      </c>
      <c r="E6811" t="s">
        <v>79</v>
      </c>
    </row>
    <row r="6812" spans="1:5" x14ac:dyDescent="0.25">
      <c r="A6812" t="str">
        <f>HYPERLINK("https://www.773grp.com/globalSearch/X9251US24/page-1", "X9251US24")</f>
        <v>X9251US24</v>
      </c>
      <c r="B6812" s="3" t="s">
        <v>114</v>
      </c>
      <c r="C6812" s="5">
        <v>329</v>
      </c>
      <c r="D6812" s="6">
        <v>30.33</v>
      </c>
      <c r="E6812" t="s">
        <v>79</v>
      </c>
    </row>
    <row r="6813" spans="1:5" x14ac:dyDescent="0.25">
      <c r="A6813" t="str">
        <f>HYPERLINK("https://www.773grp.com/globalSearch/X9251US24/page-1", "X9251US24")</f>
        <v>X9251US24</v>
      </c>
      <c r="B6813" s="3" t="s">
        <v>114</v>
      </c>
      <c r="C6813" s="5">
        <v>300</v>
      </c>
      <c r="D6813" s="6">
        <v>30.33</v>
      </c>
      <c r="E6813" t="s">
        <v>79</v>
      </c>
    </row>
    <row r="6814" spans="1:5" x14ac:dyDescent="0.25">
      <c r="A6814" t="str">
        <f>HYPERLINK("https://www.773grp.com/globalSearch/X9259TS24/page-1", "X9259TS24")</f>
        <v>X9259TS24</v>
      </c>
      <c r="B6814" s="3" t="s">
        <v>114</v>
      </c>
      <c r="C6814" s="5">
        <v>473</v>
      </c>
      <c r="D6814" s="6">
        <v>30.33</v>
      </c>
      <c r="E6814" t="s">
        <v>79</v>
      </c>
    </row>
    <row r="6815" spans="1:5" x14ac:dyDescent="0.25">
      <c r="A6815" t="str">
        <f>HYPERLINK("https://www.773grp.com/globalSearch/X9251US24IZ-2.7T1/page-1", "X9251US24IZ-2.7T1")</f>
        <v>X9251US24IZ-2.7T1</v>
      </c>
      <c r="B6815" s="3" t="s">
        <v>114</v>
      </c>
      <c r="C6815" s="5">
        <v>1000</v>
      </c>
      <c r="D6815" s="6">
        <v>30.34</v>
      </c>
      <c r="E6815" t="s">
        <v>79</v>
      </c>
    </row>
    <row r="6816" spans="1:5" x14ac:dyDescent="0.25">
      <c r="A6816" t="str">
        <f>HYPERLINK("https://www.773grp.com/globalSearch/X9258TS24/page-1", "X9258TS24")</f>
        <v>X9258TS24</v>
      </c>
      <c r="B6816" s="3" t="s">
        <v>114</v>
      </c>
      <c r="C6816" s="5">
        <v>130</v>
      </c>
      <c r="D6816" s="6">
        <v>30.6</v>
      </c>
      <c r="E6816" t="s">
        <v>79</v>
      </c>
    </row>
    <row r="6817" spans="1:5" x14ac:dyDescent="0.25">
      <c r="A6817" t="str">
        <f>HYPERLINK("https://www.773grp.com/globalSearch/X9258US24/page-1", "X9258US24")</f>
        <v>X9258US24</v>
      </c>
      <c r="B6817" s="3" t="s">
        <v>114</v>
      </c>
      <c r="C6817" s="5">
        <v>335</v>
      </c>
      <c r="D6817" s="6">
        <v>30.6</v>
      </c>
      <c r="E6817" t="s">
        <v>79</v>
      </c>
    </row>
    <row r="6818" spans="1:5" x14ac:dyDescent="0.25">
      <c r="A6818" t="str">
        <f>HYPERLINK("https://www.773grp.com/globalSearch/X9250TS24-2.7/page-1", "X9250TS24-2.7")</f>
        <v>X9250TS24-2.7</v>
      </c>
      <c r="B6818" s="3" t="s">
        <v>114</v>
      </c>
      <c r="C6818" s="5">
        <v>28</v>
      </c>
      <c r="D6818" s="6">
        <v>33.380000000000003</v>
      </c>
      <c r="E6818" t="s">
        <v>79</v>
      </c>
    </row>
    <row r="6819" spans="1:5" x14ac:dyDescent="0.25">
      <c r="A6819" t="str">
        <f>HYPERLINK("https://www.773grp.com/globalSearch/X9258US24-2.7/page-1", "X9258US24-2.7")</f>
        <v>X9258US24-2.7</v>
      </c>
      <c r="B6819" s="3" t="s">
        <v>114</v>
      </c>
      <c r="C6819" s="5">
        <v>60</v>
      </c>
      <c r="D6819" s="6">
        <v>33.700000000000003</v>
      </c>
      <c r="E6819" t="s">
        <v>79</v>
      </c>
    </row>
    <row r="6820" spans="1:5" x14ac:dyDescent="0.25">
      <c r="A6820" t="str">
        <f>HYPERLINK("https://www.773grp.com/globalSearch/X9400WV24I/page-1", "X9400WV24I")</f>
        <v>X9400WV24I</v>
      </c>
      <c r="B6820" s="3" t="s">
        <v>114</v>
      </c>
      <c r="C6820" s="5">
        <v>30</v>
      </c>
      <c r="D6820" s="6">
        <v>33.700000000000003</v>
      </c>
      <c r="E6820" t="s">
        <v>79</v>
      </c>
    </row>
    <row r="6821" spans="1:5" x14ac:dyDescent="0.25">
      <c r="A6821" t="str">
        <f>HYPERLINK("https://www.773grp.com/globalSearch/X9250TS24I/page-1", "X9250TS24I")</f>
        <v>X9250TS24I</v>
      </c>
      <c r="B6821" s="3" t="s">
        <v>114</v>
      </c>
      <c r="C6821" s="5">
        <v>30</v>
      </c>
      <c r="D6821" s="6">
        <v>37.94</v>
      </c>
      <c r="E6821" t="s">
        <v>79</v>
      </c>
    </row>
    <row r="6822" spans="1:5" x14ac:dyDescent="0.25">
      <c r="A6822" t="str">
        <f>HYPERLINK("https://www.773grp.com/globalSearch/X9250US24I/page-1", "X9250US24I")</f>
        <v>X9250US24I</v>
      </c>
      <c r="B6822" s="3" t="s">
        <v>114</v>
      </c>
      <c r="C6822" s="5">
        <v>301</v>
      </c>
      <c r="D6822" s="6">
        <v>37.94</v>
      </c>
      <c r="E6822" t="s">
        <v>79</v>
      </c>
    </row>
    <row r="6823" spans="1:5" x14ac:dyDescent="0.25">
      <c r="A6823" t="str">
        <f>HYPERLINK("https://www.773grp.com/globalSearch/X9250UV24I/page-1", "X9250UV24I")</f>
        <v>X9250UV24I</v>
      </c>
      <c r="B6823" s="3" t="s">
        <v>114</v>
      </c>
      <c r="C6823" s="5">
        <v>585</v>
      </c>
      <c r="D6823" s="6">
        <v>39.83</v>
      </c>
      <c r="E6823" t="s">
        <v>79</v>
      </c>
    </row>
    <row r="6824" spans="1:5" x14ac:dyDescent="0.25">
      <c r="A6824" t="str">
        <f>HYPERLINK("https://www.773grp.com/globalSearch/X9250US24I-2.7/page-1", "X9250US24I-2.7")</f>
        <v>X9250US24I-2.7</v>
      </c>
      <c r="B6824" s="3" t="s">
        <v>114</v>
      </c>
      <c r="C6824" s="5">
        <v>59</v>
      </c>
      <c r="D6824" s="6">
        <v>41.74</v>
      </c>
      <c r="E6824" t="s">
        <v>79</v>
      </c>
    </row>
    <row r="6825" spans="1:5" x14ac:dyDescent="0.25">
      <c r="A6825" t="str">
        <f>HYPERLINK("https://www.773grp.com/globalSearch/X9251UV24I-2.7/page-1", "X9251UV24I-2.7")</f>
        <v>X9251UV24I-2.7</v>
      </c>
      <c r="B6825" s="3" t="s">
        <v>114</v>
      </c>
      <c r="C6825" s="5">
        <v>51</v>
      </c>
      <c r="D6825" s="6">
        <v>43.83</v>
      </c>
      <c r="E6825" t="s">
        <v>79</v>
      </c>
    </row>
    <row r="6826" spans="1:5" x14ac:dyDescent="0.25">
      <c r="A6826" t="str">
        <f>HYPERLINK("https://www.773grp.com/globalSearch/TMS320VC5401ZGU50/page-1", "TMS320VC5401ZGU50")</f>
        <v>TMS320VC5401ZGU50</v>
      </c>
      <c r="B6826" s="3" t="s">
        <v>90</v>
      </c>
      <c r="C6826" s="5">
        <v>481</v>
      </c>
      <c r="D6826" s="6">
        <v>9.56</v>
      </c>
      <c r="E6826" t="s">
        <v>87</v>
      </c>
    </row>
    <row r="6827" spans="1:5" x14ac:dyDescent="0.25">
      <c r="A6827" t="str">
        <f>HYPERLINK("https://www.773grp.com/globalSearch/TMS320VC5401GGU50/page-1", "TMS320VC5401GGU50")</f>
        <v>TMS320VC5401GGU50</v>
      </c>
      <c r="B6827" s="3" t="s">
        <v>90</v>
      </c>
      <c r="C6827" s="5">
        <v>7774</v>
      </c>
      <c r="D6827" s="6">
        <v>9.84</v>
      </c>
      <c r="E6827" t="s">
        <v>87</v>
      </c>
    </row>
    <row r="6828" spans="1:5" x14ac:dyDescent="0.25">
      <c r="A6828" t="str">
        <f>HYPERLINK("https://www.773grp.com/globalSearch/TMS320F28015PZA/page-1", "TMS320F28015PZA")</f>
        <v>TMS320F28015PZA</v>
      </c>
      <c r="B6828" s="3" t="s">
        <v>90</v>
      </c>
      <c r="C6828" s="5">
        <v>1023</v>
      </c>
      <c r="D6828" s="6">
        <v>10.01</v>
      </c>
      <c r="E6828" t="s">
        <v>87</v>
      </c>
    </row>
    <row r="6829" spans="1:5" x14ac:dyDescent="0.25">
      <c r="A6829" t="str">
        <f>HYPERLINK("https://www.773grp.com/globalSearch/TMS320F28015ZGMA/page-1", "TMS320F28015ZGMA")</f>
        <v>TMS320F28015ZGMA</v>
      </c>
      <c r="B6829" s="3" t="s">
        <v>90</v>
      </c>
      <c r="C6829" s="5">
        <v>136</v>
      </c>
      <c r="D6829" s="6">
        <v>10.01</v>
      </c>
      <c r="E6829" t="s">
        <v>87</v>
      </c>
    </row>
    <row r="6830" spans="1:5" x14ac:dyDescent="0.25">
      <c r="A6830" t="str">
        <f>HYPERLINK("https://www.773grp.com/globalSearch/TMS320VC5401PGE50/page-1", "TMS320VC5401PGE50")</f>
        <v>TMS320VC5401PGE50</v>
      </c>
      <c r="B6830" s="3" t="s">
        <v>90</v>
      </c>
      <c r="C6830" s="5">
        <v>462</v>
      </c>
      <c r="D6830" s="6">
        <v>10.64</v>
      </c>
      <c r="E6830" t="s">
        <v>87</v>
      </c>
    </row>
    <row r="6831" spans="1:5" x14ac:dyDescent="0.25">
      <c r="A6831" t="str">
        <f>HYPERLINK("https://www.773grp.com/globalSearch/MSP50P34N16E1A/page-1", "MSP50P34N16E1A")</f>
        <v>MSP50P34N16E1A</v>
      </c>
      <c r="B6831" s="3" t="s">
        <v>90</v>
      </c>
      <c r="C6831" s="5">
        <v>12</v>
      </c>
      <c r="D6831" s="6">
        <v>11.25</v>
      </c>
      <c r="E6831" t="s">
        <v>87</v>
      </c>
    </row>
    <row r="6832" spans="1:5" x14ac:dyDescent="0.25">
      <c r="A6832" t="str">
        <f>HYPERLINK("https://www.773grp.com/globalSearch/TMS320LF2401AVFA/page-1", "TMS320LF2401AVFA")</f>
        <v>TMS320LF2401AVFA</v>
      </c>
      <c r="B6832" s="3" t="str">
        <f>HYPERLINK("https://www.773grp.com/manufacturer/texas-instruments?pageNo=384", "Texas Instruments")</f>
        <v>Texas Instruments</v>
      </c>
      <c r="C6832" s="5">
        <v>550</v>
      </c>
      <c r="D6832" s="6">
        <v>12.79</v>
      </c>
      <c r="E6832" t="s">
        <v>87</v>
      </c>
    </row>
    <row r="6833" spans="1:5" x14ac:dyDescent="0.25">
      <c r="A6833" t="str">
        <f>HYPERLINK("https://www.773grp.com/globalSearch/TMS320F2801PZS-60/page-1", "TMS320F2801PZS-60")</f>
        <v>TMS320F2801PZS-60</v>
      </c>
      <c r="B6833" s="3" t="str">
        <f>HYPERLINK("https://www.773grp.com/manufacturer/texas-instruments?pageNo=900", "Texas Instruments")</f>
        <v>Texas Instruments</v>
      </c>
      <c r="C6833" s="5">
        <v>18</v>
      </c>
      <c r="D6833" s="6">
        <v>13.79</v>
      </c>
      <c r="E6833" t="s">
        <v>87</v>
      </c>
    </row>
    <row r="6834" spans="1:5" x14ac:dyDescent="0.25">
      <c r="A6834" t="str">
        <f>HYPERLINK("https://www.773grp.com/globalSearch/TMS320VC5501GZZ300/page-1", "TMS320VC5501GZZ300")</f>
        <v>TMS320VC5501GZZ300</v>
      </c>
      <c r="B6834" s="3" t="str">
        <f>HYPERLINK("https://www.773grp.com/manufacturer/texas-instruments?pageNo=918", "Texas Instruments")</f>
        <v>Texas Instruments</v>
      </c>
      <c r="C6834" s="5">
        <v>3141</v>
      </c>
      <c r="D6834" s="6">
        <v>13.84</v>
      </c>
      <c r="E6834" t="s">
        <v>87</v>
      </c>
    </row>
    <row r="6835" spans="1:5" x14ac:dyDescent="0.25">
      <c r="A6835" t="str">
        <f>HYPERLINK("https://www.773grp.com/globalSearch/TMS320VC5501ZZZ300/page-1", "TMS320VC5501ZZZ300")</f>
        <v>TMS320VC5501ZZZ300</v>
      </c>
      <c r="B6835" s="3" t="str">
        <f>HYPERLINK("https://www.773grp.com/manufacturer/texas-instruments?pageNo=920", "Texas Instruments")</f>
        <v>Texas Instruments</v>
      </c>
      <c r="C6835" s="5">
        <v>12207</v>
      </c>
      <c r="D6835" s="6">
        <v>13.84</v>
      </c>
      <c r="E6835" t="s">
        <v>87</v>
      </c>
    </row>
    <row r="6836" spans="1:5" x14ac:dyDescent="0.25">
      <c r="A6836" t="str">
        <f>HYPERLINK("https://www.773grp.com/globalSearch/TMS320C5504AZCH10/page-1", "TMS320C5504AZCH10")</f>
        <v>TMS320C5504AZCH10</v>
      </c>
      <c r="B6836" s="3" t="str">
        <f>HYPERLINK("https://www.773grp.com/manufacturer/texas-instruments?pageNo=974", "Texas Instruments")</f>
        <v>Texas Instruments</v>
      </c>
      <c r="C6836" s="5">
        <v>5591</v>
      </c>
      <c r="D6836" s="6">
        <v>13.93</v>
      </c>
      <c r="E6836" t="s">
        <v>87</v>
      </c>
    </row>
    <row r="6837" spans="1:5" x14ac:dyDescent="0.25">
      <c r="A6837" t="str">
        <f>HYPERLINK("https://www.773grp.com/globalSearch/TMS320VC5504ZCH/page-1", "TMS320VC5504ZCH")</f>
        <v>TMS320VC5504ZCH</v>
      </c>
      <c r="B6837" s="3" t="str">
        <f>HYPERLINK("https://www.773grp.com/manufacturer/texas-instruments?pageNo=975", "Texas Instruments")</f>
        <v>Texas Instruments</v>
      </c>
      <c r="C6837" s="5">
        <v>1581</v>
      </c>
      <c r="D6837" s="6">
        <v>13.93</v>
      </c>
      <c r="E6837" t="s">
        <v>87</v>
      </c>
    </row>
    <row r="6838" spans="1:5" x14ac:dyDescent="0.25">
      <c r="A6838" t="str">
        <f>HYPERLINK("https://www.773grp.com/globalSearch/TMS320LF2401AVFS/page-1", "TMS320LF2401AVFS")</f>
        <v>TMS320LF2401AVFS</v>
      </c>
      <c r="B6838" s="3" t="s">
        <v>90</v>
      </c>
      <c r="C6838" s="5">
        <v>223</v>
      </c>
      <c r="D6838" s="6">
        <v>14.06</v>
      </c>
      <c r="E6838" t="s">
        <v>87</v>
      </c>
    </row>
    <row r="6839" spans="1:5" x14ac:dyDescent="0.25">
      <c r="A6839" t="str">
        <f>HYPERLINK("https://www.773grp.com/globalSearch/TMS320UC5405ZQW/page-1", "TMS320UC5405ZQW")</f>
        <v>TMS320UC5405ZQW</v>
      </c>
      <c r="B6839" s="3" t="s">
        <v>90</v>
      </c>
      <c r="C6839" s="5">
        <v>870</v>
      </c>
      <c r="D6839" s="6">
        <v>14.63</v>
      </c>
      <c r="E6839" t="s">
        <v>87</v>
      </c>
    </row>
    <row r="6840" spans="1:5" x14ac:dyDescent="0.25">
      <c r="A6840" t="str">
        <f>HYPERLINK("https://www.773grp.com/globalSearch/TMS320F2802PZA-60/page-1", "TMS320F2802PZA-60")</f>
        <v>TMS320F2802PZA-60</v>
      </c>
      <c r="B6840" s="3" t="s">
        <v>90</v>
      </c>
      <c r="C6840" s="5">
        <v>57</v>
      </c>
      <c r="D6840" s="6">
        <v>14.69</v>
      </c>
      <c r="E6840" t="s">
        <v>87</v>
      </c>
    </row>
    <row r="6841" spans="1:5" x14ac:dyDescent="0.25">
      <c r="A6841" t="str">
        <f>HYPERLINK("https://www.773grp.com/globalSearch/TMS320UC5405GQW/page-1", "TMS320UC5405GQW")</f>
        <v>TMS320UC5405GQW</v>
      </c>
      <c r="B6841" s="3" t="s">
        <v>90</v>
      </c>
      <c r="C6841" s="5">
        <v>32218</v>
      </c>
      <c r="D6841" s="6">
        <v>14.9</v>
      </c>
      <c r="E6841" t="s">
        <v>87</v>
      </c>
    </row>
    <row r="6842" spans="1:5" x14ac:dyDescent="0.25">
      <c r="A6842" t="str">
        <f>HYPERLINK("https://www.773grp.com/globalSearch/MSP50P34N/page-1", "MSP50P34N")</f>
        <v>MSP50P34N</v>
      </c>
      <c r="B6842" s="3" t="s">
        <v>90</v>
      </c>
      <c r="C6842" s="5">
        <v>4</v>
      </c>
      <c r="D6842" s="6">
        <v>14.96</v>
      </c>
      <c r="E6842" t="s">
        <v>87</v>
      </c>
    </row>
    <row r="6843" spans="1:5" x14ac:dyDescent="0.25">
      <c r="A6843" t="str">
        <f>HYPERLINK("https://www.773grp.com/globalSearch/TMX320VC5402PGE100/page-1", "TMX320VC5402PGE100")</f>
        <v>TMX320VC5402PGE100</v>
      </c>
      <c r="B6843" s="3" t="s">
        <v>90</v>
      </c>
      <c r="C6843" s="5">
        <v>1268</v>
      </c>
      <c r="D6843" s="6">
        <v>15.1</v>
      </c>
      <c r="E6843" t="s">
        <v>87</v>
      </c>
    </row>
    <row r="6844" spans="1:5" x14ac:dyDescent="0.25">
      <c r="A6844" t="str">
        <f>HYPERLINK("https://www.773grp.com/globalSearch/TMS320UC5402GGU-80/page-1", "TMS320UC5402GGU-80")</f>
        <v>TMS320UC5402GGU-80</v>
      </c>
      <c r="B6844" s="3" t="s">
        <v>90</v>
      </c>
      <c r="C6844" s="5">
        <v>5917</v>
      </c>
      <c r="D6844" s="6">
        <v>15.48</v>
      </c>
      <c r="E6844" t="s">
        <v>87</v>
      </c>
    </row>
    <row r="6845" spans="1:5" x14ac:dyDescent="0.25">
      <c r="A6845" t="str">
        <f>HYPERLINK("https://www.773grp.com/globalSearch/TMX320F2801GGMA/page-1", "TMX320F2801GGMA")</f>
        <v>TMX320F2801GGMA</v>
      </c>
      <c r="B6845" s="3" t="s">
        <v>90</v>
      </c>
      <c r="C6845" s="5">
        <v>75</v>
      </c>
      <c r="D6845" s="6">
        <v>16.29</v>
      </c>
      <c r="E6845" t="s">
        <v>87</v>
      </c>
    </row>
    <row r="6846" spans="1:5" x14ac:dyDescent="0.25">
      <c r="A6846" t="str">
        <f>HYPERLINK("https://www.773grp.com/globalSearch/TMS320UC5402PGE-80/page-1", "TMS320UC5402PGE-80")</f>
        <v>TMS320UC5402PGE-80</v>
      </c>
      <c r="B6846" s="3" t="s">
        <v>90</v>
      </c>
      <c r="C6846" s="5">
        <v>1102</v>
      </c>
      <c r="D6846" s="6">
        <v>16.760000000000002</v>
      </c>
      <c r="E6846" t="s">
        <v>87</v>
      </c>
    </row>
    <row r="6847" spans="1:5" x14ac:dyDescent="0.25">
      <c r="A6847" t="str">
        <f>HYPERLINK("https://www.773grp.com/globalSearch/TMS320VC5402GGU100/page-1", "TMS320VC5402GGU100")</f>
        <v>TMS320VC5402GGU100</v>
      </c>
      <c r="B6847" s="3" t="s">
        <v>90</v>
      </c>
      <c r="C6847" s="5">
        <v>354</v>
      </c>
      <c r="D6847" s="6">
        <v>16.760000000000002</v>
      </c>
      <c r="E6847" t="s">
        <v>87</v>
      </c>
    </row>
    <row r="6848" spans="1:5" x14ac:dyDescent="0.25">
      <c r="A6848" t="str">
        <f>HYPERLINK("https://www.773grp.com/globalSearch/TMS320VC5402GGUR10/page-1", "TMS320VC5402GGUR10")</f>
        <v>TMS320VC5402GGUR10</v>
      </c>
      <c r="B6848" s="3" t="s">
        <v>90</v>
      </c>
      <c r="C6848" s="5">
        <v>1000</v>
      </c>
      <c r="D6848" s="6">
        <v>16.760000000000002</v>
      </c>
      <c r="E6848" t="s">
        <v>87</v>
      </c>
    </row>
    <row r="6849" spans="1:5" x14ac:dyDescent="0.25">
      <c r="A6849" t="str">
        <f>HYPERLINK("https://www.773grp.com/globalSearch/TMS320VC5402PGE100/page-1", "TMS320VC5402PGE100")</f>
        <v>TMS320VC5402PGE100</v>
      </c>
      <c r="B6849" s="3" t="s">
        <v>90</v>
      </c>
      <c r="C6849" s="5">
        <v>2659</v>
      </c>
      <c r="D6849" s="6">
        <v>16.760000000000002</v>
      </c>
      <c r="E6849" t="s">
        <v>87</v>
      </c>
    </row>
    <row r="6850" spans="1:5" x14ac:dyDescent="0.25">
      <c r="A6850" t="str">
        <f>HYPERLINK("https://www.773grp.com/globalSearch/TMS320C5504AZCH15/page-1", "TMS320C5504AZCH15")</f>
        <v>TMS320C5504AZCH15</v>
      </c>
      <c r="B6850" s="3" t="s">
        <v>90</v>
      </c>
      <c r="C6850" s="5">
        <v>36</v>
      </c>
      <c r="D6850" s="6">
        <v>17.41</v>
      </c>
      <c r="E6850" t="s">
        <v>87</v>
      </c>
    </row>
    <row r="6851" spans="1:5" x14ac:dyDescent="0.25">
      <c r="A6851" t="str">
        <f>HYPERLINK("https://www.773grp.com/globalSearch/TMS320C6742BZCE2/page-1", "TMS320C6742BZCE2")</f>
        <v>TMS320C6742BZCE2</v>
      </c>
      <c r="B6851" s="3" t="s">
        <v>90</v>
      </c>
      <c r="C6851" s="5">
        <v>1585</v>
      </c>
      <c r="D6851" s="6">
        <v>17.73</v>
      </c>
      <c r="E6851" t="s">
        <v>87</v>
      </c>
    </row>
    <row r="6852" spans="1:5" x14ac:dyDescent="0.25">
      <c r="A6852" t="str">
        <f>HYPERLINK("https://www.773grp.com/globalSearch/TMS320C6742BZWT2/page-1", "TMS320C6742BZWT2")</f>
        <v>TMS320C6742BZWT2</v>
      </c>
      <c r="B6852" s="3" t="s">
        <v>90</v>
      </c>
      <c r="C6852" s="5">
        <v>699</v>
      </c>
      <c r="D6852" s="6">
        <v>17.73</v>
      </c>
      <c r="E6852" t="s">
        <v>87</v>
      </c>
    </row>
    <row r="6853" spans="1:5" x14ac:dyDescent="0.25">
      <c r="A6853" t="str">
        <f>HYPERLINK("https://www.773grp.com/globalSearch/TMS320C5514AZCH10/page-1", "TMS320C5514AZCH10")</f>
        <v>TMS320C5514AZCH10</v>
      </c>
      <c r="B6853" s="3" t="s">
        <v>90</v>
      </c>
      <c r="C6853" s="5">
        <v>1203</v>
      </c>
      <c r="D6853" s="6">
        <v>18.11</v>
      </c>
      <c r="E6853" t="s">
        <v>87</v>
      </c>
    </row>
    <row r="6854" spans="1:5" x14ac:dyDescent="0.25">
      <c r="A6854" t="str">
        <f>HYPERLINK("https://www.773grp.com/globalSearch/TMS320C5514AZCH10/page-1", "TMS320C5514AZCH10")</f>
        <v>TMS320C5514AZCH10</v>
      </c>
      <c r="B6854" s="3" t="s">
        <v>90</v>
      </c>
      <c r="C6854" s="5">
        <v>336</v>
      </c>
      <c r="D6854" s="6">
        <v>18.11</v>
      </c>
      <c r="E6854" t="s">
        <v>87</v>
      </c>
    </row>
    <row r="6855" spans="1:5" x14ac:dyDescent="0.25">
      <c r="A6855" t="str">
        <f>HYPERLINK("https://www.773grp.com/globalSearch/TMS320LF2402APGA/page-1", "TMS320LF2402APGA")</f>
        <v>TMS320LF2402APGA</v>
      </c>
      <c r="B6855" s="3" t="s">
        <v>90</v>
      </c>
      <c r="C6855" s="5">
        <v>7095</v>
      </c>
      <c r="D6855" s="6">
        <v>18.989999999999998</v>
      </c>
      <c r="E6855" t="s">
        <v>87</v>
      </c>
    </row>
    <row r="6856" spans="1:5" x14ac:dyDescent="0.25">
      <c r="A6856" t="str">
        <f>HYPERLINK("https://www.773grp.com/globalSearch/TMS320VC5502GZZ200/page-1", "TMS320VC5502GZZ200")</f>
        <v>TMS320VC5502GZZ200</v>
      </c>
      <c r="B6856" s="3" t="s">
        <v>90</v>
      </c>
      <c r="C6856" s="5">
        <v>548</v>
      </c>
      <c r="D6856" s="6">
        <v>19.2</v>
      </c>
      <c r="E6856" t="s">
        <v>87</v>
      </c>
    </row>
    <row r="6857" spans="1:5" x14ac:dyDescent="0.25">
      <c r="A6857" t="str">
        <f>HYPERLINK("https://www.773grp.com/globalSearch/TMS320VC5502PGF200/page-1", "TMS320VC5502PGF200")</f>
        <v>TMS320VC5502PGF200</v>
      </c>
      <c r="B6857" s="3" t="s">
        <v>90</v>
      </c>
      <c r="C6857" s="5">
        <v>148</v>
      </c>
      <c r="D6857" s="6">
        <v>19.2</v>
      </c>
      <c r="E6857" t="s">
        <v>87</v>
      </c>
    </row>
    <row r="6858" spans="1:5" x14ac:dyDescent="0.25">
      <c r="A6858" t="str">
        <f>HYPERLINK("https://www.773grp.com/globalSearch/TMS320VC5502ZZZ200/page-1", "TMS320VC5502ZZZ200")</f>
        <v>TMS320VC5502ZZZ200</v>
      </c>
      <c r="B6858" s="3" t="s">
        <v>90</v>
      </c>
      <c r="C6858" s="5">
        <v>1062</v>
      </c>
      <c r="D6858" s="6">
        <v>19.2</v>
      </c>
      <c r="E6858" t="s">
        <v>87</v>
      </c>
    </row>
    <row r="6859" spans="1:5" x14ac:dyDescent="0.25">
      <c r="A6859" t="str">
        <f>HYPERLINK("https://www.773grp.com/globalSearch/TAS3108IADCP/page-1", "TAS3108IADCP")</f>
        <v>TAS3108IADCP</v>
      </c>
      <c r="B6859" s="3" t="s">
        <v>90</v>
      </c>
      <c r="C6859" s="5">
        <v>22</v>
      </c>
      <c r="D6859" s="6">
        <v>19.28</v>
      </c>
      <c r="E6859" t="s">
        <v>87</v>
      </c>
    </row>
    <row r="6860" spans="1:5" x14ac:dyDescent="0.25">
      <c r="A6860" t="str">
        <f>HYPERLINK("https://www.773grp.com/globalSearch/TMS320C5504AZCHA10/page-1", "TMS320C5504AZCHA10")</f>
        <v>TMS320C5504AZCHA10</v>
      </c>
      <c r="B6860" s="3" t="s">
        <v>90</v>
      </c>
      <c r="C6860" s="5">
        <v>26</v>
      </c>
      <c r="D6860" s="6">
        <v>19.690000000000001</v>
      </c>
      <c r="E6860" t="s">
        <v>87</v>
      </c>
    </row>
    <row r="6861" spans="1:5" x14ac:dyDescent="0.25">
      <c r="A6861" t="str">
        <f>HYPERLINK("https://www.773grp.com/globalSearch/TMS320F2801GGMS/page-1", "TMS320F2801GGMS")</f>
        <v>TMS320F2801GGMS</v>
      </c>
      <c r="B6861" s="3" t="s">
        <v>90</v>
      </c>
      <c r="C6861" s="5">
        <v>174</v>
      </c>
      <c r="D6861" s="6">
        <v>19.690000000000001</v>
      </c>
      <c r="E6861" t="s">
        <v>87</v>
      </c>
    </row>
    <row r="6862" spans="1:5" x14ac:dyDescent="0.25">
      <c r="A6862" t="str">
        <f>HYPERLINK("https://www.773grp.com/globalSearch/TMS320F2801ZGMS/page-1", "TMS320F2801ZGMS")</f>
        <v>TMS320F2801ZGMS</v>
      </c>
      <c r="B6862" s="3" t="s">
        <v>90</v>
      </c>
      <c r="C6862" s="5">
        <v>988</v>
      </c>
      <c r="D6862" s="6">
        <v>19.690000000000001</v>
      </c>
      <c r="E6862" t="s">
        <v>87</v>
      </c>
    </row>
    <row r="6863" spans="1:5" x14ac:dyDescent="0.25">
      <c r="A6863" t="str">
        <f>HYPERLINK("https://www.773grp.com/globalSearch/TMS320C6720BRFP200/page-1", "TMS320C6720BRFP200")</f>
        <v>TMS320C6720BRFP200</v>
      </c>
      <c r="B6863" s="3" t="s">
        <v>90</v>
      </c>
      <c r="C6863" s="5">
        <v>60</v>
      </c>
      <c r="D6863" s="6">
        <v>19.95</v>
      </c>
      <c r="E6863" t="s">
        <v>87</v>
      </c>
    </row>
    <row r="6864" spans="1:5" x14ac:dyDescent="0.25">
      <c r="A6864" t="str">
        <f>HYPERLINK("https://www.773grp.com/globalSearch/TMS320VC5506ZHH/page-1", "TMS320VC5506ZHH")</f>
        <v>TMS320VC5506ZHH</v>
      </c>
      <c r="B6864" s="3" t="s">
        <v>90</v>
      </c>
      <c r="C6864" s="5">
        <v>625</v>
      </c>
      <c r="D6864" s="6">
        <v>19.96</v>
      </c>
      <c r="E6864" t="s">
        <v>87</v>
      </c>
    </row>
    <row r="6865" spans="1:5" x14ac:dyDescent="0.25">
      <c r="A6865" t="str">
        <f>HYPERLINK("https://www.773grp.com/globalSearch/TMS320VC5505ZCH/page-1", "TMS320VC5505ZCH")</f>
        <v>TMS320VC5505ZCH</v>
      </c>
      <c r="B6865" s="3" t="s">
        <v>90</v>
      </c>
      <c r="C6865" s="5">
        <v>1632</v>
      </c>
      <c r="D6865" s="6">
        <v>20.25</v>
      </c>
      <c r="E6865" t="s">
        <v>87</v>
      </c>
    </row>
    <row r="6866" spans="1:5" x14ac:dyDescent="0.25">
      <c r="A6866" t="str">
        <f>HYPERLINK("https://www.773grp.com/globalSearch/TMX320VC5402GGU100/page-1", "TMX320VC5402GGU100")</f>
        <v>TMX320VC5402GGU100</v>
      </c>
      <c r="B6866" s="3" t="s">
        <v>90</v>
      </c>
      <c r="C6866" s="5">
        <v>53</v>
      </c>
      <c r="D6866" s="6">
        <v>20.63</v>
      </c>
      <c r="E6866" t="s">
        <v>87</v>
      </c>
    </row>
    <row r="6867" spans="1:5" x14ac:dyDescent="0.25">
      <c r="A6867" t="str">
        <f>HYPERLINK("https://www.773grp.com/globalSearch/TMS320LF2403APAGA/page-1", "TMS320LF2403APAGA")</f>
        <v>TMS320LF2403APAGA</v>
      </c>
      <c r="B6867" s="3" t="s">
        <v>90</v>
      </c>
      <c r="C6867" s="5">
        <v>2846</v>
      </c>
      <c r="D6867" s="6">
        <v>20.68</v>
      </c>
      <c r="E6867" t="s">
        <v>87</v>
      </c>
    </row>
    <row r="6868" spans="1:5" x14ac:dyDescent="0.25">
      <c r="A6868" t="str">
        <f>HYPERLINK("https://www.773grp.com/globalSearch/TMS320VC5503GHH/page-1", "TMS320VC5503GHH")</f>
        <v>TMS320VC5503GHH</v>
      </c>
      <c r="B6868" s="3" t="s">
        <v>90</v>
      </c>
      <c r="C6868" s="5">
        <v>1836</v>
      </c>
      <c r="D6868" s="6">
        <v>20.7</v>
      </c>
      <c r="E6868" t="s">
        <v>87</v>
      </c>
    </row>
    <row r="6869" spans="1:5" x14ac:dyDescent="0.25">
      <c r="A6869" t="str">
        <f>HYPERLINK("https://www.773grp.com/globalSearch/TMS320VC5503PGE/page-1", "TMS320VC5503PGE")</f>
        <v>TMS320VC5503PGE</v>
      </c>
      <c r="B6869" s="3" t="s">
        <v>90</v>
      </c>
      <c r="C6869" s="5">
        <v>2668</v>
      </c>
      <c r="D6869" s="6">
        <v>20.7</v>
      </c>
      <c r="E6869" t="s">
        <v>87</v>
      </c>
    </row>
    <row r="6870" spans="1:5" x14ac:dyDescent="0.25">
      <c r="A6870" t="str">
        <f>HYPERLINK("https://www.773grp.com/globalSearch/TMS320LF2406APZA/page-1", "TMS320LF2406APZA")</f>
        <v>TMS320LF2406APZA</v>
      </c>
      <c r="B6870" s="3" t="s">
        <v>90</v>
      </c>
      <c r="C6870" s="5">
        <v>2250</v>
      </c>
      <c r="D6870" s="6">
        <v>20.81</v>
      </c>
      <c r="E6870" t="s">
        <v>87</v>
      </c>
    </row>
    <row r="6871" spans="1:5" x14ac:dyDescent="0.25">
      <c r="A6871" t="str">
        <f>HYPERLINK("https://www.773grp.com/globalSearch/TMS320LF2402APGS/page-1", "TMS320LF2402APGS")</f>
        <v>TMS320LF2402APGS</v>
      </c>
      <c r="B6871" s="3" t="s">
        <v>90</v>
      </c>
      <c r="C6871" s="5">
        <v>5360</v>
      </c>
      <c r="D6871" s="6">
        <v>20.96</v>
      </c>
      <c r="E6871" t="s">
        <v>87</v>
      </c>
    </row>
    <row r="6872" spans="1:5" x14ac:dyDescent="0.25">
      <c r="A6872" t="str">
        <f>HYPERLINK("https://www.773grp.com/globalSearch/TMS320C10FNL/page-1", "TMS320C10FNL")</f>
        <v>TMS320C10FNL</v>
      </c>
      <c r="B6872" s="3" t="s">
        <v>90</v>
      </c>
      <c r="C6872" s="5">
        <v>1579</v>
      </c>
      <c r="D6872" s="6">
        <v>21.1</v>
      </c>
      <c r="E6872" t="s">
        <v>87</v>
      </c>
    </row>
    <row r="6873" spans="1:5" x14ac:dyDescent="0.25">
      <c r="A6873" t="str">
        <f>HYPERLINK("https://www.773grp.com/globalSearch/TMS320C6742BZWTA2/page-1", "TMS320C6742BZWTA2")</f>
        <v>TMS320C6742BZWTA2</v>
      </c>
      <c r="B6873" s="3" t="s">
        <v>90</v>
      </c>
      <c r="C6873" s="5">
        <v>38</v>
      </c>
      <c r="D6873" s="6">
        <v>21.38</v>
      </c>
      <c r="E6873" t="s">
        <v>87</v>
      </c>
    </row>
    <row r="6874" spans="1:5" x14ac:dyDescent="0.25">
      <c r="A6874" t="str">
        <f>HYPERLINK("https://www.773grp.com/globalSearch/TMS320C5515AZCH10/page-1", "TMS320C5515AZCH10")</f>
        <v>TMS320C5515AZCH10</v>
      </c>
      <c r="B6874" s="3" t="s">
        <v>90</v>
      </c>
      <c r="C6874" s="5">
        <v>189</v>
      </c>
      <c r="D6874" s="6">
        <v>21.56</v>
      </c>
      <c r="E6874" t="s">
        <v>87</v>
      </c>
    </row>
    <row r="6875" spans="1:5" x14ac:dyDescent="0.25">
      <c r="A6875" t="str">
        <f>HYPERLINK("https://www.773grp.com/globalSearch/TMS320F2802ZGMA/page-1", "TMS320F2802ZGMA")</f>
        <v>TMS320F2802ZGMA</v>
      </c>
      <c r="B6875" s="3" t="s">
        <v>90</v>
      </c>
      <c r="C6875" s="5">
        <v>612</v>
      </c>
      <c r="D6875" s="6">
        <v>21.9</v>
      </c>
      <c r="E6875" t="s">
        <v>87</v>
      </c>
    </row>
    <row r="6876" spans="1:5" x14ac:dyDescent="0.25">
      <c r="A6876" t="str">
        <f>HYPERLINK("https://www.773grp.com/globalSearch/TMS320LF2407APGEA/page-1", "TMS320LF2407APGEA")</f>
        <v>TMS320LF2407APGEA</v>
      </c>
      <c r="B6876" s="3" t="s">
        <v>90</v>
      </c>
      <c r="C6876" s="5">
        <v>1014</v>
      </c>
      <c r="D6876" s="6">
        <v>22.08</v>
      </c>
      <c r="E6876" t="s">
        <v>87</v>
      </c>
    </row>
    <row r="6877" spans="1:5" x14ac:dyDescent="0.25">
      <c r="A6877" t="str">
        <f>HYPERLINK("https://www.773grp.com/globalSearch/TMS320VC5404GGU/page-1", "TMS320VC5404GGU")</f>
        <v>TMS320VC5404GGU</v>
      </c>
      <c r="B6877" s="3" t="s">
        <v>90</v>
      </c>
      <c r="C6877" s="5">
        <v>1684</v>
      </c>
      <c r="D6877" s="6">
        <v>22.5</v>
      </c>
      <c r="E6877" t="s">
        <v>87</v>
      </c>
    </row>
    <row r="6878" spans="1:5" x14ac:dyDescent="0.25">
      <c r="A6878" t="str">
        <f>HYPERLINK("https://www.773grp.com/globalSearch/TMS320LF2403APAGS/page-1", "TMS320LF2403APAGS")</f>
        <v>TMS320LF2403APAGS</v>
      </c>
      <c r="B6878" s="3" t="s">
        <v>90</v>
      </c>
      <c r="C6878" s="5">
        <v>7672</v>
      </c>
      <c r="D6878" s="6">
        <v>22.65</v>
      </c>
      <c r="E6878" t="s">
        <v>87</v>
      </c>
    </row>
    <row r="6879" spans="1:5" x14ac:dyDescent="0.25">
      <c r="A6879" t="str">
        <f>HYPERLINK("https://www.773grp.com/globalSearch/TMS320UC5409GGUR80/page-1", "TMS320UC5409GGUR80")</f>
        <v>TMS320UC5409GGUR80</v>
      </c>
      <c r="B6879" s="3" t="s">
        <v>90</v>
      </c>
      <c r="C6879" s="5">
        <v>355</v>
      </c>
      <c r="D6879" s="6">
        <v>23.4</v>
      </c>
      <c r="E6879" t="s">
        <v>87</v>
      </c>
    </row>
    <row r="6880" spans="1:5" x14ac:dyDescent="0.25">
      <c r="A6880" t="str">
        <f>HYPERLINK("https://www.773grp.com/globalSearch/TMS320LF2406PZA/page-1", "TMS320LF2406PZA")</f>
        <v>TMS320LF2406PZA</v>
      </c>
      <c r="B6880" s="3" t="s">
        <v>90</v>
      </c>
      <c r="C6880" s="5">
        <v>4</v>
      </c>
      <c r="D6880" s="6">
        <v>23.43</v>
      </c>
      <c r="E6880" t="s">
        <v>87</v>
      </c>
    </row>
    <row r="6881" spans="1:5" x14ac:dyDescent="0.25">
      <c r="A6881" t="str">
        <f>HYPERLINK("https://www.773grp.com/globalSearch/TMX320VC5505DZCH/page-1", "TMX320VC5505DZCH")</f>
        <v>TMX320VC5505DZCH</v>
      </c>
      <c r="B6881" s="3" t="s">
        <v>90</v>
      </c>
      <c r="C6881" s="5">
        <v>3564</v>
      </c>
      <c r="D6881" s="6">
        <v>23.63</v>
      </c>
      <c r="E6881" t="s">
        <v>87</v>
      </c>
    </row>
    <row r="6882" spans="1:5" x14ac:dyDescent="0.25">
      <c r="A6882" t="str">
        <f>HYPERLINK("https://www.773grp.com/globalSearch/TMS320LC203PZ/page-1", "TMS320LC203PZ")</f>
        <v>TMS320LC203PZ</v>
      </c>
      <c r="B6882" s="3" t="s">
        <v>90</v>
      </c>
      <c r="C6882" s="5">
        <v>630</v>
      </c>
      <c r="D6882" s="6">
        <v>24.05</v>
      </c>
      <c r="E6882" t="s">
        <v>87</v>
      </c>
    </row>
    <row r="6883" spans="1:5" x14ac:dyDescent="0.25">
      <c r="A6883" t="str">
        <f>HYPERLINK("https://www.773grp.com/globalSearch/TMS320C203PZ57/page-1", "TMS320C203PZ57")</f>
        <v>TMS320C203PZ57</v>
      </c>
      <c r="B6883" s="3" t="s">
        <v>90</v>
      </c>
      <c r="C6883" s="5">
        <v>6434</v>
      </c>
      <c r="D6883" s="6">
        <v>24.1</v>
      </c>
      <c r="E6883" t="s">
        <v>87</v>
      </c>
    </row>
    <row r="6884" spans="1:5" x14ac:dyDescent="0.25">
      <c r="A6884" t="str">
        <f>HYPERLINK("https://www.773grp.com/globalSearch/TMS320F2802PZS/page-1", "TMS320F2802PZS")</f>
        <v>TMS320F2802PZS</v>
      </c>
      <c r="B6884" s="3" t="s">
        <v>90</v>
      </c>
      <c r="C6884" s="5">
        <v>13</v>
      </c>
      <c r="D6884" s="6">
        <v>24.1</v>
      </c>
      <c r="E6884" t="s">
        <v>87</v>
      </c>
    </row>
    <row r="6885" spans="1:5" x14ac:dyDescent="0.25">
      <c r="A6885" t="str">
        <f>HYPERLINK("https://www.773grp.com/globalSearch/TMS320F2802ZGMS/page-1", "TMS320F2802ZGMS")</f>
        <v>TMS320F2802ZGMS</v>
      </c>
      <c r="B6885" s="3" t="s">
        <v>90</v>
      </c>
      <c r="C6885" s="5">
        <v>1626</v>
      </c>
      <c r="D6885" s="6">
        <v>24.1</v>
      </c>
      <c r="E6885" t="s">
        <v>87</v>
      </c>
    </row>
    <row r="6886" spans="1:5" x14ac:dyDescent="0.25">
      <c r="A6886" t="str">
        <f>HYPERLINK("https://www.773grp.com/globalSearch/TMS320VC5404PGE/page-1", "TMS320VC5404PGE")</f>
        <v>TMS320VC5404PGE</v>
      </c>
      <c r="B6886" s="3" t="s">
        <v>90</v>
      </c>
      <c r="C6886" s="5">
        <v>5328</v>
      </c>
      <c r="D6886" s="6">
        <v>24.44</v>
      </c>
      <c r="E6886" t="s">
        <v>87</v>
      </c>
    </row>
    <row r="6887" spans="1:5" x14ac:dyDescent="0.25">
      <c r="A6887" t="str">
        <f>HYPERLINK("https://www.773grp.com/globalSearch/TMX320F2806PZA/page-1", "TMX320F2806PZA")</f>
        <v>TMX320F2806PZA</v>
      </c>
      <c r="B6887" s="3" t="s">
        <v>90</v>
      </c>
      <c r="C6887" s="5">
        <v>65</v>
      </c>
      <c r="D6887" s="6">
        <v>24.44</v>
      </c>
      <c r="E6887" t="s">
        <v>87</v>
      </c>
    </row>
    <row r="6888" spans="1:5" x14ac:dyDescent="0.25">
      <c r="A6888" t="str">
        <f>HYPERLINK("https://www.773grp.com/globalSearch/TMS320F2806GGMA/page-1", "TMS320F2806GGMA")</f>
        <v>TMS320F2806GGMA</v>
      </c>
      <c r="B6888" s="3" t="s">
        <v>90</v>
      </c>
      <c r="C6888" s="5">
        <v>158</v>
      </c>
      <c r="D6888" s="6">
        <v>24.48</v>
      </c>
      <c r="E6888" t="s">
        <v>87</v>
      </c>
    </row>
    <row r="6889" spans="1:5" x14ac:dyDescent="0.25">
      <c r="A6889" t="str">
        <f>HYPERLINK("https://www.773grp.com/globalSearch/TMS320F2806PZA/page-1", "TMS320F2806PZA")</f>
        <v>TMS320F2806PZA</v>
      </c>
      <c r="B6889" s="3" t="s">
        <v>90</v>
      </c>
      <c r="C6889" s="5">
        <v>1467</v>
      </c>
      <c r="D6889" s="6">
        <v>24.48</v>
      </c>
      <c r="E6889" t="s">
        <v>87</v>
      </c>
    </row>
    <row r="6890" spans="1:5" x14ac:dyDescent="0.25">
      <c r="A6890" t="str">
        <f>HYPERLINK("https://www.773grp.com/globalSearch/TMS320VC5502GZZ300/page-1", "TMS320VC5502GZZ300")</f>
        <v>TMS320VC5502GZZ300</v>
      </c>
      <c r="B6890" s="3" t="s">
        <v>90</v>
      </c>
      <c r="C6890" s="5">
        <v>3724</v>
      </c>
      <c r="D6890" s="6">
        <v>24.81</v>
      </c>
      <c r="E6890" t="s">
        <v>87</v>
      </c>
    </row>
    <row r="6891" spans="1:5" x14ac:dyDescent="0.25">
      <c r="A6891" t="str">
        <f>HYPERLINK("https://www.773grp.com/globalSearch/TMS320C6743BZKB3/page-1", "TMS320C6743BZKB3")</f>
        <v>TMS320C6743BZKB3</v>
      </c>
      <c r="B6891" s="3" t="s">
        <v>90</v>
      </c>
      <c r="C6891" s="5">
        <v>1293</v>
      </c>
      <c r="D6891" s="6">
        <v>25.18</v>
      </c>
      <c r="E6891" t="s">
        <v>87</v>
      </c>
    </row>
    <row r="6892" spans="1:5" x14ac:dyDescent="0.25">
      <c r="A6892" t="str">
        <f>HYPERLINK("https://www.773grp.com/globalSearch/TMS320VC5407GGU/page-1", "TMS320VC5407GGU")</f>
        <v>TMS320VC5407GGU</v>
      </c>
      <c r="B6892" s="3" t="s">
        <v>90</v>
      </c>
      <c r="C6892" s="5">
        <v>166</v>
      </c>
      <c r="D6892" s="6">
        <v>25.18</v>
      </c>
      <c r="E6892" t="s">
        <v>87</v>
      </c>
    </row>
    <row r="6893" spans="1:5" x14ac:dyDescent="0.25">
      <c r="A6893" t="str">
        <f>HYPERLINK("https://www.773grp.com/globalSearch/TMS320VC5407ZGU/page-1", "TMS320VC5407ZGU")</f>
        <v>TMS320VC5407ZGU</v>
      </c>
      <c r="B6893" s="3" t="s">
        <v>90</v>
      </c>
      <c r="C6893" s="5">
        <v>887</v>
      </c>
      <c r="D6893" s="6">
        <v>25.18</v>
      </c>
      <c r="E6893" t="s">
        <v>87</v>
      </c>
    </row>
    <row r="6894" spans="1:5" x14ac:dyDescent="0.25">
      <c r="A6894" t="str">
        <f>HYPERLINK("https://www.773grp.com/globalSearch/TMS320C6746BZCE3/page-1", "TMS320C6746BZCE3")</f>
        <v>TMS320C6746BZCE3</v>
      </c>
      <c r="B6894" s="3" t="s">
        <v>90</v>
      </c>
      <c r="C6894" s="5">
        <v>2230</v>
      </c>
      <c r="D6894" s="6">
        <v>25.31</v>
      </c>
      <c r="E6894" t="s">
        <v>87</v>
      </c>
    </row>
    <row r="6895" spans="1:5" x14ac:dyDescent="0.25">
      <c r="A6895" t="str">
        <f>HYPERLINK("https://www.773grp.com/globalSearch/TMS320C54CSTZGU/page-1", "TMS320C54CSTZGU")</f>
        <v>TMS320C54CSTZGU</v>
      </c>
      <c r="B6895" s="3" t="s">
        <v>90</v>
      </c>
      <c r="C6895" s="5">
        <v>5</v>
      </c>
      <c r="D6895" s="6">
        <v>25.49</v>
      </c>
      <c r="E6895" t="s">
        <v>87</v>
      </c>
    </row>
    <row r="6896" spans="1:5" x14ac:dyDescent="0.25">
      <c r="A6896" t="str">
        <f>HYPERLINK("https://www.773grp.com/globalSearch/TMS320R2811PBKA/page-1", "TMS320R2811PBKA")</f>
        <v>TMS320R2811PBKA</v>
      </c>
      <c r="B6896" s="3" t="s">
        <v>90</v>
      </c>
      <c r="C6896" s="5">
        <v>306</v>
      </c>
      <c r="D6896" s="6">
        <v>25.74</v>
      </c>
      <c r="E6896" t="s">
        <v>87</v>
      </c>
    </row>
    <row r="6897" spans="1:5" x14ac:dyDescent="0.25">
      <c r="A6897" t="str">
        <f>HYPERLINK("https://www.773grp.com/globalSearch/TMS320C10NL/page-1", "TMS320C10NL")</f>
        <v>TMS320C10NL</v>
      </c>
      <c r="B6897" s="3" t="s">
        <v>90</v>
      </c>
      <c r="C6897" s="5">
        <v>20186</v>
      </c>
      <c r="D6897" s="6">
        <v>25.88</v>
      </c>
      <c r="E6897" t="s">
        <v>87</v>
      </c>
    </row>
    <row r="6898" spans="1:5" x14ac:dyDescent="0.25">
      <c r="A6898" t="str">
        <f>HYPERLINK("https://www.773grp.com/globalSearch/TMX320VC5502PGF300/page-1", "TMX320VC5502PGF300")</f>
        <v>TMX320VC5502PGF300</v>
      </c>
      <c r="B6898" s="3" t="s">
        <v>90</v>
      </c>
      <c r="C6898" s="5">
        <v>448</v>
      </c>
      <c r="D6898" s="6">
        <v>25.88</v>
      </c>
      <c r="E6898" t="s">
        <v>87</v>
      </c>
    </row>
    <row r="6899" spans="1:5" x14ac:dyDescent="0.25">
      <c r="A6899" t="str">
        <f>HYPERLINK("https://www.773grp.com/globalSearch/TMS320VC5409PGE-80/page-1", "TMS320VC5409PGE-80")</f>
        <v>TMS320VC5409PGE-80</v>
      </c>
      <c r="B6899" s="3" t="s">
        <v>90</v>
      </c>
      <c r="C6899" s="5">
        <v>28</v>
      </c>
      <c r="D6899" s="6">
        <v>25.99</v>
      </c>
      <c r="E6899" t="s">
        <v>87</v>
      </c>
    </row>
    <row r="6900" spans="1:5" x14ac:dyDescent="0.25">
      <c r="A6900" t="str">
        <f>HYPERLINK("https://www.773grp.com/globalSearch/TMS320VC5409ZGU-80/page-1", "TMS320VC5409ZGU-80")</f>
        <v>TMS320VC5409ZGU-80</v>
      </c>
      <c r="B6900" s="3" t="s">
        <v>90</v>
      </c>
      <c r="C6900" s="5">
        <v>6578</v>
      </c>
      <c r="D6900" s="6">
        <v>25.99</v>
      </c>
      <c r="E6900" t="s">
        <v>87</v>
      </c>
    </row>
    <row r="6901" spans="1:5" x14ac:dyDescent="0.25">
      <c r="A6901" t="str">
        <f>HYPERLINK("https://www.773grp.com/globalSearch/TMS320C203PZA/page-1", "TMS320C203PZA")</f>
        <v>TMS320C203PZA</v>
      </c>
      <c r="B6901" s="3" t="s">
        <v>90</v>
      </c>
      <c r="C6901" s="5">
        <v>10</v>
      </c>
      <c r="D6901" s="6">
        <v>26.53</v>
      </c>
      <c r="E6901" t="s">
        <v>87</v>
      </c>
    </row>
    <row r="6902" spans="1:5" x14ac:dyDescent="0.25">
      <c r="A6902" t="str">
        <f>HYPERLINK("https://www.773grp.com/globalSearch/TMS320LF2402PGS/page-1", "TMS320LF2402PGS")</f>
        <v>TMS320LF2402PGS</v>
      </c>
      <c r="B6902" s="3" t="s">
        <v>90</v>
      </c>
      <c r="C6902" s="5">
        <v>969</v>
      </c>
      <c r="D6902" s="6">
        <v>26.75</v>
      </c>
      <c r="E6902" t="s">
        <v>87</v>
      </c>
    </row>
    <row r="6903" spans="1:5" x14ac:dyDescent="0.25">
      <c r="A6903" t="str">
        <f>HYPERLINK("https://www.773grp.com/globalSearch/TMS320F2806GGMS/page-1", "TMS320F2806GGMS")</f>
        <v>TMS320F2806GGMS</v>
      </c>
      <c r="B6903" s="3" t="s">
        <v>90</v>
      </c>
      <c r="C6903" s="5">
        <v>184</v>
      </c>
      <c r="D6903" s="6">
        <v>27</v>
      </c>
      <c r="E6903" t="s">
        <v>87</v>
      </c>
    </row>
    <row r="6904" spans="1:5" x14ac:dyDescent="0.25">
      <c r="A6904" t="str">
        <f>HYPERLINK("https://www.773grp.com/globalSearch/TMS320F2806PZS/page-1", "TMS320F2806PZS")</f>
        <v>TMS320F2806PZS</v>
      </c>
      <c r="B6904" s="3" t="s">
        <v>90</v>
      </c>
      <c r="C6904" s="5">
        <v>149</v>
      </c>
      <c r="D6904" s="6">
        <v>27</v>
      </c>
      <c r="E6904" t="s">
        <v>87</v>
      </c>
    </row>
    <row r="6905" spans="1:5" x14ac:dyDescent="0.25">
      <c r="A6905" t="str">
        <f>HYPERLINK("https://www.773grp.com/globalSearch/TMX320VC5502GZZ300/page-1", "TMX320VC5502GZZ300")</f>
        <v>TMX320VC5502GZZ300</v>
      </c>
      <c r="B6905" s="3" t="s">
        <v>90</v>
      </c>
      <c r="C6905" s="5">
        <v>435</v>
      </c>
      <c r="D6905" s="6">
        <v>27.18</v>
      </c>
      <c r="E6905" t="s">
        <v>87</v>
      </c>
    </row>
    <row r="6906" spans="1:5" x14ac:dyDescent="0.25">
      <c r="A6906" t="str">
        <f>HYPERLINK("https://www.773grp.com/globalSearch/TMX320LF2401AVFA/page-1", "TMX320LF2401AVFA")</f>
        <v>TMX320LF2401AVFA</v>
      </c>
      <c r="B6906" s="3" t="str">
        <f>HYPERLINK("https://www.773grp.com/manufacturer/texas-instruments?pageNo=27", "Texas Instruments")</f>
        <v>Texas Instruments</v>
      </c>
      <c r="C6906" s="5">
        <v>54</v>
      </c>
      <c r="D6906" s="6">
        <v>27.48</v>
      </c>
      <c r="E6906" t="s">
        <v>87</v>
      </c>
    </row>
    <row r="6907" spans="1:5" x14ac:dyDescent="0.25">
      <c r="A6907" t="str">
        <f>HYPERLINK("https://www.773grp.com/globalSearch/TMS320F28044PZA/page-1", "TMS320F28044PZA")</f>
        <v>TMS320F28044PZA</v>
      </c>
      <c r="B6907" s="3" t="str">
        <f>HYPERLINK("https://www.773grp.com/manufacturer/texas-instruments?pageNo=112", "Texas Instruments")</f>
        <v>Texas Instruments</v>
      </c>
      <c r="C6907" s="5">
        <v>2369</v>
      </c>
      <c r="D6907" s="6">
        <v>27.98</v>
      </c>
      <c r="E6907" t="s">
        <v>87</v>
      </c>
    </row>
    <row r="6908" spans="1:5" x14ac:dyDescent="0.25">
      <c r="A6908" t="str">
        <f>HYPERLINK("https://www.773grp.com/globalSearch/TMS320C10FNLR25/page-1", "TMS320C10FNLR25")</f>
        <v>TMS320C10FNLR25</v>
      </c>
      <c r="B6908" s="3" t="str">
        <f>HYPERLINK("https://www.773grp.com/manufacturer/texas-instruments?pageNo=149", "Texas Instruments")</f>
        <v>Texas Instruments</v>
      </c>
      <c r="C6908" s="5">
        <v>3500</v>
      </c>
      <c r="D6908" s="6">
        <v>28.13</v>
      </c>
      <c r="E6908" t="s">
        <v>87</v>
      </c>
    </row>
    <row r="6909" spans="1:5" x14ac:dyDescent="0.25">
      <c r="A6909" t="str">
        <f>HYPERLINK("https://www.773grp.com/globalSearch/TMS320C6421ZWT4/page-1", "TMS320C6421ZWT4")</f>
        <v>TMS320C6421ZWT4</v>
      </c>
      <c r="B6909" s="3" t="str">
        <f>HYPERLINK("https://www.773grp.com/manufacturer/texas-instruments?pageNo=222", "Texas Instruments")</f>
        <v>Texas Instruments</v>
      </c>
      <c r="C6909" s="5">
        <v>134</v>
      </c>
      <c r="D6909" s="6">
        <v>28.4</v>
      </c>
      <c r="E6909" t="s">
        <v>87</v>
      </c>
    </row>
    <row r="6910" spans="1:5" x14ac:dyDescent="0.25">
      <c r="A6910" t="str">
        <f>HYPERLINK("https://www.773grp.com/globalSearch/TMS320VC5507PGE/page-1", "TMS320VC5507PGE")</f>
        <v>TMS320VC5507PGE</v>
      </c>
      <c r="B6910" s="3" t="str">
        <f>HYPERLINK("https://www.773grp.com/manufacturer/texas-instruments?pageNo=270", "Texas Instruments")</f>
        <v>Texas Instruments</v>
      </c>
      <c r="C6910" s="5">
        <v>4273</v>
      </c>
      <c r="D6910" s="6">
        <v>28.89</v>
      </c>
      <c r="E6910" t="s">
        <v>87</v>
      </c>
    </row>
    <row r="6911" spans="1:5" x14ac:dyDescent="0.25">
      <c r="A6911" t="str">
        <f>HYPERLINK("https://www.773grp.com/globalSearch/TMS320C16PGL/page-1", "TMS320C16PGL")</f>
        <v>TMS320C16PGL</v>
      </c>
      <c r="B6911" s="3" t="str">
        <f>HYPERLINK("https://www.773grp.com/manufacturer/texas-instruments?pageNo=309", "Texas Instruments")</f>
        <v>Texas Instruments</v>
      </c>
      <c r="C6911" s="5">
        <v>45</v>
      </c>
      <c r="D6911" s="6">
        <v>29.14</v>
      </c>
      <c r="E6911" t="s">
        <v>87</v>
      </c>
    </row>
    <row r="6912" spans="1:5" x14ac:dyDescent="0.25">
      <c r="A6912" t="str">
        <f>HYPERLINK("https://www.773grp.com/globalSearch/TMS320LC203PZA/page-1", "TMS320LC203PZA")</f>
        <v>TMS320LC203PZA</v>
      </c>
      <c r="B6912" s="3" t="str">
        <f>HYPERLINK("https://www.773grp.com/manufacturer/texas-instruments?pageNo=313", "Texas Instruments")</f>
        <v>Texas Instruments</v>
      </c>
      <c r="C6912" s="5">
        <v>201</v>
      </c>
      <c r="D6912" s="6">
        <v>29.16</v>
      </c>
      <c r="E6912" t="s">
        <v>87</v>
      </c>
    </row>
    <row r="6913" spans="1:5" x14ac:dyDescent="0.25">
      <c r="A6913" t="str">
        <f>HYPERLINK("https://www.773grp.com/globalSearch/TMS320LF2407PGES/page-1", "TMS320LF2407PGES")</f>
        <v>TMS320LF2407PGES</v>
      </c>
      <c r="B6913" s="3" t="str">
        <f>HYPERLINK("https://www.773grp.com/manufacturer/texas-instruments?pageNo=401", "Texas Instruments")</f>
        <v>Texas Instruments</v>
      </c>
      <c r="C6913" s="5">
        <v>1831</v>
      </c>
      <c r="D6913" s="6">
        <v>29.7</v>
      </c>
      <c r="E6913" t="s">
        <v>87</v>
      </c>
    </row>
    <row r="6914" spans="1:5" x14ac:dyDescent="0.25">
      <c r="A6914" t="str">
        <f>HYPERLINK("https://www.773grp.com/globalSearch/TMS320R2812GHHA/page-1", "TMS320R2812GHHA")</f>
        <v>TMS320R2812GHHA</v>
      </c>
      <c r="B6914" s="3" t="str">
        <f>HYPERLINK("https://www.773grp.com/manufacturer/texas-instruments?pageNo=426", "Texas Instruments")</f>
        <v>Texas Instruments</v>
      </c>
      <c r="C6914" s="5">
        <v>711</v>
      </c>
      <c r="D6914" s="6">
        <v>29.95</v>
      </c>
      <c r="E6914" t="s">
        <v>87</v>
      </c>
    </row>
    <row r="6915" spans="1:5" x14ac:dyDescent="0.25">
      <c r="A6915" t="str">
        <f>HYPERLINK("https://www.773grp.com/globalSearch/TMS320R2812PGFA/page-1", "TMS320R2812PGFA")</f>
        <v>TMS320R2812PGFA</v>
      </c>
      <c r="B6915" s="3" t="str">
        <f>HYPERLINK("https://www.773grp.com/manufacturer/texas-instruments?pageNo=427", "Texas Instruments")</f>
        <v>Texas Instruments</v>
      </c>
      <c r="C6915" s="5">
        <v>457</v>
      </c>
      <c r="D6915" s="6">
        <v>29.95</v>
      </c>
      <c r="E6915" t="s">
        <v>87</v>
      </c>
    </row>
    <row r="6916" spans="1:5" x14ac:dyDescent="0.25">
      <c r="A6916" t="str">
        <f>HYPERLINK("https://www.773grp.com/globalSearch/TMS320R2812ZHHA/page-1", "TMS320R2812ZHHA")</f>
        <v>TMS320R2812ZHHA</v>
      </c>
      <c r="B6916" s="3" t="str">
        <f>HYPERLINK("https://www.773grp.com/manufacturer/texas-instruments?pageNo=428", "Texas Instruments")</f>
        <v>Texas Instruments</v>
      </c>
      <c r="C6916" s="5">
        <v>1305</v>
      </c>
      <c r="D6916" s="6">
        <v>29.95</v>
      </c>
      <c r="E6916" t="s">
        <v>87</v>
      </c>
    </row>
    <row r="6917" spans="1:5" x14ac:dyDescent="0.25">
      <c r="A6917" t="str">
        <f>HYPERLINK("https://www.773grp.com/globalSearch/TMS320C6204GHK200/page-1", "TMS320C6204GHK200")</f>
        <v>TMS320C6204GHK200</v>
      </c>
      <c r="B6917" s="3" t="str">
        <f>HYPERLINK("https://www.773grp.com/manufacturer/texas-instruments?pageNo=474", "Texas Instruments")</f>
        <v>Texas Instruments</v>
      </c>
      <c r="C6917" s="5">
        <v>8163</v>
      </c>
      <c r="D6917" s="6">
        <v>30.34</v>
      </c>
      <c r="E6917" t="s">
        <v>87</v>
      </c>
    </row>
    <row r="6918" spans="1:5" x14ac:dyDescent="0.25">
      <c r="A6918" t="str">
        <f>HYPERLINK("https://www.773grp.com/globalSearch/TMX320VC5502GGW200/page-1", "TMX320VC5502GGW200")</f>
        <v>TMX320VC5502GGW200</v>
      </c>
      <c r="B6918" s="3" t="str">
        <f>HYPERLINK("https://www.773grp.com/manufacturer/texas-instruments?pageNo=602", "Texas Instruments")</f>
        <v>Texas Instruments</v>
      </c>
      <c r="C6918" s="5">
        <v>4</v>
      </c>
      <c r="D6918" s="6">
        <v>30.8</v>
      </c>
      <c r="E6918" t="s">
        <v>87</v>
      </c>
    </row>
    <row r="6919" spans="1:5" x14ac:dyDescent="0.25">
      <c r="A6919" t="str">
        <f>HYPERLINK("https://www.773grp.com/globalSearch/TMS320C10FNL25/page-1", "TMS320C10FNL25")</f>
        <v>TMS320C10FNL25</v>
      </c>
      <c r="B6919" s="3" t="str">
        <f>HYPERLINK("https://www.773grp.com/manufacturer/texas-instruments?pageNo=633", "Texas Instruments")</f>
        <v>Texas Instruments</v>
      </c>
      <c r="C6919" s="5">
        <v>2295</v>
      </c>
      <c r="D6919" s="6">
        <v>30.94</v>
      </c>
      <c r="E6919" t="s">
        <v>87</v>
      </c>
    </row>
    <row r="6920" spans="1:5" x14ac:dyDescent="0.25">
      <c r="A6920" t="str">
        <f>HYPERLINK("https://www.773grp.com/globalSearch/TMS320C10NL-25/page-1", "TMS320C10NL-25")</f>
        <v>TMS320C10NL-25</v>
      </c>
      <c r="B6920" s="3" t="str">
        <f>HYPERLINK("https://www.773grp.com/manufacturer/texas-instruments?pageNo=646", "Texas Instruments")</f>
        <v>Texas Instruments</v>
      </c>
      <c r="C6920" s="5">
        <v>2</v>
      </c>
      <c r="D6920" s="6">
        <v>31.09</v>
      </c>
      <c r="E6920" t="s">
        <v>87</v>
      </c>
    </row>
    <row r="6921" spans="1:5" x14ac:dyDescent="0.25">
      <c r="A6921" t="str">
        <f>HYPERLINK("https://www.773grp.com/globalSearch/TMS320F2808ZGMA/page-1", "TMS320F2808ZGMA")</f>
        <v>TMS320F2808ZGMA</v>
      </c>
      <c r="B6921" s="3" t="str">
        <f>HYPERLINK("https://www.773grp.com/manufacturer/texas-instruments?pageNo=648", "Texas Instruments")</f>
        <v>Texas Instruments</v>
      </c>
      <c r="C6921" s="5">
        <v>2922</v>
      </c>
      <c r="D6921" s="6">
        <v>31.09</v>
      </c>
      <c r="E6921" t="s">
        <v>87</v>
      </c>
    </row>
    <row r="6922" spans="1:5" x14ac:dyDescent="0.25">
      <c r="A6922" t="str">
        <f>HYPERLINK("https://www.773grp.com/globalSearch/TMS320SS16NL/page-1", "TMS320SS16NL")</f>
        <v>TMS320SS16NL</v>
      </c>
      <c r="B6922" s="3" t="str">
        <f>HYPERLINK("https://www.773grp.com/manufacturer/texas-instruments?pageNo=669", "Texas Instruments")</f>
        <v>Texas Instruments</v>
      </c>
      <c r="C6922" s="5">
        <v>423</v>
      </c>
      <c r="D6922" s="6">
        <v>31.34</v>
      </c>
      <c r="E6922" t="s">
        <v>87</v>
      </c>
    </row>
    <row r="6923" spans="1:5" x14ac:dyDescent="0.25">
      <c r="A6923" t="str">
        <f>HYPERLINK("https://www.773grp.com/globalSearch/TMS320C6722RFP200/page-1", "TMS320C6722RFP200")</f>
        <v>TMS320C6722RFP200</v>
      </c>
      <c r="B6923" s="3" t="str">
        <f>HYPERLINK("https://www.773grp.com/manufacturer/texas-instruments?pageNo=702", "Texas Instruments")</f>
        <v>Texas Instruments</v>
      </c>
      <c r="C6923" s="5">
        <v>195</v>
      </c>
      <c r="D6923" s="6">
        <v>31.61</v>
      </c>
      <c r="E6923" t="s">
        <v>87</v>
      </c>
    </row>
    <row r="6924" spans="1:5" x14ac:dyDescent="0.25">
      <c r="A6924" t="str">
        <f>HYPERLINK("https://www.773grp.com/globalSearch/TMS320DM6431ZDU3/page-1", "TMS320DM6431ZDU3")</f>
        <v>TMS320DM6431ZDU3</v>
      </c>
      <c r="B6924" s="3" t="str">
        <f>HYPERLINK("https://www.773grp.com/manufacturer/texas-instruments?pageNo=712", "Texas Instruments")</f>
        <v>Texas Instruments</v>
      </c>
      <c r="C6924" s="5">
        <v>243</v>
      </c>
      <c r="D6924" s="6">
        <v>31.64</v>
      </c>
      <c r="E6924" t="s">
        <v>87</v>
      </c>
    </row>
    <row r="6925" spans="1:5" x14ac:dyDescent="0.25">
      <c r="A6925" t="str">
        <f>HYPERLINK("https://www.773grp.com/globalSearch/TMS320DM6431ZWT3/page-1", "TMS320DM6431ZWT3")</f>
        <v>TMS320DM6431ZWT3</v>
      </c>
      <c r="B6925" s="3" t="str">
        <f>HYPERLINK("https://www.773grp.com/manufacturer/texas-instruments?pageNo=713", "Texas Instruments")</f>
        <v>Texas Instruments</v>
      </c>
      <c r="C6925" s="5">
        <v>171</v>
      </c>
      <c r="D6925" s="6">
        <v>31.64</v>
      </c>
      <c r="E6925" t="s">
        <v>87</v>
      </c>
    </row>
    <row r="6926" spans="1:5" x14ac:dyDescent="0.25">
      <c r="A6926" t="str">
        <f>HYPERLINK("https://www.773grp.com/globalSearch/TMS320VC5409GGU100/page-1", "TMS320VC5409GGU100")</f>
        <v>TMS320VC5409GGU100</v>
      </c>
      <c r="B6926" s="3" t="str">
        <f>HYPERLINK("https://www.773grp.com/manufacturer/texas-instruments?pageNo=766", "Texas Instruments")</f>
        <v>Texas Instruments</v>
      </c>
      <c r="C6926" s="5">
        <v>36562</v>
      </c>
      <c r="D6926" s="6">
        <v>31.98</v>
      </c>
      <c r="E6926" t="s">
        <v>87</v>
      </c>
    </row>
    <row r="6927" spans="1:5" x14ac:dyDescent="0.25">
      <c r="A6927" t="str">
        <f>HYPERLINK("https://www.773grp.com/globalSearch/TMS320VC5409PGE100/page-1", "TMS320VC5409PGE100")</f>
        <v>TMS320VC5409PGE100</v>
      </c>
      <c r="B6927" s="3" t="str">
        <f>HYPERLINK("https://www.773grp.com/manufacturer/texas-instruments?pageNo=767", "Texas Instruments")</f>
        <v>Texas Instruments</v>
      </c>
      <c r="C6927" s="5">
        <v>5470</v>
      </c>
      <c r="D6927" s="6">
        <v>31.98</v>
      </c>
      <c r="E6927" t="s">
        <v>87</v>
      </c>
    </row>
    <row r="6928" spans="1:5" x14ac:dyDescent="0.25">
      <c r="A6928" t="str">
        <f>HYPERLINK("https://www.773grp.com/globalSearch/TMS320VC5409ZGU100/page-1", "TMS320VC5409ZGU100")</f>
        <v>TMS320VC5409ZGU100</v>
      </c>
      <c r="B6928" s="3" t="str">
        <f>HYPERLINK("https://www.773grp.com/manufacturer/texas-instruments?pageNo=768", "Texas Instruments")</f>
        <v>Texas Instruments</v>
      </c>
      <c r="C6928" s="5">
        <v>49</v>
      </c>
      <c r="D6928" s="6">
        <v>31.98</v>
      </c>
      <c r="E6928" t="s">
        <v>87</v>
      </c>
    </row>
    <row r="6929" spans="1:5" x14ac:dyDescent="0.25">
      <c r="A6929" t="str">
        <f>HYPERLINK("https://www.773grp.com/globalSearch/TMS320C6748AZCE3/page-1", "TMS320C6748AZCE3")</f>
        <v>TMS320C6748AZCE3</v>
      </c>
      <c r="B6929" s="3" t="str">
        <f>HYPERLINK("https://www.773grp.com/manufacturer/texas-instruments?pageNo=837", "Texas Instruments")</f>
        <v>Texas Instruments</v>
      </c>
      <c r="C6929" s="5">
        <v>2131</v>
      </c>
      <c r="D6929" s="6">
        <v>32.35</v>
      </c>
      <c r="E6929" t="s">
        <v>87</v>
      </c>
    </row>
    <row r="6930" spans="1:5" x14ac:dyDescent="0.25">
      <c r="A6930" t="str">
        <f>HYPERLINK("https://www.773grp.com/globalSearch/TMS320C6748BZCE3/page-1", "TMS320C6748BZCE3")</f>
        <v>TMS320C6748BZCE3</v>
      </c>
      <c r="B6930" s="3" t="str">
        <f>HYPERLINK("https://www.773grp.com/manufacturer/texas-instruments?pageNo=838", "Texas Instruments")</f>
        <v>Texas Instruments</v>
      </c>
      <c r="C6930" s="5">
        <v>4560</v>
      </c>
      <c r="D6930" s="6">
        <v>32.35</v>
      </c>
      <c r="E6930" t="s">
        <v>87</v>
      </c>
    </row>
    <row r="6931" spans="1:5" x14ac:dyDescent="0.25">
      <c r="A6931" t="str">
        <f>HYPERLINK("https://www.773grp.com/globalSearch/TMSDC6722BRFPA225/page-1", "TMSDC6722BRFPA225")</f>
        <v>TMSDC6722BRFPA225</v>
      </c>
      <c r="B6931" s="3" t="str">
        <f>HYPERLINK("https://www.773grp.com/manufacturer/texas-instruments?pageNo=853", "Texas Instruments")</f>
        <v>Texas Instruments</v>
      </c>
      <c r="C6931" s="5">
        <v>17</v>
      </c>
      <c r="D6931" s="6">
        <v>32.49</v>
      </c>
      <c r="E6931" t="s">
        <v>87</v>
      </c>
    </row>
    <row r="6932" spans="1:5" x14ac:dyDescent="0.25">
      <c r="A6932" t="str">
        <f>HYPERLINK("https://www.773grp.com/globalSearch/TMS320R2811PBKQ/page-1", "TMS320R2811PBKQ")</f>
        <v>TMS320R2811PBKQ</v>
      </c>
      <c r="B6932" s="3" t="str">
        <f>HYPERLINK("https://www.773grp.com/manufacturer/texas-instruments?pageNo=881", "Texas Instruments")</f>
        <v>Texas Instruments</v>
      </c>
      <c r="C6932" s="5">
        <v>247</v>
      </c>
      <c r="D6932" s="6">
        <v>32.78</v>
      </c>
      <c r="E6932" t="s">
        <v>87</v>
      </c>
    </row>
    <row r="6933" spans="1:5" x14ac:dyDescent="0.25">
      <c r="A6933" t="str">
        <f>HYPERLINK("https://www.773grp.com/globalSearch/TMS320WP010PZ/page-1", "TMS320WP010PZ")</f>
        <v>TMS320WP010PZ</v>
      </c>
      <c r="B6933" s="3" t="str">
        <f>HYPERLINK("https://www.773grp.com/manufacturer/texas-instruments?pageNo=882", "Texas Instruments")</f>
        <v>Texas Instruments</v>
      </c>
      <c r="C6933" s="5">
        <v>720</v>
      </c>
      <c r="D6933" s="6">
        <v>32.78</v>
      </c>
      <c r="E6933" t="s">
        <v>87</v>
      </c>
    </row>
    <row r="6934" spans="1:5" x14ac:dyDescent="0.25">
      <c r="A6934" t="str">
        <f>HYPERLINK("https://www.773grp.com/globalSearch/TMS320VC33PGE120/page-1", "TMS320VC33PGE120")</f>
        <v>TMS320VC33PGE120</v>
      </c>
      <c r="B6934" s="3" t="str">
        <f>HYPERLINK("https://www.773grp.com/manufacturer/texas-instruments?pageNo=886", "Texas Instruments")</f>
        <v>Texas Instruments</v>
      </c>
      <c r="C6934" s="5">
        <v>130</v>
      </c>
      <c r="D6934" s="6">
        <v>32.85</v>
      </c>
      <c r="E6934" t="s">
        <v>87</v>
      </c>
    </row>
    <row r="6935" spans="1:5" x14ac:dyDescent="0.25">
      <c r="A6935" t="str">
        <f>HYPERLINK("https://www.773grp.com/globalSearch/TMS320R2812GHHS/page-1", "TMS320R2812GHHS")</f>
        <v>TMS320R2812GHHS</v>
      </c>
      <c r="B6935" s="3" t="str">
        <f>HYPERLINK("https://www.773grp.com/manufacturer/texas-instruments?pageNo=902", "Texas Instruments")</f>
        <v>Texas Instruments</v>
      </c>
      <c r="C6935" s="5">
        <v>215</v>
      </c>
      <c r="D6935" s="6">
        <v>33.04</v>
      </c>
      <c r="E6935" t="s">
        <v>87</v>
      </c>
    </row>
    <row r="6936" spans="1:5" x14ac:dyDescent="0.25">
      <c r="A6936" t="str">
        <f>HYPERLINK("https://www.773grp.com/globalSearch/TMS320VC5402AGGU16/page-1", "TMS320VC5402AGGU16")</f>
        <v>TMS320VC5402AGGU16</v>
      </c>
      <c r="B6936" s="3" t="str">
        <f>HYPERLINK("https://www.773grp.com/manufacturer/texas-instruments?pageNo=948", "Texas Instruments")</f>
        <v>Texas Instruments</v>
      </c>
      <c r="C6936" s="5">
        <v>495</v>
      </c>
      <c r="D6936" s="6">
        <v>33.33</v>
      </c>
      <c r="E6936" t="s">
        <v>87</v>
      </c>
    </row>
    <row r="6937" spans="1:5" x14ac:dyDescent="0.25">
      <c r="A6937" t="str">
        <f>HYPERLINK("https://www.773grp.com/globalSearch/TMS320VC5402AZGU16/page-1", "TMS320VC5402AZGU16")</f>
        <v>TMS320VC5402AZGU16</v>
      </c>
      <c r="B6937" s="3" t="str">
        <f>HYPERLINK("https://www.773grp.com/manufacturer/texas-instruments?pageNo=950", "Texas Instruments")</f>
        <v>Texas Instruments</v>
      </c>
      <c r="C6937" s="5">
        <v>79</v>
      </c>
      <c r="D6937" s="6">
        <v>33.33</v>
      </c>
      <c r="E6937" t="s">
        <v>87</v>
      </c>
    </row>
    <row r="6938" spans="1:5" x14ac:dyDescent="0.25">
      <c r="A6938" t="str">
        <f>HYPERLINK("https://www.773grp.com/globalSearch/TMS320VC5409AZGU12/page-1", "TMS320VC5409AZGU12")</f>
        <v>TMS320VC5409AZGU12</v>
      </c>
      <c r="B6938" s="3" t="s">
        <v>90</v>
      </c>
      <c r="C6938" s="5">
        <v>1427</v>
      </c>
      <c r="D6938" s="6">
        <v>33.89</v>
      </c>
      <c r="E6938" t="s">
        <v>87</v>
      </c>
    </row>
    <row r="6939" spans="1:5" x14ac:dyDescent="0.25">
      <c r="A6939" t="str">
        <f>HYPERLINK("https://www.773grp.com/globalSearch/TMS320F2809GGMA/page-1", "TMS320F2809GGMA")</f>
        <v>TMS320F2809GGMA</v>
      </c>
      <c r="B6939" s="3" t="s">
        <v>90</v>
      </c>
      <c r="C6939" s="5">
        <v>813</v>
      </c>
      <c r="D6939" s="6">
        <v>34.6</v>
      </c>
      <c r="E6939" t="s">
        <v>87</v>
      </c>
    </row>
    <row r="6940" spans="1:5" x14ac:dyDescent="0.25">
      <c r="A6940" t="str">
        <f>HYPERLINK("https://www.773grp.com/globalSearch/TMS320F2809PZA/page-1", "TMS320F2809PZA")</f>
        <v>TMS320F2809PZA</v>
      </c>
      <c r="B6940" s="3" t="s">
        <v>90</v>
      </c>
      <c r="C6940" s="5">
        <v>30870</v>
      </c>
      <c r="D6940" s="6">
        <v>34.6</v>
      </c>
      <c r="E6940" t="s">
        <v>87</v>
      </c>
    </row>
    <row r="6941" spans="1:5" x14ac:dyDescent="0.25">
      <c r="A6941" t="str">
        <f>HYPERLINK("https://www.773grp.com/globalSearch/TMS320F2809PZA/page-1", "TMS320F2809PZA")</f>
        <v>TMS320F2809PZA</v>
      </c>
      <c r="B6941" s="3" t="s">
        <v>90</v>
      </c>
      <c r="C6941" s="5">
        <v>790</v>
      </c>
      <c r="D6941" s="6">
        <v>34.6</v>
      </c>
      <c r="E6941" t="s">
        <v>87</v>
      </c>
    </row>
    <row r="6942" spans="1:5" x14ac:dyDescent="0.25">
      <c r="A6942" t="str">
        <f>HYPERLINK("https://www.773grp.com/globalSearch/TMS320C52PJ57/page-1", "TMS320C52PJ57")</f>
        <v>TMS320C52PJ57</v>
      </c>
      <c r="B6942" s="3" t="s">
        <v>90</v>
      </c>
      <c r="C6942" s="5">
        <v>5003</v>
      </c>
      <c r="D6942" s="6">
        <v>34.880000000000003</v>
      </c>
      <c r="E6942" t="s">
        <v>87</v>
      </c>
    </row>
    <row r="6943" spans="1:5" x14ac:dyDescent="0.25">
      <c r="A6943" t="str">
        <f>HYPERLINK("https://www.773grp.com/globalSearch/TMS320C54V90AGGU/page-1", "TMS320C54V90AGGU")</f>
        <v>TMS320C54V90AGGU</v>
      </c>
      <c r="B6943" s="3" t="s">
        <v>90</v>
      </c>
      <c r="C6943" s="5">
        <v>336</v>
      </c>
      <c r="D6943" s="6">
        <v>35.299999999999997</v>
      </c>
      <c r="E6943" t="s">
        <v>87</v>
      </c>
    </row>
    <row r="6944" spans="1:5" x14ac:dyDescent="0.25">
      <c r="A6944" t="str">
        <f>HYPERLINK("https://www.773grp.com/globalSearch/TMS320C54V90APGE/page-1", "TMS320C54V90APGE")</f>
        <v>TMS320C54V90APGE</v>
      </c>
      <c r="B6944" s="3" t="s">
        <v>90</v>
      </c>
      <c r="C6944" s="5">
        <v>1960</v>
      </c>
      <c r="D6944" s="6">
        <v>35.299999999999997</v>
      </c>
      <c r="E6944" t="s">
        <v>87</v>
      </c>
    </row>
    <row r="6945" spans="1:5" x14ac:dyDescent="0.25">
      <c r="A6945" t="str">
        <f>HYPERLINK("https://www.773grp.com/globalSearch/TMS320C54V90GGU/page-1", "TMS320C54V90GGU")</f>
        <v>TMS320C54V90GGU</v>
      </c>
      <c r="B6945" s="3" t="s">
        <v>90</v>
      </c>
      <c r="C6945" s="5">
        <v>6070</v>
      </c>
      <c r="D6945" s="6">
        <v>35.299999999999997</v>
      </c>
      <c r="E6945" t="s">
        <v>87</v>
      </c>
    </row>
    <row r="6946" spans="1:5" x14ac:dyDescent="0.25">
      <c r="A6946" t="str">
        <f>HYPERLINK("https://www.773grp.com/globalSearch/TMS320C54V90PGE/page-1", "TMS320C54V90PGE")</f>
        <v>TMS320C54V90PGE</v>
      </c>
      <c r="B6946" s="3" t="s">
        <v>90</v>
      </c>
      <c r="C6946" s="5">
        <v>10</v>
      </c>
      <c r="D6946" s="6">
        <v>35.299999999999997</v>
      </c>
      <c r="E6946" t="s">
        <v>87</v>
      </c>
    </row>
    <row r="6947" spans="1:5" x14ac:dyDescent="0.25">
      <c r="A6947" t="str">
        <f>HYPERLINK("https://www.773grp.com/globalSearch/TMS320DM6431ZWTQ3/page-1", "TMS320DM6431ZWTQ3")</f>
        <v>TMS320DM6431ZWTQ3</v>
      </c>
      <c r="B6947" s="3" t="s">
        <v>90</v>
      </c>
      <c r="C6947" s="5">
        <v>1534</v>
      </c>
      <c r="D6947" s="6">
        <v>35.44</v>
      </c>
      <c r="E6947" t="s">
        <v>87</v>
      </c>
    </row>
    <row r="6948" spans="1:5" x14ac:dyDescent="0.25">
      <c r="A6948" t="str">
        <f>HYPERLINK("https://www.773grp.com/globalSearch/TMS320F241PG/page-1", "TMS320F241PG")</f>
        <v>TMS320F241PG</v>
      </c>
      <c r="B6948" s="3" t="s">
        <v>90</v>
      </c>
      <c r="C6948" s="5">
        <v>4485</v>
      </c>
      <c r="D6948" s="6">
        <v>35.58</v>
      </c>
      <c r="E6948" t="s">
        <v>87</v>
      </c>
    </row>
    <row r="6949" spans="1:5" x14ac:dyDescent="0.25">
      <c r="A6949" t="str">
        <f>HYPERLINK("https://www.773grp.com/globalSearch/TMS320VC5470ZHK/page-1", "TMS320VC5470ZHK")</f>
        <v>TMS320VC5470ZHK</v>
      </c>
      <c r="B6949" s="3" t="s">
        <v>90</v>
      </c>
      <c r="C6949" s="5">
        <v>970</v>
      </c>
      <c r="D6949" s="6">
        <v>35.86</v>
      </c>
      <c r="E6949" t="s">
        <v>87</v>
      </c>
    </row>
    <row r="6950" spans="1:5" x14ac:dyDescent="0.25">
      <c r="A6950" t="str">
        <f>HYPERLINK("https://www.773grp.com/globalSearch/TMS320C15NL/page-1", "TMS320C15NL")</f>
        <v>TMS320C15NL</v>
      </c>
      <c r="B6950" s="3" t="s">
        <v>90</v>
      </c>
      <c r="C6950" s="5">
        <v>349</v>
      </c>
      <c r="D6950" s="6">
        <v>36.08</v>
      </c>
      <c r="E6950" t="s">
        <v>87</v>
      </c>
    </row>
    <row r="6951" spans="1:5" x14ac:dyDescent="0.25">
      <c r="A6951" t="str">
        <f>HYPERLINK("https://www.773grp.com/globalSearch/TMX320C6745BPTP3/page-1", "TMX320C6745BPTP3")</f>
        <v>TMX320C6745BPTP3</v>
      </c>
      <c r="B6951" s="3" t="s">
        <v>90</v>
      </c>
      <c r="C6951" s="5">
        <v>153</v>
      </c>
      <c r="D6951" s="6">
        <v>36.15</v>
      </c>
      <c r="E6951" t="s">
        <v>87</v>
      </c>
    </row>
    <row r="6952" spans="1:5" x14ac:dyDescent="0.25">
      <c r="A6952" t="str">
        <f>HYPERLINK("https://www.773grp.com/globalSearch/TMS320C6204GHKA200/page-1", "TMS320C6204GHKA200")</f>
        <v>TMS320C6204GHKA200</v>
      </c>
      <c r="B6952" s="3" t="s">
        <v>90</v>
      </c>
      <c r="C6952" s="5">
        <v>47</v>
      </c>
      <c r="D6952" s="6">
        <v>36.409999999999997</v>
      </c>
      <c r="E6952" t="s">
        <v>87</v>
      </c>
    </row>
    <row r="6953" spans="1:5" x14ac:dyDescent="0.25">
      <c r="A6953" t="str">
        <f>HYPERLINK("https://www.773grp.com/globalSearch/TMS320C6204ZHKA200/page-1", "TMS320C6204ZHKA200")</f>
        <v>TMS320C6204ZHKA200</v>
      </c>
      <c r="B6953" s="3" t="s">
        <v>90</v>
      </c>
      <c r="C6953" s="5">
        <v>521</v>
      </c>
      <c r="D6953" s="6">
        <v>36.409999999999997</v>
      </c>
      <c r="E6953" t="s">
        <v>87</v>
      </c>
    </row>
    <row r="6954" spans="1:5" x14ac:dyDescent="0.25">
      <c r="A6954" t="str">
        <f>HYPERLINK("https://www.773grp.com/globalSearch/TMS320LC541PZ1-40/page-1", "TMS320LC541PZ1-40")</f>
        <v>TMS320LC541PZ1-40</v>
      </c>
      <c r="B6954" s="3" t="s">
        <v>90</v>
      </c>
      <c r="C6954" s="5">
        <v>1155</v>
      </c>
      <c r="D6954" s="6">
        <v>36.99</v>
      </c>
      <c r="E6954" t="s">
        <v>87</v>
      </c>
    </row>
    <row r="6955" spans="1:5" x14ac:dyDescent="0.25">
      <c r="A6955" t="str">
        <f>HYPERLINK("https://www.773grp.com/globalSearch/TMS320F28332ZHHA/page-1", "TMS320F28332ZHHA")</f>
        <v>TMS320F28332ZHHA</v>
      </c>
      <c r="B6955" s="3" t="s">
        <v>90</v>
      </c>
      <c r="C6955" s="5">
        <v>29</v>
      </c>
      <c r="D6955" s="6">
        <v>37.130000000000003</v>
      </c>
      <c r="E6955" t="s">
        <v>87</v>
      </c>
    </row>
    <row r="6956" spans="1:5" x14ac:dyDescent="0.25">
      <c r="A6956" t="str">
        <f>HYPERLINK("https://www.773grp.com/globalSearch/TMS320VC5470GHK/page-1", "TMS320VC5470GHK")</f>
        <v>TMS320VC5470GHK</v>
      </c>
      <c r="B6956" s="3" t="s">
        <v>90</v>
      </c>
      <c r="C6956" s="5">
        <v>1703</v>
      </c>
      <c r="D6956" s="6">
        <v>37.659999999999997</v>
      </c>
      <c r="E6956" t="s">
        <v>87</v>
      </c>
    </row>
    <row r="6957" spans="1:5" x14ac:dyDescent="0.25">
      <c r="A6957" t="str">
        <f>HYPERLINK("https://www.773grp.com/globalSearch/TMS320VC5409AGGU12/page-1", "TMS320VC5409AGGU12")</f>
        <v>TMS320VC5409AGGU12</v>
      </c>
      <c r="B6957" s="3" t="s">
        <v>90</v>
      </c>
      <c r="C6957" s="5">
        <v>6007</v>
      </c>
      <c r="D6957" s="6">
        <v>37.71</v>
      </c>
      <c r="E6957" t="s">
        <v>87</v>
      </c>
    </row>
    <row r="6958" spans="1:5" x14ac:dyDescent="0.25">
      <c r="A6958" t="str">
        <f>HYPERLINK("https://www.773grp.com/globalSearch/TMS320VC5409APGE12/page-1", "TMS320VC5409APGE12")</f>
        <v>TMS320VC5409APGE12</v>
      </c>
      <c r="B6958" s="3" t="s">
        <v>90</v>
      </c>
      <c r="C6958" s="5">
        <v>799</v>
      </c>
      <c r="D6958" s="6">
        <v>37.71</v>
      </c>
      <c r="E6958" t="s">
        <v>87</v>
      </c>
    </row>
    <row r="6959" spans="1:5" x14ac:dyDescent="0.25">
      <c r="A6959" t="str">
        <f>HYPERLINK("https://www.773grp.com/globalSearch/TMX320VC5502GGW300/page-1", "TMX320VC5502GGW300")</f>
        <v>TMX320VC5502GGW300</v>
      </c>
      <c r="B6959" s="3" t="s">
        <v>90</v>
      </c>
      <c r="C6959" s="5">
        <v>20</v>
      </c>
      <c r="D6959" s="6">
        <v>37.909999999999997</v>
      </c>
      <c r="E6959" t="s">
        <v>87</v>
      </c>
    </row>
    <row r="6960" spans="1:5" x14ac:dyDescent="0.25">
      <c r="A6960" t="str">
        <f>HYPERLINK("https://www.773grp.com/globalSearch/TMS320R2812PGFQ/page-1", "TMS320R2812PGFQ")</f>
        <v>TMS320R2812PGFQ</v>
      </c>
      <c r="B6960" s="3" t="s">
        <v>90</v>
      </c>
      <c r="C6960" s="5">
        <v>63</v>
      </c>
      <c r="D6960" s="6">
        <v>38.1</v>
      </c>
      <c r="E6960" t="s">
        <v>87</v>
      </c>
    </row>
    <row r="6961" spans="1:5" x14ac:dyDescent="0.25">
      <c r="A6961" t="str">
        <f>HYPERLINK("https://www.773grp.com/globalSearch/TMS320C52PZA57/page-1", "TMS320C52PZA57")</f>
        <v>TMS320C52PZA57</v>
      </c>
      <c r="B6961" s="3" t="s">
        <v>90</v>
      </c>
      <c r="C6961" s="5">
        <v>56</v>
      </c>
      <c r="D6961" s="6">
        <v>38.36</v>
      </c>
      <c r="E6961" t="s">
        <v>87</v>
      </c>
    </row>
    <row r="6962" spans="1:5" x14ac:dyDescent="0.25">
      <c r="A6962" t="str">
        <f>HYPERLINK("https://www.773grp.com/globalSearch/SM320VC5409GGU10EP/page-1", "SM320VC5409GGU10EP")</f>
        <v>SM320VC5409GGU10EP</v>
      </c>
      <c r="B6962" s="3" t="s">
        <v>90</v>
      </c>
      <c r="C6962" s="5">
        <v>189</v>
      </c>
      <c r="D6962" s="6">
        <v>38.39</v>
      </c>
      <c r="E6962" t="s">
        <v>87</v>
      </c>
    </row>
    <row r="6963" spans="1:5" x14ac:dyDescent="0.25">
      <c r="A6963" t="str">
        <f>HYPERLINK("https://www.773grp.com/globalSearch/TMS320F241FNA/page-1", "TMS320F241FNA")</f>
        <v>TMS320F241FNA</v>
      </c>
      <c r="B6963" s="3" t="s">
        <v>90</v>
      </c>
      <c r="C6963" s="5">
        <v>18</v>
      </c>
      <c r="D6963" s="6">
        <v>38.39</v>
      </c>
      <c r="E6963" t="s">
        <v>87</v>
      </c>
    </row>
    <row r="6964" spans="1:5" x14ac:dyDescent="0.25">
      <c r="A6964" t="str">
        <f>HYPERLINK("https://www.773grp.com/globalSearch/TMS320C6748AZWT3/page-1", "TMS320C6748AZWT3")</f>
        <v>TMS320C6748AZWT3</v>
      </c>
      <c r="B6964" s="3" t="s">
        <v>90</v>
      </c>
      <c r="C6964" s="5">
        <v>1183</v>
      </c>
      <c r="D6964" s="6">
        <v>38.81</v>
      </c>
      <c r="E6964" t="s">
        <v>87</v>
      </c>
    </row>
    <row r="6965" spans="1:5" x14ac:dyDescent="0.25">
      <c r="A6965" t="str">
        <f>HYPERLINK("https://www.773grp.com/globalSearch/TMS320C6748BZWT4/page-1", "TMS320C6748BZWT4")</f>
        <v>TMS320C6748BZWT4</v>
      </c>
      <c r="B6965" s="3" t="s">
        <v>90</v>
      </c>
      <c r="C6965" s="5">
        <v>193</v>
      </c>
      <c r="D6965" s="6">
        <v>38.81</v>
      </c>
      <c r="E6965" t="s">
        <v>87</v>
      </c>
    </row>
    <row r="6966" spans="1:5" x14ac:dyDescent="0.25">
      <c r="A6966" t="str">
        <f>HYPERLINK("https://www.773grp.com/globalSearch/TMS320LC541BPZ-66/page-1", "TMS320LC541BPZ-66")</f>
        <v>TMS320LC541BPZ-66</v>
      </c>
      <c r="B6966" s="3" t="s">
        <v>90</v>
      </c>
      <c r="C6966" s="5">
        <v>99</v>
      </c>
      <c r="D6966" s="6">
        <v>38.9</v>
      </c>
      <c r="E6966" t="s">
        <v>87</v>
      </c>
    </row>
    <row r="6967" spans="1:5" x14ac:dyDescent="0.25">
      <c r="A6967" t="str">
        <f>HYPERLINK("https://www.773grp.com/globalSearch/TMS320F241PGS/page-1", "TMS320F241PGS")</f>
        <v>TMS320F241PGS</v>
      </c>
      <c r="B6967" s="3" t="s">
        <v>90</v>
      </c>
      <c r="C6967" s="5">
        <v>48</v>
      </c>
      <c r="D6967" s="6">
        <v>39.1</v>
      </c>
      <c r="E6967" t="s">
        <v>87</v>
      </c>
    </row>
    <row r="6968" spans="1:5" x14ac:dyDescent="0.25">
      <c r="A6968" t="str">
        <f>HYPERLINK("https://www.773grp.com/globalSearch/TMS32C6205DGHKA200/page-1", "TMS32C6205DGHKA200")</f>
        <v>TMS32C6205DGHKA200</v>
      </c>
      <c r="B6968" s="3" t="s">
        <v>90</v>
      </c>
      <c r="C6968" s="5">
        <v>4</v>
      </c>
      <c r="D6968" s="6">
        <v>39.29</v>
      </c>
      <c r="E6968" t="s">
        <v>87</v>
      </c>
    </row>
    <row r="6969" spans="1:5" x14ac:dyDescent="0.25">
      <c r="A6969" t="str">
        <f>HYPERLINK("https://www.773grp.com/globalSearch/TMS320F2811PBKA/page-1", "TMS320F2811PBKA")</f>
        <v>TMS320F2811PBKA</v>
      </c>
      <c r="B6969" s="3" t="s">
        <v>90</v>
      </c>
      <c r="C6969" s="5">
        <v>1120</v>
      </c>
      <c r="D6969" s="6">
        <v>39.53</v>
      </c>
      <c r="E6969" t="s">
        <v>87</v>
      </c>
    </row>
    <row r="6970" spans="1:5" x14ac:dyDescent="0.25">
      <c r="A6970" t="str">
        <f>HYPERLINK("https://www.773grp.com/globalSearch/TMS320F2812GHHA/page-1", "TMS320F2812GHHA")</f>
        <v>TMS320F2812GHHA</v>
      </c>
      <c r="B6970" s="3" t="s">
        <v>90</v>
      </c>
      <c r="C6970" s="5">
        <v>60</v>
      </c>
      <c r="D6970" s="6">
        <v>40.08</v>
      </c>
      <c r="E6970" t="s">
        <v>87</v>
      </c>
    </row>
    <row r="6971" spans="1:5" x14ac:dyDescent="0.25">
      <c r="A6971" t="str">
        <f>HYPERLINK("https://www.773grp.com/globalSearch/TMS320F2812PGFA/page-1", "TMS320F2812PGFA")</f>
        <v>TMS320F2812PGFA</v>
      </c>
      <c r="B6971" s="3" t="s">
        <v>90</v>
      </c>
      <c r="C6971" s="5">
        <v>7866</v>
      </c>
      <c r="D6971" s="6">
        <v>40.08</v>
      </c>
      <c r="E6971" t="s">
        <v>87</v>
      </c>
    </row>
    <row r="6972" spans="1:5" x14ac:dyDescent="0.25">
      <c r="A6972" t="str">
        <f>HYPERLINK("https://www.773grp.com/globalSearch/TMS320C206PZ80/page-1", "TMS320C206PZ80")</f>
        <v>TMS320C206PZ80</v>
      </c>
      <c r="B6972" s="3" t="s">
        <v>90</v>
      </c>
      <c r="C6972" s="5">
        <v>1630</v>
      </c>
      <c r="D6972" s="6">
        <v>40.299999999999997</v>
      </c>
      <c r="E6972" t="s">
        <v>87</v>
      </c>
    </row>
    <row r="6973" spans="1:5" x14ac:dyDescent="0.25">
      <c r="A6973" t="str">
        <f>HYPERLINK("https://www.773grp.com/globalSearch/TMS320C6712DGDP150/page-1", "TMS320C6712DGDP150")</f>
        <v>TMS320C6712DGDP150</v>
      </c>
      <c r="B6973" s="3" t="s">
        <v>90</v>
      </c>
      <c r="C6973" s="5">
        <v>51</v>
      </c>
      <c r="D6973" s="6">
        <v>40.880000000000003</v>
      </c>
      <c r="E6973" t="s">
        <v>87</v>
      </c>
    </row>
    <row r="6974" spans="1:5" x14ac:dyDescent="0.25">
      <c r="A6974" t="str">
        <f>HYPERLINK("https://www.773grp.com/globalSearch/TMS320C6712DZDP150/page-1", "TMS320C6712DZDP150")</f>
        <v>TMS320C6712DZDP150</v>
      </c>
      <c r="B6974" s="3" t="s">
        <v>90</v>
      </c>
      <c r="C6974" s="5">
        <v>28</v>
      </c>
      <c r="D6974" s="6">
        <v>40.880000000000003</v>
      </c>
      <c r="E6974" t="s">
        <v>87</v>
      </c>
    </row>
    <row r="6975" spans="1:5" x14ac:dyDescent="0.25">
      <c r="A6975" t="str">
        <f>HYPERLINK("https://www.773grp.com/globalSearch/TMS320VC5409AGGU16/page-1", "TMS320VC5409AGGU16")</f>
        <v>TMS320VC5409AGGU16</v>
      </c>
      <c r="B6975" s="3" t="s">
        <v>90</v>
      </c>
      <c r="C6975" s="5">
        <v>166464</v>
      </c>
      <c r="D6975" s="6">
        <v>41.89</v>
      </c>
      <c r="E6975" t="s">
        <v>87</v>
      </c>
    </row>
    <row r="6976" spans="1:5" x14ac:dyDescent="0.25">
      <c r="A6976" t="str">
        <f>HYPERLINK("https://www.773grp.com/globalSearch/TMS320VC5409APGE16/page-1", "TMS320VC5409APGE16")</f>
        <v>TMS320VC5409APGE16</v>
      </c>
      <c r="B6976" s="3" t="s">
        <v>90</v>
      </c>
      <c r="C6976" s="5">
        <v>200</v>
      </c>
      <c r="D6976" s="6">
        <v>41.89</v>
      </c>
      <c r="E6976" t="s">
        <v>87</v>
      </c>
    </row>
    <row r="6977" spans="1:5" x14ac:dyDescent="0.25">
      <c r="A6977" t="str">
        <f>HYPERLINK("https://www.773grp.com/globalSearch/TMS320VC5409AZGU16/page-1", "TMS320VC5409AZGU16")</f>
        <v>TMS320VC5409AZGU16</v>
      </c>
      <c r="B6977" s="3" t="s">
        <v>90</v>
      </c>
      <c r="C6977" s="5">
        <v>26</v>
      </c>
      <c r="D6977" s="6">
        <v>41.89</v>
      </c>
      <c r="E6977" t="s">
        <v>87</v>
      </c>
    </row>
    <row r="6978" spans="1:5" x14ac:dyDescent="0.25">
      <c r="A6978" t="str">
        <f>HYPERLINK("https://www.773grp.com/globalSearch/OMAPL138AZCE3/page-1", "OMAPL138AZCE3")</f>
        <v>OMAPL138AZCE3</v>
      </c>
      <c r="B6978" s="3" t="s">
        <v>90</v>
      </c>
      <c r="C6978" s="5">
        <v>4055</v>
      </c>
      <c r="D6978" s="6">
        <v>42.05</v>
      </c>
      <c r="E6978" t="s">
        <v>87</v>
      </c>
    </row>
    <row r="6979" spans="1:5" x14ac:dyDescent="0.25">
      <c r="A6979" t="str">
        <f>HYPERLINK("https://www.773grp.com/globalSearch/OMAPL138AZWT3/page-1", "OMAPL138AZWT3")</f>
        <v>OMAPL138AZWT3</v>
      </c>
      <c r="B6979" s="3" t="s">
        <v>90</v>
      </c>
      <c r="C6979" s="5">
        <v>2263</v>
      </c>
      <c r="D6979" s="6">
        <v>42.05</v>
      </c>
      <c r="E6979" t="s">
        <v>87</v>
      </c>
    </row>
    <row r="6980" spans="1:5" x14ac:dyDescent="0.25">
      <c r="A6980" t="str">
        <f>HYPERLINK("https://www.773grp.com/globalSearch/OMAPL138BZCE3/page-1", "OMAPL138BZCE3")</f>
        <v>OMAPL138BZCE3</v>
      </c>
      <c r="B6980" s="3" t="s">
        <v>90</v>
      </c>
      <c r="C6980" s="5">
        <v>112</v>
      </c>
      <c r="D6980" s="6">
        <v>42.05</v>
      </c>
      <c r="E6980" t="s">
        <v>87</v>
      </c>
    </row>
    <row r="6981" spans="1:5" x14ac:dyDescent="0.25">
      <c r="A6981" t="str">
        <f>HYPERLINK("https://www.773grp.com/globalSearch/OMAPL138BZWT3/page-1", "OMAPL138BZWT3")</f>
        <v>OMAPL138BZWT3</v>
      </c>
      <c r="B6981" s="3" t="s">
        <v>90</v>
      </c>
      <c r="C6981" s="5">
        <v>916</v>
      </c>
      <c r="D6981" s="6">
        <v>42.05</v>
      </c>
      <c r="E6981" t="s">
        <v>87</v>
      </c>
    </row>
    <row r="6982" spans="1:5" x14ac:dyDescent="0.25">
      <c r="A6982" t="str">
        <f>HYPERLINK("https://www.773grp.com/globalSearch/OMAPL137BZKB3/page-1", "OMAPL137BZKB3")</f>
        <v>OMAPL137BZKB3</v>
      </c>
      <c r="B6982" s="3" t="s">
        <v>90</v>
      </c>
      <c r="C6982" s="5">
        <v>8</v>
      </c>
      <c r="D6982" s="6">
        <v>42.33</v>
      </c>
      <c r="E6982" t="s">
        <v>87</v>
      </c>
    </row>
    <row r="6983" spans="1:5" x14ac:dyDescent="0.25">
      <c r="A6983" t="str">
        <f>HYPERLINK("https://www.773grp.com/globalSearch/TMS320C209PN57/page-1", "TMS320C209PN57")</f>
        <v>TMS320C209PN57</v>
      </c>
      <c r="B6983" s="3" t="s">
        <v>90</v>
      </c>
      <c r="C6983" s="5">
        <v>16890</v>
      </c>
      <c r="D6983" s="6">
        <v>43.04</v>
      </c>
      <c r="E6983" t="s">
        <v>87</v>
      </c>
    </row>
    <row r="6984" spans="1:5" x14ac:dyDescent="0.25">
      <c r="A6984" t="str">
        <f>HYPERLINK("https://www.773grp.com/globalSearch/TMS320DM6433ZWT4/page-1", "TMS320DM6433ZWT4")</f>
        <v>TMS320DM6433ZWT4</v>
      </c>
      <c r="B6984" s="3" t="s">
        <v>90</v>
      </c>
      <c r="C6984" s="5">
        <v>1646</v>
      </c>
      <c r="D6984" s="6">
        <v>43.04</v>
      </c>
      <c r="E6984" t="s">
        <v>87</v>
      </c>
    </row>
    <row r="6985" spans="1:5" x14ac:dyDescent="0.25">
      <c r="A6985" t="str">
        <f>HYPERLINK("https://www.773grp.com/globalSearch/TMS320C6748BZCED4/page-1", "TMS320C6748BZCED4")</f>
        <v>TMS320C6748BZCED4</v>
      </c>
      <c r="B6985" s="3" t="s">
        <v>90</v>
      </c>
      <c r="C6985" s="5">
        <v>3</v>
      </c>
      <c r="D6985" s="6">
        <v>43.74</v>
      </c>
      <c r="E6985" t="s">
        <v>87</v>
      </c>
    </row>
    <row r="6986" spans="1:5" x14ac:dyDescent="0.25">
      <c r="A6986" t="str">
        <f>HYPERLINK("https://www.773grp.com/globalSearch/TMS320C6748BZWTD4/page-1", "TMS320C6748BZWTD4")</f>
        <v>TMS320C6748BZWTD4</v>
      </c>
      <c r="B6986" s="3" t="s">
        <v>90</v>
      </c>
      <c r="C6986" s="5">
        <v>6109</v>
      </c>
      <c r="D6986" s="6">
        <v>43.74</v>
      </c>
      <c r="E6986" t="s">
        <v>87</v>
      </c>
    </row>
    <row r="6987" spans="1:5" x14ac:dyDescent="0.25">
      <c r="A6987" t="str">
        <f>HYPERLINK("https://www.773grp.com/globalSearch/TMS320F2809PZQ/page-1", "TMS320F2809PZQ")</f>
        <v>TMS320F2809PZQ</v>
      </c>
      <c r="B6987" s="3" t="s">
        <v>90</v>
      </c>
      <c r="C6987" s="5">
        <v>19</v>
      </c>
      <c r="D6987" s="6">
        <v>44.01</v>
      </c>
      <c r="E6987" t="s">
        <v>87</v>
      </c>
    </row>
    <row r="6988" spans="1:5" x14ac:dyDescent="0.25">
      <c r="A6988" t="str">
        <f>HYPERLINK("https://www.773grp.com/globalSearch/TMS320C51PZ57/page-1", "TMS320C51PZ57")</f>
        <v>TMS320C51PZ57</v>
      </c>
      <c r="B6988" s="3" t="s">
        <v>90</v>
      </c>
      <c r="C6988" s="5">
        <v>13497</v>
      </c>
      <c r="D6988" s="6">
        <v>44.08</v>
      </c>
      <c r="E6988" t="s">
        <v>87</v>
      </c>
    </row>
    <row r="6989" spans="1:5" x14ac:dyDescent="0.25">
      <c r="A6989" t="str">
        <f>HYPERLINK("https://www.773grp.com/globalSearch/TMS320F28335ZJZS/page-1", "TMS320F28335ZJZS")</f>
        <v>TMS320F28335ZJZS</v>
      </c>
      <c r="B6989" s="3" t="s">
        <v>90</v>
      </c>
      <c r="C6989" s="5">
        <v>381</v>
      </c>
      <c r="D6989" s="6">
        <v>44.1</v>
      </c>
      <c r="E6989" t="s">
        <v>87</v>
      </c>
    </row>
    <row r="6990" spans="1:5" x14ac:dyDescent="0.25">
      <c r="A6990" t="str">
        <f>HYPERLINK("https://www.773grp.com/globalSearch/TMS320VC5510GGW1/page-1", "TMS320VC5510GGW1")</f>
        <v>TMS320VC5510GGW1</v>
      </c>
      <c r="B6990" s="3" t="s">
        <v>90</v>
      </c>
      <c r="C6990" s="5">
        <v>630</v>
      </c>
      <c r="D6990" s="6">
        <v>44.16</v>
      </c>
      <c r="E6990" t="s">
        <v>87</v>
      </c>
    </row>
    <row r="6991" spans="1:5" x14ac:dyDescent="0.25">
      <c r="A6991" t="str">
        <f>HYPERLINK("https://www.773grp.com/globalSearch/TMS320VC5509AGHHR/page-1", "TMS320VC5509AGHHR")</f>
        <v>TMS320VC5509AGHHR</v>
      </c>
      <c r="B6991" s="3" t="s">
        <v>90</v>
      </c>
      <c r="C6991" s="5">
        <v>4538</v>
      </c>
      <c r="D6991" s="6">
        <v>44.21</v>
      </c>
      <c r="E6991" t="s">
        <v>87</v>
      </c>
    </row>
    <row r="6992" spans="1:5" x14ac:dyDescent="0.25">
      <c r="A6992" t="str">
        <f>HYPERLINK("https://www.773grp.com/globalSearch/TMS320VC5510AGGW1/page-1", "TMS320VC5510AGGW1")</f>
        <v>TMS320VC5510AGGW1</v>
      </c>
      <c r="B6992" s="3" t="s">
        <v>90</v>
      </c>
      <c r="C6992" s="5">
        <v>2970</v>
      </c>
      <c r="D6992" s="6">
        <v>44.21</v>
      </c>
      <c r="E6992" t="s">
        <v>87</v>
      </c>
    </row>
    <row r="6993" spans="1:5" x14ac:dyDescent="0.25">
      <c r="A6993" t="str">
        <f>HYPERLINK("https://www.773grp.com/globalSearch/TMS320VC5510AZGW1/page-1", "TMS320VC5510AZGW1")</f>
        <v>TMS320VC5510AZGW1</v>
      </c>
      <c r="B6993" s="3" t="s">
        <v>90</v>
      </c>
      <c r="C6993" s="5">
        <v>512</v>
      </c>
      <c r="D6993" s="6">
        <v>44.21</v>
      </c>
      <c r="E6993" t="s">
        <v>87</v>
      </c>
    </row>
    <row r="6994" spans="1:5" x14ac:dyDescent="0.25">
      <c r="A6994" t="str">
        <f>HYPERLINK("https://www.773grp.com/globalSearch/TMS320C206PZA80/page-1", "TMS320C206PZA80")</f>
        <v>TMS320C206PZA80</v>
      </c>
      <c r="B6994" s="3" t="s">
        <v>90</v>
      </c>
      <c r="C6994" s="5">
        <v>2123</v>
      </c>
      <c r="D6994" s="6">
        <v>44.33</v>
      </c>
      <c r="E6994" t="s">
        <v>87</v>
      </c>
    </row>
    <row r="6995" spans="1:5" x14ac:dyDescent="0.25">
      <c r="A6995" t="str">
        <f>HYPERLINK("https://www.773grp.com/globalSearch/TMS320C6712CGDP150/page-1", "TMS320C6712CGDP150")</f>
        <v>TMS320C6712CGDP150</v>
      </c>
      <c r="B6995" s="3" t="s">
        <v>90</v>
      </c>
      <c r="C6995" s="5">
        <v>2</v>
      </c>
      <c r="D6995" s="6">
        <v>44.39</v>
      </c>
      <c r="E6995" t="s">
        <v>87</v>
      </c>
    </row>
    <row r="6996" spans="1:5" x14ac:dyDescent="0.25">
      <c r="A6996" t="str">
        <f>HYPERLINK("https://www.773grp.com/globalSearch/TMS320DM6435ZWT4/page-1", "TMS320DM6435ZWT4")</f>
        <v>TMS320DM6435ZWT4</v>
      </c>
      <c r="B6996" s="3" t="s">
        <v>90</v>
      </c>
      <c r="C6996" s="5">
        <v>21</v>
      </c>
      <c r="D6996" s="6">
        <v>44.59</v>
      </c>
      <c r="E6996" t="s">
        <v>87</v>
      </c>
    </row>
    <row r="6997" spans="1:5" x14ac:dyDescent="0.25">
      <c r="A6997" t="str">
        <f>HYPERLINK("https://www.773grp.com/globalSearch/TMS320C6726RFP250/page-1", "TMS320C6726RFP250")</f>
        <v>TMS320C6726RFP250</v>
      </c>
      <c r="B6997" s="3" t="s">
        <v>90</v>
      </c>
      <c r="C6997" s="5">
        <v>2840</v>
      </c>
      <c r="D6997" s="6">
        <v>44.8</v>
      </c>
      <c r="E6997" t="s">
        <v>87</v>
      </c>
    </row>
    <row r="6998" spans="1:5" x14ac:dyDescent="0.25">
      <c r="A6998" t="str">
        <f>HYPERLINK("https://www.773grp.com/globalSearch/TMS320C6726RFPA225/page-1", "TMS320C6726RFPA225")</f>
        <v>TMS320C6726RFPA225</v>
      </c>
      <c r="B6998" s="3" t="s">
        <v>90</v>
      </c>
      <c r="C6998" s="5">
        <v>50</v>
      </c>
      <c r="D6998" s="6">
        <v>44.8</v>
      </c>
      <c r="E6998" t="s">
        <v>87</v>
      </c>
    </row>
    <row r="6999" spans="1:5" x14ac:dyDescent="0.25">
      <c r="A6999" t="str">
        <f>HYPERLINK("https://www.773grp.com/globalSearch/TMS320VC5470GHKA/page-1", "TMS320VC5470GHKA")</f>
        <v>TMS320VC5470GHKA</v>
      </c>
      <c r="B6999" s="3" t="s">
        <v>90</v>
      </c>
      <c r="C6999" s="5">
        <v>599</v>
      </c>
      <c r="D6999" s="6">
        <v>44.84</v>
      </c>
      <c r="E6999" t="s">
        <v>87</v>
      </c>
    </row>
    <row r="7000" spans="1:5" x14ac:dyDescent="0.25">
      <c r="A7000" t="str">
        <f>HYPERLINK("https://www.773grp.com/globalSearch/TMS320VC5470ZHKA/page-1", "TMS320VC5470ZHKA")</f>
        <v>TMS320VC5470ZHKA</v>
      </c>
      <c r="B7000" s="3" t="s">
        <v>90</v>
      </c>
      <c r="C7000" s="5">
        <v>3541</v>
      </c>
      <c r="D7000" s="6">
        <v>44.84</v>
      </c>
      <c r="E7000" t="s">
        <v>87</v>
      </c>
    </row>
    <row r="7001" spans="1:5" x14ac:dyDescent="0.25">
      <c r="A7001" t="str">
        <f>HYPERLINK("https://www.773grp.com/globalSearch/TMS320C6421ZDUQ5/page-1", "TMS320C6421ZDUQ5")</f>
        <v>TMS320C6421ZDUQ5</v>
      </c>
      <c r="B7001" s="3" t="s">
        <v>90</v>
      </c>
      <c r="C7001" s="5">
        <v>60</v>
      </c>
      <c r="D7001" s="6">
        <v>45</v>
      </c>
      <c r="E7001" t="s">
        <v>87</v>
      </c>
    </row>
    <row r="7002" spans="1:5" x14ac:dyDescent="0.25">
      <c r="A7002" t="str">
        <f>HYPERLINK("https://www.773grp.com/globalSearch/TMS320VC5410AGGU12/page-1", "TMS320VC5410AGGU12")</f>
        <v>TMS320VC5410AGGU12</v>
      </c>
      <c r="B7002" s="3" t="s">
        <v>90</v>
      </c>
      <c r="C7002" s="5">
        <v>51</v>
      </c>
      <c r="D7002" s="6">
        <v>45.43</v>
      </c>
      <c r="E7002" t="s">
        <v>87</v>
      </c>
    </row>
    <row r="7003" spans="1:5" x14ac:dyDescent="0.25">
      <c r="A7003" t="str">
        <f>HYPERLINK("https://www.773grp.com/globalSearch/TMS320VC5410AZGU12/page-1", "TMS320VC5410AZGU12")</f>
        <v>TMS320VC5410AZGU12</v>
      </c>
      <c r="B7003" s="3" t="s">
        <v>90</v>
      </c>
      <c r="C7003" s="5">
        <v>2056</v>
      </c>
      <c r="D7003" s="6">
        <v>45.43</v>
      </c>
      <c r="E7003" t="s">
        <v>87</v>
      </c>
    </row>
    <row r="7004" spans="1:5" x14ac:dyDescent="0.25">
      <c r="A7004" t="str">
        <f>HYPERLINK("https://www.773grp.com/globalSearch/TMS320DM6433ZWT5/page-1", "TMS320DM6433ZWT5")</f>
        <v>TMS320DM6433ZWT5</v>
      </c>
      <c r="B7004" s="3" t="s">
        <v>90</v>
      </c>
      <c r="C7004" s="5">
        <v>90</v>
      </c>
      <c r="D7004" s="6">
        <v>45.56</v>
      </c>
      <c r="E7004" t="s">
        <v>87</v>
      </c>
    </row>
    <row r="7005" spans="1:5" x14ac:dyDescent="0.25">
      <c r="A7005" t="str">
        <f>HYPERLINK("https://www.773grp.com/globalSearch/TMS320C6711DGDP200/page-1", "TMS320C6711DGDP200")</f>
        <v>TMS320C6711DGDP200</v>
      </c>
      <c r="B7005" s="3" t="s">
        <v>90</v>
      </c>
      <c r="C7005" s="5">
        <v>55</v>
      </c>
      <c r="D7005" s="6">
        <v>46.01</v>
      </c>
      <c r="E7005" t="s">
        <v>87</v>
      </c>
    </row>
    <row r="7006" spans="1:5" x14ac:dyDescent="0.25">
      <c r="A7006" t="str">
        <f>HYPERLINK("https://www.773grp.com/globalSearch/TMS320C51PQ57/page-1", "TMS320C51PQ57")</f>
        <v>TMS320C51PQ57</v>
      </c>
      <c r="B7006" s="3" t="s">
        <v>90</v>
      </c>
      <c r="C7006" s="5">
        <v>13411</v>
      </c>
      <c r="D7006" s="6">
        <v>46.41</v>
      </c>
      <c r="E7006" t="s">
        <v>87</v>
      </c>
    </row>
    <row r="7007" spans="1:5" x14ac:dyDescent="0.25">
      <c r="A7007" t="str">
        <f>HYPERLINK("https://www.773grp.com/globalSearch/TMS32F240PQAG4/page-1", "TMS32F240PQAG4")</f>
        <v>TMS32F240PQAG4</v>
      </c>
      <c r="B7007" s="3" t="s">
        <v>90</v>
      </c>
      <c r="C7007" s="5">
        <v>28</v>
      </c>
      <c r="D7007" s="6">
        <v>46.54</v>
      </c>
      <c r="E7007" t="s">
        <v>87</v>
      </c>
    </row>
    <row r="7008" spans="1:5" x14ac:dyDescent="0.25">
      <c r="A7008" t="str">
        <f>HYPERLINK("https://www.773grp.com/globalSearch/TMS320DM6435ZWT5/page-1", "TMS320DM6435ZWT5")</f>
        <v>TMS320DM6435ZWT5</v>
      </c>
      <c r="B7008" s="3" t="s">
        <v>90</v>
      </c>
      <c r="C7008" s="5">
        <v>113</v>
      </c>
      <c r="D7008" s="6">
        <v>47.25</v>
      </c>
      <c r="E7008" t="s">
        <v>87</v>
      </c>
    </row>
    <row r="7009" spans="1:5" x14ac:dyDescent="0.25">
      <c r="A7009" t="str">
        <f>HYPERLINK("https://www.773grp.com/globalSearch/TMS320DM6435ZWTQ4/page-1", "TMS320DM6435ZWTQ4")</f>
        <v>TMS320DM6435ZWTQ4</v>
      </c>
      <c r="B7009" s="3" t="s">
        <v>90</v>
      </c>
      <c r="C7009" s="5">
        <v>3904</v>
      </c>
      <c r="D7009" s="6">
        <v>47.25</v>
      </c>
      <c r="E7009" t="s">
        <v>87</v>
      </c>
    </row>
    <row r="7010" spans="1:5" x14ac:dyDescent="0.25">
      <c r="A7010" t="str">
        <f>HYPERLINK("https://www.773grp.com/globalSearch/SM320LF2407APGEMEP/page-1", "SM320LF2407APGEMEP")</f>
        <v>SM320LF2407APGEMEP</v>
      </c>
      <c r="B7010" s="3" t="s">
        <v>90</v>
      </c>
      <c r="C7010" s="5">
        <v>1</v>
      </c>
      <c r="D7010" s="6">
        <v>47.39</v>
      </c>
      <c r="E7010" t="s">
        <v>87</v>
      </c>
    </row>
    <row r="7011" spans="1:5" x14ac:dyDescent="0.25">
      <c r="A7011" t="str">
        <f>HYPERLINK("https://www.773grp.com/globalSearch/TMS320BC52PZA/page-1", "TMS320BC52PZA")</f>
        <v>TMS320BC52PZA</v>
      </c>
      <c r="B7011" s="3" t="s">
        <v>90</v>
      </c>
      <c r="C7011" s="5">
        <v>3562</v>
      </c>
      <c r="D7011" s="6">
        <v>47.48</v>
      </c>
      <c r="E7011" t="s">
        <v>87</v>
      </c>
    </row>
    <row r="7012" spans="1:5" x14ac:dyDescent="0.25">
      <c r="A7012" t="str">
        <f>HYPERLINK("https://www.773grp.com/globalSearch/OMAPL138AZWTA3/page-1", "OMAPL138AZWTA3")</f>
        <v>OMAPL138AZWTA3</v>
      </c>
      <c r="B7012" s="3" t="s">
        <v>90</v>
      </c>
      <c r="C7012" s="5">
        <v>4443</v>
      </c>
      <c r="D7012" s="6">
        <v>48.1</v>
      </c>
      <c r="E7012" t="s">
        <v>87</v>
      </c>
    </row>
    <row r="7013" spans="1:5" x14ac:dyDescent="0.25">
      <c r="A7013" t="str">
        <f>HYPERLINK("https://www.773grp.com/globalSearch/TMS320UC5409GGU-80/page-1", "TMS320UC5409GGU-80")</f>
        <v>TMS320UC5409GGU-80</v>
      </c>
      <c r="B7013" s="3" t="s">
        <v>90</v>
      </c>
      <c r="C7013" s="5">
        <v>22254</v>
      </c>
      <c r="D7013" s="6">
        <v>48.21</v>
      </c>
      <c r="E7013" t="s">
        <v>87</v>
      </c>
    </row>
    <row r="7014" spans="1:5" x14ac:dyDescent="0.25">
      <c r="A7014" t="str">
        <f>HYPERLINK("https://www.773grp.com/globalSearch/TMS320UC5409PGE-80/page-1", "TMS320UC5409PGE-80")</f>
        <v>TMS320UC5409PGE-80</v>
      </c>
      <c r="B7014" s="3" t="s">
        <v>90</v>
      </c>
      <c r="C7014" s="5">
        <v>95</v>
      </c>
      <c r="D7014" s="6">
        <v>48.21</v>
      </c>
      <c r="E7014" t="s">
        <v>87</v>
      </c>
    </row>
    <row r="7015" spans="1:5" x14ac:dyDescent="0.25">
      <c r="A7015" t="str">
        <f>HYPERLINK("https://www.773grp.com/globalSearch/TMS320VC5471GHKA/page-1", "TMS320VC5471GHKA")</f>
        <v>TMS320VC5471GHKA</v>
      </c>
      <c r="B7015" s="3" t="s">
        <v>90</v>
      </c>
      <c r="C7015" s="5">
        <v>27218</v>
      </c>
      <c r="D7015" s="6">
        <v>48.89</v>
      </c>
      <c r="E7015" t="s">
        <v>87</v>
      </c>
    </row>
    <row r="7016" spans="1:5" x14ac:dyDescent="0.25">
      <c r="A7016" t="str">
        <f>HYPERLINK("https://www.773grp.com/globalSearch/TMSDC6726BRFPA225/page-1", "TMSDC6726BRFPA225")</f>
        <v>TMSDC6726BRFPA225</v>
      </c>
      <c r="B7016" s="3" t="s">
        <v>90</v>
      </c>
      <c r="C7016" s="5">
        <v>3</v>
      </c>
      <c r="D7016" s="6">
        <v>49.03</v>
      </c>
      <c r="E7016" t="s">
        <v>87</v>
      </c>
    </row>
    <row r="7017" spans="1:5" x14ac:dyDescent="0.25">
      <c r="A7017" t="str">
        <f>HYPERLINK("https://www.773grp.com/globalSearch/TMS320P15NA/page-1", "TMS320P15NA")</f>
        <v>TMS320P15NA</v>
      </c>
      <c r="B7017" s="3" t="s">
        <v>90</v>
      </c>
      <c r="C7017" s="5">
        <v>4174</v>
      </c>
      <c r="D7017" s="6">
        <v>49.19</v>
      </c>
      <c r="E7017" t="s">
        <v>87</v>
      </c>
    </row>
    <row r="7018" spans="1:5" x14ac:dyDescent="0.25">
      <c r="A7018" t="str">
        <f>HYPERLINK("https://www.773grp.com/globalSearch/TMS320C6711DGDP250/page-1", "TMS320C6711DGDP250")</f>
        <v>TMS320C6711DGDP250</v>
      </c>
      <c r="B7018" s="3" t="s">
        <v>90</v>
      </c>
      <c r="C7018" s="5">
        <v>10151</v>
      </c>
      <c r="D7018" s="6">
        <v>49.7</v>
      </c>
      <c r="E7018" t="s">
        <v>87</v>
      </c>
    </row>
    <row r="7019" spans="1:5" x14ac:dyDescent="0.25">
      <c r="A7019" t="str">
        <f>HYPERLINK("https://www.773grp.com/globalSearch/TMS320C6711DZDP250/page-1", "TMS320C6711DZDP250")</f>
        <v>TMS320C6711DZDP250</v>
      </c>
      <c r="B7019" s="3" t="s">
        <v>90</v>
      </c>
      <c r="C7019" s="5">
        <v>101</v>
      </c>
      <c r="D7019" s="6">
        <v>49.7</v>
      </c>
      <c r="E7019" t="s">
        <v>87</v>
      </c>
    </row>
    <row r="7020" spans="1:5" x14ac:dyDescent="0.25">
      <c r="A7020" t="str">
        <f>HYPERLINK("https://www.773grp.com/globalSearch/TMS320LC545APBK-50/page-1", "TMS320LC545APBK-50")</f>
        <v>TMS320LC545APBK-50</v>
      </c>
      <c r="B7020" s="3" t="s">
        <v>90</v>
      </c>
      <c r="C7020" s="5">
        <v>2081</v>
      </c>
      <c r="D7020" s="6">
        <v>49.91</v>
      </c>
      <c r="E7020" t="s">
        <v>87</v>
      </c>
    </row>
    <row r="7021" spans="1:5" x14ac:dyDescent="0.25">
      <c r="A7021" t="str">
        <f>HYPERLINK("https://www.773grp.com/globalSearch/TMS320VC5410AGGU16/page-1", "TMS320VC5410AGGU16")</f>
        <v>TMS320VC5410AGGU16</v>
      </c>
      <c r="B7021" s="3" t="s">
        <v>90</v>
      </c>
      <c r="C7021" s="5">
        <v>468</v>
      </c>
      <c r="D7021" s="6">
        <v>50.4</v>
      </c>
      <c r="E7021" t="s">
        <v>87</v>
      </c>
    </row>
    <row r="7022" spans="1:5" x14ac:dyDescent="0.25">
      <c r="A7022" t="str">
        <f>HYPERLINK("https://www.773grp.com/globalSearch/TMS320VC5410AZGU16/page-1", "TMS320VC5410AZGU16")</f>
        <v>TMS320VC5410AZGU16</v>
      </c>
      <c r="B7022" s="3" t="s">
        <v>90</v>
      </c>
      <c r="C7022" s="5">
        <v>118</v>
      </c>
      <c r="D7022" s="6">
        <v>50.4</v>
      </c>
      <c r="E7022" t="s">
        <v>87</v>
      </c>
    </row>
    <row r="7023" spans="1:5" x14ac:dyDescent="0.25">
      <c r="A7023" t="str">
        <f>HYPERLINK("https://www.773grp.com/globalSearch/OMAPL138AZCEA3/page-1", "OMAPL138AZCEA3")</f>
        <v>OMAPL138AZCEA3</v>
      </c>
      <c r="B7023" s="3" t="s">
        <v>90</v>
      </c>
      <c r="C7023" s="5">
        <v>394</v>
      </c>
      <c r="D7023" s="6">
        <v>50.49</v>
      </c>
      <c r="E7023" t="s">
        <v>87</v>
      </c>
    </row>
    <row r="7024" spans="1:5" x14ac:dyDescent="0.25">
      <c r="A7024" t="str">
        <f>HYPERLINK("https://www.773grp.com/globalSearch/OMAPL138BZCE4/page-1", "OMAPL138BZCE4")</f>
        <v>OMAPL138BZCE4</v>
      </c>
      <c r="B7024" s="3" t="s">
        <v>90</v>
      </c>
      <c r="C7024" s="5">
        <v>503</v>
      </c>
      <c r="D7024" s="6">
        <v>50.49</v>
      </c>
      <c r="E7024" t="s">
        <v>87</v>
      </c>
    </row>
    <row r="7025" spans="1:5" x14ac:dyDescent="0.25">
      <c r="A7025" t="str">
        <f>HYPERLINK("https://www.773grp.com/globalSearch/OMAPL138BZCEA3/page-1", "OMAPL138BZCEA3")</f>
        <v>OMAPL138BZCEA3</v>
      </c>
      <c r="B7025" s="3" t="s">
        <v>90</v>
      </c>
      <c r="C7025" s="5">
        <v>307</v>
      </c>
      <c r="D7025" s="6">
        <v>50.49</v>
      </c>
      <c r="E7025" t="s">
        <v>87</v>
      </c>
    </row>
    <row r="7026" spans="1:5" x14ac:dyDescent="0.25">
      <c r="A7026" t="str">
        <f>HYPERLINK("https://www.773grp.com/globalSearch/OMAPL138BZWT4/page-1", "OMAPL138BZWT4")</f>
        <v>OMAPL138BZWT4</v>
      </c>
      <c r="B7026" s="3" t="s">
        <v>90</v>
      </c>
      <c r="C7026" s="5">
        <v>85</v>
      </c>
      <c r="D7026" s="6">
        <v>50.49</v>
      </c>
      <c r="E7026" t="s">
        <v>87</v>
      </c>
    </row>
    <row r="7027" spans="1:5" x14ac:dyDescent="0.25">
      <c r="A7027" t="str">
        <f>HYPERLINK("https://www.773grp.com/globalSearch/OMAPL138BZWTA3/page-1", "OMAPL138BZWTA3")</f>
        <v>OMAPL138BZWTA3</v>
      </c>
      <c r="B7027" s="3" t="s">
        <v>90</v>
      </c>
      <c r="C7027" s="5">
        <v>5</v>
      </c>
      <c r="D7027" s="6">
        <v>50.49</v>
      </c>
      <c r="E7027" t="s">
        <v>87</v>
      </c>
    </row>
    <row r="7028" spans="1:5" x14ac:dyDescent="0.25">
      <c r="A7028" t="str">
        <f>HYPERLINK("https://www.773grp.com/globalSearch/TMS320C6711CGDP200/page-1", "TMS320C6711CGDP200")</f>
        <v>TMS320C6711CGDP200</v>
      </c>
      <c r="B7028" s="3" t="s">
        <v>90</v>
      </c>
      <c r="C7028" s="5">
        <v>1</v>
      </c>
      <c r="D7028" s="6">
        <v>50.68</v>
      </c>
      <c r="E7028" t="s">
        <v>87</v>
      </c>
    </row>
    <row r="7029" spans="1:5" x14ac:dyDescent="0.25">
      <c r="A7029" t="str">
        <f>HYPERLINK("https://www.773grp.com/globalSearch/TMS320DM6433ZDU6/page-1", "TMS320DM6433ZDU6")</f>
        <v>TMS320DM6433ZDU6</v>
      </c>
      <c r="B7029" s="3" t="s">
        <v>90</v>
      </c>
      <c r="C7029" s="5">
        <v>734</v>
      </c>
      <c r="D7029" s="6">
        <v>50.76</v>
      </c>
      <c r="E7029" t="s">
        <v>87</v>
      </c>
    </row>
    <row r="7030" spans="1:5" x14ac:dyDescent="0.25">
      <c r="A7030" t="str">
        <f>HYPERLINK("https://www.773grp.com/globalSearch/TMS320DM6433ZWT6/page-1", "TMS320DM6433ZWT6")</f>
        <v>TMS320DM6433ZWT6</v>
      </c>
      <c r="B7030" s="3" t="s">
        <v>90</v>
      </c>
      <c r="C7030" s="5">
        <v>1823</v>
      </c>
      <c r="D7030" s="6">
        <v>50.76</v>
      </c>
      <c r="E7030" t="s">
        <v>87</v>
      </c>
    </row>
    <row r="7031" spans="1:5" x14ac:dyDescent="0.25">
      <c r="A7031" t="str">
        <f>HYPERLINK("https://www.773grp.com/globalSearch/TMS320LC546APZ-66/page-1", "TMS320LC546APZ-66")</f>
        <v>TMS320LC546APZ-66</v>
      </c>
      <c r="B7031" s="3" t="s">
        <v>90</v>
      </c>
      <c r="C7031" s="5">
        <v>350</v>
      </c>
      <c r="D7031" s="6">
        <v>50.83</v>
      </c>
      <c r="E7031" t="s">
        <v>87</v>
      </c>
    </row>
    <row r="7032" spans="1:5" x14ac:dyDescent="0.25">
      <c r="A7032" t="str">
        <f>HYPERLINK("https://www.773grp.com/globalSearch/TMS320F2812PGFQ/page-1", "TMS320F2812PGFQ")</f>
        <v>TMS320F2812PGFQ</v>
      </c>
      <c r="B7032" s="3" t="s">
        <v>90</v>
      </c>
      <c r="C7032" s="5">
        <v>670</v>
      </c>
      <c r="D7032" s="6">
        <v>50.91</v>
      </c>
      <c r="E7032" t="s">
        <v>87</v>
      </c>
    </row>
    <row r="7033" spans="1:5" x14ac:dyDescent="0.25">
      <c r="A7033" t="str">
        <f>HYPERLINK("https://www.773grp.com/globalSearch/SM32C6712DGDPA16EP/page-1", "SM32C6712DGDPA16EP")</f>
        <v>SM32C6712DGDPA16EP</v>
      </c>
      <c r="B7033" s="3" t="s">
        <v>90</v>
      </c>
      <c r="C7033" s="5">
        <v>80</v>
      </c>
      <c r="D7033" s="6">
        <v>51.6</v>
      </c>
      <c r="E7033" t="s">
        <v>87</v>
      </c>
    </row>
    <row r="7034" spans="1:5" x14ac:dyDescent="0.25">
      <c r="A7034" t="str">
        <f>HYPERLINK("https://www.773grp.com/globalSearch/TMS320C52PJA57/page-1", "TMS320C52PJA57")</f>
        <v>TMS320C52PJA57</v>
      </c>
      <c r="B7034" s="3" t="s">
        <v>90</v>
      </c>
      <c r="C7034" s="5">
        <v>331</v>
      </c>
      <c r="D7034" s="6">
        <v>52.06</v>
      </c>
      <c r="E7034" t="s">
        <v>87</v>
      </c>
    </row>
    <row r="7035" spans="1:5" x14ac:dyDescent="0.25">
      <c r="A7035" t="str">
        <f>HYPERLINK("https://www.773grp.com/globalSearch/TMS320VC5510AGGW2/page-1", "TMS320VC5510AGGW2")</f>
        <v>TMS320VC5510AGGW2</v>
      </c>
      <c r="B7035" s="3" t="s">
        <v>90</v>
      </c>
      <c r="C7035" s="5">
        <v>747</v>
      </c>
      <c r="D7035" s="6">
        <v>52.18</v>
      </c>
      <c r="E7035" t="s">
        <v>87</v>
      </c>
    </row>
    <row r="7036" spans="1:5" x14ac:dyDescent="0.25">
      <c r="A7036" t="str">
        <f>HYPERLINK("https://www.773grp.com/globalSearch/TMS320VC5510AZGW2/page-1", "TMS320VC5510AZGW2")</f>
        <v>TMS320VC5510AZGW2</v>
      </c>
      <c r="B7036" s="3" t="s">
        <v>90</v>
      </c>
      <c r="C7036" s="5">
        <v>328</v>
      </c>
      <c r="D7036" s="6">
        <v>52.18</v>
      </c>
      <c r="E7036" t="s">
        <v>87</v>
      </c>
    </row>
    <row r="7037" spans="1:5" x14ac:dyDescent="0.25">
      <c r="A7037" t="str">
        <f>HYPERLINK("https://www.773grp.com/globalSearch/TMS320VC5509GHH31/page-1", "TMS320VC5509GHH31")</f>
        <v>TMS320VC5509GHH31</v>
      </c>
      <c r="B7037" s="3" t="s">
        <v>90</v>
      </c>
      <c r="C7037" s="5">
        <v>3824</v>
      </c>
      <c r="D7037" s="6">
        <v>52.45</v>
      </c>
      <c r="E7037" t="s">
        <v>87</v>
      </c>
    </row>
    <row r="7038" spans="1:5" x14ac:dyDescent="0.25">
      <c r="A7038" t="str">
        <f>HYPERLINK("https://www.773grp.com/globalSearch/OMAPL138BZCEA3E/page-1", "OMAPL138BZCEA3E")</f>
        <v>OMAPL138BZCEA3E</v>
      </c>
      <c r="B7038" s="3" t="s">
        <v>90</v>
      </c>
      <c r="C7038" s="5">
        <v>81</v>
      </c>
      <c r="D7038" s="6">
        <v>52.6</v>
      </c>
      <c r="E7038" t="s">
        <v>87</v>
      </c>
    </row>
    <row r="7039" spans="1:5" x14ac:dyDescent="0.25">
      <c r="A7039" t="str">
        <f>HYPERLINK("https://www.773grp.com/globalSearch/TMS320DM6435ZDU6/page-1", "TMS320DM6435ZDU6")</f>
        <v>TMS320DM6435ZDU6</v>
      </c>
      <c r="B7039" s="3" t="s">
        <v>90</v>
      </c>
      <c r="C7039" s="5">
        <v>617</v>
      </c>
      <c r="D7039" s="6">
        <v>52.6</v>
      </c>
      <c r="E7039" t="s">
        <v>87</v>
      </c>
    </row>
    <row r="7040" spans="1:5" x14ac:dyDescent="0.25">
      <c r="A7040" t="str">
        <f>HYPERLINK("https://www.773grp.com/globalSearch/TMS320DM6435ZWTQ5/page-1", "TMS320DM6435ZWTQ5")</f>
        <v>TMS320DM6435ZWTQ5</v>
      </c>
      <c r="B7040" s="3" t="s">
        <v>90</v>
      </c>
      <c r="C7040" s="5">
        <v>12</v>
      </c>
      <c r="D7040" s="6">
        <v>52.6</v>
      </c>
      <c r="E7040" t="s">
        <v>87</v>
      </c>
    </row>
    <row r="7041" spans="1:5" x14ac:dyDescent="0.25">
      <c r="A7041" t="str">
        <f>HYPERLINK("https://www.773grp.com/globalSearch/TMS320C6727BZDH275/page-1", "TMS320C6727BZDH275")</f>
        <v>TMS320C6727BZDH275</v>
      </c>
      <c r="B7041" s="3" t="s">
        <v>90</v>
      </c>
      <c r="C7041" s="5">
        <v>310</v>
      </c>
      <c r="D7041" s="6">
        <v>52.76</v>
      </c>
      <c r="E7041" t="s">
        <v>87</v>
      </c>
    </row>
    <row r="7042" spans="1:5" x14ac:dyDescent="0.25">
      <c r="A7042" t="str">
        <f>HYPERLINK("https://www.773grp.com/globalSearch/TMS320C6410ZTS400/page-1", "TMS320C6410ZTS400")</f>
        <v>TMS320C6410ZTS400</v>
      </c>
      <c r="B7042" s="3" t="s">
        <v>90</v>
      </c>
      <c r="C7042" s="5">
        <v>1146</v>
      </c>
      <c r="D7042" s="6">
        <v>52.94</v>
      </c>
      <c r="E7042" t="s">
        <v>87</v>
      </c>
    </row>
    <row r="7043" spans="1:5" x14ac:dyDescent="0.25">
      <c r="A7043" t="str">
        <f>HYPERLINK("https://www.773grp.com/globalSearch/TMS320C6410ZTSA400/page-1", "TMS320C6410ZTSA400")</f>
        <v>TMS320C6410ZTSA400</v>
      </c>
      <c r="B7043" s="3" t="s">
        <v>90</v>
      </c>
      <c r="C7043" s="5">
        <v>1079</v>
      </c>
      <c r="D7043" s="6">
        <v>52.94</v>
      </c>
      <c r="E7043" t="s">
        <v>87</v>
      </c>
    </row>
    <row r="7044" spans="1:5" x14ac:dyDescent="0.25">
      <c r="A7044" t="str">
        <f>HYPERLINK("https://www.773grp.com/globalSearch/TMS320VC5510AGGWA1/page-1", "TMS320VC5510AGGWA1")</f>
        <v>TMS320VC5510AGGWA1</v>
      </c>
      <c r="B7044" s="3" t="s">
        <v>90</v>
      </c>
      <c r="C7044" s="5">
        <v>1000</v>
      </c>
      <c r="D7044" s="6">
        <v>53.04</v>
      </c>
      <c r="E7044" t="s">
        <v>87</v>
      </c>
    </row>
    <row r="7045" spans="1:5" x14ac:dyDescent="0.25">
      <c r="A7045" t="str">
        <f>HYPERLINK("https://www.773grp.com/globalSearch/TMS320C6421ZWT6/page-1", "TMS320C6421ZWT6")</f>
        <v>TMS320C6421ZWT6</v>
      </c>
      <c r="B7045" s="3" t="s">
        <v>90</v>
      </c>
      <c r="C7045" s="5">
        <v>1594</v>
      </c>
      <c r="D7045" s="6">
        <v>54</v>
      </c>
      <c r="E7045" t="s">
        <v>87</v>
      </c>
    </row>
    <row r="7046" spans="1:5" x14ac:dyDescent="0.25">
      <c r="A7046" t="str">
        <f>HYPERLINK("https://www.773grp.com/globalSearch/TMS320LC545APBK-66/page-1", "TMS320LC545APBK-66")</f>
        <v>TMS320LC545APBK-66</v>
      </c>
      <c r="B7046" s="3" t="s">
        <v>90</v>
      </c>
      <c r="C7046" s="5">
        <v>1313</v>
      </c>
      <c r="D7046" s="6">
        <v>54.9</v>
      </c>
      <c r="E7046" t="s">
        <v>87</v>
      </c>
    </row>
    <row r="7047" spans="1:5" x14ac:dyDescent="0.25">
      <c r="A7047" t="str">
        <f>HYPERLINK("https://www.773grp.com/globalSearch/XOMAPL137ZKB3/page-1", "XOMAPL137ZKB3")</f>
        <v>XOMAPL137ZKB3</v>
      </c>
      <c r="B7047" s="3" t="s">
        <v>90</v>
      </c>
      <c r="C7047" s="5">
        <v>64</v>
      </c>
      <c r="D7047" s="6">
        <v>55.13</v>
      </c>
      <c r="E7047" t="s">
        <v>87</v>
      </c>
    </row>
    <row r="7048" spans="1:5" x14ac:dyDescent="0.25">
      <c r="A7048" t="str">
        <f>HYPERLINK("https://www.773grp.com/globalSearch/TMS320P15FNL25/page-1", "TMS320P15FNL25")</f>
        <v>TMS320P15FNL25</v>
      </c>
      <c r="B7048" s="3" t="s">
        <v>90</v>
      </c>
      <c r="C7048" s="5">
        <v>7692</v>
      </c>
      <c r="D7048" s="6">
        <v>55.98</v>
      </c>
      <c r="E7048" t="s">
        <v>87</v>
      </c>
    </row>
    <row r="7049" spans="1:5" x14ac:dyDescent="0.25">
      <c r="A7049" t="str">
        <f>HYPERLINK("https://www.773grp.com/globalSearch/TMS320P15NL25/page-1", "TMS320P15NL25")</f>
        <v>TMS320P15NL25</v>
      </c>
      <c r="B7049" s="3" t="s">
        <v>90</v>
      </c>
      <c r="C7049" s="5">
        <v>1138</v>
      </c>
      <c r="D7049" s="6">
        <v>55.98</v>
      </c>
      <c r="E7049" t="s">
        <v>87</v>
      </c>
    </row>
    <row r="7050" spans="1:5" x14ac:dyDescent="0.25">
      <c r="A7050" t="str">
        <f>HYPERLINK("https://www.773grp.com/globalSearch/TMX320VC5409AGGU16/page-1", "TMX320VC5409AGGU16")</f>
        <v>TMX320VC5409AGGU16</v>
      </c>
      <c r="B7050" s="3" t="s">
        <v>90</v>
      </c>
      <c r="C7050" s="5">
        <v>652</v>
      </c>
      <c r="D7050" s="6">
        <v>55.99</v>
      </c>
      <c r="E7050" t="s">
        <v>87</v>
      </c>
    </row>
    <row r="7051" spans="1:5" x14ac:dyDescent="0.25">
      <c r="A7051" t="str">
        <f>HYPERLINK("https://www.773grp.com/globalSearch/TMX320VC5409APGE16/page-1", "TMX320VC5409APGE16")</f>
        <v>TMX320VC5409APGE16</v>
      </c>
      <c r="B7051" s="3" t="s">
        <v>90</v>
      </c>
      <c r="C7051" s="5">
        <v>1089</v>
      </c>
      <c r="D7051" s="6">
        <v>55.99</v>
      </c>
      <c r="E7051" t="s">
        <v>87</v>
      </c>
    </row>
    <row r="7052" spans="1:5" x14ac:dyDescent="0.25">
      <c r="A7052" t="str">
        <f>HYPERLINK("https://www.773grp.com/globalSearch/TMS320C6727ZDH250/page-1", "TMS320C6727ZDH250")</f>
        <v>TMS320C6727ZDH250</v>
      </c>
      <c r="B7052" s="3" t="s">
        <v>90</v>
      </c>
      <c r="C7052" s="5">
        <v>4500</v>
      </c>
      <c r="D7052" s="6">
        <v>56.08</v>
      </c>
      <c r="E7052" t="s">
        <v>87</v>
      </c>
    </row>
    <row r="7053" spans="1:5" x14ac:dyDescent="0.25">
      <c r="A7053" t="str">
        <f>HYPERLINK("https://www.773grp.com/globalSearch/TMS320BC51PQ/page-1", "TMS320BC51PQ")</f>
        <v>TMS320BC51PQ</v>
      </c>
      <c r="B7053" s="3" t="s">
        <v>90</v>
      </c>
      <c r="C7053" s="5">
        <v>3210</v>
      </c>
      <c r="D7053" s="6">
        <v>56.11</v>
      </c>
      <c r="E7053" t="s">
        <v>87</v>
      </c>
    </row>
    <row r="7054" spans="1:5" x14ac:dyDescent="0.25">
      <c r="A7054" t="str">
        <f>HYPERLINK("https://www.773grp.com/globalSearch/OMAPL138BZWTD4/page-1", "OMAPL138BZWTD4")</f>
        <v>OMAPL138BZWTD4</v>
      </c>
      <c r="B7054" s="3" t="s">
        <v>90</v>
      </c>
      <c r="C7054" s="5">
        <v>2673</v>
      </c>
      <c r="D7054" s="6">
        <v>56.81</v>
      </c>
      <c r="E7054" t="s">
        <v>87</v>
      </c>
    </row>
    <row r="7055" spans="1:5" x14ac:dyDescent="0.25">
      <c r="A7055" t="str">
        <f>HYPERLINK("https://www.773grp.com/globalSearch/TMS320DM6437ZDU4/page-1", "TMS320DM6437ZDU4")</f>
        <v>TMS320DM6437ZDU4</v>
      </c>
      <c r="B7055" s="3" t="s">
        <v>90</v>
      </c>
      <c r="C7055" s="5">
        <v>1139</v>
      </c>
      <c r="D7055" s="6">
        <v>57.24</v>
      </c>
      <c r="E7055" t="s">
        <v>87</v>
      </c>
    </row>
    <row r="7056" spans="1:5" x14ac:dyDescent="0.25">
      <c r="A7056" t="str">
        <f>HYPERLINK("https://www.773grp.com/globalSearch/TMS32C6711DZDPA167/page-1", "TMS32C6711DZDPA167")</f>
        <v>TMS32C6711DZDPA167</v>
      </c>
      <c r="B7056" s="3" t="s">
        <v>90</v>
      </c>
      <c r="C7056" s="5">
        <v>40</v>
      </c>
      <c r="D7056" s="6">
        <v>57.51</v>
      </c>
      <c r="E7056" t="s">
        <v>87</v>
      </c>
    </row>
    <row r="7057" spans="1:5" x14ac:dyDescent="0.25">
      <c r="A7057" t="str">
        <f>HYPERLINK("https://www.773grp.com/globalSearch/TMS320C52PZ/page-1", "TMS320C52PZ")</f>
        <v>TMS320C52PZ</v>
      </c>
      <c r="B7057" s="3" t="s">
        <v>90</v>
      </c>
      <c r="C7057" s="5">
        <v>5469</v>
      </c>
      <c r="D7057" s="6">
        <v>57.66</v>
      </c>
      <c r="E7057" t="s">
        <v>87</v>
      </c>
    </row>
    <row r="7058" spans="1:5" x14ac:dyDescent="0.25">
      <c r="A7058" t="str">
        <f>HYPERLINK("https://www.773grp.com/globalSearch/OMAPL138BZWTD4E/page-1", "OMAPL138BZWTD4E")</f>
        <v>OMAPL138BZWTD4E</v>
      </c>
      <c r="B7058" s="3" t="s">
        <v>90</v>
      </c>
      <c r="C7058" s="5">
        <v>80</v>
      </c>
      <c r="D7058" s="6">
        <v>58.93</v>
      </c>
      <c r="E7058" t="s">
        <v>87</v>
      </c>
    </row>
    <row r="7059" spans="1:5" x14ac:dyDescent="0.25">
      <c r="A7059" t="str">
        <f>HYPERLINK("https://www.773grp.com/globalSearch/TMS320C6727BGDH300/page-1", "TMS320C6727BGDH300")</f>
        <v>TMS320C6727BGDH300</v>
      </c>
      <c r="B7059" s="3" t="s">
        <v>90</v>
      </c>
      <c r="C7059" s="5">
        <v>408</v>
      </c>
      <c r="D7059" s="6">
        <v>59.74</v>
      </c>
      <c r="E7059" t="s">
        <v>87</v>
      </c>
    </row>
    <row r="7060" spans="1:5" x14ac:dyDescent="0.25">
      <c r="A7060" t="str">
        <f>HYPERLINK("https://www.773grp.com/globalSearch/TMS320C52PZ100/page-1", "TMS320C52PZ100")</f>
        <v>TMS320C52PZ100</v>
      </c>
      <c r="B7060" s="3" t="s">
        <v>90</v>
      </c>
      <c r="C7060" s="5">
        <v>116</v>
      </c>
      <c r="D7060" s="6">
        <v>60.3</v>
      </c>
      <c r="E7060" t="s">
        <v>87</v>
      </c>
    </row>
    <row r="7061" spans="1:5" x14ac:dyDescent="0.25">
      <c r="A7061" t="str">
        <f>HYPERLINK("https://www.773grp.com/globalSearch/TMS320C6727GDH300/page-1", "TMS320C6727GDH300")</f>
        <v>TMS320C6727GDH300</v>
      </c>
      <c r="B7061" s="3" t="s">
        <v>90</v>
      </c>
      <c r="C7061" s="5">
        <v>78</v>
      </c>
      <c r="D7061" s="6">
        <v>60.46</v>
      </c>
      <c r="E7061" t="s">
        <v>87</v>
      </c>
    </row>
    <row r="7062" spans="1:5" x14ac:dyDescent="0.25">
      <c r="A7062" t="str">
        <f>HYPERLINK("https://www.773grp.com/globalSearch/TMS320LBC52PJ/page-1", "TMS320LBC52PJ")</f>
        <v>TMS320LBC52PJ</v>
      </c>
      <c r="B7062" s="3" t="s">
        <v>90</v>
      </c>
      <c r="C7062" s="5">
        <v>66</v>
      </c>
      <c r="D7062" s="6">
        <v>60.53</v>
      </c>
      <c r="E7062" t="s">
        <v>87</v>
      </c>
    </row>
    <row r="7063" spans="1:5" x14ac:dyDescent="0.25">
      <c r="A7063" t="str">
        <f>HYPERLINK("https://www.773grp.com/globalSearch/TMS320DM6437ZDU5/page-1", "TMS320DM6437ZDU5")</f>
        <v>TMS320DM6437ZDU5</v>
      </c>
      <c r="B7063" s="3" t="s">
        <v>90</v>
      </c>
      <c r="C7063" s="5">
        <v>1089</v>
      </c>
      <c r="D7063" s="6">
        <v>60.61</v>
      </c>
      <c r="E7063" t="s">
        <v>87</v>
      </c>
    </row>
    <row r="7064" spans="1:5" x14ac:dyDescent="0.25">
      <c r="A7064" t="str">
        <f>HYPERLINK("https://www.773grp.com/globalSearch/TMS320DM6437ZWT5/page-1", "TMS320DM6437ZWT5")</f>
        <v>TMS320DM6437ZWT5</v>
      </c>
      <c r="B7064" s="3" t="s">
        <v>90</v>
      </c>
      <c r="C7064" s="5">
        <v>175</v>
      </c>
      <c r="D7064" s="6">
        <v>60.61</v>
      </c>
      <c r="E7064" t="s">
        <v>87</v>
      </c>
    </row>
    <row r="7065" spans="1:5" x14ac:dyDescent="0.25">
      <c r="A7065" t="str">
        <f>HYPERLINK("https://www.773grp.com/globalSearch/TMS320DM6437ZWTQ4/page-1", "TMS320DM6437ZWTQ4")</f>
        <v>TMS320DM6437ZWTQ4</v>
      </c>
      <c r="B7065" s="3" t="s">
        <v>90</v>
      </c>
      <c r="C7065" s="5">
        <v>469</v>
      </c>
      <c r="D7065" s="6">
        <v>60.61</v>
      </c>
      <c r="E7065" t="s">
        <v>87</v>
      </c>
    </row>
    <row r="7066" spans="1:5" x14ac:dyDescent="0.25">
      <c r="A7066" t="str">
        <f>HYPERLINK("https://www.773grp.com/globalSearch/TMS320VC5510AGGWA2/page-1", "TMS320VC5510AGGWA2")</f>
        <v>TMS320VC5510AGGWA2</v>
      </c>
      <c r="B7066" s="3" t="s">
        <v>90</v>
      </c>
      <c r="C7066" s="5">
        <v>6547</v>
      </c>
      <c r="D7066" s="6">
        <v>61</v>
      </c>
      <c r="E7066" t="s">
        <v>87</v>
      </c>
    </row>
    <row r="7067" spans="1:5" x14ac:dyDescent="0.25">
      <c r="A7067" t="str">
        <f>HYPERLINK("https://www.773grp.com/globalSearch/TMS320VC5510AGPHA2/page-1", "TMS320VC5510AGPHA2")</f>
        <v>TMS320VC5510AGPHA2</v>
      </c>
      <c r="B7067" s="3" t="s">
        <v>90</v>
      </c>
      <c r="C7067" s="5">
        <v>164</v>
      </c>
      <c r="D7067" s="6">
        <v>61</v>
      </c>
      <c r="E7067" t="s">
        <v>87</v>
      </c>
    </row>
    <row r="7068" spans="1:5" x14ac:dyDescent="0.25">
      <c r="A7068" t="str">
        <f>HYPERLINK("https://www.773grp.com/globalSearch/TMS320C6424ZWT5/page-1", "TMS320C6424ZWT5")</f>
        <v>TMS320C6424ZWT5</v>
      </c>
      <c r="B7068" s="3" t="s">
        <v>90</v>
      </c>
      <c r="C7068" s="5">
        <v>610</v>
      </c>
      <c r="D7068" s="6">
        <v>61.6</v>
      </c>
      <c r="E7068" t="s">
        <v>87</v>
      </c>
    </row>
    <row r="7069" spans="1:5" x14ac:dyDescent="0.25">
      <c r="A7069" t="str">
        <f>HYPERLINK("https://www.773grp.com/globalSearch/TMS320VC5510GGWA1/page-1", "TMS320VC5510GGWA1")</f>
        <v>TMS320VC5510GGWA1</v>
      </c>
      <c r="B7069" s="3" t="s">
        <v>90</v>
      </c>
      <c r="C7069" s="5">
        <v>97</v>
      </c>
      <c r="D7069" s="6">
        <v>61.6</v>
      </c>
      <c r="E7069" t="s">
        <v>87</v>
      </c>
    </row>
    <row r="7070" spans="1:5" x14ac:dyDescent="0.25">
      <c r="A7070" t="str">
        <f>HYPERLINK("https://www.773grp.com/globalSearch/TMS320C51PQA/page-1", "TMS320C51PQA")</f>
        <v>TMS320C51PQA</v>
      </c>
      <c r="B7070" s="3" t="s">
        <v>90</v>
      </c>
      <c r="C7070" s="5">
        <v>276</v>
      </c>
      <c r="D7070" s="6">
        <v>61.88</v>
      </c>
      <c r="E7070" t="s">
        <v>87</v>
      </c>
    </row>
    <row r="7071" spans="1:5" x14ac:dyDescent="0.25">
      <c r="A7071" t="str">
        <f>HYPERLINK("https://www.773grp.com/globalSearch/TMS320C541PZ1-40/page-1", "TMS320C541PZ1-40")</f>
        <v>TMS320C541PZ1-40</v>
      </c>
      <c r="B7071" s="3" t="s">
        <v>90</v>
      </c>
      <c r="C7071" s="5">
        <v>5962</v>
      </c>
      <c r="D7071" s="6">
        <v>62.58</v>
      </c>
      <c r="E7071" t="s">
        <v>87</v>
      </c>
    </row>
    <row r="7072" spans="1:5" x14ac:dyDescent="0.25">
      <c r="A7072" t="str">
        <f>HYPERLINK("https://www.773grp.com/globalSearch/TMS320C51PZ80/page-1", "TMS320C51PZ80")</f>
        <v>TMS320C51PZ80</v>
      </c>
      <c r="B7072" s="3" t="s">
        <v>90</v>
      </c>
      <c r="C7072" s="5">
        <v>5262</v>
      </c>
      <c r="D7072" s="6">
        <v>62.95</v>
      </c>
      <c r="E7072" t="s">
        <v>87</v>
      </c>
    </row>
    <row r="7073" spans="1:5" x14ac:dyDescent="0.25">
      <c r="A7073" t="str">
        <f>HYPERLINK("https://www.773grp.com/globalSearch/TMS320LBC51PZ57/page-1", "TMS320LBC51PZ57")</f>
        <v>TMS320LBC51PZ57</v>
      </c>
      <c r="B7073" s="3" t="s">
        <v>90</v>
      </c>
      <c r="C7073" s="5">
        <v>53</v>
      </c>
      <c r="D7073" s="6">
        <v>62.95</v>
      </c>
      <c r="E7073" t="s">
        <v>87</v>
      </c>
    </row>
    <row r="7074" spans="1:5" x14ac:dyDescent="0.25">
      <c r="A7074" t="str">
        <f>HYPERLINK("https://www.773grp.com/globalSearch/TMS320DM640GDK400/page-1", "TMS320DM640GDK400")</f>
        <v>TMS320DM640GDK400</v>
      </c>
      <c r="B7074" s="3" t="s">
        <v>90</v>
      </c>
      <c r="C7074" s="5">
        <v>2587</v>
      </c>
      <c r="D7074" s="6">
        <v>63.15</v>
      </c>
      <c r="E7074" t="s">
        <v>87</v>
      </c>
    </row>
    <row r="7075" spans="1:5" x14ac:dyDescent="0.25">
      <c r="A7075" t="str">
        <f>HYPERLINK("https://www.773grp.com/globalSearch/TMS320DM640GNZ400/page-1", "TMS320DM640GNZ400")</f>
        <v>TMS320DM640GNZ400</v>
      </c>
      <c r="B7075" s="3" t="s">
        <v>90</v>
      </c>
      <c r="C7075" s="5">
        <v>212</v>
      </c>
      <c r="D7075" s="6">
        <v>63.15</v>
      </c>
      <c r="E7075" t="s">
        <v>87</v>
      </c>
    </row>
    <row r="7076" spans="1:5" x14ac:dyDescent="0.25">
      <c r="A7076" t="str">
        <f>HYPERLINK("https://www.773grp.com/globalSearch/TMS320DM6435ZDUQ6/page-1", "TMS320DM6435ZDUQ6")</f>
        <v>TMS320DM6435ZDUQ6</v>
      </c>
      <c r="B7076" s="3" t="s">
        <v>90</v>
      </c>
      <c r="C7076" s="5">
        <v>1141</v>
      </c>
      <c r="D7076" s="6">
        <v>63.15</v>
      </c>
      <c r="E7076" t="s">
        <v>87</v>
      </c>
    </row>
    <row r="7077" spans="1:5" x14ac:dyDescent="0.25">
      <c r="A7077" t="str">
        <f>HYPERLINK("https://www.773grp.com/globalSearch/TMS320C52PZA/page-1", "TMS320C52PZA")</f>
        <v>TMS320C52PZA</v>
      </c>
      <c r="B7077" s="3" t="s">
        <v>90</v>
      </c>
      <c r="C7077" s="5">
        <v>817</v>
      </c>
      <c r="D7077" s="6">
        <v>63.4</v>
      </c>
      <c r="E7077" t="s">
        <v>87</v>
      </c>
    </row>
    <row r="7078" spans="1:5" x14ac:dyDescent="0.25">
      <c r="A7078" t="str">
        <f>HYPERLINK("https://www.773grp.com/globalSearch/TMS320C6727ZDH300/page-1", "TMS320C6727ZDH300")</f>
        <v>TMS320C6727ZDH300</v>
      </c>
      <c r="B7078" s="3" t="s">
        <v>90</v>
      </c>
      <c r="C7078" s="5">
        <v>388</v>
      </c>
      <c r="D7078" s="6">
        <v>63.4</v>
      </c>
      <c r="E7078" t="s">
        <v>87</v>
      </c>
    </row>
    <row r="7079" spans="1:5" x14ac:dyDescent="0.25">
      <c r="A7079" t="str">
        <f>HYPERLINK("https://www.773grp.com/globalSearch/OMAP3503DCBB/page-1", "OMAP3503DCBB")</f>
        <v>OMAP3503DCBB</v>
      </c>
      <c r="B7079" s="3" t="s">
        <v>90</v>
      </c>
      <c r="C7079" s="5">
        <v>7710</v>
      </c>
      <c r="D7079" s="6">
        <v>63.41</v>
      </c>
      <c r="E7079" t="s">
        <v>87</v>
      </c>
    </row>
    <row r="7080" spans="1:5" x14ac:dyDescent="0.25">
      <c r="A7080" t="str">
        <f>HYPERLINK("https://www.773grp.com/globalSearch/OMAP3503DCBC/page-1", "OMAP3503DCBC")</f>
        <v>OMAP3503DCBC</v>
      </c>
      <c r="B7080" s="3" t="s">
        <v>90</v>
      </c>
      <c r="C7080" s="5">
        <v>1450</v>
      </c>
      <c r="D7080" s="6">
        <v>63.41</v>
      </c>
      <c r="E7080" t="s">
        <v>87</v>
      </c>
    </row>
    <row r="7081" spans="1:5" x14ac:dyDescent="0.25">
      <c r="A7081" t="str">
        <f>HYPERLINK("https://www.773grp.com/globalSearch/TMS320C53PQ80/page-1", "TMS320C53PQ80")</f>
        <v>TMS320C53PQ80</v>
      </c>
      <c r="B7081" s="3" t="s">
        <v>90</v>
      </c>
      <c r="C7081" s="5">
        <v>6</v>
      </c>
      <c r="D7081" s="6">
        <v>63.84</v>
      </c>
      <c r="E7081" t="s">
        <v>87</v>
      </c>
    </row>
    <row r="7082" spans="1:5" x14ac:dyDescent="0.25">
      <c r="A7082" t="str">
        <f>HYPERLINK("https://www.773grp.com/globalSearch/TMS320C542PGE2-40/page-1", "TMS320C542PGE2-40")</f>
        <v>TMS320C542PGE2-40</v>
      </c>
      <c r="B7082" s="3" t="s">
        <v>90</v>
      </c>
      <c r="C7082" s="5">
        <v>1096</v>
      </c>
      <c r="D7082" s="6">
        <v>63.84</v>
      </c>
      <c r="E7082" t="s">
        <v>87</v>
      </c>
    </row>
    <row r="7083" spans="1:5" x14ac:dyDescent="0.25">
      <c r="A7083" t="str">
        <f>HYPERLINK("https://www.773grp.com/globalSearch/TMS320LBC51PZA/page-1", "TMS320LBC51PZA")</f>
        <v>TMS320LBC51PZA</v>
      </c>
      <c r="B7083" s="3" t="s">
        <v>90</v>
      </c>
      <c r="C7083" s="5">
        <v>59</v>
      </c>
      <c r="D7083" s="6">
        <v>64.98</v>
      </c>
      <c r="E7083" t="s">
        <v>87</v>
      </c>
    </row>
    <row r="7084" spans="1:5" x14ac:dyDescent="0.25">
      <c r="A7084" t="str">
        <f>HYPERLINK("https://www.773grp.com/globalSearch/TMS320C25FNL/page-1", "TMS320C25FNL")</f>
        <v>TMS320C25FNL</v>
      </c>
      <c r="B7084" s="3" t="s">
        <v>90</v>
      </c>
      <c r="C7084" s="5">
        <v>591</v>
      </c>
      <c r="D7084" s="6">
        <v>65.510000000000005</v>
      </c>
      <c r="E7084" t="s">
        <v>87</v>
      </c>
    </row>
    <row r="7085" spans="1:5" x14ac:dyDescent="0.25">
      <c r="A7085" t="str">
        <f>HYPERLINK("https://www.773grp.com/globalSearch/TMS320C25FNLR/page-1", "TMS320C25FNLR")</f>
        <v>TMS320C25FNLR</v>
      </c>
      <c r="B7085" s="3" t="s">
        <v>90</v>
      </c>
      <c r="C7085" s="5">
        <v>440</v>
      </c>
      <c r="D7085" s="6">
        <v>65.510000000000005</v>
      </c>
      <c r="E7085" t="s">
        <v>87</v>
      </c>
    </row>
    <row r="7086" spans="1:5" x14ac:dyDescent="0.25">
      <c r="A7086" t="str">
        <f>HYPERLINK("https://www.773grp.com/globalSearch/TMS320BC52PJ80/page-1", "TMS320BC52PJ80")</f>
        <v>TMS320BC52PJ80</v>
      </c>
      <c r="B7086" s="3" t="s">
        <v>90</v>
      </c>
      <c r="C7086" s="5">
        <v>271</v>
      </c>
      <c r="D7086" s="6">
        <v>65.81</v>
      </c>
      <c r="E7086" t="s">
        <v>87</v>
      </c>
    </row>
    <row r="7087" spans="1:5" x14ac:dyDescent="0.25">
      <c r="A7087" t="str">
        <f>HYPERLINK("https://www.773grp.com/globalSearch/TMS320BC52PJA57/page-1", "TMS320BC52PJA57")</f>
        <v>TMS320BC52PJA57</v>
      </c>
      <c r="B7087" s="3" t="s">
        <v>90</v>
      </c>
      <c r="C7087" s="5">
        <v>4086</v>
      </c>
      <c r="D7087" s="6">
        <v>65.81</v>
      </c>
      <c r="E7087" t="s">
        <v>87</v>
      </c>
    </row>
    <row r="7088" spans="1:5" x14ac:dyDescent="0.25">
      <c r="A7088" t="str">
        <f>HYPERLINK("https://www.773grp.com/globalSearch/TMS320BC52PZA57/page-1", "TMS320BC52PZA57")</f>
        <v>TMS320BC52PZA57</v>
      </c>
      <c r="B7088" s="3" t="s">
        <v>90</v>
      </c>
      <c r="C7088" s="5">
        <v>1401</v>
      </c>
      <c r="D7088" s="6">
        <v>65.81</v>
      </c>
      <c r="E7088" t="s">
        <v>87</v>
      </c>
    </row>
    <row r="7089" spans="1:5" x14ac:dyDescent="0.25">
      <c r="A7089" t="str">
        <f>HYPERLINK("https://www.773grp.com/globalSearch/TMS320LBC52PZA57/page-1", "TMS320LBC52PZA57")</f>
        <v>TMS320LBC52PZA57</v>
      </c>
      <c r="B7089" s="3" t="s">
        <v>90</v>
      </c>
      <c r="C7089" s="5">
        <v>3453</v>
      </c>
      <c r="D7089" s="6">
        <v>65.81</v>
      </c>
      <c r="E7089" t="s">
        <v>87</v>
      </c>
    </row>
    <row r="7090" spans="1:5" x14ac:dyDescent="0.25">
      <c r="A7090" t="str">
        <f>HYPERLINK("https://www.773grp.com/globalSearch/OMAP3503DZCBCS/page-1", "OMAP3503DZCBCS")</f>
        <v>OMAP3503DZCBCS</v>
      </c>
      <c r="B7090" s="3" t="s">
        <v>90</v>
      </c>
      <c r="C7090" s="5">
        <v>168</v>
      </c>
      <c r="D7090" s="6">
        <v>66.099999999999994</v>
      </c>
      <c r="E7090" t="s">
        <v>87</v>
      </c>
    </row>
    <row r="7091" spans="1:5" x14ac:dyDescent="0.25">
      <c r="A7091" t="str">
        <f>HYPERLINK("https://www.773grp.com/globalSearch/TMS320C6421ZWT7/page-1", "TMS320C6421ZWT7")</f>
        <v>TMS320C6421ZWT7</v>
      </c>
      <c r="B7091" s="3" t="s">
        <v>90</v>
      </c>
      <c r="C7091" s="5">
        <v>25480</v>
      </c>
      <c r="D7091" s="6">
        <v>66.53</v>
      </c>
      <c r="E7091" t="s">
        <v>87</v>
      </c>
    </row>
    <row r="7092" spans="1:5" x14ac:dyDescent="0.25">
      <c r="A7092" t="str">
        <f>HYPERLINK("https://www.773grp.com/globalSearch/TMS32C6713BPYPA167/page-1", "TMS32C6713BPYPA167")</f>
        <v>TMS32C6713BPYPA167</v>
      </c>
      <c r="B7092" s="3" t="s">
        <v>90</v>
      </c>
      <c r="C7092" s="5">
        <v>2964</v>
      </c>
      <c r="D7092" s="6">
        <v>67.05</v>
      </c>
      <c r="E7092" t="s">
        <v>87</v>
      </c>
    </row>
    <row r="7093" spans="1:5" x14ac:dyDescent="0.25">
      <c r="A7093" t="str">
        <f>HYPERLINK("https://www.773grp.com/globalSearch/TMS320DM640AGDK4/page-1", "TMS320DM640AGDK4")</f>
        <v>TMS320DM640AGDK4</v>
      </c>
      <c r="B7093" s="3" t="s">
        <v>90</v>
      </c>
      <c r="C7093" s="5">
        <v>7875</v>
      </c>
      <c r="D7093" s="6">
        <v>67.16</v>
      </c>
      <c r="E7093" t="s">
        <v>87</v>
      </c>
    </row>
    <row r="7094" spans="1:5" x14ac:dyDescent="0.25">
      <c r="A7094" t="str">
        <f>HYPERLINK("https://www.773grp.com/globalSearch/TMS320DM640AGNZ4/page-1", "TMS320DM640AGNZ4")</f>
        <v>TMS320DM640AGNZ4</v>
      </c>
      <c r="B7094" s="3" t="s">
        <v>90</v>
      </c>
      <c r="C7094" s="5">
        <v>2560</v>
      </c>
      <c r="D7094" s="6">
        <v>67.16</v>
      </c>
      <c r="E7094" t="s">
        <v>87</v>
      </c>
    </row>
    <row r="7095" spans="1:5" x14ac:dyDescent="0.25">
      <c r="A7095" t="str">
        <f>HYPERLINK("https://www.773grp.com/globalSearch/TMS320DM640AZDK4/page-1", "TMS320DM640AZDK4")</f>
        <v>TMS320DM640AZDK4</v>
      </c>
      <c r="B7095" s="3" t="s">
        <v>90</v>
      </c>
      <c r="C7095" s="5">
        <v>1605</v>
      </c>
      <c r="D7095" s="6">
        <v>67.16</v>
      </c>
      <c r="E7095" t="s">
        <v>87</v>
      </c>
    </row>
    <row r="7096" spans="1:5" x14ac:dyDescent="0.25">
      <c r="A7096" t="str">
        <f>HYPERLINK("https://www.773grp.com/globalSearch/TMS320DM6437ZDU6/page-1", "TMS320DM6437ZDU6")</f>
        <v>TMS320DM6437ZDU6</v>
      </c>
      <c r="B7096" s="3" t="s">
        <v>90</v>
      </c>
      <c r="C7096" s="5">
        <v>2247</v>
      </c>
      <c r="D7096" s="6">
        <v>67.5</v>
      </c>
      <c r="E7096" t="s">
        <v>87</v>
      </c>
    </row>
    <row r="7097" spans="1:5" x14ac:dyDescent="0.25">
      <c r="A7097" t="str">
        <f>HYPERLINK("https://www.773grp.com/globalSearch/TMS320DM6437ZWT6/page-1", "TMS320DM6437ZWT6")</f>
        <v>TMS320DM6437ZWT6</v>
      </c>
      <c r="B7097" s="3" t="s">
        <v>90</v>
      </c>
      <c r="C7097" s="5">
        <v>366</v>
      </c>
      <c r="D7097" s="6">
        <v>67.5</v>
      </c>
      <c r="E7097" t="s">
        <v>87</v>
      </c>
    </row>
    <row r="7098" spans="1:5" x14ac:dyDescent="0.25">
      <c r="A7098" t="str">
        <f>HYPERLINK("https://www.773grp.com/globalSearch/TMS320LC543PZ2-40/page-1", "TMS320LC543PZ2-40")</f>
        <v>TMS320LC543PZ2-40</v>
      </c>
      <c r="B7098" s="3" t="s">
        <v>90</v>
      </c>
      <c r="C7098" s="5">
        <v>4089</v>
      </c>
      <c r="D7098" s="6">
        <v>68.900000000000006</v>
      </c>
      <c r="E7098" t="s">
        <v>87</v>
      </c>
    </row>
    <row r="7099" spans="1:5" x14ac:dyDescent="0.25">
      <c r="A7099" t="str">
        <f>HYPERLINK("https://www.773grp.com/globalSearch/TMS320C51PQA57/page-1", "TMS320C51PQA57")</f>
        <v>TMS320C51PQA57</v>
      </c>
      <c r="B7099" s="3" t="s">
        <v>90</v>
      </c>
      <c r="C7099" s="5">
        <v>16292</v>
      </c>
      <c r="D7099" s="6">
        <v>69.239999999999995</v>
      </c>
      <c r="E7099" t="s">
        <v>87</v>
      </c>
    </row>
    <row r="7100" spans="1:5" x14ac:dyDescent="0.25">
      <c r="A7100" t="str">
        <f>HYPERLINK("https://www.773grp.com/globalSearch/TMS320C51PQ80/page-1", "TMS320C51PQ80")</f>
        <v>TMS320C51PQ80</v>
      </c>
      <c r="B7100" s="3" t="s">
        <v>90</v>
      </c>
      <c r="C7100" s="5">
        <v>2073</v>
      </c>
      <c r="D7100" s="6">
        <v>69.48</v>
      </c>
      <c r="E7100" t="s">
        <v>87</v>
      </c>
    </row>
    <row r="7101" spans="1:5" x14ac:dyDescent="0.25">
      <c r="A7101" t="str">
        <f>HYPERLINK("https://www.773grp.com/globalSearch/TMSDC6727BZDHA250/page-1", "TMSDC6727BZDHA250")</f>
        <v>TMSDC6727BZDHA250</v>
      </c>
      <c r="B7101" s="3" t="s">
        <v>90</v>
      </c>
      <c r="C7101" s="5">
        <v>594</v>
      </c>
      <c r="D7101" s="6">
        <v>69.7</v>
      </c>
      <c r="E7101" t="s">
        <v>87</v>
      </c>
    </row>
    <row r="7102" spans="1:5" x14ac:dyDescent="0.25">
      <c r="A7102" t="str">
        <f>HYPERLINK("https://www.773grp.com/globalSearch/POMAP5912ZDY/page-1", "POMAP5912ZDY")</f>
        <v>POMAP5912ZDY</v>
      </c>
      <c r="B7102" s="3" t="s">
        <v>90</v>
      </c>
      <c r="C7102" s="5">
        <v>35</v>
      </c>
      <c r="D7102" s="6">
        <v>69.900000000000006</v>
      </c>
      <c r="E7102" t="s">
        <v>87</v>
      </c>
    </row>
    <row r="7103" spans="1:5" x14ac:dyDescent="0.25">
      <c r="A7103" t="str">
        <f>HYPERLINK("https://www.773grp.com/globalSearch/TMS320C6211BGFN150/page-1", "TMS320C6211BGFN150")</f>
        <v>TMS320C6211BGFN150</v>
      </c>
      <c r="B7103" s="3" t="s">
        <v>90</v>
      </c>
      <c r="C7103" s="5">
        <v>60</v>
      </c>
      <c r="D7103" s="6">
        <v>70.59</v>
      </c>
      <c r="E7103" t="s">
        <v>87</v>
      </c>
    </row>
    <row r="7104" spans="1:5" x14ac:dyDescent="0.25">
      <c r="A7104" t="str">
        <f>HYPERLINK("https://www.773grp.com/globalSearch/TMS320C6713BZDP225/page-1", "TMS320C6713BZDP225")</f>
        <v>TMS320C6713BZDP225</v>
      </c>
      <c r="B7104" s="3" t="s">
        <v>90</v>
      </c>
      <c r="C7104" s="5">
        <v>86</v>
      </c>
      <c r="D7104" s="6">
        <v>70.760000000000005</v>
      </c>
      <c r="E7104" t="s">
        <v>87</v>
      </c>
    </row>
    <row r="7105" spans="1:5" x14ac:dyDescent="0.25">
      <c r="A7105" t="str">
        <f>HYPERLINK("https://www.773grp.com/globalSearch/TMS32C6713BZDPA200/page-1", "TMS32C6713BZDPA200")</f>
        <v>TMS32C6713BZDPA200</v>
      </c>
      <c r="B7105" s="3" t="s">
        <v>90</v>
      </c>
      <c r="C7105" s="5">
        <v>57</v>
      </c>
      <c r="D7105" s="6">
        <v>72</v>
      </c>
      <c r="E7105" t="s">
        <v>87</v>
      </c>
    </row>
    <row r="7106" spans="1:5" x14ac:dyDescent="0.25">
      <c r="A7106" t="str">
        <f>HYPERLINK("https://www.773grp.com/globalSearch/TMS320C25FNA/page-1", "TMS320C25FNA")</f>
        <v>TMS320C25FNA</v>
      </c>
      <c r="B7106" s="3" t="s">
        <v>90</v>
      </c>
      <c r="C7106" s="5">
        <v>6</v>
      </c>
      <c r="D7106" s="6">
        <v>72.14</v>
      </c>
      <c r="E7106" t="s">
        <v>87</v>
      </c>
    </row>
    <row r="7107" spans="1:5" x14ac:dyDescent="0.25">
      <c r="A7107" t="str">
        <f>HYPERLINK("https://www.773grp.com/globalSearch/TMS320C25FNLR50/page-1", "TMS320C25FNLR50")</f>
        <v>TMS320C25FNLR50</v>
      </c>
      <c r="B7107" s="3" t="s">
        <v>90</v>
      </c>
      <c r="C7107" s="5">
        <v>294</v>
      </c>
      <c r="D7107" s="6">
        <v>72.14</v>
      </c>
      <c r="E7107" t="s">
        <v>87</v>
      </c>
    </row>
    <row r="7108" spans="1:5" x14ac:dyDescent="0.25">
      <c r="A7108" t="str">
        <f>HYPERLINK("https://www.773grp.com/globalSearch/TMS320C6413ZTS500/page-1", "TMS320C6413ZTS500")</f>
        <v>TMS320C6413ZTS500</v>
      </c>
      <c r="B7108" s="3" t="s">
        <v>90</v>
      </c>
      <c r="C7108" s="5">
        <v>1277</v>
      </c>
      <c r="D7108" s="6">
        <v>72.680000000000007</v>
      </c>
      <c r="E7108" t="s">
        <v>87</v>
      </c>
    </row>
    <row r="7109" spans="1:5" x14ac:dyDescent="0.25">
      <c r="A7109" t="str">
        <f>HYPERLINK("https://www.773grp.com/globalSearch/OMAP3515DCBB/page-1", "OMAP3515DCBB")</f>
        <v>OMAP3515DCBB</v>
      </c>
      <c r="B7109" s="3" t="s">
        <v>90</v>
      </c>
      <c r="C7109" s="5">
        <v>1833</v>
      </c>
      <c r="D7109" s="6">
        <v>73.13</v>
      </c>
      <c r="E7109" t="s">
        <v>87</v>
      </c>
    </row>
    <row r="7110" spans="1:5" x14ac:dyDescent="0.25">
      <c r="A7110" t="str">
        <f>HYPERLINK("https://www.773grp.com/globalSearch/TMS320C6424ZDUQ5/page-1", "TMS320C6424ZDUQ5")</f>
        <v>TMS320C6424ZDUQ5</v>
      </c>
      <c r="B7110" s="3" t="s">
        <v>90</v>
      </c>
      <c r="C7110" s="5">
        <v>3307</v>
      </c>
      <c r="D7110" s="6">
        <v>73.41</v>
      </c>
      <c r="E7110" t="s">
        <v>87</v>
      </c>
    </row>
    <row r="7111" spans="1:5" x14ac:dyDescent="0.25">
      <c r="A7111" t="str">
        <f>HYPERLINK("https://www.773grp.com/globalSearch/OMAP3503DCUS/page-1", "OMAP3503DCUS")</f>
        <v>OMAP3503DCUS</v>
      </c>
      <c r="B7111" s="3" t="s">
        <v>90</v>
      </c>
      <c r="C7111" s="5">
        <v>3662</v>
      </c>
      <c r="D7111" s="6">
        <v>74.63</v>
      </c>
      <c r="E7111" t="s">
        <v>87</v>
      </c>
    </row>
    <row r="7112" spans="1:5" x14ac:dyDescent="0.25">
      <c r="A7112" t="str">
        <f>HYPERLINK("https://www.773grp.com/globalSearch/TMS320VC5416GGU120/page-1", "TMS320VC5416GGU120")</f>
        <v>TMS320VC5416GGU120</v>
      </c>
      <c r="B7112" s="3" t="s">
        <v>90</v>
      </c>
      <c r="C7112" s="5">
        <v>441</v>
      </c>
      <c r="D7112" s="6">
        <v>75.78</v>
      </c>
      <c r="E7112" t="s">
        <v>87</v>
      </c>
    </row>
    <row r="7113" spans="1:5" x14ac:dyDescent="0.25">
      <c r="A7113" t="str">
        <f>HYPERLINK("https://www.773grp.com/globalSearch/TMS320VC5416PGE120/page-1", "TMS320VC5416PGE120")</f>
        <v>TMS320VC5416PGE120</v>
      </c>
      <c r="B7113" s="3" t="s">
        <v>90</v>
      </c>
      <c r="C7113" s="5">
        <v>272</v>
      </c>
      <c r="D7113" s="6">
        <v>75.78</v>
      </c>
      <c r="E7113" t="s">
        <v>87</v>
      </c>
    </row>
    <row r="7114" spans="1:5" x14ac:dyDescent="0.25">
      <c r="A7114" t="str">
        <f>HYPERLINK("https://www.773grp.com/globalSearch/SM32C6711DGDPA16EP/page-1", "SM32C6711DGDPA16EP")</f>
        <v>SM32C6711DGDPA16EP</v>
      </c>
      <c r="B7114" s="3" t="s">
        <v>90</v>
      </c>
      <c r="C7114" s="5">
        <v>24</v>
      </c>
      <c r="D7114" s="6">
        <v>75.94</v>
      </c>
      <c r="E7114" t="s">
        <v>87</v>
      </c>
    </row>
    <row r="7115" spans="1:5" x14ac:dyDescent="0.25">
      <c r="A7115" t="str">
        <f>HYPERLINK("https://www.773grp.com/globalSearch/TMS320BC52PJ100/page-1", "TMS320BC52PJ100")</f>
        <v>TMS320BC52PJ100</v>
      </c>
      <c r="B7115" s="3" t="s">
        <v>90</v>
      </c>
      <c r="C7115" s="5">
        <v>359</v>
      </c>
      <c r="D7115" s="6">
        <v>76.08</v>
      </c>
      <c r="E7115" t="s">
        <v>87</v>
      </c>
    </row>
    <row r="7116" spans="1:5" x14ac:dyDescent="0.25">
      <c r="A7116" t="str">
        <f>HYPERLINK("https://www.773grp.com/globalSearch/TMS320BC52PZ100/page-1", "TMS320BC52PZ100")</f>
        <v>TMS320BC52PZ100</v>
      </c>
      <c r="B7116" s="3" t="s">
        <v>90</v>
      </c>
      <c r="C7116" s="5">
        <v>179</v>
      </c>
      <c r="D7116" s="6">
        <v>76.08</v>
      </c>
      <c r="E7116" t="s">
        <v>87</v>
      </c>
    </row>
    <row r="7117" spans="1:5" x14ac:dyDescent="0.25">
      <c r="A7117" t="str">
        <f>HYPERLINK("https://www.773grp.com/globalSearch/XOMAP3503BCBB/page-1", "XOMAP3503BCBB")</f>
        <v>XOMAP3503BCBB</v>
      </c>
      <c r="B7117" s="3" t="s">
        <v>90</v>
      </c>
      <c r="C7117" s="5">
        <v>133</v>
      </c>
      <c r="D7117" s="6">
        <v>76.23</v>
      </c>
      <c r="E7117" t="s">
        <v>87</v>
      </c>
    </row>
    <row r="7118" spans="1:5" x14ac:dyDescent="0.25">
      <c r="A7118" t="str">
        <f>HYPERLINK("https://www.773grp.com/globalSearch/TMS320C51PQ/page-1", "TMS320C51PQ")</f>
        <v>TMS320C51PQ</v>
      </c>
      <c r="B7118" s="3" t="s">
        <v>90</v>
      </c>
      <c r="C7118" s="5">
        <v>1872</v>
      </c>
      <c r="D7118" s="6">
        <v>76.33</v>
      </c>
      <c r="E7118" t="s">
        <v>87</v>
      </c>
    </row>
    <row r="7119" spans="1:5" x14ac:dyDescent="0.25">
      <c r="A7119" t="str">
        <f>HYPERLINK("https://www.773grp.com/globalSearch/TMS320LC549GGU-66/page-1", "TMS320LC549GGU-66")</f>
        <v>TMS320LC549GGU-66</v>
      </c>
      <c r="B7119" s="3" t="s">
        <v>90</v>
      </c>
      <c r="C7119" s="5">
        <v>7488</v>
      </c>
      <c r="D7119" s="6">
        <v>76.5</v>
      </c>
      <c r="E7119" t="s">
        <v>87</v>
      </c>
    </row>
    <row r="7120" spans="1:5" x14ac:dyDescent="0.25">
      <c r="A7120" t="str">
        <f>HYPERLINK("https://www.773grp.com/globalSearch/TMS320LC549GGU-80/page-1", "TMS320LC549GGU-80")</f>
        <v>TMS320LC549GGU-80</v>
      </c>
      <c r="B7120" s="3" t="s">
        <v>90</v>
      </c>
      <c r="C7120" s="5">
        <v>1123</v>
      </c>
      <c r="D7120" s="6">
        <v>76.5</v>
      </c>
      <c r="E7120" t="s">
        <v>87</v>
      </c>
    </row>
    <row r="7121" spans="1:5" x14ac:dyDescent="0.25">
      <c r="A7121" t="str">
        <f>HYPERLINK("https://www.773grp.com/globalSearch/TMS320LC542PGE1-40/page-1", "TMS320LC542PGE1-40")</f>
        <v>TMS320LC542PGE1-40</v>
      </c>
      <c r="B7121" s="3" t="s">
        <v>90</v>
      </c>
      <c r="C7121" s="5">
        <v>2386</v>
      </c>
      <c r="D7121" s="6">
        <v>76.790000000000006</v>
      </c>
      <c r="E7121" t="s">
        <v>87</v>
      </c>
    </row>
    <row r="7122" spans="1:5" x14ac:dyDescent="0.25">
      <c r="A7122" t="str">
        <f>HYPERLINK("https://www.773grp.com/globalSearch/TMS320DM641AGDK5/page-1", "TMS320DM641AGDK5")</f>
        <v>TMS320DM641AGDK5</v>
      </c>
      <c r="B7122" s="3" t="s">
        <v>90</v>
      </c>
      <c r="C7122" s="5">
        <v>441</v>
      </c>
      <c r="D7122" s="6">
        <v>77.06</v>
      </c>
      <c r="E7122" t="s">
        <v>87</v>
      </c>
    </row>
    <row r="7123" spans="1:5" x14ac:dyDescent="0.25">
      <c r="A7123" t="str">
        <f>HYPERLINK("https://www.773grp.com/globalSearch/TMS320C6424ZWT6/page-1", "TMS320C6424ZWT6")</f>
        <v>TMS320C6424ZWT6</v>
      </c>
      <c r="B7123" s="3" t="s">
        <v>90</v>
      </c>
      <c r="C7123" s="5">
        <v>1</v>
      </c>
      <c r="D7123" s="6">
        <v>77.34</v>
      </c>
      <c r="E7123" t="s">
        <v>87</v>
      </c>
    </row>
    <row r="7124" spans="1:5" x14ac:dyDescent="0.25">
      <c r="A7124" t="str">
        <f>HYPERLINK("https://www.773grp.com/globalSearch/OMAP5910JGZG2/page-1", "OMAP5910JGZG2")</f>
        <v>OMAP5910JGZG2</v>
      </c>
      <c r="B7124" s="3" t="s">
        <v>90</v>
      </c>
      <c r="C7124" s="5">
        <v>4918</v>
      </c>
      <c r="D7124" s="6">
        <v>77.959999999999994</v>
      </c>
      <c r="E7124" t="s">
        <v>87</v>
      </c>
    </row>
    <row r="7125" spans="1:5" x14ac:dyDescent="0.25">
      <c r="A7125" t="str">
        <f>HYPERLINK("https://www.773grp.com/globalSearch/TMS320DM641AGNZ5/page-1", "TMS320DM641AGNZ5")</f>
        <v>TMS320DM641AGNZ5</v>
      </c>
      <c r="B7125" s="3" t="s">
        <v>90</v>
      </c>
      <c r="C7125" s="5">
        <v>3715</v>
      </c>
      <c r="D7125" s="6">
        <v>78.19</v>
      </c>
      <c r="E7125" t="s">
        <v>87</v>
      </c>
    </row>
    <row r="7126" spans="1:5" x14ac:dyDescent="0.25">
      <c r="A7126" t="str">
        <f>HYPERLINK("https://www.773grp.com/globalSearch/TMS320LBC53SPZ57/page-1", "TMS320LBC53SPZ57")</f>
        <v>TMS320LBC53SPZ57</v>
      </c>
      <c r="B7126" s="3" t="s">
        <v>90</v>
      </c>
      <c r="C7126" s="5">
        <v>1189</v>
      </c>
      <c r="D7126" s="6">
        <v>78.59</v>
      </c>
      <c r="E7126" t="s">
        <v>87</v>
      </c>
    </row>
    <row r="7127" spans="1:5" x14ac:dyDescent="0.25">
      <c r="A7127" t="str">
        <f>HYPERLINK("https://www.773grp.com/globalSearch/TMS320C25FNA50/page-1", "TMS320C25FNA50")</f>
        <v>TMS320C25FNA50</v>
      </c>
      <c r="B7127" s="3" t="s">
        <v>90</v>
      </c>
      <c r="C7127" s="5">
        <v>11</v>
      </c>
      <c r="D7127" s="6">
        <v>78.599999999999994</v>
      </c>
      <c r="E7127" t="s">
        <v>87</v>
      </c>
    </row>
    <row r="7128" spans="1:5" x14ac:dyDescent="0.25">
      <c r="A7128" t="str">
        <f>HYPERLINK("https://www.773grp.com/globalSearch/TMS320C53PQ57/page-1", "TMS320C53PQ57")</f>
        <v>TMS320C53PQ57</v>
      </c>
      <c r="B7128" s="3" t="s">
        <v>90</v>
      </c>
      <c r="C7128" s="5">
        <v>1246</v>
      </c>
      <c r="D7128" s="6">
        <v>78.599999999999994</v>
      </c>
      <c r="E7128" t="s">
        <v>87</v>
      </c>
    </row>
    <row r="7129" spans="1:5" x14ac:dyDescent="0.25">
      <c r="A7129" t="str">
        <f>HYPERLINK("https://www.773grp.com/globalSearch/TMS320DM640AGNZA4/page-1", "TMS320DM640AGNZA4")</f>
        <v>TMS320DM640AGNZA4</v>
      </c>
      <c r="B7129" s="3" t="s">
        <v>90</v>
      </c>
      <c r="C7129" s="5">
        <v>910</v>
      </c>
      <c r="D7129" s="6">
        <v>79.010000000000005</v>
      </c>
      <c r="E7129" t="s">
        <v>87</v>
      </c>
    </row>
    <row r="7130" spans="1:5" x14ac:dyDescent="0.25">
      <c r="A7130" t="str">
        <f>HYPERLINK("https://www.773grp.com/globalSearch/TMS320C6211GFN167/page-1", "TMS320C6211GFN167")</f>
        <v>TMS320C6211GFN167</v>
      </c>
      <c r="B7130" s="3" t="s">
        <v>90</v>
      </c>
      <c r="C7130" s="5">
        <v>4443</v>
      </c>
      <c r="D7130" s="6">
        <v>79.540000000000006</v>
      </c>
      <c r="E7130" t="s">
        <v>87</v>
      </c>
    </row>
    <row r="7131" spans="1:5" x14ac:dyDescent="0.25">
      <c r="A7131" t="str">
        <f>HYPERLINK("https://www.773grp.com/globalSearch/TMS320BC51PQ57/page-1", "TMS320BC51PQ57")</f>
        <v>TMS320BC51PQ57</v>
      </c>
      <c r="B7131" s="3" t="s">
        <v>90</v>
      </c>
      <c r="C7131" s="5">
        <v>45</v>
      </c>
      <c r="D7131" s="6">
        <v>79.599999999999994</v>
      </c>
      <c r="E7131" t="s">
        <v>87</v>
      </c>
    </row>
    <row r="7132" spans="1:5" x14ac:dyDescent="0.25">
      <c r="A7132" t="str">
        <f>HYPERLINK("https://www.773grp.com/globalSearch/TMS320BC51PZ57/page-1", "TMS320BC51PZ57")</f>
        <v>TMS320BC51PZ57</v>
      </c>
      <c r="B7132" s="3" t="s">
        <v>90</v>
      </c>
      <c r="C7132" s="5">
        <v>538</v>
      </c>
      <c r="D7132" s="6">
        <v>79.599999999999994</v>
      </c>
      <c r="E7132" t="s">
        <v>87</v>
      </c>
    </row>
    <row r="7133" spans="1:5" x14ac:dyDescent="0.25">
      <c r="A7133" t="str">
        <f>HYPERLINK("https://www.773grp.com/globalSearch/TMS320C51PQ100/page-1", "TMS320C51PQ100")</f>
        <v>TMS320C51PQ100</v>
      </c>
      <c r="B7133" s="3" t="s">
        <v>90</v>
      </c>
      <c r="C7133" s="5">
        <v>765</v>
      </c>
      <c r="D7133" s="6">
        <v>79.790000000000006</v>
      </c>
      <c r="E7133" t="s">
        <v>87</v>
      </c>
    </row>
    <row r="7134" spans="1:5" x14ac:dyDescent="0.25">
      <c r="A7134" t="str">
        <f>HYPERLINK("https://www.773grp.com/globalSearch/TMS320LBC51PZ/page-1", "TMS320LBC51PZ")</f>
        <v>TMS320LBC51PZ</v>
      </c>
      <c r="B7134" s="3" t="s">
        <v>90</v>
      </c>
      <c r="C7134" s="5">
        <v>197</v>
      </c>
      <c r="D7134" s="6">
        <v>80.16</v>
      </c>
      <c r="E7134" t="s">
        <v>87</v>
      </c>
    </row>
    <row r="7135" spans="1:5" x14ac:dyDescent="0.25">
      <c r="A7135" t="str">
        <f>HYPERLINK("https://www.773grp.com/globalSearch/POMAP5910JGDY2/page-1", "POMAP5910JGDY2")</f>
        <v>POMAP5910JGDY2</v>
      </c>
      <c r="B7135" s="3" t="s">
        <v>90</v>
      </c>
      <c r="C7135" s="5">
        <v>684</v>
      </c>
      <c r="D7135" s="6">
        <v>80.41</v>
      </c>
      <c r="E7135" t="s">
        <v>87</v>
      </c>
    </row>
    <row r="7136" spans="1:5" x14ac:dyDescent="0.25">
      <c r="A7136" t="str">
        <f>HYPERLINK("https://www.773grp.com/globalSearch/TMS320DM640AZNZA4/page-1", "TMS320DM640AZNZA4")</f>
        <v>TMS320DM640AZNZA4</v>
      </c>
      <c r="B7136" s="3" t="s">
        <v>90</v>
      </c>
      <c r="C7136" s="5">
        <v>19</v>
      </c>
      <c r="D7136" s="6">
        <v>80.58</v>
      </c>
      <c r="E7136" t="s">
        <v>87</v>
      </c>
    </row>
    <row r="7137" spans="1:5" x14ac:dyDescent="0.25">
      <c r="A7137" t="str">
        <f>HYPERLINK("https://www.773grp.com/globalSearch/OMAP5910GGZG2/page-1", "OMAP5910GGZG2")</f>
        <v>OMAP5910GGZG2</v>
      </c>
      <c r="B7137" s="3" t="s">
        <v>90</v>
      </c>
      <c r="C7137" s="5">
        <v>712</v>
      </c>
      <c r="D7137" s="6">
        <v>81</v>
      </c>
      <c r="E7137" t="s">
        <v>87</v>
      </c>
    </row>
    <row r="7138" spans="1:5" x14ac:dyDescent="0.25">
      <c r="A7138" t="str">
        <f>HYPERLINK("https://www.773grp.com/globalSearch/TMS320DM6437ZDU7/page-1", "TMS320DM6437ZDU7")</f>
        <v>TMS320DM6437ZDU7</v>
      </c>
      <c r="B7138" s="3" t="s">
        <v>90</v>
      </c>
      <c r="C7138" s="5">
        <v>287</v>
      </c>
      <c r="D7138" s="6">
        <v>81.14</v>
      </c>
      <c r="E7138" t="s">
        <v>87</v>
      </c>
    </row>
    <row r="7139" spans="1:5" x14ac:dyDescent="0.25">
      <c r="A7139" t="str">
        <f>HYPERLINK("https://www.773grp.com/globalSearch/TMS320DM6437ZWT7/page-1", "TMS320DM6437ZWT7")</f>
        <v>TMS320DM6437ZWT7</v>
      </c>
      <c r="B7139" s="3" t="s">
        <v>90</v>
      </c>
      <c r="C7139" s="5">
        <v>5927</v>
      </c>
      <c r="D7139" s="6">
        <v>81.14</v>
      </c>
      <c r="E7139" t="s">
        <v>87</v>
      </c>
    </row>
    <row r="7140" spans="1:5" x14ac:dyDescent="0.25">
      <c r="A7140" t="str">
        <f>HYPERLINK("https://www.773grp.com/globalSearch/TMS320C6727BZDH350/page-1", "TMS320C6727BZDH350")</f>
        <v>TMS320C6727BZDH350</v>
      </c>
      <c r="B7140" s="3" t="s">
        <v>90</v>
      </c>
      <c r="C7140" s="5">
        <v>1260</v>
      </c>
      <c r="D7140" s="6">
        <v>81.64</v>
      </c>
      <c r="E7140" t="s">
        <v>87</v>
      </c>
    </row>
    <row r="7141" spans="1:5" x14ac:dyDescent="0.25">
      <c r="A7141" t="str">
        <f>HYPERLINK("https://www.773grp.com/globalSearch/TMS320LC549PGE-66/page-1", "TMS320LC549PGE-66")</f>
        <v>TMS320LC549PGE-66</v>
      </c>
      <c r="B7141" s="3" t="s">
        <v>90</v>
      </c>
      <c r="C7141" s="5">
        <v>1735</v>
      </c>
      <c r="D7141" s="6">
        <v>83.48</v>
      </c>
      <c r="E7141" t="s">
        <v>87</v>
      </c>
    </row>
    <row r="7142" spans="1:5" x14ac:dyDescent="0.25">
      <c r="A7142" t="str">
        <f>HYPERLINK("https://www.773grp.com/globalSearch/TMS320VC549GGU-80/page-1", "TMS320VC549GGU-80")</f>
        <v>TMS320VC549GGU-80</v>
      </c>
      <c r="B7142" s="3" t="s">
        <v>90</v>
      </c>
      <c r="C7142" s="5">
        <v>6757</v>
      </c>
      <c r="D7142" s="6">
        <v>83.48</v>
      </c>
      <c r="E7142" t="s">
        <v>87</v>
      </c>
    </row>
    <row r="7143" spans="1:5" x14ac:dyDescent="0.25">
      <c r="A7143" t="str">
        <f>HYPERLINK("https://www.773grp.com/globalSearch/TMS320VC549PGE-80/page-1", "TMS320VC549PGE-80")</f>
        <v>TMS320VC549PGE-80</v>
      </c>
      <c r="B7143" s="3" t="s">
        <v>90</v>
      </c>
      <c r="C7143" s="5">
        <v>6405</v>
      </c>
      <c r="D7143" s="6">
        <v>83.48</v>
      </c>
      <c r="E7143" t="s">
        <v>87</v>
      </c>
    </row>
    <row r="7144" spans="1:5" x14ac:dyDescent="0.25">
      <c r="A7144" t="str">
        <f>HYPERLINK("https://www.773grp.com/globalSearch/SM320F2812GHHMEP/page-1", "SM320F2812GHHMEP")</f>
        <v>SM320F2812GHHMEP</v>
      </c>
      <c r="B7144" s="3" t="s">
        <v>90</v>
      </c>
      <c r="C7144" s="5">
        <v>83</v>
      </c>
      <c r="D7144" s="6">
        <v>83.66</v>
      </c>
      <c r="E7144" t="s">
        <v>87</v>
      </c>
    </row>
    <row r="7145" spans="1:5" x14ac:dyDescent="0.25">
      <c r="A7145" t="str">
        <f>HYPERLINK("https://www.773grp.com/globalSearch/TMS320LC543PZ1-50/page-1", "TMS320LC543PZ1-50")</f>
        <v>TMS320LC543PZ1-50</v>
      </c>
      <c r="B7145" s="3" t="s">
        <v>90</v>
      </c>
      <c r="C7145" s="5">
        <v>44</v>
      </c>
      <c r="D7145" s="6">
        <v>83.7</v>
      </c>
      <c r="E7145" t="s">
        <v>87</v>
      </c>
    </row>
    <row r="7146" spans="1:5" x14ac:dyDescent="0.25">
      <c r="A7146" t="str">
        <f>HYPERLINK("https://www.773grp.com/globalSearch/TMS320LC542PGE2-40/page-1", "TMS320LC542PGE2-40")</f>
        <v>TMS320LC542PGE2-40</v>
      </c>
      <c r="B7146" s="3" t="s">
        <v>90</v>
      </c>
      <c r="C7146" s="5">
        <v>134</v>
      </c>
      <c r="D7146" s="6">
        <v>83.79</v>
      </c>
      <c r="E7146" t="s">
        <v>87</v>
      </c>
    </row>
    <row r="7147" spans="1:5" x14ac:dyDescent="0.25">
      <c r="A7147" t="str">
        <f>HYPERLINK("https://www.773grp.com/globalSearch/TMS320VC5416ZGU160/page-1", "TMS320VC5416ZGU160")</f>
        <v>TMS320VC5416ZGU160</v>
      </c>
      <c r="B7147" s="3" t="s">
        <v>90</v>
      </c>
      <c r="C7147" s="5">
        <v>256</v>
      </c>
      <c r="D7147" s="6">
        <v>84.09</v>
      </c>
      <c r="E7147" t="s">
        <v>87</v>
      </c>
    </row>
    <row r="7148" spans="1:5" x14ac:dyDescent="0.25">
      <c r="A7148" t="str">
        <f>HYPERLINK("https://www.773grp.com/globalSearch/TMS320VC549ZGU-100/page-1", "TMS320VC549ZGU-100")</f>
        <v>TMS320VC549ZGU-100</v>
      </c>
      <c r="B7148" s="3" t="s">
        <v>90</v>
      </c>
      <c r="C7148" s="5">
        <v>1440</v>
      </c>
      <c r="D7148" s="6">
        <v>84.24</v>
      </c>
      <c r="E7148" t="s">
        <v>87</v>
      </c>
    </row>
    <row r="7149" spans="1:5" x14ac:dyDescent="0.25">
      <c r="A7149" t="str">
        <f>HYPERLINK("https://www.773grp.com/globalSearch/TMS32C6211BGFNA150/page-1", "TMS32C6211BGFNA150")</f>
        <v>TMS32C6211BGFNA150</v>
      </c>
      <c r="B7149" s="3" t="s">
        <v>90</v>
      </c>
      <c r="C7149" s="5">
        <v>137</v>
      </c>
      <c r="D7149" s="6">
        <v>84.71</v>
      </c>
      <c r="E7149" t="s">
        <v>87</v>
      </c>
    </row>
    <row r="7150" spans="1:5" x14ac:dyDescent="0.25">
      <c r="A7150" t="str">
        <f>HYPERLINK("https://www.773grp.com/globalSearch/TMS320DM641AGNZ6/page-1", "TMS320DM641AGNZ6")</f>
        <v>TMS320DM641AGNZ6</v>
      </c>
      <c r="B7150" s="3" t="s">
        <v>90</v>
      </c>
      <c r="C7150" s="5">
        <v>14</v>
      </c>
      <c r="D7150" s="6">
        <v>86.45</v>
      </c>
      <c r="E7150" t="s">
        <v>87</v>
      </c>
    </row>
    <row r="7151" spans="1:5" x14ac:dyDescent="0.25">
      <c r="A7151" t="str">
        <f>HYPERLINK("https://www.773grp.com/globalSearch/TMS320DM641AZDK6/page-1", "TMS320DM641AZDK6")</f>
        <v>TMS320DM641AZDK6</v>
      </c>
      <c r="B7151" s="3" t="s">
        <v>90</v>
      </c>
      <c r="C7151" s="5">
        <v>84</v>
      </c>
      <c r="D7151" s="6">
        <v>86.45</v>
      </c>
      <c r="E7151" t="s">
        <v>87</v>
      </c>
    </row>
    <row r="7152" spans="1:5" x14ac:dyDescent="0.25">
      <c r="A7152" t="str">
        <f>HYPERLINK("https://www.773grp.com/globalSearch/OMAP5912ZDY/page-1", "OMAP5912ZDY")</f>
        <v>OMAP5912ZDY</v>
      </c>
      <c r="B7152" s="3" t="s">
        <v>90</v>
      </c>
      <c r="C7152" s="5">
        <v>833</v>
      </c>
      <c r="D7152" s="6">
        <v>87.04</v>
      </c>
      <c r="E7152" t="s">
        <v>87</v>
      </c>
    </row>
    <row r="7153" spans="1:5" x14ac:dyDescent="0.25">
      <c r="A7153" t="str">
        <f>HYPERLINK("https://www.773grp.com/globalSearch/TMS320DM643AGDK5/page-1", "TMS320DM643AGDK5")</f>
        <v>TMS320DM643AGDK5</v>
      </c>
      <c r="B7153" s="3" t="s">
        <v>90</v>
      </c>
      <c r="C7153" s="5">
        <v>3636</v>
      </c>
      <c r="D7153" s="6">
        <v>87.25</v>
      </c>
      <c r="E7153" t="s">
        <v>87</v>
      </c>
    </row>
    <row r="7154" spans="1:5" x14ac:dyDescent="0.25">
      <c r="A7154" t="str">
        <f>HYPERLINK("https://www.773grp.com/globalSearch/TMS320DM643AGNZ5/page-1", "TMS320DM643AGNZ5")</f>
        <v>TMS320DM643AGNZ5</v>
      </c>
      <c r="B7154" s="3" t="s">
        <v>90</v>
      </c>
      <c r="C7154" s="5">
        <v>20</v>
      </c>
      <c r="D7154" s="6">
        <v>87.25</v>
      </c>
      <c r="E7154" t="s">
        <v>87</v>
      </c>
    </row>
    <row r="7155" spans="1:5" x14ac:dyDescent="0.25">
      <c r="A7155" t="str">
        <f>HYPERLINK("https://www.773grp.com/globalSearch/TMS320BC51PQ80/page-1", "TMS320BC51PQ80")</f>
        <v>TMS320BC51PQ80</v>
      </c>
      <c r="B7155" s="3" t="s">
        <v>90</v>
      </c>
      <c r="C7155" s="5">
        <v>39</v>
      </c>
      <c r="D7155" s="6">
        <v>87.46</v>
      </c>
      <c r="E7155" t="s">
        <v>87</v>
      </c>
    </row>
    <row r="7156" spans="1:5" x14ac:dyDescent="0.25">
      <c r="A7156" t="str">
        <f>HYPERLINK("https://www.773grp.com/globalSearch/TMS320BC51PQA57/page-1", "TMS320BC51PQA57")</f>
        <v>TMS320BC51PQA57</v>
      </c>
      <c r="B7156" s="3" t="s">
        <v>90</v>
      </c>
      <c r="C7156" s="5">
        <v>1772</v>
      </c>
      <c r="D7156" s="6">
        <v>87.46</v>
      </c>
      <c r="E7156" t="s">
        <v>87</v>
      </c>
    </row>
    <row r="7157" spans="1:5" x14ac:dyDescent="0.25">
      <c r="A7157" t="str">
        <f>HYPERLINK("https://www.773grp.com/globalSearch/TMS320BC51PZ80/page-1", "TMS320BC51PZ80")</f>
        <v>TMS320BC51PZ80</v>
      </c>
      <c r="B7157" s="3" t="s">
        <v>90</v>
      </c>
      <c r="C7157" s="5">
        <v>15532</v>
      </c>
      <c r="D7157" s="6">
        <v>87.46</v>
      </c>
      <c r="E7157" t="s">
        <v>87</v>
      </c>
    </row>
    <row r="7158" spans="1:5" x14ac:dyDescent="0.25">
      <c r="A7158" t="str">
        <f>HYPERLINK("https://www.773grp.com/globalSearch/TMS320BC51PZA57/page-1", "TMS320BC51PZA57")</f>
        <v>TMS320BC51PZA57</v>
      </c>
      <c r="B7158" s="3" t="s">
        <v>90</v>
      </c>
      <c r="C7158" s="5">
        <v>82</v>
      </c>
      <c r="D7158" s="6">
        <v>87.46</v>
      </c>
      <c r="E7158" t="s">
        <v>87</v>
      </c>
    </row>
    <row r="7159" spans="1:5" x14ac:dyDescent="0.25">
      <c r="A7159" t="str">
        <f>HYPERLINK("https://www.773grp.com/globalSearch/TMS320LBC51PQA57/page-1", "TMS320LBC51PQA57")</f>
        <v>TMS320LBC51PQA57</v>
      </c>
      <c r="B7159" s="3" t="s">
        <v>90</v>
      </c>
      <c r="C7159" s="5">
        <v>1228</v>
      </c>
      <c r="D7159" s="6">
        <v>87.46</v>
      </c>
      <c r="E7159" t="s">
        <v>87</v>
      </c>
    </row>
    <row r="7160" spans="1:5" x14ac:dyDescent="0.25">
      <c r="A7160" t="str">
        <f>HYPERLINK("https://www.773grp.com/globalSearch/TMX320DM6437BZDUA/page-1", "TMX320DM6437BZDUA")</f>
        <v>TMX320DM6437BZDUA</v>
      </c>
      <c r="B7160" s="3" t="s">
        <v>90</v>
      </c>
      <c r="C7160" s="5">
        <v>240</v>
      </c>
      <c r="D7160" s="6">
        <v>87.61</v>
      </c>
      <c r="E7160" t="s">
        <v>87</v>
      </c>
    </row>
    <row r="7161" spans="1:5" x14ac:dyDescent="0.25">
      <c r="A7161" t="str">
        <f>HYPERLINK("https://www.773grp.com/globalSearch/OMAP3515DCBCA/page-1", "OMAP3515DCBCA")</f>
        <v>OMAP3515DCBCA</v>
      </c>
      <c r="B7161" s="3" t="s">
        <v>90</v>
      </c>
      <c r="C7161" s="5">
        <v>1167</v>
      </c>
      <c r="D7161" s="6">
        <v>87.75</v>
      </c>
      <c r="E7161" t="s">
        <v>87</v>
      </c>
    </row>
    <row r="7162" spans="1:5" x14ac:dyDescent="0.25">
      <c r="A7162" t="str">
        <f>HYPERLINK("https://www.773grp.com/globalSearch/TMS320C6211BGFN167/page-1", "TMS320C6211BGFN167")</f>
        <v>TMS320C6211BGFN167</v>
      </c>
      <c r="B7162" s="3" t="s">
        <v>90</v>
      </c>
      <c r="C7162" s="5">
        <v>7285</v>
      </c>
      <c r="D7162" s="6">
        <v>88.26</v>
      </c>
      <c r="E7162" t="s">
        <v>87</v>
      </c>
    </row>
    <row r="7163" spans="1:5" x14ac:dyDescent="0.25">
      <c r="A7163" t="str">
        <f>HYPERLINK("https://www.773grp.com/globalSearch/TMS320C6424ZDUQ6/page-1", "TMS320C6424ZDUQ6")</f>
        <v>TMS320C6424ZDUQ6</v>
      </c>
      <c r="B7163" s="3" t="s">
        <v>90</v>
      </c>
      <c r="C7163" s="5">
        <v>14</v>
      </c>
      <c r="D7163" s="6">
        <v>89.15</v>
      </c>
      <c r="E7163" t="s">
        <v>87</v>
      </c>
    </row>
    <row r="7164" spans="1:5" x14ac:dyDescent="0.25">
      <c r="A7164" t="str">
        <f>HYPERLINK("https://www.773grp.com/globalSearch/TMS320C6424ZWTQ6/page-1", "TMS320C6424ZWTQ6")</f>
        <v>TMS320C6424ZWTQ6</v>
      </c>
      <c r="B7164" s="3" t="s">
        <v>90</v>
      </c>
      <c r="C7164" s="5">
        <v>2</v>
      </c>
      <c r="D7164" s="6">
        <v>89.15</v>
      </c>
      <c r="E7164" t="s">
        <v>87</v>
      </c>
    </row>
    <row r="7165" spans="1:5" x14ac:dyDescent="0.25">
      <c r="A7165" t="str">
        <f>HYPERLINK("https://www.773grp.com/globalSearch/TMS320VC5410GGW100/page-1", "TMS320VC5410GGW100")</f>
        <v>TMS320VC5410GGW100</v>
      </c>
      <c r="B7165" s="3" t="s">
        <v>90</v>
      </c>
      <c r="C7165" s="5">
        <v>3195</v>
      </c>
      <c r="D7165" s="6">
        <v>90.34</v>
      </c>
      <c r="E7165" t="s">
        <v>87</v>
      </c>
    </row>
    <row r="7166" spans="1:5" x14ac:dyDescent="0.25">
      <c r="A7166" t="str">
        <f>HYPERLINK("https://www.773grp.com/globalSearch/TMS320VC5410PGE100/page-1", "TMS320VC5410PGE100")</f>
        <v>TMS320VC5410PGE100</v>
      </c>
      <c r="B7166" s="3" t="s">
        <v>90</v>
      </c>
      <c r="C7166" s="5">
        <v>26463</v>
      </c>
      <c r="D7166" s="6">
        <v>90.34</v>
      </c>
      <c r="E7166" t="s">
        <v>87</v>
      </c>
    </row>
    <row r="7167" spans="1:5" x14ac:dyDescent="0.25">
      <c r="A7167" t="str">
        <f>HYPERLINK("https://www.773grp.com/globalSearch/TMS320BC51PQA80G4/page-1", "TMS320BC51PQA80G4")</f>
        <v>TMS320BC51PQA80G4</v>
      </c>
      <c r="B7167" s="3" t="s">
        <v>90</v>
      </c>
      <c r="C7167" s="5">
        <v>1406</v>
      </c>
      <c r="D7167" s="6">
        <v>90.7</v>
      </c>
      <c r="E7167" t="s">
        <v>87</v>
      </c>
    </row>
    <row r="7168" spans="1:5" x14ac:dyDescent="0.25">
      <c r="A7168" t="str">
        <f>HYPERLINK("https://www.773grp.com/globalSearch/OMAP5910JZDY2/page-1", "OMAP5910JZDY2")</f>
        <v>OMAP5910JZDY2</v>
      </c>
      <c r="B7168" s="3" t="s">
        <v>90</v>
      </c>
      <c r="C7168" s="5">
        <v>52</v>
      </c>
      <c r="D7168" s="6">
        <v>91.75</v>
      </c>
      <c r="E7168" t="s">
        <v>87</v>
      </c>
    </row>
    <row r="7169" spans="1:5" x14ac:dyDescent="0.25">
      <c r="A7169" t="str">
        <f>HYPERLINK("https://www.773grp.com/globalSearch/TMS320VC549GGU-100/page-1", "TMS320VC549GGU-100")</f>
        <v>TMS320VC549GGU-100</v>
      </c>
      <c r="B7169" s="3" t="s">
        <v>90</v>
      </c>
      <c r="C7169" s="5">
        <v>2193</v>
      </c>
      <c r="D7169" s="6">
        <v>91.84</v>
      </c>
      <c r="E7169" t="s">
        <v>87</v>
      </c>
    </row>
    <row r="7170" spans="1:5" x14ac:dyDescent="0.25">
      <c r="A7170" t="str">
        <f>HYPERLINK("https://www.773grp.com/globalSearch/TMS320VC549PGE-100/page-1", "TMS320VC549PGE-100")</f>
        <v>TMS320VC549PGE-100</v>
      </c>
      <c r="B7170" s="3" t="s">
        <v>90</v>
      </c>
      <c r="C7170" s="5">
        <v>2935</v>
      </c>
      <c r="D7170" s="6">
        <v>91.84</v>
      </c>
      <c r="E7170" t="s">
        <v>87</v>
      </c>
    </row>
    <row r="7171" spans="1:5" x14ac:dyDescent="0.25">
      <c r="A7171" t="str">
        <f>HYPERLINK("https://www.773grp.com/globalSearch/TMS32VC549PGE100G4/page-1", "TMS32VC549PGE100G4")</f>
        <v>TMS32VC549PGE100G4</v>
      </c>
      <c r="B7171" s="3" t="s">
        <v>90</v>
      </c>
      <c r="C7171" s="5">
        <v>60</v>
      </c>
      <c r="D7171" s="6">
        <v>91.84</v>
      </c>
      <c r="E7171" t="s">
        <v>87</v>
      </c>
    </row>
    <row r="7172" spans="1:5" x14ac:dyDescent="0.25">
      <c r="A7172" t="str">
        <f>HYPERLINK("https://www.773grp.com/globalSearch/TMS320LC542PBK1-50/page-1", "TMS320LC542PBK1-50")</f>
        <v>TMS320LC542PBK1-50</v>
      </c>
      <c r="B7172" s="3" t="s">
        <v>90</v>
      </c>
      <c r="C7172" s="5">
        <v>2057</v>
      </c>
      <c r="D7172" s="6">
        <v>92.18</v>
      </c>
      <c r="E7172" t="s">
        <v>87</v>
      </c>
    </row>
    <row r="7173" spans="1:5" x14ac:dyDescent="0.25">
      <c r="A7173" t="str">
        <f>HYPERLINK("https://www.773grp.com/globalSearch/TMS320LC542PGE1-50/page-1", "TMS320LC542PGE1-50")</f>
        <v>TMS320LC542PGE1-50</v>
      </c>
      <c r="B7173" s="3" t="s">
        <v>90</v>
      </c>
      <c r="C7173" s="5">
        <v>47694</v>
      </c>
      <c r="D7173" s="6">
        <v>92.18</v>
      </c>
      <c r="E7173" t="s">
        <v>87</v>
      </c>
    </row>
    <row r="7174" spans="1:5" x14ac:dyDescent="0.25">
      <c r="A7174" t="str">
        <f>HYPERLINK("https://www.773grp.com/globalSearch/TMS320LC542PGE2-50/page-1", "TMS320LC542PGE2-50")</f>
        <v>TMS320LC542PGE2-50</v>
      </c>
      <c r="B7174" s="3" t="s">
        <v>90</v>
      </c>
      <c r="C7174" s="5">
        <v>3617</v>
      </c>
      <c r="D7174" s="6">
        <v>92.18</v>
      </c>
      <c r="E7174" t="s">
        <v>87</v>
      </c>
    </row>
    <row r="7175" spans="1:5" x14ac:dyDescent="0.25">
      <c r="A7175" t="str">
        <f>HYPERLINK("https://www.773grp.com/globalSearch/TMS320C6211GFN150/page-1", "TMS320C6211GFN150")</f>
        <v>TMS320C6211GFN150</v>
      </c>
      <c r="B7175" s="3" t="s">
        <v>90</v>
      </c>
      <c r="C7175" s="5">
        <v>23</v>
      </c>
      <c r="D7175" s="6">
        <v>92.95</v>
      </c>
      <c r="E7175" t="s">
        <v>87</v>
      </c>
    </row>
    <row r="7176" spans="1:5" x14ac:dyDescent="0.25">
      <c r="A7176" t="str">
        <f>HYPERLINK("https://www.773grp.com/globalSearch/TMS320DM643AGDK6/page-1", "TMS320DM643AGDK6")</f>
        <v>TMS320DM643AGDK6</v>
      </c>
      <c r="B7176" s="3" t="s">
        <v>90</v>
      </c>
      <c r="C7176" s="5">
        <v>4346</v>
      </c>
      <c r="D7176" s="6">
        <v>93.24</v>
      </c>
      <c r="E7176" t="s">
        <v>87</v>
      </c>
    </row>
    <row r="7177" spans="1:5" x14ac:dyDescent="0.25">
      <c r="A7177" t="str">
        <f>HYPERLINK("https://www.773grp.com/globalSearch/TMS320DM643AGNZ6/page-1", "TMS320DM643AGNZ6")</f>
        <v>TMS320DM643AGNZ6</v>
      </c>
      <c r="B7177" s="3" t="s">
        <v>90</v>
      </c>
      <c r="C7177" s="5">
        <v>1108</v>
      </c>
      <c r="D7177" s="6">
        <v>93.24</v>
      </c>
      <c r="E7177" t="s">
        <v>87</v>
      </c>
    </row>
    <row r="7178" spans="1:5" x14ac:dyDescent="0.25">
      <c r="A7178" t="str">
        <f>HYPERLINK("https://www.773grp.com/globalSearch/TMS320BC53SPZ57/page-1", "TMS320BC53SPZ57")</f>
        <v>TMS320BC53SPZ57</v>
      </c>
      <c r="B7178" s="3" t="s">
        <v>90</v>
      </c>
      <c r="C7178" s="5">
        <v>1351</v>
      </c>
      <c r="D7178" s="6">
        <v>93.53</v>
      </c>
      <c r="E7178" t="s">
        <v>87</v>
      </c>
    </row>
    <row r="7179" spans="1:5" x14ac:dyDescent="0.25">
      <c r="A7179" t="str">
        <f>HYPERLINK("https://www.773grp.com/globalSearch/TMS320C6713BGDP300/page-1", "TMS320C6713BGDP300")</f>
        <v>TMS320C6713BGDP300</v>
      </c>
      <c r="B7179" s="3" t="s">
        <v>90</v>
      </c>
      <c r="C7179" s="5">
        <v>121</v>
      </c>
      <c r="D7179" s="6">
        <v>93.74</v>
      </c>
      <c r="E7179" t="s">
        <v>87</v>
      </c>
    </row>
    <row r="7180" spans="1:5" x14ac:dyDescent="0.25">
      <c r="A7180" t="str">
        <f>HYPERLINK("https://www.773grp.com/globalSearch/TMS320VC549PGER100/page-1", "TMS320VC549PGER100")</f>
        <v>TMS320VC549PGER100</v>
      </c>
      <c r="B7180" s="3" t="s">
        <v>90</v>
      </c>
      <c r="C7180" s="5">
        <v>745</v>
      </c>
      <c r="D7180" s="6">
        <v>94.34</v>
      </c>
      <c r="E7180" t="s">
        <v>87</v>
      </c>
    </row>
    <row r="7181" spans="1:5" x14ac:dyDescent="0.25">
      <c r="A7181" t="str">
        <f>HYPERLINK("https://www.773grp.com/globalSearch/TMS320C32PCM50/page-1", "TMS320C32PCM50")</f>
        <v>TMS320C32PCM50</v>
      </c>
      <c r="B7181" s="3" t="s">
        <v>90</v>
      </c>
      <c r="C7181" s="5">
        <v>14</v>
      </c>
      <c r="D7181" s="6">
        <v>94.5</v>
      </c>
      <c r="E7181" t="s">
        <v>87</v>
      </c>
    </row>
    <row r="7182" spans="1:5" x14ac:dyDescent="0.25">
      <c r="A7182" t="str">
        <f>HYPERLINK("https://www.773grp.com/globalSearch/TMS320C53SPZ/page-1", "TMS320C53SPZ")</f>
        <v>TMS320C53SPZ</v>
      </c>
      <c r="B7182" s="3" t="s">
        <v>90</v>
      </c>
      <c r="C7182" s="5">
        <v>359</v>
      </c>
      <c r="D7182" s="6">
        <v>95.4</v>
      </c>
      <c r="E7182" t="s">
        <v>87</v>
      </c>
    </row>
    <row r="7183" spans="1:5" x14ac:dyDescent="0.25">
      <c r="A7183" t="str">
        <f>HYPERLINK("https://www.773grp.com/globalSearch/TMS320BC51PQA80/page-1", "TMS320BC51PQA80")</f>
        <v>TMS320BC51PQA80</v>
      </c>
      <c r="B7183" s="3" t="s">
        <v>90</v>
      </c>
      <c r="C7183" s="5">
        <v>75</v>
      </c>
      <c r="D7183" s="6">
        <v>96.33</v>
      </c>
      <c r="E7183" t="s">
        <v>87</v>
      </c>
    </row>
    <row r="7184" spans="1:5" x14ac:dyDescent="0.25">
      <c r="A7184" t="str">
        <f>HYPERLINK("https://www.773grp.com/globalSearch/TMS320BC53PQA/page-1", "TMS320BC53PQA")</f>
        <v>TMS320BC53PQA</v>
      </c>
      <c r="B7184" s="3" t="s">
        <v>90</v>
      </c>
      <c r="C7184" s="5">
        <v>6147</v>
      </c>
      <c r="D7184" s="6">
        <v>96.48</v>
      </c>
      <c r="E7184" t="s">
        <v>87</v>
      </c>
    </row>
    <row r="7185" spans="1:5" x14ac:dyDescent="0.25">
      <c r="A7185" t="str">
        <f>HYPERLINK("https://www.773grp.com/globalSearch/SM32VC5510AGGWA2EP/page-1", "SM32VC5510AGGWA2EP")</f>
        <v>SM32VC5510AGGWA2EP</v>
      </c>
      <c r="B7185" s="3" t="s">
        <v>90</v>
      </c>
      <c r="C7185" s="5">
        <v>121</v>
      </c>
      <c r="D7185" s="6">
        <v>96.75</v>
      </c>
      <c r="E7185" t="s">
        <v>87</v>
      </c>
    </row>
    <row r="7186" spans="1:5" x14ac:dyDescent="0.25">
      <c r="A7186" t="str">
        <f>HYPERLINK("https://www.773grp.com/globalSearch/TMS320LC31PQL40/page-1", "TMS320LC31PQL40")</f>
        <v>TMS320LC31PQL40</v>
      </c>
      <c r="B7186" s="3" t="s">
        <v>90</v>
      </c>
      <c r="C7186" s="5">
        <v>28</v>
      </c>
      <c r="D7186" s="6">
        <v>96.9</v>
      </c>
      <c r="E7186" t="s">
        <v>87</v>
      </c>
    </row>
    <row r="7187" spans="1:5" x14ac:dyDescent="0.25">
      <c r="A7187" t="str">
        <f>HYPERLINK("https://www.773grp.com/globalSearch/TMS320C6211BGFN180/page-1", "TMS320C6211BGFN180")</f>
        <v>TMS320C6211BGFN180</v>
      </c>
      <c r="B7187" s="3" t="s">
        <v>90</v>
      </c>
      <c r="C7187" s="5">
        <v>2230</v>
      </c>
      <c r="D7187" s="6">
        <v>97.04</v>
      </c>
      <c r="E7187" t="s">
        <v>87</v>
      </c>
    </row>
    <row r="7188" spans="1:5" x14ac:dyDescent="0.25">
      <c r="A7188" t="str">
        <f>HYPERLINK("https://www.773grp.com/globalSearch/TMS320DM641GNZ500/page-1", "TMS320DM641GNZ500")</f>
        <v>TMS320DM641GNZ500</v>
      </c>
      <c r="B7188" s="3" t="s">
        <v>90</v>
      </c>
      <c r="C7188" s="5">
        <v>50000</v>
      </c>
      <c r="D7188" s="6">
        <v>98.59</v>
      </c>
      <c r="E7188" t="s">
        <v>87</v>
      </c>
    </row>
    <row r="7189" spans="1:5" x14ac:dyDescent="0.25">
      <c r="A7189" t="str">
        <f>HYPERLINK("https://www.773grp.com/globalSearch/TMS320BC53PQ57/page-1", "TMS320BC53PQ57")</f>
        <v>TMS320BC53PQ57</v>
      </c>
      <c r="B7189" s="3" t="s">
        <v>90</v>
      </c>
      <c r="C7189" s="5">
        <v>587</v>
      </c>
      <c r="D7189" s="6">
        <v>99.28</v>
      </c>
      <c r="E7189" t="s">
        <v>87</v>
      </c>
    </row>
    <row r="7190" spans="1:5" x14ac:dyDescent="0.25">
      <c r="A7190" t="str">
        <f>HYPERLINK("https://www.773grp.com/globalSearch/TMS320BC51PQ100/page-1", "TMS320BC51PQ100")</f>
        <v>TMS320BC51PQ100</v>
      </c>
      <c r="B7190" s="3" t="s">
        <v>90</v>
      </c>
      <c r="C7190" s="5">
        <v>8059</v>
      </c>
      <c r="D7190" s="6">
        <v>99.43</v>
      </c>
      <c r="E7190" t="s">
        <v>87</v>
      </c>
    </row>
    <row r="7191" spans="1:5" x14ac:dyDescent="0.25">
      <c r="A7191" t="str">
        <f>HYPERLINK("https://www.773grp.com/globalSearch/SM320VC5416PGE16EP/page-1", "SM320VC5416PGE16EP")</f>
        <v>SM320VC5416PGE16EP</v>
      </c>
      <c r="B7191" s="3" t="s">
        <v>90</v>
      </c>
      <c r="C7191" s="5">
        <v>1</v>
      </c>
      <c r="D7191" s="6">
        <v>100.54</v>
      </c>
      <c r="E7191" t="s">
        <v>87</v>
      </c>
    </row>
    <row r="7192" spans="1:5" x14ac:dyDescent="0.25">
      <c r="A7192" t="str">
        <f>HYPERLINK("https://www.773grp.com/globalSearch/TMS320VC549GGU-120/page-1", "TMS320VC549GGU-120")</f>
        <v>TMS320VC549GGU-120</v>
      </c>
      <c r="B7192" s="3" t="s">
        <v>90</v>
      </c>
      <c r="C7192" s="5">
        <v>4561</v>
      </c>
      <c r="D7192" s="6">
        <v>100.96</v>
      </c>
      <c r="E7192" t="s">
        <v>87</v>
      </c>
    </row>
    <row r="7193" spans="1:5" x14ac:dyDescent="0.25">
      <c r="A7193" t="str">
        <f>HYPERLINK("https://www.773grp.com/globalSearch/TMS320VC549ZGU-120/page-1", "TMS320VC549ZGU-120")</f>
        <v>TMS320VC549ZGU-120</v>
      </c>
      <c r="B7193" s="3" t="s">
        <v>90</v>
      </c>
      <c r="C7193" s="5">
        <v>281</v>
      </c>
      <c r="D7193" s="6">
        <v>100.96</v>
      </c>
      <c r="E7193" t="s">
        <v>87</v>
      </c>
    </row>
    <row r="7194" spans="1:5" x14ac:dyDescent="0.25">
      <c r="A7194" t="str">
        <f>HYPERLINK("https://www.773grp.com/globalSearch/TMS320DM642AGDK5/page-1", "TMS320DM642AGDK5")</f>
        <v>TMS320DM642AGDK5</v>
      </c>
      <c r="B7194" s="3" t="s">
        <v>90</v>
      </c>
      <c r="C7194" s="5">
        <v>17999</v>
      </c>
      <c r="D7194" s="6">
        <v>101.73</v>
      </c>
      <c r="E7194" t="s">
        <v>87</v>
      </c>
    </row>
    <row r="7195" spans="1:5" x14ac:dyDescent="0.25">
      <c r="A7195" t="str">
        <f>HYPERLINK("https://www.773grp.com/globalSearch/TMS320DM642AGNZ5/page-1", "TMS320DM642AGNZ5")</f>
        <v>TMS320DM642AGNZ5</v>
      </c>
      <c r="B7195" s="3" t="s">
        <v>90</v>
      </c>
      <c r="C7195" s="5">
        <v>3911</v>
      </c>
      <c r="D7195" s="6">
        <v>101.73</v>
      </c>
      <c r="E7195" t="s">
        <v>87</v>
      </c>
    </row>
    <row r="7196" spans="1:5" x14ac:dyDescent="0.25">
      <c r="A7196" t="str">
        <f>HYPERLINK("https://www.773grp.com/globalSearch/TMS320BC53PQA57/page-1", "TMS320BC53PQA57")</f>
        <v>TMS320BC53PQA57</v>
      </c>
      <c r="B7196" s="3" t="s">
        <v>90</v>
      </c>
      <c r="C7196" s="5">
        <v>629</v>
      </c>
      <c r="D7196" s="6">
        <v>102.94</v>
      </c>
      <c r="E7196" t="s">
        <v>87</v>
      </c>
    </row>
    <row r="7197" spans="1:5" x14ac:dyDescent="0.25">
      <c r="A7197" t="str">
        <f>HYPERLINK("https://www.773grp.com/globalSearch/TMS320BC53SPZ80/page-1", "TMS320BC53SPZ80")</f>
        <v>TMS320BC53SPZ80</v>
      </c>
      <c r="B7197" s="3" t="s">
        <v>90</v>
      </c>
      <c r="C7197" s="5">
        <v>22</v>
      </c>
      <c r="D7197" s="6">
        <v>102.94</v>
      </c>
      <c r="E7197" t="s">
        <v>87</v>
      </c>
    </row>
    <row r="7198" spans="1:5" x14ac:dyDescent="0.25">
      <c r="A7198" t="str">
        <f>HYPERLINK("https://www.773grp.com/globalSearch/TMS320LC31PQ40/page-1", "TMS320LC31PQ40")</f>
        <v>TMS320LC31PQ40</v>
      </c>
      <c r="B7198" s="3" t="s">
        <v>90</v>
      </c>
      <c r="C7198" s="5">
        <v>1218</v>
      </c>
      <c r="D7198" s="6">
        <v>102.94</v>
      </c>
      <c r="E7198" t="s">
        <v>87</v>
      </c>
    </row>
    <row r="7199" spans="1:5" x14ac:dyDescent="0.25">
      <c r="A7199" t="str">
        <f>HYPERLINK("https://www.773grp.com/globalSearch/TMS320DM642AZDK5/page-1", "TMS320DM642AZDK5")</f>
        <v>TMS320DM642AZDK5</v>
      </c>
      <c r="B7199" s="3" t="s">
        <v>90</v>
      </c>
      <c r="C7199" s="5">
        <v>1077</v>
      </c>
      <c r="D7199" s="6">
        <v>103.75</v>
      </c>
      <c r="E7199" t="s">
        <v>87</v>
      </c>
    </row>
    <row r="7200" spans="1:5" x14ac:dyDescent="0.25">
      <c r="A7200" t="str">
        <f>HYPERLINK("https://www.773grp.com/globalSearch/TMS320DM642AZNZ5/page-1", "TMS320DM642AZNZ5")</f>
        <v>TMS320DM642AZNZ5</v>
      </c>
      <c r="B7200" s="3" t="s">
        <v>90</v>
      </c>
      <c r="C7200" s="5">
        <v>17720</v>
      </c>
      <c r="D7200" s="6">
        <v>103.75</v>
      </c>
      <c r="E7200" t="s">
        <v>87</v>
      </c>
    </row>
    <row r="7201" spans="1:5" x14ac:dyDescent="0.25">
      <c r="A7201" t="str">
        <f>HYPERLINK("https://www.773grp.com/globalSearch/TMS320C6412AGDK5/page-1", "TMS320C6412AGDK5")</f>
        <v>TMS320C6412AGDK5</v>
      </c>
      <c r="B7201" s="3" t="s">
        <v>90</v>
      </c>
      <c r="C7201" s="5">
        <v>294</v>
      </c>
      <c r="D7201" s="6">
        <v>107.19</v>
      </c>
      <c r="E7201" t="s">
        <v>87</v>
      </c>
    </row>
    <row r="7202" spans="1:5" x14ac:dyDescent="0.25">
      <c r="A7202" t="str">
        <f>HYPERLINK("https://www.773grp.com/globalSearch/TMS320C6412AGNZ5/page-1", "TMS320C6412AGNZ5")</f>
        <v>TMS320C6412AGNZ5</v>
      </c>
      <c r="B7202" s="3" t="s">
        <v>90</v>
      </c>
      <c r="C7202" s="5">
        <v>65</v>
      </c>
      <c r="D7202" s="6">
        <v>107.19</v>
      </c>
      <c r="E7202" t="s">
        <v>87</v>
      </c>
    </row>
    <row r="7203" spans="1:5" x14ac:dyDescent="0.25">
      <c r="A7203" t="str">
        <f>HYPERLINK("https://www.773grp.com/globalSearch/TMS320C6412AZDK5/page-1", "TMS320C6412AZDK5")</f>
        <v>TMS320C6412AZDK5</v>
      </c>
      <c r="B7203" s="3" t="s">
        <v>90</v>
      </c>
      <c r="C7203" s="5">
        <v>859</v>
      </c>
      <c r="D7203" s="6">
        <v>107.19</v>
      </c>
      <c r="E7203" t="s">
        <v>87</v>
      </c>
    </row>
    <row r="7204" spans="1:5" x14ac:dyDescent="0.25">
      <c r="A7204" t="str">
        <f>HYPERLINK("https://www.773grp.com/globalSearch/TMS320C6412AZNZ5/page-1", "TMS320C6412AZNZ5")</f>
        <v>TMS320C6412AZNZ5</v>
      </c>
      <c r="B7204" s="3" t="s">
        <v>90</v>
      </c>
      <c r="C7204" s="5">
        <v>46</v>
      </c>
      <c r="D7204" s="6">
        <v>107.19</v>
      </c>
      <c r="E7204" t="s">
        <v>87</v>
      </c>
    </row>
    <row r="7205" spans="1:5" x14ac:dyDescent="0.25">
      <c r="A7205" t="str">
        <f>HYPERLINK("https://www.773grp.com/globalSearch/TMS320DM641GDK600/page-1", "TMS320DM641GDK600")</f>
        <v>TMS320DM641GDK600</v>
      </c>
      <c r="B7205" s="3" t="s">
        <v>90</v>
      </c>
      <c r="C7205" s="5">
        <v>250</v>
      </c>
      <c r="D7205" s="6">
        <v>107.44</v>
      </c>
      <c r="E7205" t="s">
        <v>87</v>
      </c>
    </row>
    <row r="7206" spans="1:5" x14ac:dyDescent="0.25">
      <c r="A7206" t="str">
        <f>HYPERLINK("https://www.773grp.com/globalSearch/TMS320DM641GNZ600/page-1", "TMS320DM641GNZ600")</f>
        <v>TMS320DM641GNZ600</v>
      </c>
      <c r="B7206" s="3" t="s">
        <v>90</v>
      </c>
      <c r="C7206" s="5">
        <v>465</v>
      </c>
      <c r="D7206" s="6">
        <v>107.44</v>
      </c>
      <c r="E7206" t="s">
        <v>87</v>
      </c>
    </row>
    <row r="7207" spans="1:5" x14ac:dyDescent="0.25">
      <c r="A7207" t="str">
        <f>HYPERLINK("https://www.773grp.com/globalSearch/TMS320LBC56PZ57/page-1", "TMS320LBC56PZ57")</f>
        <v>TMS320LBC56PZ57</v>
      </c>
      <c r="B7207" s="3" t="s">
        <v>90</v>
      </c>
      <c r="C7207" s="5">
        <v>467</v>
      </c>
      <c r="D7207" s="6">
        <v>107.86</v>
      </c>
      <c r="E7207" t="s">
        <v>87</v>
      </c>
    </row>
    <row r="7208" spans="1:5" x14ac:dyDescent="0.25">
      <c r="A7208" t="str">
        <f>HYPERLINK("https://www.773grp.com/globalSearch/TMS320BC53PQ80/page-1", "TMS320BC53PQ80")</f>
        <v>TMS320BC53PQ80</v>
      </c>
      <c r="B7208" s="3" t="s">
        <v>90</v>
      </c>
      <c r="C7208" s="5">
        <v>17</v>
      </c>
      <c r="D7208" s="6">
        <v>109.26</v>
      </c>
      <c r="E7208" t="s">
        <v>87</v>
      </c>
    </row>
    <row r="7209" spans="1:5" x14ac:dyDescent="0.25">
      <c r="A7209" t="str">
        <f>HYPERLINK("https://www.773grp.com/globalSearch/TMS320BC57SPGE57/page-1", "TMS320BC57SPGE57")</f>
        <v>TMS320BC57SPGE57</v>
      </c>
      <c r="B7209" s="3" t="s">
        <v>90</v>
      </c>
      <c r="C7209" s="5">
        <v>37</v>
      </c>
      <c r="D7209" s="6">
        <v>109.55</v>
      </c>
      <c r="E7209" t="s">
        <v>87</v>
      </c>
    </row>
    <row r="7210" spans="1:5" x14ac:dyDescent="0.25">
      <c r="A7210" t="str">
        <f>HYPERLINK("https://www.773grp.com/globalSearch/TMS320VC549PGE-120/page-1", "TMS320VC549PGE-120")</f>
        <v>TMS320VC549PGE-120</v>
      </c>
      <c r="B7210" s="3" t="s">
        <v>90</v>
      </c>
      <c r="C7210" s="5">
        <v>2354</v>
      </c>
      <c r="D7210" s="6">
        <v>110.2</v>
      </c>
      <c r="E7210" t="s">
        <v>87</v>
      </c>
    </row>
    <row r="7211" spans="1:5" x14ac:dyDescent="0.25">
      <c r="A7211" t="str">
        <f>HYPERLINK("https://www.773grp.com/globalSearch/TMS320DM643GDK600/page-1", "TMS320DM643GDK600")</f>
        <v>TMS320DM643GDK600</v>
      </c>
      <c r="B7211" s="3" t="s">
        <v>90</v>
      </c>
      <c r="C7211" s="5">
        <v>60</v>
      </c>
      <c r="D7211" s="6">
        <v>111.51</v>
      </c>
      <c r="E7211" t="s">
        <v>87</v>
      </c>
    </row>
    <row r="7212" spans="1:5" x14ac:dyDescent="0.25">
      <c r="A7212" t="str">
        <f>HYPERLINK("https://www.773grp.com/globalSearch/TMS320DM643GNZ600/page-1", "TMS320DM643GNZ600")</f>
        <v>TMS320DM643GNZ600</v>
      </c>
      <c r="B7212" s="3" t="s">
        <v>90</v>
      </c>
      <c r="C7212" s="5">
        <v>19</v>
      </c>
      <c r="D7212" s="6">
        <v>111.51</v>
      </c>
      <c r="E7212" t="s">
        <v>87</v>
      </c>
    </row>
    <row r="7213" spans="1:5" x14ac:dyDescent="0.25">
      <c r="A7213" t="str">
        <f>HYPERLINK("https://www.773grp.com/globalSearch/TMS320F240PQ/page-1", "TMS320F240PQ")</f>
        <v>TMS320F240PQ</v>
      </c>
      <c r="B7213" s="3" t="s">
        <v>90</v>
      </c>
      <c r="C7213" s="5">
        <v>28</v>
      </c>
      <c r="D7213" s="6">
        <v>111.71</v>
      </c>
      <c r="E7213" t="s">
        <v>87</v>
      </c>
    </row>
    <row r="7214" spans="1:5" x14ac:dyDescent="0.25">
      <c r="A7214" t="str">
        <f>HYPERLINK("https://www.773grp.com/globalSearch/TMS320C6411GLZ/page-1", "TMS320C6411GLZ")</f>
        <v>TMS320C6411GLZ</v>
      </c>
      <c r="B7214" s="3" t="s">
        <v>90</v>
      </c>
      <c r="C7214" s="5">
        <v>1428</v>
      </c>
      <c r="D7214" s="6">
        <v>111.83</v>
      </c>
      <c r="E7214" t="s">
        <v>87</v>
      </c>
    </row>
    <row r="7215" spans="1:5" x14ac:dyDescent="0.25">
      <c r="A7215" t="str">
        <f>HYPERLINK("https://www.773grp.com/globalSearch/TMS320DM642AGDK6/page-1", "TMS320DM642AGDK6")</f>
        <v>TMS320DM642AGDK6</v>
      </c>
      <c r="B7215" s="3" t="s">
        <v>90</v>
      </c>
      <c r="C7215" s="5">
        <v>20769</v>
      </c>
      <c r="D7215" s="6">
        <v>114.13</v>
      </c>
      <c r="E7215" t="s">
        <v>87</v>
      </c>
    </row>
    <row r="7216" spans="1:5" x14ac:dyDescent="0.25">
      <c r="A7216" t="str">
        <f>HYPERLINK("https://www.773grp.com/globalSearch/TMS320DM642AGDK6/page-1", "TMS320DM642AGDK6")</f>
        <v>TMS320DM642AGDK6</v>
      </c>
      <c r="B7216" s="3" t="s">
        <v>90</v>
      </c>
      <c r="C7216" s="5">
        <v>5319</v>
      </c>
      <c r="D7216" s="6">
        <v>114.13</v>
      </c>
      <c r="E7216" t="s">
        <v>87</v>
      </c>
    </row>
    <row r="7217" spans="1:5" x14ac:dyDescent="0.25">
      <c r="A7217" t="str">
        <f>HYPERLINK("https://www.773grp.com/globalSearch/TMS320DM642AGNZ6/page-1", "TMS320DM642AGNZ6")</f>
        <v>TMS320DM642AGNZ6</v>
      </c>
      <c r="B7217" s="3" t="s">
        <v>90</v>
      </c>
      <c r="C7217" s="5">
        <v>6661</v>
      </c>
      <c r="D7217" s="6">
        <v>114.13</v>
      </c>
      <c r="E7217" t="s">
        <v>87</v>
      </c>
    </row>
    <row r="7218" spans="1:5" x14ac:dyDescent="0.25">
      <c r="A7218" t="str">
        <f>HYPERLINK("https://www.773grp.com/globalSearch/TMS320DM642AZDK6/page-1", "TMS320DM642AZDK6")</f>
        <v>TMS320DM642AZDK6</v>
      </c>
      <c r="B7218" s="3" t="s">
        <v>90</v>
      </c>
      <c r="C7218" s="5">
        <v>180</v>
      </c>
      <c r="D7218" s="6">
        <v>114.13</v>
      </c>
      <c r="E7218" t="s">
        <v>87</v>
      </c>
    </row>
    <row r="7219" spans="1:5" x14ac:dyDescent="0.25">
      <c r="A7219" t="str">
        <f>HYPERLINK("https://www.773grp.com/globalSearch/TMS320DM642AZDK6/page-1", "TMS320DM642AZDK6")</f>
        <v>TMS320DM642AZDK6</v>
      </c>
      <c r="B7219" s="3" t="s">
        <v>90</v>
      </c>
      <c r="C7219" s="5">
        <v>2029</v>
      </c>
      <c r="D7219" s="6">
        <v>114.13</v>
      </c>
      <c r="E7219" t="s">
        <v>87</v>
      </c>
    </row>
    <row r="7220" spans="1:5" x14ac:dyDescent="0.25">
      <c r="A7220" t="str">
        <f>HYPERLINK("https://www.773grp.com/globalSearch/TMS320DM642AZNZ6/page-1", "TMS320DM642AZNZ6")</f>
        <v>TMS320DM642AZNZ6</v>
      </c>
      <c r="B7220" s="3" t="s">
        <v>90</v>
      </c>
      <c r="C7220" s="5">
        <v>24947</v>
      </c>
      <c r="D7220" s="6">
        <v>114.13</v>
      </c>
      <c r="E7220" t="s">
        <v>87</v>
      </c>
    </row>
    <row r="7221" spans="1:5" x14ac:dyDescent="0.25">
      <c r="A7221" t="str">
        <f>HYPERLINK("https://www.773grp.com/globalSearch/TMS320DM642GNZA500/page-1", "TMS320DM642GNZA500")</f>
        <v>TMS320DM642GNZA500</v>
      </c>
      <c r="B7221" s="3" t="s">
        <v>90</v>
      </c>
      <c r="C7221" s="5">
        <v>38</v>
      </c>
      <c r="D7221" s="6">
        <v>114.19</v>
      </c>
      <c r="E7221" t="s">
        <v>87</v>
      </c>
    </row>
    <row r="7222" spans="1:5" x14ac:dyDescent="0.25">
      <c r="A7222" t="str">
        <f>HYPERLINK("https://www.773grp.com/globalSearch/XOMAP3515BCBB/page-1", "XOMAP3515BCBB")</f>
        <v>XOMAP3515BCBB</v>
      </c>
      <c r="B7222" s="3" t="s">
        <v>90</v>
      </c>
      <c r="C7222" s="5">
        <v>19</v>
      </c>
      <c r="D7222" s="6">
        <v>114.33</v>
      </c>
      <c r="E7222" t="s">
        <v>87</v>
      </c>
    </row>
    <row r="7223" spans="1:5" x14ac:dyDescent="0.25">
      <c r="A7223" t="str">
        <f>HYPERLINK("https://www.773grp.com/globalSearch/TMS320BC51PZ100/page-1", "TMS320BC51PZ100")</f>
        <v>TMS320BC51PZ100</v>
      </c>
      <c r="B7223" s="3" t="s">
        <v>90</v>
      </c>
      <c r="C7223" s="5">
        <v>76</v>
      </c>
      <c r="D7223" s="6">
        <v>115.31</v>
      </c>
      <c r="E7223" t="s">
        <v>87</v>
      </c>
    </row>
    <row r="7224" spans="1:5" x14ac:dyDescent="0.25">
      <c r="A7224" t="str">
        <f>HYPERLINK("https://www.773grp.com/globalSearch/TMS320C25FNL50/page-1", "TMS320C25FNL50")</f>
        <v>TMS320C25FNL50</v>
      </c>
      <c r="B7224" s="3" t="s">
        <v>90</v>
      </c>
      <c r="C7224" s="5">
        <v>37193</v>
      </c>
      <c r="D7224" s="6">
        <v>115.43</v>
      </c>
      <c r="E7224" t="s">
        <v>87</v>
      </c>
    </row>
    <row r="7225" spans="1:5" x14ac:dyDescent="0.25">
      <c r="A7225" t="str">
        <f>HYPERLINK("https://www.773grp.com/globalSearch/TMS320C50PGE/page-1", "TMS320C50PGE")</f>
        <v>TMS320C50PGE</v>
      </c>
      <c r="B7225" s="3" t="s">
        <v>90</v>
      </c>
      <c r="C7225" s="5">
        <v>2331</v>
      </c>
      <c r="D7225" s="6">
        <v>115.43</v>
      </c>
      <c r="E7225" t="s">
        <v>87</v>
      </c>
    </row>
    <row r="7226" spans="1:5" x14ac:dyDescent="0.25">
      <c r="A7226" t="str">
        <f>HYPERLINK("https://www.773grp.com/globalSearch/TMS320C6412AGDK6/page-1", "TMS320C6412AGDK6")</f>
        <v>TMS320C6412AGDK6</v>
      </c>
      <c r="B7226" s="3" t="s">
        <v>90</v>
      </c>
      <c r="C7226" s="5">
        <v>52</v>
      </c>
      <c r="D7226" s="6">
        <v>117.9</v>
      </c>
      <c r="E7226" t="s">
        <v>87</v>
      </c>
    </row>
    <row r="7227" spans="1:5" x14ac:dyDescent="0.25">
      <c r="A7227" t="str">
        <f>HYPERLINK("https://www.773grp.com/globalSearch/TMS320C6412AZDK6/page-1", "TMS320C6412AZDK6")</f>
        <v>TMS320C6412AZDK6</v>
      </c>
      <c r="B7227" s="3" t="s">
        <v>90</v>
      </c>
      <c r="C7227" s="5">
        <v>20</v>
      </c>
      <c r="D7227" s="6">
        <v>117.9</v>
      </c>
      <c r="E7227" t="s">
        <v>87</v>
      </c>
    </row>
    <row r="7228" spans="1:5" x14ac:dyDescent="0.25">
      <c r="A7228" t="str">
        <f>HYPERLINK("https://www.773grp.com/globalSearch/TMS320C6412AZNZ6/page-1", "TMS320C6412AZNZ6")</f>
        <v>TMS320C6412AZNZ6</v>
      </c>
      <c r="B7228" s="3" t="s">
        <v>90</v>
      </c>
      <c r="C7228" s="5">
        <v>1183</v>
      </c>
      <c r="D7228" s="6">
        <v>117.9</v>
      </c>
      <c r="E7228" t="s">
        <v>87</v>
      </c>
    </row>
    <row r="7229" spans="1:5" x14ac:dyDescent="0.25">
      <c r="A7229" t="str">
        <f>HYPERLINK("https://www.773grp.com/globalSearch/TMS320LBC53SPZ80/page-1", "TMS320LBC53SPZ80")</f>
        <v>TMS320LBC53SPZ80</v>
      </c>
      <c r="B7229" s="3" t="s">
        <v>90</v>
      </c>
      <c r="C7229" s="5">
        <v>8974</v>
      </c>
      <c r="D7229" s="6">
        <v>119.14</v>
      </c>
      <c r="E7229" t="s">
        <v>87</v>
      </c>
    </row>
    <row r="7230" spans="1:5" x14ac:dyDescent="0.25">
      <c r="A7230" t="str">
        <f>HYPERLINK("https://www.773grp.com/globalSearch/TMS320LBC53SPZA57/page-1", "TMS320LBC53SPZA57")</f>
        <v>TMS320LBC53SPZA57</v>
      </c>
      <c r="B7230" s="3" t="s">
        <v>90</v>
      </c>
      <c r="C7230" s="5">
        <v>6799</v>
      </c>
      <c r="D7230" s="6">
        <v>119.14</v>
      </c>
      <c r="E7230" t="s">
        <v>87</v>
      </c>
    </row>
    <row r="7231" spans="1:5" x14ac:dyDescent="0.25">
      <c r="A7231" t="str">
        <f>HYPERLINK("https://www.773grp.com/globalSearch/TMS320LC50PQ57/page-1", "TMS320LC50PQ57")</f>
        <v>TMS320LC50PQ57</v>
      </c>
      <c r="B7231" s="3" t="s">
        <v>90</v>
      </c>
      <c r="C7231" s="5">
        <v>2629</v>
      </c>
      <c r="D7231" s="6">
        <v>119.53</v>
      </c>
      <c r="E7231" t="s">
        <v>87</v>
      </c>
    </row>
    <row r="7232" spans="1:5" x14ac:dyDescent="0.25">
      <c r="A7232" t="str">
        <f>HYPERLINK("https://www.773grp.com/globalSearch/TMS320C6411AGLZ/page-1", "TMS320C6411AGLZ")</f>
        <v>TMS320C6411AGLZ</v>
      </c>
      <c r="B7232" s="3" t="s">
        <v>90</v>
      </c>
      <c r="C7232" s="5">
        <v>41</v>
      </c>
      <c r="D7232" s="6">
        <v>119.99</v>
      </c>
      <c r="E7232" t="s">
        <v>87</v>
      </c>
    </row>
    <row r="7233" spans="1:5" x14ac:dyDescent="0.25">
      <c r="A7233" t="str">
        <f>HYPERLINK("https://www.773grp.com/globalSearch/TMS320C6411AZLZ/page-1", "TMS320C6411AZLZ")</f>
        <v>TMS320C6411AZLZ</v>
      </c>
      <c r="B7233" s="3" t="s">
        <v>90</v>
      </c>
      <c r="C7233" s="5">
        <v>46</v>
      </c>
      <c r="D7233" s="6">
        <v>119.99</v>
      </c>
      <c r="E7233" t="s">
        <v>87</v>
      </c>
    </row>
    <row r="7234" spans="1:5" x14ac:dyDescent="0.25">
      <c r="A7234" t="str">
        <f>HYPERLINK("https://www.773grp.com/globalSearch/TMS320DM642GDK500/page-1", "TMS320DM642GDK500")</f>
        <v>TMS320DM642GDK500</v>
      </c>
      <c r="B7234" s="3" t="s">
        <v>90</v>
      </c>
      <c r="C7234" s="5">
        <v>1740</v>
      </c>
      <c r="D7234" s="6">
        <v>120.38</v>
      </c>
      <c r="E7234" t="s">
        <v>87</v>
      </c>
    </row>
    <row r="7235" spans="1:5" x14ac:dyDescent="0.25">
      <c r="A7235" t="str">
        <f>HYPERLINK("https://www.773grp.com/globalSearch/TMS320C6412GDK500/page-1", "TMS320C6412GDK500")</f>
        <v>TMS320C6412GDK500</v>
      </c>
      <c r="B7235" s="3" t="s">
        <v>90</v>
      </c>
      <c r="C7235" s="5">
        <v>194</v>
      </c>
      <c r="D7235" s="6">
        <v>120.63</v>
      </c>
      <c r="E7235" t="s">
        <v>87</v>
      </c>
    </row>
    <row r="7236" spans="1:5" x14ac:dyDescent="0.25">
      <c r="A7236" t="str">
        <f>HYPERLINK("https://www.773grp.com/globalSearch/TMS320C6412GNZ500/page-1", "TMS320C6412GNZ500")</f>
        <v>TMS320C6412GNZ500</v>
      </c>
      <c r="B7236" s="3" t="s">
        <v>90</v>
      </c>
      <c r="C7236" s="5">
        <v>226</v>
      </c>
      <c r="D7236" s="6">
        <v>120.63</v>
      </c>
      <c r="E7236" t="s">
        <v>87</v>
      </c>
    </row>
    <row r="7237" spans="1:5" x14ac:dyDescent="0.25">
      <c r="A7237" t="str">
        <f>HYPERLINK("https://www.773grp.com/globalSearch/TMS320DM642GNZ500/page-1", "TMS320DM642GNZ500")</f>
        <v>TMS320DM642GNZ500</v>
      </c>
      <c r="B7237" s="3" t="s">
        <v>90</v>
      </c>
      <c r="C7237" s="5">
        <v>277</v>
      </c>
      <c r="D7237" s="6">
        <v>120.63</v>
      </c>
      <c r="E7237" t="s">
        <v>87</v>
      </c>
    </row>
    <row r="7238" spans="1:5" x14ac:dyDescent="0.25">
      <c r="A7238" t="str">
        <f>HYPERLINK("https://www.773grp.com/globalSearch/SM320C32PCMM50EP/page-1", "SM320C32PCMM50EP")</f>
        <v>SM320C32PCMM50EP</v>
      </c>
      <c r="B7238" s="3" t="s">
        <v>90</v>
      </c>
      <c r="C7238" s="5">
        <v>7</v>
      </c>
      <c r="D7238" s="6">
        <v>121.08</v>
      </c>
      <c r="E7238" t="s">
        <v>87</v>
      </c>
    </row>
    <row r="7239" spans="1:5" x14ac:dyDescent="0.25">
      <c r="A7239" t="str">
        <f>HYPERLINK("https://www.773grp.com/globalSearch/TMS320C6412GNZ600/page-1", "TMS320C6412GNZ600")</f>
        <v>TMS320C6412GNZ600</v>
      </c>
      <c r="B7239" s="3" t="s">
        <v>90</v>
      </c>
      <c r="C7239" s="5">
        <v>4856</v>
      </c>
      <c r="D7239" s="6">
        <v>122.63</v>
      </c>
      <c r="E7239" t="s">
        <v>87</v>
      </c>
    </row>
    <row r="7240" spans="1:5" x14ac:dyDescent="0.25">
      <c r="A7240" t="str">
        <f>HYPERLINK("https://www.773grp.com/globalSearch/TMS320P25FNL/page-1", "TMS320P25FNL")</f>
        <v>TMS320P25FNL</v>
      </c>
      <c r="B7240" s="3" t="s">
        <v>90</v>
      </c>
      <c r="C7240" s="5">
        <v>273</v>
      </c>
      <c r="D7240" s="6">
        <v>124.38</v>
      </c>
      <c r="E7240" t="s">
        <v>87</v>
      </c>
    </row>
    <row r="7241" spans="1:5" x14ac:dyDescent="0.25">
      <c r="A7241" t="str">
        <f>HYPERLINK("https://www.773grp.com/globalSearch/TMS320DM642AGDKA5/page-1", "TMS320DM642AGDKA5")</f>
        <v>TMS320DM642AGDKA5</v>
      </c>
      <c r="B7241" s="3" t="s">
        <v>90</v>
      </c>
      <c r="C7241" s="5">
        <v>24</v>
      </c>
      <c r="D7241" s="6">
        <v>124.5</v>
      </c>
      <c r="E7241" t="s">
        <v>87</v>
      </c>
    </row>
    <row r="7242" spans="1:5" x14ac:dyDescent="0.25">
      <c r="A7242" t="str">
        <f>HYPERLINK("https://www.773grp.com/globalSearch/TMS320C6412AGNZA5/page-1", "TMS320C6412AGNZA5")</f>
        <v>TMS320C6412AGNZA5</v>
      </c>
      <c r="B7242" s="3" t="s">
        <v>90</v>
      </c>
      <c r="C7242" s="5">
        <v>195</v>
      </c>
      <c r="D7242" s="6">
        <v>128.63</v>
      </c>
      <c r="E7242" t="s">
        <v>87</v>
      </c>
    </row>
    <row r="7243" spans="1:5" x14ac:dyDescent="0.25">
      <c r="A7243" t="str">
        <f>HYPERLINK("https://www.773grp.com/globalSearch/TMS320C6412AZDKA5/page-1", "TMS320C6412AZDKA5")</f>
        <v>TMS320C6412AZDKA5</v>
      </c>
      <c r="B7243" s="3" t="s">
        <v>90</v>
      </c>
      <c r="C7243" s="5">
        <v>254</v>
      </c>
      <c r="D7243" s="6">
        <v>128.63</v>
      </c>
      <c r="E7243" t="s">
        <v>87</v>
      </c>
    </row>
    <row r="7244" spans="1:5" x14ac:dyDescent="0.25">
      <c r="A7244" t="str">
        <f>HYPERLINK("https://www.773grp.com/globalSearch/TMS320C6412AZNZA5/page-1", "TMS320C6412AZNZA5")</f>
        <v>TMS320C6412AZNZA5</v>
      </c>
      <c r="B7244" s="3" t="s">
        <v>90</v>
      </c>
      <c r="C7244" s="5">
        <v>270</v>
      </c>
      <c r="D7244" s="6">
        <v>128.63</v>
      </c>
      <c r="E7244" t="s">
        <v>87</v>
      </c>
    </row>
    <row r="7245" spans="1:5" x14ac:dyDescent="0.25">
      <c r="A7245" t="str">
        <f>HYPERLINK("https://www.773grp.com/globalSearch/TMS320DM647ZUT9/page-1", "TMS320DM647ZUT9")</f>
        <v>TMS320DM647ZUT9</v>
      </c>
      <c r="B7245" s="3" t="s">
        <v>90</v>
      </c>
      <c r="C7245" s="5">
        <v>253</v>
      </c>
      <c r="D7245" s="6">
        <v>130.36000000000001</v>
      </c>
      <c r="E7245" t="s">
        <v>87</v>
      </c>
    </row>
    <row r="7246" spans="1:5" x14ac:dyDescent="0.25">
      <c r="A7246" t="str">
        <f>HYPERLINK("https://www.773grp.com/globalSearch/TMS320LC50PQA/page-1", "TMS320LC50PQA")</f>
        <v>TMS320LC50PQA</v>
      </c>
      <c r="B7246" s="3" t="s">
        <v>90</v>
      </c>
      <c r="C7246" s="5">
        <v>166</v>
      </c>
      <c r="D7246" s="6">
        <v>131.49</v>
      </c>
      <c r="E7246" t="s">
        <v>87</v>
      </c>
    </row>
    <row r="7247" spans="1:5" x14ac:dyDescent="0.25">
      <c r="A7247" t="str">
        <f>HYPERLINK("https://www.773grp.com/globalSearch/TMS320BC57SPGE80/page-1", "TMS320BC57SPGE80")</f>
        <v>TMS320BC57SPGE80</v>
      </c>
      <c r="B7247" s="3" t="s">
        <v>90</v>
      </c>
      <c r="C7247" s="5">
        <v>85</v>
      </c>
      <c r="D7247" s="6">
        <v>132.6</v>
      </c>
      <c r="E7247" t="s">
        <v>87</v>
      </c>
    </row>
    <row r="7248" spans="1:5" x14ac:dyDescent="0.25">
      <c r="A7248" t="str">
        <f>HYPERLINK("https://www.773grp.com/globalSearch/TMS320C6418ZTS600/page-1", "TMS320C6418ZTS600")</f>
        <v>TMS320C6418ZTS600</v>
      </c>
      <c r="B7248" s="3" t="s">
        <v>90</v>
      </c>
      <c r="C7248" s="5">
        <v>1</v>
      </c>
      <c r="D7248" s="6">
        <v>135.38999999999999</v>
      </c>
      <c r="E7248" t="s">
        <v>87</v>
      </c>
    </row>
    <row r="7249" spans="1:5" x14ac:dyDescent="0.25">
      <c r="A7249" t="str">
        <f>HYPERLINK("https://www.773grp.com/globalSearch/TMS320C6412GDK600/page-1", "TMS320C6412GDK600")</f>
        <v>TMS320C6412GDK600</v>
      </c>
      <c r="B7249" s="3" t="s">
        <v>90</v>
      </c>
      <c r="C7249" s="5">
        <v>140</v>
      </c>
      <c r="D7249" s="6">
        <v>135.71</v>
      </c>
      <c r="E7249" t="s">
        <v>87</v>
      </c>
    </row>
    <row r="7250" spans="1:5" x14ac:dyDescent="0.25">
      <c r="A7250" t="str">
        <f>HYPERLINK("https://www.773grp.com/globalSearch/TMS320DM642GDK600/page-1", "TMS320DM642GDK600")</f>
        <v>TMS320DM642GDK600</v>
      </c>
      <c r="B7250" s="3" t="s">
        <v>90</v>
      </c>
      <c r="C7250" s="5">
        <v>11778</v>
      </c>
      <c r="D7250" s="6">
        <v>135.71</v>
      </c>
      <c r="E7250" t="s">
        <v>87</v>
      </c>
    </row>
    <row r="7251" spans="1:5" x14ac:dyDescent="0.25">
      <c r="A7251" t="str">
        <f>HYPERLINK("https://www.773grp.com/globalSearch/TMS320DM642GNZ600/page-1", "TMS320DM642GNZ600")</f>
        <v>TMS320DM642GNZ600</v>
      </c>
      <c r="B7251" s="3" t="s">
        <v>90</v>
      </c>
      <c r="C7251" s="5">
        <v>1962</v>
      </c>
      <c r="D7251" s="6">
        <v>135.71</v>
      </c>
      <c r="E7251" t="s">
        <v>87</v>
      </c>
    </row>
    <row r="7252" spans="1:5" x14ac:dyDescent="0.25">
      <c r="A7252" t="str">
        <f>HYPERLINK("https://www.773grp.com/globalSearch/SM32C6713BGDPA20EP/page-1", "SM32C6713BGDPA20EP")</f>
        <v>SM32C6713BGDPA20EP</v>
      </c>
      <c r="B7252" s="3" t="s">
        <v>90</v>
      </c>
      <c r="C7252" s="5">
        <v>9</v>
      </c>
      <c r="D7252" s="6">
        <v>136.21</v>
      </c>
      <c r="E7252" t="s">
        <v>87</v>
      </c>
    </row>
    <row r="7253" spans="1:5" x14ac:dyDescent="0.25">
      <c r="A7253" t="str">
        <f>HYPERLINK("https://www.773grp.com/globalSearch/TMS320LC548PGE-66/page-1", "TMS320LC548PGE-66")</f>
        <v>TMS320LC548PGE-66</v>
      </c>
      <c r="B7253" s="3" t="s">
        <v>90</v>
      </c>
      <c r="C7253" s="5">
        <v>332</v>
      </c>
      <c r="D7253" s="6">
        <v>136.6</v>
      </c>
      <c r="E7253" t="s">
        <v>87</v>
      </c>
    </row>
    <row r="7254" spans="1:5" x14ac:dyDescent="0.25">
      <c r="A7254" t="str">
        <f>HYPERLINK("https://www.773grp.com/globalSearch/TMS320DM642AGDKA6/page-1", "TMS320DM642AGDKA6")</f>
        <v>TMS320DM642AGDKA6</v>
      </c>
      <c r="B7254" s="3" t="s">
        <v>90</v>
      </c>
      <c r="C7254" s="5">
        <v>22</v>
      </c>
      <c r="D7254" s="6">
        <v>136.97999999999999</v>
      </c>
      <c r="E7254" t="s">
        <v>87</v>
      </c>
    </row>
    <row r="7255" spans="1:5" x14ac:dyDescent="0.25">
      <c r="A7255" t="str">
        <f>HYPERLINK("https://www.773grp.com/globalSearch/TMS320DM642AZDKA6/page-1", "TMS320DM642AZDKA6")</f>
        <v>TMS320DM642AZDKA6</v>
      </c>
      <c r="B7255" s="3" t="s">
        <v>90</v>
      </c>
      <c r="C7255" s="5">
        <v>12</v>
      </c>
      <c r="D7255" s="6">
        <v>136.97999999999999</v>
      </c>
      <c r="E7255" t="s">
        <v>87</v>
      </c>
    </row>
    <row r="7256" spans="1:5" x14ac:dyDescent="0.25">
      <c r="A7256" t="str">
        <f>HYPERLINK("https://www.773grp.com/globalSearch/TMS320LC31PQL/page-1", "TMS320LC31PQL")</f>
        <v>TMS320LC31PQL</v>
      </c>
      <c r="B7256" s="3" t="str">
        <f>HYPERLINK("https://www.773grp.com/manufacturer/texas-instruments?pageNo=60", "Texas Instruments")</f>
        <v>Texas Instruments</v>
      </c>
      <c r="C7256" s="5">
        <v>460</v>
      </c>
      <c r="D7256" s="6">
        <v>138.33000000000001</v>
      </c>
      <c r="E7256" t="s">
        <v>87</v>
      </c>
    </row>
    <row r="7257" spans="1:5" x14ac:dyDescent="0.25">
      <c r="A7257" t="str">
        <f>HYPERLINK("https://www.773grp.com/globalSearch/TMS320E15FZL/page-1", "TMS320E15FZL")</f>
        <v>TMS320E15FZL</v>
      </c>
      <c r="B7257" s="3" t="str">
        <f>HYPERLINK("https://www.773grp.com/manufacturer/texas-instruments?pageNo=76", "Texas Instruments")</f>
        <v>Texas Instruments</v>
      </c>
      <c r="C7257" s="5">
        <v>8787</v>
      </c>
      <c r="D7257" s="6">
        <v>140.63</v>
      </c>
      <c r="E7257" t="s">
        <v>87</v>
      </c>
    </row>
    <row r="7258" spans="1:5" x14ac:dyDescent="0.25">
      <c r="A7258" t="str">
        <f>HYPERLINK("https://www.773grp.com/globalSearch/TMS320LC548GGU-66/page-1", "TMS320LC548GGU-66")</f>
        <v>TMS320LC548GGU-66</v>
      </c>
      <c r="B7258" s="3" t="str">
        <f>HYPERLINK("https://www.773grp.com/manufacturer/texas-instruments?pageNo=96", "Texas Instruments")</f>
        <v>Texas Instruments</v>
      </c>
      <c r="C7258" s="5">
        <v>1886</v>
      </c>
      <c r="D7258" s="6">
        <v>141.61000000000001</v>
      </c>
      <c r="E7258" t="s">
        <v>87</v>
      </c>
    </row>
    <row r="7259" spans="1:5" x14ac:dyDescent="0.25">
      <c r="A7259" t="str">
        <f>HYPERLINK("https://www.773grp.com/globalSearch/TMX320F2812PGFA/page-1", "TMX320F2812PGFA")</f>
        <v>TMX320F2812PGFA</v>
      </c>
      <c r="B7259" s="3" t="str">
        <f>HYPERLINK("https://www.773grp.com/manufacturer/texas-instruments?pageNo=106", "Texas Instruments")</f>
        <v>Texas Instruments</v>
      </c>
      <c r="C7259" s="5">
        <v>106</v>
      </c>
      <c r="D7259" s="6">
        <v>143.28</v>
      </c>
      <c r="E7259" t="s">
        <v>87</v>
      </c>
    </row>
    <row r="7260" spans="1:5" x14ac:dyDescent="0.25">
      <c r="A7260" t="str">
        <f>HYPERLINK("https://www.773grp.com/globalSearch/TMS320C6412GDKA500/page-1", "TMS320C6412GDKA500")</f>
        <v>TMS320C6412GDKA500</v>
      </c>
      <c r="B7260" s="3" t="str">
        <f>HYPERLINK("https://www.773grp.com/manufacturer/texas-instruments?pageNo=113", "Texas Instruments")</f>
        <v>Texas Instruments</v>
      </c>
      <c r="C7260" s="5">
        <v>2</v>
      </c>
      <c r="D7260" s="6">
        <v>144.99</v>
      </c>
      <c r="E7260" t="s">
        <v>87</v>
      </c>
    </row>
    <row r="7261" spans="1:5" x14ac:dyDescent="0.25">
      <c r="A7261" t="str">
        <f>HYPERLINK("https://www.773grp.com/globalSearch/TMS320C6412GNZA500/page-1", "TMS320C6412GNZA500")</f>
        <v>TMS320C6412GNZA500</v>
      </c>
      <c r="B7261" s="3" t="str">
        <f>HYPERLINK("https://www.773grp.com/manufacturer/texas-instruments?pageNo=114", "Texas Instruments")</f>
        <v>Texas Instruments</v>
      </c>
      <c r="C7261" s="5">
        <v>171</v>
      </c>
      <c r="D7261" s="6">
        <v>144.99</v>
      </c>
      <c r="E7261" t="s">
        <v>87</v>
      </c>
    </row>
    <row r="7262" spans="1:5" x14ac:dyDescent="0.25">
      <c r="A7262" t="str">
        <f>HYPERLINK("https://www.773grp.com/globalSearch/TMS320LBC57PGE57/page-1", "TMS320LBC57PGE57")</f>
        <v>TMS320LBC57PGE57</v>
      </c>
      <c r="B7262" s="3" t="str">
        <f>HYPERLINK("https://www.773grp.com/manufacturer/texas-instruments?pageNo=121", "Texas Instruments")</f>
        <v>Texas Instruments</v>
      </c>
      <c r="C7262" s="5">
        <v>160</v>
      </c>
      <c r="D7262" s="6">
        <v>147.6</v>
      </c>
      <c r="E7262" t="s">
        <v>87</v>
      </c>
    </row>
    <row r="7263" spans="1:5" x14ac:dyDescent="0.25">
      <c r="A7263" t="str">
        <f>HYPERLINK("https://www.773grp.com/globalSearch/TMX320C6411GLZ/page-1", "TMX320C6411GLZ")</f>
        <v>TMX320C6411GLZ</v>
      </c>
      <c r="B7263" s="3" t="str">
        <f>HYPERLINK("https://www.773grp.com/manufacturer/texas-instruments?pageNo=126", "Texas Instruments")</f>
        <v>Texas Instruments</v>
      </c>
      <c r="C7263" s="5">
        <v>17</v>
      </c>
      <c r="D7263" s="6">
        <v>148.44999999999999</v>
      </c>
      <c r="E7263" t="s">
        <v>87</v>
      </c>
    </row>
    <row r="7264" spans="1:5" x14ac:dyDescent="0.25">
      <c r="A7264" t="str">
        <f>HYPERLINK("https://www.773grp.com/globalSearch/TMS320LC548PGE-80/page-1", "TMS320LC548PGE-80")</f>
        <v>TMS320LC548PGE-80</v>
      </c>
      <c r="B7264" s="3" t="str">
        <f>HYPERLINK("https://www.773grp.com/manufacturer/texas-instruments?pageNo=169", "Texas Instruments")</f>
        <v>Texas Instruments</v>
      </c>
      <c r="C7264" s="5">
        <v>30628</v>
      </c>
      <c r="D7264" s="6">
        <v>150.28</v>
      </c>
      <c r="E7264" t="s">
        <v>87</v>
      </c>
    </row>
    <row r="7265" spans="1:5" x14ac:dyDescent="0.25">
      <c r="A7265" t="str">
        <f>HYPERLINK("https://www.773grp.com/globalSearch/TMS320LBC56PZ80/page-1", "TMS320LBC56PZ80")</f>
        <v>TMS320LBC56PZ80</v>
      </c>
      <c r="B7265" s="3" t="str">
        <f>HYPERLINK("https://www.773grp.com/manufacturer/texas-instruments?pageNo=180", "Texas Instruments")</f>
        <v>Texas Instruments</v>
      </c>
      <c r="C7265" s="5">
        <v>1246</v>
      </c>
      <c r="D7265" s="6">
        <v>152.16</v>
      </c>
      <c r="E7265" t="s">
        <v>87</v>
      </c>
    </row>
    <row r="7266" spans="1:5" x14ac:dyDescent="0.25">
      <c r="A7266" t="str">
        <f>HYPERLINK("https://www.773grp.com/globalSearch/TMS320DM642AGDK7/page-1", "TMS320DM642AGDK7")</f>
        <v>TMS320DM642AGDK7</v>
      </c>
      <c r="B7266" s="3" t="str">
        <f>HYPERLINK("https://www.773grp.com/manufacturer/texas-instruments?pageNo=216", "Texas Instruments")</f>
        <v>Texas Instruments</v>
      </c>
      <c r="C7266" s="5">
        <v>567</v>
      </c>
      <c r="D7266" s="6">
        <v>160.31</v>
      </c>
      <c r="E7266" t="s">
        <v>87</v>
      </c>
    </row>
    <row r="7267" spans="1:5" x14ac:dyDescent="0.25">
      <c r="A7267" t="str">
        <f>HYPERLINK("https://www.773grp.com/globalSearch/TMS320DM642AZDK7/page-1", "TMS320DM642AZDK7")</f>
        <v>TMS320DM642AZDK7</v>
      </c>
      <c r="B7267" s="3" t="str">
        <f>HYPERLINK("https://www.773grp.com/manufacturer/texas-instruments?pageNo=218", "Texas Instruments")</f>
        <v>Texas Instruments</v>
      </c>
      <c r="C7267" s="5">
        <v>770</v>
      </c>
      <c r="D7267" s="6">
        <v>160.31</v>
      </c>
      <c r="E7267" t="s">
        <v>87</v>
      </c>
    </row>
    <row r="7268" spans="1:5" x14ac:dyDescent="0.25">
      <c r="A7268" t="str">
        <f>HYPERLINK("https://www.773grp.com/globalSearch/TMS320P25PH/page-1", "TMS320P25PH")</f>
        <v>TMS320P25PH</v>
      </c>
      <c r="B7268" s="3" t="str">
        <f>HYPERLINK("https://www.773grp.com/manufacturer/texas-instruments?pageNo=272", "Texas Instruments")</f>
        <v>Texas Instruments</v>
      </c>
      <c r="C7268" s="5">
        <v>7</v>
      </c>
      <c r="D7268" s="6">
        <v>165.51</v>
      </c>
      <c r="E7268" t="s">
        <v>87</v>
      </c>
    </row>
    <row r="7269" spans="1:5" x14ac:dyDescent="0.25">
      <c r="A7269" t="str">
        <f>HYPERLINK("https://www.773grp.com/globalSearch/TMS320C6203BZNY173/page-1", "TMS320C6203BZNY173")</f>
        <v>TMS320C6203BZNY173</v>
      </c>
      <c r="B7269" s="3" t="str">
        <f>HYPERLINK("https://www.773grp.com/manufacturer/texas-instruments?pageNo=332", "Texas Instruments")</f>
        <v>Texas Instruments</v>
      </c>
      <c r="C7269" s="5">
        <v>25274</v>
      </c>
      <c r="D7269" s="6">
        <v>178.04</v>
      </c>
      <c r="E7269" t="s">
        <v>87</v>
      </c>
    </row>
    <row r="7270" spans="1:5" x14ac:dyDescent="0.25">
      <c r="A7270" t="str">
        <f>HYPERLINK("https://www.773grp.com/globalSearch/TMS320C6202BGNY250/page-1", "TMS320C6202BGNY250")</f>
        <v>TMS320C6202BGNY250</v>
      </c>
      <c r="B7270" s="3" t="str">
        <f>HYPERLINK("https://www.773grp.com/manufacturer/texas-instruments?pageNo=341", "Texas Instruments")</f>
        <v>Texas Instruments</v>
      </c>
      <c r="C7270" s="5">
        <v>851</v>
      </c>
      <c r="D7270" s="6">
        <v>180.06</v>
      </c>
      <c r="E7270" t="s">
        <v>87</v>
      </c>
    </row>
    <row r="7271" spans="1:5" x14ac:dyDescent="0.25">
      <c r="A7271" t="str">
        <f>HYPERLINK("https://www.773grp.com/globalSearch/TMS320F206PZ/page-1", "TMS320F206PZ")</f>
        <v>TMS320F206PZ</v>
      </c>
      <c r="B7271" s="3" t="str">
        <f>HYPERLINK("https://www.773grp.com/manufacturer/texas-instruments?pageNo=343", "Texas Instruments")</f>
        <v>Texas Instruments</v>
      </c>
      <c r="C7271" s="5">
        <v>2061</v>
      </c>
      <c r="D7271" s="6">
        <v>180.9</v>
      </c>
      <c r="E7271" t="s">
        <v>87</v>
      </c>
    </row>
    <row r="7272" spans="1:5" x14ac:dyDescent="0.25">
      <c r="A7272" t="str">
        <f>HYPERLINK("https://www.773grp.com/globalSearch/TMS320C6203BGNZ173/page-1", "TMS320C6203BGNZ173")</f>
        <v>TMS320C6203BGNZ173</v>
      </c>
      <c r="B7272" s="3" t="str">
        <f>HYPERLINK("https://www.773grp.com/manufacturer/texas-instruments?pageNo=348", "Texas Instruments")</f>
        <v>Texas Instruments</v>
      </c>
      <c r="C7272" s="5">
        <v>7196</v>
      </c>
      <c r="D7272" s="6">
        <v>181.69</v>
      </c>
      <c r="E7272" t="s">
        <v>87</v>
      </c>
    </row>
    <row r="7273" spans="1:5" x14ac:dyDescent="0.25">
      <c r="A7273" t="str">
        <f>HYPERLINK("https://www.773grp.com/globalSearch/TMS320P25FNA/page-1", "TMS320P25FNA")</f>
        <v>TMS320P25FNA</v>
      </c>
      <c r="B7273" s="3" t="str">
        <f>HYPERLINK("https://www.773grp.com/manufacturer/texas-instruments?pageNo=350", "Texas Instruments")</f>
        <v>Texas Instruments</v>
      </c>
      <c r="C7273" s="5">
        <v>1425</v>
      </c>
      <c r="D7273" s="6">
        <v>182.14</v>
      </c>
      <c r="E7273" t="s">
        <v>87</v>
      </c>
    </row>
    <row r="7274" spans="1:5" x14ac:dyDescent="0.25">
      <c r="A7274" t="str">
        <f>HYPERLINK("https://www.773grp.com/globalSearch/TMS320C6412AGDK7/page-1", "TMS320C6412AGDK7")</f>
        <v>TMS320C6412AGDK7</v>
      </c>
      <c r="B7274" s="3" t="str">
        <f>HYPERLINK("https://www.773grp.com/manufacturer/texas-instruments?pageNo=358", "Texas Instruments")</f>
        <v>Texas Instruments</v>
      </c>
      <c r="C7274" s="5">
        <v>499</v>
      </c>
      <c r="D7274" s="6">
        <v>184.33</v>
      </c>
      <c r="E7274" t="s">
        <v>87</v>
      </c>
    </row>
    <row r="7275" spans="1:5" x14ac:dyDescent="0.25">
      <c r="A7275" t="str">
        <f>HYPERLINK("https://www.773grp.com/globalSearch/TMS320C6412AZDK7/page-1", "TMS320C6412AZDK7")</f>
        <v>TMS320C6412AZDK7</v>
      </c>
      <c r="B7275" s="3" t="str">
        <f>HYPERLINK("https://www.773grp.com/manufacturer/texas-instruments?pageNo=359", "Texas Instruments")</f>
        <v>Texas Instruments</v>
      </c>
      <c r="C7275" s="5">
        <v>929</v>
      </c>
      <c r="D7275" s="6">
        <v>184.33</v>
      </c>
      <c r="E7275" t="s">
        <v>87</v>
      </c>
    </row>
    <row r="7276" spans="1:5" x14ac:dyDescent="0.25">
      <c r="A7276" t="str">
        <f>HYPERLINK("https://www.773grp.com/globalSearch/TMS320C6412AZNZ7/page-1", "TMS320C6412AZNZ7")</f>
        <v>TMS320C6412AZNZ7</v>
      </c>
      <c r="B7276" s="3" t="str">
        <f>HYPERLINK("https://www.773grp.com/manufacturer/texas-instruments?pageNo=360", "Texas Instruments")</f>
        <v>Texas Instruments</v>
      </c>
      <c r="C7276" s="5">
        <v>40</v>
      </c>
      <c r="D7276" s="6">
        <v>184.33</v>
      </c>
      <c r="E7276" t="s">
        <v>87</v>
      </c>
    </row>
    <row r="7277" spans="1:5" x14ac:dyDescent="0.25">
      <c r="A7277" t="str">
        <f>HYPERLINK("https://www.773grp.com/globalSearch/TMS320DM648ZUTD9/page-1", "TMS320DM648ZUTD9")</f>
        <v>TMS320DM648ZUTD9</v>
      </c>
      <c r="B7277" s="3" t="str">
        <f>HYPERLINK("https://www.773grp.com/manufacturer/texas-instruments?pageNo=376", "Texas Instruments")</f>
        <v>Texas Instruments</v>
      </c>
      <c r="C7277" s="5">
        <v>56</v>
      </c>
      <c r="D7277" s="6">
        <v>189.14</v>
      </c>
      <c r="E7277" t="s">
        <v>87</v>
      </c>
    </row>
    <row r="7278" spans="1:5" x14ac:dyDescent="0.25">
      <c r="A7278" t="str">
        <f>HYPERLINK("https://www.773grp.com/globalSearch/TMS320VC5420GGU200/page-1", "TMS320VC5420GGU200")</f>
        <v>TMS320VC5420GGU200</v>
      </c>
      <c r="B7278" s="3" t="str">
        <f>HYPERLINK("https://www.773grp.com/manufacturer/texas-instruments?pageNo=377", "Texas Instruments")</f>
        <v>Texas Instruments</v>
      </c>
      <c r="C7278" s="5">
        <v>1010</v>
      </c>
      <c r="D7278" s="6">
        <v>189.18</v>
      </c>
      <c r="E7278" t="s">
        <v>87</v>
      </c>
    </row>
    <row r="7279" spans="1:5" x14ac:dyDescent="0.25">
      <c r="A7279" t="str">
        <f>HYPERLINK("https://www.773grp.com/globalSearch/TMS320VC5420PGE200/page-1", "TMS320VC5420PGE200")</f>
        <v>TMS320VC5420PGE200</v>
      </c>
      <c r="B7279" s="3" t="str">
        <f>HYPERLINK("https://www.773grp.com/manufacturer/texas-instruments?pageNo=378", "Texas Instruments")</f>
        <v>Texas Instruments</v>
      </c>
      <c r="C7279" s="5">
        <v>1596</v>
      </c>
      <c r="D7279" s="6">
        <v>189.18</v>
      </c>
      <c r="E7279" t="s">
        <v>87</v>
      </c>
    </row>
    <row r="7280" spans="1:5" x14ac:dyDescent="0.25">
      <c r="A7280" t="str">
        <f>HYPERLINK("https://www.773grp.com/globalSearch/TMS320VC5420ZGU200/page-1", "TMS320VC5420ZGU200")</f>
        <v>TMS320VC5420ZGU200</v>
      </c>
      <c r="B7280" s="3" t="str">
        <f>HYPERLINK("https://www.773grp.com/manufacturer/texas-instruments?pageNo=379", "Texas Instruments")</f>
        <v>Texas Instruments</v>
      </c>
      <c r="C7280" s="5">
        <v>8099</v>
      </c>
      <c r="D7280" s="6">
        <v>189.18</v>
      </c>
      <c r="E7280" t="s">
        <v>87</v>
      </c>
    </row>
    <row r="7281" spans="1:5" x14ac:dyDescent="0.25">
      <c r="A7281" t="str">
        <f>HYPERLINK("https://www.773grp.com/globalSearch/TMX320DM648ZUT7/page-1", "TMX320DM648ZUT7")</f>
        <v>TMX320DM648ZUT7</v>
      </c>
      <c r="B7281" s="3" t="str">
        <f>HYPERLINK("https://www.773grp.com/manufacturer/texas-instruments?pageNo=387", "Texas Instruments")</f>
        <v>Texas Instruments</v>
      </c>
      <c r="C7281" s="5">
        <v>226</v>
      </c>
      <c r="D7281" s="6">
        <v>190.55</v>
      </c>
      <c r="E7281" t="s">
        <v>87</v>
      </c>
    </row>
    <row r="7282" spans="1:5" x14ac:dyDescent="0.25">
      <c r="A7282" t="str">
        <f>HYPERLINK("https://www.773grp.com/globalSearch/TMS320DM642GDK720/page-1", "TMS320DM642GDK720")</f>
        <v>TMS320DM642GDK720</v>
      </c>
      <c r="B7282" s="3" t="str">
        <f>HYPERLINK("https://www.773grp.com/manufacturer/texas-instruments?pageNo=388", "Texas Instruments")</f>
        <v>Texas Instruments</v>
      </c>
      <c r="C7282" s="5">
        <v>831</v>
      </c>
      <c r="D7282" s="6">
        <v>190.65</v>
      </c>
      <c r="E7282" t="s">
        <v>87</v>
      </c>
    </row>
    <row r="7283" spans="1:5" x14ac:dyDescent="0.25">
      <c r="A7283" t="str">
        <f>HYPERLINK("https://www.773grp.com/globalSearch/TMP320LBC57PBK80/page-1", "TMP320LBC57PBK80")</f>
        <v>TMP320LBC57PBK80</v>
      </c>
      <c r="B7283" s="3" t="str">
        <f>HYPERLINK("https://www.773grp.com/manufacturer/texas-instruments?pageNo=401", "Texas Instruments")</f>
        <v>Texas Instruments</v>
      </c>
      <c r="C7283" s="5">
        <v>34</v>
      </c>
      <c r="D7283" s="6">
        <v>191.74</v>
      </c>
      <c r="E7283" t="s">
        <v>87</v>
      </c>
    </row>
    <row r="7284" spans="1:5" x14ac:dyDescent="0.25">
      <c r="A7284" t="str">
        <f>HYPERLINK("https://www.773grp.com/globalSearch/SM320DM642AGDKI7EP/page-1", "SM320DM642AGDKI7EP")</f>
        <v>SM320DM642AGDKI7EP</v>
      </c>
      <c r="B7284" s="3" t="str">
        <f>HYPERLINK("https://www.773grp.com/manufacturer/texas-instruments?pageNo=402", "Texas Instruments")</f>
        <v>Texas Instruments</v>
      </c>
      <c r="C7284" s="5">
        <v>118</v>
      </c>
      <c r="D7284" s="6">
        <v>192.09</v>
      </c>
      <c r="E7284" t="s">
        <v>87</v>
      </c>
    </row>
    <row r="7285" spans="1:5" x14ac:dyDescent="0.25">
      <c r="A7285" t="str">
        <f>HYPERLINK("https://www.773grp.com/globalSearch/TMS320VC5421GGU200/page-1", "TMS320VC5421GGU200")</f>
        <v>TMS320VC5421GGU200</v>
      </c>
      <c r="B7285" s="3" t="str">
        <f>HYPERLINK("https://www.773grp.com/manufacturer/texas-instruments?pageNo=408", "Texas Instruments")</f>
        <v>Texas Instruments</v>
      </c>
      <c r="C7285" s="5">
        <v>1953</v>
      </c>
      <c r="D7285" s="6">
        <v>193.76</v>
      </c>
      <c r="E7285" t="s">
        <v>87</v>
      </c>
    </row>
    <row r="7286" spans="1:5" x14ac:dyDescent="0.25">
      <c r="A7286" t="str">
        <f>HYPERLINK("https://www.773grp.com/globalSearch/TMS320VC5421PGE200/page-1", "TMS320VC5421PGE200")</f>
        <v>TMS320VC5421PGE200</v>
      </c>
      <c r="B7286" s="3" t="str">
        <f>HYPERLINK("https://www.773grp.com/manufacturer/texas-instruments?pageNo=409", "Texas Instruments")</f>
        <v>Texas Instruments</v>
      </c>
      <c r="C7286" s="5">
        <v>1</v>
      </c>
      <c r="D7286" s="6">
        <v>193.76</v>
      </c>
      <c r="E7286" t="s">
        <v>87</v>
      </c>
    </row>
    <row r="7287" spans="1:5" x14ac:dyDescent="0.25">
      <c r="A7287" t="str">
        <f>HYPERLINK("https://www.773grp.com/globalSearch/TMS320VC5421ZGU200/page-1", "TMS320VC5421ZGU200")</f>
        <v>TMS320VC5421ZGU200</v>
      </c>
      <c r="B7287" s="3" t="str">
        <f>HYPERLINK("https://www.773grp.com/manufacturer/texas-instruments?pageNo=410", "Texas Instruments")</f>
        <v>Texas Instruments</v>
      </c>
      <c r="C7287" s="5">
        <v>5</v>
      </c>
      <c r="D7287" s="6">
        <v>193.76</v>
      </c>
      <c r="E7287" t="s">
        <v>87</v>
      </c>
    </row>
    <row r="7288" spans="1:5" x14ac:dyDescent="0.25">
      <c r="A7288" t="str">
        <f>HYPERLINK("https://www.773grp.com/globalSearch/TMS320C6203BGNY17C/page-1", "TMS320C6203BGNY17C")</f>
        <v>TMS320C6203BGNY17C</v>
      </c>
      <c r="B7288" s="3" t="str">
        <f>HYPERLINK("https://www.773grp.com/manufacturer/texas-instruments?pageNo=425", "Texas Instruments")</f>
        <v>Texas Instruments</v>
      </c>
      <c r="C7288" s="5">
        <v>8827</v>
      </c>
      <c r="D7288" s="6">
        <v>194.54</v>
      </c>
      <c r="E7288" t="s">
        <v>87</v>
      </c>
    </row>
    <row r="7289" spans="1:5" x14ac:dyDescent="0.25">
      <c r="A7289" t="str">
        <f>HYPERLINK("https://www.773grp.com/globalSearch/TMS320LBC57PBK80/page-1", "TMS320LBC57PBK80")</f>
        <v>TMS320LBC57PBK80</v>
      </c>
      <c r="B7289" s="3" t="str">
        <f>HYPERLINK("https://www.773grp.com/manufacturer/texas-instruments?pageNo=461", "Texas Instruments")</f>
        <v>Texas Instruments</v>
      </c>
      <c r="C7289" s="5">
        <v>327</v>
      </c>
      <c r="D7289" s="6">
        <v>202.5</v>
      </c>
      <c r="E7289" t="s">
        <v>87</v>
      </c>
    </row>
    <row r="7290" spans="1:5" x14ac:dyDescent="0.25">
      <c r="A7290" t="str">
        <f>HYPERLINK("https://www.773grp.com/globalSearch/TMS320LBC57PGE80/page-1", "TMS320LBC57PGE80")</f>
        <v>TMS320LBC57PGE80</v>
      </c>
      <c r="B7290" s="3" t="str">
        <f>HYPERLINK("https://www.773grp.com/manufacturer/texas-instruments?pageNo=462", "Texas Instruments")</f>
        <v>Texas Instruments</v>
      </c>
      <c r="C7290" s="5">
        <v>1864</v>
      </c>
      <c r="D7290" s="6">
        <v>202.5</v>
      </c>
      <c r="E7290" t="s">
        <v>87</v>
      </c>
    </row>
    <row r="7291" spans="1:5" x14ac:dyDescent="0.25">
      <c r="A7291" t="str">
        <f>HYPERLINK("https://www.773grp.com/globalSearch/TMS320C6414TBGLZ6/page-1", "TMS320C6414TBGLZ6")</f>
        <v>TMS320C6414TBGLZ6</v>
      </c>
      <c r="B7291" s="3" t="str">
        <f>HYPERLINK("https://www.773grp.com/manufacturer/texas-instruments?pageNo=466", "Texas Instruments")</f>
        <v>Texas Instruments</v>
      </c>
      <c r="C7291" s="5">
        <v>438</v>
      </c>
      <c r="D7291" s="6">
        <v>204.81</v>
      </c>
      <c r="E7291" t="s">
        <v>87</v>
      </c>
    </row>
    <row r="7292" spans="1:5" x14ac:dyDescent="0.25">
      <c r="A7292" t="str">
        <f>HYPERLINK("https://www.773grp.com/globalSearch/TMS320C31PQL/page-1", "TMS320C31PQL")</f>
        <v>TMS320C31PQL</v>
      </c>
      <c r="B7292" s="3" t="str">
        <f>HYPERLINK("https://www.773grp.com/manufacturer/texas-instruments?pageNo=467", "Texas Instruments")</f>
        <v>Texas Instruments</v>
      </c>
      <c r="C7292" s="5">
        <v>1178</v>
      </c>
      <c r="D7292" s="6">
        <v>205.06</v>
      </c>
      <c r="E7292" t="s">
        <v>87</v>
      </c>
    </row>
    <row r="7293" spans="1:5" x14ac:dyDescent="0.25">
      <c r="A7293" t="str">
        <f>HYPERLINK("https://www.773grp.com/globalSearch/TMS320C25FNL33/page-1", "TMS320C25FNL33")</f>
        <v>TMS320C25FNL33</v>
      </c>
      <c r="B7293" s="3" t="str">
        <f>HYPERLINK("https://www.773grp.com/manufacturer/texas-instruments?pageNo=472", "Texas Instruments")</f>
        <v>Texas Instruments</v>
      </c>
      <c r="C7293" s="5">
        <v>226</v>
      </c>
      <c r="D7293" s="6">
        <v>206.46</v>
      </c>
      <c r="E7293" t="s">
        <v>87</v>
      </c>
    </row>
    <row r="7294" spans="1:5" x14ac:dyDescent="0.25">
      <c r="A7294" t="str">
        <f>HYPERLINK("https://www.773grp.com/globalSearch/TMS320C32PCM60/page-1", "TMS320C32PCM60")</f>
        <v>TMS320C32PCM60</v>
      </c>
      <c r="B7294" s="3" t="str">
        <f>HYPERLINK("https://www.773grp.com/manufacturer/texas-instruments?pageNo=477", "Texas Instruments")</f>
        <v>Texas Instruments</v>
      </c>
      <c r="C7294" s="5">
        <v>23</v>
      </c>
      <c r="D7294" s="6">
        <v>208.8</v>
      </c>
      <c r="E7294" t="s">
        <v>87</v>
      </c>
    </row>
    <row r="7295" spans="1:5" x14ac:dyDescent="0.25">
      <c r="A7295" t="str">
        <f>HYPERLINK("https://www.773grp.com/globalSearch/TMS320C6415TBZLZ6/page-1", "TMS320C6415TBZLZ6")</f>
        <v>TMS320C6415TBZLZ6</v>
      </c>
      <c r="B7295" s="3" t="str">
        <f>HYPERLINK("https://www.773grp.com/manufacturer/texas-instruments?pageNo=510", "Texas Instruments")</f>
        <v>Texas Instruments</v>
      </c>
      <c r="C7295" s="5">
        <v>290</v>
      </c>
      <c r="D7295" s="6">
        <v>211.36</v>
      </c>
      <c r="E7295" t="s">
        <v>87</v>
      </c>
    </row>
    <row r="7296" spans="1:5" x14ac:dyDescent="0.25">
      <c r="A7296" t="str">
        <f>HYPERLINK("https://www.773grp.com/globalSearch/TMS320C6415TBGLZ6/page-1", "TMS320C6415TBGLZ6")</f>
        <v>TMS320C6415TBGLZ6</v>
      </c>
      <c r="B7296" s="3" t="str">
        <f>HYPERLINK("https://www.773grp.com/manufacturer/texas-instruments?pageNo=520", "Texas Instruments")</f>
        <v>Texas Instruments</v>
      </c>
      <c r="C7296" s="5">
        <v>2196</v>
      </c>
      <c r="D7296" s="6">
        <v>215.53</v>
      </c>
      <c r="E7296" t="s">
        <v>87</v>
      </c>
    </row>
    <row r="7297" spans="1:5" x14ac:dyDescent="0.25">
      <c r="A7297" t="str">
        <f>HYPERLINK("https://www.773grp.com/globalSearch/TMS320C6202BGNZ300/page-1", "TMS320C6202BGNZ300")</f>
        <v>TMS320C6202BGNZ300</v>
      </c>
      <c r="B7297" s="3" t="str">
        <f>HYPERLINK("https://www.773grp.com/manufacturer/texas-instruments?pageNo=524", "Texas Instruments")</f>
        <v>Texas Instruments</v>
      </c>
      <c r="C7297" s="5">
        <v>2534</v>
      </c>
      <c r="D7297" s="6">
        <v>216.09</v>
      </c>
      <c r="E7297" t="s">
        <v>87</v>
      </c>
    </row>
    <row r="7298" spans="1:5" x14ac:dyDescent="0.25">
      <c r="A7298" t="str">
        <f>HYPERLINK("https://www.773grp.com/globalSearch/TMS320C6202BZNZ300/page-1", "TMS320C6202BZNZ300")</f>
        <v>TMS320C6202BZNZ300</v>
      </c>
      <c r="B7298" s="3" t="str">
        <f>HYPERLINK("https://www.773grp.com/manufacturer/texas-instruments?pageNo=525", "Texas Instruments")</f>
        <v>Texas Instruments</v>
      </c>
      <c r="C7298" s="5">
        <v>40</v>
      </c>
      <c r="D7298" s="6">
        <v>216.09</v>
      </c>
      <c r="E7298" t="s">
        <v>87</v>
      </c>
    </row>
    <row r="7299" spans="1:5" x14ac:dyDescent="0.25">
      <c r="A7299" t="str">
        <f>HYPERLINK("https://www.773grp.com/globalSearch/TMX320C6412GNZ/page-1", "TMX320C6412GNZ")</f>
        <v>TMX320C6412GNZ</v>
      </c>
      <c r="B7299" s="3" t="str">
        <f>HYPERLINK("https://www.773grp.com/manufacturer/texas-instruments?pageNo=532", "Texas Instruments")</f>
        <v>Texas Instruments</v>
      </c>
      <c r="C7299" s="5">
        <v>250</v>
      </c>
      <c r="D7299" s="6">
        <v>216.9</v>
      </c>
      <c r="E7299" t="s">
        <v>87</v>
      </c>
    </row>
    <row r="7300" spans="1:5" x14ac:dyDescent="0.25">
      <c r="A7300" t="str">
        <f>HYPERLINK("https://www.773grp.com/globalSearch/TMS320C6414TGLZ6/page-1", "TMS320C6414TGLZ6")</f>
        <v>TMS320C6414TGLZ6</v>
      </c>
      <c r="B7300" s="3" t="str">
        <f>HYPERLINK("https://www.773grp.com/manufacturer/texas-instruments?pageNo=535", "Texas Instruments")</f>
        <v>Texas Instruments</v>
      </c>
      <c r="C7300" s="5">
        <v>15</v>
      </c>
      <c r="D7300" s="6">
        <v>218.11</v>
      </c>
      <c r="E7300" t="s">
        <v>87</v>
      </c>
    </row>
    <row r="7301" spans="1:5" x14ac:dyDescent="0.25">
      <c r="A7301" t="str">
        <f>HYPERLINK("https://www.773grp.com/globalSearch/TMS320C5421GGUA200/page-1", "TMS320C5421GGUA200")</f>
        <v>TMS320C5421GGUA200</v>
      </c>
      <c r="B7301" s="3" t="str">
        <f>HYPERLINK("https://www.773grp.com/manufacturer/texas-instruments?pageNo=538", "Texas Instruments")</f>
        <v>Texas Instruments</v>
      </c>
      <c r="C7301" s="5">
        <v>497</v>
      </c>
      <c r="D7301" s="6">
        <v>221.91</v>
      </c>
      <c r="E7301" t="s">
        <v>87</v>
      </c>
    </row>
    <row r="7302" spans="1:5" x14ac:dyDescent="0.25">
      <c r="A7302" t="str">
        <f>HYPERLINK("https://www.773grp.com/globalSearch/TMS320C6457CCMH/page-1", "TMS320C6457CCMH")</f>
        <v>TMS320C6457CCMH</v>
      </c>
      <c r="B7302" s="3" t="str">
        <f>HYPERLINK("https://www.773grp.com/manufacturer/texas-instruments?pageNo=554", "Texas Instruments")</f>
        <v>Texas Instruments</v>
      </c>
      <c r="C7302" s="5">
        <v>166</v>
      </c>
      <c r="D7302" s="6">
        <v>222.19</v>
      </c>
      <c r="E7302" t="s">
        <v>87</v>
      </c>
    </row>
    <row r="7303" spans="1:5" x14ac:dyDescent="0.25">
      <c r="A7303" t="str">
        <f>HYPERLINK("https://www.773grp.com/globalSearch/GC6016IZEV/page-1", "GC6016IZEV")</f>
        <v>GC6016IZEV</v>
      </c>
      <c r="B7303" s="3" t="str">
        <f>HYPERLINK("https://www.773grp.com/manufacturer/texas-instruments?pageNo=568", "Texas Instruments")</f>
        <v>Texas Instruments</v>
      </c>
      <c r="C7303" s="5">
        <v>44</v>
      </c>
      <c r="D7303" s="6">
        <v>225.65</v>
      </c>
      <c r="E7303" t="s">
        <v>87</v>
      </c>
    </row>
    <row r="7304" spans="1:5" x14ac:dyDescent="0.25">
      <c r="A7304" t="str">
        <f>HYPERLINK("https://www.773grp.com/globalSearch/TMS320C5420GGUA200/page-1", "TMS320C5420GGUA200")</f>
        <v>TMS320C5420GGUA200</v>
      </c>
      <c r="B7304" s="3" t="str">
        <f>HYPERLINK("https://www.773grp.com/manufacturer/texas-instruments?pageNo=570", "Texas Instruments")</f>
        <v>Texas Instruments</v>
      </c>
      <c r="C7304" s="5">
        <v>332</v>
      </c>
      <c r="D7304" s="6">
        <v>227</v>
      </c>
      <c r="E7304" t="s">
        <v>87</v>
      </c>
    </row>
    <row r="7305" spans="1:5" x14ac:dyDescent="0.25">
      <c r="A7305" t="str">
        <f>HYPERLINK("https://www.773grp.com/globalSearch/TMS320C5420PGEA200/page-1", "TMS320C5420PGEA200")</f>
        <v>TMS320C5420PGEA200</v>
      </c>
      <c r="B7305" s="3" t="str">
        <f>HYPERLINK("https://www.773grp.com/manufacturer/texas-instruments?pageNo=571", "Texas Instruments")</f>
        <v>Texas Instruments</v>
      </c>
      <c r="C7305" s="5">
        <v>1675</v>
      </c>
      <c r="D7305" s="6">
        <v>227</v>
      </c>
      <c r="E7305" t="s">
        <v>87</v>
      </c>
    </row>
    <row r="7306" spans="1:5" x14ac:dyDescent="0.25">
      <c r="A7306" t="str">
        <f>HYPERLINK("https://www.773grp.com/globalSearch/SM320VC5421PGE20EP/page-1", "SM320VC5421PGE20EP")</f>
        <v>SM320VC5421PGE20EP</v>
      </c>
      <c r="B7306" s="3" t="str">
        <f>HYPERLINK("https://www.773grp.com/manufacturer/texas-instruments?pageNo=576", "Texas Instruments")</f>
        <v>Texas Instruments</v>
      </c>
      <c r="C7306" s="5">
        <v>46</v>
      </c>
      <c r="D7306" s="6">
        <v>227.1</v>
      </c>
      <c r="E7306" t="s">
        <v>87</v>
      </c>
    </row>
    <row r="7307" spans="1:5" x14ac:dyDescent="0.25">
      <c r="A7307" t="str">
        <f>HYPERLINK("https://www.773grp.com/globalSearch/TMS320C6415TGLZ6/page-1", "TMS320C6415TGLZ6")</f>
        <v>TMS320C6415TGLZ6</v>
      </c>
      <c r="B7307" s="3" t="str">
        <f>HYPERLINK("https://www.773grp.com/manufacturer/texas-instruments?pageNo=583", "Texas Instruments")</f>
        <v>Texas Instruments</v>
      </c>
      <c r="C7307" s="5">
        <v>1584</v>
      </c>
      <c r="D7307" s="6">
        <v>229.5</v>
      </c>
      <c r="E7307" t="s">
        <v>87</v>
      </c>
    </row>
    <row r="7308" spans="1:5" x14ac:dyDescent="0.25">
      <c r="A7308" t="str">
        <f>HYPERLINK("https://www.773grp.com/globalSearch/TMS320C6203BGNY300/page-1", "TMS320C6203BGNY300")</f>
        <v>TMS320C6203BGNY300</v>
      </c>
      <c r="B7308" s="3" t="str">
        <f>HYPERLINK("https://www.773grp.com/manufacturer/texas-instruments?pageNo=585", "Texas Instruments")</f>
        <v>Texas Instruments</v>
      </c>
      <c r="C7308" s="5">
        <v>812</v>
      </c>
      <c r="D7308" s="6">
        <v>229.55</v>
      </c>
      <c r="E7308" t="s">
        <v>87</v>
      </c>
    </row>
    <row r="7309" spans="1:5" x14ac:dyDescent="0.25">
      <c r="A7309" t="str">
        <f>HYPERLINK("https://www.773grp.com/globalSearch/TMS320C6203BGNY30C/page-1", "TMS320C6203BGNY30C")</f>
        <v>TMS320C6203BGNY30C</v>
      </c>
      <c r="B7309" s="3" t="str">
        <f>HYPERLINK("https://www.773grp.com/manufacturer/texas-instruments?pageNo=586", "Texas Instruments")</f>
        <v>Texas Instruments</v>
      </c>
      <c r="C7309" s="5">
        <v>354</v>
      </c>
      <c r="D7309" s="6">
        <v>229.55</v>
      </c>
      <c r="E7309" t="s">
        <v>87</v>
      </c>
    </row>
    <row r="7310" spans="1:5" x14ac:dyDescent="0.25">
      <c r="A7310" t="str">
        <f>HYPERLINK("https://www.773grp.com/globalSearch/TMS320C6203BZNZ300/page-1", "TMS320C6203BZNZ300")</f>
        <v>TMS320C6203BZNZ300</v>
      </c>
      <c r="B7310" s="3" t="str">
        <f>HYPERLINK("https://www.773grp.com/manufacturer/texas-instruments?pageNo=588", "Texas Instruments")</f>
        <v>Texas Instruments</v>
      </c>
      <c r="C7310" s="5">
        <v>882</v>
      </c>
      <c r="D7310" s="6">
        <v>229.55</v>
      </c>
      <c r="E7310" t="s">
        <v>87</v>
      </c>
    </row>
    <row r="7311" spans="1:5" x14ac:dyDescent="0.25">
      <c r="A7311" t="str">
        <f>HYPERLINK("https://www.773grp.com/globalSearch/TMS32C6414CGLZ5E0/page-1", "TMS32C6414CGLZ5E0")</f>
        <v>TMS32C6414CGLZ5E0</v>
      </c>
      <c r="B7311" s="3" t="str">
        <f>HYPERLINK("https://www.773grp.com/manufacturer/texas-instruments?pageNo=589", "Texas Instruments")</f>
        <v>Texas Instruments</v>
      </c>
      <c r="C7311" s="5">
        <v>420</v>
      </c>
      <c r="D7311" s="6">
        <v>231.66</v>
      </c>
      <c r="E7311" t="s">
        <v>87</v>
      </c>
    </row>
    <row r="7312" spans="1:5" x14ac:dyDescent="0.25">
      <c r="A7312" t="str">
        <f>HYPERLINK("https://www.773grp.com/globalSearch/TMS32C6414CGLZ6E3/page-1", "TMS32C6414CGLZ6E3")</f>
        <v>TMS32C6414CGLZ6E3</v>
      </c>
      <c r="B7312" s="3" t="str">
        <f>HYPERLINK("https://www.773grp.com/manufacturer/texas-instruments?pageNo=590", "Texas Instruments")</f>
        <v>Texas Instruments</v>
      </c>
      <c r="C7312" s="5">
        <v>951</v>
      </c>
      <c r="D7312" s="6">
        <v>231.66</v>
      </c>
      <c r="E7312" t="s">
        <v>87</v>
      </c>
    </row>
    <row r="7313" spans="1:5" x14ac:dyDescent="0.25">
      <c r="A7313" t="str">
        <f>HYPERLINK("https://www.773grp.com/globalSearch/TMS32C6415CGLZ6E3/page-1", "TMS32C6415CGLZ6E3")</f>
        <v>TMS32C6415CGLZ6E3</v>
      </c>
      <c r="B7313" s="3" t="str">
        <f>HYPERLINK("https://www.773grp.com/manufacturer/texas-instruments?pageNo=591", "Texas Instruments")</f>
        <v>Texas Instruments</v>
      </c>
      <c r="C7313" s="5">
        <v>13</v>
      </c>
      <c r="D7313" s="6">
        <v>231.66</v>
      </c>
      <c r="E7313" t="s">
        <v>87</v>
      </c>
    </row>
    <row r="7314" spans="1:5" x14ac:dyDescent="0.25">
      <c r="A7314" t="str">
        <f>HYPERLINK("https://www.773grp.com/globalSearch/TMX32C6415EGLZ5E0/page-1", "TMX32C6415EGLZ5E0")</f>
        <v>TMX32C6415EGLZ5E0</v>
      </c>
      <c r="B7314" s="3" t="str">
        <f>HYPERLINK("https://www.773grp.com/manufacturer/texas-instruments?pageNo=592", "Texas Instruments")</f>
        <v>Texas Instruments</v>
      </c>
      <c r="C7314" s="5">
        <v>5</v>
      </c>
      <c r="D7314" s="6">
        <v>231.66</v>
      </c>
      <c r="E7314" t="s">
        <v>87</v>
      </c>
    </row>
    <row r="7315" spans="1:5" x14ac:dyDescent="0.25">
      <c r="A7315" t="str">
        <f>HYPERLINK("https://www.773grp.com/globalSearch/TMS320C5421PGEA200/page-1", "TMS320C5421PGEA200")</f>
        <v>TMS320C5421PGEA200</v>
      </c>
      <c r="B7315" s="3" t="str">
        <f>HYPERLINK("https://www.773grp.com/manufacturer/texas-instruments?pageNo=595", "Texas Instruments")</f>
        <v>Texas Instruments</v>
      </c>
      <c r="C7315" s="5">
        <v>660</v>
      </c>
      <c r="D7315" s="6">
        <v>234</v>
      </c>
      <c r="E7315" t="s">
        <v>87</v>
      </c>
    </row>
    <row r="7316" spans="1:5" x14ac:dyDescent="0.25">
      <c r="A7316" t="str">
        <f>HYPERLINK("https://www.773grp.com/globalSearch/TMS32C6203BGLS173H/page-1", "TMS32C6203BGLS173H")</f>
        <v>TMS32C6203BGLS173H</v>
      </c>
      <c r="B7316" s="3" t="str">
        <f>HYPERLINK("https://www.773grp.com/manufacturer/texas-instruments?pageNo=608", "Texas Instruments")</f>
        <v>Texas Instruments</v>
      </c>
      <c r="C7316" s="5">
        <v>8559</v>
      </c>
      <c r="D7316" s="6">
        <v>236.74</v>
      </c>
      <c r="E7316" t="s">
        <v>87</v>
      </c>
    </row>
    <row r="7317" spans="1:5" x14ac:dyDescent="0.25">
      <c r="A7317" t="str">
        <f>HYPERLINK("https://www.773grp.com/globalSearch/TMS320C6203BGLSH/page-1", "TMS320C6203BGLSH")</f>
        <v>TMS320C6203BGLSH</v>
      </c>
      <c r="B7317" s="3" t="str">
        <f>HYPERLINK("https://www.773grp.com/manufacturer/texas-instruments?pageNo=609", "Texas Instruments")</f>
        <v>Texas Instruments</v>
      </c>
      <c r="C7317" s="5">
        <v>81</v>
      </c>
      <c r="D7317" s="6">
        <v>236.76</v>
      </c>
      <c r="E7317" t="s">
        <v>87</v>
      </c>
    </row>
    <row r="7318" spans="1:5" x14ac:dyDescent="0.25">
      <c r="A7318" t="str">
        <f>HYPERLINK("https://www.773grp.com/globalSearch/TMS320C6416TBGLZ6/page-1", "TMS320C6416TBGLZ6")</f>
        <v>TMS320C6416TBGLZ6</v>
      </c>
      <c r="B7318" s="3" t="str">
        <f>HYPERLINK("https://www.773grp.com/manufacturer/texas-instruments?pageNo=612", "Texas Instruments")</f>
        <v>Texas Instruments</v>
      </c>
      <c r="C7318" s="5">
        <v>1901</v>
      </c>
      <c r="D7318" s="6">
        <v>237.06</v>
      </c>
      <c r="E7318" t="s">
        <v>87</v>
      </c>
    </row>
    <row r="7319" spans="1:5" x14ac:dyDescent="0.25">
      <c r="A7319" t="str">
        <f>HYPERLINK("https://www.773grp.com/globalSearch/TMX320DM8168BCYG2/page-1", "TMX320DM8168BCYG2")</f>
        <v>TMX320DM8168BCYG2</v>
      </c>
      <c r="B7319" s="3" t="str">
        <f>HYPERLINK("https://www.773grp.com/manufacturer/texas-instruments?pageNo=621", "Texas Instruments")</f>
        <v>Texas Instruments</v>
      </c>
      <c r="C7319" s="5">
        <v>748</v>
      </c>
      <c r="D7319" s="6">
        <v>239.06</v>
      </c>
      <c r="E7319" t="s">
        <v>87</v>
      </c>
    </row>
    <row r="7320" spans="1:5" x14ac:dyDescent="0.25">
      <c r="A7320" t="str">
        <f>HYPERLINK("https://www.773grp.com/globalSearch/TMS32C6415DGLZ5E0/page-1", "TMS32C6415DGLZ5E0")</f>
        <v>TMS32C6415DGLZ5E0</v>
      </c>
      <c r="B7320" s="3" t="str">
        <f>HYPERLINK("https://www.773grp.com/manufacturer/texas-instruments?pageNo=623", "Texas Instruments")</f>
        <v>Texas Instruments</v>
      </c>
      <c r="C7320" s="5">
        <v>7817</v>
      </c>
      <c r="D7320" s="6">
        <v>243.85</v>
      </c>
      <c r="E7320" t="s">
        <v>87</v>
      </c>
    </row>
    <row r="7321" spans="1:5" x14ac:dyDescent="0.25">
      <c r="A7321" t="str">
        <f>HYPERLINK("https://www.773grp.com/globalSearch/TMS320C6701GJC150/page-1", "TMS320C6701GJC150")</f>
        <v>TMS320C6701GJC150</v>
      </c>
      <c r="B7321" s="3" t="str">
        <f>HYPERLINK("https://www.773grp.com/manufacturer/texas-instruments?pageNo=630", "Texas Instruments")</f>
        <v>Texas Instruments</v>
      </c>
      <c r="C7321" s="5">
        <v>156</v>
      </c>
      <c r="D7321" s="6">
        <v>244.69</v>
      </c>
      <c r="E7321" t="s">
        <v>87</v>
      </c>
    </row>
    <row r="7322" spans="1:5" x14ac:dyDescent="0.25">
      <c r="A7322" t="str">
        <f>HYPERLINK("https://www.773grp.com/globalSearch/TMS320C6414TBGLZA6/page-1", "TMS320C6414TBGLZA6")</f>
        <v>TMS320C6414TBGLZA6</v>
      </c>
      <c r="B7322" s="3" t="str">
        <f>HYPERLINK("https://www.773grp.com/manufacturer/texas-instruments?pageNo=631", "Texas Instruments")</f>
        <v>Texas Instruments</v>
      </c>
      <c r="C7322" s="5">
        <v>37</v>
      </c>
      <c r="D7322" s="6">
        <v>245.75</v>
      </c>
      <c r="E7322" t="s">
        <v>87</v>
      </c>
    </row>
    <row r="7323" spans="1:5" x14ac:dyDescent="0.25">
      <c r="A7323" t="str">
        <f>HYPERLINK("https://www.773grp.com/globalSearch/TMS32C6414DGLZW5E0/page-1", "TMS32C6414DGLZW5E0")</f>
        <v>TMS32C6414DGLZW5E0</v>
      </c>
      <c r="B7323" s="3" t="str">
        <f>HYPERLINK("https://www.773grp.com/manufacturer/texas-instruments?pageNo=632", "Texas Instruments")</f>
        <v>Texas Instruments</v>
      </c>
      <c r="C7323" s="5">
        <v>24</v>
      </c>
      <c r="D7323" s="6">
        <v>245.9</v>
      </c>
      <c r="E7323" t="s">
        <v>87</v>
      </c>
    </row>
    <row r="7324" spans="1:5" x14ac:dyDescent="0.25">
      <c r="A7324" t="str">
        <f>HYPERLINK("https://www.773grp.com/globalSearch/TMS32C6414EGLZ5E0/page-1", "TMS32C6414EGLZ5E0")</f>
        <v>TMS32C6414EGLZ5E0</v>
      </c>
      <c r="B7324" s="3" t="str">
        <f>HYPERLINK("https://www.773grp.com/manufacturer/texas-instruments?pageNo=636", "Texas Instruments")</f>
        <v>Texas Instruments</v>
      </c>
      <c r="C7324" s="5">
        <v>629</v>
      </c>
      <c r="D7324" s="6">
        <v>248.2</v>
      </c>
      <c r="E7324" t="s">
        <v>87</v>
      </c>
    </row>
    <row r="7325" spans="1:5" x14ac:dyDescent="0.25">
      <c r="A7325" t="str">
        <f>HYPERLINK("https://www.773grp.com/globalSearch/TMX32C6416EGLZ5E0/page-1", "TMX32C6416EGLZ5E0")</f>
        <v>TMX32C6416EGLZ5E0</v>
      </c>
      <c r="B7325" s="3" t="str">
        <f>HYPERLINK("https://www.773grp.com/manufacturer/texas-instruments?pageNo=638", "Texas Instruments")</f>
        <v>Texas Instruments</v>
      </c>
      <c r="C7325" s="5">
        <v>7</v>
      </c>
      <c r="D7325" s="6">
        <v>214.89</v>
      </c>
      <c r="E7325" t="s">
        <v>87</v>
      </c>
    </row>
    <row r="7326" spans="1:5" x14ac:dyDescent="0.25">
      <c r="A7326" t="str">
        <f>HYPERLINK("https://www.773grp.com/globalSearch/TMS320C50PGE80/page-1", "TMS320C50PGE80")</f>
        <v>TMS320C50PGE80</v>
      </c>
      <c r="B7326" s="3" t="str">
        <f>HYPERLINK("https://www.773grp.com/manufacturer/texas-instruments?pageNo=655", "Texas Instruments")</f>
        <v>Texas Instruments</v>
      </c>
      <c r="C7326" s="5">
        <v>198</v>
      </c>
      <c r="D7326" s="6">
        <v>250.81</v>
      </c>
      <c r="E7326" t="s">
        <v>87</v>
      </c>
    </row>
    <row r="7327" spans="1:5" x14ac:dyDescent="0.25">
      <c r="A7327" t="str">
        <f>HYPERLINK("https://www.773grp.com/globalSearch/TMX320DM648ZUT9/page-1", "TMX320DM648ZUT9")</f>
        <v>TMX320DM648ZUT9</v>
      </c>
      <c r="B7327" s="3" t="str">
        <f>HYPERLINK("https://www.773grp.com/manufacturer/texas-instruments?pageNo=658", "Texas Instruments")</f>
        <v>Texas Instruments</v>
      </c>
      <c r="C7327" s="5">
        <v>9</v>
      </c>
      <c r="D7327" s="6">
        <v>251.44</v>
      </c>
      <c r="E7327" t="s">
        <v>87</v>
      </c>
    </row>
    <row r="7328" spans="1:5" x14ac:dyDescent="0.25">
      <c r="A7328" t="str">
        <f>HYPERLINK("https://www.773grp.com/globalSearch/TMS320C6415TZLZ7/page-1", "TMS320C6415TZLZ7")</f>
        <v>TMS320C6415TZLZ7</v>
      </c>
      <c r="B7328" s="3" t="str">
        <f>HYPERLINK("https://www.773grp.com/manufacturer/texas-instruments?pageNo=660", "Texas Instruments")</f>
        <v>Texas Instruments</v>
      </c>
      <c r="C7328" s="5">
        <v>2394</v>
      </c>
      <c r="D7328" s="6">
        <v>217.88</v>
      </c>
      <c r="E7328" t="s">
        <v>87</v>
      </c>
    </row>
    <row r="7329" spans="1:5" x14ac:dyDescent="0.25">
      <c r="A7329" t="str">
        <f>HYPERLINK("https://www.773grp.com/globalSearch/TMS320C6416TGLZ6/page-1", "TMS320C6416TGLZ6")</f>
        <v>TMS320C6416TGLZ6</v>
      </c>
      <c r="B7329" s="3" t="str">
        <f>HYPERLINK("https://www.773grp.com/manufacturer/texas-instruments?pageNo=661", "Texas Instruments")</f>
        <v>Texas Instruments</v>
      </c>
      <c r="C7329" s="5">
        <v>474</v>
      </c>
      <c r="D7329" s="6">
        <v>252.41</v>
      </c>
      <c r="E7329" t="s">
        <v>87</v>
      </c>
    </row>
    <row r="7330" spans="1:5" x14ac:dyDescent="0.25">
      <c r="A7330" t="str">
        <f>HYPERLINK("https://www.773grp.com/globalSearch/TMS32C6416EGLZ5E0/page-1", "TMS32C6416EGLZ5E0")</f>
        <v>TMS32C6416EGLZ5E0</v>
      </c>
      <c r="B7330" s="3" t="str">
        <f>HYPERLINK("https://www.773grp.com/manufacturer/texas-instruments?pageNo=662", "Texas Instruments")</f>
        <v>Texas Instruments</v>
      </c>
      <c r="C7330" s="5">
        <v>45</v>
      </c>
      <c r="D7330" s="6">
        <v>218.26</v>
      </c>
      <c r="E7330" t="s">
        <v>87</v>
      </c>
    </row>
    <row r="7331" spans="1:5" x14ac:dyDescent="0.25">
      <c r="A7331" t="str">
        <f>HYPERLINK("https://www.773grp.com/globalSearch/TMS320C6415TBZLZA6/page-1", "TMS320C6415TBZLZA6")</f>
        <v>TMS320C6415TBZLZA6</v>
      </c>
      <c r="B7331" s="3" t="str">
        <f>HYPERLINK("https://www.773grp.com/manufacturer/texas-instruments?pageNo=667", "Texas Instruments")</f>
        <v>Texas Instruments</v>
      </c>
      <c r="C7331" s="5">
        <v>5087</v>
      </c>
      <c r="D7331" s="6">
        <v>253.69</v>
      </c>
      <c r="E7331" t="s">
        <v>87</v>
      </c>
    </row>
    <row r="7332" spans="1:5" x14ac:dyDescent="0.25">
      <c r="A7332" t="str">
        <f>HYPERLINK("https://www.773grp.com/globalSearch/TMS320C6414TBGLZ7/page-1", "TMS320C6414TBGLZ7")</f>
        <v>TMS320C6414TBGLZ7</v>
      </c>
      <c r="B7332" s="3" t="str">
        <f>HYPERLINK("https://www.773grp.com/manufacturer/texas-instruments?pageNo=674", "Texas Instruments")</f>
        <v>Texas Instruments</v>
      </c>
      <c r="C7332" s="5">
        <v>140</v>
      </c>
      <c r="D7332" s="6">
        <v>256</v>
      </c>
      <c r="E7332" t="s">
        <v>87</v>
      </c>
    </row>
    <row r="7333" spans="1:5" x14ac:dyDescent="0.25">
      <c r="A7333" t="str">
        <f>HYPERLINK("https://www.773grp.com/globalSearch/TMS320C6452ZUT9/page-1", "TMS320C6452ZUT9")</f>
        <v>TMS320C6452ZUT9</v>
      </c>
      <c r="B7333" s="3" t="str">
        <f>HYPERLINK("https://www.773grp.com/manufacturer/texas-instruments?pageNo=675", "Texas Instruments")</f>
        <v>Texas Instruments</v>
      </c>
      <c r="C7333" s="5">
        <v>79</v>
      </c>
      <c r="D7333" s="6">
        <v>256.93</v>
      </c>
      <c r="E7333" t="s">
        <v>87</v>
      </c>
    </row>
    <row r="7334" spans="1:5" x14ac:dyDescent="0.25">
      <c r="A7334" t="str">
        <f>HYPERLINK("https://www.773grp.com/globalSearch/TMS32C6415DGLZW5E0/page-1", "TMS32C6415DGLZW5E0")</f>
        <v>TMS32C6415DGLZW5E0</v>
      </c>
      <c r="B7334" s="3" t="str">
        <f>HYPERLINK("https://www.773grp.com/manufacturer/texas-instruments?pageNo=676", "Texas Instruments")</f>
        <v>Texas Instruments</v>
      </c>
      <c r="C7334" s="5">
        <v>2010</v>
      </c>
      <c r="D7334" s="6">
        <v>256.98</v>
      </c>
      <c r="E7334" t="s">
        <v>87</v>
      </c>
    </row>
    <row r="7335" spans="1:5" x14ac:dyDescent="0.25">
      <c r="A7335" t="str">
        <f>HYPERLINK("https://www.773grp.com/globalSearch/TMS32C6415DGLZ6E3/page-1", "TMS32C6415DGLZ6E3")</f>
        <v>TMS32C6415DGLZ6E3</v>
      </c>
      <c r="B7335" s="3" t="str">
        <f>HYPERLINK("https://www.773grp.com/manufacturer/texas-instruments?pageNo=690", "Texas Instruments")</f>
        <v>Texas Instruments</v>
      </c>
      <c r="C7335" s="5">
        <v>20</v>
      </c>
      <c r="D7335" s="6">
        <v>222.26</v>
      </c>
      <c r="E7335" t="s">
        <v>87</v>
      </c>
    </row>
    <row r="7336" spans="1:5" x14ac:dyDescent="0.25">
      <c r="A7336" t="str">
        <f>HYPERLINK("https://www.773grp.com/globalSearch/TMX320C6415TGLZ/page-1", "TMX320C6415TGLZ")</f>
        <v>TMX320C6415TGLZ</v>
      </c>
      <c r="B7336" s="3" t="str">
        <f>HYPERLINK("https://www.773grp.com/manufacturer/texas-instruments?pageNo=691", "Texas Instruments")</f>
        <v>Texas Instruments</v>
      </c>
      <c r="C7336" s="5">
        <v>245</v>
      </c>
      <c r="D7336" s="6">
        <v>222.75</v>
      </c>
      <c r="E7336" t="s">
        <v>87</v>
      </c>
    </row>
    <row r="7337" spans="1:5" x14ac:dyDescent="0.25">
      <c r="A7337" t="str">
        <f>HYPERLINK("https://www.773grp.com/globalSearch/TMS320C6414TBZLZ7/page-1", "TMS320C6414TBZLZ7")</f>
        <v>TMS320C6414TBZLZ7</v>
      </c>
      <c r="B7337" s="3" t="str">
        <f>HYPERLINK("https://www.773grp.com/manufacturer/texas-instruments?pageNo=703", "Texas Instruments")</f>
        <v>Texas Instruments</v>
      </c>
      <c r="C7337" s="5">
        <v>14</v>
      </c>
      <c r="D7337" s="6">
        <v>224.29</v>
      </c>
      <c r="E7337" t="s">
        <v>87</v>
      </c>
    </row>
    <row r="7338" spans="1:5" x14ac:dyDescent="0.25">
      <c r="A7338" t="str">
        <f>HYPERLINK("https://www.773grp.com/globalSearch/TMS320C6416TBGLZ7/page-1", "TMS320C6416TBGLZ7")</f>
        <v>TMS320C6416TBGLZ7</v>
      </c>
      <c r="B7338" s="3" t="str">
        <f>HYPERLINK("https://www.773grp.com/manufacturer/texas-instruments?pageNo=705", "Texas Instruments")</f>
        <v>Texas Instruments</v>
      </c>
      <c r="C7338" s="5">
        <v>734</v>
      </c>
      <c r="D7338" s="6">
        <v>225.08</v>
      </c>
      <c r="E7338" t="s">
        <v>87</v>
      </c>
    </row>
    <row r="7339" spans="1:5" x14ac:dyDescent="0.25">
      <c r="A7339" t="str">
        <f>HYPERLINK("https://www.773grp.com/globalSearch/TMS320C6414TBGLZA7/page-1", "TMS320C6414TBGLZA7")</f>
        <v>TMS320C6414TBGLZA7</v>
      </c>
      <c r="B7339" s="3" t="str">
        <f>HYPERLINK("https://www.773grp.com/manufacturer/texas-instruments?pageNo=706", "Texas Instruments")</f>
        <v>Texas Instruments</v>
      </c>
      <c r="C7339" s="5">
        <v>76</v>
      </c>
      <c r="D7339" s="6">
        <v>225.55</v>
      </c>
      <c r="E7339" t="s">
        <v>87</v>
      </c>
    </row>
    <row r="7340" spans="1:5" x14ac:dyDescent="0.25">
      <c r="A7340" t="str">
        <f>HYPERLINK("https://www.773grp.com/globalSearch/TMS32C6414EGLZ6E3/page-1", "TMS32C6414EGLZ6E3")</f>
        <v>TMS32C6414EGLZ6E3</v>
      </c>
      <c r="B7340" s="3" t="str">
        <f>HYPERLINK("https://www.773grp.com/manufacturer/texas-instruments?pageNo=716", "Texas Instruments")</f>
        <v>Texas Instruments</v>
      </c>
      <c r="C7340" s="5">
        <v>55</v>
      </c>
      <c r="D7340" s="6">
        <v>226.21</v>
      </c>
      <c r="E7340" t="s">
        <v>87</v>
      </c>
    </row>
    <row r="7341" spans="1:5" x14ac:dyDescent="0.25">
      <c r="A7341" t="str">
        <f>HYPERLINK("https://www.773grp.com/globalSearch/TMS32C6414EZLZA5E0/page-1", "TMS32C6414EZLZA5E0")</f>
        <v>TMS32C6414EZLZA5E0</v>
      </c>
      <c r="B7341" s="3" t="str">
        <f>HYPERLINK("https://www.773grp.com/manufacturer/texas-instruments?pageNo=719", "Texas Instruments")</f>
        <v>Texas Instruments</v>
      </c>
      <c r="C7341" s="5">
        <v>161</v>
      </c>
      <c r="D7341" s="6">
        <v>226.21</v>
      </c>
      <c r="E7341" t="s">
        <v>87</v>
      </c>
    </row>
    <row r="7342" spans="1:5" x14ac:dyDescent="0.25">
      <c r="A7342" t="str">
        <f>HYPERLINK("https://www.773grp.com/globalSearch/TMS320C6414TGLZA6/page-1", "TMS320C6414TGLZA6")</f>
        <v>TMS320C6414TGLZA6</v>
      </c>
      <c r="B7342" s="3" t="str">
        <f>HYPERLINK("https://www.773grp.com/manufacturer/texas-instruments?pageNo=720", "Texas Instruments")</f>
        <v>Texas Instruments</v>
      </c>
      <c r="C7342" s="5">
        <v>550</v>
      </c>
      <c r="D7342" s="6">
        <v>261.85000000000002</v>
      </c>
      <c r="E7342" t="s">
        <v>87</v>
      </c>
    </row>
    <row r="7343" spans="1:5" x14ac:dyDescent="0.25">
      <c r="A7343" t="str">
        <f>HYPERLINK("https://www.773grp.com/globalSearch/TMS320C6415TBZLZ7/page-1", "TMS320C6415TBZLZ7")</f>
        <v>TMS320C6415TBZLZ7</v>
      </c>
      <c r="B7343" s="3" t="str">
        <f>HYPERLINK("https://www.773grp.com/manufacturer/texas-instruments?pageNo=739", "Texas Instruments")</f>
        <v>Texas Instruments</v>
      </c>
      <c r="C7343" s="5">
        <v>1</v>
      </c>
      <c r="D7343" s="6">
        <v>264.23</v>
      </c>
      <c r="E7343" t="s">
        <v>87</v>
      </c>
    </row>
    <row r="7344" spans="1:5" x14ac:dyDescent="0.25">
      <c r="A7344" t="str">
        <f>HYPERLINK("https://www.773grp.com/globalSearch/TMS320C6414TZLZ7/page-1", "TMS320C6414TZLZ7")</f>
        <v>TMS320C6414TZLZ7</v>
      </c>
      <c r="B7344" s="3" t="str">
        <f>HYPERLINK("https://www.773grp.com/manufacturer/texas-instruments?pageNo=745", "Texas Instruments")</f>
        <v>Texas Instruments</v>
      </c>
      <c r="C7344" s="5">
        <v>43</v>
      </c>
      <c r="D7344" s="6">
        <v>229.25</v>
      </c>
      <c r="E7344" t="s">
        <v>87</v>
      </c>
    </row>
    <row r="7345" spans="1:5" x14ac:dyDescent="0.25">
      <c r="A7345" t="str">
        <f>HYPERLINK("https://www.773grp.com/globalSearch/TMS320C6416TGLZA6/page-1", "TMS320C6416TGLZA6")</f>
        <v>TMS320C6416TGLZA6</v>
      </c>
      <c r="B7345" s="3" t="str">
        <f>HYPERLINK("https://www.773grp.com/manufacturer/texas-instruments?pageNo=750", "Texas Instruments")</f>
        <v>Texas Instruments</v>
      </c>
      <c r="C7345" s="5">
        <v>62</v>
      </c>
      <c r="D7345" s="6">
        <v>230.06</v>
      </c>
      <c r="E7345" t="s">
        <v>87</v>
      </c>
    </row>
    <row r="7346" spans="1:5" x14ac:dyDescent="0.25">
      <c r="A7346" t="str">
        <f>HYPERLINK("https://www.773grp.com/globalSearch/TMS32C6414DGLZW6E3/page-1", "TMS32C6414DGLZW6E3")</f>
        <v>TMS32C6414DGLZW6E3</v>
      </c>
      <c r="B7346" s="3" t="str">
        <f>HYPERLINK("https://www.773grp.com/manufacturer/texas-instruments?pageNo=752", "Texas Instruments")</f>
        <v>Texas Instruments</v>
      </c>
      <c r="C7346" s="5">
        <v>159</v>
      </c>
      <c r="D7346" s="6">
        <v>230.36</v>
      </c>
      <c r="E7346" t="s">
        <v>87</v>
      </c>
    </row>
    <row r="7347" spans="1:5" x14ac:dyDescent="0.25">
      <c r="A7347" t="str">
        <f>HYPERLINK("https://www.773grp.com/globalSearch/TMS32C6416DGLZ5E0/page-1", "TMS32C6416DGLZ5E0")</f>
        <v>TMS32C6416DGLZ5E0</v>
      </c>
      <c r="B7347" s="3" t="str">
        <f>HYPERLINK("https://www.773grp.com/manufacturer/texas-instruments?pageNo=759", "Texas Instruments")</f>
        <v>Texas Instruments</v>
      </c>
      <c r="C7347" s="5">
        <v>213</v>
      </c>
      <c r="D7347" s="6">
        <v>268.23</v>
      </c>
      <c r="E7347" t="s">
        <v>87</v>
      </c>
    </row>
    <row r="7348" spans="1:5" x14ac:dyDescent="0.25">
      <c r="A7348" t="str">
        <f>HYPERLINK("https://www.773grp.com/globalSearch/TMS32C6203BGNZA250/page-1", "TMS32C6203BGNZA250")</f>
        <v>TMS32C6203BGNZA250</v>
      </c>
      <c r="B7348" s="3" t="str">
        <f>HYPERLINK("https://www.773grp.com/manufacturer/texas-instruments?pageNo=764", "Texas Instruments")</f>
        <v>Texas Instruments</v>
      </c>
      <c r="C7348" s="5">
        <v>100</v>
      </c>
      <c r="D7348" s="6">
        <v>268.45</v>
      </c>
      <c r="E7348" t="s">
        <v>87</v>
      </c>
    </row>
    <row r="7349" spans="1:5" x14ac:dyDescent="0.25">
      <c r="A7349" t="str">
        <f>HYPERLINK("https://www.773grp.com/globalSearch/TMS320C6415TBGLZ7/page-1", "TMS320C6415TBGLZ7")</f>
        <v>TMS320C6415TBGLZ7</v>
      </c>
      <c r="B7349" s="3" t="str">
        <f>HYPERLINK("https://www.773grp.com/manufacturer/texas-instruments?pageNo=767", "Texas Instruments")</f>
        <v>Texas Instruments</v>
      </c>
      <c r="C7349" s="5">
        <v>801</v>
      </c>
      <c r="D7349" s="6">
        <v>269.41000000000003</v>
      </c>
      <c r="E7349" t="s">
        <v>87</v>
      </c>
    </row>
    <row r="7350" spans="1:5" x14ac:dyDescent="0.25">
      <c r="A7350" t="str">
        <f>HYPERLINK("https://www.773grp.com/globalSearch/TMS320C6414TGLZ7/page-1", "TMS320C6414TGLZ7")</f>
        <v>TMS320C6414TGLZ7</v>
      </c>
      <c r="B7350" s="3" t="str">
        <f>HYPERLINK("https://www.773grp.com/manufacturer/texas-instruments?pageNo=782", "Texas Instruments")</f>
        <v>Texas Instruments</v>
      </c>
      <c r="C7350" s="5">
        <v>14411</v>
      </c>
      <c r="D7350" s="6">
        <v>272.66000000000003</v>
      </c>
      <c r="E7350" t="s">
        <v>87</v>
      </c>
    </row>
    <row r="7351" spans="1:5" x14ac:dyDescent="0.25">
      <c r="A7351" t="str">
        <f>HYPERLINK("https://www.773grp.com/globalSearch/TMS32C6415EGLZA5E0/page-1", "TMS32C6415EGLZA5E0")</f>
        <v>TMS32C6415EGLZA5E0</v>
      </c>
      <c r="B7351" s="3" t="str">
        <f>HYPERLINK("https://www.773grp.com/manufacturer/texas-instruments?pageNo=797", "Texas Instruments")</f>
        <v>Texas Instruments</v>
      </c>
      <c r="C7351" s="5">
        <v>20</v>
      </c>
      <c r="D7351" s="6">
        <v>238.13</v>
      </c>
      <c r="E7351" t="s">
        <v>87</v>
      </c>
    </row>
    <row r="7352" spans="1:5" x14ac:dyDescent="0.25">
      <c r="A7352" t="str">
        <f>HYPERLINK("https://www.773grp.com/globalSearch/TMS32C6415EZLZ6E3/page-1", "TMS32C6415EZLZ6E3")</f>
        <v>TMS32C6415EZLZ6E3</v>
      </c>
      <c r="B7352" s="3" t="str">
        <f>HYPERLINK("https://www.773grp.com/manufacturer/texas-instruments?pageNo=798", "Texas Instruments")</f>
        <v>Texas Instruments</v>
      </c>
      <c r="C7352" s="5">
        <v>20</v>
      </c>
      <c r="D7352" s="6">
        <v>238.13</v>
      </c>
      <c r="E7352" t="s">
        <v>87</v>
      </c>
    </row>
    <row r="7353" spans="1:5" x14ac:dyDescent="0.25">
      <c r="A7353" t="str">
        <f>HYPERLINK("https://www.773grp.com/globalSearch/TMS320C6202GLS200/page-1", "TMS320C6202GLS200")</f>
        <v>TMS320C6202GLS200</v>
      </c>
      <c r="B7353" s="3" t="str">
        <f>HYPERLINK("https://www.773grp.com/manufacturer/texas-instruments?pageNo=799", "Texas Instruments")</f>
        <v>Texas Instruments</v>
      </c>
      <c r="C7353" s="5">
        <v>940</v>
      </c>
      <c r="D7353" s="6">
        <v>238.71</v>
      </c>
      <c r="E7353" t="s">
        <v>87</v>
      </c>
    </row>
    <row r="7354" spans="1:5" x14ac:dyDescent="0.25">
      <c r="A7354" t="str">
        <f>HYPERLINK("https://www.773grp.com/globalSearch/TMS320C6201GJL200/page-1", "TMS320C6201GJL200")</f>
        <v>TMS320C6201GJL200</v>
      </c>
      <c r="B7354" s="3" t="str">
        <f>HYPERLINK("https://www.773grp.com/manufacturer/texas-instruments?pageNo=800", "Texas Instruments")</f>
        <v>Texas Instruments</v>
      </c>
      <c r="C7354" s="5">
        <v>1378</v>
      </c>
      <c r="D7354" s="6">
        <v>276.45</v>
      </c>
      <c r="E7354" t="s">
        <v>87</v>
      </c>
    </row>
    <row r="7355" spans="1:5" x14ac:dyDescent="0.25">
      <c r="A7355" t="str">
        <f>HYPERLINK("https://www.773grp.com/globalSearch/TMS320C50PGEA57/page-1", "TMS320C50PGEA57")</f>
        <v>TMS320C50PGEA57</v>
      </c>
      <c r="B7355" s="3" t="str">
        <f>HYPERLINK("https://www.773grp.com/manufacturer/texas-instruments?pageNo=804", "Texas Instruments")</f>
        <v>Texas Instruments</v>
      </c>
      <c r="C7355" s="5">
        <v>415</v>
      </c>
      <c r="D7355" s="6">
        <v>239.68</v>
      </c>
      <c r="E7355" t="s">
        <v>87</v>
      </c>
    </row>
    <row r="7356" spans="1:5" x14ac:dyDescent="0.25">
      <c r="A7356" t="str">
        <f>HYPERLINK("https://www.773grp.com/globalSearch/TMS320C6416TGLZ7/page-1", "TMS320C6416TGLZ7")</f>
        <v>TMS320C6416TGLZ7</v>
      </c>
      <c r="B7356" s="3" t="str">
        <f>HYPERLINK("https://www.773grp.com/manufacturer/texas-instruments?pageNo=805", "Texas Instruments")</f>
        <v>Texas Instruments</v>
      </c>
      <c r="C7356" s="5">
        <v>1103</v>
      </c>
      <c r="D7356" s="6">
        <v>239.68</v>
      </c>
      <c r="E7356" t="s">
        <v>87</v>
      </c>
    </row>
    <row r="7357" spans="1:5" x14ac:dyDescent="0.25">
      <c r="A7357" t="str">
        <f>HYPERLINK("https://www.773grp.com/globalSearch/TMS320C6416TZLZ7/page-1", "TMS320C6416TZLZ7")</f>
        <v>TMS320C6416TZLZ7</v>
      </c>
      <c r="B7357" s="3" t="str">
        <f>HYPERLINK("https://www.773grp.com/manufacturer/texas-instruments?pageNo=806", "Texas Instruments")</f>
        <v>Texas Instruments</v>
      </c>
      <c r="C7357" s="5">
        <v>443</v>
      </c>
      <c r="D7357" s="6">
        <v>239.68</v>
      </c>
      <c r="E7357" t="s">
        <v>87</v>
      </c>
    </row>
    <row r="7358" spans="1:5" x14ac:dyDescent="0.25">
      <c r="A7358" t="str">
        <f>HYPERLINK("https://www.773grp.com/globalSearch/TMS320C6457CCMHA/page-1", "TMS320C6457CCMHA")</f>
        <v>TMS320C6457CCMHA</v>
      </c>
      <c r="B7358" s="3" t="str">
        <f>HYPERLINK("https://www.773grp.com/manufacturer/texas-instruments?pageNo=807", "Texas Instruments")</f>
        <v>Texas Instruments</v>
      </c>
      <c r="C7358" s="5">
        <v>2</v>
      </c>
      <c r="D7358" s="6">
        <v>277.73</v>
      </c>
      <c r="E7358" t="s">
        <v>87</v>
      </c>
    </row>
    <row r="7359" spans="1:5" x14ac:dyDescent="0.25">
      <c r="A7359" t="str">
        <f>HYPERLINK("https://www.773grp.com/globalSearch/TMX32C6414EGLZ6E3/page-1", "TMX32C6414EGLZ6E3")</f>
        <v>TMX32C6414EGLZ6E3</v>
      </c>
      <c r="B7359" s="3" t="str">
        <f>HYPERLINK("https://www.773grp.com/manufacturer/texas-instruments?pageNo=809", "Texas Instruments")</f>
        <v>Texas Instruments</v>
      </c>
      <c r="C7359" s="5">
        <v>50</v>
      </c>
      <c r="D7359" s="6">
        <v>277.99</v>
      </c>
      <c r="E7359" t="s">
        <v>87</v>
      </c>
    </row>
    <row r="7360" spans="1:5" x14ac:dyDescent="0.25">
      <c r="A7360" t="str">
        <f>HYPERLINK("https://www.773grp.com/globalSearch/TMS32C6414DGLZA5E0/page-1", "TMS32C6414DGLZA5E0")</f>
        <v>TMS32C6414DGLZA5E0</v>
      </c>
      <c r="B7360" s="3" t="str">
        <f>HYPERLINK("https://www.773grp.com/manufacturer/texas-instruments?pageNo=941", "Texas Instruments")</f>
        <v>Texas Instruments</v>
      </c>
      <c r="C7360" s="5">
        <v>2</v>
      </c>
      <c r="D7360" s="6">
        <v>278.44</v>
      </c>
      <c r="E7360" t="s">
        <v>87</v>
      </c>
    </row>
    <row r="7361" spans="1:5" x14ac:dyDescent="0.25">
      <c r="A7361" t="str">
        <f>HYPERLINK("https://www.773grp.com/globalSearch/TMS320C6415TGLZ8/page-1", "TMS320C6415TGLZ8")</f>
        <v>TMS320C6415TGLZ8</v>
      </c>
      <c r="B7361" s="3" t="str">
        <f>HYPERLINK("https://www.773grp.com/manufacturer/texas-instruments?pageNo=982", "Texas Instruments")</f>
        <v>Texas Instruments</v>
      </c>
      <c r="C7361" s="5">
        <v>566</v>
      </c>
      <c r="D7361" s="6">
        <v>241.31</v>
      </c>
      <c r="E7361" t="s">
        <v>87</v>
      </c>
    </row>
    <row r="7362" spans="1:5" x14ac:dyDescent="0.25">
      <c r="A7362" t="str">
        <f>HYPERLINK("https://www.773grp.com/globalSearch/TMS320VC5441GGU/page-1", "TMS320VC5441GGU")</f>
        <v>TMS320VC5441GGU</v>
      </c>
      <c r="B7362" s="3" t="s">
        <v>90</v>
      </c>
      <c r="C7362" s="5">
        <v>4288</v>
      </c>
      <c r="D7362" s="6">
        <v>243.81</v>
      </c>
      <c r="E7362" t="s">
        <v>87</v>
      </c>
    </row>
    <row r="7363" spans="1:5" x14ac:dyDescent="0.25">
      <c r="A7363" t="str">
        <f>HYPERLINK("https://www.773grp.com/globalSearch/TMS320VC5441GGUR/page-1", "TMS320VC5441GGUR")</f>
        <v>TMS320VC5441GGUR</v>
      </c>
      <c r="B7363" s="3" t="s">
        <v>90</v>
      </c>
      <c r="C7363" s="5">
        <v>12085</v>
      </c>
      <c r="D7363" s="6">
        <v>243.81</v>
      </c>
      <c r="E7363" t="s">
        <v>87</v>
      </c>
    </row>
    <row r="7364" spans="1:5" x14ac:dyDescent="0.25">
      <c r="A7364" t="str">
        <f>HYPERLINK("https://www.773grp.com/globalSearch/TMS320VC5441PGF/page-1", "TMS320VC5441PGF")</f>
        <v>TMS320VC5441PGF</v>
      </c>
      <c r="B7364" s="3" t="s">
        <v>90</v>
      </c>
      <c r="C7364" s="5">
        <v>5823</v>
      </c>
      <c r="D7364" s="6">
        <v>243.81</v>
      </c>
      <c r="E7364" t="s">
        <v>87</v>
      </c>
    </row>
    <row r="7365" spans="1:5" x14ac:dyDescent="0.25">
      <c r="A7365" t="str">
        <f>HYPERLINK("https://www.773grp.com/globalSearch/TMS320VC5441ZGU/page-1", "TMS320VC5441ZGU")</f>
        <v>TMS320VC5441ZGU</v>
      </c>
      <c r="B7365" s="3" t="s">
        <v>90</v>
      </c>
      <c r="C7365" s="5">
        <v>203</v>
      </c>
      <c r="D7365" s="6">
        <v>243.81</v>
      </c>
      <c r="E7365" t="s">
        <v>87</v>
      </c>
    </row>
    <row r="7366" spans="1:5" x14ac:dyDescent="0.25">
      <c r="A7366" t="str">
        <f>HYPERLINK("https://www.773grp.com/globalSearch/TMS32C6416DGLZA5E0/page-1", "TMS32C6416DGLZA5E0")</f>
        <v>TMS32C6416DGLZA5E0</v>
      </c>
      <c r="B7366" s="3" t="s">
        <v>90</v>
      </c>
      <c r="C7366" s="5">
        <v>14</v>
      </c>
      <c r="D7366" s="6">
        <v>244.45</v>
      </c>
      <c r="E7366" t="s">
        <v>87</v>
      </c>
    </row>
    <row r="7367" spans="1:5" x14ac:dyDescent="0.25">
      <c r="A7367" t="str">
        <f>HYPERLINK("https://www.773grp.com/globalSearch/TMS32C6416DGLZ6E3/page-1", "TMS32C6416DGLZ6E3")</f>
        <v>TMS32C6416DGLZ6E3</v>
      </c>
      <c r="B7367" s="3" t="s">
        <v>90</v>
      </c>
      <c r="C7367" s="5">
        <v>395</v>
      </c>
      <c r="D7367" s="6">
        <v>244.46</v>
      </c>
      <c r="E7367" t="s">
        <v>87</v>
      </c>
    </row>
    <row r="7368" spans="1:5" x14ac:dyDescent="0.25">
      <c r="A7368" t="str">
        <f>HYPERLINK("https://www.773grp.com/globalSearch/TMS320C6201GJCA200/page-1", "TMS320C6201GJCA200")</f>
        <v>TMS320C6201GJCA200</v>
      </c>
      <c r="B7368" s="3" t="s">
        <v>90</v>
      </c>
      <c r="C7368" s="5">
        <v>193</v>
      </c>
      <c r="D7368" s="6">
        <v>251.95</v>
      </c>
      <c r="E7368" t="s">
        <v>87</v>
      </c>
    </row>
    <row r="7369" spans="1:5" x14ac:dyDescent="0.25">
      <c r="A7369" t="str">
        <f>HYPERLINK("https://www.773grp.com/globalSearch/TMS320C6201GJLA200/page-1", "TMS320C6201GJLA200")</f>
        <v>TMS320C6201GJLA200</v>
      </c>
      <c r="B7369" s="3" t="s">
        <v>90</v>
      </c>
      <c r="C7369" s="5">
        <v>189</v>
      </c>
      <c r="D7369" s="6">
        <v>251.95</v>
      </c>
      <c r="E7369" t="s">
        <v>87</v>
      </c>
    </row>
    <row r="7370" spans="1:5" x14ac:dyDescent="0.25">
      <c r="A7370" t="str">
        <f>HYPERLINK("https://www.773grp.com/globalSearch/TMX320C6202GLS/page-1", "TMX320C6202GLS")</f>
        <v>TMX320C6202GLS</v>
      </c>
      <c r="B7370" s="3" t="s">
        <v>90</v>
      </c>
      <c r="C7370" s="5">
        <v>220</v>
      </c>
      <c r="D7370" s="6">
        <v>261.06</v>
      </c>
      <c r="E7370" t="s">
        <v>87</v>
      </c>
    </row>
    <row r="7371" spans="1:5" x14ac:dyDescent="0.25">
      <c r="A7371" t="str">
        <f>HYPERLINK("https://www.773grp.com/globalSearch/TMS32C6416EGLZ6E3/page-1", "TMS32C6416EGLZ6E3")</f>
        <v>TMS32C6416EGLZ6E3</v>
      </c>
      <c r="B7371" s="3" t="s">
        <v>90</v>
      </c>
      <c r="C7371" s="5">
        <v>251</v>
      </c>
      <c r="D7371" s="6">
        <v>261.94</v>
      </c>
      <c r="E7371" t="s">
        <v>87</v>
      </c>
    </row>
    <row r="7372" spans="1:5" x14ac:dyDescent="0.25">
      <c r="A7372" t="str">
        <f>HYPERLINK("https://www.773grp.com/globalSearch/TMS32C6416EGLZA5E0/page-1", "TMS32C6416EGLZA5E0")</f>
        <v>TMS32C6416EGLZA5E0</v>
      </c>
      <c r="B7372" s="3" t="s">
        <v>90</v>
      </c>
      <c r="C7372" s="5">
        <v>88</v>
      </c>
      <c r="D7372" s="6">
        <v>261.94</v>
      </c>
      <c r="E7372" t="s">
        <v>87</v>
      </c>
    </row>
    <row r="7373" spans="1:5" x14ac:dyDescent="0.25">
      <c r="A7373" t="str">
        <f>HYPERLINK("https://www.773grp.com/globalSearch/TMS32C6416EZLZ6E3/page-1", "TMS32C6416EZLZ6E3")</f>
        <v>TMS32C6416EZLZ6E3</v>
      </c>
      <c r="B7373" s="3" t="s">
        <v>90</v>
      </c>
      <c r="C7373" s="5">
        <v>507</v>
      </c>
      <c r="D7373" s="6">
        <v>261.94</v>
      </c>
      <c r="E7373" t="s">
        <v>87</v>
      </c>
    </row>
    <row r="7374" spans="1:5" x14ac:dyDescent="0.25">
      <c r="A7374" t="str">
        <f>HYPERLINK("https://www.773grp.com/globalSearch/TMS32C6415DGLZA6E3/page-1", "TMS32C6415DGLZA6E3")</f>
        <v>TMS32C6415DGLZA6E3</v>
      </c>
      <c r="B7374" s="3" t="s">
        <v>90</v>
      </c>
      <c r="C7374" s="5">
        <v>92</v>
      </c>
      <c r="D7374" s="6">
        <v>266.70999999999998</v>
      </c>
      <c r="E7374" t="s">
        <v>87</v>
      </c>
    </row>
    <row r="7375" spans="1:5" x14ac:dyDescent="0.25">
      <c r="A7375" t="str">
        <f>HYPERLINK("https://www.773grp.com/globalSearch/TMS32C6414DGLZ7E3/page-1", "TMS32C6414DGLZ7E3")</f>
        <v>TMS32C6414DGLZ7E3</v>
      </c>
      <c r="B7375" s="3" t="s">
        <v>90</v>
      </c>
      <c r="C7375" s="5">
        <v>29</v>
      </c>
      <c r="D7375" s="6">
        <v>274.48</v>
      </c>
      <c r="E7375" t="s">
        <v>87</v>
      </c>
    </row>
    <row r="7376" spans="1:5" x14ac:dyDescent="0.25">
      <c r="A7376" t="str">
        <f>HYPERLINK("https://www.773grp.com/globalSearch/TMX320C6201BGJC31/page-1", "TMX320C6201BGJC31")</f>
        <v>TMX320C6201BGJC31</v>
      </c>
      <c r="B7376" s="3" t="s">
        <v>90</v>
      </c>
      <c r="C7376" s="5">
        <v>31</v>
      </c>
      <c r="D7376" s="6">
        <v>274.61</v>
      </c>
      <c r="E7376" t="s">
        <v>87</v>
      </c>
    </row>
    <row r="7377" spans="1:5" x14ac:dyDescent="0.25">
      <c r="A7377" t="str">
        <f>HYPERLINK("https://www.773grp.com/globalSearch/TMS320C31PQL50/page-1", "TMS320C31PQL50")</f>
        <v>TMS320C31PQL50</v>
      </c>
      <c r="B7377" s="3" t="s">
        <v>90</v>
      </c>
      <c r="C7377" s="5">
        <v>115</v>
      </c>
      <c r="D7377" s="6">
        <v>275.13</v>
      </c>
      <c r="E7377" t="s">
        <v>87</v>
      </c>
    </row>
    <row r="7378" spans="1:5" x14ac:dyDescent="0.25">
      <c r="A7378" t="str">
        <f>HYPERLINK("https://www.773grp.com/globalSearch/TMS320C6202GJL250X/page-1", "TMS320C6202GJL250X")</f>
        <v>TMS320C6202GJL250X</v>
      </c>
      <c r="B7378" s="3" t="s">
        <v>90</v>
      </c>
      <c r="C7378" s="5">
        <v>2480</v>
      </c>
      <c r="D7378" s="6">
        <v>279.3</v>
      </c>
      <c r="E7378" t="s">
        <v>87</v>
      </c>
    </row>
    <row r="7379" spans="1:5" x14ac:dyDescent="0.25">
      <c r="A7379" t="str">
        <f>HYPERLINK("https://www.773grp.com/globalSearch/TMS320C6202GLS250/page-1", "TMS320C6202GLS250")</f>
        <v>TMS320C6202GLS250</v>
      </c>
      <c r="B7379" s="3" t="s">
        <v>90</v>
      </c>
      <c r="C7379" s="5">
        <v>406</v>
      </c>
      <c r="D7379" s="6">
        <v>279.3</v>
      </c>
      <c r="E7379" t="s">
        <v>87</v>
      </c>
    </row>
    <row r="7380" spans="1:5" x14ac:dyDescent="0.25">
      <c r="A7380" t="str">
        <f>HYPERLINK("https://www.773grp.com/globalSearch/TMS320C6201GGP167/page-1", "TMS320C6201GGP167")</f>
        <v>TMS320C6201GGP167</v>
      </c>
      <c r="B7380" s="3" t="s">
        <v>90</v>
      </c>
      <c r="C7380" s="5">
        <v>312</v>
      </c>
      <c r="D7380" s="6">
        <v>279.33999999999997</v>
      </c>
      <c r="E7380" t="s">
        <v>87</v>
      </c>
    </row>
    <row r="7381" spans="1:5" x14ac:dyDescent="0.25">
      <c r="A7381" t="str">
        <f>HYPERLINK("https://www.773grp.com/globalSearch/TMS32C6415EGLZA6E3/page-1", "TMS32C6415EGLZA6E3")</f>
        <v>TMS32C6415EGLZA6E3</v>
      </c>
      <c r="B7381" s="3" t="s">
        <v>90</v>
      </c>
      <c r="C7381" s="5">
        <v>170</v>
      </c>
      <c r="D7381" s="6">
        <v>285.76</v>
      </c>
      <c r="E7381" t="s">
        <v>87</v>
      </c>
    </row>
    <row r="7382" spans="1:5" x14ac:dyDescent="0.25">
      <c r="A7382" t="str">
        <f>HYPERLINK("https://www.773grp.com/globalSearch/TMS320C6414TBGLZ8/page-1", "TMS320C6414TBGLZ8")</f>
        <v>TMS320C6414TBGLZ8</v>
      </c>
      <c r="B7382" s="3" t="s">
        <v>90</v>
      </c>
      <c r="C7382" s="5">
        <v>1152</v>
      </c>
      <c r="D7382" s="6">
        <v>286.20999999999998</v>
      </c>
      <c r="E7382" t="s">
        <v>87</v>
      </c>
    </row>
    <row r="7383" spans="1:5" x14ac:dyDescent="0.25">
      <c r="A7383" t="str">
        <f>HYPERLINK("https://www.773grp.com/globalSearch/TMS320C6202GJLA200/page-1", "TMS320C6202GJLA200")</f>
        <v>TMS320C6202GJLA200</v>
      </c>
      <c r="B7383" s="3" t="s">
        <v>90</v>
      </c>
      <c r="C7383" s="5">
        <v>321</v>
      </c>
      <c r="D7383" s="6">
        <v>286.45</v>
      </c>
      <c r="E7383" t="s">
        <v>87</v>
      </c>
    </row>
    <row r="7384" spans="1:5" x14ac:dyDescent="0.25">
      <c r="A7384" t="str">
        <f>HYPERLINK("https://www.773grp.com/globalSearch/TMS32C6415DGLZ7E3/page-1", "TMS32C6415DGLZ7E3")</f>
        <v>TMS32C6415DGLZ7E3</v>
      </c>
      <c r="B7384" s="3" t="s">
        <v>90</v>
      </c>
      <c r="C7384" s="5">
        <v>622</v>
      </c>
      <c r="D7384" s="6">
        <v>288.94</v>
      </c>
      <c r="E7384" t="s">
        <v>87</v>
      </c>
    </row>
    <row r="7385" spans="1:5" x14ac:dyDescent="0.25">
      <c r="A7385" t="str">
        <f>HYPERLINK("https://www.773grp.com/globalSearch/TMS32C6414EGLZ7E3/page-1", "TMS32C6414EGLZ7E3")</f>
        <v>TMS32C6414EGLZ7E3</v>
      </c>
      <c r="B7385" s="3" t="s">
        <v>90</v>
      </c>
      <c r="C7385" s="5">
        <v>503</v>
      </c>
      <c r="D7385" s="6">
        <v>294.08</v>
      </c>
      <c r="E7385" t="s">
        <v>87</v>
      </c>
    </row>
    <row r="7386" spans="1:5" x14ac:dyDescent="0.25">
      <c r="A7386" t="str">
        <f>HYPERLINK("https://www.773grp.com/globalSearch/TMS32C6415EGLZ7E3/page-1", "TMS32C6415EGLZ7E3")</f>
        <v>TMS32C6415EGLZ7E3</v>
      </c>
      <c r="B7386" s="3" t="s">
        <v>90</v>
      </c>
      <c r="C7386" s="5">
        <v>169</v>
      </c>
      <c r="D7386" s="6">
        <v>309.58999999999997</v>
      </c>
      <c r="E7386" t="s">
        <v>87</v>
      </c>
    </row>
    <row r="7387" spans="1:5" x14ac:dyDescent="0.25">
      <c r="A7387" t="str">
        <f>HYPERLINK("https://www.773grp.com/globalSearch/TMS32C6415EZLZ7E3/page-1", "TMS32C6415EZLZ7E3")</f>
        <v>TMS32C6415EZLZ7E3</v>
      </c>
      <c r="B7387" s="3" t="s">
        <v>90</v>
      </c>
      <c r="C7387" s="5">
        <v>318</v>
      </c>
      <c r="D7387" s="6">
        <v>309.58999999999997</v>
      </c>
      <c r="E7387" t="s">
        <v>87</v>
      </c>
    </row>
    <row r="7388" spans="1:5" x14ac:dyDescent="0.25">
      <c r="A7388" t="str">
        <f>HYPERLINK("https://www.773grp.com/globalSearch/TMS320C6455BZTZ7/page-1", "TMS320C6455BZTZ7")</f>
        <v>TMS320C6455BZTZ7</v>
      </c>
      <c r="B7388" s="3" t="s">
        <v>90</v>
      </c>
      <c r="C7388" s="5">
        <v>951</v>
      </c>
      <c r="D7388" s="6">
        <v>317.10000000000002</v>
      </c>
      <c r="E7388" t="s">
        <v>87</v>
      </c>
    </row>
    <row r="7389" spans="1:5" x14ac:dyDescent="0.25">
      <c r="A7389" t="str">
        <f>HYPERLINK("https://www.773grp.com/globalSearch/TMS32C6416DGLZ7E3/page-1", "TMS32C6416DGLZ7E3")</f>
        <v>TMS32C6416DGLZ7E3</v>
      </c>
      <c r="B7389" s="3" t="s">
        <v>90</v>
      </c>
      <c r="C7389" s="5">
        <v>215</v>
      </c>
      <c r="D7389" s="6">
        <v>317.81</v>
      </c>
      <c r="E7389" t="s">
        <v>87</v>
      </c>
    </row>
    <row r="7390" spans="1:5" x14ac:dyDescent="0.25">
      <c r="A7390" t="str">
        <f>HYPERLINK("https://www.773grp.com/globalSearch/TMS320C6455BGTZ8/page-1", "TMS320C6455BGTZ8")</f>
        <v>TMS320C6455BGTZ8</v>
      </c>
      <c r="B7390" s="3" t="s">
        <v>90</v>
      </c>
      <c r="C7390" s="5">
        <v>444</v>
      </c>
      <c r="D7390" s="6">
        <v>318.06</v>
      </c>
      <c r="E7390" t="s">
        <v>87</v>
      </c>
    </row>
    <row r="7391" spans="1:5" x14ac:dyDescent="0.25">
      <c r="A7391" t="str">
        <f>HYPERLINK("https://www.773grp.com/globalSearch/TMS320C50PQ57/page-1", "TMS320C50PQ57")</f>
        <v>TMS320C50PQ57</v>
      </c>
      <c r="B7391" s="3" t="s">
        <v>90</v>
      </c>
      <c r="C7391" s="5">
        <v>8</v>
      </c>
      <c r="D7391" s="6">
        <v>319.56</v>
      </c>
      <c r="E7391" t="s">
        <v>87</v>
      </c>
    </row>
    <row r="7392" spans="1:5" x14ac:dyDescent="0.25">
      <c r="A7392" t="str">
        <f>HYPERLINK("https://www.773grp.com/globalSearch/TMSC6701GJC16719V/page-1", "TMSC6701GJC16719V")</f>
        <v>TMSC6701GJC16719V</v>
      </c>
      <c r="B7392" s="3" t="s">
        <v>90</v>
      </c>
      <c r="C7392" s="5">
        <v>23</v>
      </c>
      <c r="D7392" s="6">
        <v>319.63</v>
      </c>
      <c r="E7392" t="s">
        <v>87</v>
      </c>
    </row>
    <row r="7393" spans="1:5" x14ac:dyDescent="0.25">
      <c r="A7393" t="str">
        <f>HYPERLINK("https://www.773grp.com/globalSearch/TMS320C44GFW50/page-1", "TMS320C44GFW50")</f>
        <v>TMS320C44GFW50</v>
      </c>
      <c r="B7393" s="3" t="s">
        <v>90</v>
      </c>
      <c r="C7393" s="5">
        <v>414</v>
      </c>
      <c r="D7393" s="6">
        <v>325.26</v>
      </c>
      <c r="E7393" t="s">
        <v>87</v>
      </c>
    </row>
    <row r="7394" spans="1:5" x14ac:dyDescent="0.25">
      <c r="A7394" t="str">
        <f>HYPERLINK("https://www.773grp.com/globalSearch/TMS320C6414TGLZ8/page-1", "TMS320C6414TGLZ8")</f>
        <v>TMS320C6414TGLZ8</v>
      </c>
      <c r="B7394" s="3" t="s">
        <v>90</v>
      </c>
      <c r="C7394" s="5">
        <v>148</v>
      </c>
      <c r="D7394" s="6">
        <v>329.7</v>
      </c>
      <c r="E7394" t="s">
        <v>87</v>
      </c>
    </row>
    <row r="7395" spans="1:5" x14ac:dyDescent="0.25">
      <c r="A7395" t="str">
        <f>HYPERLINK("https://www.773grp.com/globalSearch/TMS320C6414TZLZ8/page-1", "TMS320C6414TZLZ8")</f>
        <v>TMS320C6414TZLZ8</v>
      </c>
      <c r="B7395" s="3" t="s">
        <v>90</v>
      </c>
      <c r="C7395" s="5">
        <v>1318</v>
      </c>
      <c r="D7395" s="6">
        <v>329.7</v>
      </c>
      <c r="E7395" t="s">
        <v>87</v>
      </c>
    </row>
    <row r="7396" spans="1:5" x14ac:dyDescent="0.25">
      <c r="A7396" t="str">
        <f>HYPERLINK("https://www.773grp.com/globalSearch/TMS320C6202GJLA233/page-1", "TMS320C6202GJLA233")</f>
        <v>TMS320C6202GJLA233</v>
      </c>
      <c r="B7396" s="3" t="s">
        <v>90</v>
      </c>
      <c r="C7396" s="5">
        <v>160</v>
      </c>
      <c r="D7396" s="6">
        <v>331.8</v>
      </c>
      <c r="E7396" t="s">
        <v>87</v>
      </c>
    </row>
    <row r="7397" spans="1:5" x14ac:dyDescent="0.25">
      <c r="A7397" t="str">
        <f>HYPERLINK("https://www.773grp.com/globalSearch/TMS320C6415TBGLZA8/page-1", "TMS320C6415TBGLZA8")</f>
        <v>TMS320C6415TBGLZA8</v>
      </c>
      <c r="B7397" s="3" t="s">
        <v>90</v>
      </c>
      <c r="C7397" s="5">
        <v>618</v>
      </c>
      <c r="D7397" s="6">
        <v>333.94</v>
      </c>
      <c r="E7397" t="s">
        <v>87</v>
      </c>
    </row>
    <row r="7398" spans="1:5" x14ac:dyDescent="0.25">
      <c r="A7398" t="str">
        <f>HYPERLINK("https://www.773grp.com/globalSearch/TMS320C6415TBGLZA8/page-1", "TMS320C6415TBGLZA8")</f>
        <v>TMS320C6415TBGLZA8</v>
      </c>
      <c r="B7398" s="3" t="s">
        <v>90</v>
      </c>
      <c r="C7398" s="5">
        <v>6</v>
      </c>
      <c r="D7398" s="6">
        <v>333.94</v>
      </c>
      <c r="E7398" t="s">
        <v>87</v>
      </c>
    </row>
    <row r="7399" spans="1:5" x14ac:dyDescent="0.25">
      <c r="A7399" t="str">
        <f>HYPERLINK("https://www.773grp.com/globalSearch/TMS320C6454BZTZ/page-1", "TMS320C6454BZTZ")</f>
        <v>TMS320C6454BZTZ</v>
      </c>
      <c r="B7399" s="3" t="s">
        <v>90</v>
      </c>
      <c r="C7399" s="5">
        <v>2</v>
      </c>
      <c r="D7399" s="6">
        <v>337.08</v>
      </c>
      <c r="E7399" t="s">
        <v>87</v>
      </c>
    </row>
    <row r="7400" spans="1:5" x14ac:dyDescent="0.25">
      <c r="A7400" t="str">
        <f>HYPERLINK("https://www.773grp.com/globalSearch/TMS32C6416EGLZ7E3/page-1", "TMS32C6416EGLZ7E3")</f>
        <v>TMS32C6416EGLZ7E3</v>
      </c>
      <c r="B7400" s="3" t="s">
        <v>90</v>
      </c>
      <c r="C7400" s="5">
        <v>399</v>
      </c>
      <c r="D7400" s="6">
        <v>340.5</v>
      </c>
      <c r="E7400" t="s">
        <v>87</v>
      </c>
    </row>
    <row r="7401" spans="1:5" x14ac:dyDescent="0.25">
      <c r="A7401" t="str">
        <f>HYPERLINK("https://www.773grp.com/globalSearch/TMS32C6416EZLZ7E3/page-1", "TMS32C6416EZLZ7E3")</f>
        <v>TMS32C6416EZLZ7E3</v>
      </c>
      <c r="B7401" s="3" t="s">
        <v>90</v>
      </c>
      <c r="C7401" s="5">
        <v>183</v>
      </c>
      <c r="D7401" s="6">
        <v>340.5</v>
      </c>
      <c r="E7401" t="s">
        <v>87</v>
      </c>
    </row>
    <row r="7402" spans="1:5" x14ac:dyDescent="0.25">
      <c r="A7402" t="str">
        <f>HYPERLINK("https://www.773grp.com/globalSearch/TMS320C6454BGTZA/page-1", "TMS320C6454BGTZA")</f>
        <v>TMS320C6454BGTZA</v>
      </c>
      <c r="B7402" s="3" t="s">
        <v>90</v>
      </c>
      <c r="C7402" s="5">
        <v>442</v>
      </c>
      <c r="D7402" s="6">
        <v>342.41</v>
      </c>
      <c r="E7402" t="s">
        <v>87</v>
      </c>
    </row>
    <row r="7403" spans="1:5" x14ac:dyDescent="0.25">
      <c r="A7403" t="str">
        <f>HYPERLINK("https://www.773grp.com/globalSearch/SMJ320C15-25FDM/page-1", "SMJ320C15-25FDM")</f>
        <v>SMJ320C15-25FDM</v>
      </c>
      <c r="B7403" s="3" t="s">
        <v>90</v>
      </c>
      <c r="C7403" s="5">
        <v>85</v>
      </c>
      <c r="D7403" s="6">
        <v>351.28</v>
      </c>
      <c r="E7403" t="s">
        <v>87</v>
      </c>
    </row>
    <row r="7404" spans="1:5" x14ac:dyDescent="0.25">
      <c r="A7404" t="str">
        <f>HYPERLINK("https://www.773grp.com/globalSearch/TMS320C6472EZTZ/page-1", "TMS320C6472EZTZ")</f>
        <v>TMS320C6472EZTZ</v>
      </c>
      <c r="B7404" s="3" t="s">
        <v>90</v>
      </c>
      <c r="C7404" s="5">
        <v>96</v>
      </c>
      <c r="D7404" s="6">
        <v>351.91</v>
      </c>
      <c r="E7404" t="s">
        <v>87</v>
      </c>
    </row>
    <row r="7405" spans="1:5" x14ac:dyDescent="0.25">
      <c r="A7405" t="str">
        <f>HYPERLINK("https://www.773grp.com/globalSearch/TMS320C6416TGLZ8/page-1", "TMS320C6416TGLZ8")</f>
        <v>TMS320C6416TGLZ8</v>
      </c>
      <c r="B7405" s="3" t="s">
        <v>90</v>
      </c>
      <c r="C7405" s="5">
        <v>43</v>
      </c>
      <c r="D7405" s="6">
        <v>352.78</v>
      </c>
      <c r="E7405" t="s">
        <v>87</v>
      </c>
    </row>
    <row r="7406" spans="1:5" x14ac:dyDescent="0.25">
      <c r="A7406" t="str">
        <f>HYPERLINK("https://www.773grp.com/globalSearch/TMS320C6414TBZLZA8/page-1", "TMS320C6414TBZLZA8")</f>
        <v>TMS320C6414TBZLZA8</v>
      </c>
      <c r="B7406" s="3" t="s">
        <v>90</v>
      </c>
      <c r="C7406" s="5">
        <v>1121</v>
      </c>
      <c r="D7406" s="6">
        <v>366.03</v>
      </c>
      <c r="E7406" t="s">
        <v>87</v>
      </c>
    </row>
    <row r="7407" spans="1:5" x14ac:dyDescent="0.25">
      <c r="A7407" t="str">
        <f>HYPERLINK("https://www.773grp.com/globalSearch/TMS320C6455BGTZ/page-1", "TMS320C6455BGTZ")</f>
        <v>TMS320C6455BGTZ</v>
      </c>
      <c r="B7407" s="3" t="s">
        <v>90</v>
      </c>
      <c r="C7407" s="5">
        <v>452</v>
      </c>
      <c r="D7407" s="6">
        <v>366.56</v>
      </c>
      <c r="E7407" t="s">
        <v>87</v>
      </c>
    </row>
    <row r="7408" spans="1:5" x14ac:dyDescent="0.25">
      <c r="A7408" t="str">
        <f>HYPERLINK("https://www.773grp.com/globalSearch/TMS320C6416TBGLZA8/page-1", "TMS320C6416TBGLZA8")</f>
        <v>TMS320C6416TBGLZA8</v>
      </c>
      <c r="B7408" s="3" t="s">
        <v>90</v>
      </c>
      <c r="C7408" s="5">
        <v>14</v>
      </c>
      <c r="D7408" s="6">
        <v>367.31</v>
      </c>
      <c r="E7408" t="s">
        <v>87</v>
      </c>
    </row>
    <row r="7409" spans="1:5" x14ac:dyDescent="0.25">
      <c r="A7409" t="str">
        <f>HYPERLINK("https://www.773grp.com/globalSearch/TMS320C6455BZTZ8/page-1", "TMS320C6455BZTZ8")</f>
        <v>TMS320C6455BZTZ8</v>
      </c>
      <c r="B7409" s="3" t="s">
        <v>90</v>
      </c>
      <c r="C7409" s="5">
        <v>24</v>
      </c>
      <c r="D7409" s="6">
        <v>374.14</v>
      </c>
      <c r="E7409" t="s">
        <v>87</v>
      </c>
    </row>
    <row r="7410" spans="1:5" x14ac:dyDescent="0.25">
      <c r="A7410" t="str">
        <f>HYPERLINK("https://www.773grp.com/globalSearch/SM320LC31PQM40EP/page-1", "SM320LC31PQM40EP")</f>
        <v>SM320LC31PQM40EP</v>
      </c>
      <c r="B7410" s="3" t="s">
        <v>90</v>
      </c>
      <c r="C7410" s="5">
        <v>7</v>
      </c>
      <c r="D7410" s="6">
        <v>376.95</v>
      </c>
      <c r="E7410" t="s">
        <v>87</v>
      </c>
    </row>
    <row r="7411" spans="1:5" x14ac:dyDescent="0.25">
      <c r="A7411" t="str">
        <f>HYPERLINK("https://www.773grp.com/globalSearch/TMS320C6415TZLZ8/page-1", "TMS320C6415TZLZ8")</f>
        <v>TMS320C6415TZLZ8</v>
      </c>
      <c r="B7411" s="3" t="s">
        <v>90</v>
      </c>
      <c r="C7411" s="5">
        <v>212</v>
      </c>
      <c r="D7411" s="6">
        <v>383.79</v>
      </c>
      <c r="E7411" t="s">
        <v>87</v>
      </c>
    </row>
    <row r="7412" spans="1:5" x14ac:dyDescent="0.25">
      <c r="A7412" t="str">
        <f>HYPERLINK("https://www.773grp.com/globalSearch/TMS320C6414TGLZA8/page-1", "TMS320C6414TGLZA8")</f>
        <v>TMS320C6414TGLZA8</v>
      </c>
      <c r="B7412" s="3" t="s">
        <v>90</v>
      </c>
      <c r="C7412" s="5">
        <v>64</v>
      </c>
      <c r="D7412" s="6">
        <v>395.93</v>
      </c>
      <c r="E7412" t="s">
        <v>87</v>
      </c>
    </row>
    <row r="7413" spans="1:5" x14ac:dyDescent="0.25">
      <c r="A7413" t="str">
        <f>HYPERLINK("https://www.773grp.com/globalSearch/TMS320C44GFW60/page-1", "TMS320C44GFW60")</f>
        <v>TMS320C44GFW60</v>
      </c>
      <c r="B7413" s="3" t="s">
        <v>90</v>
      </c>
      <c r="C7413" s="5">
        <v>992</v>
      </c>
      <c r="D7413" s="6">
        <v>396.8</v>
      </c>
      <c r="E7413" t="s">
        <v>87</v>
      </c>
    </row>
    <row r="7414" spans="1:5" x14ac:dyDescent="0.25">
      <c r="A7414" t="str">
        <f>HYPERLINK("https://www.773grp.com/globalSearch/TMS320C6415TBGLZ1/page-1", "TMS320C6415TBGLZ1")</f>
        <v>TMS320C6415TBGLZ1</v>
      </c>
      <c r="B7414" s="3" t="s">
        <v>90</v>
      </c>
      <c r="C7414" s="5">
        <v>36841</v>
      </c>
      <c r="D7414" s="6">
        <v>399.4</v>
      </c>
      <c r="E7414" t="s">
        <v>87</v>
      </c>
    </row>
    <row r="7415" spans="1:5" x14ac:dyDescent="0.25">
      <c r="A7415" t="str">
        <f>HYPERLINK("https://www.773grp.com/globalSearch/TMS320C6414TZLZ1/page-1", "TMS320C6414TZLZ1")</f>
        <v>TMS320C6414TZLZ1</v>
      </c>
      <c r="B7415" s="3" t="s">
        <v>90</v>
      </c>
      <c r="C7415" s="5">
        <v>38</v>
      </c>
      <c r="D7415" s="6">
        <v>402.54</v>
      </c>
      <c r="E7415" t="s">
        <v>87</v>
      </c>
    </row>
    <row r="7416" spans="1:5" x14ac:dyDescent="0.25">
      <c r="A7416" t="str">
        <f>HYPERLINK("https://www.773grp.com/globalSearch/TMS320C6454BZTZA/page-1", "TMS320C6454BZTZA")</f>
        <v>TMS320C6454BZTZA</v>
      </c>
      <c r="B7416" s="3" t="s">
        <v>90</v>
      </c>
      <c r="C7416" s="5">
        <v>196</v>
      </c>
      <c r="D7416" s="6">
        <v>402.75</v>
      </c>
      <c r="E7416" t="s">
        <v>87</v>
      </c>
    </row>
    <row r="7417" spans="1:5" x14ac:dyDescent="0.25">
      <c r="A7417" t="str">
        <f>HYPERLINK("https://www.773grp.com/globalSearch/TMS320C44PDB50/page-1", "TMS320C44PDB50")</f>
        <v>TMS320C44PDB50</v>
      </c>
      <c r="B7417" s="3" t="s">
        <v>90</v>
      </c>
      <c r="C7417" s="5">
        <v>2954</v>
      </c>
      <c r="D7417" s="6">
        <v>409.69</v>
      </c>
      <c r="E7417" t="s">
        <v>87</v>
      </c>
    </row>
    <row r="7418" spans="1:5" x14ac:dyDescent="0.25">
      <c r="A7418" t="str">
        <f>HYPERLINK("https://www.773grp.com/globalSearch/TMS320C6416TGLZA8/page-1", "TMS320C6416TGLZA8")</f>
        <v>TMS320C6416TGLZA8</v>
      </c>
      <c r="B7418" s="3" t="s">
        <v>90</v>
      </c>
      <c r="C7418" s="5">
        <v>447</v>
      </c>
      <c r="D7418" s="6">
        <v>423.7</v>
      </c>
      <c r="E7418" t="s">
        <v>87</v>
      </c>
    </row>
    <row r="7419" spans="1:5" x14ac:dyDescent="0.25">
      <c r="A7419" t="str">
        <f>HYPERLINK("https://www.773grp.com/globalSearch/TMS320C6415TGLZ1/page-1", "TMS320C6415TGLZ1")</f>
        <v>TMS320C6415TGLZ1</v>
      </c>
      <c r="B7419" s="3" t="s">
        <v>90</v>
      </c>
      <c r="C7419" s="5">
        <v>436</v>
      </c>
      <c r="D7419" s="6">
        <v>425.3</v>
      </c>
      <c r="E7419" t="s">
        <v>87</v>
      </c>
    </row>
    <row r="7420" spans="1:5" x14ac:dyDescent="0.25">
      <c r="A7420" t="str">
        <f>HYPERLINK("https://www.773grp.com/globalSearch/TMS320C6455BZTZ/page-1", "TMS320C6455BZTZ")</f>
        <v>TMS320C6455BZTZ</v>
      </c>
      <c r="B7420" s="3" t="s">
        <v>90</v>
      </c>
      <c r="C7420" s="5">
        <v>2</v>
      </c>
      <c r="D7420" s="6">
        <v>431.18</v>
      </c>
      <c r="E7420" t="s">
        <v>87</v>
      </c>
    </row>
    <row r="7421" spans="1:5" x14ac:dyDescent="0.25">
      <c r="A7421" t="str">
        <f>HYPERLINK("https://www.773grp.com/globalSearch/TMS320C6416TBGLZ1/page-1", "TMS320C6416TBGLZ1")</f>
        <v>TMS320C6416TBGLZ1</v>
      </c>
      <c r="B7421" s="3" t="s">
        <v>90</v>
      </c>
      <c r="C7421" s="5">
        <v>606</v>
      </c>
      <c r="D7421" s="6">
        <v>439.33</v>
      </c>
      <c r="E7421" t="s">
        <v>87</v>
      </c>
    </row>
    <row r="7422" spans="1:5" x14ac:dyDescent="0.25">
      <c r="A7422" t="str">
        <f>HYPERLINK("https://www.773grp.com/globalSearch/TMS320C6472EZTZ6/page-1", "TMS320C6472EZTZ6")</f>
        <v>TMS320C6472EZTZ6</v>
      </c>
      <c r="B7422" s="3" t="s">
        <v>90</v>
      </c>
      <c r="C7422" s="5">
        <v>1567</v>
      </c>
      <c r="D7422" s="6">
        <v>439.81</v>
      </c>
      <c r="E7422" t="s">
        <v>87</v>
      </c>
    </row>
    <row r="7423" spans="1:5" x14ac:dyDescent="0.25">
      <c r="A7423" t="str">
        <f>HYPERLINK("https://www.773grp.com/globalSearch/TMS320C6472EZTZA/page-1", "TMS320C6472EZTZA")</f>
        <v>TMS320C6472EZTZA</v>
      </c>
      <c r="B7423" s="3" t="s">
        <v>90</v>
      </c>
      <c r="C7423" s="5">
        <v>61</v>
      </c>
      <c r="D7423" s="6">
        <v>439.81</v>
      </c>
      <c r="E7423" t="s">
        <v>87</v>
      </c>
    </row>
    <row r="7424" spans="1:5" x14ac:dyDescent="0.25">
      <c r="A7424" t="str">
        <f>HYPERLINK("https://www.773grp.com/globalSearch/TMS320C6414TGLZ1/page-1", "TMS320C6414TGLZ1")</f>
        <v>TMS320C6414TGLZ1</v>
      </c>
      <c r="B7424" s="3" t="s">
        <v>90</v>
      </c>
      <c r="C7424" s="5">
        <v>36</v>
      </c>
      <c r="D7424" s="6">
        <v>456.34</v>
      </c>
      <c r="E7424" t="s">
        <v>87</v>
      </c>
    </row>
    <row r="7425" spans="1:5" x14ac:dyDescent="0.25">
      <c r="A7425" t="str">
        <f>HYPERLINK("https://www.773grp.com/globalSearch/TMS320C6415TBZLZ1/page-1", "TMS320C6415TBZLZ1")</f>
        <v>TMS320C6415TBZLZ1</v>
      </c>
      <c r="B7425" s="3" t="s">
        <v>90</v>
      </c>
      <c r="C7425" s="5">
        <v>1120</v>
      </c>
      <c r="D7425" s="6">
        <v>460.75</v>
      </c>
      <c r="E7425" t="s">
        <v>87</v>
      </c>
    </row>
    <row r="7426" spans="1:5" x14ac:dyDescent="0.25">
      <c r="A7426" t="str">
        <f>HYPERLINK("https://www.773grp.com/globalSearch/TMS320C6455BGTZ2/page-1", "TMS320C6455BGTZ2")</f>
        <v>TMS320C6455BGTZ2</v>
      </c>
      <c r="B7426" s="3" t="s">
        <v>90</v>
      </c>
      <c r="C7426" s="5">
        <v>2</v>
      </c>
      <c r="D7426" s="6">
        <v>460.86</v>
      </c>
      <c r="E7426" t="s">
        <v>87</v>
      </c>
    </row>
    <row r="7427" spans="1:5" x14ac:dyDescent="0.25">
      <c r="A7427" t="str">
        <f>HYPERLINK("https://www.773grp.com/globalSearch/SM32C6416TGLZA8EP/page-1", "SM32C6416TGLZA8EP")</f>
        <v>SM32C6416TGLZA8EP</v>
      </c>
      <c r="B7427" s="3" t="s">
        <v>90</v>
      </c>
      <c r="C7427" s="5">
        <v>101</v>
      </c>
      <c r="D7427" s="6">
        <v>487.24</v>
      </c>
      <c r="E7427" t="s">
        <v>87</v>
      </c>
    </row>
    <row r="7428" spans="1:5" x14ac:dyDescent="0.25">
      <c r="A7428" t="str">
        <f>HYPERLINK("https://www.773grp.com/globalSearch/TMS320C6415TGLZA6/page-1", "TMS320C6415TGLZA6")</f>
        <v>TMS320C6415TGLZA6</v>
      </c>
      <c r="B7428" s="3" t="s">
        <v>90</v>
      </c>
      <c r="C7428" s="5">
        <v>270</v>
      </c>
      <c r="D7428" s="6">
        <v>503.05</v>
      </c>
      <c r="E7428" t="s">
        <v>87</v>
      </c>
    </row>
    <row r="7429" spans="1:5" x14ac:dyDescent="0.25">
      <c r="A7429" t="str">
        <f>HYPERLINK("https://www.773grp.com/globalSearch/TMS320C6416TZLZ1/page-1", "TMS320C6416TZLZ1")</f>
        <v>TMS320C6416TZLZ1</v>
      </c>
      <c r="B7429" s="3" t="s">
        <v>90</v>
      </c>
      <c r="C7429" s="5">
        <v>1</v>
      </c>
      <c r="D7429" s="6">
        <v>503.05</v>
      </c>
      <c r="E7429" t="s">
        <v>87</v>
      </c>
    </row>
    <row r="7430" spans="1:5" x14ac:dyDescent="0.25">
      <c r="A7430" t="str">
        <f>HYPERLINK("https://www.773grp.com/globalSearch/TMX320C6414TGLZ/page-1", "TMX320C6414TGLZ")</f>
        <v>TMX320C6414TGLZ</v>
      </c>
      <c r="B7430" s="3" t="s">
        <v>90</v>
      </c>
      <c r="C7430" s="5">
        <v>32</v>
      </c>
      <c r="D7430" s="6">
        <v>509.04</v>
      </c>
      <c r="E7430" t="s">
        <v>87</v>
      </c>
    </row>
    <row r="7431" spans="1:5" x14ac:dyDescent="0.25">
      <c r="A7431" t="str">
        <f>HYPERLINK("https://www.773grp.com/globalSearch/TMS320C6455BZTZA/page-1", "TMS320C6455BZTZA")</f>
        <v>TMS320C6455BZTZA</v>
      </c>
      <c r="B7431" s="3" t="s">
        <v>90</v>
      </c>
      <c r="C7431" s="5">
        <v>48</v>
      </c>
      <c r="D7431" s="6">
        <v>526.34</v>
      </c>
      <c r="E7431" t="s">
        <v>87</v>
      </c>
    </row>
    <row r="7432" spans="1:5" x14ac:dyDescent="0.25">
      <c r="A7432" t="str">
        <f>HYPERLINK("https://www.773grp.com/globalSearch/TMS320C6472EZTZA6/page-1", "TMS320C6472EZTZA6")</f>
        <v>TMS320C6472EZTZA6</v>
      </c>
      <c r="B7432" s="3" t="s">
        <v>90</v>
      </c>
      <c r="C7432" s="5">
        <v>723</v>
      </c>
      <c r="D7432" s="6">
        <v>527.80999999999995</v>
      </c>
      <c r="E7432" t="s">
        <v>87</v>
      </c>
    </row>
    <row r="7433" spans="1:5" x14ac:dyDescent="0.25">
      <c r="A7433" t="str">
        <f>HYPERLINK("https://www.773grp.com/globalSearch/TMS320C6455BZTZ2/page-1", "TMS320C6455BZTZ2")</f>
        <v>TMS320C6455BZTZ2</v>
      </c>
      <c r="B7433" s="3" t="s">
        <v>90</v>
      </c>
      <c r="C7433" s="5">
        <v>51</v>
      </c>
      <c r="D7433" s="6">
        <v>542.14</v>
      </c>
      <c r="E7433" t="s">
        <v>87</v>
      </c>
    </row>
    <row r="7434" spans="1:5" x14ac:dyDescent="0.25">
      <c r="A7434" t="str">
        <f>HYPERLINK("https://www.773grp.com/globalSearch/TMS320C82GGP60/page-1", "TMS320C82GGP60")</f>
        <v>TMS320C82GGP60</v>
      </c>
      <c r="B7434" s="3" t="s">
        <v>90</v>
      </c>
      <c r="C7434" s="5">
        <v>7423</v>
      </c>
      <c r="D7434" s="6">
        <v>546.51</v>
      </c>
      <c r="E7434" t="s">
        <v>87</v>
      </c>
    </row>
    <row r="7435" spans="1:5" x14ac:dyDescent="0.25">
      <c r="A7435" t="str">
        <f>HYPERLINK("https://www.773grp.com/globalSearch/SMJ320F240HFPM40/page-1", "SMJ320F240HFPM40")</f>
        <v>SMJ320F240HFPM40</v>
      </c>
      <c r="B7435" s="3" t="s">
        <v>90</v>
      </c>
      <c r="C7435" s="5">
        <v>177</v>
      </c>
      <c r="D7435" s="6">
        <v>565.45000000000005</v>
      </c>
      <c r="E7435" t="s">
        <v>87</v>
      </c>
    </row>
    <row r="7436" spans="1:5" x14ac:dyDescent="0.25">
      <c r="A7436" t="str">
        <f>HYPERLINK("https://www.773grp.com/globalSearch/5962-0153001QXA/page-1", "5962-0153001QXA")</f>
        <v>5962-0153001QXA</v>
      </c>
      <c r="B7436" s="3" t="s">
        <v>90</v>
      </c>
      <c r="C7436" s="5">
        <v>4</v>
      </c>
      <c r="D7436" s="6">
        <v>577.17999999999995</v>
      </c>
      <c r="E7436" t="s">
        <v>87</v>
      </c>
    </row>
    <row r="7437" spans="1:5" x14ac:dyDescent="0.25">
      <c r="A7437" t="str">
        <f>HYPERLINK("https://www.773grp.com/globalSearch/TMS320C30GEL50/page-1", "TMS320C30GEL50")</f>
        <v>TMS320C30GEL50</v>
      </c>
      <c r="B7437" s="3" t="s">
        <v>90</v>
      </c>
      <c r="C7437" s="5">
        <v>4</v>
      </c>
      <c r="D7437" s="6">
        <v>577.70000000000005</v>
      </c>
      <c r="E7437" t="s">
        <v>87</v>
      </c>
    </row>
    <row r="7438" spans="1:5" x14ac:dyDescent="0.25">
      <c r="A7438" t="str">
        <f>HYPERLINK("https://www.773grp.com/globalSearch/TMS320C80GF/page-1", "TMS320C80GF")</f>
        <v>TMS320C80GF</v>
      </c>
      <c r="B7438" s="3" t="s">
        <v>90</v>
      </c>
      <c r="C7438" s="5">
        <v>1195</v>
      </c>
      <c r="D7438" s="6">
        <v>584.84</v>
      </c>
      <c r="E7438" t="s">
        <v>87</v>
      </c>
    </row>
    <row r="7439" spans="1:5" x14ac:dyDescent="0.25">
      <c r="A7439" t="str">
        <f>HYPERLINK("https://www.773grp.com/globalSearch/TMX320C6416TGLZ/page-1", "TMX320C6416TGLZ")</f>
        <v>TMX320C6416TGLZ</v>
      </c>
      <c r="B7439" s="3" t="s">
        <v>90</v>
      </c>
      <c r="C7439" s="5">
        <v>694</v>
      </c>
      <c r="D7439" s="6">
        <v>603.23</v>
      </c>
      <c r="E7439" t="s">
        <v>87</v>
      </c>
    </row>
    <row r="7440" spans="1:5" x14ac:dyDescent="0.25">
      <c r="A7440" t="str">
        <f>HYPERLINK("https://www.773grp.com/globalSearch/TMX320C6416TGLZ1/page-1", "TMX320C6416TGLZ1")</f>
        <v>TMX320C6416TGLZ1</v>
      </c>
      <c r="B7440" s="3" t="s">
        <v>90</v>
      </c>
      <c r="C7440" s="5">
        <v>6</v>
      </c>
      <c r="D7440" s="6">
        <v>603.23</v>
      </c>
      <c r="E7440" t="s">
        <v>87</v>
      </c>
    </row>
    <row r="7441" spans="1:5" x14ac:dyDescent="0.25">
      <c r="A7441" t="str">
        <f>HYPERLINK("https://www.773grp.com/globalSearch/TMS320C40GFL40/page-1", "TMS320C40GFL40")</f>
        <v>TMS320C40GFL40</v>
      </c>
      <c r="B7441" s="3" t="s">
        <v>90</v>
      </c>
      <c r="C7441" s="5">
        <v>453</v>
      </c>
      <c r="D7441" s="6">
        <v>687.39</v>
      </c>
      <c r="E7441" t="s">
        <v>87</v>
      </c>
    </row>
    <row r="7442" spans="1:5" x14ac:dyDescent="0.25">
      <c r="A7442" t="str">
        <f>HYPERLINK("https://www.773grp.com/globalSearch/TMS320C40GFL50/page-1", "TMS320C40GFL50")</f>
        <v>TMS320C40GFL50</v>
      </c>
      <c r="B7442" s="3" t="s">
        <v>90</v>
      </c>
      <c r="C7442" s="5">
        <v>7</v>
      </c>
      <c r="D7442" s="6">
        <v>721.78</v>
      </c>
      <c r="E7442" t="s">
        <v>87</v>
      </c>
    </row>
    <row r="7443" spans="1:5" x14ac:dyDescent="0.25">
      <c r="A7443" t="str">
        <f>HYPERLINK("https://www.773grp.com/globalSearch/TMX320C6455ZTZ/page-1", "TMX320C6455ZTZ")</f>
        <v>TMX320C6455ZTZ</v>
      </c>
      <c r="B7443" s="3" t="s">
        <v>90</v>
      </c>
      <c r="C7443" s="5">
        <v>210</v>
      </c>
      <c r="D7443" s="6">
        <v>750.2</v>
      </c>
      <c r="E7443" t="s">
        <v>87</v>
      </c>
    </row>
    <row r="7444" spans="1:5" x14ac:dyDescent="0.25">
      <c r="A7444" t="str">
        <f>HYPERLINK("https://www.773grp.com/globalSearch/TMS320C40GFL60/page-1", "TMS320C40GFL60")</f>
        <v>TMS320C40GFL60</v>
      </c>
      <c r="B7444" s="3" t="s">
        <v>90</v>
      </c>
      <c r="C7444" s="5">
        <v>90</v>
      </c>
      <c r="D7444" s="6">
        <v>756.06</v>
      </c>
      <c r="E7444" t="s">
        <v>87</v>
      </c>
    </row>
    <row r="7445" spans="1:5" x14ac:dyDescent="0.25">
      <c r="A7445" t="str">
        <f>HYPERLINK("https://www.773grp.com/globalSearch/TMS320C80GGP50/page-1", "TMS320C80GGP50")</f>
        <v>TMS320C80GGP50</v>
      </c>
      <c r="B7445" s="3" t="s">
        <v>90</v>
      </c>
      <c r="C7445" s="5">
        <v>3</v>
      </c>
      <c r="D7445" s="6">
        <v>785.43</v>
      </c>
      <c r="E7445" t="s">
        <v>87</v>
      </c>
    </row>
    <row r="7446" spans="1:5" x14ac:dyDescent="0.25">
      <c r="A7446" t="str">
        <f>HYPERLINK("https://www.773grp.com/globalSearch/5962-8861901ZA/page-1", "5962-8861901ZA")</f>
        <v>5962-8861901ZA</v>
      </c>
      <c r="B7446" s="3" t="s">
        <v>90</v>
      </c>
      <c r="C7446" s="5">
        <v>5</v>
      </c>
      <c r="D7446" s="6">
        <v>838.94</v>
      </c>
      <c r="E7446" t="s">
        <v>87</v>
      </c>
    </row>
    <row r="7447" spans="1:5" x14ac:dyDescent="0.25">
      <c r="A7447" t="str">
        <f>HYPERLINK("https://www.773grp.com/globalSearch/5962-9455803QYA/page-1", "5962-9455803QYA")</f>
        <v>5962-9455803QYA</v>
      </c>
      <c r="B7447" s="3" t="s">
        <v>90</v>
      </c>
      <c r="C7447" s="5">
        <v>53</v>
      </c>
      <c r="D7447" s="6">
        <v>858.28</v>
      </c>
      <c r="E7447" t="s">
        <v>87</v>
      </c>
    </row>
    <row r="7448" spans="1:5" x14ac:dyDescent="0.25">
      <c r="A7448" t="str">
        <f>HYPERLINK("https://www.773grp.com/globalSearch/SMJ320C50HFGM50/page-1", "SMJ320C50HFGM50")</f>
        <v>SMJ320C50HFGM50</v>
      </c>
      <c r="B7448" s="3" t="s">
        <v>90</v>
      </c>
      <c r="C7448" s="5">
        <v>16</v>
      </c>
      <c r="D7448" s="6">
        <v>858.28</v>
      </c>
      <c r="E7448" t="s">
        <v>87</v>
      </c>
    </row>
    <row r="7449" spans="1:5" x14ac:dyDescent="0.25">
      <c r="A7449" t="str">
        <f>HYPERLINK("https://www.773grp.com/globalSearch/TMS320C80GGP60/page-1", "TMS320C80GGP60")</f>
        <v>TMS320C80GGP60</v>
      </c>
      <c r="B7449" s="3" t="s">
        <v>90</v>
      </c>
      <c r="C7449" s="5">
        <v>268</v>
      </c>
      <c r="D7449" s="6">
        <v>966.38</v>
      </c>
      <c r="E7449" t="s">
        <v>87</v>
      </c>
    </row>
    <row r="7450" spans="1:5" x14ac:dyDescent="0.25">
      <c r="A7450" t="str">
        <f>HYPERLINK("https://www.773grp.com/globalSearch/5962-9455803QXA/page-1", "5962-9455803QXA")</f>
        <v>5962-9455803QXA</v>
      </c>
      <c r="B7450" s="3" t="s">
        <v>90</v>
      </c>
      <c r="C7450" s="5">
        <v>28</v>
      </c>
      <c r="D7450" s="6">
        <v>1005.21</v>
      </c>
      <c r="E7450" t="s">
        <v>87</v>
      </c>
    </row>
    <row r="7451" spans="1:5" x14ac:dyDescent="0.25">
      <c r="A7451" t="str">
        <f>HYPERLINK("https://www.773grp.com/globalSearch/SMJ320C50GFAM50/page-1", "SMJ320C50GFAM50")</f>
        <v>SMJ320C50GFAM50</v>
      </c>
      <c r="B7451" s="3" t="s">
        <v>90</v>
      </c>
      <c r="C7451" s="5">
        <v>4</v>
      </c>
      <c r="D7451" s="6">
        <v>1005.21</v>
      </c>
      <c r="E7451" t="s">
        <v>87</v>
      </c>
    </row>
    <row r="7452" spans="1:5" x14ac:dyDescent="0.25">
      <c r="A7452" t="str">
        <f>HYPERLINK("https://www.773grp.com/globalSearch/SM320C31GFAM50/page-1", "SM320C31GFAM50")</f>
        <v>SM320C31GFAM50</v>
      </c>
      <c r="B7452" s="3" t="s">
        <v>90</v>
      </c>
      <c r="C7452" s="5">
        <v>35</v>
      </c>
      <c r="D7452" s="6">
        <v>1068.68</v>
      </c>
      <c r="E7452" t="s">
        <v>87</v>
      </c>
    </row>
    <row r="7453" spans="1:5" x14ac:dyDescent="0.25">
      <c r="A7453" t="str">
        <f>HYPERLINK("https://www.773grp.com/globalSearch/TMS320C80GF60/page-1", "TMS320C80GF60")</f>
        <v>TMS320C80GF60</v>
      </c>
      <c r="B7453" s="3" t="s">
        <v>90</v>
      </c>
      <c r="C7453" s="5">
        <v>294</v>
      </c>
      <c r="D7453" s="6">
        <v>1352.93</v>
      </c>
      <c r="E7453" t="s">
        <v>87</v>
      </c>
    </row>
    <row r="7454" spans="1:5" x14ac:dyDescent="0.25">
      <c r="A7454" t="str">
        <f>HYPERLINK("https://www.773grp.com/globalSearch/SM320C30GBM40/page-1", "SM320C30GBM40")</f>
        <v>SM320C30GBM40</v>
      </c>
      <c r="B7454" s="3" t="s">
        <v>90</v>
      </c>
      <c r="C7454" s="5">
        <v>14</v>
      </c>
      <c r="D7454" s="6">
        <v>1496</v>
      </c>
      <c r="E7454" t="s">
        <v>87</v>
      </c>
    </row>
    <row r="7455" spans="1:5" x14ac:dyDescent="0.25">
      <c r="A7455" t="str">
        <f>HYPERLINK("https://www.773grp.com/globalSearch/5962-9205804MXC/page-1", "5962-9205804MXC")</f>
        <v>5962-9205804MXC</v>
      </c>
      <c r="B7455" s="3" t="s">
        <v>90</v>
      </c>
      <c r="C7455" s="5">
        <v>6</v>
      </c>
      <c r="D7455" s="6">
        <v>1541.41</v>
      </c>
      <c r="E7455" t="s">
        <v>87</v>
      </c>
    </row>
    <row r="7456" spans="1:5" x14ac:dyDescent="0.25">
      <c r="A7456" t="str">
        <f>HYPERLINK("https://www.773grp.com/globalSearch/SM320C30HFGM40/page-1", "SM320C30HFGM40")</f>
        <v>SM320C30HFGM40</v>
      </c>
      <c r="B7456" s="3" t="s">
        <v>90</v>
      </c>
      <c r="C7456" s="5">
        <v>9</v>
      </c>
      <c r="D7456" s="6">
        <v>1645.64</v>
      </c>
      <c r="E7456" t="s">
        <v>87</v>
      </c>
    </row>
    <row r="7457" spans="1:5" x14ac:dyDescent="0.25">
      <c r="A7457" t="str">
        <f>HYPERLINK("https://www.773grp.com/globalSearch/SMJ320C30GBM40/page-1", "SMJ320C30GBM40")</f>
        <v>SMJ320C30GBM40</v>
      </c>
      <c r="B7457" s="3" t="s">
        <v>90</v>
      </c>
      <c r="C7457" s="5">
        <v>46</v>
      </c>
      <c r="D7457" s="6">
        <v>1760.01</v>
      </c>
      <c r="E7457" t="s">
        <v>87</v>
      </c>
    </row>
    <row r="7458" spans="1:5" x14ac:dyDescent="0.25">
      <c r="A7458" t="str">
        <f>HYPERLINK("https://www.773grp.com/globalSearch/SM320C40HFHM40/page-1", "SM320C40HFHM40")</f>
        <v>SM320C40HFHM40</v>
      </c>
      <c r="B7458" s="3" t="s">
        <v>90</v>
      </c>
      <c r="C7458" s="5">
        <v>4</v>
      </c>
      <c r="D7458" s="6">
        <v>1816.73</v>
      </c>
      <c r="E7458" t="s">
        <v>87</v>
      </c>
    </row>
    <row r="7459" spans="1:5" x14ac:dyDescent="0.25">
      <c r="A7459" t="str">
        <f>HYPERLINK("https://www.773grp.com/globalSearch/SM320C40GFM50/page-1", "SM320C40GFM50")</f>
        <v>SM320C40GFM50</v>
      </c>
      <c r="B7459" s="3" t="s">
        <v>90</v>
      </c>
      <c r="C7459" s="5">
        <v>75</v>
      </c>
      <c r="D7459" s="6">
        <v>1835.85</v>
      </c>
      <c r="E7459" t="s">
        <v>87</v>
      </c>
    </row>
    <row r="7460" spans="1:5" x14ac:dyDescent="0.25">
      <c r="A7460" t="str">
        <f>HYPERLINK("https://www.773grp.com/globalSearch/5962-9052604MUA/page-1", "5962-9052604MUA")</f>
        <v>5962-9052604MUA</v>
      </c>
      <c r="B7460" s="3" t="s">
        <v>90</v>
      </c>
      <c r="C7460" s="5">
        <v>12</v>
      </c>
      <c r="D7460" s="6">
        <v>1936.04</v>
      </c>
      <c r="E7460" t="s">
        <v>87</v>
      </c>
    </row>
    <row r="7461" spans="1:5" x14ac:dyDescent="0.25">
      <c r="A7461" t="str">
        <f>HYPERLINK("https://www.773grp.com/globalSearch/5962-9466902QXA/page-1", "5962-9466902QXA")</f>
        <v>5962-9466902QXA</v>
      </c>
      <c r="B7461" s="3" t="s">
        <v>90</v>
      </c>
      <c r="C7461" s="5">
        <v>36</v>
      </c>
      <c r="D7461" s="6">
        <v>1942.23</v>
      </c>
      <c r="E7461" t="s">
        <v>87</v>
      </c>
    </row>
    <row r="7462" spans="1:5" x14ac:dyDescent="0.25">
      <c r="A7462" t="str">
        <f>HYPERLINK("https://www.773grp.com/globalSearch/5962-9466902QXC/page-1", "5962-9466902QXC")</f>
        <v>5962-9466902QXC</v>
      </c>
      <c r="B7462" s="3" t="s">
        <v>90</v>
      </c>
      <c r="C7462" s="5">
        <v>39</v>
      </c>
      <c r="D7462" s="6">
        <v>1996.8</v>
      </c>
      <c r="E7462" t="s">
        <v>87</v>
      </c>
    </row>
    <row r="7463" spans="1:5" x14ac:dyDescent="0.25">
      <c r="A7463" t="str">
        <f>HYPERLINK("https://www.773grp.com/globalSearch/5962-9466903QYC/page-1", "5962-9466903QYC")</f>
        <v>5962-9466903QYC</v>
      </c>
      <c r="B7463" s="3" t="s">
        <v>90</v>
      </c>
      <c r="C7463" s="5">
        <v>47</v>
      </c>
      <c r="D7463" s="6">
        <v>2375.9499999999998</v>
      </c>
      <c r="E7463" t="s">
        <v>87</v>
      </c>
    </row>
    <row r="7464" spans="1:5" x14ac:dyDescent="0.25">
      <c r="A7464" t="str">
        <f>HYPERLINK("https://www.773grp.com/globalSearch/SM320C80GFM50/page-1", "SM320C80GFM50")</f>
        <v>SM320C80GFM50</v>
      </c>
      <c r="B7464" s="3" t="s">
        <v>90</v>
      </c>
      <c r="C7464" s="5">
        <v>24</v>
      </c>
      <c r="D7464" s="6">
        <v>2548.23</v>
      </c>
      <c r="E7464" t="s">
        <v>87</v>
      </c>
    </row>
    <row r="7465" spans="1:5" x14ac:dyDescent="0.25">
      <c r="A7465" t="str">
        <f>HYPERLINK("https://www.773grp.com/globalSearch/5962-9205803MXA/page-1", "5962-9205803MXA")</f>
        <v>5962-9205803MXA</v>
      </c>
      <c r="B7465" s="3" t="s">
        <v>90</v>
      </c>
      <c r="C7465" s="5">
        <v>44</v>
      </c>
      <c r="D7465" s="6">
        <v>3015.63</v>
      </c>
      <c r="E7465" t="s">
        <v>87</v>
      </c>
    </row>
    <row r="7466" spans="1:5" x14ac:dyDescent="0.25">
      <c r="A7466" t="str">
        <f>HYPERLINK("https://www.773grp.com/globalSearch/SMJ320C31GFAM40/page-1", "SMJ320C31GFAM40")</f>
        <v>SMJ320C31GFAM40</v>
      </c>
      <c r="B7466" s="3" t="s">
        <v>90</v>
      </c>
      <c r="C7466" s="5">
        <v>111</v>
      </c>
      <c r="D7466" s="6">
        <v>3015.63</v>
      </c>
      <c r="E7466" t="s">
        <v>87</v>
      </c>
    </row>
    <row r="7467" spans="1:5" x14ac:dyDescent="0.25">
      <c r="A7467" t="str">
        <f>HYPERLINK("https://www.773grp.com/globalSearch/SMJ320C31GFAM50/page-1", "SMJ320C31GFAM50")</f>
        <v>SMJ320C31GFAM50</v>
      </c>
      <c r="B7467" s="3" t="s">
        <v>90</v>
      </c>
      <c r="C7467" s="5">
        <v>40</v>
      </c>
      <c r="D7467" s="6">
        <v>3015.63</v>
      </c>
      <c r="E7467" t="s">
        <v>87</v>
      </c>
    </row>
    <row r="7468" spans="1:5" x14ac:dyDescent="0.25">
      <c r="A7468" t="str">
        <f>HYPERLINK("https://www.773grp.com/globalSearch/SMJ320C31HFGM50/page-1", "SMJ320C31HFGM50")</f>
        <v>SMJ320C31HFGM50</v>
      </c>
      <c r="B7468" s="3" t="s">
        <v>90</v>
      </c>
      <c r="C7468" s="5">
        <v>6</v>
      </c>
      <c r="D7468" s="6">
        <v>3015.63</v>
      </c>
      <c r="E7468" t="s">
        <v>87</v>
      </c>
    </row>
    <row r="7469" spans="1:5" x14ac:dyDescent="0.25">
      <c r="A7469" t="str">
        <f>HYPERLINK("https://www.773grp.com/globalSearch/SMJ320MCM41DHFHM40/page-1", "SMJ320MCM41DHFHM40")</f>
        <v>SMJ320MCM41DHFHM40</v>
      </c>
      <c r="B7469" s="3" t="s">
        <v>90</v>
      </c>
      <c r="C7469" s="5">
        <v>7</v>
      </c>
      <c r="D7469" s="6">
        <v>4408.6099999999997</v>
      </c>
      <c r="E7469" t="s">
        <v>87</v>
      </c>
    </row>
    <row r="7470" spans="1:5" x14ac:dyDescent="0.25">
      <c r="A7470" t="str">
        <f>HYPERLINK("https://www.773grp.com/globalSearch/Z8937120FSG/page-1", "Z8937120FSG")</f>
        <v>Z8937120FSG</v>
      </c>
      <c r="B7470" s="3" t="s">
        <v>121</v>
      </c>
      <c r="C7470" s="5">
        <v>3</v>
      </c>
      <c r="D7470" s="6">
        <v>0</v>
      </c>
      <c r="E7470" t="s">
        <v>87</v>
      </c>
    </row>
    <row r="7471" spans="1:5" x14ac:dyDescent="0.25">
      <c r="A7471" t="str">
        <f>HYPERLINK("https://www.773grp.com/globalSearch/Z86C9524VSC/page-1", "Z86C9524VSC")</f>
        <v>Z86C9524VSC</v>
      </c>
      <c r="B7471" s="3" t="s">
        <v>121</v>
      </c>
      <c r="C7471" s="5">
        <v>7</v>
      </c>
      <c r="D7471" s="6">
        <v>18.510000000000002</v>
      </c>
      <c r="E7471" t="s">
        <v>87</v>
      </c>
    </row>
    <row r="7472" spans="1:5" x14ac:dyDescent="0.25">
      <c r="A7472" t="str">
        <f>HYPERLINK("https://www.773grp.com/globalSearch/Z86C9533VSC/page-1", "Z86C9533VSC")</f>
        <v>Z86C9533VSC</v>
      </c>
      <c r="B7472" s="3" t="s">
        <v>121</v>
      </c>
      <c r="C7472" s="5">
        <v>8</v>
      </c>
      <c r="D7472" s="6">
        <v>18.510000000000002</v>
      </c>
      <c r="E7472" t="s">
        <v>87</v>
      </c>
    </row>
    <row r="7473" spans="1:5" x14ac:dyDescent="0.25">
      <c r="A7473" t="str">
        <f>HYPERLINK("https://www.773grp.com/globalSearch/PCM1774RGPR/page-1", "PCM1774RGPR")</f>
        <v>PCM1774RGPR</v>
      </c>
      <c r="B7473" s="3" t="str">
        <f>HYPERLINK("https://www.773grp.com/manufacturer/texas-instruments?pageNo=537", "Texas Instruments")</f>
        <v>Texas Instruments</v>
      </c>
      <c r="C7473" s="5">
        <v>3000</v>
      </c>
      <c r="D7473" s="6">
        <v>3.66</v>
      </c>
      <c r="E7473" t="s">
        <v>29</v>
      </c>
    </row>
    <row r="7474" spans="1:5" x14ac:dyDescent="0.25">
      <c r="A7474" t="str">
        <f>HYPERLINK("https://www.773grp.com/globalSearch/TLV5606CDGKR/page-1", "TLV5606CDGKR")</f>
        <v>TLV5606CDGKR</v>
      </c>
      <c r="B7474" s="3" t="str">
        <f>HYPERLINK("https://www.773grp.com/manufacturer/texas-instruments?pageNo=604", "Texas Instruments")</f>
        <v>Texas Instruments</v>
      </c>
      <c r="C7474" s="5">
        <v>22500</v>
      </c>
      <c r="D7474" s="6">
        <v>3.66</v>
      </c>
      <c r="E7474" t="s">
        <v>29</v>
      </c>
    </row>
    <row r="7475" spans="1:5" x14ac:dyDescent="0.25">
      <c r="A7475" t="str">
        <f>HYPERLINK("https://www.773grp.com/globalSearch/PCM1748E-2K/page-1", "PCM1748E-2K")</f>
        <v>PCM1748E-2K</v>
      </c>
      <c r="B7475" s="3" t="str">
        <f>HYPERLINK("https://www.773grp.com/manufacturer/texas-instruments?pageNo=720", "Texas Instruments")</f>
        <v>Texas Instruments</v>
      </c>
      <c r="C7475" s="5">
        <v>38000</v>
      </c>
      <c r="D7475" s="6">
        <v>3.68</v>
      </c>
      <c r="E7475" t="s">
        <v>29</v>
      </c>
    </row>
    <row r="7476" spans="1:5" x14ac:dyDescent="0.25">
      <c r="A7476" t="str">
        <f>HYPERLINK("https://www.773grp.com/globalSearch/PCM1748KE-2K/page-1", "PCM1748KE-2K")</f>
        <v>PCM1748KE-2K</v>
      </c>
      <c r="B7476" s="3" t="str">
        <f>HYPERLINK("https://www.773grp.com/manufacturer/texas-instruments?pageNo=721", "Texas Instruments")</f>
        <v>Texas Instruments</v>
      </c>
      <c r="C7476" s="5">
        <v>522000</v>
      </c>
      <c r="D7476" s="6">
        <v>3.68</v>
      </c>
      <c r="E7476" t="s">
        <v>29</v>
      </c>
    </row>
    <row r="7477" spans="1:5" x14ac:dyDescent="0.25">
      <c r="A7477" t="str">
        <f>HYPERLINK("https://www.773grp.com/globalSearch/TLV5620ID/page-1", "TLV5620ID")</f>
        <v>TLV5620ID</v>
      </c>
      <c r="B7477" s="3" t="str">
        <f>HYPERLINK("https://www.773grp.com/manufacturer/texas-instruments?pageNo=753", "Texas Instruments")</f>
        <v>Texas Instruments</v>
      </c>
      <c r="C7477" s="5">
        <v>10279</v>
      </c>
      <c r="D7477" s="6">
        <v>3.68</v>
      </c>
      <c r="E7477" t="s">
        <v>29</v>
      </c>
    </row>
    <row r="7478" spans="1:5" x14ac:dyDescent="0.25">
      <c r="A7478" t="str">
        <f>HYPERLINK("https://www.773grp.com/globalSearch/PCM1770PWR/page-1", "PCM1770PWR")</f>
        <v>PCM1770PWR</v>
      </c>
      <c r="B7478" s="3" t="str">
        <f>HYPERLINK("https://www.773grp.com/manufacturer/texas-instruments?pageNo=828", "Texas Instruments")</f>
        <v>Texas Instruments</v>
      </c>
      <c r="C7478" s="5">
        <v>137770</v>
      </c>
      <c r="D7478" s="6">
        <v>3.71</v>
      </c>
      <c r="E7478" t="s">
        <v>29</v>
      </c>
    </row>
    <row r="7479" spans="1:5" x14ac:dyDescent="0.25">
      <c r="A7479" t="str">
        <f>HYPERLINK("https://www.773grp.com/globalSearch/UCC5950D/page-1", "UCC5950D")</f>
        <v>UCC5950D</v>
      </c>
      <c r="B7479" s="3" t="str">
        <f>HYPERLINK("https://www.773grp.com/manufacturer/texas-instruments?pageNo=858", "Texas Instruments")</f>
        <v>Texas Instruments</v>
      </c>
      <c r="C7479" s="5">
        <v>675</v>
      </c>
      <c r="D7479" s="6">
        <v>3.71</v>
      </c>
      <c r="E7479" t="s">
        <v>29</v>
      </c>
    </row>
    <row r="7480" spans="1:5" x14ac:dyDescent="0.25">
      <c r="A7480" t="str">
        <f>HYPERLINK("https://www.773grp.com/globalSearch/DAC6311IDCKT/page-1", "DAC6311IDCKT")</f>
        <v>DAC6311IDCKT</v>
      </c>
      <c r="B7480" s="3" t="str">
        <f>HYPERLINK("https://www.773grp.com/manufacturer/texas-instruments?pageNo=860", "Texas Instruments")</f>
        <v>Texas Instruments</v>
      </c>
      <c r="C7480" s="5">
        <v>1325</v>
      </c>
      <c r="D7480" s="6">
        <v>4.1100000000000003</v>
      </c>
      <c r="E7480" t="s">
        <v>29</v>
      </c>
    </row>
    <row r="7481" spans="1:5" x14ac:dyDescent="0.25">
      <c r="A7481" t="str">
        <f>HYPERLINK("https://www.773grp.com/globalSearch/TLV5623ID/page-1", "TLV5623ID")</f>
        <v>TLV5623ID</v>
      </c>
      <c r="B7481" s="3" t="str">
        <f>HYPERLINK("https://www.773grp.com/manufacturer/texas-instruments?pageNo=958", "Texas Instruments")</f>
        <v>Texas Instruments</v>
      </c>
      <c r="C7481" s="5">
        <v>2790</v>
      </c>
      <c r="D7481" s="6">
        <v>3.75</v>
      </c>
      <c r="E7481" t="s">
        <v>29</v>
      </c>
    </row>
    <row r="7482" spans="1:5" x14ac:dyDescent="0.25">
      <c r="A7482" t="str">
        <f>HYPERLINK("https://www.773grp.com/globalSearch/PCM1771RGAR/page-1", "PCM1771RGAR")</f>
        <v>PCM1771RGAR</v>
      </c>
      <c r="B7482" s="3" t="s">
        <v>90</v>
      </c>
      <c r="C7482" s="5">
        <v>14000</v>
      </c>
      <c r="D7482" s="6">
        <v>3.8</v>
      </c>
      <c r="E7482" t="s">
        <v>29</v>
      </c>
    </row>
    <row r="7483" spans="1:5" x14ac:dyDescent="0.25">
      <c r="A7483" t="str">
        <f>HYPERLINK("https://www.773grp.com/globalSearch/PCM1772PWR/page-1", "PCM1772PWR")</f>
        <v>PCM1772PWR</v>
      </c>
      <c r="B7483" s="3" t="s">
        <v>90</v>
      </c>
      <c r="C7483" s="5">
        <v>10000</v>
      </c>
      <c r="D7483" s="6">
        <v>3.8</v>
      </c>
      <c r="E7483" t="s">
        <v>29</v>
      </c>
    </row>
    <row r="7484" spans="1:5" x14ac:dyDescent="0.25">
      <c r="A7484" t="str">
        <f>HYPERLINK("https://www.773grp.com/globalSearch/TLV320DAC32IRHBR/page-1", "TLV320DAC32IRHBR")</f>
        <v>TLV320DAC32IRHBR</v>
      </c>
      <c r="B7484" s="3" t="s">
        <v>90</v>
      </c>
      <c r="C7484" s="5">
        <v>18000</v>
      </c>
      <c r="D7484" s="6">
        <v>3.8</v>
      </c>
      <c r="E7484" t="s">
        <v>29</v>
      </c>
    </row>
    <row r="7485" spans="1:5" x14ac:dyDescent="0.25">
      <c r="A7485" t="str">
        <f>HYPERLINK("https://www.773grp.com/globalSearch/PCM1771PWR/page-1", "PCM1771PWR")</f>
        <v>PCM1771PWR</v>
      </c>
      <c r="B7485" s="3" t="str">
        <f>HYPERLINK("https://www.773grp.com/manufacturer/texas-instruments?pageNo=495", "Texas Instruments")</f>
        <v>Texas Instruments</v>
      </c>
      <c r="C7485" s="5">
        <v>299000</v>
      </c>
      <c r="D7485" s="6">
        <v>3.91</v>
      </c>
      <c r="E7485" t="s">
        <v>29</v>
      </c>
    </row>
    <row r="7486" spans="1:5" x14ac:dyDescent="0.25">
      <c r="A7486" t="str">
        <f>HYPERLINK("https://www.773grp.com/globalSearch/DAC6571IDBVR/page-1", "DAC6571IDBVR")</f>
        <v>DAC6571IDBVR</v>
      </c>
      <c r="B7486" s="3" t="str">
        <f>HYPERLINK("https://www.773grp.com/manufacturer/texas-instruments?pageNo=535", "Texas Instruments")</f>
        <v>Texas Instruments</v>
      </c>
      <c r="C7486" s="5">
        <v>24714</v>
      </c>
      <c r="D7486" s="6">
        <v>3.94</v>
      </c>
      <c r="E7486" t="s">
        <v>29</v>
      </c>
    </row>
    <row r="7487" spans="1:5" x14ac:dyDescent="0.25">
      <c r="A7487" t="str">
        <f>HYPERLINK("https://www.773grp.com/globalSearch/PCM1681PWPR/page-1", "PCM1681PWPR")</f>
        <v>PCM1681PWPR</v>
      </c>
      <c r="B7487" s="3" t="str">
        <f>HYPERLINK("https://www.773grp.com/manufacturer/texas-instruments?pageNo=577", "Texas Instruments")</f>
        <v>Texas Instruments</v>
      </c>
      <c r="C7487" s="5">
        <v>6000</v>
      </c>
      <c r="D7487" s="6">
        <v>3.94</v>
      </c>
      <c r="E7487" t="s">
        <v>29</v>
      </c>
    </row>
    <row r="7488" spans="1:5" x14ac:dyDescent="0.25">
      <c r="A7488" t="str">
        <f>HYPERLINK("https://www.773grp.com/globalSearch/TLV5606IDGKR/page-1", "TLV5606IDGKR")</f>
        <v>TLV5606IDGKR</v>
      </c>
      <c r="B7488" s="3" t="str">
        <f>HYPERLINK("https://www.773grp.com/manufacturer/texas-instruments?pageNo=639", "Texas Instruments")</f>
        <v>Texas Instruments</v>
      </c>
      <c r="C7488" s="5">
        <v>2500</v>
      </c>
      <c r="D7488" s="6">
        <v>3.94</v>
      </c>
      <c r="E7488" t="s">
        <v>29</v>
      </c>
    </row>
    <row r="7489" spans="1:5" x14ac:dyDescent="0.25">
      <c r="A7489" t="str">
        <f>HYPERLINK("https://www.773grp.com/globalSearch/TLV5606IDRG4/page-1", "TLV5606IDRG4")</f>
        <v>TLV5606IDRG4</v>
      </c>
      <c r="B7489" s="3" t="str">
        <f>HYPERLINK("https://www.773grp.com/manufacturer/texas-instruments?pageNo=641", "Texas Instruments")</f>
        <v>Texas Instruments</v>
      </c>
      <c r="C7489" s="5">
        <v>5000</v>
      </c>
      <c r="D7489" s="6">
        <v>3.94</v>
      </c>
      <c r="E7489" t="s">
        <v>29</v>
      </c>
    </row>
    <row r="7490" spans="1:5" x14ac:dyDescent="0.25">
      <c r="A7490" t="str">
        <f>HYPERLINK("https://www.773grp.com/globalSearch/TLC7524CDR/page-1", "TLC7524CDR")</f>
        <v>TLC7524CDR</v>
      </c>
      <c r="B7490" s="3" t="s">
        <v>90</v>
      </c>
      <c r="C7490" s="5">
        <v>2500</v>
      </c>
      <c r="D7490" s="6">
        <v>4.05</v>
      </c>
      <c r="E7490" t="s">
        <v>29</v>
      </c>
    </row>
    <row r="7491" spans="1:5" x14ac:dyDescent="0.25">
      <c r="A7491" t="str">
        <f>HYPERLINK("https://www.773grp.com/globalSearch/TLC7524CFNR/page-1", "TLC7524CFNR")</f>
        <v>TLC7524CFNR</v>
      </c>
      <c r="B7491" s="3" t="s">
        <v>90</v>
      </c>
      <c r="C7491" s="5">
        <v>16000</v>
      </c>
      <c r="D7491" s="6">
        <v>4.05</v>
      </c>
      <c r="E7491" t="s">
        <v>29</v>
      </c>
    </row>
    <row r="7492" spans="1:5" x14ac:dyDescent="0.25">
      <c r="A7492" t="str">
        <f>HYPERLINK("https://www.773grp.com/globalSearch/TLC7524CPWRG4/page-1", "TLC7524CPWRG4")</f>
        <v>TLC7524CPWRG4</v>
      </c>
      <c r="B7492" s="3" t="s">
        <v>90</v>
      </c>
      <c r="C7492" s="5">
        <v>4000</v>
      </c>
      <c r="D7492" s="6">
        <v>4.05</v>
      </c>
      <c r="E7492" t="s">
        <v>29</v>
      </c>
    </row>
    <row r="7493" spans="1:5" x14ac:dyDescent="0.25">
      <c r="A7493" t="str">
        <f>HYPERLINK("https://www.773grp.com/globalSearch/DAC7512N-3K/page-1", "DAC7512N-3K")</f>
        <v>DAC7512N-3K</v>
      </c>
      <c r="B7493" s="3" t="s">
        <v>90</v>
      </c>
      <c r="C7493" s="5">
        <v>3000</v>
      </c>
      <c r="D7493" s="6">
        <v>4.09</v>
      </c>
      <c r="E7493" t="s">
        <v>29</v>
      </c>
    </row>
    <row r="7494" spans="1:5" x14ac:dyDescent="0.25">
      <c r="A7494" t="str">
        <f>HYPERLINK("https://www.773grp.com/globalSearch/PCM1770RGAR/page-1", "PCM1770RGAR")</f>
        <v>PCM1770RGAR</v>
      </c>
      <c r="B7494" s="3" t="s">
        <v>90</v>
      </c>
      <c r="C7494" s="5">
        <v>22000</v>
      </c>
      <c r="D7494" s="6">
        <v>4.09</v>
      </c>
      <c r="E7494" t="s">
        <v>29</v>
      </c>
    </row>
    <row r="7495" spans="1:5" x14ac:dyDescent="0.25">
      <c r="A7495" t="str">
        <f>HYPERLINK("https://www.773grp.com/globalSearch/PCM1748KE/page-1", "PCM1748KE")</f>
        <v>PCM1748KE</v>
      </c>
      <c r="B7495" s="3" t="s">
        <v>90</v>
      </c>
      <c r="C7495" s="5">
        <v>4310</v>
      </c>
      <c r="D7495" s="6">
        <v>4.0999999999999996</v>
      </c>
      <c r="E7495" t="s">
        <v>29</v>
      </c>
    </row>
    <row r="7496" spans="1:5" x14ac:dyDescent="0.25">
      <c r="A7496" t="str">
        <f>HYPERLINK("https://www.773grp.com/globalSearch/PCM1748KE/page-1", "PCM1748KE")</f>
        <v>PCM1748KE</v>
      </c>
      <c r="B7496" s="3" t="s">
        <v>90</v>
      </c>
      <c r="C7496" s="5">
        <v>3972</v>
      </c>
      <c r="D7496" s="6">
        <v>4.0999999999999996</v>
      </c>
      <c r="E7496" t="s">
        <v>29</v>
      </c>
    </row>
    <row r="7497" spans="1:5" x14ac:dyDescent="0.25">
      <c r="A7497" t="str">
        <f>HYPERLINK("https://www.773grp.com/globalSearch/DAC7512E-2K5/page-1", "DAC7512E-2K5")</f>
        <v>DAC7512E-2K5</v>
      </c>
      <c r="B7497" s="3" t="s">
        <v>90</v>
      </c>
      <c r="C7497" s="5">
        <v>66140</v>
      </c>
      <c r="D7497" s="6">
        <v>4.2300000000000004</v>
      </c>
      <c r="E7497" t="s">
        <v>29</v>
      </c>
    </row>
    <row r="7498" spans="1:5" x14ac:dyDescent="0.25">
      <c r="A7498" t="str">
        <f>HYPERLINK("https://www.773grp.com/globalSearch/PCM1774RGPT/page-1", "PCM1774RGPT")</f>
        <v>PCM1774RGPT</v>
      </c>
      <c r="B7498" s="3" t="s">
        <v>90</v>
      </c>
      <c r="C7498" s="5">
        <v>5790</v>
      </c>
      <c r="D7498" s="6">
        <v>4.2300000000000004</v>
      </c>
      <c r="E7498" t="s">
        <v>29</v>
      </c>
    </row>
    <row r="7499" spans="1:5" x14ac:dyDescent="0.25">
      <c r="A7499" t="str">
        <f>HYPERLINK("https://www.773grp.com/globalSearch/PCM1753DBQR/page-1", "PCM1753DBQR")</f>
        <v>PCM1753DBQR</v>
      </c>
      <c r="B7499" s="3" t="s">
        <v>90</v>
      </c>
      <c r="C7499" s="5">
        <v>7900</v>
      </c>
      <c r="D7499" s="6">
        <v>4.6900000000000004</v>
      </c>
      <c r="E7499" t="s">
        <v>29</v>
      </c>
    </row>
    <row r="7500" spans="1:5" x14ac:dyDescent="0.25">
      <c r="A7500" t="str">
        <f>HYPERLINK("https://www.773grp.com/globalSearch/PCM1754DBQR/page-1", "PCM1754DBQR")</f>
        <v>PCM1754DBQR</v>
      </c>
      <c r="B7500" s="3" t="s">
        <v>90</v>
      </c>
      <c r="C7500" s="5">
        <v>18361</v>
      </c>
      <c r="D7500" s="6">
        <v>4.6900000000000004</v>
      </c>
      <c r="E7500" t="s">
        <v>29</v>
      </c>
    </row>
    <row r="7501" spans="1:5" x14ac:dyDescent="0.25">
      <c r="A7501" t="str">
        <f>HYPERLINK("https://www.773grp.com/globalSearch/PCM1755DBQR/page-1", "PCM1755DBQR")</f>
        <v>PCM1755DBQR</v>
      </c>
      <c r="B7501" s="3" t="s">
        <v>90</v>
      </c>
      <c r="C7501" s="5">
        <v>12000</v>
      </c>
      <c r="D7501" s="6">
        <v>4.6900000000000004</v>
      </c>
      <c r="E7501" t="s">
        <v>29</v>
      </c>
    </row>
    <row r="7502" spans="1:5" x14ac:dyDescent="0.25">
      <c r="A7502" t="str">
        <f>HYPERLINK("https://www.773grp.com/globalSearch/DAC5571IDBVR/page-1", "DAC5571IDBVR")</f>
        <v>DAC5571IDBVR</v>
      </c>
      <c r="B7502" s="3" t="s">
        <v>90</v>
      </c>
      <c r="C7502" s="5">
        <v>14570</v>
      </c>
      <c r="D7502" s="6">
        <v>4.74</v>
      </c>
      <c r="E7502" t="s">
        <v>29</v>
      </c>
    </row>
    <row r="7503" spans="1:5" x14ac:dyDescent="0.25">
      <c r="A7503" t="str">
        <f>HYPERLINK("https://www.773grp.com/globalSearch/PCM1782DBQR/page-1", "PCM1782DBQR")</f>
        <v>PCM1782DBQR</v>
      </c>
      <c r="B7503" s="3" t="s">
        <v>90</v>
      </c>
      <c r="C7503" s="5">
        <v>6000</v>
      </c>
      <c r="D7503" s="6">
        <v>4.74</v>
      </c>
      <c r="E7503" t="s">
        <v>29</v>
      </c>
    </row>
    <row r="7504" spans="1:5" x14ac:dyDescent="0.25">
      <c r="A7504" t="str">
        <f>HYPERLINK("https://www.773grp.com/globalSearch/DAC7571IDBVR/page-1", "DAC7571IDBVR")</f>
        <v>DAC7571IDBVR</v>
      </c>
      <c r="B7504" s="3" t="s">
        <v>90</v>
      </c>
      <c r="C7504" s="5">
        <v>12442</v>
      </c>
      <c r="D7504" s="6">
        <v>4.3499999999999996</v>
      </c>
      <c r="E7504" t="s">
        <v>29</v>
      </c>
    </row>
    <row r="7505" spans="1:5" x14ac:dyDescent="0.25">
      <c r="A7505" t="str">
        <f>HYPERLINK("https://www.773grp.com/globalSearch/PCM1748E/page-1", "PCM1748E")</f>
        <v>PCM1748E</v>
      </c>
      <c r="B7505" s="3" t="s">
        <v>90</v>
      </c>
      <c r="C7505" s="5">
        <v>3253</v>
      </c>
      <c r="D7505" s="6">
        <v>4.3499999999999996</v>
      </c>
      <c r="E7505" t="s">
        <v>29</v>
      </c>
    </row>
    <row r="7506" spans="1:5" x14ac:dyDescent="0.25">
      <c r="A7506" t="str">
        <f>HYPERLINK("https://www.773grp.com/globalSearch/TLC7524IDR/page-1", "TLC7524IDR")</f>
        <v>TLC7524IDR</v>
      </c>
      <c r="B7506" s="3" t="s">
        <v>90</v>
      </c>
      <c r="C7506" s="5">
        <v>69000</v>
      </c>
      <c r="D7506" s="6">
        <v>4.3499999999999996</v>
      </c>
      <c r="E7506" t="s">
        <v>29</v>
      </c>
    </row>
    <row r="7507" spans="1:5" x14ac:dyDescent="0.25">
      <c r="A7507" t="str">
        <f>HYPERLINK("https://www.773grp.com/globalSearch/TLC7524IFN/page-1", "TLC7524IFN")</f>
        <v>TLC7524IFN</v>
      </c>
      <c r="B7507" s="3" t="s">
        <v>90</v>
      </c>
      <c r="C7507" s="5">
        <v>19489</v>
      </c>
      <c r="D7507" s="6">
        <v>4.3499999999999996</v>
      </c>
      <c r="E7507" t="s">
        <v>29</v>
      </c>
    </row>
    <row r="7508" spans="1:5" x14ac:dyDescent="0.25">
      <c r="A7508" t="str">
        <f>HYPERLINK("https://www.773grp.com/globalSearch/PCM1742E-2K/page-1", "PCM1742E-2K")</f>
        <v>PCM1742E-2K</v>
      </c>
      <c r="B7508" s="3" t="s">
        <v>90</v>
      </c>
      <c r="C7508" s="5">
        <v>40000</v>
      </c>
      <c r="D7508" s="6">
        <v>4.3899999999999997</v>
      </c>
      <c r="E7508" t="s">
        <v>29</v>
      </c>
    </row>
    <row r="7509" spans="1:5" x14ac:dyDescent="0.25">
      <c r="A7509" t="str">
        <f>HYPERLINK("https://www.773grp.com/globalSearch/PCM1770PW/page-1", "PCM1770PW")</f>
        <v>PCM1770PW</v>
      </c>
      <c r="B7509" s="3" t="str">
        <f>HYPERLINK("https://www.773grp.com/manufacturer/texas-instruments?pageNo=217", "Texas Instruments")</f>
        <v>Texas Instruments</v>
      </c>
      <c r="C7509" s="5">
        <v>213</v>
      </c>
      <c r="D7509" s="6">
        <v>4.4400000000000004</v>
      </c>
      <c r="E7509" t="s">
        <v>29</v>
      </c>
    </row>
    <row r="7510" spans="1:5" x14ac:dyDescent="0.25">
      <c r="A7510" t="str">
        <f>HYPERLINK("https://www.773grp.com/globalSearch/TLV5606CDGK/page-1", "TLV5606CDGK")</f>
        <v>TLV5606CDGK</v>
      </c>
      <c r="B7510" s="3" t="str">
        <f>HYPERLINK("https://www.773grp.com/manufacturer/texas-instruments?pageNo=237", "Texas Instruments")</f>
        <v>Texas Instruments</v>
      </c>
      <c r="C7510" s="5">
        <v>8111</v>
      </c>
      <c r="D7510" s="6">
        <v>4.4400000000000004</v>
      </c>
      <c r="E7510" t="s">
        <v>29</v>
      </c>
    </row>
    <row r="7511" spans="1:5" x14ac:dyDescent="0.25">
      <c r="A7511" t="str">
        <f>HYPERLINK("https://www.773grp.com/globalSearch/TLV5624CD/page-1", "TLV5624CD")</f>
        <v>TLV5624CD</v>
      </c>
      <c r="B7511" s="3" t="str">
        <f>HYPERLINK("https://www.773grp.com/manufacturer/texas-instruments?pageNo=238", "Texas Instruments")</f>
        <v>Texas Instruments</v>
      </c>
      <c r="C7511" s="5">
        <v>1540</v>
      </c>
      <c r="D7511" s="6">
        <v>4.4400000000000004</v>
      </c>
      <c r="E7511" t="s">
        <v>29</v>
      </c>
    </row>
    <row r="7512" spans="1:5" x14ac:dyDescent="0.25">
      <c r="A7512" t="str">
        <f>HYPERLINK("https://www.773grp.com/globalSearch/TLV5624CDGKR/page-1", "TLV5624CDGKR")</f>
        <v>TLV5624CDGKR</v>
      </c>
      <c r="B7512" s="3" t="str">
        <f>HYPERLINK("https://www.773grp.com/manufacturer/texas-instruments?pageNo=239", "Texas Instruments")</f>
        <v>Texas Instruments</v>
      </c>
      <c r="C7512" s="5">
        <v>5000</v>
      </c>
      <c r="D7512" s="6">
        <v>4.4400000000000004</v>
      </c>
      <c r="E7512" t="s">
        <v>29</v>
      </c>
    </row>
    <row r="7513" spans="1:5" x14ac:dyDescent="0.25">
      <c r="A7513" t="str">
        <f>HYPERLINK("https://www.773grp.com/globalSearch/PCM1771PW/page-1", "PCM1771PW")</f>
        <v>PCM1771PW</v>
      </c>
      <c r="B7513" s="3" t="str">
        <f>HYPERLINK("https://www.773grp.com/manufacturer/texas-instruments?pageNo=326", "Texas Instruments")</f>
        <v>Texas Instruments</v>
      </c>
      <c r="C7513" s="5">
        <v>60</v>
      </c>
      <c r="D7513" s="6">
        <v>4.5</v>
      </c>
      <c r="E7513" t="s">
        <v>29</v>
      </c>
    </row>
    <row r="7514" spans="1:5" x14ac:dyDescent="0.25">
      <c r="A7514" t="str">
        <f>HYPERLINK("https://www.773grp.com/globalSearch/PCM1772PW/page-1", "PCM1772PW")</f>
        <v>PCM1772PW</v>
      </c>
      <c r="B7514" s="3" t="str">
        <f>HYPERLINK("https://www.773grp.com/manufacturer/texas-instruments?pageNo=327", "Texas Instruments")</f>
        <v>Texas Instruments</v>
      </c>
      <c r="C7514" s="5">
        <v>34</v>
      </c>
      <c r="D7514" s="6">
        <v>4.5</v>
      </c>
      <c r="E7514" t="s">
        <v>29</v>
      </c>
    </row>
    <row r="7515" spans="1:5" x14ac:dyDescent="0.25">
      <c r="A7515" t="str">
        <f>HYPERLINK("https://www.773grp.com/globalSearch/PCM1773PW/page-1", "PCM1773PW")</f>
        <v>PCM1773PW</v>
      </c>
      <c r="B7515" s="3" t="str">
        <f>HYPERLINK("https://www.773grp.com/manufacturer/texas-instruments?pageNo=328", "Texas Instruments")</f>
        <v>Texas Instruments</v>
      </c>
      <c r="C7515" s="5">
        <v>3252</v>
      </c>
      <c r="D7515" s="6">
        <v>4.5</v>
      </c>
      <c r="E7515" t="s">
        <v>29</v>
      </c>
    </row>
    <row r="7516" spans="1:5" x14ac:dyDescent="0.25">
      <c r="A7516" t="str">
        <f>HYPERLINK("https://www.773grp.com/globalSearch/DAC7311IDCKR/page-1", "DAC7311IDCKR")</f>
        <v>DAC7311IDCKR</v>
      </c>
      <c r="B7516" s="3" t="str">
        <f>HYPERLINK("https://www.773grp.com/manufacturer/texas-instruments?pageNo=479", "Texas Instruments")</f>
        <v>Texas Instruments</v>
      </c>
      <c r="C7516" s="5">
        <v>951</v>
      </c>
      <c r="D7516" s="6">
        <v>5.01</v>
      </c>
      <c r="E7516" t="s">
        <v>29</v>
      </c>
    </row>
    <row r="7517" spans="1:5" x14ac:dyDescent="0.25">
      <c r="A7517" t="str">
        <f>HYPERLINK("https://www.773grp.com/globalSearch/PCM1770RGA/page-1", "PCM1770RGA")</f>
        <v>PCM1770RGA</v>
      </c>
      <c r="B7517" s="3" t="str">
        <f>HYPERLINK("https://www.773grp.com/manufacturer/texas-instruments?pageNo=876", "Texas Instruments")</f>
        <v>Texas Instruments</v>
      </c>
      <c r="C7517" s="5">
        <v>350</v>
      </c>
      <c r="D7517" s="6">
        <v>4.6100000000000003</v>
      </c>
      <c r="E7517" t="s">
        <v>29</v>
      </c>
    </row>
    <row r="7518" spans="1:5" x14ac:dyDescent="0.25">
      <c r="A7518" t="str">
        <f>HYPERLINK("https://www.773grp.com/globalSearch/PCM1773RGA/page-1", "PCM1773RGA")</f>
        <v>PCM1773RGA</v>
      </c>
      <c r="B7518" s="3" t="str">
        <f>HYPERLINK("https://www.773grp.com/manufacturer/texas-instruments?pageNo=877", "Texas Instruments")</f>
        <v>Texas Instruments</v>
      </c>
      <c r="C7518" s="5">
        <v>250</v>
      </c>
      <c r="D7518" s="6">
        <v>4.6100000000000003</v>
      </c>
      <c r="E7518" t="s">
        <v>29</v>
      </c>
    </row>
    <row r="7519" spans="1:5" x14ac:dyDescent="0.25">
      <c r="A7519" t="str">
        <f>HYPERLINK("https://www.773grp.com/globalSearch/DAC6571IDBVT/page-1", "DAC6571IDBVT")</f>
        <v>DAC6571IDBVT</v>
      </c>
      <c r="B7519" s="3" t="s">
        <v>90</v>
      </c>
      <c r="C7519" s="5">
        <v>8675</v>
      </c>
      <c r="D7519" s="6">
        <v>4.6399999999999997</v>
      </c>
      <c r="E7519" t="s">
        <v>29</v>
      </c>
    </row>
    <row r="7520" spans="1:5" x14ac:dyDescent="0.25">
      <c r="A7520" t="str">
        <f>HYPERLINK("https://www.773grp.com/globalSearch/DAC6571IDBVTG4/page-1", "DAC6571IDBVTG4")</f>
        <v>DAC6571IDBVTG4</v>
      </c>
      <c r="B7520" s="3" t="s">
        <v>90</v>
      </c>
      <c r="C7520" s="5">
        <v>250</v>
      </c>
      <c r="D7520" s="6">
        <v>4.6399999999999997</v>
      </c>
      <c r="E7520" t="s">
        <v>29</v>
      </c>
    </row>
    <row r="7521" spans="1:5" x14ac:dyDescent="0.25">
      <c r="A7521" t="str">
        <f>HYPERLINK("https://www.773grp.com/globalSearch/DAC7551IDRNT/page-1", "DAC7551IDRNT")</f>
        <v>DAC7551IDRNT</v>
      </c>
      <c r="B7521" s="3" t="s">
        <v>90</v>
      </c>
      <c r="C7521" s="5">
        <v>1271</v>
      </c>
      <c r="D7521" s="6">
        <v>4.6399999999999997</v>
      </c>
      <c r="E7521" t="s">
        <v>29</v>
      </c>
    </row>
    <row r="7522" spans="1:5" x14ac:dyDescent="0.25">
      <c r="A7522" t="str">
        <f>HYPERLINK("https://www.773grp.com/globalSearch/PCM1733U-2K/page-1", "PCM1733U-2K")</f>
        <v>PCM1733U-2K</v>
      </c>
      <c r="B7522" s="3" t="s">
        <v>90</v>
      </c>
      <c r="C7522" s="5">
        <v>6000</v>
      </c>
      <c r="D7522" s="6">
        <v>4.6399999999999997</v>
      </c>
      <c r="E7522" t="s">
        <v>29</v>
      </c>
    </row>
    <row r="7523" spans="1:5" x14ac:dyDescent="0.25">
      <c r="A7523" t="str">
        <f>HYPERLINK("https://www.773grp.com/globalSearch/PCM1744U-2K/page-1", "PCM1744U-2K")</f>
        <v>PCM1744U-2K</v>
      </c>
      <c r="B7523" s="3" t="s">
        <v>90</v>
      </c>
      <c r="C7523" s="5">
        <v>19712</v>
      </c>
      <c r="D7523" s="6">
        <v>4.6399999999999997</v>
      </c>
      <c r="E7523" t="s">
        <v>29</v>
      </c>
    </row>
    <row r="7524" spans="1:5" x14ac:dyDescent="0.25">
      <c r="A7524" t="str">
        <f>HYPERLINK("https://www.773grp.com/globalSearch/PCM1789PWR/page-1", "PCM1789PWR")</f>
        <v>PCM1789PWR</v>
      </c>
      <c r="B7524" s="3" t="s">
        <v>90</v>
      </c>
      <c r="C7524" s="5">
        <v>8000</v>
      </c>
      <c r="D7524" s="6">
        <v>4.6399999999999997</v>
      </c>
      <c r="E7524" t="s">
        <v>29</v>
      </c>
    </row>
    <row r="7525" spans="1:5" x14ac:dyDescent="0.25">
      <c r="A7525" t="str">
        <f>HYPERLINK("https://www.773grp.com/globalSearch/TLC7528CFNR/page-1", "TLC7528CFNR")</f>
        <v>TLC7528CFNR</v>
      </c>
      <c r="B7525" s="3" t="s">
        <v>90</v>
      </c>
      <c r="C7525" s="5">
        <v>3000</v>
      </c>
      <c r="D7525" s="6">
        <v>4.6399999999999997</v>
      </c>
      <c r="E7525" t="s">
        <v>29</v>
      </c>
    </row>
    <row r="7526" spans="1:5" x14ac:dyDescent="0.25">
      <c r="A7526" t="str">
        <f>HYPERLINK("https://www.773grp.com/globalSearch/TLC7528CN/page-1", "TLC7528CN")</f>
        <v>TLC7528CN</v>
      </c>
      <c r="B7526" s="3" t="s">
        <v>90</v>
      </c>
      <c r="C7526" s="5">
        <v>2711</v>
      </c>
      <c r="D7526" s="6">
        <v>4.6399999999999997</v>
      </c>
      <c r="E7526" t="s">
        <v>29</v>
      </c>
    </row>
    <row r="7527" spans="1:5" x14ac:dyDescent="0.25">
      <c r="A7527" t="str">
        <f>HYPERLINK("https://www.773grp.com/globalSearch/TLC7528CPWR/page-1", "TLC7528CPWR")</f>
        <v>TLC7528CPWR</v>
      </c>
      <c r="B7527" s="3" t="s">
        <v>90</v>
      </c>
      <c r="C7527" s="5">
        <v>2000</v>
      </c>
      <c r="D7527" s="6">
        <v>4.6399999999999997</v>
      </c>
      <c r="E7527" t="s">
        <v>29</v>
      </c>
    </row>
    <row r="7528" spans="1:5" x14ac:dyDescent="0.25">
      <c r="A7528" t="str">
        <f>HYPERLINK("https://www.773grp.com/globalSearch/TLC7524EDR/page-1", "TLC7524EDR")</f>
        <v>TLC7524EDR</v>
      </c>
      <c r="B7528" s="3" t="s">
        <v>90</v>
      </c>
      <c r="C7528" s="5">
        <v>7500</v>
      </c>
      <c r="D7528" s="6">
        <v>4.68</v>
      </c>
      <c r="E7528" t="s">
        <v>29</v>
      </c>
    </row>
    <row r="7529" spans="1:5" x14ac:dyDescent="0.25">
      <c r="A7529" t="str">
        <f>HYPERLINK("https://www.773grp.com/globalSearch/TLC7524CN/page-1", "TLC7524CN")</f>
        <v>TLC7524CN</v>
      </c>
      <c r="B7529" s="3" t="s">
        <v>90</v>
      </c>
      <c r="C7529" s="5">
        <v>4361</v>
      </c>
      <c r="D7529" s="6">
        <v>4.6900000000000004</v>
      </c>
      <c r="E7529" t="s">
        <v>29</v>
      </c>
    </row>
    <row r="7530" spans="1:5" x14ac:dyDescent="0.25">
      <c r="A7530" t="str">
        <f>HYPERLINK("https://www.773grp.com/globalSearch/TLC7524CNE4/page-1", "TLC7524CNE4")</f>
        <v>TLC7524CNE4</v>
      </c>
      <c r="B7530" s="3" t="s">
        <v>90</v>
      </c>
      <c r="C7530" s="5">
        <v>600</v>
      </c>
      <c r="D7530" s="6">
        <v>4.6900000000000004</v>
      </c>
      <c r="E7530" t="s">
        <v>29</v>
      </c>
    </row>
    <row r="7531" spans="1:5" x14ac:dyDescent="0.25">
      <c r="A7531" t="str">
        <f>HYPERLINK("https://www.773grp.com/globalSearch/TLV5625CDR/page-1", "TLV5625CDR")</f>
        <v>TLV5625CDR</v>
      </c>
      <c r="B7531" s="3" t="s">
        <v>90</v>
      </c>
      <c r="C7531" s="5">
        <v>2300</v>
      </c>
      <c r="D7531" s="6">
        <v>4.6900000000000004</v>
      </c>
      <c r="E7531" t="s">
        <v>29</v>
      </c>
    </row>
    <row r="7532" spans="1:5" x14ac:dyDescent="0.25">
      <c r="A7532" t="str">
        <f>HYPERLINK("https://www.773grp.com/globalSearch/TLV5606ID/page-1", "TLV5606ID")</f>
        <v>TLV5606ID</v>
      </c>
      <c r="B7532" s="3" t="s">
        <v>90</v>
      </c>
      <c r="C7532" s="5">
        <v>164</v>
      </c>
      <c r="D7532" s="6">
        <v>4.7300000000000004</v>
      </c>
      <c r="E7532" t="s">
        <v>29</v>
      </c>
    </row>
    <row r="7533" spans="1:5" x14ac:dyDescent="0.25">
      <c r="A7533" t="str">
        <f>HYPERLINK("https://www.773grp.com/globalSearch/TLV5606IDGK/page-1", "TLV5606IDGK")</f>
        <v>TLV5606IDGK</v>
      </c>
      <c r="B7533" s="3" t="s">
        <v>90</v>
      </c>
      <c r="C7533" s="5">
        <v>6432</v>
      </c>
      <c r="D7533" s="6">
        <v>4.7300000000000004</v>
      </c>
      <c r="E7533" t="s">
        <v>29</v>
      </c>
    </row>
    <row r="7534" spans="1:5" x14ac:dyDescent="0.25">
      <c r="A7534" t="str">
        <f>HYPERLINK("https://www.773grp.com/globalSearch/PCM1681TPWPQ1/page-1", "PCM1681TPWPQ1")</f>
        <v>PCM1681TPWPQ1</v>
      </c>
      <c r="B7534" s="3" t="s">
        <v>90</v>
      </c>
      <c r="C7534" s="5">
        <v>545</v>
      </c>
      <c r="D7534" s="6">
        <v>4.78</v>
      </c>
      <c r="E7534" t="s">
        <v>29</v>
      </c>
    </row>
    <row r="7535" spans="1:5" x14ac:dyDescent="0.25">
      <c r="A7535" t="str">
        <f>HYPERLINK("https://www.773grp.com/globalSearch/PCM1680DBQ/page-1", "PCM1680DBQ")</f>
        <v>PCM1680DBQ</v>
      </c>
      <c r="B7535" s="3" t="s">
        <v>90</v>
      </c>
      <c r="C7535" s="5">
        <v>1674</v>
      </c>
      <c r="D7535" s="6">
        <v>4.93</v>
      </c>
      <c r="E7535" t="s">
        <v>29</v>
      </c>
    </row>
    <row r="7536" spans="1:5" x14ac:dyDescent="0.25">
      <c r="A7536" t="str">
        <f>HYPERLINK("https://www.773grp.com/globalSearch/TLC7524CD/page-1", "TLC7524CD")</f>
        <v>TLC7524CD</v>
      </c>
      <c r="B7536" s="3" t="s">
        <v>90</v>
      </c>
      <c r="C7536" s="5">
        <v>35899</v>
      </c>
      <c r="D7536" s="6">
        <v>4.93</v>
      </c>
      <c r="E7536" t="s">
        <v>29</v>
      </c>
    </row>
    <row r="7537" spans="1:5" x14ac:dyDescent="0.25">
      <c r="A7537" t="str">
        <f>HYPERLINK("https://www.773grp.com/globalSearch/TLC7524CFN/page-1", "TLC7524CFN")</f>
        <v>TLC7524CFN</v>
      </c>
      <c r="B7537" s="3" t="s">
        <v>90</v>
      </c>
      <c r="C7537" s="5">
        <v>23830</v>
      </c>
      <c r="D7537" s="6">
        <v>4.93</v>
      </c>
      <c r="E7537" t="s">
        <v>29</v>
      </c>
    </row>
    <row r="7538" spans="1:5" x14ac:dyDescent="0.25">
      <c r="A7538" t="str">
        <f>HYPERLINK("https://www.773grp.com/globalSearch/TLC7524IN/page-1", "TLC7524IN")</f>
        <v>TLC7524IN</v>
      </c>
      <c r="B7538" s="3" t="s">
        <v>90</v>
      </c>
      <c r="C7538" s="5">
        <v>6088</v>
      </c>
      <c r="D7538" s="6">
        <v>5.01</v>
      </c>
      <c r="E7538" t="s">
        <v>29</v>
      </c>
    </row>
    <row r="7539" spans="1:5" x14ac:dyDescent="0.25">
      <c r="A7539" t="str">
        <f>HYPERLINK("https://www.773grp.com/globalSearch/DAC7571IDBVT/page-1", "DAC7571IDBVT")</f>
        <v>DAC7571IDBVT</v>
      </c>
      <c r="B7539" s="3" t="s">
        <v>90</v>
      </c>
      <c r="C7539" s="5">
        <v>4586</v>
      </c>
      <c r="D7539" s="6">
        <v>5.0599999999999996</v>
      </c>
      <c r="E7539" t="s">
        <v>29</v>
      </c>
    </row>
    <row r="7540" spans="1:5" x14ac:dyDescent="0.25">
      <c r="A7540" t="str">
        <f>HYPERLINK("https://www.773grp.com/globalSearch/PCM1742E/page-1", "PCM1742E")</f>
        <v>PCM1742E</v>
      </c>
      <c r="B7540" s="3" t="s">
        <v>90</v>
      </c>
      <c r="C7540" s="5">
        <v>2771</v>
      </c>
      <c r="D7540" s="6">
        <v>5.0599999999999996</v>
      </c>
      <c r="E7540" t="s">
        <v>29</v>
      </c>
    </row>
    <row r="7541" spans="1:5" x14ac:dyDescent="0.25">
      <c r="A7541" t="str">
        <f>HYPERLINK("https://www.773grp.com/globalSearch/PCM1742KE/page-1", "PCM1742KE")</f>
        <v>PCM1742KE</v>
      </c>
      <c r="B7541" s="3" t="s">
        <v>90</v>
      </c>
      <c r="C7541" s="5">
        <v>112</v>
      </c>
      <c r="D7541" s="6">
        <v>5.0599999999999996</v>
      </c>
      <c r="E7541" t="s">
        <v>29</v>
      </c>
    </row>
    <row r="7542" spans="1:5" x14ac:dyDescent="0.25">
      <c r="A7542" t="str">
        <f>HYPERLINK("https://www.773grp.com/globalSearch/TLC7528IFN/page-1", "TLC7528IFN")</f>
        <v>TLC7528IFN</v>
      </c>
      <c r="B7542" s="3" t="s">
        <v>90</v>
      </c>
      <c r="C7542" s="5">
        <v>10181</v>
      </c>
      <c r="D7542" s="6">
        <v>5.0599999999999996</v>
      </c>
      <c r="E7542" t="s">
        <v>29</v>
      </c>
    </row>
    <row r="7543" spans="1:5" x14ac:dyDescent="0.25">
      <c r="A7543" t="str">
        <f>HYPERLINK("https://www.773grp.com/globalSearch/TLC7528IFN/page-1", "TLC7528IFN")</f>
        <v>TLC7528IFN</v>
      </c>
      <c r="B7543" s="3" t="s">
        <v>90</v>
      </c>
      <c r="C7543" s="5">
        <v>1380</v>
      </c>
      <c r="D7543" s="6">
        <v>5.0599999999999996</v>
      </c>
      <c r="E7543" t="s">
        <v>29</v>
      </c>
    </row>
    <row r="7544" spans="1:5" x14ac:dyDescent="0.25">
      <c r="A7544" t="str">
        <f>HYPERLINK("https://www.773grp.com/globalSearch/TLC7528IN/page-1", "TLC7528IN")</f>
        <v>TLC7528IN</v>
      </c>
      <c r="B7544" s="3" t="s">
        <v>90</v>
      </c>
      <c r="C7544" s="5">
        <v>2429</v>
      </c>
      <c r="D7544" s="6">
        <v>5.0599999999999996</v>
      </c>
      <c r="E7544" t="s">
        <v>29</v>
      </c>
    </row>
    <row r="7545" spans="1:5" x14ac:dyDescent="0.25">
      <c r="A7545" t="str">
        <f>HYPERLINK("https://www.773grp.com/globalSearch/TLC7528IPWR/page-1", "TLC7528IPWR")</f>
        <v>TLC7528IPWR</v>
      </c>
      <c r="B7545" s="3" t="s">
        <v>90</v>
      </c>
      <c r="C7545" s="5">
        <v>4000</v>
      </c>
      <c r="D7545" s="6">
        <v>5.0599999999999996</v>
      </c>
      <c r="E7545" t="s">
        <v>29</v>
      </c>
    </row>
    <row r="7546" spans="1:5" x14ac:dyDescent="0.25">
      <c r="A7546" t="str">
        <f>HYPERLINK("https://www.773grp.com/globalSearch/TLV5621EDR/page-1", "TLV5621EDR")</f>
        <v>TLV5621EDR</v>
      </c>
      <c r="B7546" s="3" t="s">
        <v>90</v>
      </c>
      <c r="C7546" s="5">
        <v>32500</v>
      </c>
      <c r="D7546" s="6">
        <v>5.0599999999999996</v>
      </c>
      <c r="E7546" t="s">
        <v>29</v>
      </c>
    </row>
    <row r="7547" spans="1:5" x14ac:dyDescent="0.25">
      <c r="A7547" t="str">
        <f>HYPERLINK("https://www.773grp.com/globalSearch/TLC7524CNS/page-1", "TLC7524CNS")</f>
        <v>TLC7524CNS</v>
      </c>
      <c r="B7547" s="3" t="s">
        <v>90</v>
      </c>
      <c r="C7547" s="5">
        <v>194</v>
      </c>
      <c r="D7547" s="6">
        <v>5.15</v>
      </c>
      <c r="E7547" t="s">
        <v>29</v>
      </c>
    </row>
    <row r="7548" spans="1:5" x14ac:dyDescent="0.25">
      <c r="A7548" t="str">
        <f>HYPERLINK("https://www.773grp.com/globalSearch/TLC7524ID/page-1", "TLC7524ID")</f>
        <v>TLC7524ID</v>
      </c>
      <c r="B7548" s="3" t="s">
        <v>90</v>
      </c>
      <c r="C7548" s="5">
        <v>2138</v>
      </c>
      <c r="D7548" s="6">
        <v>5.24</v>
      </c>
      <c r="E7548" t="s">
        <v>29</v>
      </c>
    </row>
    <row r="7549" spans="1:5" x14ac:dyDescent="0.25">
      <c r="A7549" t="str">
        <f>HYPERLINK("https://www.773grp.com/globalSearch/TLC7524IPW/page-1", "TLC7524IPW")</f>
        <v>TLC7524IPW</v>
      </c>
      <c r="B7549" s="3" t="s">
        <v>90</v>
      </c>
      <c r="C7549" s="5">
        <v>6080</v>
      </c>
      <c r="D7549" s="6">
        <v>5.24</v>
      </c>
      <c r="E7549" t="s">
        <v>29</v>
      </c>
    </row>
    <row r="7550" spans="1:5" x14ac:dyDescent="0.25">
      <c r="A7550" t="str">
        <f>HYPERLINK("https://www.773grp.com/globalSearch/PCM1725DR/page-1", "PCM1725DR")</f>
        <v>PCM1725DR</v>
      </c>
      <c r="B7550" s="3" t="s">
        <v>90</v>
      </c>
      <c r="C7550" s="5">
        <v>2000</v>
      </c>
      <c r="D7550" s="6">
        <v>5.26</v>
      </c>
      <c r="E7550" t="s">
        <v>29</v>
      </c>
    </row>
    <row r="7551" spans="1:5" x14ac:dyDescent="0.25">
      <c r="A7551" t="str">
        <f>HYPERLINK("https://www.773grp.com/globalSearch/PCM1725U-2K/page-1", "PCM1725U-2K")</f>
        <v>PCM1725U-2K</v>
      </c>
      <c r="B7551" s="3" t="s">
        <v>90</v>
      </c>
      <c r="C7551" s="5">
        <v>6940</v>
      </c>
      <c r="D7551" s="6">
        <v>5.26</v>
      </c>
      <c r="E7551" t="s">
        <v>29</v>
      </c>
    </row>
    <row r="7552" spans="1:5" x14ac:dyDescent="0.25">
      <c r="A7552" t="str">
        <f>HYPERLINK("https://www.773grp.com/globalSearch/TLC5602CN/page-1", "TLC5602CN")</f>
        <v>TLC5602CN</v>
      </c>
      <c r="B7552" s="3" t="s">
        <v>90</v>
      </c>
      <c r="C7552" s="5">
        <v>3757</v>
      </c>
      <c r="D7552" s="6">
        <v>5.31</v>
      </c>
      <c r="E7552" t="s">
        <v>29</v>
      </c>
    </row>
    <row r="7553" spans="1:5" x14ac:dyDescent="0.25">
      <c r="A7553" t="str">
        <f>HYPERLINK("https://www.773grp.com/globalSearch/TLC7524EN/page-1", "TLC7524EN")</f>
        <v>TLC7524EN</v>
      </c>
      <c r="B7553" s="3" t="s">
        <v>90</v>
      </c>
      <c r="C7553" s="5">
        <v>2780</v>
      </c>
      <c r="D7553" s="6">
        <v>5.31</v>
      </c>
      <c r="E7553" t="s">
        <v>29</v>
      </c>
    </row>
    <row r="7554" spans="1:5" x14ac:dyDescent="0.25">
      <c r="A7554" t="str">
        <f>HYPERLINK("https://www.773grp.com/globalSearch/DAC7513N-250/page-1", "DAC7513N-250")</f>
        <v>DAC7513N-250</v>
      </c>
      <c r="B7554" s="3" t="s">
        <v>90</v>
      </c>
      <c r="C7554" s="5">
        <v>21700</v>
      </c>
      <c r="D7554" s="6">
        <v>5.35</v>
      </c>
      <c r="E7554" t="s">
        <v>29</v>
      </c>
    </row>
    <row r="7555" spans="1:5" x14ac:dyDescent="0.25">
      <c r="A7555" t="str">
        <f>HYPERLINK("https://www.773grp.com/globalSearch/TLC5615CDGKR/page-1", "TLC5615CDGKR")</f>
        <v>TLC5615CDGKR</v>
      </c>
      <c r="B7555" s="3" t="s">
        <v>90</v>
      </c>
      <c r="C7555" s="5">
        <v>9910</v>
      </c>
      <c r="D7555" s="6">
        <v>5.35</v>
      </c>
      <c r="E7555" t="s">
        <v>29</v>
      </c>
    </row>
    <row r="7556" spans="1:5" x14ac:dyDescent="0.25">
      <c r="A7556" t="str">
        <f>HYPERLINK("https://www.773grp.com/globalSearch/TLC5615CDR/page-1", "TLC5615CDR")</f>
        <v>TLC5615CDR</v>
      </c>
      <c r="B7556" s="3" t="s">
        <v>90</v>
      </c>
      <c r="C7556" s="5">
        <v>27182</v>
      </c>
      <c r="D7556" s="6">
        <v>5.35</v>
      </c>
      <c r="E7556" t="s">
        <v>29</v>
      </c>
    </row>
    <row r="7557" spans="1:5" x14ac:dyDescent="0.25">
      <c r="A7557" t="str">
        <f>HYPERLINK("https://www.773grp.com/globalSearch/TLC5615CP/page-1", "TLC5615CP")</f>
        <v>TLC5615CP</v>
      </c>
      <c r="B7557" s="3" t="s">
        <v>90</v>
      </c>
      <c r="C7557" s="5">
        <v>3415</v>
      </c>
      <c r="D7557" s="6">
        <v>5.35</v>
      </c>
      <c r="E7557" t="s">
        <v>29</v>
      </c>
    </row>
    <row r="7558" spans="1:5" x14ac:dyDescent="0.25">
      <c r="A7558" t="str">
        <f>HYPERLINK("https://www.773grp.com/globalSearch/TLC7528EDWR/page-1", "TLC7528EDWR")</f>
        <v>TLC7528EDWR</v>
      </c>
      <c r="B7558" s="3" t="s">
        <v>90</v>
      </c>
      <c r="C7558" s="5">
        <v>2000</v>
      </c>
      <c r="D7558" s="6">
        <v>5.35</v>
      </c>
      <c r="E7558" t="s">
        <v>29</v>
      </c>
    </row>
    <row r="7559" spans="1:5" x14ac:dyDescent="0.25">
      <c r="A7559" t="str">
        <f>HYPERLINK("https://www.773grp.com/globalSearch/TLV5624CDGK/page-1", "TLV5624CDGK")</f>
        <v>TLV5624CDGK</v>
      </c>
      <c r="B7559" s="3" t="s">
        <v>90</v>
      </c>
      <c r="C7559" s="5">
        <v>3210</v>
      </c>
      <c r="D7559" s="6">
        <v>5.4</v>
      </c>
      <c r="E7559" t="s">
        <v>29</v>
      </c>
    </row>
    <row r="7560" spans="1:5" x14ac:dyDescent="0.25">
      <c r="A7560" t="str">
        <f>HYPERLINK("https://www.773grp.com/globalSearch/TLC5620IDR/page-1", "TLC5620IDR")</f>
        <v>TLC5620IDR</v>
      </c>
      <c r="B7560" s="3" t="s">
        <v>90</v>
      </c>
      <c r="C7560" s="5">
        <v>4765</v>
      </c>
      <c r="D7560" s="6">
        <v>5.45</v>
      </c>
      <c r="E7560" t="s">
        <v>29</v>
      </c>
    </row>
    <row r="7561" spans="1:5" x14ac:dyDescent="0.25">
      <c r="A7561" t="str">
        <f>HYPERLINK("https://www.773grp.com/globalSearch/DAC7513E-250/page-1", "DAC7513E-250")</f>
        <v>DAC7513E-250</v>
      </c>
      <c r="B7561" s="3" t="s">
        <v>90</v>
      </c>
      <c r="C7561" s="5">
        <v>1250</v>
      </c>
      <c r="D7561" s="6">
        <v>5.49</v>
      </c>
      <c r="E7561" t="s">
        <v>29</v>
      </c>
    </row>
    <row r="7562" spans="1:5" x14ac:dyDescent="0.25">
      <c r="A7562" t="str">
        <f>HYPERLINK("https://www.773grp.com/globalSearch/TLC7524ED/page-1", "TLC7524ED")</f>
        <v>TLC7524ED</v>
      </c>
      <c r="B7562" s="3" t="s">
        <v>90</v>
      </c>
      <c r="C7562" s="5">
        <v>230</v>
      </c>
      <c r="D7562" s="6">
        <v>5.54</v>
      </c>
      <c r="E7562" t="s">
        <v>29</v>
      </c>
    </row>
    <row r="7563" spans="1:5" x14ac:dyDescent="0.25">
      <c r="A7563" t="str">
        <f>HYPERLINK("https://www.773grp.com/globalSearch/TLC5615IDGK/page-1", "TLC5615IDGK")</f>
        <v>TLC5615IDGK</v>
      </c>
      <c r="B7563" s="3" t="s">
        <v>90</v>
      </c>
      <c r="C7563" s="5">
        <v>1045</v>
      </c>
      <c r="D7563" s="6">
        <v>5.63</v>
      </c>
      <c r="E7563" t="s">
        <v>29</v>
      </c>
    </row>
    <row r="7564" spans="1:5" x14ac:dyDescent="0.25">
      <c r="A7564" t="str">
        <f>HYPERLINK("https://www.773grp.com/globalSearch/TLC5615IDR/page-1", "TLC5615IDR")</f>
        <v>TLC5615IDR</v>
      </c>
      <c r="B7564" s="3" t="s">
        <v>90</v>
      </c>
      <c r="C7564" s="5">
        <v>10000</v>
      </c>
      <c r="D7564" s="6">
        <v>5.63</v>
      </c>
      <c r="E7564" t="s">
        <v>29</v>
      </c>
    </row>
    <row r="7565" spans="1:5" x14ac:dyDescent="0.25">
      <c r="A7565" t="str">
        <f>HYPERLINK("https://www.773grp.com/globalSearch/TLC5615IP/page-1", "TLC5615IP")</f>
        <v>TLC5615IP</v>
      </c>
      <c r="B7565" s="3" t="s">
        <v>90</v>
      </c>
      <c r="C7565" s="5">
        <v>70025</v>
      </c>
      <c r="D7565" s="6">
        <v>5.63</v>
      </c>
      <c r="E7565" t="s">
        <v>29</v>
      </c>
    </row>
    <row r="7566" spans="1:5" x14ac:dyDescent="0.25">
      <c r="A7566" t="str">
        <f>HYPERLINK("https://www.773grp.com/globalSearch/TLC7528CDW/page-1", "TLC7528CDW")</f>
        <v>TLC7528CDW</v>
      </c>
      <c r="B7566" s="3" t="s">
        <v>90</v>
      </c>
      <c r="C7566" s="5">
        <v>373</v>
      </c>
      <c r="D7566" s="6">
        <v>5.63</v>
      </c>
      <c r="E7566" t="s">
        <v>29</v>
      </c>
    </row>
    <row r="7567" spans="1:5" x14ac:dyDescent="0.25">
      <c r="A7567" t="str">
        <f>HYPERLINK("https://www.773grp.com/globalSearch/TLC7528CFN/page-1", "TLC7528CFN")</f>
        <v>TLC7528CFN</v>
      </c>
      <c r="B7567" s="3" t="s">
        <v>90</v>
      </c>
      <c r="C7567" s="5">
        <v>18993</v>
      </c>
      <c r="D7567" s="6">
        <v>5.63</v>
      </c>
      <c r="E7567" t="s">
        <v>29</v>
      </c>
    </row>
    <row r="7568" spans="1:5" x14ac:dyDescent="0.25">
      <c r="A7568" t="str">
        <f>HYPERLINK("https://www.773grp.com/globalSearch/TLC7528CPW/page-1", "TLC7528CPW")</f>
        <v>TLC7528CPW</v>
      </c>
      <c r="B7568" s="3" t="s">
        <v>90</v>
      </c>
      <c r="C7568" s="5">
        <v>1200</v>
      </c>
      <c r="D7568" s="6">
        <v>5.63</v>
      </c>
      <c r="E7568" t="s">
        <v>29</v>
      </c>
    </row>
    <row r="7569" spans="1:5" x14ac:dyDescent="0.25">
      <c r="A7569" t="str">
        <f>HYPERLINK("https://www.773grp.com/globalSearch/TLC7528EN/page-1", "TLC7528EN")</f>
        <v>TLC7528EN</v>
      </c>
      <c r="B7569" s="3" t="s">
        <v>90</v>
      </c>
      <c r="C7569" s="5">
        <v>33843</v>
      </c>
      <c r="D7569" s="6">
        <v>5.63</v>
      </c>
      <c r="E7569" t="s">
        <v>29</v>
      </c>
    </row>
    <row r="7570" spans="1:5" x14ac:dyDescent="0.25">
      <c r="A7570" t="str">
        <f>HYPERLINK("https://www.773grp.com/globalSearch/TLC5602CDW/page-1", "TLC5602CDW")</f>
        <v>TLC5602CDW</v>
      </c>
      <c r="B7570" s="3" t="s">
        <v>90</v>
      </c>
      <c r="C7570" s="5">
        <v>3565</v>
      </c>
      <c r="D7570" s="6">
        <v>5.7</v>
      </c>
      <c r="E7570" t="s">
        <v>29</v>
      </c>
    </row>
    <row r="7571" spans="1:5" x14ac:dyDescent="0.25">
      <c r="A7571" t="str">
        <f>HYPERLINK("https://www.773grp.com/globalSearch/TLV5625CD/page-1", "TLV5625CD")</f>
        <v>TLV5625CD</v>
      </c>
      <c r="B7571" s="3" t="s">
        <v>90</v>
      </c>
      <c r="C7571" s="5">
        <v>83</v>
      </c>
      <c r="D7571" s="6">
        <v>5.7</v>
      </c>
      <c r="E7571" t="s">
        <v>29</v>
      </c>
    </row>
    <row r="7572" spans="1:5" x14ac:dyDescent="0.25">
      <c r="A7572" t="str">
        <f>HYPERLINK("https://www.773grp.com/globalSearch/TLV5624ID/page-1", "TLV5624ID")</f>
        <v>TLV5624ID</v>
      </c>
      <c r="B7572" s="3" t="s">
        <v>90</v>
      </c>
      <c r="C7572" s="5">
        <v>2857</v>
      </c>
      <c r="D7572" s="6">
        <v>5.74</v>
      </c>
      <c r="E7572" t="s">
        <v>29</v>
      </c>
    </row>
    <row r="7573" spans="1:5" x14ac:dyDescent="0.25">
      <c r="A7573" t="str">
        <f>HYPERLINK("https://www.773grp.com/globalSearch/TLV5624IDGK/page-1", "TLV5624IDGK")</f>
        <v>TLV5624IDGK</v>
      </c>
      <c r="B7573" s="3" t="s">
        <v>90</v>
      </c>
      <c r="C7573" s="5">
        <v>1485</v>
      </c>
      <c r="D7573" s="6">
        <v>5.74</v>
      </c>
      <c r="E7573" t="s">
        <v>29</v>
      </c>
    </row>
    <row r="7574" spans="1:5" x14ac:dyDescent="0.25">
      <c r="A7574" t="str">
        <f>HYPERLINK("https://www.773grp.com/globalSearch/TLV320DAC3101IRHBT/page-1", "TLV320DAC3101IRHBT")</f>
        <v>TLV320DAC3101IRHBT</v>
      </c>
      <c r="B7574" s="3" t="s">
        <v>90</v>
      </c>
      <c r="C7574" s="5">
        <v>250</v>
      </c>
      <c r="D7574" s="6">
        <v>5.78</v>
      </c>
      <c r="E7574" t="s">
        <v>29</v>
      </c>
    </row>
    <row r="7575" spans="1:5" x14ac:dyDescent="0.25">
      <c r="A7575" t="str">
        <f>HYPERLINK("https://www.773grp.com/globalSearch/TLV320DAC3120IRHBT/page-1", "TLV320DAC3120IRHBT")</f>
        <v>TLV320DAC3120IRHBT</v>
      </c>
      <c r="B7575" s="3" t="s">
        <v>90</v>
      </c>
      <c r="C7575" s="5">
        <v>654</v>
      </c>
      <c r="D7575" s="6">
        <v>5.78</v>
      </c>
      <c r="E7575" t="s">
        <v>29</v>
      </c>
    </row>
    <row r="7576" spans="1:5" x14ac:dyDescent="0.25">
      <c r="A7576" t="str">
        <f>HYPERLINK("https://www.773grp.com/globalSearch/TLV5627CDR/page-1", "TLV5627CDR")</f>
        <v>TLV5627CDR</v>
      </c>
      <c r="B7576" s="3" t="s">
        <v>90</v>
      </c>
      <c r="C7576" s="5">
        <v>15000</v>
      </c>
      <c r="D7576" s="6">
        <v>5.78</v>
      </c>
      <c r="E7576" t="s">
        <v>29</v>
      </c>
    </row>
    <row r="7577" spans="1:5" x14ac:dyDescent="0.25">
      <c r="A7577" t="str">
        <f>HYPERLINK("https://www.773grp.com/globalSearch/TLV5627CPWR/page-1", "TLV5627CPWR")</f>
        <v>TLV5627CPWR</v>
      </c>
      <c r="B7577" s="3" t="s">
        <v>90</v>
      </c>
      <c r="C7577" s="5">
        <v>12000</v>
      </c>
      <c r="D7577" s="6">
        <v>5.78</v>
      </c>
      <c r="E7577" t="s">
        <v>29</v>
      </c>
    </row>
    <row r="7578" spans="1:5" x14ac:dyDescent="0.25">
      <c r="A7578" t="str">
        <f>HYPERLINK("https://www.773grp.com/globalSearch/PCM1744U/page-1", "PCM1744U")</f>
        <v>PCM1744U</v>
      </c>
      <c r="B7578" s="3" t="s">
        <v>90</v>
      </c>
      <c r="C7578" s="5">
        <v>1104</v>
      </c>
      <c r="D7578" s="6">
        <v>5.85</v>
      </c>
      <c r="E7578" t="s">
        <v>29</v>
      </c>
    </row>
    <row r="7579" spans="1:5" x14ac:dyDescent="0.25">
      <c r="A7579" t="str">
        <f>HYPERLINK("https://www.773grp.com/globalSearch/PCM1744U/page-1", "PCM1744U")</f>
        <v>PCM1744U</v>
      </c>
      <c r="B7579" s="3" t="s">
        <v>90</v>
      </c>
      <c r="C7579" s="5">
        <v>317</v>
      </c>
      <c r="D7579" s="6">
        <v>5.85</v>
      </c>
      <c r="E7579" t="s">
        <v>29</v>
      </c>
    </row>
    <row r="7580" spans="1:5" x14ac:dyDescent="0.25">
      <c r="A7580" t="str">
        <f>HYPERLINK("https://www.773grp.com/globalSearch/TLC5620CN/page-1", "TLC5620CN")</f>
        <v>TLC5620CN</v>
      </c>
      <c r="B7580" s="3" t="s">
        <v>90</v>
      </c>
      <c r="C7580" s="5">
        <v>484</v>
      </c>
      <c r="D7580" s="6">
        <v>5.88</v>
      </c>
      <c r="E7580" t="s">
        <v>29</v>
      </c>
    </row>
    <row r="7581" spans="1:5" x14ac:dyDescent="0.25">
      <c r="A7581" t="str">
        <f>HYPERLINK("https://www.773grp.com/globalSearch/PCM1606E-2K/page-1", "PCM1606E-2K")</f>
        <v>PCM1606E-2K</v>
      </c>
      <c r="B7581" s="3" t="s">
        <v>90</v>
      </c>
      <c r="C7581" s="5">
        <v>872000</v>
      </c>
      <c r="D7581" s="6">
        <v>5.91</v>
      </c>
      <c r="E7581" t="s">
        <v>29</v>
      </c>
    </row>
    <row r="7582" spans="1:5" x14ac:dyDescent="0.25">
      <c r="A7582" t="str">
        <f>HYPERLINK("https://www.773grp.com/globalSearch/TLV320DAC23RHDR/page-1", "TLV320DAC23RHDR")</f>
        <v>TLV320DAC23RHDR</v>
      </c>
      <c r="B7582" s="3" t="s">
        <v>90</v>
      </c>
      <c r="C7582" s="5">
        <v>422279</v>
      </c>
      <c r="D7582" s="6">
        <v>5.91</v>
      </c>
      <c r="E7582" t="s">
        <v>29</v>
      </c>
    </row>
    <row r="7583" spans="1:5" x14ac:dyDescent="0.25">
      <c r="A7583" t="str">
        <f>HYPERLINK("https://www.773grp.com/globalSearch/TLC7528IDW/page-1", "TLC7528IDW")</f>
        <v>TLC7528IDW</v>
      </c>
      <c r="B7583" s="3" t="s">
        <v>90</v>
      </c>
      <c r="C7583" s="5">
        <v>5374</v>
      </c>
      <c r="D7583" s="6">
        <v>6.04</v>
      </c>
      <c r="E7583" t="s">
        <v>29</v>
      </c>
    </row>
    <row r="7584" spans="1:5" x14ac:dyDescent="0.25">
      <c r="A7584" t="str">
        <f>HYPERLINK("https://www.773grp.com/globalSearch/TLC7528IPW/page-1", "TLC7528IPW")</f>
        <v>TLC7528IPW</v>
      </c>
      <c r="B7584" s="3" t="s">
        <v>90</v>
      </c>
      <c r="C7584" s="5">
        <v>10384</v>
      </c>
      <c r="D7584" s="6">
        <v>6.04</v>
      </c>
      <c r="E7584" t="s">
        <v>29</v>
      </c>
    </row>
    <row r="7585" spans="1:5" x14ac:dyDescent="0.25">
      <c r="A7585" t="str">
        <f>HYPERLINK("https://www.773grp.com/globalSearch/TLV320DAC23GQER/page-1", "TLV320DAC23GQER")</f>
        <v>TLV320DAC23GQER</v>
      </c>
      <c r="B7585" s="3" t="s">
        <v>90</v>
      </c>
      <c r="C7585" s="5">
        <v>42500</v>
      </c>
      <c r="D7585" s="6">
        <v>6.04</v>
      </c>
      <c r="E7585" t="s">
        <v>29</v>
      </c>
    </row>
    <row r="7586" spans="1:5" x14ac:dyDescent="0.25">
      <c r="A7586" t="str">
        <f>HYPERLINK("https://www.773grp.com/globalSearch/TLV5625IDG4/page-1", "TLV5625IDG4")</f>
        <v>TLV5625IDG4</v>
      </c>
      <c r="B7586" s="3" t="s">
        <v>90</v>
      </c>
      <c r="C7586" s="5">
        <v>30</v>
      </c>
      <c r="D7586" s="6">
        <v>6.08</v>
      </c>
      <c r="E7586" t="s">
        <v>29</v>
      </c>
    </row>
    <row r="7587" spans="1:5" x14ac:dyDescent="0.25">
      <c r="A7587" t="str">
        <f>HYPERLINK("https://www.773grp.com/globalSearch/PCM1733U/page-1", "PCM1733U")</f>
        <v>PCM1733U</v>
      </c>
      <c r="B7587" s="3" t="s">
        <v>90</v>
      </c>
      <c r="C7587" s="5">
        <v>7390</v>
      </c>
      <c r="D7587" s="6">
        <v>6.13</v>
      </c>
      <c r="E7587" t="s">
        <v>29</v>
      </c>
    </row>
    <row r="7588" spans="1:5" x14ac:dyDescent="0.25">
      <c r="A7588" t="str">
        <f>HYPERLINK("https://www.773grp.com/globalSearch/PCM1733U/page-1", "PCM1733U")</f>
        <v>PCM1733U</v>
      </c>
      <c r="B7588" s="3" t="s">
        <v>90</v>
      </c>
      <c r="C7588" s="5">
        <v>2134</v>
      </c>
      <c r="D7588" s="6">
        <v>6.13</v>
      </c>
      <c r="E7588" t="s">
        <v>29</v>
      </c>
    </row>
    <row r="7589" spans="1:5" x14ac:dyDescent="0.25">
      <c r="A7589" t="str">
        <f>HYPERLINK("https://www.773grp.com/globalSearch/TLC5620CD/page-1", "TLC5620CD")</f>
        <v>TLC5620CD</v>
      </c>
      <c r="B7589" s="3" t="s">
        <v>90</v>
      </c>
      <c r="C7589" s="5">
        <v>3438</v>
      </c>
      <c r="D7589" s="6">
        <v>6.13</v>
      </c>
      <c r="E7589" t="s">
        <v>29</v>
      </c>
    </row>
    <row r="7590" spans="1:5" x14ac:dyDescent="0.25">
      <c r="A7590" t="str">
        <f>HYPERLINK("https://www.773grp.com/globalSearch/TLV5627ID/page-1", "TLV5627ID")</f>
        <v>TLV5627ID</v>
      </c>
      <c r="B7590" s="3" t="s">
        <v>90</v>
      </c>
      <c r="C7590" s="5">
        <v>4012</v>
      </c>
      <c r="D7590" s="6">
        <v>6.19</v>
      </c>
      <c r="E7590" t="s">
        <v>29</v>
      </c>
    </row>
    <row r="7591" spans="1:5" x14ac:dyDescent="0.25">
      <c r="A7591" t="str">
        <f>HYPERLINK("https://www.773grp.com/globalSearch/TLC5620IN/page-1", "TLC5620IN")</f>
        <v>TLC5620IN</v>
      </c>
      <c r="B7591" s="3" t="s">
        <v>90</v>
      </c>
      <c r="C7591" s="5">
        <v>4461</v>
      </c>
      <c r="D7591" s="6">
        <v>6.25</v>
      </c>
      <c r="E7591" t="s">
        <v>29</v>
      </c>
    </row>
    <row r="7592" spans="1:5" x14ac:dyDescent="0.25">
      <c r="A7592" t="str">
        <f>HYPERLINK("https://www.773grp.com/globalSearch/PCM1725D/page-1", "PCM1725D")</f>
        <v>PCM1725D</v>
      </c>
      <c r="B7592" s="3" t="s">
        <v>90</v>
      </c>
      <c r="C7592" s="5">
        <v>59</v>
      </c>
      <c r="D7592" s="6">
        <v>6.3</v>
      </c>
      <c r="E7592" t="s">
        <v>29</v>
      </c>
    </row>
    <row r="7593" spans="1:5" x14ac:dyDescent="0.25">
      <c r="A7593" t="str">
        <f>HYPERLINK("https://www.773grp.com/globalSearch/PCM1725U/page-1", "PCM1725U")</f>
        <v>PCM1725U</v>
      </c>
      <c r="B7593" s="3" t="s">
        <v>90</v>
      </c>
      <c r="C7593" s="5">
        <v>4492</v>
      </c>
      <c r="D7593" s="6">
        <v>6.3</v>
      </c>
      <c r="E7593" t="s">
        <v>29</v>
      </c>
    </row>
    <row r="7594" spans="1:5" x14ac:dyDescent="0.25">
      <c r="A7594" t="str">
        <f>HYPERLINK("https://www.773grp.com/globalSearch/TLC7226CN/page-1", "TLC7226CN")</f>
        <v>TLC7226CN</v>
      </c>
      <c r="B7594" s="3" t="s">
        <v>90</v>
      </c>
      <c r="C7594" s="5">
        <v>5135</v>
      </c>
      <c r="D7594" s="6">
        <v>6.33</v>
      </c>
      <c r="E7594" t="s">
        <v>29</v>
      </c>
    </row>
    <row r="7595" spans="1:5" x14ac:dyDescent="0.25">
      <c r="A7595" t="str">
        <f>HYPERLINK("https://www.773grp.com/globalSearch/TLC7528EDW/page-1", "TLC7528EDW")</f>
        <v>TLC7528EDW</v>
      </c>
      <c r="B7595" s="3" t="s">
        <v>90</v>
      </c>
      <c r="C7595" s="5">
        <v>181</v>
      </c>
      <c r="D7595" s="6">
        <v>6.33</v>
      </c>
      <c r="E7595" t="s">
        <v>29</v>
      </c>
    </row>
    <row r="7596" spans="1:5" x14ac:dyDescent="0.25">
      <c r="A7596" t="str">
        <f>HYPERLINK("https://www.773grp.com/globalSearch/DAC8311IDCKT/page-1", "DAC8311IDCKT")</f>
        <v>DAC8311IDCKT</v>
      </c>
      <c r="B7596" s="3" t="str">
        <f>HYPERLINK("https://www.773grp.com/manufacturer/texas-instruments?pageNo=69", "Texas Instruments")</f>
        <v>Texas Instruments</v>
      </c>
      <c r="C7596" s="5">
        <v>4797</v>
      </c>
      <c r="D7596" s="6">
        <v>6.46</v>
      </c>
      <c r="E7596" t="s">
        <v>29</v>
      </c>
    </row>
    <row r="7597" spans="1:5" x14ac:dyDescent="0.25">
      <c r="A7597" t="str">
        <f>HYPERLINK("https://www.773grp.com/globalSearch/TLC5615CD/page-1", "TLC5615CD")</f>
        <v>TLC5615CD</v>
      </c>
      <c r="B7597" s="3" t="str">
        <f>HYPERLINK("https://www.773grp.com/manufacturer/texas-instruments?pageNo=120", "Texas Instruments")</f>
        <v>Texas Instruments</v>
      </c>
      <c r="C7597" s="5">
        <v>4200</v>
      </c>
      <c r="D7597" s="6">
        <v>6.46</v>
      </c>
      <c r="E7597" t="s">
        <v>29</v>
      </c>
    </row>
    <row r="7598" spans="1:5" x14ac:dyDescent="0.25">
      <c r="A7598" t="str">
        <f>HYPERLINK("https://www.773grp.com/globalSearch/TLC5615CDGK/page-1", "TLC5615CDGK")</f>
        <v>TLC5615CDGK</v>
      </c>
      <c r="B7598" s="3" t="str">
        <f>HYPERLINK("https://www.773grp.com/manufacturer/texas-instruments?pageNo=121", "Texas Instruments")</f>
        <v>Texas Instruments</v>
      </c>
      <c r="C7598" s="5">
        <v>3659</v>
      </c>
      <c r="D7598" s="6">
        <v>6.46</v>
      </c>
      <c r="E7598" t="s">
        <v>29</v>
      </c>
    </row>
    <row r="7599" spans="1:5" x14ac:dyDescent="0.25">
      <c r="A7599" t="str">
        <f>HYPERLINK("https://www.773grp.com/globalSearch/TLC5620ID/page-1", "TLC5620ID")</f>
        <v>TLC5620ID</v>
      </c>
      <c r="B7599" s="3" t="str">
        <f>HYPERLINK("https://www.773grp.com/manufacturer/texas-instruments?pageNo=187", "Texas Instruments")</f>
        <v>Texas Instruments</v>
      </c>
      <c r="C7599" s="5">
        <v>657</v>
      </c>
      <c r="D7599" s="6">
        <v>6.5</v>
      </c>
      <c r="E7599" t="s">
        <v>29</v>
      </c>
    </row>
    <row r="7600" spans="1:5" x14ac:dyDescent="0.25">
      <c r="A7600" t="str">
        <f>HYPERLINK("https://www.773grp.com/globalSearch/TLC7628CN/page-1", "TLC7628CN")</f>
        <v>TLC7628CN</v>
      </c>
      <c r="B7600" s="3" t="str">
        <f>HYPERLINK("https://www.773grp.com/manufacturer/texas-instruments?pageNo=217", "Texas Instruments")</f>
        <v>Texas Instruments</v>
      </c>
      <c r="C7600" s="5">
        <v>505</v>
      </c>
      <c r="D7600" s="6">
        <v>6.53</v>
      </c>
      <c r="E7600" t="s">
        <v>29</v>
      </c>
    </row>
    <row r="7601" spans="1:5" x14ac:dyDescent="0.25">
      <c r="A7601" t="str">
        <f>HYPERLINK("https://www.773grp.com/globalSearch/DAC7552IRGTR/page-1", "DAC7552IRGTR")</f>
        <v>DAC7552IRGTR</v>
      </c>
      <c r="B7601" s="3" t="str">
        <f>HYPERLINK("https://www.773grp.com/manufacturer/texas-instruments?pageNo=273", "Texas Instruments")</f>
        <v>Texas Instruments</v>
      </c>
      <c r="C7601" s="5">
        <v>3848</v>
      </c>
      <c r="D7601" s="6">
        <v>6.61</v>
      </c>
      <c r="E7601" t="s">
        <v>29</v>
      </c>
    </row>
    <row r="7602" spans="1:5" x14ac:dyDescent="0.25">
      <c r="A7602" t="str">
        <f>HYPERLINK("https://www.773grp.com/globalSearch/DAC8551IADGKR/page-1", "DAC8551IADGKR")</f>
        <v>DAC8551IADGKR</v>
      </c>
      <c r="B7602" s="3" t="str">
        <f>HYPERLINK("https://www.773grp.com/manufacturer/texas-instruments?pageNo=274", "Texas Instruments")</f>
        <v>Texas Instruments</v>
      </c>
      <c r="C7602" s="5">
        <v>382500</v>
      </c>
      <c r="D7602" s="6">
        <v>6.61</v>
      </c>
      <c r="E7602" t="s">
        <v>29</v>
      </c>
    </row>
    <row r="7603" spans="1:5" x14ac:dyDescent="0.25">
      <c r="A7603" t="str">
        <f>HYPERLINK("https://www.773grp.com/globalSearch/TLV320DAC23IPWR/page-1", "TLV320DAC23IPWR")</f>
        <v>TLV320DAC23IPWR</v>
      </c>
      <c r="B7603" s="3" t="str">
        <f>HYPERLINK("https://www.773grp.com/manufacturer/texas-instruments?pageNo=316", "Texas Instruments")</f>
        <v>Texas Instruments</v>
      </c>
      <c r="C7603" s="5">
        <v>4000</v>
      </c>
      <c r="D7603" s="6">
        <v>6.61</v>
      </c>
      <c r="E7603" t="s">
        <v>29</v>
      </c>
    </row>
    <row r="7604" spans="1:5" x14ac:dyDescent="0.25">
      <c r="A7604" t="str">
        <f>HYPERLINK("https://www.773grp.com/globalSearch/TLV320DAC23IRHDR/page-1", "TLV320DAC23IRHDR")</f>
        <v>TLV320DAC23IRHDR</v>
      </c>
      <c r="B7604" s="3" t="str">
        <f>HYPERLINK("https://www.773grp.com/manufacturer/texas-instruments?pageNo=317", "Texas Instruments")</f>
        <v>Texas Instruments</v>
      </c>
      <c r="C7604" s="5">
        <v>48000</v>
      </c>
      <c r="D7604" s="6">
        <v>6.61</v>
      </c>
      <c r="E7604" t="s">
        <v>29</v>
      </c>
    </row>
    <row r="7605" spans="1:5" x14ac:dyDescent="0.25">
      <c r="A7605" t="str">
        <f>HYPERLINK("https://www.773grp.com/globalSearch/PCM1602APTR/page-1", "PCM1602APTR")</f>
        <v>PCM1602APTR</v>
      </c>
      <c r="B7605" s="3" t="str">
        <f>HYPERLINK("https://www.773grp.com/manufacturer/texas-instruments?pageNo=471", "Texas Instruments")</f>
        <v>Texas Instruments</v>
      </c>
      <c r="C7605" s="5">
        <v>5000</v>
      </c>
      <c r="D7605" s="6">
        <v>6.75</v>
      </c>
      <c r="E7605" t="s">
        <v>29</v>
      </c>
    </row>
    <row r="7606" spans="1:5" x14ac:dyDescent="0.25">
      <c r="A7606" t="str">
        <f>HYPERLINK("https://www.773grp.com/globalSearch/TLV320DAC23IGQER/page-1", "TLV320DAC23IGQER")</f>
        <v>TLV320DAC23IGQER</v>
      </c>
      <c r="B7606" s="3" t="str">
        <f>HYPERLINK("https://www.773grp.com/manufacturer/texas-instruments?pageNo=520", "Texas Instruments")</f>
        <v>Texas Instruments</v>
      </c>
      <c r="C7606" s="5">
        <v>17500</v>
      </c>
      <c r="D7606" s="6">
        <v>6.75</v>
      </c>
      <c r="E7606" t="s">
        <v>29</v>
      </c>
    </row>
    <row r="7607" spans="1:5" x14ac:dyDescent="0.25">
      <c r="A7607" t="str">
        <f>HYPERLINK("https://www.773grp.com/globalSearch/TLV5617AIDR/page-1", "TLV5617AIDR")</f>
        <v>TLV5617AIDR</v>
      </c>
      <c r="B7607" s="3" t="str">
        <f>HYPERLINK("https://www.773grp.com/manufacturer/texas-instruments?pageNo=521", "Texas Instruments")</f>
        <v>Texas Instruments</v>
      </c>
      <c r="C7607" s="5">
        <v>5000</v>
      </c>
      <c r="D7607" s="6">
        <v>6.75</v>
      </c>
      <c r="E7607" t="s">
        <v>29</v>
      </c>
    </row>
    <row r="7608" spans="1:5" x14ac:dyDescent="0.25">
      <c r="A7608" t="str">
        <f>HYPERLINK("https://www.773grp.com/globalSearch/TLC7226IN/page-1", "TLC7226IN")</f>
        <v>TLC7226IN</v>
      </c>
      <c r="B7608" s="3" t="str">
        <f>HYPERLINK("https://www.773grp.com/manufacturer/texas-instruments?pageNo=578", "Texas Instruments")</f>
        <v>Texas Instruments</v>
      </c>
      <c r="C7608" s="5">
        <v>425</v>
      </c>
      <c r="D7608" s="6">
        <v>6.8</v>
      </c>
      <c r="E7608" t="s">
        <v>29</v>
      </c>
    </row>
    <row r="7609" spans="1:5" x14ac:dyDescent="0.25">
      <c r="A7609" t="str">
        <f>HYPERLINK("https://www.773grp.com/globalSearch/TLC7226INE4/page-1", "TLC7226INE4")</f>
        <v>TLC7226INE4</v>
      </c>
      <c r="B7609" s="3" t="str">
        <f>HYPERLINK("https://www.773grp.com/manufacturer/texas-instruments?pageNo=579", "Texas Instruments")</f>
        <v>Texas Instruments</v>
      </c>
      <c r="C7609" s="5">
        <v>45</v>
      </c>
      <c r="D7609" s="6">
        <v>6.8</v>
      </c>
      <c r="E7609" t="s">
        <v>29</v>
      </c>
    </row>
    <row r="7610" spans="1:5" x14ac:dyDescent="0.25">
      <c r="A7610" t="str">
        <f>HYPERLINK("https://www.773grp.com/globalSearch/TLC7628CDW/page-1", "TLC7628CDW")</f>
        <v>TLC7628CDW</v>
      </c>
      <c r="B7610" s="3" t="str">
        <f>HYPERLINK("https://www.773grp.com/manufacturer/texas-instruments?pageNo=580", "Texas Instruments")</f>
        <v>Texas Instruments</v>
      </c>
      <c r="C7610" s="5">
        <v>28480</v>
      </c>
      <c r="D7610" s="6">
        <v>6.8</v>
      </c>
      <c r="E7610" t="s">
        <v>29</v>
      </c>
    </row>
    <row r="7611" spans="1:5" x14ac:dyDescent="0.25">
      <c r="A7611" t="str">
        <f>HYPERLINK("https://www.773grp.com/globalSearch/TLC7628CDW/page-1", "TLC7628CDW")</f>
        <v>TLC7628CDW</v>
      </c>
      <c r="B7611" s="3" t="str">
        <f>HYPERLINK("https://www.773grp.com/manufacturer/texas-instruments?pageNo=581", "Texas Instruments")</f>
        <v>Texas Instruments</v>
      </c>
      <c r="C7611" s="5">
        <v>353</v>
      </c>
      <c r="D7611" s="6">
        <v>6.8</v>
      </c>
      <c r="E7611" t="s">
        <v>29</v>
      </c>
    </row>
    <row r="7612" spans="1:5" x14ac:dyDescent="0.25">
      <c r="A7612" t="str">
        <f>HYPERLINK("https://www.773grp.com/globalSearch/TLC7628CDWG4/page-1", "TLC7628CDWG4")</f>
        <v>TLC7628CDWG4</v>
      </c>
      <c r="B7612" s="3" t="str">
        <f>HYPERLINK("https://www.773grp.com/manufacturer/texas-instruments?pageNo=582", "Texas Instruments")</f>
        <v>Texas Instruments</v>
      </c>
      <c r="C7612" s="5">
        <v>85</v>
      </c>
      <c r="D7612" s="6">
        <v>6.8</v>
      </c>
      <c r="E7612" t="s">
        <v>29</v>
      </c>
    </row>
    <row r="7613" spans="1:5" x14ac:dyDescent="0.25">
      <c r="A7613" t="str">
        <f>HYPERLINK("https://www.773grp.com/globalSearch/TLC5628CDWR/page-1", "TLC5628CDWR")</f>
        <v>TLC5628CDWR</v>
      </c>
      <c r="B7613" s="3" t="str">
        <f>HYPERLINK("https://www.773grp.com/manufacturer/texas-instruments?pageNo=674", "Texas Instruments")</f>
        <v>Texas Instruments</v>
      </c>
      <c r="C7613" s="5">
        <v>24000</v>
      </c>
      <c r="D7613" s="6">
        <v>6.89</v>
      </c>
      <c r="E7613" t="s">
        <v>29</v>
      </c>
    </row>
    <row r="7614" spans="1:5" x14ac:dyDescent="0.25">
      <c r="A7614" t="str">
        <f>HYPERLINK("https://www.773grp.com/globalSearch/TLC7225IDWR/page-1", "TLC7225IDWR")</f>
        <v>TLC7225IDWR</v>
      </c>
      <c r="B7614" s="3" t="str">
        <f>HYPERLINK("https://www.773grp.com/manufacturer/texas-instruments?pageNo=742", "Texas Instruments")</f>
        <v>Texas Instruments</v>
      </c>
      <c r="C7614" s="5">
        <v>6500</v>
      </c>
      <c r="D7614" s="6">
        <v>7</v>
      </c>
      <c r="E7614" t="s">
        <v>29</v>
      </c>
    </row>
    <row r="7615" spans="1:5" x14ac:dyDescent="0.25">
      <c r="A7615" t="str">
        <f>HYPERLINK("https://www.773grp.com/globalSearch/DAC7613E-1K/page-1", "DAC7613E-1K")</f>
        <v>DAC7613E-1K</v>
      </c>
      <c r="B7615" s="3" t="str">
        <f>HYPERLINK("https://www.773grp.com/manufacturer/texas-instruments?pageNo=769", "Texas Instruments")</f>
        <v>Texas Instruments</v>
      </c>
      <c r="C7615" s="5">
        <v>9000</v>
      </c>
      <c r="D7615" s="6">
        <v>7.04</v>
      </c>
      <c r="E7615" t="s">
        <v>29</v>
      </c>
    </row>
    <row r="7616" spans="1:5" x14ac:dyDescent="0.25">
      <c r="A7616" t="str">
        <f>HYPERLINK("https://www.773grp.com/globalSearch/TLV5627CD/page-1", "TLV5627CD")</f>
        <v>TLV5627CD</v>
      </c>
      <c r="B7616" s="3" t="str">
        <f>HYPERLINK("https://www.773grp.com/manufacturer/texas-instruments?pageNo=858", "Texas Instruments")</f>
        <v>Texas Instruments</v>
      </c>
      <c r="C7616" s="5">
        <v>3097</v>
      </c>
      <c r="D7616" s="6">
        <v>7.04</v>
      </c>
      <c r="E7616" t="s">
        <v>29</v>
      </c>
    </row>
    <row r="7617" spans="1:5" x14ac:dyDescent="0.25">
      <c r="A7617" t="str">
        <f>HYPERLINK("https://www.773grp.com/globalSearch/TLV5627CPW/page-1", "TLV5627CPW")</f>
        <v>TLV5627CPW</v>
      </c>
      <c r="B7617" s="3" t="str">
        <f>HYPERLINK("https://www.773grp.com/manufacturer/texas-instruments?pageNo=859", "Texas Instruments")</f>
        <v>Texas Instruments</v>
      </c>
      <c r="C7617" s="5">
        <v>15774</v>
      </c>
      <c r="D7617" s="6">
        <v>7.04</v>
      </c>
      <c r="E7617" t="s">
        <v>29</v>
      </c>
    </row>
    <row r="7618" spans="1:5" x14ac:dyDescent="0.25">
      <c r="A7618" t="str">
        <f>HYPERLINK("https://www.773grp.com/globalSearch/PCM1606E/page-1", "PCM1606E")</f>
        <v>PCM1606E</v>
      </c>
      <c r="B7618" s="3" t="str">
        <f>HYPERLINK("https://www.773grp.com/manufacturer/texas-instruments?pageNo=924", "Texas Instruments")</f>
        <v>Texas Instruments</v>
      </c>
      <c r="C7618" s="5">
        <v>245</v>
      </c>
      <c r="D7618" s="6">
        <v>7.09</v>
      </c>
      <c r="E7618" t="s">
        <v>29</v>
      </c>
    </row>
    <row r="7619" spans="1:5" x14ac:dyDescent="0.25">
      <c r="A7619" t="str">
        <f>HYPERLINK("https://www.773grp.com/globalSearch/PCM1606E/page-1", "PCM1606E")</f>
        <v>PCM1606E</v>
      </c>
      <c r="B7619" s="3" t="str">
        <f>HYPERLINK("https://www.773grp.com/manufacturer/texas-instruments?pageNo=925", "Texas Instruments")</f>
        <v>Texas Instruments</v>
      </c>
      <c r="C7619" s="5">
        <v>670</v>
      </c>
      <c r="D7619" s="6">
        <v>7.09</v>
      </c>
      <c r="E7619" t="s">
        <v>29</v>
      </c>
    </row>
    <row r="7620" spans="1:5" x14ac:dyDescent="0.25">
      <c r="A7620" t="str">
        <f>HYPERLINK("https://www.773grp.com/globalSearch/TLV320DAC23PW/page-1", "TLV320DAC23PW")</f>
        <v>TLV320DAC23PW</v>
      </c>
      <c r="B7620" s="3" t="str">
        <f>HYPERLINK("https://www.773grp.com/manufacturer/texas-instruments?pageNo=931", "Texas Instruments")</f>
        <v>Texas Instruments</v>
      </c>
      <c r="C7620" s="5">
        <v>2112</v>
      </c>
      <c r="D7620" s="6">
        <v>7.09</v>
      </c>
      <c r="E7620" t="s">
        <v>29</v>
      </c>
    </row>
    <row r="7621" spans="1:5" x14ac:dyDescent="0.25">
      <c r="A7621" t="str">
        <f>HYPERLINK("https://www.773grp.com/globalSearch/TLV320DAC23RHD/page-1", "TLV320DAC23RHD")</f>
        <v>TLV320DAC23RHD</v>
      </c>
      <c r="B7621" s="3" t="str">
        <f>HYPERLINK("https://www.773grp.com/manufacturer/texas-instruments?pageNo=932", "Texas Instruments")</f>
        <v>Texas Instruments</v>
      </c>
      <c r="C7621" s="5">
        <v>4405</v>
      </c>
      <c r="D7621" s="6">
        <v>7.09</v>
      </c>
      <c r="E7621" t="s">
        <v>29</v>
      </c>
    </row>
    <row r="7622" spans="1:5" x14ac:dyDescent="0.25">
      <c r="A7622" t="str">
        <f>HYPERLINK("https://www.773grp.com/globalSearch/PCM1723E-2K/page-1", "PCM1723E-2K")</f>
        <v>PCM1723E-2K</v>
      </c>
      <c r="B7622" s="3" t="str">
        <f>HYPERLINK("https://www.773grp.com/manufacturer/texas-instruments?pageNo=956", "Texas Instruments")</f>
        <v>Texas Instruments</v>
      </c>
      <c r="C7622" s="5">
        <v>18300</v>
      </c>
      <c r="D7622" s="6">
        <v>7.14</v>
      </c>
      <c r="E7622" t="s">
        <v>29</v>
      </c>
    </row>
    <row r="7623" spans="1:5" x14ac:dyDescent="0.25">
      <c r="A7623" t="str">
        <f>HYPERLINK("https://www.773grp.com/globalSearch/TLV5628CN/page-1", "TLV5628CN")</f>
        <v>TLV5628CN</v>
      </c>
      <c r="B7623" s="3" t="str">
        <f>HYPERLINK("https://www.773grp.com/manufacturer/texas-instruments?pageNo=961", "Texas Instruments")</f>
        <v>Texas Instruments</v>
      </c>
      <c r="C7623" s="5">
        <v>13675</v>
      </c>
      <c r="D7623" s="6">
        <v>7.14</v>
      </c>
      <c r="E7623" t="s">
        <v>29</v>
      </c>
    </row>
    <row r="7624" spans="1:5" x14ac:dyDescent="0.25">
      <c r="A7624" t="str">
        <f>HYPERLINK("https://www.773grp.com/globalSearch/DAC5573IPWR/page-1", "DAC5573IPWR")</f>
        <v>DAC5573IPWR</v>
      </c>
      <c r="B7624" s="3" t="str">
        <f>HYPERLINK("https://www.773grp.com/manufacturer/texas-instruments?pageNo=974", "Texas Instruments")</f>
        <v>Texas Instruments</v>
      </c>
      <c r="C7624" s="5">
        <v>2000</v>
      </c>
      <c r="D7624" s="6">
        <v>7.18</v>
      </c>
      <c r="E7624" t="s">
        <v>29</v>
      </c>
    </row>
    <row r="7625" spans="1:5" x14ac:dyDescent="0.25">
      <c r="A7625" t="str">
        <f>HYPERLINK("https://www.773grp.com/globalSearch/DSD1702E-2K/page-1", "DSD1702E-2K")</f>
        <v>DSD1702E-2K</v>
      </c>
      <c r="B7625" s="3" t="str">
        <f>HYPERLINK("https://www.773grp.com/manufacturer/texas-instruments?pageNo=976", "Texas Instruments")</f>
        <v>Texas Instruments</v>
      </c>
      <c r="C7625" s="5">
        <v>2000</v>
      </c>
      <c r="D7625" s="6">
        <v>7.18</v>
      </c>
      <c r="E7625" t="s">
        <v>29</v>
      </c>
    </row>
    <row r="7626" spans="1:5" x14ac:dyDescent="0.25">
      <c r="A7626" t="str">
        <f>HYPERLINK("https://www.773grp.com/globalSearch/PCM1741E/page-1", "PCM1741E")</f>
        <v>PCM1741E</v>
      </c>
      <c r="B7626" s="3" t="str">
        <f>HYPERLINK("https://www.773grp.com/manufacturer/texas-instruments?pageNo=983", "Texas Instruments")</f>
        <v>Texas Instruments</v>
      </c>
      <c r="C7626" s="5">
        <v>3063</v>
      </c>
      <c r="D7626" s="6">
        <v>7.18</v>
      </c>
      <c r="E7626" t="s">
        <v>29</v>
      </c>
    </row>
    <row r="7627" spans="1:5" x14ac:dyDescent="0.25">
      <c r="A7627" t="str">
        <f>HYPERLINK("https://www.773grp.com/globalSearch/TLV320DAC26IRHBR/page-1", "TLV320DAC26IRHBR")</f>
        <v>TLV320DAC26IRHBR</v>
      </c>
      <c r="B7627" s="3" t="s">
        <v>90</v>
      </c>
      <c r="C7627" s="5">
        <v>162000</v>
      </c>
      <c r="D7627" s="6">
        <v>7.23</v>
      </c>
      <c r="E7627" t="s">
        <v>29</v>
      </c>
    </row>
    <row r="7628" spans="1:5" x14ac:dyDescent="0.25">
      <c r="A7628" t="str">
        <f>HYPERLINK("https://www.773grp.com/globalSearch/DAC7821IPWR/page-1", "DAC7821IPWR")</f>
        <v>DAC7821IPWR</v>
      </c>
      <c r="B7628" s="3" t="s">
        <v>90</v>
      </c>
      <c r="C7628" s="5">
        <v>14000</v>
      </c>
      <c r="D7628" s="6">
        <v>7.31</v>
      </c>
      <c r="E7628" t="s">
        <v>29</v>
      </c>
    </row>
    <row r="7629" spans="1:5" x14ac:dyDescent="0.25">
      <c r="A7629" t="str">
        <f>HYPERLINK("https://www.773grp.com/globalSearch/DAC8550IDGKR/page-1", "DAC8550IDGKR")</f>
        <v>DAC8550IDGKR</v>
      </c>
      <c r="B7629" s="3" t="s">
        <v>90</v>
      </c>
      <c r="C7629" s="5">
        <v>15000</v>
      </c>
      <c r="D7629" s="6">
        <v>7.31</v>
      </c>
      <c r="E7629" t="s">
        <v>29</v>
      </c>
    </row>
    <row r="7630" spans="1:5" x14ac:dyDescent="0.25">
      <c r="A7630" t="str">
        <f>HYPERLINK("https://www.773grp.com/globalSearch/TLC7226CDW/page-1", "TLC7226CDW")</f>
        <v>TLC7226CDW</v>
      </c>
      <c r="B7630" s="3" t="s">
        <v>90</v>
      </c>
      <c r="C7630" s="5">
        <v>1050</v>
      </c>
      <c r="D7630" s="6">
        <v>7.31</v>
      </c>
      <c r="E7630" t="s">
        <v>29</v>
      </c>
    </row>
    <row r="7631" spans="1:5" x14ac:dyDescent="0.25">
      <c r="A7631" t="str">
        <f>HYPERLINK("https://www.773grp.com/globalSearch/TLV320DAC23IGQE/page-1", "TLV320DAC23IGQE")</f>
        <v>TLV320DAC23IGQE</v>
      </c>
      <c r="B7631" s="3" t="s">
        <v>90</v>
      </c>
      <c r="C7631" s="5">
        <v>18000</v>
      </c>
      <c r="D7631" s="6">
        <v>7.31</v>
      </c>
      <c r="E7631" t="s">
        <v>29</v>
      </c>
    </row>
    <row r="7632" spans="1:5" x14ac:dyDescent="0.25">
      <c r="A7632" t="str">
        <f>HYPERLINK("https://www.773grp.com/globalSearch/TLV5613CPWR/page-1", "TLV5613CPWR")</f>
        <v>TLV5613CPWR</v>
      </c>
      <c r="B7632" s="3" t="s">
        <v>90</v>
      </c>
      <c r="C7632" s="5">
        <v>2000</v>
      </c>
      <c r="D7632" s="6">
        <v>7.31</v>
      </c>
      <c r="E7632" t="s">
        <v>29</v>
      </c>
    </row>
    <row r="7633" spans="1:5" x14ac:dyDescent="0.25">
      <c r="A7633" t="str">
        <f>HYPERLINK("https://www.773grp.com/globalSearch/DAC8580IPW/page-1", "DAC8580IPW")</f>
        <v>DAC8580IPW</v>
      </c>
      <c r="B7633" s="3" t="s">
        <v>90</v>
      </c>
      <c r="C7633" s="5">
        <v>70</v>
      </c>
      <c r="D7633" s="6">
        <v>7.38</v>
      </c>
      <c r="E7633" t="s">
        <v>29</v>
      </c>
    </row>
    <row r="7634" spans="1:5" x14ac:dyDescent="0.25">
      <c r="A7634" t="str">
        <f>HYPERLINK("https://www.773grp.com/globalSearch/TLV5621ID/page-1", "TLV5621ID")</f>
        <v>TLV5621ID</v>
      </c>
      <c r="B7634" s="3" t="s">
        <v>90</v>
      </c>
      <c r="C7634" s="5">
        <v>30928</v>
      </c>
      <c r="D7634" s="6">
        <v>7.39</v>
      </c>
      <c r="E7634" t="s">
        <v>29</v>
      </c>
    </row>
    <row r="7635" spans="1:5" x14ac:dyDescent="0.25">
      <c r="A7635" t="str">
        <f>HYPERLINK("https://www.773grp.com/globalSearch/PCM1791ADB/page-1", "PCM1791ADB")</f>
        <v>PCM1791ADB</v>
      </c>
      <c r="B7635" s="3" t="s">
        <v>90</v>
      </c>
      <c r="C7635" s="5">
        <v>3884</v>
      </c>
      <c r="D7635" s="6">
        <v>7.43</v>
      </c>
      <c r="E7635" t="s">
        <v>29</v>
      </c>
    </row>
    <row r="7636" spans="1:5" x14ac:dyDescent="0.25">
      <c r="A7636" t="str">
        <f>HYPERLINK("https://www.773grp.com/globalSearch/TLV5627IPW/page-1", "TLV5627IPW")</f>
        <v>TLV5627IPW</v>
      </c>
      <c r="B7636" s="3" t="s">
        <v>90</v>
      </c>
      <c r="C7636" s="5">
        <v>2457</v>
      </c>
      <c r="D7636" s="6">
        <v>7.46</v>
      </c>
      <c r="E7636" t="s">
        <v>29</v>
      </c>
    </row>
    <row r="7637" spans="1:5" x14ac:dyDescent="0.25">
      <c r="A7637" t="str">
        <f>HYPERLINK("https://www.773grp.com/globalSearch/TLV320DAC23GQE/page-1", "TLV320DAC23GQE")</f>
        <v>TLV320DAC23GQE</v>
      </c>
      <c r="B7637" s="3" t="s">
        <v>90</v>
      </c>
      <c r="C7637" s="5">
        <v>30703</v>
      </c>
      <c r="D7637" s="6">
        <v>7.51</v>
      </c>
      <c r="E7637" t="s">
        <v>29</v>
      </c>
    </row>
    <row r="7638" spans="1:5" x14ac:dyDescent="0.25">
      <c r="A7638" t="str">
        <f>HYPERLINK("https://www.773grp.com/globalSearch/DAC7552IRGTT/page-1", "DAC7552IRGTT")</f>
        <v>DAC7552IRGTT</v>
      </c>
      <c r="B7638" s="3" t="s">
        <v>90</v>
      </c>
      <c r="C7638" s="5">
        <v>3126</v>
      </c>
      <c r="D7638" s="6">
        <v>7.6</v>
      </c>
      <c r="E7638" t="s">
        <v>29</v>
      </c>
    </row>
    <row r="7639" spans="1:5" x14ac:dyDescent="0.25">
      <c r="A7639" t="str">
        <f>HYPERLINK("https://www.773grp.com/globalSearch/DAC8551IADGKT/page-1", "DAC8551IADGKT")</f>
        <v>DAC8551IADGKT</v>
      </c>
      <c r="B7639" s="3" t="s">
        <v>90</v>
      </c>
      <c r="C7639" s="5">
        <v>37750</v>
      </c>
      <c r="D7639" s="6">
        <v>7.6</v>
      </c>
      <c r="E7639" t="s">
        <v>29</v>
      </c>
    </row>
    <row r="7640" spans="1:5" x14ac:dyDescent="0.25">
      <c r="A7640" t="str">
        <f>HYPERLINK("https://www.773grp.com/globalSearch/PCM1796DBR/page-1", "PCM1796DBR")</f>
        <v>PCM1796DBR</v>
      </c>
      <c r="B7640" s="3" t="s">
        <v>90</v>
      </c>
      <c r="C7640" s="5">
        <v>45812</v>
      </c>
      <c r="D7640" s="6">
        <v>7.6</v>
      </c>
      <c r="E7640" t="s">
        <v>29</v>
      </c>
    </row>
    <row r="7641" spans="1:5" x14ac:dyDescent="0.25">
      <c r="A7641" t="str">
        <f>HYPERLINK("https://www.773grp.com/globalSearch/TLV5628CDW/page-1", "TLV5628CDW")</f>
        <v>TLV5628CDW</v>
      </c>
      <c r="B7641" s="3" t="s">
        <v>90</v>
      </c>
      <c r="C7641" s="5">
        <v>48</v>
      </c>
      <c r="D7641" s="6">
        <v>7.6</v>
      </c>
      <c r="E7641" t="s">
        <v>29</v>
      </c>
    </row>
    <row r="7642" spans="1:5" x14ac:dyDescent="0.25">
      <c r="A7642" t="str">
        <f>HYPERLINK("https://www.773grp.com/globalSearch/TLV5628CDWG4/page-1", "TLV5628CDWG4")</f>
        <v>TLV5628CDWG4</v>
      </c>
      <c r="B7642" s="3" t="s">
        <v>90</v>
      </c>
      <c r="C7642" s="5">
        <v>40</v>
      </c>
      <c r="D7642" s="6">
        <v>7.6</v>
      </c>
      <c r="E7642" t="s">
        <v>29</v>
      </c>
    </row>
    <row r="7643" spans="1:5" x14ac:dyDescent="0.25">
      <c r="A7643" t="str">
        <f>HYPERLINK("https://www.773grp.com/globalSearch/TLV5628IN/page-1", "TLV5628IN")</f>
        <v>TLV5628IN</v>
      </c>
      <c r="B7643" s="3" t="s">
        <v>90</v>
      </c>
      <c r="C7643" s="5">
        <v>1950</v>
      </c>
      <c r="D7643" s="6">
        <v>7.6</v>
      </c>
      <c r="E7643" t="s">
        <v>29</v>
      </c>
    </row>
    <row r="7644" spans="1:5" x14ac:dyDescent="0.25">
      <c r="A7644" t="str">
        <f>HYPERLINK("https://www.773grp.com/globalSearch/DAC7621E-1K/page-1", "DAC7621E-1K")</f>
        <v>DAC7621E-1K</v>
      </c>
      <c r="B7644" s="3" t="s">
        <v>90</v>
      </c>
      <c r="C7644" s="5">
        <v>4000</v>
      </c>
      <c r="D7644" s="6">
        <v>7.73</v>
      </c>
      <c r="E7644" t="s">
        <v>29</v>
      </c>
    </row>
    <row r="7645" spans="1:5" x14ac:dyDescent="0.25">
      <c r="A7645" t="str">
        <f>HYPERLINK("https://www.773grp.com/globalSearch/TLC7226IDW/page-1", "TLC7226IDW")</f>
        <v>TLC7226IDW</v>
      </c>
      <c r="B7645" s="3" t="s">
        <v>90</v>
      </c>
      <c r="C7645" s="5">
        <v>700</v>
      </c>
      <c r="D7645" s="6">
        <v>7.76</v>
      </c>
      <c r="E7645" t="s">
        <v>29</v>
      </c>
    </row>
    <row r="7646" spans="1:5" x14ac:dyDescent="0.25">
      <c r="A7646" t="str">
        <f>HYPERLINK("https://www.773grp.com/globalSearch/TLV320DAC23IPW/page-1", "TLV320DAC23IPW")</f>
        <v>TLV320DAC23IPW</v>
      </c>
      <c r="B7646" s="3" t="s">
        <v>90</v>
      </c>
      <c r="C7646" s="5">
        <v>2169</v>
      </c>
      <c r="D7646" s="6">
        <v>7.8</v>
      </c>
      <c r="E7646" t="s">
        <v>29</v>
      </c>
    </row>
    <row r="7647" spans="1:5" x14ac:dyDescent="0.25">
      <c r="A7647" t="str">
        <f>HYPERLINK("https://www.773grp.com/globalSearch/TLV320DAC23IRHD/page-1", "TLV320DAC23IRHD")</f>
        <v>TLV320DAC23IRHD</v>
      </c>
      <c r="B7647" s="3" t="s">
        <v>90</v>
      </c>
      <c r="C7647" s="5">
        <v>10689</v>
      </c>
      <c r="D7647" s="6">
        <v>7.8</v>
      </c>
      <c r="E7647" t="s">
        <v>29</v>
      </c>
    </row>
    <row r="7648" spans="1:5" x14ac:dyDescent="0.25">
      <c r="A7648" t="str">
        <f>HYPERLINK("https://www.773grp.com/globalSearch/TLV5621ED/page-1", "TLV5621ED")</f>
        <v>TLV5621ED</v>
      </c>
      <c r="B7648" s="3" t="s">
        <v>90</v>
      </c>
      <c r="C7648" s="5">
        <v>19945</v>
      </c>
      <c r="D7648" s="6">
        <v>7.8</v>
      </c>
      <c r="E7648" t="s">
        <v>29</v>
      </c>
    </row>
    <row r="7649" spans="1:5" x14ac:dyDescent="0.25">
      <c r="A7649" t="str">
        <f>HYPERLINK("https://www.773grp.com/globalSearch/PCM1691DCA/page-1", "PCM1691DCA")</f>
        <v>PCM1691DCA</v>
      </c>
      <c r="B7649" s="3" t="s">
        <v>90</v>
      </c>
      <c r="C7649" s="5">
        <v>75</v>
      </c>
      <c r="D7649" s="6">
        <v>7.88</v>
      </c>
      <c r="E7649" t="s">
        <v>29</v>
      </c>
    </row>
    <row r="7650" spans="1:5" x14ac:dyDescent="0.25">
      <c r="A7650" t="str">
        <f>HYPERLINK("https://www.773grp.com/globalSearch/TLC5628CN/page-1", "TLC5628CN")</f>
        <v>TLC5628CN</v>
      </c>
      <c r="B7650" s="3" t="s">
        <v>90</v>
      </c>
      <c r="C7650" s="5">
        <v>996</v>
      </c>
      <c r="D7650" s="6">
        <v>7.9</v>
      </c>
      <c r="E7650" t="s">
        <v>29</v>
      </c>
    </row>
    <row r="7651" spans="1:5" x14ac:dyDescent="0.25">
      <c r="A7651" t="str">
        <f>HYPERLINK("https://www.773grp.com/globalSearch/TLC7225CDW/page-1", "TLC7225CDW")</f>
        <v>TLC7225CDW</v>
      </c>
      <c r="B7651" s="3" t="s">
        <v>90</v>
      </c>
      <c r="C7651" s="5">
        <v>425</v>
      </c>
      <c r="D7651" s="6">
        <v>7.9</v>
      </c>
      <c r="E7651" t="s">
        <v>29</v>
      </c>
    </row>
    <row r="7652" spans="1:5" x14ac:dyDescent="0.25">
      <c r="A7652" t="str">
        <f>HYPERLINK("https://www.773grp.com/globalSearch/DSD1791DB/page-1", "DSD1791DB")</f>
        <v>DSD1791DB</v>
      </c>
      <c r="B7652" s="3" t="s">
        <v>90</v>
      </c>
      <c r="C7652" s="5">
        <v>71</v>
      </c>
      <c r="D7652" s="6">
        <v>7.99</v>
      </c>
      <c r="E7652" t="s">
        <v>29</v>
      </c>
    </row>
    <row r="7653" spans="1:5" x14ac:dyDescent="0.25">
      <c r="A7653" t="str">
        <f>HYPERLINK("https://www.773grp.com/globalSearch/PCM1690DCA/page-1", "PCM1690DCA")</f>
        <v>PCM1690DCA</v>
      </c>
      <c r="B7653" s="3" t="s">
        <v>90</v>
      </c>
      <c r="C7653" s="5">
        <v>945</v>
      </c>
      <c r="D7653" s="6">
        <v>8.01</v>
      </c>
      <c r="E7653" t="s">
        <v>29</v>
      </c>
    </row>
    <row r="7654" spans="1:5" x14ac:dyDescent="0.25">
      <c r="A7654" t="str">
        <f>HYPERLINK("https://www.773grp.com/globalSearch/TLV5628IDW/page-1", "TLV5628IDW")</f>
        <v>TLV5628IDW</v>
      </c>
      <c r="B7654" s="3" t="s">
        <v>90</v>
      </c>
      <c r="C7654" s="5">
        <v>16985</v>
      </c>
      <c r="D7654" s="6">
        <v>8.01</v>
      </c>
      <c r="E7654" t="s">
        <v>29</v>
      </c>
    </row>
    <row r="7655" spans="1:5" x14ac:dyDescent="0.25">
      <c r="A7655" t="str">
        <f>HYPERLINK("https://www.773grp.com/globalSearch/DAC8550IBDGKR/page-1", "DAC8550IBDGKR")</f>
        <v>DAC8550IBDGKR</v>
      </c>
      <c r="B7655" s="3" t="s">
        <v>90</v>
      </c>
      <c r="C7655" s="5">
        <v>20000</v>
      </c>
      <c r="D7655" s="6">
        <v>8.0500000000000007</v>
      </c>
      <c r="E7655" t="s">
        <v>29</v>
      </c>
    </row>
    <row r="7656" spans="1:5" x14ac:dyDescent="0.25">
      <c r="A7656" t="str">
        <f>HYPERLINK("https://www.773grp.com/globalSearch/PCM1602APT/page-1", "PCM1602APT")</f>
        <v>PCM1602APT</v>
      </c>
      <c r="B7656" s="3" t="s">
        <v>90</v>
      </c>
      <c r="C7656" s="5">
        <v>40</v>
      </c>
      <c r="D7656" s="6">
        <v>8.15</v>
      </c>
      <c r="E7656" t="s">
        <v>29</v>
      </c>
    </row>
    <row r="7657" spans="1:5" x14ac:dyDescent="0.25">
      <c r="A7657" t="str">
        <f>HYPERLINK("https://www.773grp.com/globalSearch/TL5632CFR/page-1", "TL5632CFR")</f>
        <v>TL5632CFR</v>
      </c>
      <c r="B7657" s="3" t="s">
        <v>90</v>
      </c>
      <c r="C7657" s="5">
        <v>3735</v>
      </c>
      <c r="D7657" s="6">
        <v>8.2100000000000009</v>
      </c>
      <c r="E7657" t="s">
        <v>29</v>
      </c>
    </row>
    <row r="7658" spans="1:5" x14ac:dyDescent="0.25">
      <c r="A7658" t="str">
        <f>HYPERLINK("https://www.773grp.com/globalSearch/DAC7811IDGST/page-1", "DAC7811IDGST")</f>
        <v>DAC7811IDGST</v>
      </c>
      <c r="B7658" s="3" t="s">
        <v>90</v>
      </c>
      <c r="C7658" s="5">
        <v>12240</v>
      </c>
      <c r="D7658" s="6">
        <v>8.3000000000000007</v>
      </c>
      <c r="E7658" t="s">
        <v>29</v>
      </c>
    </row>
    <row r="7659" spans="1:5" x14ac:dyDescent="0.25">
      <c r="A7659" t="str">
        <f>HYPERLINK("https://www.773grp.com/globalSearch/DAC7811IDGSTG4/page-1", "DAC7811IDGSTG4")</f>
        <v>DAC7811IDGSTG4</v>
      </c>
      <c r="B7659" s="3" t="s">
        <v>90</v>
      </c>
      <c r="C7659" s="5">
        <v>1250</v>
      </c>
      <c r="D7659" s="6">
        <v>8.3000000000000007</v>
      </c>
      <c r="E7659" t="s">
        <v>29</v>
      </c>
    </row>
    <row r="7660" spans="1:5" x14ac:dyDescent="0.25">
      <c r="A7660" t="str">
        <f>HYPERLINK("https://www.773grp.com/globalSearch/TLC5628CDW/page-1", "TLC5628CDW")</f>
        <v>TLC5628CDW</v>
      </c>
      <c r="B7660" s="3" t="s">
        <v>90</v>
      </c>
      <c r="C7660" s="5">
        <v>80</v>
      </c>
      <c r="D7660" s="6">
        <v>8.3000000000000007</v>
      </c>
      <c r="E7660" t="s">
        <v>29</v>
      </c>
    </row>
    <row r="7661" spans="1:5" x14ac:dyDescent="0.25">
      <c r="A7661" t="str">
        <f>HYPERLINK("https://www.773grp.com/globalSearch/THS5641IDW/page-1", "THS5641IDW")</f>
        <v>THS5641IDW</v>
      </c>
      <c r="B7661" s="3" t="s">
        <v>90</v>
      </c>
      <c r="C7661" s="5">
        <v>3392</v>
      </c>
      <c r="D7661" s="6">
        <v>8.4</v>
      </c>
      <c r="E7661" t="s">
        <v>29</v>
      </c>
    </row>
    <row r="7662" spans="1:5" x14ac:dyDescent="0.25">
      <c r="A7662" t="str">
        <f>HYPERLINK("https://www.773grp.com/globalSearch/THS5641IPW/page-1", "THS5641IPW")</f>
        <v>THS5641IPW</v>
      </c>
      <c r="B7662" s="3" t="s">
        <v>90</v>
      </c>
      <c r="C7662" s="5">
        <v>5611</v>
      </c>
      <c r="D7662" s="6">
        <v>8.4</v>
      </c>
      <c r="E7662" t="s">
        <v>29</v>
      </c>
    </row>
    <row r="7663" spans="1:5" x14ac:dyDescent="0.25">
      <c r="A7663" t="str">
        <f>HYPERLINK("https://www.773grp.com/globalSearch/TLC7225IDW/page-1", "TLC7225IDW")</f>
        <v>TLC7225IDW</v>
      </c>
      <c r="B7663" s="3" t="s">
        <v>90</v>
      </c>
      <c r="C7663" s="5">
        <v>2260</v>
      </c>
      <c r="D7663" s="6">
        <v>8.4</v>
      </c>
      <c r="E7663" t="s">
        <v>29</v>
      </c>
    </row>
    <row r="7664" spans="1:5" x14ac:dyDescent="0.25">
      <c r="A7664" t="str">
        <f>HYPERLINK("https://www.773grp.com/globalSearch/DAC7613E/page-1", "DAC7613E")</f>
        <v>DAC7613E</v>
      </c>
      <c r="B7664" s="3" t="s">
        <v>90</v>
      </c>
      <c r="C7664" s="5">
        <v>7820</v>
      </c>
      <c r="D7664" s="6">
        <v>8.44</v>
      </c>
      <c r="E7664" t="s">
        <v>29</v>
      </c>
    </row>
    <row r="7665" spans="1:5" x14ac:dyDescent="0.25">
      <c r="A7665" t="str">
        <f>HYPERLINK("https://www.773grp.com/globalSearch/DAC8411IDCKT/page-1", "DAC8411IDCKT")</f>
        <v>DAC8411IDCKT</v>
      </c>
      <c r="B7665" s="3" t="s">
        <v>90</v>
      </c>
      <c r="C7665" s="5">
        <v>9347</v>
      </c>
      <c r="D7665" s="6">
        <v>8.44</v>
      </c>
      <c r="E7665" t="s">
        <v>29</v>
      </c>
    </row>
    <row r="7666" spans="1:5" x14ac:dyDescent="0.25">
      <c r="A7666" t="str">
        <f>HYPERLINK("https://www.773grp.com/globalSearch/DAC8531E-2K5/page-1", "DAC8531E-2K5")</f>
        <v>DAC8531E-2K5</v>
      </c>
      <c r="B7666" s="3" t="s">
        <v>90</v>
      </c>
      <c r="C7666" s="5">
        <v>2500</v>
      </c>
      <c r="D7666" s="6">
        <v>8.44</v>
      </c>
      <c r="E7666" t="s">
        <v>29</v>
      </c>
    </row>
    <row r="7667" spans="1:5" x14ac:dyDescent="0.25">
      <c r="A7667" t="str">
        <f>HYPERLINK("https://www.773grp.com/globalSearch/DAC8531IDRBR/page-1", "DAC8531IDRBR")</f>
        <v>DAC8531IDRBR</v>
      </c>
      <c r="B7667" s="3" t="s">
        <v>90</v>
      </c>
      <c r="C7667" s="5">
        <v>11000</v>
      </c>
      <c r="D7667" s="6">
        <v>8.44</v>
      </c>
      <c r="E7667" t="s">
        <v>29</v>
      </c>
    </row>
    <row r="7668" spans="1:5" x14ac:dyDescent="0.25">
      <c r="A7668" t="str">
        <f>HYPERLINK("https://www.773grp.com/globalSearch/DAC8541Y-2K/page-1", "DAC8541Y-2K")</f>
        <v>DAC8541Y-2K</v>
      </c>
      <c r="B7668" s="3" t="s">
        <v>90</v>
      </c>
      <c r="C7668" s="5">
        <v>32000</v>
      </c>
      <c r="D7668" s="6">
        <v>8.44</v>
      </c>
      <c r="E7668" t="s">
        <v>29</v>
      </c>
    </row>
    <row r="7669" spans="1:5" x14ac:dyDescent="0.25">
      <c r="A7669" t="str">
        <f>HYPERLINK("https://www.773grp.com/globalSearch/DSD1793DB/page-1", "DSD1793DB")</f>
        <v>DSD1793DB</v>
      </c>
      <c r="B7669" s="3" t="s">
        <v>90</v>
      </c>
      <c r="C7669" s="5">
        <v>153</v>
      </c>
      <c r="D7669" s="6">
        <v>8.44</v>
      </c>
      <c r="E7669" t="s">
        <v>29</v>
      </c>
    </row>
    <row r="7670" spans="1:5" x14ac:dyDescent="0.25">
      <c r="A7670" t="str">
        <f>HYPERLINK("https://www.773grp.com/globalSearch/TLC5628IN/page-1", "TLC5628IN")</f>
        <v>TLC5628IN</v>
      </c>
      <c r="B7670" s="3" t="s">
        <v>90</v>
      </c>
      <c r="C7670" s="5">
        <v>10940</v>
      </c>
      <c r="D7670" s="6">
        <v>8.44</v>
      </c>
      <c r="E7670" t="s">
        <v>29</v>
      </c>
    </row>
    <row r="7671" spans="1:5" x14ac:dyDescent="0.25">
      <c r="A7671" t="str">
        <f>HYPERLINK("https://www.773grp.com/globalSearch/PCM2704DBR/page-1", "PCM2704DBR")</f>
        <v>PCM2704DBR</v>
      </c>
      <c r="B7671" s="3" t="s">
        <v>90</v>
      </c>
      <c r="C7671" s="5">
        <v>11565</v>
      </c>
      <c r="D7671" s="6">
        <v>8.48</v>
      </c>
      <c r="E7671" t="s">
        <v>29</v>
      </c>
    </row>
    <row r="7672" spans="1:5" x14ac:dyDescent="0.25">
      <c r="A7672" t="str">
        <f>HYPERLINK("https://www.773grp.com/globalSearch/PCM1723E/page-1", "PCM1723E")</f>
        <v>PCM1723E</v>
      </c>
      <c r="B7672" s="3" t="s">
        <v>90</v>
      </c>
      <c r="C7672" s="5">
        <v>308</v>
      </c>
      <c r="D7672" s="6">
        <v>8.58</v>
      </c>
      <c r="E7672" t="s">
        <v>29</v>
      </c>
    </row>
    <row r="7673" spans="1:5" x14ac:dyDescent="0.25">
      <c r="A7673" t="str">
        <f>HYPERLINK("https://www.773grp.com/globalSearch/PCM1723E/page-1", "PCM1723E")</f>
        <v>PCM1723E</v>
      </c>
      <c r="B7673" s="3" t="s">
        <v>90</v>
      </c>
      <c r="C7673" s="5">
        <v>20200</v>
      </c>
      <c r="D7673" s="6">
        <v>8.58</v>
      </c>
      <c r="E7673" t="s">
        <v>29</v>
      </c>
    </row>
    <row r="7674" spans="1:5" x14ac:dyDescent="0.25">
      <c r="A7674" t="str">
        <f>HYPERLINK("https://www.773grp.com/globalSearch/TLV320DAC26IRHB/page-1", "TLV320DAC26IRHB")</f>
        <v>TLV320DAC26IRHB</v>
      </c>
      <c r="B7674" s="3" t="s">
        <v>90</v>
      </c>
      <c r="C7674" s="5">
        <v>75800</v>
      </c>
      <c r="D7674" s="6">
        <v>8.66</v>
      </c>
      <c r="E7674" t="s">
        <v>29</v>
      </c>
    </row>
    <row r="7675" spans="1:5" x14ac:dyDescent="0.25">
      <c r="A7675" t="str">
        <f>HYPERLINK("https://www.773grp.com/globalSearch/TLV320DAC26IRHBG4/page-1", "TLV320DAC26IRHBG4")</f>
        <v>TLV320DAC26IRHBG4</v>
      </c>
      <c r="B7675" s="3" t="s">
        <v>90</v>
      </c>
      <c r="C7675" s="5">
        <v>2117</v>
      </c>
      <c r="D7675" s="6">
        <v>8.66</v>
      </c>
      <c r="E7675" t="s">
        <v>29</v>
      </c>
    </row>
    <row r="7676" spans="1:5" x14ac:dyDescent="0.25">
      <c r="A7676" t="str">
        <f>HYPERLINK("https://www.773grp.com/globalSearch/DAC5573IPW/page-1", "DAC5573IPW")</f>
        <v>DAC5573IPW</v>
      </c>
      <c r="B7676" s="3" t="s">
        <v>90</v>
      </c>
      <c r="C7676" s="5">
        <v>91</v>
      </c>
      <c r="D7676" s="6">
        <v>8.73</v>
      </c>
      <c r="E7676" t="s">
        <v>29</v>
      </c>
    </row>
    <row r="7677" spans="1:5" x14ac:dyDescent="0.25">
      <c r="A7677" t="str">
        <f>HYPERLINK("https://www.773grp.com/globalSearch/DAC5573IPWG4/page-1", "DAC5573IPWG4")</f>
        <v>DAC5573IPWG4</v>
      </c>
      <c r="B7677" s="3" t="s">
        <v>90</v>
      </c>
      <c r="C7677" s="5">
        <v>720</v>
      </c>
      <c r="D7677" s="6">
        <v>8.73</v>
      </c>
      <c r="E7677" t="s">
        <v>29</v>
      </c>
    </row>
    <row r="7678" spans="1:5" x14ac:dyDescent="0.25">
      <c r="A7678" t="str">
        <f>HYPERLINK("https://www.773grp.com/globalSearch/DAC5574IDGS/page-1", "DAC5574IDGS")</f>
        <v>DAC5574IDGS</v>
      </c>
      <c r="B7678" s="3" t="s">
        <v>90</v>
      </c>
      <c r="C7678" s="5">
        <v>478</v>
      </c>
      <c r="D7678" s="6">
        <v>8.73</v>
      </c>
      <c r="E7678" t="s">
        <v>29</v>
      </c>
    </row>
    <row r="7679" spans="1:5" x14ac:dyDescent="0.25">
      <c r="A7679" t="str">
        <f>HYPERLINK("https://www.773grp.com/globalSearch/DAC7611U/page-1", "DAC7611U")</f>
        <v>DAC7611U</v>
      </c>
      <c r="B7679" s="3" t="s">
        <v>90</v>
      </c>
      <c r="C7679" s="5">
        <v>7850</v>
      </c>
      <c r="D7679" s="6">
        <v>8.73</v>
      </c>
      <c r="E7679" t="s">
        <v>29</v>
      </c>
    </row>
    <row r="7680" spans="1:5" x14ac:dyDescent="0.25">
      <c r="A7680" t="str">
        <f>HYPERLINK("https://www.773grp.com/globalSearch/DAC7612U-2K5/page-1", "DAC7612U-2K5")</f>
        <v>DAC7612U-2K5</v>
      </c>
      <c r="B7680" s="3" t="s">
        <v>90</v>
      </c>
      <c r="C7680" s="5">
        <v>7646</v>
      </c>
      <c r="D7680" s="6">
        <v>8.73</v>
      </c>
      <c r="E7680" t="s">
        <v>29</v>
      </c>
    </row>
    <row r="7681" spans="1:5" x14ac:dyDescent="0.25">
      <c r="A7681" t="str">
        <f>HYPERLINK("https://www.773grp.com/globalSearch/DAC7811IDGS/page-1", "DAC7811IDGS")</f>
        <v>DAC7811IDGS</v>
      </c>
      <c r="B7681" s="3" t="s">
        <v>90</v>
      </c>
      <c r="C7681" s="5">
        <v>25</v>
      </c>
      <c r="D7681" s="6">
        <v>8.73</v>
      </c>
      <c r="E7681" t="s">
        <v>29</v>
      </c>
    </row>
    <row r="7682" spans="1:5" x14ac:dyDescent="0.25">
      <c r="A7682" t="str">
        <f>HYPERLINK("https://www.773grp.com/globalSearch/DAC8501E-2K5/page-1", "DAC8501E-2K5")</f>
        <v>DAC8501E-2K5</v>
      </c>
      <c r="B7682" s="3" t="s">
        <v>90</v>
      </c>
      <c r="C7682" s="5">
        <v>2500</v>
      </c>
      <c r="D7682" s="6">
        <v>8.7799999999999994</v>
      </c>
      <c r="E7682" t="s">
        <v>29</v>
      </c>
    </row>
    <row r="7683" spans="1:5" x14ac:dyDescent="0.25">
      <c r="A7683" t="str">
        <f>HYPERLINK("https://www.773grp.com/globalSearch/DAC7821IPW/page-1", "DAC7821IPW")</f>
        <v>DAC7821IPW</v>
      </c>
      <c r="B7683" s="3" t="s">
        <v>90</v>
      </c>
      <c r="C7683" s="5">
        <v>12406</v>
      </c>
      <c r="D7683" s="6">
        <v>8.86</v>
      </c>
      <c r="E7683" t="s">
        <v>29</v>
      </c>
    </row>
    <row r="7684" spans="1:5" x14ac:dyDescent="0.25">
      <c r="A7684" t="str">
        <f>HYPERLINK("https://www.773grp.com/globalSearch/DAC8560IBDGKR/page-1", "DAC8560IBDGKR")</f>
        <v>DAC8560IBDGKR</v>
      </c>
      <c r="B7684" s="3" t="s">
        <v>90</v>
      </c>
      <c r="C7684" s="5">
        <v>10000</v>
      </c>
      <c r="D7684" s="6">
        <v>8.86</v>
      </c>
      <c r="E7684" t="s">
        <v>29</v>
      </c>
    </row>
    <row r="7685" spans="1:5" x14ac:dyDescent="0.25">
      <c r="A7685" t="str">
        <f>HYPERLINK("https://www.773grp.com/globalSearch/PCM1727E-2/page-1", "PCM1727E-2")</f>
        <v>PCM1727E-2</v>
      </c>
      <c r="B7685" s="3" t="s">
        <v>90</v>
      </c>
      <c r="C7685" s="5">
        <v>2378</v>
      </c>
      <c r="D7685" s="6">
        <v>8.86</v>
      </c>
      <c r="E7685" t="s">
        <v>29</v>
      </c>
    </row>
    <row r="7686" spans="1:5" x14ac:dyDescent="0.25">
      <c r="A7686" t="str">
        <f>HYPERLINK("https://www.773grp.com/globalSearch/TLC5628IDW/page-1", "TLC5628IDW")</f>
        <v>TLC5628IDW</v>
      </c>
      <c r="B7686" s="3" t="s">
        <v>90</v>
      </c>
      <c r="C7686" s="5">
        <v>4600</v>
      </c>
      <c r="D7686" s="6">
        <v>8.86</v>
      </c>
      <c r="E7686" t="s">
        <v>29</v>
      </c>
    </row>
    <row r="7687" spans="1:5" x14ac:dyDescent="0.25">
      <c r="A7687" t="str">
        <f>HYPERLINK("https://www.773grp.com/globalSearch/TLV5629IDWR/page-1", "TLV5629IDWR")</f>
        <v>TLV5629IDWR</v>
      </c>
      <c r="B7687" s="3" t="s">
        <v>90</v>
      </c>
      <c r="C7687" s="5">
        <v>2000</v>
      </c>
      <c r="D7687" s="6">
        <v>8.86</v>
      </c>
      <c r="E7687" t="s">
        <v>29</v>
      </c>
    </row>
    <row r="7688" spans="1:5" x14ac:dyDescent="0.25">
      <c r="A7688" t="str">
        <f>HYPERLINK("https://www.773grp.com/globalSearch/DAC7621EB-1K/page-1", "DAC7621EB-1K")</f>
        <v>DAC7621EB-1K</v>
      </c>
      <c r="B7688" s="3" t="s">
        <v>90</v>
      </c>
      <c r="C7688" s="5">
        <v>2000</v>
      </c>
      <c r="D7688" s="6">
        <v>9</v>
      </c>
      <c r="E7688" t="s">
        <v>29</v>
      </c>
    </row>
    <row r="7689" spans="1:5" x14ac:dyDescent="0.25">
      <c r="A7689" t="str">
        <f>HYPERLINK("https://www.773grp.com/globalSearch/PCM1796DB/page-1", "PCM1796DB")</f>
        <v>PCM1796DB</v>
      </c>
      <c r="B7689" s="3" t="s">
        <v>90</v>
      </c>
      <c r="C7689" s="5">
        <v>4</v>
      </c>
      <c r="D7689" s="6">
        <v>9.0299999999999994</v>
      </c>
      <c r="E7689" t="s">
        <v>29</v>
      </c>
    </row>
    <row r="7690" spans="1:5" x14ac:dyDescent="0.25">
      <c r="A7690" t="str">
        <f>HYPERLINK("https://www.773grp.com/globalSearch/DSD1702E/page-1", "DSD1702E")</f>
        <v>DSD1702E</v>
      </c>
      <c r="B7690" s="3" t="s">
        <v>90</v>
      </c>
      <c r="C7690" s="5">
        <v>6492</v>
      </c>
      <c r="D7690" s="6">
        <v>9.11</v>
      </c>
      <c r="E7690" t="s">
        <v>29</v>
      </c>
    </row>
    <row r="7691" spans="1:5" x14ac:dyDescent="0.25">
      <c r="A7691" t="str">
        <f>HYPERLINK("https://www.773grp.com/globalSearch/DAC8550IBDGKT/page-1", "DAC8550IBDGKT")</f>
        <v>DAC8550IBDGKT</v>
      </c>
      <c r="B7691" s="3" t="s">
        <v>90</v>
      </c>
      <c r="C7691" s="5">
        <v>860</v>
      </c>
      <c r="D7691" s="6">
        <v>9.15</v>
      </c>
      <c r="E7691" t="s">
        <v>29</v>
      </c>
    </row>
    <row r="7692" spans="1:5" x14ac:dyDescent="0.25">
      <c r="A7692" t="str">
        <f>HYPERLINK("https://www.773grp.com/globalSearch/TLV5616CDGK/page-1", "TLV5616CDGK")</f>
        <v>TLV5616CDGK</v>
      </c>
      <c r="B7692" s="3" t="s">
        <v>90</v>
      </c>
      <c r="C7692" s="5">
        <v>9644</v>
      </c>
      <c r="D7692" s="6">
        <v>9.16</v>
      </c>
      <c r="E7692" t="s">
        <v>29</v>
      </c>
    </row>
    <row r="7693" spans="1:5" x14ac:dyDescent="0.25">
      <c r="A7693" t="str">
        <f>HYPERLINK("https://www.773grp.com/globalSearch/PCM1740E-2K/page-1", "PCM1740E-2K")</f>
        <v>PCM1740E-2K</v>
      </c>
      <c r="B7693" s="3" t="s">
        <v>90</v>
      </c>
      <c r="C7693" s="5">
        <v>4000</v>
      </c>
      <c r="D7693" s="6">
        <v>9.23</v>
      </c>
      <c r="E7693" t="s">
        <v>29</v>
      </c>
    </row>
    <row r="7694" spans="1:5" x14ac:dyDescent="0.25">
      <c r="A7694" t="str">
        <f>HYPERLINK("https://www.773grp.com/globalSearch/TLC5617CD/page-1", "TLC5617CD")</f>
        <v>TLC5617CD</v>
      </c>
      <c r="B7694" s="3" t="s">
        <v>90</v>
      </c>
      <c r="C7694" s="5">
        <v>286</v>
      </c>
      <c r="D7694" s="6">
        <v>9.23</v>
      </c>
      <c r="E7694" t="s">
        <v>29</v>
      </c>
    </row>
    <row r="7695" spans="1:5" x14ac:dyDescent="0.25">
      <c r="A7695" t="str">
        <f>HYPERLINK("https://www.773grp.com/globalSearch/TLC5617CDR/page-1", "TLC5617CDR")</f>
        <v>TLC5617CDR</v>
      </c>
      <c r="B7695" s="3" t="s">
        <v>90</v>
      </c>
      <c r="C7695" s="5">
        <v>5000</v>
      </c>
      <c r="D7695" s="6">
        <v>9.23</v>
      </c>
      <c r="E7695" t="s">
        <v>29</v>
      </c>
    </row>
    <row r="7696" spans="1:5" x14ac:dyDescent="0.25">
      <c r="A7696" t="str">
        <f>HYPERLINK("https://www.773grp.com/globalSearch/DAC7621E/page-1", "DAC7621E")</f>
        <v>DAC7621E</v>
      </c>
      <c r="B7696" s="3" t="s">
        <v>90</v>
      </c>
      <c r="C7696" s="5">
        <v>11839</v>
      </c>
      <c r="D7696" s="6">
        <v>9.2899999999999991</v>
      </c>
      <c r="E7696" t="s">
        <v>29</v>
      </c>
    </row>
    <row r="7697" spans="1:5" x14ac:dyDescent="0.25">
      <c r="A7697" t="str">
        <f>HYPERLINK("https://www.773grp.com/globalSearch/DAC8552IDGKR/page-1", "DAC8552IDGKR")</f>
        <v>DAC8552IDGKR</v>
      </c>
      <c r="B7697" s="3" t="s">
        <v>90</v>
      </c>
      <c r="C7697" s="5">
        <v>1250</v>
      </c>
      <c r="D7697" s="6">
        <v>9.4499999999999993</v>
      </c>
      <c r="E7697" t="s">
        <v>29</v>
      </c>
    </row>
    <row r="7698" spans="1:5" x14ac:dyDescent="0.25">
      <c r="A7698" t="str">
        <f>HYPERLINK("https://www.773grp.com/globalSearch/TLC5617ACD/page-1", "TLC5617ACD")</f>
        <v>TLC5617ACD</v>
      </c>
      <c r="B7698" s="3" t="s">
        <v>90</v>
      </c>
      <c r="C7698" s="5">
        <v>9539</v>
      </c>
      <c r="D7698" s="6">
        <v>9.5</v>
      </c>
      <c r="E7698" t="s">
        <v>29</v>
      </c>
    </row>
    <row r="7699" spans="1:5" x14ac:dyDescent="0.25">
      <c r="A7699" t="str">
        <f>HYPERLINK("https://www.773grp.com/globalSearch/TLC5617ACDR/page-1", "TLC5617ACDR")</f>
        <v>TLC5617ACDR</v>
      </c>
      <c r="B7699" s="3" t="s">
        <v>90</v>
      </c>
      <c r="C7699" s="5">
        <v>2500</v>
      </c>
      <c r="D7699" s="6">
        <v>9.5</v>
      </c>
      <c r="E7699" t="s">
        <v>29</v>
      </c>
    </row>
    <row r="7700" spans="1:5" x14ac:dyDescent="0.25">
      <c r="A7700" t="str">
        <f>HYPERLINK("https://www.773grp.com/globalSearch/TLC5617AID/page-1", "TLC5617AID")</f>
        <v>TLC5617AID</v>
      </c>
      <c r="B7700" s="3" t="s">
        <v>90</v>
      </c>
      <c r="C7700" s="5">
        <v>1832</v>
      </c>
      <c r="D7700" s="6">
        <v>9.5</v>
      </c>
      <c r="E7700" t="s">
        <v>29</v>
      </c>
    </row>
    <row r="7701" spans="1:5" x14ac:dyDescent="0.25">
      <c r="A7701" t="str">
        <f>HYPERLINK("https://www.773grp.com/globalSearch/TLC5617AIDR/page-1", "TLC5617AIDR")</f>
        <v>TLC5617AIDR</v>
      </c>
      <c r="B7701" s="3" t="s">
        <v>90</v>
      </c>
      <c r="C7701" s="5">
        <v>2500</v>
      </c>
      <c r="D7701" s="6">
        <v>9.5</v>
      </c>
      <c r="E7701" t="s">
        <v>29</v>
      </c>
    </row>
    <row r="7702" spans="1:5" x14ac:dyDescent="0.25">
      <c r="A7702" t="str">
        <f>HYPERLINK("https://www.773grp.com/globalSearch/TLC5617ID/page-1", "TLC5617ID")</f>
        <v>TLC5617ID</v>
      </c>
      <c r="B7702" s="3" t="s">
        <v>90</v>
      </c>
      <c r="C7702" s="5">
        <v>2466</v>
      </c>
      <c r="D7702" s="6">
        <v>9.5</v>
      </c>
      <c r="E7702" t="s">
        <v>29</v>
      </c>
    </row>
    <row r="7703" spans="1:5" x14ac:dyDescent="0.25">
      <c r="A7703" t="str">
        <f>HYPERLINK("https://www.773grp.com/globalSearch/DAC7553IRGTT/page-1", "DAC7553IRGTT")</f>
        <v>DAC7553IRGTT</v>
      </c>
      <c r="B7703" s="3" t="s">
        <v>90</v>
      </c>
      <c r="C7703" s="5">
        <v>4393</v>
      </c>
      <c r="D7703" s="6">
        <v>9.56</v>
      </c>
      <c r="E7703" t="s">
        <v>29</v>
      </c>
    </row>
    <row r="7704" spans="1:5" x14ac:dyDescent="0.25">
      <c r="A7704" t="str">
        <f>HYPERLINK("https://www.773grp.com/globalSearch/DAC7613EB/page-1", "DAC7613EB")</f>
        <v>DAC7613EB</v>
      </c>
      <c r="B7704" s="3" t="s">
        <v>90</v>
      </c>
      <c r="C7704" s="5">
        <v>14995</v>
      </c>
      <c r="D7704" s="6">
        <v>9.56</v>
      </c>
      <c r="E7704" t="s">
        <v>29</v>
      </c>
    </row>
    <row r="7705" spans="1:5" x14ac:dyDescent="0.25">
      <c r="A7705" t="str">
        <f>HYPERLINK("https://www.773grp.com/globalSearch/DAC7613EB/page-1", "DAC7613EB")</f>
        <v>DAC7613EB</v>
      </c>
      <c r="B7705" s="3" t="s">
        <v>90</v>
      </c>
      <c r="C7705" s="5">
        <v>1860</v>
      </c>
      <c r="D7705" s="6">
        <v>9.56</v>
      </c>
      <c r="E7705" t="s">
        <v>29</v>
      </c>
    </row>
    <row r="7706" spans="1:5" x14ac:dyDescent="0.25">
      <c r="A7706" t="str">
        <f>HYPERLINK("https://www.773grp.com/globalSearch/TLV5613CDW/page-1", "TLV5613CDW")</f>
        <v>TLV5613CDW</v>
      </c>
      <c r="B7706" s="3" t="s">
        <v>90</v>
      </c>
      <c r="C7706" s="5">
        <v>4165</v>
      </c>
      <c r="D7706" s="6">
        <v>9.65</v>
      </c>
      <c r="E7706" t="s">
        <v>29</v>
      </c>
    </row>
    <row r="7707" spans="1:5" x14ac:dyDescent="0.25">
      <c r="A7707" t="str">
        <f>HYPERLINK("https://www.773grp.com/globalSearch/TLV5613CDW/page-1", "TLV5613CDW")</f>
        <v>TLV5613CDW</v>
      </c>
      <c r="B7707" s="3" t="s">
        <v>90</v>
      </c>
      <c r="C7707" s="5">
        <v>16660</v>
      </c>
      <c r="D7707" s="6">
        <v>9.65</v>
      </c>
      <c r="E7707" t="s">
        <v>29</v>
      </c>
    </row>
    <row r="7708" spans="1:5" x14ac:dyDescent="0.25">
      <c r="A7708" t="str">
        <f>HYPERLINK("https://www.773grp.com/globalSearch/TLV5613CPW/page-1", "TLV5613CPW")</f>
        <v>TLV5613CPW</v>
      </c>
      <c r="B7708" s="3" t="s">
        <v>90</v>
      </c>
      <c r="C7708" s="5">
        <v>14181</v>
      </c>
      <c r="D7708" s="6">
        <v>9.65</v>
      </c>
      <c r="E7708" t="s">
        <v>29</v>
      </c>
    </row>
    <row r="7709" spans="1:5" x14ac:dyDescent="0.25">
      <c r="A7709" t="str">
        <f>HYPERLINK("https://www.773grp.com/globalSearch/DAC5578SRGET/page-1", "DAC5578SRGET")</f>
        <v>DAC5578SRGET</v>
      </c>
      <c r="B7709" s="3" t="s">
        <v>90</v>
      </c>
      <c r="C7709" s="5">
        <v>450</v>
      </c>
      <c r="D7709" s="6">
        <v>9.6999999999999993</v>
      </c>
      <c r="E7709" t="s">
        <v>29</v>
      </c>
    </row>
    <row r="7710" spans="1:5" x14ac:dyDescent="0.25">
      <c r="A7710" t="str">
        <f>HYPERLINK("https://www.773grp.com/globalSearch/DAC8531E-250/page-1", "DAC8531E-250")</f>
        <v>DAC8531E-250</v>
      </c>
      <c r="B7710" s="3" t="s">
        <v>90</v>
      </c>
      <c r="C7710" s="5">
        <v>500</v>
      </c>
      <c r="D7710" s="6">
        <v>9.6999999999999993</v>
      </c>
      <c r="E7710" t="s">
        <v>29</v>
      </c>
    </row>
    <row r="7711" spans="1:5" x14ac:dyDescent="0.25">
      <c r="A7711" t="str">
        <f>HYPERLINK("https://www.773grp.com/globalSearch/DAC8531IDRBT/page-1", "DAC8531IDRBT")</f>
        <v>DAC8531IDRBT</v>
      </c>
      <c r="B7711" s="3" t="s">
        <v>90</v>
      </c>
      <c r="C7711" s="5">
        <v>5250</v>
      </c>
      <c r="D7711" s="6">
        <v>9.6999999999999993</v>
      </c>
      <c r="E7711" t="s">
        <v>29</v>
      </c>
    </row>
    <row r="7712" spans="1:5" x14ac:dyDescent="0.25">
      <c r="A7712" t="str">
        <f>HYPERLINK("https://www.773grp.com/globalSearch/DAC8541Y-250/page-1", "DAC8541Y-250")</f>
        <v>DAC8541Y-250</v>
      </c>
      <c r="B7712" s="3" t="s">
        <v>90</v>
      </c>
      <c r="C7712" s="5">
        <v>14903</v>
      </c>
      <c r="D7712" s="6">
        <v>9.6999999999999993</v>
      </c>
      <c r="E7712" t="s">
        <v>29</v>
      </c>
    </row>
    <row r="7713" spans="1:5" x14ac:dyDescent="0.25">
      <c r="A7713" t="str">
        <f>HYPERLINK("https://www.773grp.com/globalSearch/PCM1795DB/page-1", "PCM1795DB")</f>
        <v>PCM1795DB</v>
      </c>
      <c r="B7713" s="3" t="s">
        <v>90</v>
      </c>
      <c r="C7713" s="5">
        <v>50</v>
      </c>
      <c r="D7713" s="6">
        <v>9.6999999999999993</v>
      </c>
      <c r="E7713" t="s">
        <v>29</v>
      </c>
    </row>
    <row r="7714" spans="1:5" x14ac:dyDescent="0.25">
      <c r="A7714" t="str">
        <f>HYPERLINK("https://www.773grp.com/globalSearch/PCM1726E/page-1", "PCM1726E")</f>
        <v>PCM1726E</v>
      </c>
      <c r="B7714" s="3" t="s">
        <v>90</v>
      </c>
      <c r="C7714" s="5">
        <v>179</v>
      </c>
      <c r="D7714" s="6">
        <v>9.74</v>
      </c>
      <c r="E7714" t="s">
        <v>29</v>
      </c>
    </row>
    <row r="7715" spans="1:5" x14ac:dyDescent="0.25">
      <c r="A7715" t="str">
        <f>HYPERLINK("https://www.773grp.com/globalSearch/DAC7564IAPWR/page-1", "DAC7564IAPWR")</f>
        <v>DAC7564IAPWR</v>
      </c>
      <c r="B7715" s="3" t="s">
        <v>90</v>
      </c>
      <c r="C7715" s="5">
        <v>10000</v>
      </c>
      <c r="D7715" s="6">
        <v>9.84</v>
      </c>
      <c r="E7715" t="s">
        <v>29</v>
      </c>
    </row>
    <row r="7716" spans="1:5" x14ac:dyDescent="0.25">
      <c r="A7716" t="str">
        <f>HYPERLINK("https://www.773grp.com/globalSearch/DAC7611UB/page-1", "DAC7611UB")</f>
        <v>DAC7611UB</v>
      </c>
      <c r="B7716" s="3" t="s">
        <v>90</v>
      </c>
      <c r="C7716" s="5">
        <v>25365</v>
      </c>
      <c r="D7716" s="6">
        <v>9.84</v>
      </c>
      <c r="E7716" t="s">
        <v>29</v>
      </c>
    </row>
    <row r="7717" spans="1:5" x14ac:dyDescent="0.25">
      <c r="A7717" t="str">
        <f>HYPERLINK("https://www.773grp.com/globalSearch/DAC908E-2K5/page-1", "DAC908E-2K5")</f>
        <v>DAC908E-2K5</v>
      </c>
      <c r="B7717" s="3" t="s">
        <v>90</v>
      </c>
      <c r="C7717" s="5">
        <v>37400</v>
      </c>
      <c r="D7717" s="6">
        <v>9.8800000000000008</v>
      </c>
      <c r="E7717" t="s">
        <v>29</v>
      </c>
    </row>
    <row r="7718" spans="1:5" x14ac:dyDescent="0.25">
      <c r="A7718" t="str">
        <f>HYPERLINK("https://www.773grp.com/globalSearch/DAC908U-1K/page-1", "DAC908U-1K")</f>
        <v>DAC908U-1K</v>
      </c>
      <c r="B7718" s="3" t="s">
        <v>90</v>
      </c>
      <c r="C7718" s="5">
        <v>5000</v>
      </c>
      <c r="D7718" s="6">
        <v>9.8800000000000008</v>
      </c>
      <c r="E7718" t="s">
        <v>29</v>
      </c>
    </row>
    <row r="7719" spans="1:5" x14ac:dyDescent="0.25">
      <c r="A7719" t="str">
        <f>HYPERLINK("https://www.773grp.com/globalSearch/DAC8571IDGK/page-1", "DAC8571IDGK")</f>
        <v>DAC8571IDGK</v>
      </c>
      <c r="B7719" s="3" t="s">
        <v>90</v>
      </c>
      <c r="C7719" s="5">
        <v>1200</v>
      </c>
      <c r="D7719" s="6">
        <v>9.99</v>
      </c>
      <c r="E7719" t="s">
        <v>29</v>
      </c>
    </row>
    <row r="7720" spans="1:5" x14ac:dyDescent="0.25">
      <c r="A7720" t="str">
        <f>HYPERLINK("https://www.773grp.com/globalSearch/PCM2704DB/page-1", "PCM2704DB")</f>
        <v>PCM2704DB</v>
      </c>
      <c r="B7720" s="3" t="s">
        <v>90</v>
      </c>
      <c r="C7720" s="5">
        <v>13699</v>
      </c>
      <c r="D7720" s="6">
        <v>10.08</v>
      </c>
      <c r="E7720" t="s">
        <v>29</v>
      </c>
    </row>
    <row r="7721" spans="1:5" x14ac:dyDescent="0.25">
      <c r="A7721" t="str">
        <f>HYPERLINK("https://www.773grp.com/globalSearch/PCM2705DB/page-1", "PCM2705DB")</f>
        <v>PCM2705DB</v>
      </c>
      <c r="B7721" s="3" t="s">
        <v>90</v>
      </c>
      <c r="C7721" s="5">
        <v>2105</v>
      </c>
      <c r="D7721" s="6">
        <v>10.08</v>
      </c>
      <c r="E7721" t="s">
        <v>29</v>
      </c>
    </row>
    <row r="7722" spans="1:5" x14ac:dyDescent="0.25">
      <c r="A7722" t="str">
        <f>HYPERLINK("https://www.773grp.com/globalSearch/PCM2705DBG4/page-1", "PCM2705DBG4")</f>
        <v>PCM2705DBG4</v>
      </c>
      <c r="B7722" s="3" t="s">
        <v>90</v>
      </c>
      <c r="C7722" s="5">
        <v>6</v>
      </c>
      <c r="D7722" s="6">
        <v>10.08</v>
      </c>
      <c r="E7722" t="s">
        <v>29</v>
      </c>
    </row>
    <row r="7723" spans="1:5" x14ac:dyDescent="0.25">
      <c r="A7723" t="str">
        <f>HYPERLINK("https://www.773grp.com/globalSearch/DAC8501E-250/page-1", "DAC8501E-250")</f>
        <v>DAC8501E-250</v>
      </c>
      <c r="B7723" s="3" t="s">
        <v>90</v>
      </c>
      <c r="C7723" s="5">
        <v>1161</v>
      </c>
      <c r="D7723" s="6">
        <v>10.09</v>
      </c>
      <c r="E7723" t="s">
        <v>29</v>
      </c>
    </row>
    <row r="7724" spans="1:5" x14ac:dyDescent="0.25">
      <c r="A7724" t="str">
        <f>HYPERLINK("https://www.773grp.com/globalSearch/DAC8560IBDGKT/page-1", "DAC8560IBDGKT")</f>
        <v>DAC8560IBDGKT</v>
      </c>
      <c r="B7724" s="3" t="s">
        <v>90</v>
      </c>
      <c r="C7724" s="5">
        <v>21694</v>
      </c>
      <c r="D7724" s="6">
        <v>10.09</v>
      </c>
      <c r="E7724" t="s">
        <v>29</v>
      </c>
    </row>
    <row r="7725" spans="1:5" x14ac:dyDescent="0.25">
      <c r="A7725" t="str">
        <f>HYPERLINK("https://www.773grp.com/globalSearch/DAC8043U-2K5/page-1", "DAC8043U-2K5")</f>
        <v>DAC8043U-2K5</v>
      </c>
      <c r="B7725" s="3" t="s">
        <v>90</v>
      </c>
      <c r="C7725" s="5">
        <v>35000</v>
      </c>
      <c r="D7725" s="6">
        <v>10.130000000000001</v>
      </c>
      <c r="E7725" t="s">
        <v>29</v>
      </c>
    </row>
    <row r="7726" spans="1:5" x14ac:dyDescent="0.25">
      <c r="A7726" t="str">
        <f>HYPERLINK("https://www.773grp.com/globalSearch/DAC8560IDDGKR/page-1", "DAC8560IDDGKR")</f>
        <v>DAC8560IDDGKR</v>
      </c>
      <c r="B7726" s="3" t="s">
        <v>90</v>
      </c>
      <c r="C7726" s="5">
        <v>5000</v>
      </c>
      <c r="D7726" s="6">
        <v>10.26</v>
      </c>
      <c r="E7726" t="s">
        <v>29</v>
      </c>
    </row>
    <row r="7727" spans="1:5" x14ac:dyDescent="0.25">
      <c r="A7727" t="str">
        <f>HYPERLINK("https://www.773grp.com/globalSearch/TLV5613IPWR/page-1", "TLV5613IPWR")</f>
        <v>TLV5613IPWR</v>
      </c>
      <c r="B7727" s="3" t="s">
        <v>90</v>
      </c>
      <c r="C7727" s="5">
        <v>6000</v>
      </c>
      <c r="D7727" s="6">
        <v>10.35</v>
      </c>
      <c r="E7727" t="s">
        <v>29</v>
      </c>
    </row>
    <row r="7728" spans="1:5" x14ac:dyDescent="0.25">
      <c r="A7728" t="str">
        <f>HYPERLINK("https://www.773grp.com/globalSearch/DSD1796DB/page-1", "DSD1796DB")</f>
        <v>DSD1796DB</v>
      </c>
      <c r="B7728" s="3" t="s">
        <v>90</v>
      </c>
      <c r="C7728" s="5">
        <v>281</v>
      </c>
      <c r="D7728" s="6">
        <v>10.46</v>
      </c>
      <c r="E7728" t="s">
        <v>29</v>
      </c>
    </row>
    <row r="7729" spans="1:5" x14ac:dyDescent="0.25">
      <c r="A7729" t="str">
        <f>HYPERLINK("https://www.773grp.com/globalSearch/DAC7612U/page-1", "DAC7612U")</f>
        <v>DAC7612U</v>
      </c>
      <c r="B7729" s="3" t="s">
        <v>90</v>
      </c>
      <c r="C7729" s="5">
        <v>14401</v>
      </c>
      <c r="D7729" s="6">
        <v>10.55</v>
      </c>
      <c r="E7729" t="s">
        <v>29</v>
      </c>
    </row>
    <row r="7730" spans="1:5" x14ac:dyDescent="0.25">
      <c r="A7730" t="str">
        <f>HYPERLINK("https://www.773grp.com/globalSearch/DAC7621EB/page-1", "DAC7621EB")</f>
        <v>DAC7621EB</v>
      </c>
      <c r="B7730" s="3" t="s">
        <v>90</v>
      </c>
      <c r="C7730" s="5">
        <v>4672</v>
      </c>
      <c r="D7730" s="6">
        <v>10.55</v>
      </c>
      <c r="E7730" t="s">
        <v>29</v>
      </c>
    </row>
    <row r="7731" spans="1:5" x14ac:dyDescent="0.25">
      <c r="A7731" t="str">
        <f>HYPERLINK("https://www.773grp.com/globalSearch/DAC7621EB/page-1", "DAC7621EB")</f>
        <v>DAC7621EB</v>
      </c>
      <c r="B7731" s="3" t="s">
        <v>90</v>
      </c>
      <c r="C7731" s="5">
        <v>2683</v>
      </c>
      <c r="D7731" s="6">
        <v>10.55</v>
      </c>
      <c r="E7731" t="s">
        <v>29</v>
      </c>
    </row>
    <row r="7732" spans="1:5" x14ac:dyDescent="0.25">
      <c r="A7732" t="str">
        <f>HYPERLINK("https://www.773grp.com/globalSearch/TLV5616CP/page-1", "TLV5616CP")</f>
        <v>TLV5616CP</v>
      </c>
      <c r="B7732" s="3" t="s">
        <v>90</v>
      </c>
      <c r="C7732" s="5">
        <v>2</v>
      </c>
      <c r="D7732" s="6">
        <v>10.64</v>
      </c>
      <c r="E7732" t="s">
        <v>29</v>
      </c>
    </row>
    <row r="7733" spans="1:5" x14ac:dyDescent="0.25">
      <c r="A7733" t="str">
        <f>HYPERLINK("https://www.773grp.com/globalSearch/DAC7822IRTAR/page-1", "DAC7822IRTAR")</f>
        <v>DAC7822IRTAR</v>
      </c>
      <c r="B7733" s="3" t="s">
        <v>90</v>
      </c>
      <c r="C7733" s="5">
        <v>4000</v>
      </c>
      <c r="D7733" s="6">
        <v>10.69</v>
      </c>
      <c r="E7733" t="s">
        <v>29</v>
      </c>
    </row>
    <row r="7734" spans="1:5" x14ac:dyDescent="0.25">
      <c r="A7734" t="str">
        <f>HYPERLINK("https://www.773grp.com/globalSearch/TLV5629IDW/page-1", "TLV5629IDW")</f>
        <v>TLV5629IDW</v>
      </c>
      <c r="B7734" s="3" t="s">
        <v>90</v>
      </c>
      <c r="C7734" s="5">
        <v>13949</v>
      </c>
      <c r="D7734" s="6">
        <v>10.69</v>
      </c>
      <c r="E7734" t="s">
        <v>29</v>
      </c>
    </row>
    <row r="7735" spans="1:5" x14ac:dyDescent="0.25">
      <c r="A7735" t="str">
        <f>HYPERLINK("https://www.773grp.com/globalSearch/TLV5629IPW/page-1", "TLV5629IPW")</f>
        <v>TLV5629IPW</v>
      </c>
      <c r="B7735" s="3" t="s">
        <v>90</v>
      </c>
      <c r="C7735" s="5">
        <v>460</v>
      </c>
      <c r="D7735" s="6">
        <v>10.69</v>
      </c>
      <c r="E7735" t="s">
        <v>29</v>
      </c>
    </row>
    <row r="7736" spans="1:5" x14ac:dyDescent="0.25">
      <c r="A7736" t="str">
        <f>HYPERLINK("https://www.773grp.com/globalSearch/THS5641AIDW/page-1", "THS5641AIDW")</f>
        <v>THS5641AIDW</v>
      </c>
      <c r="B7736" s="3" t="s">
        <v>90</v>
      </c>
      <c r="C7736" s="5">
        <v>4729</v>
      </c>
      <c r="D7736" s="6">
        <v>10.76</v>
      </c>
      <c r="E7736" t="s">
        <v>29</v>
      </c>
    </row>
    <row r="7737" spans="1:5" x14ac:dyDescent="0.25">
      <c r="A7737" t="str">
        <f>HYPERLINK("https://www.773grp.com/globalSearch/THS5641AIPW/page-1", "THS5641AIPW")</f>
        <v>THS5641AIPW</v>
      </c>
      <c r="B7737" s="3" t="s">
        <v>90</v>
      </c>
      <c r="C7737" s="5">
        <v>5823</v>
      </c>
      <c r="D7737" s="6">
        <v>10.76</v>
      </c>
      <c r="E7737" t="s">
        <v>29</v>
      </c>
    </row>
    <row r="7738" spans="1:5" x14ac:dyDescent="0.25">
      <c r="A7738" t="str">
        <f>HYPERLINK("https://www.773grp.com/globalSearch/DAC8560ICDGKT/page-1", "DAC8560ICDGKT")</f>
        <v>DAC8560ICDGKT</v>
      </c>
      <c r="B7738" s="3" t="s">
        <v>90</v>
      </c>
      <c r="C7738" s="5">
        <v>250</v>
      </c>
      <c r="D7738" s="6">
        <v>10.8</v>
      </c>
      <c r="E7738" t="s">
        <v>29</v>
      </c>
    </row>
    <row r="7739" spans="1:5" x14ac:dyDescent="0.25">
      <c r="A7739" t="str">
        <f>HYPERLINK("https://www.773grp.com/globalSearch/DAC6574IDGSR/page-1", "DAC6574IDGSR")</f>
        <v>DAC6574IDGSR</v>
      </c>
      <c r="B7739" s="3" t="s">
        <v>90</v>
      </c>
      <c r="C7739" s="5">
        <v>39080</v>
      </c>
      <c r="D7739" s="6">
        <v>10.84</v>
      </c>
      <c r="E7739" t="s">
        <v>29</v>
      </c>
    </row>
    <row r="7740" spans="1:5" x14ac:dyDescent="0.25">
      <c r="A7740" t="str">
        <f>HYPERLINK("https://www.773grp.com/globalSearch/PCM1720E-2K/page-1", "PCM1720E-2K")</f>
        <v>PCM1720E-2K</v>
      </c>
      <c r="B7740" s="3" t="s">
        <v>90</v>
      </c>
      <c r="C7740" s="5">
        <v>2000</v>
      </c>
      <c r="D7740" s="6">
        <v>10.84</v>
      </c>
      <c r="E7740" t="s">
        <v>29</v>
      </c>
    </row>
    <row r="7741" spans="1:5" x14ac:dyDescent="0.25">
      <c r="A7741" t="str">
        <f>HYPERLINK("https://www.773grp.com/globalSearch/PCM1740E/page-1", "PCM1740E")</f>
        <v>PCM1740E</v>
      </c>
      <c r="B7741" s="3" t="s">
        <v>90</v>
      </c>
      <c r="C7741" s="5">
        <v>618</v>
      </c>
      <c r="D7741" s="6">
        <v>11.09</v>
      </c>
      <c r="E7741" t="s">
        <v>29</v>
      </c>
    </row>
    <row r="7742" spans="1:5" x14ac:dyDescent="0.25">
      <c r="A7742" t="str">
        <f>HYPERLINK("https://www.773grp.com/globalSearch/TLV5604IDR/page-1", "TLV5604IDR")</f>
        <v>TLV5604IDR</v>
      </c>
      <c r="B7742" s="3" t="s">
        <v>90</v>
      </c>
      <c r="C7742" s="5">
        <v>2500</v>
      </c>
      <c r="D7742" s="6">
        <v>11.1</v>
      </c>
      <c r="E7742" t="s">
        <v>29</v>
      </c>
    </row>
    <row r="7743" spans="1:5" x14ac:dyDescent="0.25">
      <c r="A7743" t="str">
        <f>HYPERLINK("https://www.773grp.com/globalSearch/TLV5637CD/page-1", "TLV5637CD")</f>
        <v>TLV5637CD</v>
      </c>
      <c r="B7743" s="3" t="s">
        <v>90</v>
      </c>
      <c r="C7743" s="5">
        <v>23</v>
      </c>
      <c r="D7743" s="6">
        <v>11.1</v>
      </c>
      <c r="E7743" t="s">
        <v>29</v>
      </c>
    </row>
    <row r="7744" spans="1:5" x14ac:dyDescent="0.25">
      <c r="A7744" t="str">
        <f>HYPERLINK("https://www.773grp.com/globalSearch/TLV5616CD/page-1", "TLV5616CD")</f>
        <v>TLV5616CD</v>
      </c>
      <c r="B7744" s="3" t="s">
        <v>90</v>
      </c>
      <c r="C7744" s="5">
        <v>1666</v>
      </c>
      <c r="D7744" s="6">
        <v>11.14</v>
      </c>
      <c r="E7744" t="s">
        <v>29</v>
      </c>
    </row>
    <row r="7745" spans="1:5" x14ac:dyDescent="0.25">
      <c r="A7745" t="str">
        <f>HYPERLINK("https://www.773grp.com/globalSearch/DAC7574IDGSR/page-1", "DAC7574IDGSR")</f>
        <v>DAC7574IDGSR</v>
      </c>
      <c r="B7745" s="3" t="s">
        <v>90</v>
      </c>
      <c r="C7745" s="5">
        <v>90000</v>
      </c>
      <c r="D7745" s="6">
        <v>11.25</v>
      </c>
      <c r="E7745" t="s">
        <v>29</v>
      </c>
    </row>
    <row r="7746" spans="1:5" x14ac:dyDescent="0.25">
      <c r="A7746" t="str">
        <f>HYPERLINK("https://www.773grp.com/globalSearch/TLC5618ACD/page-1", "TLC5618ACD")</f>
        <v>TLC5618ACD</v>
      </c>
      <c r="B7746" s="3" t="s">
        <v>90</v>
      </c>
      <c r="C7746" s="5">
        <v>821</v>
      </c>
      <c r="D7746" s="6">
        <v>11.25</v>
      </c>
      <c r="E7746" t="s">
        <v>29</v>
      </c>
    </row>
    <row r="7747" spans="1:5" x14ac:dyDescent="0.25">
      <c r="A7747" t="str">
        <f>HYPERLINK("https://www.773grp.com/globalSearch/TLC5618ACDR/page-1", "TLC5618ACDR")</f>
        <v>TLC5618ACDR</v>
      </c>
      <c r="B7747" s="3" t="s">
        <v>90</v>
      </c>
      <c r="C7747" s="5">
        <v>4468</v>
      </c>
      <c r="D7747" s="6">
        <v>11.25</v>
      </c>
      <c r="E7747" t="s">
        <v>29</v>
      </c>
    </row>
    <row r="7748" spans="1:5" x14ac:dyDescent="0.25">
      <c r="A7748" t="str">
        <f>HYPERLINK("https://www.773grp.com/globalSearch/TLC5618ACP/page-1", "TLC5618ACP")</f>
        <v>TLC5618ACP</v>
      </c>
      <c r="B7748" s="3" t="s">
        <v>90</v>
      </c>
      <c r="C7748" s="5">
        <v>3112</v>
      </c>
      <c r="D7748" s="6">
        <v>11.25</v>
      </c>
      <c r="E7748" t="s">
        <v>29</v>
      </c>
    </row>
    <row r="7749" spans="1:5" x14ac:dyDescent="0.25">
      <c r="A7749" t="str">
        <f>HYPERLINK("https://www.773grp.com/globalSearch/TLC5618CD/page-1", "TLC5618CD")</f>
        <v>TLC5618CD</v>
      </c>
      <c r="B7749" s="3" t="s">
        <v>90</v>
      </c>
      <c r="C7749" s="5">
        <v>855</v>
      </c>
      <c r="D7749" s="6">
        <v>11.25</v>
      </c>
      <c r="E7749" t="s">
        <v>29</v>
      </c>
    </row>
    <row r="7750" spans="1:5" x14ac:dyDescent="0.25">
      <c r="A7750" t="str">
        <f>HYPERLINK("https://www.773grp.com/globalSearch/TLC5618CDR/page-1", "TLC5618CDR")</f>
        <v>TLC5618CDR</v>
      </c>
      <c r="B7750" s="3" t="s">
        <v>90</v>
      </c>
      <c r="C7750" s="5">
        <v>87500</v>
      </c>
      <c r="D7750" s="6">
        <v>11.25</v>
      </c>
      <c r="E7750" t="s">
        <v>29</v>
      </c>
    </row>
    <row r="7751" spans="1:5" x14ac:dyDescent="0.25">
      <c r="A7751" t="str">
        <f>HYPERLINK("https://www.773grp.com/globalSearch/TLV5616IP/page-1", "TLV5616IP")</f>
        <v>TLV5616IP</v>
      </c>
      <c r="B7751" s="3" t="s">
        <v>90</v>
      </c>
      <c r="C7751" s="5">
        <v>17554</v>
      </c>
      <c r="D7751" s="6">
        <v>11.34</v>
      </c>
      <c r="E7751" t="s">
        <v>29</v>
      </c>
    </row>
    <row r="7752" spans="1:5" x14ac:dyDescent="0.25">
      <c r="A7752" t="str">
        <f>HYPERLINK("https://www.773grp.com/globalSearch/DAC8560IDDGKT/page-1", "DAC8560IDDGKT")</f>
        <v>DAC8560IDDGKT</v>
      </c>
      <c r="B7752" s="3" t="s">
        <v>90</v>
      </c>
      <c r="C7752" s="5">
        <v>250</v>
      </c>
      <c r="D7752" s="6">
        <v>11.51</v>
      </c>
      <c r="E7752" t="s">
        <v>29</v>
      </c>
    </row>
    <row r="7753" spans="1:5" x14ac:dyDescent="0.25">
      <c r="A7753" t="str">
        <f>HYPERLINK("https://www.773grp.com/globalSearch/TLC5618AID/page-1", "TLC5618AID")</f>
        <v>TLC5618AID</v>
      </c>
      <c r="B7753" s="3" t="s">
        <v>90</v>
      </c>
      <c r="C7753" s="5">
        <v>1103</v>
      </c>
      <c r="D7753" s="6">
        <v>11.53</v>
      </c>
      <c r="E7753" t="s">
        <v>29</v>
      </c>
    </row>
    <row r="7754" spans="1:5" x14ac:dyDescent="0.25">
      <c r="A7754" t="str">
        <f>HYPERLINK("https://www.773grp.com/globalSearch/TLC5618AIP/page-1", "TLC5618AIP")</f>
        <v>TLC5618AIP</v>
      </c>
      <c r="B7754" s="3" t="s">
        <v>90</v>
      </c>
      <c r="C7754" s="5">
        <v>2210</v>
      </c>
      <c r="D7754" s="6">
        <v>11.53</v>
      </c>
      <c r="E7754" t="s">
        <v>29</v>
      </c>
    </row>
    <row r="7755" spans="1:5" x14ac:dyDescent="0.25">
      <c r="A7755" t="str">
        <f>HYPERLINK("https://www.773grp.com/globalSearch/TLC5618ID/page-1", "TLC5618ID")</f>
        <v>TLC5618ID</v>
      </c>
      <c r="B7755" s="3" t="s">
        <v>90</v>
      </c>
      <c r="C7755" s="5">
        <v>755</v>
      </c>
      <c r="D7755" s="6">
        <v>11.53</v>
      </c>
      <c r="E7755" t="s">
        <v>29</v>
      </c>
    </row>
    <row r="7756" spans="1:5" x14ac:dyDescent="0.25">
      <c r="A7756" t="str">
        <f>HYPERLINK("https://www.773grp.com/globalSearch/TLV5632IDWR/page-1", "TLV5632IDWR")</f>
        <v>TLV5632IDWR</v>
      </c>
      <c r="B7756" s="3" t="s">
        <v>90</v>
      </c>
      <c r="C7756" s="5">
        <v>2000</v>
      </c>
      <c r="D7756" s="6">
        <v>11.78</v>
      </c>
      <c r="E7756" t="s">
        <v>29</v>
      </c>
    </row>
    <row r="7757" spans="1:5" x14ac:dyDescent="0.25">
      <c r="A7757" t="str">
        <f>HYPERLINK("https://www.773grp.com/globalSearch/DAC7564IAPW/page-1", "DAC7564IAPW")</f>
        <v>DAC7564IAPW</v>
      </c>
      <c r="B7757" s="3" t="s">
        <v>90</v>
      </c>
      <c r="C7757" s="5">
        <v>408</v>
      </c>
      <c r="D7757" s="6">
        <v>11.81</v>
      </c>
      <c r="E7757" t="s">
        <v>29</v>
      </c>
    </row>
    <row r="7758" spans="1:5" x14ac:dyDescent="0.25">
      <c r="A7758" t="str">
        <f>HYPERLINK("https://www.773grp.com/globalSearch/DAC7565IAPW/page-1", "DAC7565IAPW")</f>
        <v>DAC7565IAPW</v>
      </c>
      <c r="B7758" s="3" t="s">
        <v>90</v>
      </c>
      <c r="C7758" s="5">
        <v>166</v>
      </c>
      <c r="D7758" s="6">
        <v>11.81</v>
      </c>
      <c r="E7758" t="s">
        <v>29</v>
      </c>
    </row>
    <row r="7759" spans="1:5" x14ac:dyDescent="0.25">
      <c r="A7759" t="str">
        <f>HYPERLINK("https://www.773grp.com/globalSearch/TLV5616ID/page-1", "TLV5616ID")</f>
        <v>TLV5616ID</v>
      </c>
      <c r="B7759" s="3" t="s">
        <v>90</v>
      </c>
      <c r="C7759" s="5">
        <v>1275</v>
      </c>
      <c r="D7759" s="6">
        <v>11.81</v>
      </c>
      <c r="E7759" t="s">
        <v>29</v>
      </c>
    </row>
    <row r="7760" spans="1:5" x14ac:dyDescent="0.25">
      <c r="A7760" t="str">
        <f>HYPERLINK("https://www.773grp.com/globalSearch/TLV5616IDGK/page-1", "TLV5616IDGK")</f>
        <v>TLV5616IDGK</v>
      </c>
      <c r="B7760" s="3" t="s">
        <v>90</v>
      </c>
      <c r="C7760" s="5">
        <v>711</v>
      </c>
      <c r="D7760" s="6">
        <v>11.81</v>
      </c>
      <c r="E7760" t="s">
        <v>29</v>
      </c>
    </row>
    <row r="7761" spans="1:5" x14ac:dyDescent="0.25">
      <c r="A7761" t="str">
        <f>HYPERLINK("https://www.773grp.com/globalSearch/DAC908E/page-1", "DAC908E")</f>
        <v>DAC908E</v>
      </c>
      <c r="B7761" s="3" t="s">
        <v>90</v>
      </c>
      <c r="C7761" s="5">
        <v>108644</v>
      </c>
      <c r="D7761" s="6">
        <v>11.85</v>
      </c>
      <c r="E7761" t="s">
        <v>29</v>
      </c>
    </row>
    <row r="7762" spans="1:5" x14ac:dyDescent="0.25">
      <c r="A7762" t="str">
        <f>HYPERLINK("https://www.773grp.com/globalSearch/DAC908U/page-1", "DAC908U")</f>
        <v>DAC908U</v>
      </c>
      <c r="B7762" s="3" t="s">
        <v>90</v>
      </c>
      <c r="C7762" s="5">
        <v>83</v>
      </c>
      <c r="D7762" s="6">
        <v>11.85</v>
      </c>
      <c r="E7762" t="s">
        <v>29</v>
      </c>
    </row>
    <row r="7763" spans="1:5" x14ac:dyDescent="0.25">
      <c r="A7763" t="str">
        <f>HYPERLINK("https://www.773grp.com/globalSearch/THS8135PHP/page-1", "THS8135PHP")</f>
        <v>THS8135PHP</v>
      </c>
      <c r="B7763" s="3" t="s">
        <v>90</v>
      </c>
      <c r="C7763" s="5">
        <v>538</v>
      </c>
      <c r="D7763" s="6">
        <v>11.86</v>
      </c>
      <c r="E7763" t="s">
        <v>29</v>
      </c>
    </row>
    <row r="7764" spans="1:5" x14ac:dyDescent="0.25">
      <c r="A7764" t="str">
        <f>HYPERLINK("https://www.773grp.com/globalSearch/TLV5619QDWREP/page-1", "TLV5619QDWREP")</f>
        <v>TLV5619QDWREP</v>
      </c>
      <c r="B7764" s="3" t="s">
        <v>90</v>
      </c>
      <c r="C7764" s="5">
        <v>1760</v>
      </c>
      <c r="D7764" s="6">
        <v>11.93</v>
      </c>
      <c r="E7764" t="s">
        <v>29</v>
      </c>
    </row>
    <row r="7765" spans="1:5" x14ac:dyDescent="0.25">
      <c r="A7765" t="str">
        <f>HYPERLINK("https://www.773grp.com/globalSearch/TLV5637IDR/page-1", "TLV5637IDR")</f>
        <v>TLV5637IDR</v>
      </c>
      <c r="B7765" s="3" t="s">
        <v>90</v>
      </c>
      <c r="C7765" s="5">
        <v>2488</v>
      </c>
      <c r="D7765" s="6">
        <v>11.95</v>
      </c>
      <c r="E7765" t="s">
        <v>29</v>
      </c>
    </row>
    <row r="7766" spans="1:5" x14ac:dyDescent="0.25">
      <c r="A7766" t="str">
        <f>HYPERLINK("https://www.773grp.com/globalSearch/TLV5619CPWR/page-1", "TLV5619CPWR")</f>
        <v>TLV5619CPWR</v>
      </c>
      <c r="B7766" s="3" t="s">
        <v>90</v>
      </c>
      <c r="C7766" s="5">
        <v>3947</v>
      </c>
      <c r="D7766" s="6">
        <v>12.1</v>
      </c>
      <c r="E7766" t="s">
        <v>29</v>
      </c>
    </row>
    <row r="7767" spans="1:5" x14ac:dyDescent="0.25">
      <c r="A7767" t="str">
        <f>HYPERLINK("https://www.773grp.com/globalSearch/TLV5639CDW/page-1", "TLV5639CDW")</f>
        <v>TLV5639CDW</v>
      </c>
      <c r="B7767" s="3" t="str">
        <f>HYPERLINK("https://www.773grp.com/manufacturer/texas-instruments?pageNo=8", "Texas Instruments")</f>
        <v>Texas Instruments</v>
      </c>
      <c r="C7767" s="5">
        <v>5074</v>
      </c>
      <c r="D7767" s="6">
        <v>12.11</v>
      </c>
      <c r="E7767" t="s">
        <v>29</v>
      </c>
    </row>
    <row r="7768" spans="1:5" x14ac:dyDescent="0.25">
      <c r="A7768" t="str">
        <f>HYPERLINK("https://www.773grp.com/globalSearch/TLV5639CDW/page-1", "TLV5639CDW")</f>
        <v>TLV5639CDW</v>
      </c>
      <c r="B7768" s="3" t="str">
        <f>HYPERLINK("https://www.773grp.com/manufacturer/texas-instruments?pageNo=9", "Texas Instruments")</f>
        <v>Texas Instruments</v>
      </c>
      <c r="C7768" s="5">
        <v>10272</v>
      </c>
      <c r="D7768" s="6">
        <v>12.11</v>
      </c>
      <c r="E7768" t="s">
        <v>29</v>
      </c>
    </row>
    <row r="7769" spans="1:5" x14ac:dyDescent="0.25">
      <c r="A7769" t="str">
        <f>HYPERLINK("https://www.773grp.com/globalSearch/TLV5639CDWG4/page-1", "TLV5639CDWG4")</f>
        <v>TLV5639CDWG4</v>
      </c>
      <c r="B7769" s="3" t="str">
        <f>HYPERLINK("https://www.773grp.com/manufacturer/texas-instruments?pageNo=10", "Texas Instruments")</f>
        <v>Texas Instruments</v>
      </c>
      <c r="C7769" s="5">
        <v>22</v>
      </c>
      <c r="D7769" s="6">
        <v>12.11</v>
      </c>
      <c r="E7769" t="s">
        <v>29</v>
      </c>
    </row>
    <row r="7770" spans="1:5" x14ac:dyDescent="0.25">
      <c r="A7770" t="str">
        <f>HYPERLINK("https://www.773grp.com/globalSearch/TLV5639CPW/page-1", "TLV5639CPW")</f>
        <v>TLV5639CPW</v>
      </c>
      <c r="B7770" s="3" t="str">
        <f>HYPERLINK("https://www.773grp.com/manufacturer/texas-instruments?pageNo=11", "Texas Instruments")</f>
        <v>Texas Instruments</v>
      </c>
      <c r="C7770" s="5">
        <v>136</v>
      </c>
      <c r="D7770" s="6">
        <v>12.11</v>
      </c>
      <c r="E7770" t="s">
        <v>29</v>
      </c>
    </row>
    <row r="7771" spans="1:5" x14ac:dyDescent="0.25">
      <c r="A7771" t="str">
        <f>HYPERLINK("https://www.773grp.com/globalSearch/DAC8043U/page-1", "DAC8043U")</f>
        <v>DAC8043U</v>
      </c>
      <c r="B7771" s="3" t="str">
        <f>HYPERLINK("https://www.773grp.com/manufacturer/texas-instruments?pageNo=18", "Texas Instruments")</f>
        <v>Texas Instruments</v>
      </c>
      <c r="C7771" s="5">
        <v>1364</v>
      </c>
      <c r="D7771" s="6">
        <v>12.15</v>
      </c>
      <c r="E7771" t="s">
        <v>29</v>
      </c>
    </row>
    <row r="7772" spans="1:5" x14ac:dyDescent="0.25">
      <c r="A7772" t="str">
        <f>HYPERLINK("https://www.773grp.com/globalSearch/TLV5613IDW/page-1", "TLV5613IDW")</f>
        <v>TLV5613IDW</v>
      </c>
      <c r="B7772" s="3" t="str">
        <f>HYPERLINK("https://www.773grp.com/manufacturer/texas-instruments?pageNo=86", "Texas Instruments")</f>
        <v>Texas Instruments</v>
      </c>
      <c r="C7772" s="5">
        <v>9977</v>
      </c>
      <c r="D7772" s="6">
        <v>12.33</v>
      </c>
      <c r="E7772" t="s">
        <v>29</v>
      </c>
    </row>
    <row r="7773" spans="1:5" x14ac:dyDescent="0.25">
      <c r="A7773" t="str">
        <f>HYPERLINK("https://www.773grp.com/globalSearch/TLV5613IPW/page-1", "TLV5613IPW")</f>
        <v>TLV5613IPW</v>
      </c>
      <c r="B7773" s="3" t="str">
        <f>HYPERLINK("https://www.773grp.com/manufacturer/texas-instruments?pageNo=87", "Texas Instruments")</f>
        <v>Texas Instruments</v>
      </c>
      <c r="C7773" s="5">
        <v>12002</v>
      </c>
      <c r="D7773" s="6">
        <v>12.33</v>
      </c>
      <c r="E7773" t="s">
        <v>29</v>
      </c>
    </row>
    <row r="7774" spans="1:5" x14ac:dyDescent="0.25">
      <c r="A7774" t="str">
        <f>HYPERLINK("https://www.773grp.com/globalSearch/DAC7822IRTAT/page-1", "DAC7822IRTAT")</f>
        <v>DAC7822IRTAT</v>
      </c>
      <c r="B7774" s="3" t="str">
        <f>HYPERLINK("https://www.773grp.com/manufacturer/texas-instruments?pageNo=122", "Texas Instruments")</f>
        <v>Texas Instruments</v>
      </c>
      <c r="C7774" s="5">
        <v>27145</v>
      </c>
      <c r="D7774" s="6">
        <v>12.38</v>
      </c>
      <c r="E7774" t="s">
        <v>29</v>
      </c>
    </row>
    <row r="7775" spans="1:5" x14ac:dyDescent="0.25">
      <c r="A7775" t="str">
        <f>HYPERLINK("https://www.773grp.com/globalSearch/TLC5618AQDR/page-1", "TLC5618AQDR")</f>
        <v>TLC5618AQDR</v>
      </c>
      <c r="B7775" s="3" t="str">
        <f>HYPERLINK("https://www.773grp.com/manufacturer/texas-instruments?pageNo=149", "Texas Instruments")</f>
        <v>Texas Instruments</v>
      </c>
      <c r="C7775" s="5">
        <v>7500</v>
      </c>
      <c r="D7775" s="6">
        <v>12.38</v>
      </c>
      <c r="E7775" t="s">
        <v>29</v>
      </c>
    </row>
    <row r="7776" spans="1:5" x14ac:dyDescent="0.25">
      <c r="A7776" t="str">
        <f>HYPERLINK("https://www.773grp.com/globalSearch/TLC5618AQDRG4/page-1", "TLC5618AQDRG4")</f>
        <v>TLC5618AQDRG4</v>
      </c>
      <c r="B7776" s="3" t="str">
        <f>HYPERLINK("https://www.773grp.com/manufacturer/texas-instruments?pageNo=150", "Texas Instruments")</f>
        <v>Texas Instruments</v>
      </c>
      <c r="C7776" s="5">
        <v>2500</v>
      </c>
      <c r="D7776" s="6">
        <v>12.38</v>
      </c>
      <c r="E7776" t="s">
        <v>29</v>
      </c>
    </row>
    <row r="7777" spans="1:5" x14ac:dyDescent="0.25">
      <c r="A7777" t="str">
        <f>HYPERLINK("https://www.773grp.com/globalSearch/PCM4104PFBR/page-1", "PCM4104PFBR")</f>
        <v>PCM4104PFBR</v>
      </c>
      <c r="B7777" s="3" t="str">
        <f>HYPERLINK("https://www.773grp.com/manufacturer/texas-instruments?pageNo=161", "Texas Instruments")</f>
        <v>Texas Instruments</v>
      </c>
      <c r="C7777" s="5">
        <v>450</v>
      </c>
      <c r="D7777" s="6">
        <v>12.4</v>
      </c>
      <c r="E7777" t="s">
        <v>29</v>
      </c>
    </row>
    <row r="7778" spans="1:5" x14ac:dyDescent="0.25">
      <c r="A7778" t="str">
        <f>HYPERLINK("https://www.773grp.com/globalSearch/AD7524AN/page-1", "AD7524AN")</f>
        <v>AD7524AN</v>
      </c>
      <c r="B7778" s="3" t="str">
        <f>HYPERLINK("https://www.773grp.com/manufacturer/texas-instruments?pageNo=190", "Texas Instruments")</f>
        <v>Texas Instruments</v>
      </c>
      <c r="C7778" s="5">
        <v>1390</v>
      </c>
      <c r="D7778" s="6">
        <v>12.49</v>
      </c>
      <c r="E7778" t="s">
        <v>29</v>
      </c>
    </row>
    <row r="7779" spans="1:5" x14ac:dyDescent="0.25">
      <c r="A7779" t="str">
        <f>HYPERLINK("https://www.773grp.com/globalSearch/AD7528BN/page-1", "AD7528BN")</f>
        <v>AD7528BN</v>
      </c>
      <c r="B7779" s="3" t="str">
        <f>HYPERLINK("https://www.773grp.com/manufacturer/texas-instruments?pageNo=191", "Texas Instruments")</f>
        <v>Texas Instruments</v>
      </c>
      <c r="C7779" s="5">
        <v>215</v>
      </c>
      <c r="D7779" s="6">
        <v>12.49</v>
      </c>
      <c r="E7779" t="s">
        <v>29</v>
      </c>
    </row>
    <row r="7780" spans="1:5" x14ac:dyDescent="0.25">
      <c r="A7780" t="str">
        <f>HYPERLINK("https://www.773grp.com/globalSearch/DAC7611P/page-1", "DAC7611P")</f>
        <v>DAC7611P</v>
      </c>
      <c r="B7780" s="3" t="str">
        <f>HYPERLINK("https://www.773grp.com/manufacturer/texas-instruments?pageNo=210", "Texas Instruments")</f>
        <v>Texas Instruments</v>
      </c>
      <c r="C7780" s="5">
        <v>8162</v>
      </c>
      <c r="D7780" s="6">
        <v>12.53</v>
      </c>
      <c r="E7780" t="s">
        <v>29</v>
      </c>
    </row>
    <row r="7781" spans="1:5" x14ac:dyDescent="0.25">
      <c r="A7781" t="str">
        <f>HYPERLINK("https://www.773grp.com/globalSearch/DAC7611P/page-1", "DAC7611P")</f>
        <v>DAC7611P</v>
      </c>
      <c r="B7781" s="3" t="str">
        <f>HYPERLINK("https://www.773grp.com/manufacturer/texas-instruments?pageNo=211", "Texas Instruments")</f>
        <v>Texas Instruments</v>
      </c>
      <c r="C7781" s="5">
        <v>1061</v>
      </c>
      <c r="D7781" s="6">
        <v>12.53</v>
      </c>
      <c r="E7781" t="s">
        <v>29</v>
      </c>
    </row>
    <row r="7782" spans="1:5" x14ac:dyDescent="0.25">
      <c r="A7782" t="str">
        <f>HYPERLINK("https://www.773grp.com/globalSearch/DAC6578SRGET/page-1", "DAC6578SRGET")</f>
        <v>DAC6578SRGET</v>
      </c>
      <c r="B7782" s="3" t="str">
        <f>HYPERLINK("https://www.773grp.com/manufacturer/texas-instruments?pageNo=276", "Texas Instruments")</f>
        <v>Texas Instruments</v>
      </c>
      <c r="C7782" s="5">
        <v>525</v>
      </c>
      <c r="D7782" s="6">
        <v>12.66</v>
      </c>
      <c r="E7782" t="s">
        <v>29</v>
      </c>
    </row>
    <row r="7783" spans="1:5" x14ac:dyDescent="0.25">
      <c r="A7783" t="str">
        <f>HYPERLINK("https://www.773grp.com/globalSearch/PCM1727E/page-1", "PCM1727E")</f>
        <v>PCM1727E</v>
      </c>
      <c r="B7783" s="3" t="str">
        <f>HYPERLINK("https://www.773grp.com/manufacturer/texas-instruments?pageNo=279", "Texas Instruments")</f>
        <v>Texas Instruments</v>
      </c>
      <c r="C7783" s="5">
        <v>31</v>
      </c>
      <c r="D7783" s="6">
        <v>12.66</v>
      </c>
      <c r="E7783" t="s">
        <v>29</v>
      </c>
    </row>
    <row r="7784" spans="1:5" x14ac:dyDescent="0.25">
      <c r="A7784" t="str">
        <f>HYPERLINK("https://www.773grp.com/globalSearch/PCM1727E/page-1", "PCM1727E")</f>
        <v>PCM1727E</v>
      </c>
      <c r="B7784" s="3" t="str">
        <f>HYPERLINK("https://www.773grp.com/manufacturer/texas-instruments?pageNo=280", "Texas Instruments")</f>
        <v>Texas Instruments</v>
      </c>
      <c r="C7784" s="5">
        <v>58</v>
      </c>
      <c r="D7784" s="6">
        <v>12.66</v>
      </c>
      <c r="E7784" t="s">
        <v>29</v>
      </c>
    </row>
    <row r="7785" spans="1:5" x14ac:dyDescent="0.25">
      <c r="A7785" t="str">
        <f>HYPERLINK("https://www.773grp.com/globalSearch/TLV5604CPW/page-1", "TLV5604CPW")</f>
        <v>TLV5604CPW</v>
      </c>
      <c r="B7785" s="3" t="str">
        <f>HYPERLINK("https://www.773grp.com/manufacturer/texas-instruments?pageNo=308", "Texas Instruments")</f>
        <v>Texas Instruments</v>
      </c>
      <c r="C7785" s="5">
        <v>23064</v>
      </c>
      <c r="D7785" s="6">
        <v>12.66</v>
      </c>
      <c r="E7785" t="s">
        <v>29</v>
      </c>
    </row>
    <row r="7786" spans="1:5" x14ac:dyDescent="0.25">
      <c r="A7786" t="str">
        <f>HYPERLINK("https://www.773grp.com/globalSearch/DAC6574IDGS/page-1", "DAC6574IDGS")</f>
        <v>DAC6574IDGS</v>
      </c>
      <c r="B7786" s="3" t="str">
        <f>HYPERLINK("https://www.773grp.com/manufacturer/texas-instruments?pageNo=436", "Texas Instruments")</f>
        <v>Texas Instruments</v>
      </c>
      <c r="C7786" s="5">
        <v>1059</v>
      </c>
      <c r="D7786" s="6">
        <v>12.94</v>
      </c>
      <c r="E7786" t="s">
        <v>29</v>
      </c>
    </row>
    <row r="7787" spans="1:5" x14ac:dyDescent="0.25">
      <c r="A7787" t="str">
        <f>HYPERLINK("https://www.773grp.com/globalSearch/DAC8801IDGKR/page-1", "DAC8801IDGKR")</f>
        <v>DAC8801IDGKR</v>
      </c>
      <c r="B7787" s="3" t="str">
        <f>HYPERLINK("https://www.773grp.com/manufacturer/texas-instruments?pageNo=438", "Texas Instruments")</f>
        <v>Texas Instruments</v>
      </c>
      <c r="C7787" s="5">
        <v>2492</v>
      </c>
      <c r="D7787" s="6">
        <v>12.94</v>
      </c>
      <c r="E7787" t="s">
        <v>29</v>
      </c>
    </row>
    <row r="7788" spans="1:5" x14ac:dyDescent="0.25">
      <c r="A7788" t="str">
        <f>HYPERLINK("https://www.773grp.com/globalSearch/DAC8801IDRBR/page-1", "DAC8801IDRBR")</f>
        <v>DAC8801IDRBR</v>
      </c>
      <c r="B7788" s="3" t="str">
        <f>HYPERLINK("https://www.773grp.com/manufacturer/texas-instruments?pageNo=439", "Texas Instruments")</f>
        <v>Texas Instruments</v>
      </c>
      <c r="C7788" s="5">
        <v>15000</v>
      </c>
      <c r="D7788" s="6">
        <v>12.94</v>
      </c>
      <c r="E7788" t="s">
        <v>29</v>
      </c>
    </row>
    <row r="7789" spans="1:5" x14ac:dyDescent="0.25">
      <c r="A7789" t="str">
        <f>HYPERLINK("https://www.773grp.com/globalSearch/PCM1739E/page-1", "PCM1739E")</f>
        <v>PCM1739E</v>
      </c>
      <c r="B7789" s="3" t="str">
        <f>HYPERLINK("https://www.773grp.com/manufacturer/texas-instruments?pageNo=465", "Texas Instruments")</f>
        <v>Texas Instruments</v>
      </c>
      <c r="C7789" s="5">
        <v>106</v>
      </c>
      <c r="D7789" s="6">
        <v>12.96</v>
      </c>
      <c r="E7789" t="s">
        <v>29</v>
      </c>
    </row>
    <row r="7790" spans="1:5" x14ac:dyDescent="0.25">
      <c r="A7790" t="str">
        <f>HYPERLINK("https://www.773grp.com/globalSearch/PCM1739E/page-1", "PCM1739E")</f>
        <v>PCM1739E</v>
      </c>
      <c r="B7790" s="3" t="str">
        <f>HYPERLINK("https://www.773grp.com/manufacturer/texas-instruments?pageNo=466", "Texas Instruments")</f>
        <v>Texas Instruments</v>
      </c>
      <c r="C7790" s="5">
        <v>47</v>
      </c>
      <c r="D7790" s="6">
        <v>12.96</v>
      </c>
      <c r="E7790" t="s">
        <v>29</v>
      </c>
    </row>
    <row r="7791" spans="1:5" x14ac:dyDescent="0.25">
      <c r="A7791" t="str">
        <f>HYPERLINK("https://www.773grp.com/globalSearch/PCM1739E/page-1", "PCM1739E")</f>
        <v>PCM1739E</v>
      </c>
      <c r="B7791" s="3" t="str">
        <f>HYPERLINK("https://www.773grp.com/manufacturer/texas-instruments?pageNo=467", "Texas Instruments")</f>
        <v>Texas Instruments</v>
      </c>
      <c r="C7791" s="5">
        <v>10</v>
      </c>
      <c r="D7791" s="6">
        <v>12.96</v>
      </c>
      <c r="E7791" t="s">
        <v>29</v>
      </c>
    </row>
    <row r="7792" spans="1:5" x14ac:dyDescent="0.25">
      <c r="A7792" t="str">
        <f>HYPERLINK("https://www.773grp.com/globalSearch/PCM1720E/page-1", "PCM1720E")</f>
        <v>PCM1720E</v>
      </c>
      <c r="B7792" s="3" t="str">
        <f>HYPERLINK("https://www.773grp.com/manufacturer/texas-instruments?pageNo=480", "Texas Instruments")</f>
        <v>Texas Instruments</v>
      </c>
      <c r="C7792" s="5">
        <v>820</v>
      </c>
      <c r="D7792" s="6">
        <v>13</v>
      </c>
      <c r="E7792" t="s">
        <v>29</v>
      </c>
    </row>
    <row r="7793" spans="1:5" x14ac:dyDescent="0.25">
      <c r="A7793" t="str">
        <f>HYPERLINK("https://www.773grp.com/globalSearch/TLV5639IDW/page-1", "TLV5639IDW")</f>
        <v>TLV5639IDW</v>
      </c>
      <c r="B7793" s="3" t="str">
        <f>HYPERLINK("https://www.773grp.com/manufacturer/texas-instruments?pageNo=494", "Texas Instruments")</f>
        <v>Texas Instruments</v>
      </c>
      <c r="C7793" s="5">
        <v>1404</v>
      </c>
      <c r="D7793" s="6">
        <v>13.03</v>
      </c>
      <c r="E7793" t="s">
        <v>29</v>
      </c>
    </row>
    <row r="7794" spans="1:5" x14ac:dyDescent="0.25">
      <c r="A7794" t="str">
        <f>HYPERLINK("https://www.773grp.com/globalSearch/TLV5639IDW/page-1", "TLV5639IDW")</f>
        <v>TLV5639IDW</v>
      </c>
      <c r="B7794" s="3" t="str">
        <f>HYPERLINK("https://www.773grp.com/manufacturer/texas-instruments?pageNo=495", "Texas Instruments")</f>
        <v>Texas Instruments</v>
      </c>
      <c r="C7794" s="5">
        <v>6335</v>
      </c>
      <c r="D7794" s="6">
        <v>13.03</v>
      </c>
      <c r="E7794" t="s">
        <v>29</v>
      </c>
    </row>
    <row r="7795" spans="1:5" x14ac:dyDescent="0.25">
      <c r="A7795" t="str">
        <f>HYPERLINK("https://www.773grp.com/globalSearch/THS5651AIDWR/page-1", "THS5651AIDWR")</f>
        <v>THS5651AIDWR</v>
      </c>
      <c r="B7795" s="3" t="str">
        <f>HYPERLINK("https://www.773grp.com/manufacturer/texas-instruments?pageNo=556", "Texas Instruments")</f>
        <v>Texas Instruments</v>
      </c>
      <c r="C7795" s="5">
        <v>45000</v>
      </c>
      <c r="D7795" s="6">
        <v>13.16</v>
      </c>
      <c r="E7795" t="s">
        <v>29</v>
      </c>
    </row>
    <row r="7796" spans="1:5" x14ac:dyDescent="0.25">
      <c r="A7796" t="str">
        <f>HYPERLINK("https://www.773grp.com/globalSearch/THS5651AIPWR/page-1", "THS5651AIPWR")</f>
        <v>THS5651AIPWR</v>
      </c>
      <c r="B7796" s="3" t="str">
        <f>HYPERLINK("https://www.773grp.com/manufacturer/texas-instruments?pageNo=557", "Texas Instruments")</f>
        <v>Texas Instruments</v>
      </c>
      <c r="C7796" s="5">
        <v>2000</v>
      </c>
      <c r="D7796" s="6">
        <v>13.16</v>
      </c>
      <c r="E7796" t="s">
        <v>29</v>
      </c>
    </row>
    <row r="7797" spans="1:5" x14ac:dyDescent="0.25">
      <c r="A7797" t="str">
        <f>HYPERLINK("https://www.773grp.com/globalSearch/PCM2706PJT/page-1", "PCM2706PJT")</f>
        <v>PCM2706PJT</v>
      </c>
      <c r="B7797" s="3" t="str">
        <f>HYPERLINK("https://www.773grp.com/manufacturer/texas-instruments?pageNo=616", "Texas Instruments")</f>
        <v>Texas Instruments</v>
      </c>
      <c r="C7797" s="5">
        <v>859</v>
      </c>
      <c r="D7797" s="6">
        <v>13.28</v>
      </c>
      <c r="E7797" t="s">
        <v>29</v>
      </c>
    </row>
    <row r="7798" spans="1:5" x14ac:dyDescent="0.25">
      <c r="A7798" t="str">
        <f>HYPERLINK("https://www.773grp.com/globalSearch/TLV5604IPW/page-1", "TLV5604IPW")</f>
        <v>TLV5604IPW</v>
      </c>
      <c r="B7798" s="3" t="str">
        <f>HYPERLINK("https://www.773grp.com/manufacturer/texas-instruments?pageNo=677", "Texas Instruments")</f>
        <v>Texas Instruments</v>
      </c>
      <c r="C7798" s="5">
        <v>211</v>
      </c>
      <c r="D7798" s="6">
        <v>13.36</v>
      </c>
      <c r="E7798" t="s">
        <v>29</v>
      </c>
    </row>
    <row r="7799" spans="1:5" x14ac:dyDescent="0.25">
      <c r="A7799" t="str">
        <f>HYPERLINK("https://www.773grp.com/globalSearch/DAC7574IDGS/page-1", "DAC7574IDGS")</f>
        <v>DAC7574IDGS</v>
      </c>
      <c r="B7799" s="3" t="str">
        <f>HYPERLINK("https://www.773grp.com/manufacturer/texas-instruments?pageNo=726", "Texas Instruments")</f>
        <v>Texas Instruments</v>
      </c>
      <c r="C7799" s="5">
        <v>7315</v>
      </c>
      <c r="D7799" s="6">
        <v>13.5</v>
      </c>
      <c r="E7799" t="s">
        <v>29</v>
      </c>
    </row>
    <row r="7800" spans="1:5" x14ac:dyDescent="0.25">
      <c r="A7800" t="str">
        <f>HYPERLINK("https://www.773grp.com/globalSearch/TLV5608IPWR/page-1", "TLV5608IPWR")</f>
        <v>TLV5608IPWR</v>
      </c>
      <c r="B7800" s="3" t="str">
        <f>HYPERLINK("https://www.773grp.com/manufacturer/texas-instruments?pageNo=897", "Texas Instruments")</f>
        <v>Texas Instruments</v>
      </c>
      <c r="C7800" s="5">
        <v>1964</v>
      </c>
      <c r="D7800" s="6">
        <v>13.79</v>
      </c>
      <c r="E7800" t="s">
        <v>29</v>
      </c>
    </row>
    <row r="7801" spans="1:5" x14ac:dyDescent="0.25">
      <c r="A7801" t="str">
        <f>HYPERLINK("https://www.773grp.com/globalSearch/TLV5608IYER/page-1", "TLV5608IYER")</f>
        <v>TLV5608IYER</v>
      </c>
      <c r="B7801" s="3" t="str">
        <f>HYPERLINK("https://www.773grp.com/manufacturer/texas-instruments?pageNo=898", "Texas Instruments")</f>
        <v>Texas Instruments</v>
      </c>
      <c r="C7801" s="5">
        <v>1180</v>
      </c>
      <c r="D7801" s="6">
        <v>13.79</v>
      </c>
      <c r="E7801" t="s">
        <v>29</v>
      </c>
    </row>
    <row r="7802" spans="1:5" x14ac:dyDescent="0.25">
      <c r="A7802" t="str">
        <f>HYPERLINK("https://www.773grp.com/globalSearch/TLV5636IDR/page-1", "TLV5636IDR")</f>
        <v>TLV5636IDR</v>
      </c>
      <c r="B7802" s="3" t="str">
        <f>HYPERLINK("https://www.773grp.com/manufacturer/texas-instruments?pageNo=899", "Texas Instruments")</f>
        <v>Texas Instruments</v>
      </c>
      <c r="C7802" s="5">
        <v>2500</v>
      </c>
      <c r="D7802" s="6">
        <v>13.79</v>
      </c>
      <c r="E7802" t="s">
        <v>29</v>
      </c>
    </row>
    <row r="7803" spans="1:5" x14ac:dyDescent="0.25">
      <c r="A7803" t="str">
        <f>HYPERLINK("https://www.773grp.com/globalSearch/DAC7611PB/page-1", "DAC7611PB")</f>
        <v>DAC7611PB</v>
      </c>
      <c r="B7803" s="3" t="str">
        <f>HYPERLINK("https://www.773grp.com/manufacturer/texas-instruments?pageNo=952", "Texas Instruments")</f>
        <v>Texas Instruments</v>
      </c>
      <c r="C7803" s="5">
        <v>30720</v>
      </c>
      <c r="D7803" s="6">
        <v>13.93</v>
      </c>
      <c r="E7803" t="s">
        <v>29</v>
      </c>
    </row>
    <row r="7804" spans="1:5" x14ac:dyDescent="0.25">
      <c r="A7804" t="str">
        <f>HYPERLINK("https://www.773grp.com/globalSearch/DAC7611PB/page-1", "DAC7611PB")</f>
        <v>DAC7611PB</v>
      </c>
      <c r="B7804" s="3" t="str">
        <f>HYPERLINK("https://www.773grp.com/manufacturer/texas-instruments?pageNo=953", "Texas Instruments")</f>
        <v>Texas Instruments</v>
      </c>
      <c r="C7804" s="5">
        <v>100</v>
      </c>
      <c r="D7804" s="6">
        <v>13.93</v>
      </c>
      <c r="E7804" t="s">
        <v>29</v>
      </c>
    </row>
    <row r="7805" spans="1:5" x14ac:dyDescent="0.25">
      <c r="A7805" t="str">
        <f>HYPERLINK("https://www.773grp.com/globalSearch/THS5651IDW/page-1", "THS5651IDW")</f>
        <v>THS5651IDW</v>
      </c>
      <c r="B7805" s="3" t="str">
        <f>HYPERLINK("https://www.773grp.com/manufacturer/texas-instruments?pageNo=967", "Texas Instruments")</f>
        <v>Texas Instruments</v>
      </c>
      <c r="C7805" s="5">
        <v>1647</v>
      </c>
      <c r="D7805" s="6">
        <v>13.93</v>
      </c>
      <c r="E7805" t="s">
        <v>29</v>
      </c>
    </row>
    <row r="7806" spans="1:5" x14ac:dyDescent="0.25">
      <c r="A7806" t="str">
        <f>HYPERLINK("https://www.773grp.com/globalSearch/THS5651IPW/page-1", "THS5651IPW")</f>
        <v>THS5651IPW</v>
      </c>
      <c r="B7806" s="3" t="str">
        <f>HYPERLINK("https://www.773grp.com/manufacturer/texas-instruments?pageNo=968", "Texas Instruments")</f>
        <v>Texas Instruments</v>
      </c>
      <c r="C7806" s="5">
        <v>29376</v>
      </c>
      <c r="D7806" s="6">
        <v>13.93</v>
      </c>
      <c r="E7806" t="s">
        <v>29</v>
      </c>
    </row>
    <row r="7807" spans="1:5" x14ac:dyDescent="0.25">
      <c r="A7807" t="str">
        <f>HYPERLINK("https://www.773grp.com/globalSearch/TLV5632IDW/page-1", "TLV5632IDW")</f>
        <v>TLV5632IDW</v>
      </c>
      <c r="B7807" s="3" t="s">
        <v>90</v>
      </c>
      <c r="C7807" s="5">
        <v>85</v>
      </c>
      <c r="D7807" s="6">
        <v>14.14</v>
      </c>
      <c r="E7807" t="s">
        <v>29</v>
      </c>
    </row>
    <row r="7808" spans="1:5" x14ac:dyDescent="0.25">
      <c r="A7808" t="str">
        <f>HYPERLINK("https://www.773grp.com/globalSearch/TLV5632IPW/page-1", "TLV5632IPW")</f>
        <v>TLV5632IPW</v>
      </c>
      <c r="B7808" s="3" t="s">
        <v>90</v>
      </c>
      <c r="C7808" s="5">
        <v>1893</v>
      </c>
      <c r="D7808" s="6">
        <v>14.14</v>
      </c>
      <c r="E7808" t="s">
        <v>29</v>
      </c>
    </row>
    <row r="7809" spans="1:5" x14ac:dyDescent="0.25">
      <c r="A7809" t="str">
        <f>HYPERLINK("https://www.773grp.com/globalSearch/PCM2707PJT/page-1", "PCM2707PJT")</f>
        <v>PCM2707PJT</v>
      </c>
      <c r="B7809" s="3" t="s">
        <v>90</v>
      </c>
      <c r="C7809" s="5">
        <v>750</v>
      </c>
      <c r="D7809" s="6">
        <v>14.23</v>
      </c>
      <c r="E7809" t="s">
        <v>29</v>
      </c>
    </row>
    <row r="7810" spans="1:5" x14ac:dyDescent="0.25">
      <c r="A7810" t="str">
        <f>HYPERLINK("https://www.773grp.com/globalSearch/PCM2707PJTG4/page-1", "PCM2707PJTG4")</f>
        <v>PCM2707PJTG4</v>
      </c>
      <c r="B7810" s="3" t="s">
        <v>90</v>
      </c>
      <c r="C7810" s="5">
        <v>180</v>
      </c>
      <c r="D7810" s="6">
        <v>14.23</v>
      </c>
      <c r="E7810" t="s">
        <v>29</v>
      </c>
    </row>
    <row r="7811" spans="1:5" x14ac:dyDescent="0.25">
      <c r="A7811" t="str">
        <f>HYPERLINK("https://www.773grp.com/globalSearch/TLV5619QDW/page-1", "TLV5619QDW")</f>
        <v>TLV5619QDW</v>
      </c>
      <c r="B7811" s="3" t="s">
        <v>90</v>
      </c>
      <c r="C7811" s="5">
        <v>13613</v>
      </c>
      <c r="D7811" s="6">
        <v>14.35</v>
      </c>
      <c r="E7811" t="s">
        <v>29</v>
      </c>
    </row>
    <row r="7812" spans="1:5" x14ac:dyDescent="0.25">
      <c r="A7812" t="str">
        <f>HYPERLINK("https://www.773grp.com/globalSearch/DAC900E-2K5/page-1", "DAC900E-2K5")</f>
        <v>DAC900E-2K5</v>
      </c>
      <c r="B7812" s="3" t="s">
        <v>90</v>
      </c>
      <c r="C7812" s="5">
        <v>198715</v>
      </c>
      <c r="D7812" s="6">
        <v>14.46</v>
      </c>
      <c r="E7812" t="s">
        <v>29</v>
      </c>
    </row>
    <row r="7813" spans="1:5" x14ac:dyDescent="0.25">
      <c r="A7813" t="str">
        <f>HYPERLINK("https://www.773grp.com/globalSearch/DAC900U-1K/page-1", "DAC900U-1K")</f>
        <v>DAC900U-1K</v>
      </c>
      <c r="B7813" s="3" t="s">
        <v>90</v>
      </c>
      <c r="C7813" s="5">
        <v>20000</v>
      </c>
      <c r="D7813" s="6">
        <v>14.46</v>
      </c>
      <c r="E7813" t="s">
        <v>29</v>
      </c>
    </row>
    <row r="7814" spans="1:5" x14ac:dyDescent="0.25">
      <c r="A7814" t="str">
        <f>HYPERLINK("https://www.773grp.com/globalSearch/TLC5618AQD/page-1", "TLC5618AQD")</f>
        <v>TLC5618AQD</v>
      </c>
      <c r="B7814" s="3" t="s">
        <v>90</v>
      </c>
      <c r="C7814" s="5">
        <v>2988</v>
      </c>
      <c r="D7814" s="6">
        <v>14.48</v>
      </c>
      <c r="E7814" t="s">
        <v>29</v>
      </c>
    </row>
    <row r="7815" spans="1:5" x14ac:dyDescent="0.25">
      <c r="A7815" t="str">
        <f>HYPERLINK("https://www.773grp.com/globalSearch/TLC5618AQDG4/page-1", "TLC5618AQDG4")</f>
        <v>TLC5618AQDG4</v>
      </c>
      <c r="B7815" s="3" t="s">
        <v>90</v>
      </c>
      <c r="C7815" s="5">
        <v>1455</v>
      </c>
      <c r="D7815" s="6">
        <v>14.48</v>
      </c>
      <c r="E7815" t="s">
        <v>29</v>
      </c>
    </row>
    <row r="7816" spans="1:5" x14ac:dyDescent="0.25">
      <c r="A7816" t="str">
        <f>HYPERLINK("https://www.773grp.com/globalSearch/DAC7564ICPW/page-1", "DAC7564ICPW")</f>
        <v>DAC7564ICPW</v>
      </c>
      <c r="B7816" s="3" t="s">
        <v>90</v>
      </c>
      <c r="C7816" s="5">
        <v>910</v>
      </c>
      <c r="D7816" s="6">
        <v>14.63</v>
      </c>
      <c r="E7816" t="s">
        <v>29</v>
      </c>
    </row>
    <row r="7817" spans="1:5" x14ac:dyDescent="0.25">
      <c r="A7817" t="str">
        <f>HYPERLINK("https://www.773grp.com/globalSearch/DAC7565ICPW/page-1", "DAC7565ICPW")</f>
        <v>DAC7565ICPW</v>
      </c>
      <c r="B7817" s="3" t="s">
        <v>90</v>
      </c>
      <c r="C7817" s="5">
        <v>622</v>
      </c>
      <c r="D7817" s="6">
        <v>14.63</v>
      </c>
      <c r="E7817" t="s">
        <v>29</v>
      </c>
    </row>
    <row r="7818" spans="1:5" x14ac:dyDescent="0.25">
      <c r="A7818" t="str">
        <f>HYPERLINK("https://www.773grp.com/globalSearch/TLV5619CDW/page-1", "TLV5619CDW")</f>
        <v>TLV5619CDW</v>
      </c>
      <c r="B7818" s="3" t="s">
        <v>90</v>
      </c>
      <c r="C7818" s="5">
        <v>978</v>
      </c>
      <c r="D7818" s="6">
        <v>14.69</v>
      </c>
      <c r="E7818" t="s">
        <v>29</v>
      </c>
    </row>
    <row r="7819" spans="1:5" x14ac:dyDescent="0.25">
      <c r="A7819" t="str">
        <f>HYPERLINK("https://www.773grp.com/globalSearch/TLV5619CPW/page-1", "TLV5619CPW")</f>
        <v>TLV5619CPW</v>
      </c>
      <c r="B7819" s="3" t="s">
        <v>90</v>
      </c>
      <c r="C7819" s="5">
        <v>8516</v>
      </c>
      <c r="D7819" s="6">
        <v>14.69</v>
      </c>
      <c r="E7819" t="s">
        <v>29</v>
      </c>
    </row>
    <row r="7820" spans="1:5" x14ac:dyDescent="0.25">
      <c r="A7820" t="str">
        <f>HYPERLINK("https://www.773grp.com/globalSearch/DAC1221E-2K5/page-1", "DAC1221E-2K5")</f>
        <v>DAC1221E-2K5</v>
      </c>
      <c r="B7820" s="3" t="s">
        <v>90</v>
      </c>
      <c r="C7820" s="5">
        <v>2500</v>
      </c>
      <c r="D7820" s="6">
        <v>14.76</v>
      </c>
      <c r="E7820" t="s">
        <v>29</v>
      </c>
    </row>
    <row r="7821" spans="1:5" x14ac:dyDescent="0.25">
      <c r="A7821" t="str">
        <f>HYPERLINK("https://www.773grp.com/globalSearch/PCM1602KY-2K/page-1", "PCM1602KY-2K")</f>
        <v>PCM1602KY-2K</v>
      </c>
      <c r="B7821" s="3" t="s">
        <v>90</v>
      </c>
      <c r="C7821" s="5">
        <v>2000</v>
      </c>
      <c r="D7821" s="6">
        <v>14.76</v>
      </c>
      <c r="E7821" t="s">
        <v>29</v>
      </c>
    </row>
    <row r="7822" spans="1:5" x14ac:dyDescent="0.25">
      <c r="A7822" t="str">
        <f>HYPERLINK("https://www.773grp.com/globalSearch/PCM1602Y-2K/page-1", "PCM1602Y-2K")</f>
        <v>PCM1602Y-2K</v>
      </c>
      <c r="B7822" s="3" t="s">
        <v>90</v>
      </c>
      <c r="C7822" s="5">
        <v>42000</v>
      </c>
      <c r="D7822" s="6">
        <v>14.76</v>
      </c>
      <c r="E7822" t="s">
        <v>29</v>
      </c>
    </row>
    <row r="7823" spans="1:5" x14ac:dyDescent="0.25">
      <c r="A7823" t="str">
        <f>HYPERLINK("https://www.773grp.com/globalSearch/PCM1608KY-2K/page-1", "PCM1608KY-2K")</f>
        <v>PCM1608KY-2K</v>
      </c>
      <c r="B7823" s="3" t="s">
        <v>90</v>
      </c>
      <c r="C7823" s="5">
        <v>2000</v>
      </c>
      <c r="D7823" s="6">
        <v>14.76</v>
      </c>
      <c r="E7823" t="s">
        <v>29</v>
      </c>
    </row>
    <row r="7824" spans="1:5" x14ac:dyDescent="0.25">
      <c r="A7824" t="str">
        <f>HYPERLINK("https://www.773grp.com/globalSearch/PCM1716E/page-1", "PCM1716E")</f>
        <v>PCM1716E</v>
      </c>
      <c r="B7824" s="3" t="s">
        <v>90</v>
      </c>
      <c r="C7824" s="5">
        <v>178</v>
      </c>
      <c r="D7824" s="6">
        <v>14.85</v>
      </c>
      <c r="E7824" t="s">
        <v>29</v>
      </c>
    </row>
    <row r="7825" spans="1:5" x14ac:dyDescent="0.25">
      <c r="A7825" t="str">
        <f>HYPERLINK("https://www.773grp.com/globalSearch/PCM1716E/page-1", "PCM1716E")</f>
        <v>PCM1716E</v>
      </c>
      <c r="B7825" s="3" t="s">
        <v>90</v>
      </c>
      <c r="C7825" s="5">
        <v>952</v>
      </c>
      <c r="D7825" s="6">
        <v>14.85</v>
      </c>
      <c r="E7825" t="s">
        <v>29</v>
      </c>
    </row>
    <row r="7826" spans="1:5" x14ac:dyDescent="0.25">
      <c r="A7826" t="str">
        <f>HYPERLINK("https://www.773grp.com/globalSearch/DAC8801IDRBT/page-1", "DAC8801IDRBT")</f>
        <v>DAC8801IDRBT</v>
      </c>
      <c r="B7826" s="3" t="s">
        <v>90</v>
      </c>
      <c r="C7826" s="5">
        <v>36718</v>
      </c>
      <c r="D7826" s="6">
        <v>14.9</v>
      </c>
      <c r="E7826" t="s">
        <v>29</v>
      </c>
    </row>
    <row r="7827" spans="1:5" x14ac:dyDescent="0.25">
      <c r="A7827" t="str">
        <f>HYPERLINK("https://www.773grp.com/globalSearch/DAC8532IDGKR/page-1", "DAC8532IDGKR")</f>
        <v>DAC8532IDGKR</v>
      </c>
      <c r="B7827" s="3" t="s">
        <v>90</v>
      </c>
      <c r="C7827" s="5">
        <v>1664</v>
      </c>
      <c r="D7827" s="6">
        <v>15.05</v>
      </c>
      <c r="E7827" t="s">
        <v>29</v>
      </c>
    </row>
    <row r="7828" spans="1:5" x14ac:dyDescent="0.25">
      <c r="A7828" t="str">
        <f>HYPERLINK("https://www.773grp.com/globalSearch/DAC7616U/page-1", "DAC7616U")</f>
        <v>DAC7616U</v>
      </c>
      <c r="B7828" s="3" t="s">
        <v>90</v>
      </c>
      <c r="C7828" s="5">
        <v>32</v>
      </c>
      <c r="D7828" s="6">
        <v>15.19</v>
      </c>
      <c r="E7828" t="s">
        <v>29</v>
      </c>
    </row>
    <row r="7829" spans="1:5" x14ac:dyDescent="0.25">
      <c r="A7829" t="str">
        <f>HYPERLINK("https://www.773grp.com/globalSearch/DAC7616U/page-1", "DAC7616U")</f>
        <v>DAC7616U</v>
      </c>
      <c r="B7829" s="3" t="s">
        <v>90</v>
      </c>
      <c r="C7829" s="5">
        <v>800</v>
      </c>
      <c r="D7829" s="6">
        <v>15.19</v>
      </c>
      <c r="E7829" t="s">
        <v>29</v>
      </c>
    </row>
    <row r="7830" spans="1:5" x14ac:dyDescent="0.25">
      <c r="A7830" t="str">
        <f>HYPERLINK("https://www.773grp.com/globalSearch/DAC7616U/page-1", "DAC7616U")</f>
        <v>DAC7616U</v>
      </c>
      <c r="B7830" s="3" t="s">
        <v>90</v>
      </c>
      <c r="C7830" s="5">
        <v>1160</v>
      </c>
      <c r="D7830" s="6">
        <v>15.19</v>
      </c>
      <c r="E7830" t="s">
        <v>29</v>
      </c>
    </row>
    <row r="7831" spans="1:5" x14ac:dyDescent="0.25">
      <c r="A7831" t="str">
        <f>HYPERLINK("https://www.773grp.com/globalSearch/DAC7617E-1K/page-1", "DAC7617E-1K")</f>
        <v>DAC7617E-1K</v>
      </c>
      <c r="B7831" s="3" t="s">
        <v>90</v>
      </c>
      <c r="C7831" s="5">
        <v>7000</v>
      </c>
      <c r="D7831" s="6">
        <v>15.19</v>
      </c>
      <c r="E7831" t="s">
        <v>29</v>
      </c>
    </row>
    <row r="7832" spans="1:5" x14ac:dyDescent="0.25">
      <c r="A7832" t="str">
        <f>HYPERLINK("https://www.773grp.com/globalSearch/DAC8043UC-2K5/page-1", "DAC8043UC-2K5")</f>
        <v>DAC8043UC-2K5</v>
      </c>
      <c r="B7832" s="3" t="s">
        <v>90</v>
      </c>
      <c r="C7832" s="5">
        <v>2500</v>
      </c>
      <c r="D7832" s="6">
        <v>15.19</v>
      </c>
      <c r="E7832" t="s">
        <v>29</v>
      </c>
    </row>
    <row r="7833" spans="1:5" x14ac:dyDescent="0.25">
      <c r="A7833" t="str">
        <f>HYPERLINK("https://www.773grp.com/globalSearch/PCM1728E/page-1", "PCM1728E")</f>
        <v>PCM1728E</v>
      </c>
      <c r="B7833" s="3" t="s">
        <v>90</v>
      </c>
      <c r="C7833" s="5">
        <v>285</v>
      </c>
      <c r="D7833" s="6">
        <v>15.33</v>
      </c>
      <c r="E7833" t="s">
        <v>29</v>
      </c>
    </row>
    <row r="7834" spans="1:5" x14ac:dyDescent="0.25">
      <c r="A7834" t="str">
        <f>HYPERLINK("https://www.773grp.com/globalSearch/TLV5618AIDR/page-1", "TLV5618AIDR")</f>
        <v>TLV5618AIDR</v>
      </c>
      <c r="B7834" s="3" t="s">
        <v>90</v>
      </c>
      <c r="C7834" s="5">
        <v>2500</v>
      </c>
      <c r="D7834" s="6">
        <v>15.33</v>
      </c>
      <c r="E7834" t="s">
        <v>29</v>
      </c>
    </row>
    <row r="7835" spans="1:5" x14ac:dyDescent="0.25">
      <c r="A7835" t="str">
        <f>HYPERLINK("https://www.773grp.com/globalSearch/PCM1728E-2KG4/page-1", "PCM1728E-2KG4")</f>
        <v>PCM1728E-2KG4</v>
      </c>
      <c r="B7835" s="3" t="s">
        <v>90</v>
      </c>
      <c r="C7835" s="5">
        <v>2000</v>
      </c>
      <c r="D7835" s="6">
        <v>15.36</v>
      </c>
      <c r="E7835" t="s">
        <v>29</v>
      </c>
    </row>
    <row r="7836" spans="1:5" x14ac:dyDescent="0.25">
      <c r="A7836" t="str">
        <f>HYPERLINK("https://www.773grp.com/globalSearch/DAC7578SPWR/page-1", "DAC7578SPWR")</f>
        <v>DAC7578SPWR</v>
      </c>
      <c r="B7836" s="3" t="s">
        <v>90</v>
      </c>
      <c r="C7836" s="5">
        <v>1950</v>
      </c>
      <c r="D7836" s="6">
        <v>15.48</v>
      </c>
      <c r="E7836" t="s">
        <v>29</v>
      </c>
    </row>
    <row r="7837" spans="1:5" x14ac:dyDescent="0.25">
      <c r="A7837" t="str">
        <f>HYPERLINK("https://www.773grp.com/globalSearch/DAC8806IDBR/page-1", "DAC8806IDBR")</f>
        <v>DAC8806IDBR</v>
      </c>
      <c r="B7837" s="3" t="s">
        <v>90</v>
      </c>
      <c r="C7837" s="5">
        <v>8000</v>
      </c>
      <c r="D7837" s="6">
        <v>15.48</v>
      </c>
      <c r="E7837" t="s">
        <v>29</v>
      </c>
    </row>
    <row r="7838" spans="1:5" x14ac:dyDescent="0.25">
      <c r="A7838" t="str">
        <f>HYPERLINK("https://www.773grp.com/globalSearch/TLV5619IDW/page-1", "TLV5619IDW")</f>
        <v>TLV5619IDW</v>
      </c>
      <c r="B7838" s="3" t="s">
        <v>90</v>
      </c>
      <c r="C7838" s="5">
        <v>2354</v>
      </c>
      <c r="D7838" s="6">
        <v>15.58</v>
      </c>
      <c r="E7838" t="s">
        <v>29</v>
      </c>
    </row>
    <row r="7839" spans="1:5" x14ac:dyDescent="0.25">
      <c r="A7839" t="str">
        <f>HYPERLINK("https://www.773grp.com/globalSearch/TLV5619IPW/page-1", "TLV5619IPW")</f>
        <v>TLV5619IPW</v>
      </c>
      <c r="B7839" s="3" t="s">
        <v>90</v>
      </c>
      <c r="C7839" s="5">
        <v>6181</v>
      </c>
      <c r="D7839" s="6">
        <v>15.58</v>
      </c>
      <c r="E7839" t="s">
        <v>29</v>
      </c>
    </row>
    <row r="7840" spans="1:5" x14ac:dyDescent="0.25">
      <c r="A7840" t="str">
        <f>HYPERLINK("https://www.773grp.com/globalSearch/TLV5636CD/page-1", "TLV5636CD")</f>
        <v>TLV5636CD</v>
      </c>
      <c r="B7840" s="3" t="s">
        <v>90</v>
      </c>
      <c r="C7840" s="5">
        <v>825</v>
      </c>
      <c r="D7840" s="6">
        <v>15.61</v>
      </c>
      <c r="E7840" t="s">
        <v>29</v>
      </c>
    </row>
    <row r="7841" spans="1:5" x14ac:dyDescent="0.25">
      <c r="A7841" t="str">
        <f>HYPERLINK("https://www.773grp.com/globalSearch/TLV5636CDG4/page-1", "TLV5636CDG4")</f>
        <v>TLV5636CDG4</v>
      </c>
      <c r="B7841" s="3" t="s">
        <v>90</v>
      </c>
      <c r="C7841" s="5">
        <v>15</v>
      </c>
      <c r="D7841" s="6">
        <v>15.61</v>
      </c>
      <c r="E7841" t="s">
        <v>29</v>
      </c>
    </row>
    <row r="7842" spans="1:5" x14ac:dyDescent="0.25">
      <c r="A7842" t="str">
        <f>HYPERLINK("https://www.773grp.com/globalSearch/TLV5636CDGK/page-1", "TLV5636CDGK")</f>
        <v>TLV5636CDGK</v>
      </c>
      <c r="B7842" s="3" t="s">
        <v>90</v>
      </c>
      <c r="C7842" s="5">
        <v>3782</v>
      </c>
      <c r="D7842" s="6">
        <v>15.61</v>
      </c>
      <c r="E7842" t="s">
        <v>29</v>
      </c>
    </row>
    <row r="7843" spans="1:5" x14ac:dyDescent="0.25">
      <c r="A7843" t="str">
        <f>HYPERLINK("https://www.773grp.com/globalSearch/TLV5639IPW/page-1", "TLV5639IPW")</f>
        <v>TLV5639IPW</v>
      </c>
      <c r="B7843" s="3" t="s">
        <v>90</v>
      </c>
      <c r="C7843" s="5">
        <v>2655</v>
      </c>
      <c r="D7843" s="6">
        <v>15.64</v>
      </c>
      <c r="E7843" t="s">
        <v>29</v>
      </c>
    </row>
    <row r="7844" spans="1:5" x14ac:dyDescent="0.25">
      <c r="A7844" t="str">
        <f>HYPERLINK("https://www.773grp.com/globalSearch/TLV5631IDWR/page-1", "TLV5631IDWR")</f>
        <v>TLV5631IDWR</v>
      </c>
      <c r="B7844" s="3" t="s">
        <v>90</v>
      </c>
      <c r="C7844" s="5">
        <v>1500</v>
      </c>
      <c r="D7844" s="6">
        <v>15.75</v>
      </c>
      <c r="E7844" t="s">
        <v>29</v>
      </c>
    </row>
    <row r="7845" spans="1:5" x14ac:dyDescent="0.25">
      <c r="A7845" t="str">
        <f>HYPERLINK("https://www.773grp.com/globalSearch/TLV5631IPWR/page-1", "TLV5631IPWR")</f>
        <v>TLV5631IPWR</v>
      </c>
      <c r="B7845" s="3" t="s">
        <v>90</v>
      </c>
      <c r="C7845" s="5">
        <v>2000</v>
      </c>
      <c r="D7845" s="6">
        <v>15.75</v>
      </c>
      <c r="E7845" t="s">
        <v>29</v>
      </c>
    </row>
    <row r="7846" spans="1:5" x14ac:dyDescent="0.25">
      <c r="A7846" t="str">
        <f>HYPERLINK("https://www.773grp.com/globalSearch/THS5651AIDW/page-1", "THS5651AIDW")</f>
        <v>THS5651AIDW</v>
      </c>
      <c r="B7846" s="3" t="s">
        <v>90</v>
      </c>
      <c r="C7846" s="5">
        <v>5773</v>
      </c>
      <c r="D7846" s="6">
        <v>15.78</v>
      </c>
      <c r="E7846" t="s">
        <v>29</v>
      </c>
    </row>
    <row r="7847" spans="1:5" x14ac:dyDescent="0.25">
      <c r="A7847" t="str">
        <f>HYPERLINK("https://www.773grp.com/globalSearch/THS5651AIPW/page-1", "THS5651AIPW")</f>
        <v>THS5651AIPW</v>
      </c>
      <c r="B7847" s="3" t="s">
        <v>90</v>
      </c>
      <c r="C7847" s="5">
        <v>3</v>
      </c>
      <c r="D7847" s="6">
        <v>15.78</v>
      </c>
      <c r="E7847" t="s">
        <v>29</v>
      </c>
    </row>
    <row r="7848" spans="1:5" x14ac:dyDescent="0.25">
      <c r="A7848" t="str">
        <f>HYPERLINK("https://www.773grp.com/globalSearch/PCM1604PT/page-1", "PCM1604PT")</f>
        <v>PCM1604PT</v>
      </c>
      <c r="B7848" s="3" t="s">
        <v>90</v>
      </c>
      <c r="C7848" s="5">
        <v>1407</v>
      </c>
      <c r="D7848" s="6">
        <v>16.04</v>
      </c>
      <c r="E7848" t="s">
        <v>29</v>
      </c>
    </row>
    <row r="7849" spans="1:5" x14ac:dyDescent="0.25">
      <c r="A7849" t="str">
        <f>HYPERLINK("https://www.773grp.com/globalSearch/TMS57014ADWBLE/page-1", "TMS57014ADWBLE")</f>
        <v>TMS57014ADWBLE</v>
      </c>
      <c r="B7849" s="3" t="s">
        <v>90</v>
      </c>
      <c r="C7849" s="5">
        <v>78000</v>
      </c>
      <c r="D7849" s="6">
        <v>16.2</v>
      </c>
      <c r="E7849" t="s">
        <v>29</v>
      </c>
    </row>
    <row r="7850" spans="1:5" x14ac:dyDescent="0.25">
      <c r="A7850" t="str">
        <f>HYPERLINK("https://www.773grp.com/globalSearch/DAC8554IPWR/page-1", "DAC8554IPWR")</f>
        <v>DAC8554IPWR</v>
      </c>
      <c r="B7850" s="3" t="s">
        <v>90</v>
      </c>
      <c r="C7850" s="5">
        <v>3090</v>
      </c>
      <c r="D7850" s="6">
        <v>16.25</v>
      </c>
      <c r="E7850" t="s">
        <v>29</v>
      </c>
    </row>
    <row r="7851" spans="1:5" x14ac:dyDescent="0.25">
      <c r="A7851" t="str">
        <f>HYPERLINK("https://www.773grp.com/globalSearch/DAC7554IDGS/page-1", "DAC7554IDGS")</f>
        <v>DAC7554IDGS</v>
      </c>
      <c r="B7851" s="3" t="s">
        <v>90</v>
      </c>
      <c r="C7851" s="5">
        <v>67</v>
      </c>
      <c r="D7851" s="6">
        <v>16.309999999999999</v>
      </c>
      <c r="E7851" t="s">
        <v>29</v>
      </c>
    </row>
    <row r="7852" spans="1:5" x14ac:dyDescent="0.25">
      <c r="A7852" t="str">
        <f>HYPERLINK("https://www.773grp.com/globalSearch/DAC7617EB-1K/page-1", "DAC7617EB-1K")</f>
        <v>DAC7617EB-1K</v>
      </c>
      <c r="B7852" s="3" t="s">
        <v>90</v>
      </c>
      <c r="C7852" s="5">
        <v>66000</v>
      </c>
      <c r="D7852" s="6">
        <v>16.309999999999999</v>
      </c>
      <c r="E7852" t="s">
        <v>29</v>
      </c>
    </row>
    <row r="7853" spans="1:5" x14ac:dyDescent="0.25">
      <c r="A7853" t="str">
        <f>HYPERLINK("https://www.773grp.com/globalSearch/DAC7617UB-1K/page-1", "DAC7617UB-1K")</f>
        <v>DAC7617UB-1K</v>
      </c>
      <c r="B7853" s="3" t="s">
        <v>90</v>
      </c>
      <c r="C7853" s="5">
        <v>4000</v>
      </c>
      <c r="D7853" s="6">
        <v>16.309999999999999</v>
      </c>
      <c r="E7853" t="s">
        <v>29</v>
      </c>
    </row>
    <row r="7854" spans="1:5" x14ac:dyDescent="0.25">
      <c r="A7854" t="str">
        <f>HYPERLINK("https://www.773grp.com/globalSearch/DAC7545JP/page-1", "DAC7545JP")</f>
        <v>DAC7545JP</v>
      </c>
      <c r="B7854" s="3" t="s">
        <v>90</v>
      </c>
      <c r="C7854" s="5">
        <v>396</v>
      </c>
      <c r="D7854" s="6">
        <v>16.399999999999999</v>
      </c>
      <c r="E7854" t="s">
        <v>29</v>
      </c>
    </row>
    <row r="7855" spans="1:5" x14ac:dyDescent="0.25">
      <c r="A7855" t="str">
        <f>HYPERLINK("https://www.773grp.com/globalSearch/TLV5633CDW/page-1", "TLV5633CDW")</f>
        <v>TLV5633CDW</v>
      </c>
      <c r="B7855" s="3" t="s">
        <v>90</v>
      </c>
      <c r="C7855" s="5">
        <v>9926</v>
      </c>
      <c r="D7855" s="6">
        <v>16.5</v>
      </c>
      <c r="E7855" t="s">
        <v>29</v>
      </c>
    </row>
    <row r="7856" spans="1:5" x14ac:dyDescent="0.25">
      <c r="A7856" t="str">
        <f>HYPERLINK("https://www.773grp.com/globalSearch/TLV5608IPW/page-1", "TLV5608IPW")</f>
        <v>TLV5608IPW</v>
      </c>
      <c r="B7856" s="3" t="s">
        <v>90</v>
      </c>
      <c r="C7856" s="5">
        <v>2765</v>
      </c>
      <c r="D7856" s="6">
        <v>16.59</v>
      </c>
      <c r="E7856" t="s">
        <v>29</v>
      </c>
    </row>
    <row r="7857" spans="1:5" x14ac:dyDescent="0.25">
      <c r="A7857" t="str">
        <f>HYPERLINK("https://www.773grp.com/globalSearch/TLV5618ACP/page-1", "TLV5618ACP")</f>
        <v>TLV5618ACP</v>
      </c>
      <c r="B7857" s="3" t="s">
        <v>90</v>
      </c>
      <c r="C7857" s="5">
        <v>8850</v>
      </c>
      <c r="D7857" s="6">
        <v>16.59</v>
      </c>
      <c r="E7857" t="s">
        <v>29</v>
      </c>
    </row>
    <row r="7858" spans="1:5" x14ac:dyDescent="0.25">
      <c r="A7858" t="str">
        <f>HYPERLINK("https://www.773grp.com/globalSearch/TLV5618ACP/page-1", "TLV5618ACP")</f>
        <v>TLV5618ACP</v>
      </c>
      <c r="B7858" s="3" t="s">
        <v>90</v>
      </c>
      <c r="C7858" s="5">
        <v>2870</v>
      </c>
      <c r="D7858" s="6">
        <v>16.59</v>
      </c>
      <c r="E7858" t="s">
        <v>29</v>
      </c>
    </row>
    <row r="7859" spans="1:5" x14ac:dyDescent="0.25">
      <c r="A7859" t="str">
        <f>HYPERLINK("https://www.773grp.com/globalSearch/TLV5633CPWR/page-1", "TLV5633CPWR")</f>
        <v>TLV5633CPWR</v>
      </c>
      <c r="B7859" s="3" t="s">
        <v>90</v>
      </c>
      <c r="C7859" s="5">
        <v>4000</v>
      </c>
      <c r="D7859" s="6">
        <v>16.59</v>
      </c>
      <c r="E7859" t="s">
        <v>29</v>
      </c>
    </row>
    <row r="7860" spans="1:5" x14ac:dyDescent="0.25">
      <c r="A7860" t="str">
        <f>HYPERLINK("https://www.773grp.com/globalSearch/TLV5636ID/page-1", "TLV5636ID")</f>
        <v>TLV5636ID</v>
      </c>
      <c r="B7860" s="3" t="s">
        <v>90</v>
      </c>
      <c r="C7860" s="5">
        <v>348</v>
      </c>
      <c r="D7860" s="6">
        <v>16.59</v>
      </c>
      <c r="E7860" t="s">
        <v>29</v>
      </c>
    </row>
    <row r="7861" spans="1:5" x14ac:dyDescent="0.25">
      <c r="A7861" t="str">
        <f>HYPERLINK("https://www.773grp.com/globalSearch/TLV5636IDGK/page-1", "TLV5636IDGK")</f>
        <v>TLV5636IDGK</v>
      </c>
      <c r="B7861" s="3" t="s">
        <v>90</v>
      </c>
      <c r="C7861" s="5">
        <v>3846</v>
      </c>
      <c r="D7861" s="6">
        <v>16.59</v>
      </c>
      <c r="E7861" t="s">
        <v>29</v>
      </c>
    </row>
    <row r="7862" spans="1:5" x14ac:dyDescent="0.25">
      <c r="A7862" t="str">
        <f>HYPERLINK("https://www.773grp.com/globalSearch/PCM1717E/page-1", "PCM1717E")</f>
        <v>PCM1717E</v>
      </c>
      <c r="B7862" s="3" t="s">
        <v>90</v>
      </c>
      <c r="C7862" s="5">
        <v>2686</v>
      </c>
      <c r="D7862" s="6">
        <v>16.71</v>
      </c>
      <c r="E7862" t="s">
        <v>29</v>
      </c>
    </row>
    <row r="7863" spans="1:5" x14ac:dyDescent="0.25">
      <c r="A7863" t="str">
        <f>HYPERLINK("https://www.773grp.com/globalSearch/DAC7631E-1K/page-1", "DAC7631E-1K")</f>
        <v>DAC7631E-1K</v>
      </c>
      <c r="B7863" s="3" t="s">
        <v>90</v>
      </c>
      <c r="C7863" s="5">
        <v>29784</v>
      </c>
      <c r="D7863" s="6">
        <v>16.739999999999998</v>
      </c>
      <c r="E7863" t="s">
        <v>29</v>
      </c>
    </row>
    <row r="7864" spans="1:5" x14ac:dyDescent="0.25">
      <c r="A7864" t="str">
        <f>HYPERLINK("https://www.773grp.com/globalSearch/DAC8832IRGYR/page-1", "DAC8832IRGYR")</f>
        <v>DAC8832IRGYR</v>
      </c>
      <c r="B7864" s="3" t="s">
        <v>90</v>
      </c>
      <c r="C7864" s="5">
        <v>20000</v>
      </c>
      <c r="D7864" s="6">
        <v>16.739999999999998</v>
      </c>
      <c r="E7864" t="s">
        <v>29</v>
      </c>
    </row>
    <row r="7865" spans="1:5" x14ac:dyDescent="0.25">
      <c r="A7865" t="str">
        <f>HYPERLINK("https://www.773grp.com/globalSearch/DAC8164IAPW/page-1", "DAC8164IAPW")</f>
        <v>DAC8164IAPW</v>
      </c>
      <c r="B7865" s="3" t="s">
        <v>90</v>
      </c>
      <c r="C7865" s="5">
        <v>890</v>
      </c>
      <c r="D7865" s="6">
        <v>16.88</v>
      </c>
      <c r="E7865" t="s">
        <v>29</v>
      </c>
    </row>
    <row r="7866" spans="1:5" x14ac:dyDescent="0.25">
      <c r="A7866" t="str">
        <f>HYPERLINK("https://www.773grp.com/globalSearch/DAC8165IAPW/page-1", "DAC8165IAPW")</f>
        <v>DAC8165IAPW</v>
      </c>
      <c r="B7866" s="3" t="s">
        <v>90</v>
      </c>
      <c r="C7866" s="5">
        <v>415</v>
      </c>
      <c r="D7866" s="6">
        <v>16.88</v>
      </c>
      <c r="E7866" t="s">
        <v>29</v>
      </c>
    </row>
    <row r="7867" spans="1:5" x14ac:dyDescent="0.25">
      <c r="A7867" t="str">
        <f>HYPERLINK("https://www.773grp.com/globalSearch/DAC8802IPWR/page-1", "DAC8802IPWR")</f>
        <v>DAC8802IPWR</v>
      </c>
      <c r="B7867" s="3" t="s">
        <v>90</v>
      </c>
      <c r="C7867" s="5">
        <v>10000</v>
      </c>
      <c r="D7867" s="6">
        <v>17.16</v>
      </c>
      <c r="E7867" t="s">
        <v>29</v>
      </c>
    </row>
    <row r="7868" spans="1:5" x14ac:dyDescent="0.25">
      <c r="A7868" t="str">
        <f>HYPERLINK("https://www.773grp.com/globalSearch/DAC8043UC/page-1", "DAC8043UC")</f>
        <v>DAC8043UC</v>
      </c>
      <c r="B7868" s="3" t="s">
        <v>90</v>
      </c>
      <c r="C7868" s="5">
        <v>78</v>
      </c>
      <c r="D7868" s="6">
        <v>17.21</v>
      </c>
      <c r="E7868" t="s">
        <v>29</v>
      </c>
    </row>
    <row r="7869" spans="1:5" x14ac:dyDescent="0.25">
      <c r="A7869" t="str">
        <f>HYPERLINK("https://www.773grp.com/globalSearch/DAC8043UC/page-1", "DAC8043UC")</f>
        <v>DAC8043UC</v>
      </c>
      <c r="B7869" s="3" t="s">
        <v>90</v>
      </c>
      <c r="C7869" s="5">
        <v>8715</v>
      </c>
      <c r="D7869" s="6">
        <v>17.21</v>
      </c>
      <c r="E7869" t="s">
        <v>29</v>
      </c>
    </row>
    <row r="7870" spans="1:5" x14ac:dyDescent="0.25">
      <c r="A7870" t="str">
        <f>HYPERLINK("https://www.773grp.com/globalSearch/DAC8805QDBTR/page-1", "DAC8805QDBTR")</f>
        <v>DAC8805QDBTR</v>
      </c>
      <c r="B7870" s="3" t="s">
        <v>90</v>
      </c>
      <c r="C7870" s="5">
        <v>15870</v>
      </c>
      <c r="D7870" s="6">
        <v>17.3</v>
      </c>
      <c r="E7870" t="s">
        <v>29</v>
      </c>
    </row>
    <row r="7871" spans="1:5" x14ac:dyDescent="0.25">
      <c r="A7871" t="str">
        <f>HYPERLINK("https://www.773grp.com/globalSearch/TLV5618ACD/page-1", "TLV5618ACD")</f>
        <v>TLV5618ACD</v>
      </c>
      <c r="B7871" s="3" t="s">
        <v>90</v>
      </c>
      <c r="C7871" s="5">
        <v>300</v>
      </c>
      <c r="D7871" s="6">
        <v>17.3</v>
      </c>
      <c r="E7871" t="s">
        <v>29</v>
      </c>
    </row>
    <row r="7872" spans="1:5" x14ac:dyDescent="0.25">
      <c r="A7872" t="str">
        <f>HYPERLINK("https://www.773grp.com/globalSearch/DAC900E/page-1", "DAC900E")</f>
        <v>DAC900E</v>
      </c>
      <c r="B7872" s="3" t="s">
        <v>90</v>
      </c>
      <c r="C7872" s="5">
        <v>13450</v>
      </c>
      <c r="D7872" s="6">
        <v>17.350000000000001</v>
      </c>
      <c r="E7872" t="s">
        <v>29</v>
      </c>
    </row>
    <row r="7873" spans="1:5" x14ac:dyDescent="0.25">
      <c r="A7873" t="str">
        <f>HYPERLINK("https://www.773grp.com/globalSearch/DAC900E/page-1", "DAC900E")</f>
        <v>DAC900E</v>
      </c>
      <c r="B7873" s="3" t="s">
        <v>90</v>
      </c>
      <c r="C7873" s="5">
        <v>43</v>
      </c>
      <c r="D7873" s="6">
        <v>17.350000000000001</v>
      </c>
      <c r="E7873" t="s">
        <v>29</v>
      </c>
    </row>
    <row r="7874" spans="1:5" x14ac:dyDescent="0.25">
      <c r="A7874" t="str">
        <f>HYPERLINK("https://www.773grp.com/globalSearch/DAC900EG4/page-1", "DAC900EG4")</f>
        <v>DAC900EG4</v>
      </c>
      <c r="B7874" s="3" t="s">
        <v>90</v>
      </c>
      <c r="C7874" s="5">
        <v>196</v>
      </c>
      <c r="D7874" s="6">
        <v>17.350000000000001</v>
      </c>
      <c r="E7874" t="s">
        <v>29</v>
      </c>
    </row>
    <row r="7875" spans="1:5" x14ac:dyDescent="0.25">
      <c r="A7875" t="str">
        <f>HYPERLINK("https://www.773grp.com/globalSearch/DAC900U/page-1", "DAC900U")</f>
        <v>DAC900U</v>
      </c>
      <c r="B7875" s="3" t="s">
        <v>90</v>
      </c>
      <c r="C7875" s="5">
        <v>355</v>
      </c>
      <c r="D7875" s="6">
        <v>17.350000000000001</v>
      </c>
      <c r="E7875" t="s">
        <v>29</v>
      </c>
    </row>
    <row r="7876" spans="1:5" x14ac:dyDescent="0.25">
      <c r="A7876" t="str">
        <f>HYPERLINK("https://www.773grp.com/globalSearch/DAC7641Y-2K/page-1", "DAC7641Y-2K")</f>
        <v>DAC7641Y-2K</v>
      </c>
      <c r="B7876" s="3" t="s">
        <v>90</v>
      </c>
      <c r="C7876" s="5">
        <v>13000</v>
      </c>
      <c r="D7876" s="6">
        <v>17.73</v>
      </c>
      <c r="E7876" t="s">
        <v>29</v>
      </c>
    </row>
    <row r="7877" spans="1:5" x14ac:dyDescent="0.25">
      <c r="A7877" t="str">
        <f>HYPERLINK("https://www.773grp.com/globalSearch/PCM1602KY/page-1", "PCM1602KY")</f>
        <v>PCM1602KY</v>
      </c>
      <c r="B7877" s="3" t="s">
        <v>90</v>
      </c>
      <c r="C7877" s="5">
        <v>181</v>
      </c>
      <c r="D7877" s="6">
        <v>17.73</v>
      </c>
      <c r="E7877" t="s">
        <v>29</v>
      </c>
    </row>
    <row r="7878" spans="1:5" x14ac:dyDescent="0.25">
      <c r="A7878" t="str">
        <f>HYPERLINK("https://www.773grp.com/globalSearch/PCM1602Y/page-1", "PCM1602Y")</f>
        <v>PCM1602Y</v>
      </c>
      <c r="B7878" s="3" t="s">
        <v>90</v>
      </c>
      <c r="C7878" s="5">
        <v>1721</v>
      </c>
      <c r="D7878" s="6">
        <v>17.73</v>
      </c>
      <c r="E7878" t="s">
        <v>29</v>
      </c>
    </row>
    <row r="7879" spans="1:5" x14ac:dyDescent="0.25">
      <c r="A7879" t="str">
        <f>HYPERLINK("https://www.773grp.com/globalSearch/PCM1608KY/page-1", "PCM1608KY")</f>
        <v>PCM1608KY</v>
      </c>
      <c r="B7879" s="3" t="s">
        <v>90</v>
      </c>
      <c r="C7879" s="5">
        <v>1239</v>
      </c>
      <c r="D7879" s="6">
        <v>17.73</v>
      </c>
      <c r="E7879" t="s">
        <v>29</v>
      </c>
    </row>
    <row r="7880" spans="1:5" x14ac:dyDescent="0.25">
      <c r="A7880" t="str">
        <f>HYPERLINK("https://www.773grp.com/globalSearch/PCM1608Y/page-1", "PCM1608Y")</f>
        <v>PCM1608Y</v>
      </c>
      <c r="B7880" s="3" t="s">
        <v>90</v>
      </c>
      <c r="C7880" s="5">
        <v>466</v>
      </c>
      <c r="D7880" s="6">
        <v>17.73</v>
      </c>
      <c r="E7880" t="s">
        <v>29</v>
      </c>
    </row>
    <row r="7881" spans="1:5" x14ac:dyDescent="0.25">
      <c r="A7881" t="str">
        <f>HYPERLINK("https://www.773grp.com/globalSearch/PCM1737E-2K/page-1", "PCM1737E-2K")</f>
        <v>PCM1737E-2K</v>
      </c>
      <c r="B7881" s="3" t="s">
        <v>90</v>
      </c>
      <c r="C7881" s="5">
        <v>2000</v>
      </c>
      <c r="D7881" s="6">
        <v>17.73</v>
      </c>
      <c r="E7881" t="s">
        <v>29</v>
      </c>
    </row>
    <row r="7882" spans="1:5" x14ac:dyDescent="0.25">
      <c r="A7882" t="str">
        <f>HYPERLINK("https://www.773grp.com/globalSearch/TLV5618AIP/page-1", "TLV5618AIP")</f>
        <v>TLV5618AIP</v>
      </c>
      <c r="B7882" s="3" t="s">
        <v>90</v>
      </c>
      <c r="C7882" s="5">
        <v>37</v>
      </c>
      <c r="D7882" s="6">
        <v>17.73</v>
      </c>
      <c r="E7882" t="s">
        <v>29</v>
      </c>
    </row>
    <row r="7883" spans="1:5" x14ac:dyDescent="0.25">
      <c r="A7883" t="str">
        <f>HYPERLINK("https://www.773grp.com/globalSearch/TLV5618AQDRG4/page-1", "TLV5618AQDRG4")</f>
        <v>TLV5618AQDRG4</v>
      </c>
      <c r="B7883" s="3" t="s">
        <v>90</v>
      </c>
      <c r="C7883" s="5">
        <v>13800</v>
      </c>
      <c r="D7883" s="6">
        <v>17.73</v>
      </c>
      <c r="E7883" t="s">
        <v>29</v>
      </c>
    </row>
    <row r="7884" spans="1:5" x14ac:dyDescent="0.25">
      <c r="A7884" t="str">
        <f>HYPERLINK("https://www.773grp.com/globalSearch/TLV5633IDW/page-1", "TLV5633IDW")</f>
        <v>TLV5633IDW</v>
      </c>
      <c r="B7884" s="3" t="s">
        <v>90</v>
      </c>
      <c r="C7884" s="5">
        <v>1714</v>
      </c>
      <c r="D7884" s="6">
        <v>17.75</v>
      </c>
      <c r="E7884" t="s">
        <v>29</v>
      </c>
    </row>
    <row r="7885" spans="1:5" x14ac:dyDescent="0.25">
      <c r="A7885" t="str">
        <f>HYPERLINK("https://www.773grp.com/globalSearch/TLV5633IPW/page-1", "TLV5633IPW")</f>
        <v>TLV5633IPW</v>
      </c>
      <c r="B7885" s="3" t="s">
        <v>90</v>
      </c>
      <c r="C7885" s="5">
        <v>13627</v>
      </c>
      <c r="D7885" s="6">
        <v>17.75</v>
      </c>
      <c r="E7885" t="s">
        <v>29</v>
      </c>
    </row>
    <row r="7886" spans="1:5" x14ac:dyDescent="0.25">
      <c r="A7886" t="str">
        <f>HYPERLINK("https://www.773grp.com/globalSearch/DAC7578SRGET/page-1", "DAC7578SRGET")</f>
        <v>DAC7578SRGET</v>
      </c>
      <c r="B7886" s="3" t="s">
        <v>90</v>
      </c>
      <c r="C7886" s="5">
        <v>250</v>
      </c>
      <c r="D7886" s="6">
        <v>17.850000000000001</v>
      </c>
      <c r="E7886" t="s">
        <v>29</v>
      </c>
    </row>
    <row r="7887" spans="1:5" x14ac:dyDescent="0.25">
      <c r="A7887" t="str">
        <f>HYPERLINK("https://www.773grp.com/globalSearch/DAC8830IBDR/page-1", "DAC8830IBDR")</f>
        <v>DAC8830IBDR</v>
      </c>
      <c r="B7887" s="3" t="s">
        <v>90</v>
      </c>
      <c r="C7887" s="5">
        <v>1638</v>
      </c>
      <c r="D7887" s="6">
        <v>18</v>
      </c>
      <c r="E7887" t="s">
        <v>29</v>
      </c>
    </row>
    <row r="7888" spans="1:5" x14ac:dyDescent="0.25">
      <c r="A7888" t="str">
        <f>HYPERLINK("https://www.773grp.com/globalSearch/DAC8832IBRGYR/page-1", "DAC8832IBRGYR")</f>
        <v>DAC8832IBRGYR</v>
      </c>
      <c r="B7888" s="3" t="s">
        <v>90</v>
      </c>
      <c r="C7888" s="5">
        <v>6000</v>
      </c>
      <c r="D7888" s="6">
        <v>18</v>
      </c>
      <c r="E7888" t="s">
        <v>29</v>
      </c>
    </row>
    <row r="7889" spans="1:5" x14ac:dyDescent="0.25">
      <c r="A7889" t="str">
        <f>HYPERLINK("https://www.773grp.com/globalSearch/PCM1738E-2K/page-1", "PCM1738E-2K")</f>
        <v>PCM1738E-2K</v>
      </c>
      <c r="B7889" s="3" t="s">
        <v>90</v>
      </c>
      <c r="C7889" s="5">
        <v>2000</v>
      </c>
      <c r="D7889" s="6">
        <v>18.03</v>
      </c>
      <c r="E7889" t="s">
        <v>29</v>
      </c>
    </row>
    <row r="7890" spans="1:5" x14ac:dyDescent="0.25">
      <c r="A7890" t="str">
        <f>HYPERLINK("https://www.773grp.com/globalSearch/DAC8532IDGKG4/page-1", "DAC8532IDGKG4")</f>
        <v>DAC8532IDGKG4</v>
      </c>
      <c r="B7890" s="3" t="s">
        <v>90</v>
      </c>
      <c r="C7890" s="5">
        <v>65</v>
      </c>
      <c r="D7890" s="6">
        <v>18.14</v>
      </c>
      <c r="E7890" t="s">
        <v>29</v>
      </c>
    </row>
    <row r="7891" spans="1:5" x14ac:dyDescent="0.25">
      <c r="A7891" t="str">
        <f>HYPERLINK("https://www.773grp.com/globalSearch/DAC7616E/page-1", "DAC7616E")</f>
        <v>DAC7616E</v>
      </c>
      <c r="B7891" s="3" t="s">
        <v>90</v>
      </c>
      <c r="C7891" s="5">
        <v>6380</v>
      </c>
      <c r="D7891" s="6">
        <v>18.28</v>
      </c>
      <c r="E7891" t="s">
        <v>29</v>
      </c>
    </row>
    <row r="7892" spans="1:5" x14ac:dyDescent="0.25">
      <c r="A7892" t="str">
        <f>HYPERLINK("https://www.773grp.com/globalSearch/DAC7617E/page-1", "DAC7617E")</f>
        <v>DAC7617E</v>
      </c>
      <c r="B7892" s="3" t="s">
        <v>90</v>
      </c>
      <c r="C7892" s="5">
        <v>9904</v>
      </c>
      <c r="D7892" s="6">
        <v>18.28</v>
      </c>
      <c r="E7892" t="s">
        <v>29</v>
      </c>
    </row>
    <row r="7893" spans="1:5" x14ac:dyDescent="0.25">
      <c r="A7893" t="str">
        <f>HYPERLINK("https://www.773grp.com/globalSearch/DAC8832ICRGYR/page-1", "DAC8832ICRGYR")</f>
        <v>DAC8832ICRGYR</v>
      </c>
      <c r="B7893" s="3" t="s">
        <v>90</v>
      </c>
      <c r="C7893" s="5">
        <v>40000</v>
      </c>
      <c r="D7893" s="6">
        <v>18.43</v>
      </c>
      <c r="E7893" t="s">
        <v>29</v>
      </c>
    </row>
    <row r="7894" spans="1:5" x14ac:dyDescent="0.25">
      <c r="A7894" t="str">
        <f>HYPERLINK("https://www.773grp.com/globalSearch/TLV5618AID/page-1", "TLV5618AID")</f>
        <v>TLV5618AID</v>
      </c>
      <c r="B7894" s="3" t="s">
        <v>90</v>
      </c>
      <c r="C7894" s="5">
        <v>4</v>
      </c>
      <c r="D7894" s="6">
        <v>18.43</v>
      </c>
      <c r="E7894" t="s">
        <v>29</v>
      </c>
    </row>
    <row r="7895" spans="1:5" x14ac:dyDescent="0.25">
      <c r="A7895" t="str">
        <f>HYPERLINK("https://www.773grp.com/globalSearch/DAC7578SPW/page-1", "DAC7578SPW")</f>
        <v>DAC7578SPW</v>
      </c>
      <c r="B7895" s="3" t="s">
        <v>90</v>
      </c>
      <c r="C7895" s="5">
        <v>7593</v>
      </c>
      <c r="D7895" s="6">
        <v>18.559999999999999</v>
      </c>
      <c r="E7895" t="s">
        <v>29</v>
      </c>
    </row>
    <row r="7896" spans="1:5" x14ac:dyDescent="0.25">
      <c r="A7896" t="str">
        <f>HYPERLINK("https://www.773grp.com/globalSearch/DAC8806IDB/page-1", "DAC8806IDB")</f>
        <v>DAC8806IDB</v>
      </c>
      <c r="B7896" s="3" t="s">
        <v>90</v>
      </c>
      <c r="C7896" s="5">
        <v>7202</v>
      </c>
      <c r="D7896" s="6">
        <v>18.559999999999999</v>
      </c>
      <c r="E7896" t="s">
        <v>29</v>
      </c>
    </row>
    <row r="7897" spans="1:5" x14ac:dyDescent="0.25">
      <c r="A7897" t="str">
        <f>HYPERLINK("https://www.773grp.com/globalSearch/DAC902E-2K5/page-1", "DAC902E-2K5")</f>
        <v>DAC902E-2K5</v>
      </c>
      <c r="B7897" s="3" t="s">
        <v>90</v>
      </c>
      <c r="C7897" s="5">
        <v>12500</v>
      </c>
      <c r="D7897" s="6">
        <v>18.559999999999999</v>
      </c>
      <c r="E7897" t="s">
        <v>29</v>
      </c>
    </row>
    <row r="7898" spans="1:5" x14ac:dyDescent="0.25">
      <c r="A7898" t="str">
        <f>HYPERLINK("https://www.773grp.com/globalSearch/DAC902U-1K/page-1", "DAC902U-1K")</f>
        <v>DAC902U-1K</v>
      </c>
      <c r="B7898" s="3" t="s">
        <v>90</v>
      </c>
      <c r="C7898" s="5">
        <v>5299</v>
      </c>
      <c r="D7898" s="6">
        <v>18.559999999999999</v>
      </c>
      <c r="E7898" t="s">
        <v>29</v>
      </c>
    </row>
    <row r="7899" spans="1:5" x14ac:dyDescent="0.25">
      <c r="A7899" t="str">
        <f>HYPERLINK("https://www.773grp.com/globalSearch/THS5661AIDWR/page-1", "THS5661AIDWR")</f>
        <v>THS5661AIDWR</v>
      </c>
      <c r="B7899" s="3" t="s">
        <v>90</v>
      </c>
      <c r="C7899" s="5">
        <v>51000</v>
      </c>
      <c r="D7899" s="6">
        <v>18.559999999999999</v>
      </c>
      <c r="E7899" t="s">
        <v>29</v>
      </c>
    </row>
    <row r="7900" spans="1:5" x14ac:dyDescent="0.25">
      <c r="A7900" t="str">
        <f>HYPERLINK("https://www.773grp.com/globalSearch/THS8134CPHP/page-1", "THS8134CPHP")</f>
        <v>THS8134CPHP</v>
      </c>
      <c r="B7900" s="3" t="s">
        <v>90</v>
      </c>
      <c r="C7900" s="5">
        <v>19211</v>
      </c>
      <c r="D7900" s="6">
        <v>18.68</v>
      </c>
      <c r="E7900" t="s">
        <v>29</v>
      </c>
    </row>
    <row r="7901" spans="1:5" x14ac:dyDescent="0.25">
      <c r="A7901" t="str">
        <f>HYPERLINK("https://www.773grp.com/globalSearch/DAC8831IBDR/page-1", "DAC8831IBDR")</f>
        <v>DAC8831IBDR</v>
      </c>
      <c r="B7901" s="3" t="s">
        <v>90</v>
      </c>
      <c r="C7901" s="5">
        <v>2380</v>
      </c>
      <c r="D7901" s="6">
        <v>18.809999999999999</v>
      </c>
      <c r="E7901" t="s">
        <v>29</v>
      </c>
    </row>
    <row r="7902" spans="1:5" x14ac:dyDescent="0.25">
      <c r="A7902" t="str">
        <f>HYPERLINK("https://www.773grp.com/globalSearch/DAC7615U-1K/page-1", "DAC7615U-1K")</f>
        <v>DAC7615U-1K</v>
      </c>
      <c r="B7902" s="3" t="s">
        <v>90</v>
      </c>
      <c r="C7902" s="5">
        <v>14000</v>
      </c>
      <c r="D7902" s="6">
        <v>18.850000000000001</v>
      </c>
      <c r="E7902" t="s">
        <v>29</v>
      </c>
    </row>
    <row r="7903" spans="1:5" x14ac:dyDescent="0.25">
      <c r="A7903" t="str">
        <f>HYPERLINK("https://www.773grp.com/globalSearch/DSD1608PAHR/page-1", "DSD1608PAHR")</f>
        <v>DSD1608PAHR</v>
      </c>
      <c r="B7903" s="3" t="s">
        <v>90</v>
      </c>
      <c r="C7903" s="5">
        <v>7450</v>
      </c>
      <c r="D7903" s="6">
        <v>18.850000000000001</v>
      </c>
      <c r="E7903" t="s">
        <v>29</v>
      </c>
    </row>
    <row r="7904" spans="1:5" x14ac:dyDescent="0.25">
      <c r="A7904" t="str">
        <f>HYPERLINK("https://www.773grp.com/globalSearch/TLV5631IDW/page-1", "TLV5631IDW")</f>
        <v>TLV5631IDW</v>
      </c>
      <c r="B7904" s="3" t="s">
        <v>90</v>
      </c>
      <c r="C7904" s="5">
        <v>90</v>
      </c>
      <c r="D7904" s="6">
        <v>18.899999999999999</v>
      </c>
      <c r="E7904" t="s">
        <v>29</v>
      </c>
    </row>
    <row r="7905" spans="1:5" x14ac:dyDescent="0.25">
      <c r="A7905" t="str">
        <f>HYPERLINK("https://www.773grp.com/globalSearch/TLV5638QDREP/page-1", "TLV5638QDREP")</f>
        <v>TLV5638QDREP</v>
      </c>
      <c r="B7905" s="3" t="s">
        <v>90</v>
      </c>
      <c r="C7905" s="5">
        <v>1267</v>
      </c>
      <c r="D7905" s="6">
        <v>19.13</v>
      </c>
      <c r="E7905" t="s">
        <v>29</v>
      </c>
    </row>
    <row r="7906" spans="1:5" x14ac:dyDescent="0.25">
      <c r="A7906" t="str">
        <f>HYPERLINK("https://www.773grp.com/globalSearch/DAC8832IRGYT/page-1", "DAC8832IRGYT")</f>
        <v>DAC8832IRGYT</v>
      </c>
      <c r="B7906" s="3" t="s">
        <v>90</v>
      </c>
      <c r="C7906" s="5">
        <v>312</v>
      </c>
      <c r="D7906" s="6">
        <v>19.28</v>
      </c>
      <c r="E7906" t="s">
        <v>29</v>
      </c>
    </row>
    <row r="7907" spans="1:5" x14ac:dyDescent="0.25">
      <c r="A7907" t="str">
        <f>HYPERLINK("https://www.773grp.com/globalSearch/DAC8831ICRGYR/page-1", "DAC8831ICRGYR")</f>
        <v>DAC8831ICRGYR</v>
      </c>
      <c r="B7907" s="3" t="s">
        <v>90</v>
      </c>
      <c r="C7907" s="5">
        <v>37712</v>
      </c>
      <c r="D7907" s="6">
        <v>19.350000000000001</v>
      </c>
      <c r="E7907" t="s">
        <v>29</v>
      </c>
    </row>
    <row r="7908" spans="1:5" x14ac:dyDescent="0.25">
      <c r="A7908" t="str">
        <f>HYPERLINK("https://www.773grp.com/globalSearch/DAC7616EB/page-1", "DAC7616EB")</f>
        <v>DAC7616EB</v>
      </c>
      <c r="B7908" s="3" t="s">
        <v>90</v>
      </c>
      <c r="C7908" s="5">
        <v>20353</v>
      </c>
      <c r="D7908" s="6">
        <v>19.41</v>
      </c>
      <c r="E7908" t="s">
        <v>29</v>
      </c>
    </row>
    <row r="7909" spans="1:5" x14ac:dyDescent="0.25">
      <c r="A7909" t="str">
        <f>HYPERLINK("https://www.773grp.com/globalSearch/DAC7617EB/page-1", "DAC7617EB")</f>
        <v>DAC7617EB</v>
      </c>
      <c r="B7909" s="3" t="s">
        <v>90</v>
      </c>
      <c r="C7909" s="5">
        <v>2140</v>
      </c>
      <c r="D7909" s="6">
        <v>19.41</v>
      </c>
      <c r="E7909" t="s">
        <v>29</v>
      </c>
    </row>
    <row r="7910" spans="1:5" x14ac:dyDescent="0.25">
      <c r="A7910" t="str">
        <f>HYPERLINK("https://www.773grp.com/globalSearch/DAC7617UB/page-1", "DAC7617UB")</f>
        <v>DAC7617UB</v>
      </c>
      <c r="B7910" s="3" t="s">
        <v>90</v>
      </c>
      <c r="C7910" s="5">
        <v>340</v>
      </c>
      <c r="D7910" s="6">
        <v>19.41</v>
      </c>
      <c r="E7910" t="s">
        <v>29</v>
      </c>
    </row>
    <row r="7911" spans="1:5" x14ac:dyDescent="0.25">
      <c r="A7911" t="str">
        <f>HYPERLINK("https://www.773grp.com/globalSearch/DAC1221E/page-1", "DAC1221E")</f>
        <v>DAC1221E</v>
      </c>
      <c r="B7911" s="3" t="s">
        <v>90</v>
      </c>
      <c r="C7911" s="5">
        <v>150</v>
      </c>
      <c r="D7911" s="6">
        <v>19.489999999999998</v>
      </c>
      <c r="E7911" t="s">
        <v>29</v>
      </c>
    </row>
    <row r="7912" spans="1:5" x14ac:dyDescent="0.25">
      <c r="A7912" t="str">
        <f>HYPERLINK("https://www.773grp.com/globalSearch/DAC1221E/page-1", "DAC1221E")</f>
        <v>DAC1221E</v>
      </c>
      <c r="B7912" s="3" t="s">
        <v>90</v>
      </c>
      <c r="C7912" s="5">
        <v>24145</v>
      </c>
      <c r="D7912" s="6">
        <v>19.489999999999998</v>
      </c>
      <c r="E7912" t="s">
        <v>29</v>
      </c>
    </row>
    <row r="7913" spans="1:5" x14ac:dyDescent="0.25">
      <c r="A7913" t="str">
        <f>HYPERLINK("https://www.773grp.com/globalSearch/DAC8554IPW/page-1", "DAC8554IPW")</f>
        <v>DAC8554IPW</v>
      </c>
      <c r="B7913" s="3" t="s">
        <v>90</v>
      </c>
      <c r="C7913" s="5">
        <v>720</v>
      </c>
      <c r="D7913" s="6">
        <v>19.53</v>
      </c>
      <c r="E7913" t="s">
        <v>29</v>
      </c>
    </row>
    <row r="7914" spans="1:5" x14ac:dyDescent="0.25">
      <c r="A7914" t="str">
        <f>HYPERLINK("https://www.773grp.com/globalSearch/PCM1604Y/page-1", "PCM1604Y")</f>
        <v>PCM1604Y</v>
      </c>
      <c r="B7914" s="3" t="s">
        <v>90</v>
      </c>
      <c r="C7914" s="5">
        <v>4625</v>
      </c>
      <c r="D7914" s="6">
        <v>19.53</v>
      </c>
      <c r="E7914" t="s">
        <v>29</v>
      </c>
    </row>
    <row r="7915" spans="1:5" x14ac:dyDescent="0.25">
      <c r="A7915" t="str">
        <f>HYPERLINK("https://www.773grp.com/globalSearch/THS5661IDW/page-1", "THS5661IDW")</f>
        <v>THS5661IDW</v>
      </c>
      <c r="B7915" s="3" t="s">
        <v>90</v>
      </c>
      <c r="C7915" s="5">
        <v>1120</v>
      </c>
      <c r="D7915" s="6">
        <v>19.53</v>
      </c>
      <c r="E7915" t="s">
        <v>29</v>
      </c>
    </row>
    <row r="7916" spans="1:5" x14ac:dyDescent="0.25">
      <c r="A7916" t="str">
        <f>HYPERLINK("https://www.773grp.com/globalSearch/THS5661IPW/page-1", "THS5661IPW")</f>
        <v>THS5661IPW</v>
      </c>
      <c r="B7916" s="3" t="s">
        <v>90</v>
      </c>
      <c r="C7916" s="5">
        <v>1151</v>
      </c>
      <c r="D7916" s="6">
        <v>19.53</v>
      </c>
      <c r="E7916" t="s">
        <v>29</v>
      </c>
    </row>
    <row r="7917" spans="1:5" x14ac:dyDescent="0.25">
      <c r="A7917" t="str">
        <f>HYPERLINK("https://www.773grp.com/globalSearch/DAC8564ICPWR/page-1", "DAC8564ICPWR")</f>
        <v>DAC8564ICPWR</v>
      </c>
      <c r="B7917" s="3" t="s">
        <v>90</v>
      </c>
      <c r="C7917" s="5">
        <v>5750</v>
      </c>
      <c r="D7917" s="6">
        <v>19.54</v>
      </c>
      <c r="E7917" t="s">
        <v>29</v>
      </c>
    </row>
    <row r="7918" spans="1:5" x14ac:dyDescent="0.25">
      <c r="A7918" t="str">
        <f>HYPERLINK("https://www.773grp.com/globalSearch/DAC8164ICPW/page-1", "DAC8164ICPW")</f>
        <v>DAC8164ICPW</v>
      </c>
      <c r="B7918" s="3" t="s">
        <v>90</v>
      </c>
      <c r="C7918" s="5">
        <v>3085</v>
      </c>
      <c r="D7918" s="6">
        <v>19.690000000000001</v>
      </c>
      <c r="E7918" t="s">
        <v>29</v>
      </c>
    </row>
    <row r="7919" spans="1:5" x14ac:dyDescent="0.25">
      <c r="A7919" t="str">
        <f>HYPERLINK("https://www.773grp.com/globalSearch/DAC8165ICPW/page-1", "DAC8165ICPW")</f>
        <v>DAC8165ICPW</v>
      </c>
      <c r="B7919" s="3" t="s">
        <v>90</v>
      </c>
      <c r="C7919" s="5">
        <v>3085</v>
      </c>
      <c r="D7919" s="6">
        <v>19.690000000000001</v>
      </c>
      <c r="E7919" t="s">
        <v>29</v>
      </c>
    </row>
    <row r="7920" spans="1:5" x14ac:dyDescent="0.25">
      <c r="A7920" t="str">
        <f>HYPERLINK("https://www.773grp.com/globalSearch/TLV5614IYER/page-1", "TLV5614IYER")</f>
        <v>TLV5614IYER</v>
      </c>
      <c r="B7920" s="3" t="s">
        <v>90</v>
      </c>
      <c r="C7920" s="5">
        <v>3403</v>
      </c>
      <c r="D7920" s="6">
        <v>19.690000000000001</v>
      </c>
      <c r="E7920" t="s">
        <v>29</v>
      </c>
    </row>
    <row r="7921" spans="1:5" x14ac:dyDescent="0.25">
      <c r="A7921" t="str">
        <f>HYPERLINK("https://www.773grp.com/globalSearch/PCM1794ADBR/page-1", "PCM1794ADBR")</f>
        <v>PCM1794ADBR</v>
      </c>
      <c r="B7921" s="3" t="s">
        <v>90</v>
      </c>
      <c r="C7921" s="5">
        <v>1438</v>
      </c>
      <c r="D7921" s="6">
        <v>19.91</v>
      </c>
      <c r="E7921" t="s">
        <v>29</v>
      </c>
    </row>
    <row r="7922" spans="1:5" x14ac:dyDescent="0.25">
      <c r="A7922" t="str">
        <f>HYPERLINK("https://www.773grp.com/globalSearch/TLV5633CPW/page-1", "TLV5633CPW")</f>
        <v>TLV5633CPW</v>
      </c>
      <c r="B7922" s="3" t="s">
        <v>90</v>
      </c>
      <c r="C7922" s="5">
        <v>2380</v>
      </c>
      <c r="D7922" s="6">
        <v>20.05</v>
      </c>
      <c r="E7922" t="s">
        <v>29</v>
      </c>
    </row>
    <row r="7923" spans="1:5" x14ac:dyDescent="0.25">
      <c r="A7923" t="str">
        <f>HYPERLINK("https://www.773grp.com/globalSearch/DAC7631E/page-1", "DAC7631E")</f>
        <v>DAC7631E</v>
      </c>
      <c r="B7923" s="3" t="s">
        <v>90</v>
      </c>
      <c r="C7923" s="5">
        <v>2138</v>
      </c>
      <c r="D7923" s="6">
        <v>20.11</v>
      </c>
      <c r="E7923" t="s">
        <v>29</v>
      </c>
    </row>
    <row r="7924" spans="1:5" x14ac:dyDescent="0.25">
      <c r="A7924" t="str">
        <f>HYPERLINK("https://www.773grp.com/globalSearch/DAC7631EG4/page-1", "DAC7631EG4")</f>
        <v>DAC7631EG4</v>
      </c>
      <c r="B7924" s="3" t="s">
        <v>90</v>
      </c>
      <c r="C7924" s="5">
        <v>2</v>
      </c>
      <c r="D7924" s="6">
        <v>20.11</v>
      </c>
      <c r="E7924" t="s">
        <v>29</v>
      </c>
    </row>
    <row r="7925" spans="1:5" x14ac:dyDescent="0.25">
      <c r="A7925" t="str">
        <f>HYPERLINK("https://www.773grp.com/globalSearch/DAC8564IAPW/page-1", "DAC8564IAPW")</f>
        <v>DAC8564IAPW</v>
      </c>
      <c r="B7925" s="3" t="s">
        <v>90</v>
      </c>
      <c r="C7925" s="5">
        <v>390</v>
      </c>
      <c r="D7925" s="6">
        <v>20.11</v>
      </c>
      <c r="E7925" t="s">
        <v>29</v>
      </c>
    </row>
    <row r="7926" spans="1:5" x14ac:dyDescent="0.25">
      <c r="A7926" t="str">
        <f>HYPERLINK("https://www.773grp.com/globalSearch/DAC8565IAPW/page-1", "DAC8565IAPW")</f>
        <v>DAC8565IAPW</v>
      </c>
      <c r="B7926" s="3" t="s">
        <v>90</v>
      </c>
      <c r="C7926" s="5">
        <v>113</v>
      </c>
      <c r="D7926" s="6">
        <v>20.11</v>
      </c>
      <c r="E7926" t="s">
        <v>29</v>
      </c>
    </row>
    <row r="7927" spans="1:5" x14ac:dyDescent="0.25">
      <c r="A7927" t="str">
        <f>HYPERLINK("https://www.773grp.com/globalSearch/DAC8831IRGYT/page-1", "DAC8831IRGYT")</f>
        <v>DAC8831IRGYT</v>
      </c>
      <c r="B7927" s="3" t="s">
        <v>90</v>
      </c>
      <c r="C7927" s="5">
        <v>1347</v>
      </c>
      <c r="D7927" s="6">
        <v>20.21</v>
      </c>
      <c r="E7927" t="s">
        <v>29</v>
      </c>
    </row>
    <row r="7928" spans="1:5" x14ac:dyDescent="0.25">
      <c r="A7928" t="str">
        <f>HYPERLINK("https://www.773grp.com/globalSearch/DAC7614UB-1K/page-1", "DAC7614UB-1K")</f>
        <v>DAC7614UB-1K</v>
      </c>
      <c r="B7928" s="3" t="s">
        <v>90</v>
      </c>
      <c r="C7928" s="5">
        <v>10800</v>
      </c>
      <c r="D7928" s="6">
        <v>20.25</v>
      </c>
      <c r="E7928" t="s">
        <v>29</v>
      </c>
    </row>
    <row r="7929" spans="1:5" x14ac:dyDescent="0.25">
      <c r="A7929" t="str">
        <f>HYPERLINK("https://www.773grp.com/globalSearch/DAC7678SPW/page-1", "DAC7678SPW")</f>
        <v>DAC7678SPW</v>
      </c>
      <c r="B7929" s="3" t="s">
        <v>90</v>
      </c>
      <c r="C7929" s="5">
        <v>928</v>
      </c>
      <c r="D7929" s="6">
        <v>20.25</v>
      </c>
      <c r="E7929" t="s">
        <v>29</v>
      </c>
    </row>
    <row r="7930" spans="1:5" x14ac:dyDescent="0.25">
      <c r="A7930" t="str">
        <f>HYPERLINK("https://www.773grp.com/globalSearch/DAC8832IBRGYT/page-1", "DAC8832IBRGYT")</f>
        <v>DAC8832IBRGYT</v>
      </c>
      <c r="B7930" s="3" t="s">
        <v>90</v>
      </c>
      <c r="C7930" s="5">
        <v>750</v>
      </c>
      <c r="D7930" s="6">
        <v>20.54</v>
      </c>
      <c r="E7930" t="s">
        <v>29</v>
      </c>
    </row>
    <row r="7931" spans="1:5" x14ac:dyDescent="0.25">
      <c r="A7931" t="str">
        <f>HYPERLINK("https://www.773grp.com/globalSearch/PCM1710U/page-1", "PCM1710U")</f>
        <v>PCM1710U</v>
      </c>
      <c r="B7931" s="3" t="s">
        <v>90</v>
      </c>
      <c r="C7931" s="5">
        <v>33</v>
      </c>
      <c r="D7931" s="6">
        <v>20.54</v>
      </c>
      <c r="E7931" t="s">
        <v>29</v>
      </c>
    </row>
    <row r="7932" spans="1:5" x14ac:dyDescent="0.25">
      <c r="A7932" t="str">
        <f>HYPERLINK("https://www.773grp.com/globalSearch/TLV5618AQD/page-1", "TLV5618AQD")</f>
        <v>TLV5618AQD</v>
      </c>
      <c r="B7932" s="3" t="s">
        <v>90</v>
      </c>
      <c r="C7932" s="5">
        <v>13150</v>
      </c>
      <c r="D7932" s="6">
        <v>20.64</v>
      </c>
      <c r="E7932" t="s">
        <v>29</v>
      </c>
    </row>
    <row r="7933" spans="1:5" x14ac:dyDescent="0.25">
      <c r="A7933" t="str">
        <f>HYPERLINK("https://www.773grp.com/globalSearch/TLV5618AQDG4/page-1", "TLV5618AQDG4")</f>
        <v>TLV5618AQDG4</v>
      </c>
      <c r="B7933" s="3" t="s">
        <v>90</v>
      </c>
      <c r="C7933" s="5">
        <v>9388</v>
      </c>
      <c r="D7933" s="6">
        <v>20.64</v>
      </c>
      <c r="E7933" t="s">
        <v>29</v>
      </c>
    </row>
    <row r="7934" spans="1:5" x14ac:dyDescent="0.25">
      <c r="A7934" t="str">
        <f>HYPERLINK("https://www.773grp.com/globalSearch/DAC7641YB-2K/page-1", "DAC7641YB-2K")</f>
        <v>DAC7641YB-2K</v>
      </c>
      <c r="B7934" s="3" t="s">
        <v>90</v>
      </c>
      <c r="C7934" s="5">
        <v>5988</v>
      </c>
      <c r="D7934" s="6">
        <v>20.68</v>
      </c>
      <c r="E7934" t="s">
        <v>29</v>
      </c>
    </row>
    <row r="7935" spans="1:5" x14ac:dyDescent="0.25">
      <c r="A7935" t="str">
        <f>HYPERLINK("https://www.773grp.com/globalSearch/DAC8802IPW/page-1", "DAC8802IPW")</f>
        <v>DAC8802IPW</v>
      </c>
      <c r="B7935" s="3" t="s">
        <v>90</v>
      </c>
      <c r="C7935" s="5">
        <v>1276</v>
      </c>
      <c r="D7935" s="6">
        <v>20.68</v>
      </c>
      <c r="E7935" t="s">
        <v>29</v>
      </c>
    </row>
    <row r="7936" spans="1:5" x14ac:dyDescent="0.25">
      <c r="A7936" t="str">
        <f>HYPERLINK("https://www.773grp.com/globalSearch/DAC8805QDBT/page-1", "DAC8805QDBT")</f>
        <v>DAC8805QDBT</v>
      </c>
      <c r="B7936" s="3" t="s">
        <v>90</v>
      </c>
      <c r="C7936" s="5">
        <v>16181</v>
      </c>
      <c r="D7936" s="6">
        <v>20.68</v>
      </c>
      <c r="E7936" t="s">
        <v>29</v>
      </c>
    </row>
    <row r="7937" spans="1:5" x14ac:dyDescent="0.25">
      <c r="A7937" t="str">
        <f>HYPERLINK("https://www.773grp.com/globalSearch/PCM1600Y/page-1", "PCM1600Y")</f>
        <v>PCM1600Y</v>
      </c>
      <c r="B7937" s="3" t="s">
        <v>90</v>
      </c>
      <c r="C7937" s="5">
        <v>624</v>
      </c>
      <c r="D7937" s="6">
        <v>20.81</v>
      </c>
      <c r="E7937" t="s">
        <v>29</v>
      </c>
    </row>
    <row r="7938" spans="1:5" x14ac:dyDescent="0.25">
      <c r="A7938" t="str">
        <f>HYPERLINK("https://www.773grp.com/globalSearch/TLV5618AMDREP/page-1", "TLV5618AMDREP")</f>
        <v>TLV5618AMDREP</v>
      </c>
      <c r="B7938" s="3" t="s">
        <v>90</v>
      </c>
      <c r="C7938" s="5">
        <v>8053</v>
      </c>
      <c r="D7938" s="6">
        <v>20.81</v>
      </c>
      <c r="E7938" t="s">
        <v>29</v>
      </c>
    </row>
    <row r="7939" spans="1:5" x14ac:dyDescent="0.25">
      <c r="A7939" t="str">
        <f>HYPERLINK("https://www.773grp.com/globalSearch/DAC8832ICRGYT/page-1", "DAC8832ICRGYT")</f>
        <v>DAC8832ICRGYT</v>
      </c>
      <c r="B7939" s="3" t="s">
        <v>90</v>
      </c>
      <c r="C7939" s="5">
        <v>4685</v>
      </c>
      <c r="D7939" s="6">
        <v>20.96</v>
      </c>
      <c r="E7939" t="s">
        <v>29</v>
      </c>
    </row>
    <row r="7940" spans="1:5" x14ac:dyDescent="0.25">
      <c r="A7940" t="str">
        <f>HYPERLINK("https://www.773grp.com/globalSearch/THS5671AIPWR/page-1", "THS5671AIPWR")</f>
        <v>THS5671AIPWR</v>
      </c>
      <c r="B7940" s="3" t="s">
        <v>90</v>
      </c>
      <c r="C7940" s="5">
        <v>4000</v>
      </c>
      <c r="D7940" s="6">
        <v>20.96</v>
      </c>
      <c r="E7940" t="s">
        <v>29</v>
      </c>
    </row>
    <row r="7941" spans="1:5" x14ac:dyDescent="0.25">
      <c r="A7941" t="str">
        <f>HYPERLINK("https://www.773grp.com/globalSearch/TLV5614CDR/page-1", "TLV5614CDR")</f>
        <v>TLV5614CDR</v>
      </c>
      <c r="B7941" s="3" t="s">
        <v>90</v>
      </c>
      <c r="C7941" s="5">
        <v>3580</v>
      </c>
      <c r="D7941" s="6">
        <v>20.96</v>
      </c>
      <c r="E7941" t="s">
        <v>29</v>
      </c>
    </row>
    <row r="7942" spans="1:5" x14ac:dyDescent="0.25">
      <c r="A7942" t="str">
        <f>HYPERLINK("https://www.773grp.com/globalSearch/DAC8831ID/page-1", "DAC8831ID")</f>
        <v>DAC8831ID</v>
      </c>
      <c r="B7942" s="3" t="s">
        <v>90</v>
      </c>
      <c r="C7942" s="5">
        <v>1</v>
      </c>
      <c r="D7942" s="6">
        <v>21.1</v>
      </c>
      <c r="E7942" t="s">
        <v>29</v>
      </c>
    </row>
    <row r="7943" spans="1:5" x14ac:dyDescent="0.25">
      <c r="A7943" t="str">
        <f>HYPERLINK("https://www.773grp.com/globalSearch/PCM1737E/page-1", "PCM1737E")</f>
        <v>PCM1737E</v>
      </c>
      <c r="B7943" s="3" t="s">
        <v>90</v>
      </c>
      <c r="C7943" s="5">
        <v>3458</v>
      </c>
      <c r="D7943" s="6">
        <v>21.26</v>
      </c>
      <c r="E7943" t="s">
        <v>29</v>
      </c>
    </row>
    <row r="7944" spans="1:5" x14ac:dyDescent="0.25">
      <c r="A7944" t="str">
        <f>HYPERLINK("https://www.773grp.com/globalSearch/DAC8830IBD/page-1", "DAC8830IBD")</f>
        <v>DAC8830IBD</v>
      </c>
      <c r="B7944" s="3" t="s">
        <v>90</v>
      </c>
      <c r="C7944" s="5">
        <v>75</v>
      </c>
      <c r="D7944" s="6">
        <v>21.38</v>
      </c>
      <c r="E7944" t="s">
        <v>29</v>
      </c>
    </row>
    <row r="7945" spans="1:5" x14ac:dyDescent="0.25">
      <c r="A7945" t="str">
        <f>HYPERLINK("https://www.773grp.com/globalSearch/DAC8831IBRGYT/page-1", "DAC8831IBRGYT")</f>
        <v>DAC8831IBRGYT</v>
      </c>
      <c r="B7945" s="3" t="s">
        <v>90</v>
      </c>
      <c r="C7945" s="5">
        <v>500</v>
      </c>
      <c r="D7945" s="6">
        <v>21.46</v>
      </c>
      <c r="E7945" t="s">
        <v>29</v>
      </c>
    </row>
    <row r="7946" spans="1:5" x14ac:dyDescent="0.25">
      <c r="A7946" t="str">
        <f>HYPERLINK("https://www.773grp.com/globalSearch/DAC7573IPWR/page-1", "DAC7573IPWR")</f>
        <v>DAC7573IPWR</v>
      </c>
      <c r="B7946" s="3" t="s">
        <v>90</v>
      </c>
      <c r="C7946" s="5">
        <v>5975</v>
      </c>
      <c r="D7946" s="6">
        <v>21.51</v>
      </c>
      <c r="E7946" t="s">
        <v>29</v>
      </c>
    </row>
    <row r="7947" spans="1:5" x14ac:dyDescent="0.25">
      <c r="A7947" t="str">
        <f>HYPERLINK("https://www.773grp.com/globalSearch/PCM1718E/page-1", "PCM1718E")</f>
        <v>PCM1718E</v>
      </c>
      <c r="B7947" s="3" t="s">
        <v>90</v>
      </c>
      <c r="C7947" s="5">
        <v>1247</v>
      </c>
      <c r="D7947" s="6">
        <v>21.55</v>
      </c>
      <c r="E7947" t="s">
        <v>29</v>
      </c>
    </row>
    <row r="7948" spans="1:5" x14ac:dyDescent="0.25">
      <c r="A7948" t="str">
        <f>HYPERLINK("https://www.773grp.com/globalSearch/PCM1718E/page-1", "PCM1718E")</f>
        <v>PCM1718E</v>
      </c>
      <c r="B7948" s="3" t="s">
        <v>90</v>
      </c>
      <c r="C7948" s="5">
        <v>327</v>
      </c>
      <c r="D7948" s="6">
        <v>21.55</v>
      </c>
      <c r="E7948" t="s">
        <v>29</v>
      </c>
    </row>
    <row r="7949" spans="1:5" x14ac:dyDescent="0.25">
      <c r="A7949" t="str">
        <f>HYPERLINK("https://www.773grp.com/globalSearch/PCM1738E/page-1", "PCM1738E")</f>
        <v>PCM1738E</v>
      </c>
      <c r="B7949" s="3" t="s">
        <v>90</v>
      </c>
      <c r="C7949" s="5">
        <v>1717</v>
      </c>
      <c r="D7949" s="6">
        <v>21.64</v>
      </c>
      <c r="E7949" t="s">
        <v>29</v>
      </c>
    </row>
    <row r="7950" spans="1:5" x14ac:dyDescent="0.25">
      <c r="A7950" t="str">
        <f>HYPERLINK("https://www.773grp.com/globalSearch/DAC7568IAPWR/page-1", "DAC7568IAPWR")</f>
        <v>DAC7568IAPWR</v>
      </c>
      <c r="B7950" s="3" t="s">
        <v>90</v>
      </c>
      <c r="C7950" s="5">
        <v>3755</v>
      </c>
      <c r="D7950" s="6">
        <v>21.65</v>
      </c>
      <c r="E7950" t="s">
        <v>29</v>
      </c>
    </row>
    <row r="7951" spans="1:5" x14ac:dyDescent="0.25">
      <c r="A7951" t="str">
        <f>HYPERLINK("https://www.773grp.com/globalSearch/DAC8830ICD/page-1", "DAC8830ICD")</f>
        <v>DAC8830ICD</v>
      </c>
      <c r="B7951" s="3" t="s">
        <v>90</v>
      </c>
      <c r="C7951" s="5">
        <v>41</v>
      </c>
      <c r="D7951" s="6">
        <v>21.8</v>
      </c>
      <c r="E7951" t="s">
        <v>29</v>
      </c>
    </row>
    <row r="7952" spans="1:5" x14ac:dyDescent="0.25">
      <c r="A7952" t="str">
        <f>HYPERLINK("https://www.773grp.com/globalSearch/DAC8831ICRGYT/page-1", "DAC8831ICRGYT")</f>
        <v>DAC8831ICRGYT</v>
      </c>
      <c r="B7952" s="3" t="s">
        <v>90</v>
      </c>
      <c r="C7952" s="5">
        <v>2000</v>
      </c>
      <c r="D7952" s="6">
        <v>21.98</v>
      </c>
      <c r="E7952" t="s">
        <v>29</v>
      </c>
    </row>
    <row r="7953" spans="1:5" x14ac:dyDescent="0.25">
      <c r="A7953" t="str">
        <f>HYPERLINK("https://www.773grp.com/globalSearch/TLV5638MDREP/page-1", "TLV5638MDREP")</f>
        <v>TLV5638MDREP</v>
      </c>
      <c r="B7953" s="3" t="s">
        <v>90</v>
      </c>
      <c r="C7953" s="5">
        <v>5763</v>
      </c>
      <c r="D7953" s="6">
        <v>21.99</v>
      </c>
      <c r="E7953" t="s">
        <v>29</v>
      </c>
    </row>
    <row r="7954" spans="1:5" x14ac:dyDescent="0.25">
      <c r="A7954" t="str">
        <f>HYPERLINK("https://www.773grp.com/globalSearch/DAC902E/page-1", "DAC902E")</f>
        <v>DAC902E</v>
      </c>
      <c r="B7954" s="3" t="s">
        <v>90</v>
      </c>
      <c r="C7954" s="5">
        <v>180</v>
      </c>
      <c r="D7954" s="6">
        <v>22.28</v>
      </c>
      <c r="E7954" t="s">
        <v>29</v>
      </c>
    </row>
    <row r="7955" spans="1:5" x14ac:dyDescent="0.25">
      <c r="A7955" t="str">
        <f>HYPERLINK("https://www.773grp.com/globalSearch/DAC902U/page-1", "DAC902U")</f>
        <v>DAC902U</v>
      </c>
      <c r="B7955" s="3" t="s">
        <v>90</v>
      </c>
      <c r="C7955" s="5">
        <v>7</v>
      </c>
      <c r="D7955" s="6">
        <v>22.28</v>
      </c>
      <c r="E7955" t="s">
        <v>29</v>
      </c>
    </row>
    <row r="7956" spans="1:5" x14ac:dyDescent="0.25">
      <c r="A7956" t="str">
        <f>HYPERLINK("https://www.773grp.com/globalSearch/DAC902U/page-1", "DAC902U")</f>
        <v>DAC902U</v>
      </c>
      <c r="B7956" s="3" t="s">
        <v>90</v>
      </c>
      <c r="C7956" s="5">
        <v>9245</v>
      </c>
      <c r="D7956" s="6">
        <v>22.28</v>
      </c>
      <c r="E7956" t="s">
        <v>29</v>
      </c>
    </row>
    <row r="7957" spans="1:5" x14ac:dyDescent="0.25">
      <c r="A7957" t="str">
        <f>HYPERLINK("https://www.773grp.com/globalSearch/DAC902UG4/page-1", "DAC902UG4")</f>
        <v>DAC902UG4</v>
      </c>
      <c r="B7957" s="3" t="s">
        <v>90</v>
      </c>
      <c r="C7957" s="5">
        <v>4</v>
      </c>
      <c r="D7957" s="6">
        <v>22.28</v>
      </c>
      <c r="E7957" t="s">
        <v>29</v>
      </c>
    </row>
    <row r="7958" spans="1:5" x14ac:dyDescent="0.25">
      <c r="A7958" t="str">
        <f>HYPERLINK("https://www.773grp.com/globalSearch/THS5661AIDW/page-1", "THS5661AIDW")</f>
        <v>THS5661AIDW</v>
      </c>
      <c r="B7958" s="3" t="s">
        <v>90</v>
      </c>
      <c r="C7958" s="5">
        <v>14785</v>
      </c>
      <c r="D7958" s="6">
        <v>22.28</v>
      </c>
      <c r="E7958" t="s">
        <v>29</v>
      </c>
    </row>
    <row r="7959" spans="1:5" x14ac:dyDescent="0.25">
      <c r="A7959" t="str">
        <f>HYPERLINK("https://www.773grp.com/globalSearch/THS5661AIPW/page-1", "THS5661AIPW")</f>
        <v>THS5661AIPW</v>
      </c>
      <c r="B7959" s="3" t="s">
        <v>90</v>
      </c>
      <c r="C7959" s="5">
        <v>3561</v>
      </c>
      <c r="D7959" s="6">
        <v>22.28</v>
      </c>
      <c r="E7959" t="s">
        <v>29</v>
      </c>
    </row>
    <row r="7960" spans="1:5" x14ac:dyDescent="0.25">
      <c r="A7960" t="str">
        <f>HYPERLINK("https://www.773grp.com/globalSearch/TLV5610IPWR/page-1", "TLV5610IPWR")</f>
        <v>TLV5610IPWR</v>
      </c>
      <c r="B7960" s="3" t="s">
        <v>90</v>
      </c>
      <c r="C7960" s="5">
        <v>5733</v>
      </c>
      <c r="D7960" s="6">
        <v>22.36</v>
      </c>
      <c r="E7960" t="s">
        <v>29</v>
      </c>
    </row>
    <row r="7961" spans="1:5" x14ac:dyDescent="0.25">
      <c r="A7961" t="str">
        <f>HYPERLINK("https://www.773grp.com/globalSearch/DAC7558IRHBT/page-1", "DAC7558IRHBT")</f>
        <v>DAC7558IRHBT</v>
      </c>
      <c r="B7961" s="3" t="s">
        <v>90</v>
      </c>
      <c r="C7961" s="5">
        <v>5250</v>
      </c>
      <c r="D7961" s="6">
        <v>22.48</v>
      </c>
      <c r="E7961" t="s">
        <v>29</v>
      </c>
    </row>
    <row r="7962" spans="1:5" x14ac:dyDescent="0.25">
      <c r="A7962" t="str">
        <f>HYPERLINK("https://www.773grp.com/globalSearch/DAC8164IBPW/page-1", "DAC8164IBPW")</f>
        <v>DAC8164IBPW</v>
      </c>
      <c r="B7962" s="3" t="s">
        <v>90</v>
      </c>
      <c r="C7962" s="5">
        <v>2994</v>
      </c>
      <c r="D7962" s="6">
        <v>22.5</v>
      </c>
      <c r="E7962" t="s">
        <v>29</v>
      </c>
    </row>
    <row r="7963" spans="1:5" x14ac:dyDescent="0.25">
      <c r="A7963" t="str">
        <f>HYPERLINK("https://www.773grp.com/globalSearch/DAC8165IBPW/page-1", "DAC8165IBPW")</f>
        <v>DAC8165IBPW</v>
      </c>
      <c r="B7963" s="3" t="s">
        <v>90</v>
      </c>
      <c r="C7963" s="5">
        <v>2575</v>
      </c>
      <c r="D7963" s="6">
        <v>22.5</v>
      </c>
      <c r="E7963" t="s">
        <v>29</v>
      </c>
    </row>
    <row r="7964" spans="1:5" x14ac:dyDescent="0.25">
      <c r="A7964" t="str">
        <f>HYPERLINK("https://www.773grp.com/globalSearch/DAC8881SRGER/page-1", "DAC8881SRGER")</f>
        <v>DAC8881SRGER</v>
      </c>
      <c r="B7964" s="3" t="s">
        <v>90</v>
      </c>
      <c r="C7964" s="5">
        <v>8990</v>
      </c>
      <c r="D7964" s="6">
        <v>22.5</v>
      </c>
      <c r="E7964" t="s">
        <v>29</v>
      </c>
    </row>
    <row r="7965" spans="1:5" x14ac:dyDescent="0.25">
      <c r="A7965" t="str">
        <f>HYPERLINK("https://www.773grp.com/globalSearch/DSD1608PAH/page-1", "DSD1608PAH")</f>
        <v>DSD1608PAH</v>
      </c>
      <c r="B7965" s="3" t="s">
        <v>90</v>
      </c>
      <c r="C7965" s="5">
        <v>770</v>
      </c>
      <c r="D7965" s="6">
        <v>22.61</v>
      </c>
      <c r="E7965" t="s">
        <v>29</v>
      </c>
    </row>
    <row r="7966" spans="1:5" x14ac:dyDescent="0.25">
      <c r="A7966" t="str">
        <f>HYPERLINK("https://www.773grp.com/globalSearch/DAC7614E/page-1", "DAC7614E")</f>
        <v>DAC7614E</v>
      </c>
      <c r="B7966" s="3" t="s">
        <v>90</v>
      </c>
      <c r="C7966" s="5">
        <v>1385</v>
      </c>
      <c r="D7966" s="6">
        <v>22.65</v>
      </c>
      <c r="E7966" t="s">
        <v>29</v>
      </c>
    </row>
    <row r="7967" spans="1:5" x14ac:dyDescent="0.25">
      <c r="A7967" t="str">
        <f>HYPERLINK("https://www.773grp.com/globalSearch/DAC7614U/page-1", "DAC7614U")</f>
        <v>DAC7614U</v>
      </c>
      <c r="B7967" s="3" t="s">
        <v>90</v>
      </c>
      <c r="C7967" s="5">
        <v>2001</v>
      </c>
      <c r="D7967" s="6">
        <v>22.65</v>
      </c>
      <c r="E7967" t="s">
        <v>29</v>
      </c>
    </row>
    <row r="7968" spans="1:5" x14ac:dyDescent="0.25">
      <c r="A7968" t="str">
        <f>HYPERLINK("https://www.773grp.com/globalSearch/DAC7614U/page-1", "DAC7614U")</f>
        <v>DAC7614U</v>
      </c>
      <c r="B7968" s="3" t="s">
        <v>90</v>
      </c>
      <c r="C7968" s="5">
        <v>49220</v>
      </c>
      <c r="D7968" s="6">
        <v>22.65</v>
      </c>
      <c r="E7968" t="s">
        <v>29</v>
      </c>
    </row>
    <row r="7969" spans="1:5" x14ac:dyDescent="0.25">
      <c r="A7969" t="str">
        <f>HYPERLINK("https://www.773grp.com/globalSearch/DAC7614U/page-1", "DAC7614U")</f>
        <v>DAC7614U</v>
      </c>
      <c r="B7969" s="3" t="s">
        <v>90</v>
      </c>
      <c r="C7969" s="5">
        <v>26160</v>
      </c>
      <c r="D7969" s="6">
        <v>22.65</v>
      </c>
      <c r="E7969" t="s">
        <v>29</v>
      </c>
    </row>
    <row r="7970" spans="1:5" x14ac:dyDescent="0.25">
      <c r="A7970" t="str">
        <f>HYPERLINK("https://www.773grp.com/globalSearch/DAC7615EG4/page-1", "DAC7615EG4")</f>
        <v>DAC7615EG4</v>
      </c>
      <c r="B7970" s="3" t="s">
        <v>90</v>
      </c>
      <c r="C7970" s="5">
        <v>2</v>
      </c>
      <c r="D7970" s="6">
        <v>22.65</v>
      </c>
      <c r="E7970" t="s">
        <v>29</v>
      </c>
    </row>
    <row r="7971" spans="1:5" x14ac:dyDescent="0.25">
      <c r="A7971" t="str">
        <f>HYPERLINK("https://www.773grp.com/globalSearch/DAC7615U/page-1", "DAC7615U")</f>
        <v>DAC7615U</v>
      </c>
      <c r="B7971" s="3" t="s">
        <v>90</v>
      </c>
      <c r="C7971" s="5">
        <v>37200</v>
      </c>
      <c r="D7971" s="6">
        <v>22.65</v>
      </c>
      <c r="E7971" t="s">
        <v>29</v>
      </c>
    </row>
    <row r="7972" spans="1:5" x14ac:dyDescent="0.25">
      <c r="A7972" t="str">
        <f>HYPERLINK("https://www.773grp.com/globalSearch/DAC7615U/page-1", "DAC7615U")</f>
        <v>DAC7615U</v>
      </c>
      <c r="B7972" s="3" t="s">
        <v>90</v>
      </c>
      <c r="C7972" s="5">
        <v>43179</v>
      </c>
      <c r="D7972" s="6">
        <v>22.65</v>
      </c>
      <c r="E7972" t="s">
        <v>29</v>
      </c>
    </row>
    <row r="7973" spans="1:5" x14ac:dyDescent="0.25">
      <c r="A7973" t="str">
        <f>HYPERLINK("https://www.773grp.com/globalSearch/DAC5652AIPFBR/page-1", "DAC5652AIPFBR")</f>
        <v>DAC5652AIPFBR</v>
      </c>
      <c r="B7973" s="3" t="s">
        <v>90</v>
      </c>
      <c r="C7973" s="5">
        <v>8865</v>
      </c>
      <c r="D7973" s="6">
        <v>22.91</v>
      </c>
      <c r="E7973" t="s">
        <v>29</v>
      </c>
    </row>
    <row r="7974" spans="1:5" x14ac:dyDescent="0.25">
      <c r="A7974" t="str">
        <f>HYPERLINK("https://www.773grp.com/globalSearch/DAC8564ICPW/page-1", "DAC8564ICPW")</f>
        <v>DAC8564ICPW</v>
      </c>
      <c r="B7974" s="3" t="s">
        <v>90</v>
      </c>
      <c r="C7974" s="5">
        <v>302</v>
      </c>
      <c r="D7974" s="6">
        <v>22.91</v>
      </c>
      <c r="E7974" t="s">
        <v>29</v>
      </c>
    </row>
    <row r="7975" spans="1:5" x14ac:dyDescent="0.25">
      <c r="A7975" t="str">
        <f>HYPERLINK("https://www.773grp.com/globalSearch/DAC7716SPFBR/page-1", "DAC7716SPFBR")</f>
        <v>DAC7716SPFBR</v>
      </c>
      <c r="B7975" s="3" t="s">
        <v>90</v>
      </c>
      <c r="C7975" s="5">
        <v>1970</v>
      </c>
      <c r="D7975" s="6">
        <v>23.06</v>
      </c>
      <c r="E7975" t="s">
        <v>29</v>
      </c>
    </row>
    <row r="7976" spans="1:5" x14ac:dyDescent="0.25">
      <c r="A7976" t="str">
        <f>HYPERLINK("https://www.773grp.com/globalSearch/DAC7716SRHAR/page-1", "DAC7716SRHAR")</f>
        <v>DAC7716SRHAR</v>
      </c>
      <c r="B7976" s="3" t="s">
        <v>90</v>
      </c>
      <c r="C7976" s="5">
        <v>2500</v>
      </c>
      <c r="D7976" s="6">
        <v>23.06</v>
      </c>
      <c r="E7976" t="s">
        <v>29</v>
      </c>
    </row>
    <row r="7977" spans="1:5" x14ac:dyDescent="0.25">
      <c r="A7977" t="str">
        <f>HYPERLINK("https://www.773grp.com/globalSearch/DAC8811IBDGKT/page-1", "DAC8811IBDGKT")</f>
        <v>DAC8811IBDGKT</v>
      </c>
      <c r="B7977" s="3" t="s">
        <v>90</v>
      </c>
      <c r="C7977" s="5">
        <v>750</v>
      </c>
      <c r="D7977" s="6">
        <v>23.2</v>
      </c>
      <c r="E7977" t="s">
        <v>29</v>
      </c>
    </row>
    <row r="7978" spans="1:5" x14ac:dyDescent="0.25">
      <c r="A7978" t="str">
        <f>HYPERLINK("https://www.773grp.com/globalSearch/DAC8811IBDRBT/page-1", "DAC8811IBDRBT")</f>
        <v>DAC8811IBDRBT</v>
      </c>
      <c r="B7978" s="3" t="s">
        <v>90</v>
      </c>
      <c r="C7978" s="5">
        <v>4500</v>
      </c>
      <c r="D7978" s="6">
        <v>23.2</v>
      </c>
      <c r="E7978" t="s">
        <v>29</v>
      </c>
    </row>
    <row r="7979" spans="1:5" x14ac:dyDescent="0.25">
      <c r="A7979" t="str">
        <f>HYPERLINK("https://www.773grp.com/globalSearch/DAC8564IBPW/page-1", "DAC8564IBPW")</f>
        <v>DAC8564IBPW</v>
      </c>
      <c r="B7979" s="3" t="s">
        <v>90</v>
      </c>
      <c r="C7979" s="5">
        <v>892</v>
      </c>
      <c r="D7979" s="6">
        <v>23.49</v>
      </c>
      <c r="E7979" t="s">
        <v>29</v>
      </c>
    </row>
    <row r="7980" spans="1:5" x14ac:dyDescent="0.25">
      <c r="A7980" t="str">
        <f>HYPERLINK("https://www.773grp.com/globalSearch/DAC8565IBPW/page-1", "DAC8565IBPW")</f>
        <v>DAC8565IBPW</v>
      </c>
      <c r="B7980" s="3" t="s">
        <v>90</v>
      </c>
      <c r="C7980" s="5">
        <v>135</v>
      </c>
      <c r="D7980" s="6">
        <v>23.49</v>
      </c>
      <c r="E7980" t="s">
        <v>29</v>
      </c>
    </row>
    <row r="7981" spans="1:5" x14ac:dyDescent="0.25">
      <c r="A7981" t="str">
        <f>HYPERLINK("https://www.773grp.com/globalSearch/TLV5630IDW/page-1", "TLV5630IDW")</f>
        <v>TLV5630IDW</v>
      </c>
      <c r="B7981" s="3" t="s">
        <v>90</v>
      </c>
      <c r="C7981" s="5">
        <v>629</v>
      </c>
      <c r="D7981" s="6">
        <v>23.76</v>
      </c>
      <c r="E7981" t="s">
        <v>29</v>
      </c>
    </row>
    <row r="7982" spans="1:5" x14ac:dyDescent="0.25">
      <c r="A7982" t="str">
        <f>HYPERLINK("https://www.773grp.com/globalSearch/TLV5630IPWR/page-1", "TLV5630IPWR")</f>
        <v>TLV5630IPWR</v>
      </c>
      <c r="B7982" s="3" t="s">
        <v>90</v>
      </c>
      <c r="C7982" s="5">
        <v>2000</v>
      </c>
      <c r="D7982" s="6">
        <v>23.76</v>
      </c>
      <c r="E7982" t="s">
        <v>29</v>
      </c>
    </row>
    <row r="7983" spans="1:5" x14ac:dyDescent="0.25">
      <c r="A7983" t="str">
        <f>HYPERLINK("https://www.773grp.com/globalSearch/DAC8820IBDBR/page-1", "DAC8820IBDBR")</f>
        <v>DAC8820IBDBR</v>
      </c>
      <c r="B7983" s="3" t="s">
        <v>90</v>
      </c>
      <c r="C7983" s="5">
        <v>1900</v>
      </c>
      <c r="D7983" s="6">
        <v>23.91</v>
      </c>
      <c r="E7983" t="s">
        <v>29</v>
      </c>
    </row>
    <row r="7984" spans="1:5" x14ac:dyDescent="0.25">
      <c r="A7984" t="str">
        <f>HYPERLINK("https://www.773grp.com/globalSearch/DAC7614EB/page-1", "DAC7614EB")</f>
        <v>DAC7614EB</v>
      </c>
      <c r="B7984" s="3" t="s">
        <v>90</v>
      </c>
      <c r="C7984" s="5">
        <v>652</v>
      </c>
      <c r="D7984" s="6">
        <v>24.05</v>
      </c>
      <c r="E7984" t="s">
        <v>29</v>
      </c>
    </row>
    <row r="7985" spans="1:5" x14ac:dyDescent="0.25">
      <c r="A7985" t="str">
        <f>HYPERLINK("https://www.773grp.com/globalSearch/DAC7614UB/page-1", "DAC7614UB")</f>
        <v>DAC7614UB</v>
      </c>
      <c r="B7985" s="3" t="s">
        <v>90</v>
      </c>
      <c r="C7985" s="5">
        <v>4240</v>
      </c>
      <c r="D7985" s="6">
        <v>24.05</v>
      </c>
      <c r="E7985" t="s">
        <v>29</v>
      </c>
    </row>
    <row r="7986" spans="1:5" x14ac:dyDescent="0.25">
      <c r="A7986" t="str">
        <f>HYPERLINK("https://www.773grp.com/globalSearch/DAC7614UB/page-1", "DAC7614UB")</f>
        <v>DAC7614UB</v>
      </c>
      <c r="B7986" s="3" t="s">
        <v>90</v>
      </c>
      <c r="C7986" s="5">
        <v>600</v>
      </c>
      <c r="D7986" s="6">
        <v>24.05</v>
      </c>
      <c r="E7986" t="s">
        <v>29</v>
      </c>
    </row>
    <row r="7987" spans="1:5" x14ac:dyDescent="0.25">
      <c r="A7987" t="str">
        <f>HYPERLINK("https://www.773grp.com/globalSearch/DAC7615EB/page-1", "DAC7615EB")</f>
        <v>DAC7615EB</v>
      </c>
      <c r="B7987" s="3" t="s">
        <v>90</v>
      </c>
      <c r="C7987" s="5">
        <v>1</v>
      </c>
      <c r="D7987" s="6">
        <v>24.05</v>
      </c>
      <c r="E7987" t="s">
        <v>29</v>
      </c>
    </row>
    <row r="7988" spans="1:5" x14ac:dyDescent="0.25">
      <c r="A7988" t="str">
        <f>HYPERLINK("https://www.773grp.com/globalSearch/DAC7615UB/page-1", "DAC7615UB")</f>
        <v>DAC7615UB</v>
      </c>
      <c r="B7988" s="3" t="s">
        <v>90</v>
      </c>
      <c r="C7988" s="5">
        <v>6210</v>
      </c>
      <c r="D7988" s="6">
        <v>24.05</v>
      </c>
      <c r="E7988" t="s">
        <v>29</v>
      </c>
    </row>
    <row r="7989" spans="1:5" x14ac:dyDescent="0.25">
      <c r="A7989" t="str">
        <f>HYPERLINK("https://www.773grp.com/globalSearch/PCM1719E/page-1", "PCM1719E")</f>
        <v>PCM1719E</v>
      </c>
      <c r="B7989" s="3" t="s">
        <v>90</v>
      </c>
      <c r="C7989" s="5">
        <v>42</v>
      </c>
      <c r="D7989" s="6">
        <v>24.05</v>
      </c>
      <c r="E7989" t="s">
        <v>29</v>
      </c>
    </row>
    <row r="7990" spans="1:5" x14ac:dyDescent="0.25">
      <c r="A7990" t="str">
        <f>HYPERLINK("https://www.773grp.com/globalSearch/DAC8822QBDBTR/page-1", "DAC8822QBDBTR")</f>
        <v>DAC8822QBDBTR</v>
      </c>
      <c r="B7990" s="3" t="s">
        <v>90</v>
      </c>
      <c r="C7990" s="5">
        <v>10000</v>
      </c>
      <c r="D7990" s="6">
        <v>24.34</v>
      </c>
      <c r="E7990" t="s">
        <v>29</v>
      </c>
    </row>
    <row r="7991" spans="1:5" x14ac:dyDescent="0.25">
      <c r="A7991" t="str">
        <f>HYPERLINK("https://www.773grp.com/globalSearch/DAC7742Y-2K/page-1", "DAC7742Y-2K")</f>
        <v>DAC7742Y-2K</v>
      </c>
      <c r="B7991" s="3" t="s">
        <v>90</v>
      </c>
      <c r="C7991" s="5">
        <v>4000</v>
      </c>
      <c r="D7991" s="6">
        <v>24.48</v>
      </c>
      <c r="E7991" t="s">
        <v>29</v>
      </c>
    </row>
    <row r="7992" spans="1:5" x14ac:dyDescent="0.25">
      <c r="A7992" t="str">
        <f>HYPERLINK("https://www.773grp.com/globalSearch/DAC1220E/page-1", "DAC1220E")</f>
        <v>DAC1220E</v>
      </c>
      <c r="B7992" s="3" t="s">
        <v>90</v>
      </c>
      <c r="C7992" s="5">
        <v>8700</v>
      </c>
      <c r="D7992" s="6">
        <v>24.55</v>
      </c>
      <c r="E7992" t="s">
        <v>29</v>
      </c>
    </row>
    <row r="7993" spans="1:5" x14ac:dyDescent="0.25">
      <c r="A7993" t="str">
        <f>HYPERLINK("https://www.773grp.com/globalSearch/DAC8812IBPWR/page-1", "DAC8812IBPWR")</f>
        <v>DAC8812IBPWR</v>
      </c>
      <c r="B7993" s="3" t="s">
        <v>90</v>
      </c>
      <c r="C7993" s="5">
        <v>91975</v>
      </c>
      <c r="D7993" s="6">
        <v>24.81</v>
      </c>
      <c r="E7993" t="s">
        <v>29</v>
      </c>
    </row>
    <row r="7994" spans="1:5" x14ac:dyDescent="0.25">
      <c r="A7994" t="str">
        <f>HYPERLINK("https://www.773grp.com/globalSearch/TLV5630IDWR/page-1", "TLV5630IDWR")</f>
        <v>TLV5630IDWR</v>
      </c>
      <c r="B7994" s="3" t="s">
        <v>90</v>
      </c>
      <c r="C7994" s="5">
        <v>1860</v>
      </c>
      <c r="D7994" s="6">
        <v>24.89</v>
      </c>
      <c r="E7994" t="s">
        <v>29</v>
      </c>
    </row>
    <row r="7995" spans="1:5" x14ac:dyDescent="0.25">
      <c r="A7995" t="str">
        <f>HYPERLINK("https://www.773grp.com/globalSearch/DAC904E-2K5/page-1", "DAC904E-2K5")</f>
        <v>DAC904E-2K5</v>
      </c>
      <c r="B7995" s="3" t="s">
        <v>90</v>
      </c>
      <c r="C7995" s="5">
        <v>94265</v>
      </c>
      <c r="D7995" s="6">
        <v>25.18</v>
      </c>
      <c r="E7995" t="s">
        <v>29</v>
      </c>
    </row>
    <row r="7996" spans="1:5" x14ac:dyDescent="0.25">
      <c r="A7996" t="str">
        <f>HYPERLINK("https://www.773grp.com/globalSearch/DAC8164IDPW/page-1", "DAC8164IDPW")</f>
        <v>DAC8164IDPW</v>
      </c>
      <c r="B7996" s="3" t="s">
        <v>90</v>
      </c>
      <c r="C7996" s="5">
        <v>3218</v>
      </c>
      <c r="D7996" s="6">
        <v>25.31</v>
      </c>
      <c r="E7996" t="s">
        <v>29</v>
      </c>
    </row>
    <row r="7997" spans="1:5" x14ac:dyDescent="0.25">
      <c r="A7997" t="str">
        <f>HYPERLINK("https://www.773grp.com/globalSearch/DAC8165IDPW/page-1", "DAC8165IDPW")</f>
        <v>DAC8165IDPW</v>
      </c>
      <c r="B7997" s="3" t="s">
        <v>90</v>
      </c>
      <c r="C7997" s="5">
        <v>2676</v>
      </c>
      <c r="D7997" s="6">
        <v>25.31</v>
      </c>
      <c r="E7997" t="s">
        <v>29</v>
      </c>
    </row>
    <row r="7998" spans="1:5" x14ac:dyDescent="0.25">
      <c r="A7998" t="str">
        <f>HYPERLINK("https://www.773grp.com/globalSearch/DAC7641Y-250/page-1", "DAC7641Y-250")</f>
        <v>DAC7641Y-250</v>
      </c>
      <c r="B7998" s="3" t="s">
        <v>90</v>
      </c>
      <c r="C7998" s="5">
        <v>162</v>
      </c>
      <c r="D7998" s="6">
        <v>25.6</v>
      </c>
      <c r="E7998" t="s">
        <v>29</v>
      </c>
    </row>
    <row r="7999" spans="1:5" x14ac:dyDescent="0.25">
      <c r="A7999" t="str">
        <f>HYPERLINK("https://www.773grp.com/globalSearch/5962-9469301QRA/page-1", "5962-9469301QRA")</f>
        <v>5962-9469301QRA</v>
      </c>
      <c r="B7999" s="3" t="s">
        <v>90</v>
      </c>
      <c r="C7999" s="5">
        <v>1</v>
      </c>
      <c r="D7999" s="6">
        <v>25.74</v>
      </c>
      <c r="E7999" t="s">
        <v>29</v>
      </c>
    </row>
    <row r="8000" spans="1:5" x14ac:dyDescent="0.25">
      <c r="A8000" t="str">
        <f>HYPERLINK("https://www.773grp.com/globalSearch/DAC7573IPW/page-1", "DAC7573IPW")</f>
        <v>DAC7573IPW</v>
      </c>
      <c r="B8000" s="3" t="s">
        <v>90</v>
      </c>
      <c r="C8000" s="5">
        <v>1027</v>
      </c>
      <c r="D8000" s="6">
        <v>25.88</v>
      </c>
      <c r="E8000" t="s">
        <v>29</v>
      </c>
    </row>
    <row r="8001" spans="1:5" x14ac:dyDescent="0.25">
      <c r="A8001" t="str">
        <f>HYPERLINK("https://www.773grp.com/globalSearch/DAC8168IAPWR/page-1", "DAC8168IAPWR")</f>
        <v>DAC8168IAPWR</v>
      </c>
      <c r="B8001" s="3" t="s">
        <v>90</v>
      </c>
      <c r="C8001" s="5">
        <v>2000</v>
      </c>
      <c r="D8001" s="6">
        <v>25.88</v>
      </c>
      <c r="E8001" t="s">
        <v>29</v>
      </c>
    </row>
    <row r="8002" spans="1:5" x14ac:dyDescent="0.25">
      <c r="A8002" t="str">
        <f>HYPERLINK("https://www.773grp.com/globalSearch/DAC8881SRGET/page-1", "DAC8881SRGET")</f>
        <v>DAC8881SRGET</v>
      </c>
      <c r="B8002" s="3" t="s">
        <v>90</v>
      </c>
      <c r="C8002" s="5">
        <v>1250</v>
      </c>
      <c r="D8002" s="6">
        <v>25.88</v>
      </c>
      <c r="E8002" t="s">
        <v>29</v>
      </c>
    </row>
    <row r="8003" spans="1:5" x14ac:dyDescent="0.25">
      <c r="A8003" t="str">
        <f>HYPERLINK("https://www.773grp.com/globalSearch/PCM1794ADB/page-1", "PCM1794ADB")</f>
        <v>PCM1794ADB</v>
      </c>
      <c r="B8003" s="3" t="s">
        <v>90</v>
      </c>
      <c r="C8003" s="5">
        <v>31</v>
      </c>
      <c r="D8003" s="6">
        <v>25.94</v>
      </c>
      <c r="E8003" t="s">
        <v>29</v>
      </c>
    </row>
    <row r="8004" spans="1:5" x14ac:dyDescent="0.25">
      <c r="A8004" t="str">
        <f>HYPERLINK("https://www.773grp.com/globalSearch/DAC7568IAPW/page-1", "DAC7568IAPW")</f>
        <v>DAC7568IAPW</v>
      </c>
      <c r="B8004" s="3" t="s">
        <v>90</v>
      </c>
      <c r="C8004" s="5">
        <v>240</v>
      </c>
      <c r="D8004" s="6">
        <v>26.03</v>
      </c>
      <c r="E8004" t="s">
        <v>29</v>
      </c>
    </row>
    <row r="8005" spans="1:5" x14ac:dyDescent="0.25">
      <c r="A8005" t="str">
        <f>HYPERLINK("https://www.773grp.com/globalSearch/DAC8830IBDT/page-1", "DAC8830IBDT")</f>
        <v>DAC8830IBDT</v>
      </c>
      <c r="B8005" s="3" t="s">
        <v>90</v>
      </c>
      <c r="C8005" s="5">
        <v>85</v>
      </c>
      <c r="D8005" s="6">
        <v>26.16</v>
      </c>
      <c r="E8005" t="s">
        <v>29</v>
      </c>
    </row>
    <row r="8006" spans="1:5" x14ac:dyDescent="0.25">
      <c r="A8006" t="str">
        <f>HYPERLINK("https://www.773grp.com/globalSearch/TLV5614CD/page-1", "TLV5614CD")</f>
        <v>TLV5614CD</v>
      </c>
      <c r="B8006" s="3" t="s">
        <v>90</v>
      </c>
      <c r="C8006" s="5">
        <v>537</v>
      </c>
      <c r="D8006" s="6">
        <v>26.16</v>
      </c>
      <c r="E8006" t="s">
        <v>29</v>
      </c>
    </row>
    <row r="8007" spans="1:5" x14ac:dyDescent="0.25">
      <c r="A8007" t="str">
        <f>HYPERLINK("https://www.773grp.com/globalSearch/DAC8564IDPW/page-1", "DAC8564IDPW")</f>
        <v>DAC8564IDPW</v>
      </c>
      <c r="B8007" s="3" t="s">
        <v>90</v>
      </c>
      <c r="C8007" s="5">
        <v>40</v>
      </c>
      <c r="D8007" s="6">
        <v>26.29</v>
      </c>
      <c r="E8007" t="s">
        <v>29</v>
      </c>
    </row>
    <row r="8008" spans="1:5" x14ac:dyDescent="0.25">
      <c r="A8008" t="str">
        <f>HYPERLINK("https://www.773grp.com/globalSearch/DAC8565IDPW/page-1", "DAC8565IDPW")</f>
        <v>DAC8565IDPW</v>
      </c>
      <c r="B8008" s="3" t="s">
        <v>90</v>
      </c>
      <c r="C8008" s="5">
        <v>12</v>
      </c>
      <c r="D8008" s="6">
        <v>26.29</v>
      </c>
      <c r="E8008" t="s">
        <v>29</v>
      </c>
    </row>
    <row r="8009" spans="1:5" x14ac:dyDescent="0.25">
      <c r="A8009" t="str">
        <f>HYPERLINK("https://www.773grp.com/globalSearch/DAC5652AIPFB/page-1", "DAC5652AIPFB")</f>
        <v>DAC5652AIPFB</v>
      </c>
      <c r="B8009" s="3" t="s">
        <v>90</v>
      </c>
      <c r="C8009" s="5">
        <v>662</v>
      </c>
      <c r="D8009" s="6">
        <v>26.44</v>
      </c>
      <c r="E8009" t="s">
        <v>29</v>
      </c>
    </row>
    <row r="8010" spans="1:5" x14ac:dyDescent="0.25">
      <c r="A8010" t="str">
        <f>HYPERLINK("https://www.773grp.com/globalSearch/DAC5652AIPFBG4/page-1", "DAC5652AIPFBG4")</f>
        <v>DAC5652AIPFBG4</v>
      </c>
      <c r="B8010" s="3" t="s">
        <v>90</v>
      </c>
      <c r="C8010" s="5">
        <v>80</v>
      </c>
      <c r="D8010" s="6">
        <v>26.44</v>
      </c>
      <c r="E8010" t="s">
        <v>29</v>
      </c>
    </row>
    <row r="8011" spans="1:5" x14ac:dyDescent="0.25">
      <c r="A8011" t="str">
        <f>HYPERLINK("https://www.773grp.com/globalSearch/DAC5652IPFB/page-1", "DAC5652IPFB")</f>
        <v>DAC5652IPFB</v>
      </c>
      <c r="B8011" s="3" t="s">
        <v>90</v>
      </c>
      <c r="C8011" s="5">
        <v>7049</v>
      </c>
      <c r="D8011" s="6">
        <v>26.44</v>
      </c>
      <c r="E8011" t="s">
        <v>29</v>
      </c>
    </row>
    <row r="8012" spans="1:5" x14ac:dyDescent="0.25">
      <c r="A8012" t="str">
        <f>HYPERLINK("https://www.773grp.com/globalSearch/DAC5652IPFBG4/page-1", "DAC5652IPFBG4")</f>
        <v>DAC5652IPFBG4</v>
      </c>
      <c r="B8012" s="3" t="s">
        <v>90</v>
      </c>
      <c r="C8012" s="5">
        <v>784</v>
      </c>
      <c r="D8012" s="6">
        <v>26.44</v>
      </c>
      <c r="E8012" t="s">
        <v>29</v>
      </c>
    </row>
    <row r="8013" spans="1:5" x14ac:dyDescent="0.25">
      <c r="A8013" t="str">
        <f>HYPERLINK("https://www.773grp.com/globalSearch/DAC8811ICDRBT/page-1", "DAC8811ICDRBT")</f>
        <v>DAC8811ICDRBT</v>
      </c>
      <c r="B8013" s="3" t="s">
        <v>90</v>
      </c>
      <c r="C8013" s="5">
        <v>154</v>
      </c>
      <c r="D8013" s="6">
        <v>26.44</v>
      </c>
      <c r="E8013" t="s">
        <v>29</v>
      </c>
    </row>
    <row r="8014" spans="1:5" x14ac:dyDescent="0.25">
      <c r="A8014" t="str">
        <f>HYPERLINK("https://www.773grp.com/globalSearch/TLV5610IYE/page-1", "TLV5610IYE")</f>
        <v>TLV5610IYE</v>
      </c>
      <c r="B8014" s="3" t="s">
        <v>90</v>
      </c>
      <c r="C8014" s="5">
        <v>166</v>
      </c>
      <c r="D8014" s="6">
        <v>26.58</v>
      </c>
      <c r="E8014" t="s">
        <v>29</v>
      </c>
    </row>
    <row r="8015" spans="1:5" x14ac:dyDescent="0.25">
      <c r="A8015" t="str">
        <f>HYPERLINK("https://www.773grp.com/globalSearch/TLV5610IYZT/page-1", "TLV5610IYZT")</f>
        <v>TLV5610IYZT</v>
      </c>
      <c r="B8015" s="3" t="s">
        <v>90</v>
      </c>
      <c r="C8015" s="5">
        <v>250</v>
      </c>
      <c r="D8015" s="6">
        <v>26.58</v>
      </c>
      <c r="E8015" t="s">
        <v>29</v>
      </c>
    </row>
    <row r="8016" spans="1:5" x14ac:dyDescent="0.25">
      <c r="A8016" t="str">
        <f>HYPERLINK("https://www.773grp.com/globalSearch/DAC7568ICPW/page-1", "DAC7568ICPW")</f>
        <v>DAC7568ICPW</v>
      </c>
      <c r="B8016" s="3" t="s">
        <v>90</v>
      </c>
      <c r="C8016" s="5">
        <v>37</v>
      </c>
      <c r="D8016" s="6">
        <v>26.86</v>
      </c>
      <c r="E8016" t="s">
        <v>29</v>
      </c>
    </row>
    <row r="8017" spans="1:5" x14ac:dyDescent="0.25">
      <c r="A8017" t="str">
        <f>HYPERLINK("https://www.773grp.com/globalSearch/DAC7716SRHAT/page-1", "DAC7716SRHAT")</f>
        <v>DAC7716SRHAT</v>
      </c>
      <c r="B8017" s="3" t="s">
        <v>90</v>
      </c>
      <c r="C8017" s="5">
        <v>925</v>
      </c>
      <c r="D8017" s="6">
        <v>27.29</v>
      </c>
      <c r="E8017" t="s">
        <v>29</v>
      </c>
    </row>
    <row r="8018" spans="1:5" x14ac:dyDescent="0.25">
      <c r="A8018" t="str">
        <f>HYPERLINK("https://www.773grp.com/globalSearch/THS5671AIDW/page-1", "THS5671AIDW")</f>
        <v>THS5671AIDW</v>
      </c>
      <c r="B8018" s="3" t="str">
        <f>HYPERLINK("https://www.773grp.com/manufacturer/texas-instruments?pageNo=42", "Texas Instruments")</f>
        <v>Texas Instruments</v>
      </c>
      <c r="C8018" s="5">
        <v>1150</v>
      </c>
      <c r="D8018" s="6">
        <v>27.64</v>
      </c>
      <c r="E8018" t="s">
        <v>29</v>
      </c>
    </row>
    <row r="8019" spans="1:5" x14ac:dyDescent="0.25">
      <c r="A8019" t="str">
        <f>HYPERLINK("https://www.773grp.com/globalSearch/DAC8574IPW/page-1", "DAC8574IPW")</f>
        <v>DAC8574IPW</v>
      </c>
      <c r="B8019" s="3" t="str">
        <f>HYPERLINK("https://www.773grp.com/manufacturer/texas-instruments?pageNo=80", "Texas Instruments")</f>
        <v>Texas Instruments</v>
      </c>
      <c r="C8019" s="5">
        <v>710</v>
      </c>
      <c r="D8019" s="6">
        <v>27.85</v>
      </c>
      <c r="E8019" t="s">
        <v>29</v>
      </c>
    </row>
    <row r="8020" spans="1:5" x14ac:dyDescent="0.25">
      <c r="A8020" t="str">
        <f>HYPERLINK("https://www.773grp.com/globalSearch/DAC8820ICDBR/page-1", "DAC8820ICDBR")</f>
        <v>DAC8820ICDBR</v>
      </c>
      <c r="B8020" s="3" t="str">
        <f>HYPERLINK("https://www.773grp.com/manufacturer/texas-instruments?pageNo=82", "Texas Instruments")</f>
        <v>Texas Instruments</v>
      </c>
      <c r="C8020" s="5">
        <v>46000</v>
      </c>
      <c r="D8020" s="6">
        <v>27.85</v>
      </c>
      <c r="E8020" t="s">
        <v>29</v>
      </c>
    </row>
    <row r="8021" spans="1:5" x14ac:dyDescent="0.25">
      <c r="A8021" t="str">
        <f>HYPERLINK("https://www.773grp.com/globalSearch/TLV5610IDW/page-1", "TLV5610IDW")</f>
        <v>TLV5610IDW</v>
      </c>
      <c r="B8021" s="3" t="str">
        <f>HYPERLINK("https://www.773grp.com/manufacturer/texas-instruments?pageNo=110", "Texas Instruments")</f>
        <v>Texas Instruments</v>
      </c>
      <c r="C8021" s="5">
        <v>11</v>
      </c>
      <c r="D8021" s="6">
        <v>27.98</v>
      </c>
      <c r="E8021" t="s">
        <v>29</v>
      </c>
    </row>
    <row r="8022" spans="1:5" x14ac:dyDescent="0.25">
      <c r="A8022" t="str">
        <f>HYPERLINK("https://www.773grp.com/globalSearch/TLV5610IPW/page-1", "TLV5610IPW")</f>
        <v>TLV5610IPW</v>
      </c>
      <c r="B8022" s="3" t="str">
        <f>HYPERLINK("https://www.773grp.com/manufacturer/texas-instruments?pageNo=111", "Texas Instruments")</f>
        <v>Texas Instruments</v>
      </c>
      <c r="C8022" s="5">
        <v>3058</v>
      </c>
      <c r="D8022" s="6">
        <v>27.98</v>
      </c>
      <c r="E8022" t="s">
        <v>29</v>
      </c>
    </row>
    <row r="8023" spans="1:5" x14ac:dyDescent="0.25">
      <c r="A8023" t="str">
        <f>HYPERLINK("https://www.773grp.com/globalSearch/DAC7731EB-1K/page-1", "DAC7731EB-1K")</f>
        <v>DAC7731EB-1K</v>
      </c>
      <c r="B8023" s="3" t="str">
        <f>HYPERLINK("https://www.773grp.com/manufacturer/texas-instruments?pageNo=122", "Texas Instruments")</f>
        <v>Texas Instruments</v>
      </c>
      <c r="C8023" s="5">
        <v>19000</v>
      </c>
      <c r="D8023" s="6">
        <v>28.1</v>
      </c>
      <c r="E8023" t="s">
        <v>29</v>
      </c>
    </row>
    <row r="8024" spans="1:5" x14ac:dyDescent="0.25">
      <c r="A8024" t="str">
        <f>HYPERLINK("https://www.773grp.com/globalSearch/DAC7741Y-250/page-1", "DAC7741Y-250")</f>
        <v>DAC7741Y-250</v>
      </c>
      <c r="B8024" s="3" t="str">
        <f>HYPERLINK("https://www.773grp.com/manufacturer/texas-instruments?pageNo=138", "Texas Instruments")</f>
        <v>Texas Instruments</v>
      </c>
      <c r="C8024" s="5">
        <v>2250</v>
      </c>
      <c r="D8024" s="6">
        <v>28.13</v>
      </c>
      <c r="E8024" t="s">
        <v>29</v>
      </c>
    </row>
    <row r="8025" spans="1:5" x14ac:dyDescent="0.25">
      <c r="A8025" t="str">
        <f>HYPERLINK("https://www.773grp.com/globalSearch/TLV5614IDR/page-1", "TLV5614IDR")</f>
        <v>TLV5614IDR</v>
      </c>
      <c r="B8025" s="3" t="str">
        <f>HYPERLINK("https://www.773grp.com/manufacturer/texas-instruments?pageNo=145", "Texas Instruments")</f>
        <v>Texas Instruments</v>
      </c>
      <c r="C8025" s="5">
        <v>2150</v>
      </c>
      <c r="D8025" s="6">
        <v>28.13</v>
      </c>
      <c r="E8025" t="s">
        <v>29</v>
      </c>
    </row>
    <row r="8026" spans="1:5" x14ac:dyDescent="0.25">
      <c r="A8026" t="str">
        <f>HYPERLINK("https://www.773grp.com/globalSearch/TLV5614IPWR/page-1", "TLV5614IPWR")</f>
        <v>TLV5614IPWR</v>
      </c>
      <c r="B8026" s="3" t="str">
        <f>HYPERLINK("https://www.773grp.com/manufacturer/texas-instruments?pageNo=146", "Texas Instruments")</f>
        <v>Texas Instruments</v>
      </c>
      <c r="C8026" s="5">
        <v>3936</v>
      </c>
      <c r="D8026" s="6">
        <v>28.13</v>
      </c>
      <c r="E8026" t="s">
        <v>29</v>
      </c>
    </row>
    <row r="8027" spans="1:5" x14ac:dyDescent="0.25">
      <c r="A8027" t="str">
        <f>HYPERLINK("https://www.773grp.com/globalSearch/DAC7716SPFB/page-1", "DAC7716SPFB")</f>
        <v>DAC7716SPFB</v>
      </c>
      <c r="B8027" s="3" t="str">
        <f>HYPERLINK("https://www.773grp.com/manufacturer/texas-instruments?pageNo=247", "Texas Instruments")</f>
        <v>Texas Instruments</v>
      </c>
      <c r="C8027" s="5">
        <v>549</v>
      </c>
      <c r="D8027" s="6">
        <v>28.69</v>
      </c>
      <c r="E8027" t="s">
        <v>29</v>
      </c>
    </row>
    <row r="8028" spans="1:5" x14ac:dyDescent="0.25">
      <c r="A8028" t="str">
        <f>HYPERLINK("https://www.773grp.com/globalSearch/DAC8820IBDB/page-1", "DAC8820IBDB")</f>
        <v>DAC8820IBDB</v>
      </c>
      <c r="B8028" s="3" t="str">
        <f>HYPERLINK("https://www.773grp.com/manufacturer/texas-instruments?pageNo=248", "Texas Instruments")</f>
        <v>Texas Instruments</v>
      </c>
      <c r="C8028" s="5">
        <v>122</v>
      </c>
      <c r="D8028" s="6">
        <v>28.69</v>
      </c>
      <c r="E8028" t="s">
        <v>29</v>
      </c>
    </row>
    <row r="8029" spans="1:5" x14ac:dyDescent="0.25">
      <c r="A8029" t="str">
        <f>HYPERLINK("https://www.773grp.com/globalSearch/THS5671AIPW/page-1", "THS5671AIPW")</f>
        <v>THS5671AIPW</v>
      </c>
      <c r="B8029" s="3" t="str">
        <f>HYPERLINK("https://www.773grp.com/manufacturer/texas-instruments?pageNo=249", "Texas Instruments")</f>
        <v>Texas Instruments</v>
      </c>
      <c r="C8029" s="5">
        <v>542</v>
      </c>
      <c r="D8029" s="6">
        <v>28.69</v>
      </c>
      <c r="E8029" t="s">
        <v>29</v>
      </c>
    </row>
    <row r="8030" spans="1:5" x14ac:dyDescent="0.25">
      <c r="A8030" t="str">
        <f>HYPERLINK("https://www.773grp.com/globalSearch/DAC7731E/page-1", "DAC7731E")</f>
        <v>DAC7731E</v>
      </c>
      <c r="B8030" s="3" t="str">
        <f>HYPERLINK("https://www.773grp.com/manufacturer/texas-instruments?pageNo=296", "Texas Instruments")</f>
        <v>Texas Instruments</v>
      </c>
      <c r="C8030" s="5">
        <v>12525</v>
      </c>
      <c r="D8030" s="6">
        <v>29.06</v>
      </c>
      <c r="E8030" t="s">
        <v>29</v>
      </c>
    </row>
    <row r="8031" spans="1:5" x14ac:dyDescent="0.25">
      <c r="A8031" t="str">
        <f>HYPERLINK("https://www.773grp.com/globalSearch/DAC7641YB-250/page-1", "DAC7641YB-250")</f>
        <v>DAC7641YB-250</v>
      </c>
      <c r="B8031" s="3" t="str">
        <f>HYPERLINK("https://www.773grp.com/manufacturer/texas-instruments?pageNo=301", "Texas Instruments")</f>
        <v>Texas Instruments</v>
      </c>
      <c r="C8031" s="5">
        <v>16632</v>
      </c>
      <c r="D8031" s="6">
        <v>29.11</v>
      </c>
      <c r="E8031" t="s">
        <v>29</v>
      </c>
    </row>
    <row r="8032" spans="1:5" x14ac:dyDescent="0.25">
      <c r="A8032" t="str">
        <f>HYPERLINK("https://www.773grp.com/globalSearch/DAC8822QBDBT/page-1", "DAC8822QBDBT")</f>
        <v>DAC8822QBDBT</v>
      </c>
      <c r="B8032" s="3" t="str">
        <f>HYPERLINK("https://www.773grp.com/manufacturer/texas-instruments?pageNo=316", "Texas Instruments")</f>
        <v>Texas Instruments</v>
      </c>
      <c r="C8032" s="5">
        <v>1334</v>
      </c>
      <c r="D8032" s="6">
        <v>29.25</v>
      </c>
      <c r="E8032" t="s">
        <v>29</v>
      </c>
    </row>
    <row r="8033" spans="1:5" x14ac:dyDescent="0.25">
      <c r="A8033" t="str">
        <f>HYPERLINK("https://www.773grp.com/globalSearch/DAC7718SRGZT/page-1", "DAC7718SRGZT")</f>
        <v>DAC7718SRGZT</v>
      </c>
      <c r="B8033" s="3" t="str">
        <f>HYPERLINK("https://www.773grp.com/manufacturer/texas-instruments?pageNo=352", "Texas Instruments")</f>
        <v>Texas Instruments</v>
      </c>
      <c r="C8033" s="5">
        <v>856</v>
      </c>
      <c r="D8033" s="6">
        <v>29.4</v>
      </c>
      <c r="E8033" t="s">
        <v>29</v>
      </c>
    </row>
    <row r="8034" spans="1:5" x14ac:dyDescent="0.25">
      <c r="A8034" t="str">
        <f>HYPERLINK("https://www.773grp.com/globalSearch/DAC7728SRTQT/page-1", "DAC7728SRTQT")</f>
        <v>DAC7728SRTQT</v>
      </c>
      <c r="B8034" s="3" t="str">
        <f>HYPERLINK("https://www.773grp.com/manufacturer/texas-instruments?pageNo=353", "Texas Instruments")</f>
        <v>Texas Instruments</v>
      </c>
      <c r="C8034" s="5">
        <v>1750</v>
      </c>
      <c r="D8034" s="6">
        <v>29.4</v>
      </c>
      <c r="E8034" t="s">
        <v>29</v>
      </c>
    </row>
    <row r="8035" spans="1:5" x14ac:dyDescent="0.25">
      <c r="A8035" t="str">
        <f>HYPERLINK("https://www.773grp.com/globalSearch/TLV5630IPW/page-1", "TLV5630IPW")</f>
        <v>TLV5630IPW</v>
      </c>
      <c r="B8035" s="3" t="str">
        <f>HYPERLINK("https://www.773grp.com/manufacturer/texas-instruments?pageNo=358", "Texas Instruments")</f>
        <v>Texas Instruments</v>
      </c>
      <c r="C8035" s="5">
        <v>48</v>
      </c>
      <c r="D8035" s="6">
        <v>29.4</v>
      </c>
      <c r="E8035" t="s">
        <v>29</v>
      </c>
    </row>
    <row r="8036" spans="1:5" x14ac:dyDescent="0.25">
      <c r="A8036" t="str">
        <f>HYPERLINK("https://www.773grp.com/globalSearch/DAC8534IPW/page-1", "DAC8534IPW")</f>
        <v>DAC8534IPW</v>
      </c>
      <c r="B8036" s="3" t="str">
        <f>HYPERLINK("https://www.773grp.com/manufacturer/texas-instruments?pageNo=375", "Texas Instruments")</f>
        <v>Texas Instruments</v>
      </c>
      <c r="C8036" s="5">
        <v>47</v>
      </c>
      <c r="D8036" s="6">
        <v>29.54</v>
      </c>
      <c r="E8036" t="s">
        <v>29</v>
      </c>
    </row>
    <row r="8037" spans="1:5" x14ac:dyDescent="0.25">
      <c r="A8037" t="str">
        <f>HYPERLINK("https://www.773grp.com/globalSearch/DAC8812IBPW/page-1", "DAC8812IBPW")</f>
        <v>DAC8812IBPW</v>
      </c>
      <c r="B8037" s="3" t="str">
        <f>HYPERLINK("https://www.773grp.com/manufacturer/texas-instruments?pageNo=405", "Texas Instruments")</f>
        <v>Texas Instruments</v>
      </c>
      <c r="C8037" s="5">
        <v>9</v>
      </c>
      <c r="D8037" s="6">
        <v>29.75</v>
      </c>
      <c r="E8037" t="s">
        <v>29</v>
      </c>
    </row>
    <row r="8038" spans="1:5" x14ac:dyDescent="0.25">
      <c r="A8038" t="str">
        <f>HYPERLINK("https://www.773grp.com/globalSearch/DAC904E/page-1", "DAC904E")</f>
        <v>DAC904E</v>
      </c>
      <c r="B8038" s="3" t="str">
        <f>HYPERLINK("https://www.773grp.com/manufacturer/texas-instruments?pageNo=456", "Texas Instruments")</f>
        <v>Texas Instruments</v>
      </c>
      <c r="C8038" s="5">
        <v>7283</v>
      </c>
      <c r="D8038" s="6">
        <v>30.21</v>
      </c>
      <c r="E8038" t="s">
        <v>29</v>
      </c>
    </row>
    <row r="8039" spans="1:5" x14ac:dyDescent="0.25">
      <c r="A8039" t="str">
        <f>HYPERLINK("https://www.773grp.com/globalSearch/DAC904EG4/page-1", "DAC904EG4")</f>
        <v>DAC904EG4</v>
      </c>
      <c r="B8039" s="3" t="str">
        <f>HYPERLINK("https://www.773grp.com/manufacturer/texas-instruments?pageNo=457", "Texas Instruments")</f>
        <v>Texas Instruments</v>
      </c>
      <c r="C8039" s="5">
        <v>143</v>
      </c>
      <c r="D8039" s="6">
        <v>30.21</v>
      </c>
      <c r="E8039" t="s">
        <v>29</v>
      </c>
    </row>
    <row r="8040" spans="1:5" x14ac:dyDescent="0.25">
      <c r="A8040" t="str">
        <f>HYPERLINK("https://www.773grp.com/globalSearch/DAC904U/page-1", "DAC904U")</f>
        <v>DAC904U</v>
      </c>
      <c r="B8040" s="3" t="str">
        <f>HYPERLINK("https://www.773grp.com/manufacturer/texas-instruments?pageNo=458", "Texas Instruments")</f>
        <v>Texas Instruments</v>
      </c>
      <c r="C8040" s="5">
        <v>4386</v>
      </c>
      <c r="D8040" s="6">
        <v>30.21</v>
      </c>
      <c r="E8040" t="s">
        <v>29</v>
      </c>
    </row>
    <row r="8041" spans="1:5" x14ac:dyDescent="0.25">
      <c r="A8041" t="str">
        <f>HYPERLINK("https://www.773grp.com/globalSearch/DAC2900Y-1K/page-1", "DAC2900Y-1K")</f>
        <v>DAC2900Y-1K</v>
      </c>
      <c r="B8041" s="3" t="str">
        <f>HYPERLINK("https://www.773grp.com/manufacturer/texas-instruments?pageNo=539", "Texas Instruments")</f>
        <v>Texas Instruments</v>
      </c>
      <c r="C8041" s="5">
        <v>19000</v>
      </c>
      <c r="D8041" s="6">
        <v>30.71</v>
      </c>
      <c r="E8041" t="s">
        <v>29</v>
      </c>
    </row>
    <row r="8042" spans="1:5" x14ac:dyDescent="0.25">
      <c r="A8042" t="str">
        <f>HYPERLINK("https://www.773grp.com/globalSearch/DAC7625UB-1K/page-1", "DAC7625UB-1K")</f>
        <v>DAC7625UB-1K</v>
      </c>
      <c r="B8042" s="3" t="str">
        <f>HYPERLINK("https://www.773grp.com/manufacturer/texas-instruments?pageNo=540", "Texas Instruments")</f>
        <v>Texas Instruments</v>
      </c>
      <c r="C8042" s="5">
        <v>900</v>
      </c>
      <c r="D8042" s="6">
        <v>30.71</v>
      </c>
      <c r="E8042" t="s">
        <v>29</v>
      </c>
    </row>
    <row r="8043" spans="1:5" x14ac:dyDescent="0.25">
      <c r="A8043" t="str">
        <f>HYPERLINK("https://www.773grp.com/globalSearch/DAC7718SPAG/page-1", "DAC7718SPAG")</f>
        <v>DAC7718SPAG</v>
      </c>
      <c r="B8043" s="3" t="str">
        <f>HYPERLINK("https://www.773grp.com/manufacturer/texas-instruments?pageNo=581", "Texas Instruments")</f>
        <v>Texas Instruments</v>
      </c>
      <c r="C8043" s="5">
        <v>538</v>
      </c>
      <c r="D8043" s="6">
        <v>30.8</v>
      </c>
      <c r="E8043" t="s">
        <v>29</v>
      </c>
    </row>
    <row r="8044" spans="1:5" x14ac:dyDescent="0.25">
      <c r="A8044" t="str">
        <f>HYPERLINK("https://www.773grp.com/globalSearch/DAC7728SPAG/page-1", "DAC7728SPAG")</f>
        <v>DAC7728SPAG</v>
      </c>
      <c r="B8044" s="3" t="str">
        <f>HYPERLINK("https://www.773grp.com/manufacturer/texas-instruments?pageNo=582", "Texas Instruments")</f>
        <v>Texas Instruments</v>
      </c>
      <c r="C8044" s="5">
        <v>1668</v>
      </c>
      <c r="D8044" s="6">
        <v>30.8</v>
      </c>
      <c r="E8044" t="s">
        <v>29</v>
      </c>
    </row>
    <row r="8045" spans="1:5" x14ac:dyDescent="0.25">
      <c r="A8045" t="str">
        <f>HYPERLINK("https://www.773grp.com/globalSearch/DAC8568IBPWR/page-1", "DAC8568IBPWR")</f>
        <v>DAC8568IBPWR</v>
      </c>
      <c r="B8045" s="3" t="str">
        <f>HYPERLINK("https://www.773grp.com/manufacturer/texas-instruments?pageNo=583", "Texas Instruments")</f>
        <v>Texas Instruments</v>
      </c>
      <c r="C8045" s="5">
        <v>3995</v>
      </c>
      <c r="D8045" s="6">
        <v>30.8</v>
      </c>
      <c r="E8045" t="s">
        <v>29</v>
      </c>
    </row>
    <row r="8046" spans="1:5" x14ac:dyDescent="0.25">
      <c r="A8046" t="str">
        <f>HYPERLINK("https://www.773grp.com/globalSearch/TLV5614IYE/page-1", "TLV5614IYE")</f>
        <v>TLV5614IYE</v>
      </c>
      <c r="B8046" s="3" t="str">
        <f>HYPERLINK("https://www.773grp.com/manufacturer/texas-instruments?pageNo=632", "Texas Instruments")</f>
        <v>Texas Instruments</v>
      </c>
      <c r="C8046" s="5">
        <v>28130</v>
      </c>
      <c r="D8046" s="6">
        <v>30.94</v>
      </c>
      <c r="E8046" t="s">
        <v>29</v>
      </c>
    </row>
    <row r="8047" spans="1:5" x14ac:dyDescent="0.25">
      <c r="A8047" t="str">
        <f>HYPERLINK("https://www.773grp.com/globalSearch/DAC7545GLP/page-1", "DAC7545GLP")</f>
        <v>DAC7545GLP</v>
      </c>
      <c r="B8047" s="3" t="str">
        <f>HYPERLINK("https://www.773grp.com/manufacturer/texas-instruments?pageNo=655", "Texas Instruments")</f>
        <v>Texas Instruments</v>
      </c>
      <c r="C8047" s="5">
        <v>16</v>
      </c>
      <c r="D8047" s="6">
        <v>31.19</v>
      </c>
      <c r="E8047" t="s">
        <v>29</v>
      </c>
    </row>
    <row r="8048" spans="1:5" x14ac:dyDescent="0.25">
      <c r="A8048" t="str">
        <f>HYPERLINK("https://www.773grp.com/globalSearch/DAC667JP/page-1", "DAC667JP")</f>
        <v>DAC667JP</v>
      </c>
      <c r="B8048" s="3" t="str">
        <f>HYPERLINK("https://www.773grp.com/manufacturer/texas-instruments?pageNo=667", "Texas Instruments")</f>
        <v>Texas Instruments</v>
      </c>
      <c r="C8048" s="5">
        <v>780</v>
      </c>
      <c r="D8048" s="6">
        <v>31.34</v>
      </c>
      <c r="E8048" t="s">
        <v>29</v>
      </c>
    </row>
    <row r="8049" spans="1:5" x14ac:dyDescent="0.25">
      <c r="A8049" t="str">
        <f>HYPERLINK("https://www.773grp.com/globalSearch/DSD1794ADBR/page-1", "DSD1794ADBR")</f>
        <v>DSD1794ADBR</v>
      </c>
      <c r="B8049" s="3" t="str">
        <f>HYPERLINK("https://www.773grp.com/manufacturer/texas-instruments?pageNo=687", "Texas Instruments")</f>
        <v>Texas Instruments</v>
      </c>
      <c r="C8049" s="5">
        <v>1953</v>
      </c>
      <c r="D8049" s="6">
        <v>31.44</v>
      </c>
      <c r="E8049" t="s">
        <v>29</v>
      </c>
    </row>
    <row r="8050" spans="1:5" x14ac:dyDescent="0.25">
      <c r="A8050" t="str">
        <f>HYPERLINK("https://www.773grp.com/globalSearch/DAC8168IAPW/page-1", "DAC8168IAPW")</f>
        <v>DAC8168IAPW</v>
      </c>
      <c r="B8050" s="3" t="str">
        <f>HYPERLINK("https://www.773grp.com/manufacturer/texas-instruments?pageNo=693", "Texas Instruments")</f>
        <v>Texas Instruments</v>
      </c>
      <c r="C8050" s="5">
        <v>1430</v>
      </c>
      <c r="D8050" s="6">
        <v>31.5</v>
      </c>
      <c r="E8050" t="s">
        <v>29</v>
      </c>
    </row>
    <row r="8051" spans="1:5" x14ac:dyDescent="0.25">
      <c r="A8051" t="str">
        <f>HYPERLINK("https://www.773grp.com/globalSearch/DAC8871SPW/page-1", "DAC8871SPW")</f>
        <v>DAC8871SPW</v>
      </c>
      <c r="B8051" s="3" t="str">
        <f>HYPERLINK("https://www.773grp.com/manufacturer/texas-instruments?pageNo=697", "Texas Instruments")</f>
        <v>Texas Instruments</v>
      </c>
      <c r="C8051" s="5">
        <v>116</v>
      </c>
      <c r="D8051" s="6">
        <v>31.56</v>
      </c>
      <c r="E8051" t="s">
        <v>29</v>
      </c>
    </row>
    <row r="8052" spans="1:5" x14ac:dyDescent="0.25">
      <c r="A8052" t="str">
        <f>HYPERLINK("https://www.773grp.com/globalSearch/DAC7741YB-250/page-1", "DAC7741YB-250")</f>
        <v>DAC7741YB-250</v>
      </c>
      <c r="B8052" s="3" t="str">
        <f>HYPERLINK("https://www.773grp.com/manufacturer/texas-instruments?pageNo=707", "Texas Instruments")</f>
        <v>Texas Instruments</v>
      </c>
      <c r="C8052" s="5">
        <v>5220</v>
      </c>
      <c r="D8052" s="6">
        <v>31.64</v>
      </c>
      <c r="E8052" t="s">
        <v>29</v>
      </c>
    </row>
    <row r="8053" spans="1:5" x14ac:dyDescent="0.25">
      <c r="A8053" t="str">
        <f>HYPERLINK("https://www.773grp.com/globalSearch/DAC7741YB-250/page-1", "DAC7741YB-250")</f>
        <v>DAC7741YB-250</v>
      </c>
      <c r="B8053" s="3" t="str">
        <f>HYPERLINK("https://www.773grp.com/manufacturer/texas-instruments?pageNo=708", "Texas Instruments")</f>
        <v>Texas Instruments</v>
      </c>
      <c r="C8053" s="5">
        <v>3718</v>
      </c>
      <c r="D8053" s="6">
        <v>31.64</v>
      </c>
      <c r="E8053" t="s">
        <v>29</v>
      </c>
    </row>
    <row r="8054" spans="1:5" x14ac:dyDescent="0.25">
      <c r="A8054" t="str">
        <f>HYPERLINK("https://www.773grp.com/globalSearch/TLV5614CPW/page-1", "TLV5614CPW")</f>
        <v>TLV5614CPW</v>
      </c>
      <c r="B8054" s="3" t="str">
        <f>HYPERLINK("https://www.773grp.com/manufacturer/texas-instruments?pageNo=733", "Texas Instruments")</f>
        <v>Texas Instruments</v>
      </c>
      <c r="C8054" s="5">
        <v>193</v>
      </c>
      <c r="D8054" s="6">
        <v>31.78</v>
      </c>
      <c r="E8054" t="s">
        <v>29</v>
      </c>
    </row>
    <row r="8055" spans="1:5" x14ac:dyDescent="0.25">
      <c r="A8055" t="str">
        <f>HYPERLINK("https://www.773grp.com/globalSearch/DAC8168ICPWR/page-1", "DAC8168ICPWR")</f>
        <v>DAC8168ICPWR</v>
      </c>
      <c r="B8055" s="3" t="str">
        <f>HYPERLINK("https://www.773grp.com/manufacturer/texas-instruments?pageNo=924", "Texas Instruments")</f>
        <v>Texas Instruments</v>
      </c>
      <c r="C8055" s="5">
        <v>96000</v>
      </c>
      <c r="D8055" s="6">
        <v>33.19</v>
      </c>
      <c r="E8055" t="s">
        <v>29</v>
      </c>
    </row>
    <row r="8056" spans="1:5" x14ac:dyDescent="0.25">
      <c r="A8056" t="str">
        <f>HYPERLINK("https://www.773grp.com/globalSearch/DAC8820ICDB/page-1", "DAC8820ICDB")</f>
        <v>DAC8820ICDB</v>
      </c>
      <c r="B8056" s="3" t="s">
        <v>90</v>
      </c>
      <c r="C8056" s="5">
        <v>3072</v>
      </c>
      <c r="D8056" s="6">
        <v>33.46</v>
      </c>
      <c r="E8056" t="s">
        <v>29</v>
      </c>
    </row>
    <row r="8057" spans="1:5" x14ac:dyDescent="0.25">
      <c r="A8057" t="str">
        <f>HYPERLINK("https://www.773grp.com/globalSearch/PCM2702E/page-1", "PCM2702E")</f>
        <v>PCM2702E</v>
      </c>
      <c r="B8057" s="3" t="s">
        <v>90</v>
      </c>
      <c r="C8057" s="5">
        <v>69</v>
      </c>
      <c r="D8057" s="6">
        <v>33.549999999999997</v>
      </c>
      <c r="E8057" t="s">
        <v>29</v>
      </c>
    </row>
    <row r="8058" spans="1:5" x14ac:dyDescent="0.25">
      <c r="A8058" t="str">
        <f>HYPERLINK("https://www.773grp.com/globalSearch/PCM2702E/page-1", "PCM2702E")</f>
        <v>PCM2702E</v>
      </c>
      <c r="B8058" s="3" t="s">
        <v>90</v>
      </c>
      <c r="C8058" s="5">
        <v>39</v>
      </c>
      <c r="D8058" s="6">
        <v>33.549999999999997</v>
      </c>
      <c r="E8058" t="s">
        <v>29</v>
      </c>
    </row>
    <row r="8059" spans="1:5" x14ac:dyDescent="0.25">
      <c r="A8059" t="str">
        <f>HYPERLINK("https://www.773grp.com/globalSearch/DAC7632VFT/page-1", "DAC7632VFT")</f>
        <v>DAC7632VFT</v>
      </c>
      <c r="B8059" s="3" t="s">
        <v>90</v>
      </c>
      <c r="C8059" s="5">
        <v>19758</v>
      </c>
      <c r="D8059" s="6">
        <v>33.61</v>
      </c>
      <c r="E8059" t="s">
        <v>29</v>
      </c>
    </row>
    <row r="8060" spans="1:5" x14ac:dyDescent="0.25">
      <c r="A8060" t="str">
        <f>HYPERLINK("https://www.773grp.com/globalSearch/DAC8822QCDBT/page-1", "DAC8822QCDBT")</f>
        <v>DAC8822QCDBT</v>
      </c>
      <c r="B8060" s="3" t="s">
        <v>90</v>
      </c>
      <c r="C8060" s="5">
        <v>14279</v>
      </c>
      <c r="D8060" s="6">
        <v>33.61</v>
      </c>
      <c r="E8060" t="s">
        <v>29</v>
      </c>
    </row>
    <row r="8061" spans="1:5" x14ac:dyDescent="0.25">
      <c r="A8061" t="str">
        <f>HYPERLINK("https://www.773grp.com/globalSearch/DAC7731EB/page-1", "DAC7731EB")</f>
        <v>DAC7731EB</v>
      </c>
      <c r="B8061" s="3" t="s">
        <v>90</v>
      </c>
      <c r="C8061" s="5">
        <v>41135</v>
      </c>
      <c r="D8061" s="6">
        <v>33.71</v>
      </c>
      <c r="E8061" t="s">
        <v>29</v>
      </c>
    </row>
    <row r="8062" spans="1:5" x14ac:dyDescent="0.25">
      <c r="A8062" t="str">
        <f>HYPERLINK("https://www.773grp.com/globalSearch/TLV5614ID/page-1", "TLV5614ID")</f>
        <v>TLV5614ID</v>
      </c>
      <c r="B8062" s="3" t="s">
        <v>90</v>
      </c>
      <c r="C8062" s="5">
        <v>13527</v>
      </c>
      <c r="D8062" s="6">
        <v>33.75</v>
      </c>
      <c r="E8062" t="s">
        <v>29</v>
      </c>
    </row>
    <row r="8063" spans="1:5" x14ac:dyDescent="0.25">
      <c r="A8063" t="str">
        <f>HYPERLINK("https://www.773grp.com/globalSearch/DAC8544IPFBR/page-1", "DAC8544IPFBR")</f>
        <v>DAC8544IPFBR</v>
      </c>
      <c r="B8063" s="3" t="s">
        <v>90</v>
      </c>
      <c r="C8063" s="5">
        <v>900</v>
      </c>
      <c r="D8063" s="6">
        <v>34.31</v>
      </c>
      <c r="E8063" t="s">
        <v>29</v>
      </c>
    </row>
    <row r="8064" spans="1:5" x14ac:dyDescent="0.25">
      <c r="A8064" t="str">
        <f>HYPERLINK("https://www.773grp.com/globalSearch/DAC7625U/page-1", "DAC7625U")</f>
        <v>DAC7625U</v>
      </c>
      <c r="B8064" s="3" t="s">
        <v>90</v>
      </c>
      <c r="C8064" s="5">
        <v>6780</v>
      </c>
      <c r="D8064" s="6">
        <v>34.43</v>
      </c>
      <c r="E8064" t="s">
        <v>29</v>
      </c>
    </row>
    <row r="8065" spans="1:5" x14ac:dyDescent="0.25">
      <c r="A8065" t="str">
        <f>HYPERLINK("https://www.773grp.com/globalSearch/DAC7624U/page-1", "DAC7624U")</f>
        <v>DAC7624U</v>
      </c>
      <c r="B8065" s="3" t="s">
        <v>90</v>
      </c>
      <c r="C8065" s="5">
        <v>18380</v>
      </c>
      <c r="D8065" s="6">
        <v>34.46</v>
      </c>
      <c r="E8065" t="s">
        <v>29</v>
      </c>
    </row>
    <row r="8066" spans="1:5" x14ac:dyDescent="0.25">
      <c r="A8066" t="str">
        <f>HYPERLINK("https://www.773grp.com/globalSearch/DAC7624U/page-1", "DAC7624U")</f>
        <v>DAC7624U</v>
      </c>
      <c r="B8066" s="3" t="s">
        <v>90</v>
      </c>
      <c r="C8066" s="5">
        <v>21</v>
      </c>
      <c r="D8066" s="6">
        <v>34.46</v>
      </c>
      <c r="E8066" t="s">
        <v>29</v>
      </c>
    </row>
    <row r="8067" spans="1:5" x14ac:dyDescent="0.25">
      <c r="A8067" t="str">
        <f>HYPERLINK("https://www.773grp.com/globalSearch/DAC7742Y-250/page-1", "DAC7742Y-250")</f>
        <v>DAC7742Y-250</v>
      </c>
      <c r="B8067" s="3" t="s">
        <v>90</v>
      </c>
      <c r="C8067" s="5">
        <v>19024</v>
      </c>
      <c r="D8067" s="6">
        <v>34.880000000000003</v>
      </c>
      <c r="E8067" t="s">
        <v>29</v>
      </c>
    </row>
    <row r="8068" spans="1:5" x14ac:dyDescent="0.25">
      <c r="A8068" t="str">
        <f>HYPERLINK("https://www.773grp.com/globalSearch/DAC2932PFBT/page-1", "DAC2932PFBT")</f>
        <v>DAC2932PFBT</v>
      </c>
      <c r="B8068" s="3" t="s">
        <v>90</v>
      </c>
      <c r="C8068" s="5">
        <v>1250</v>
      </c>
      <c r="D8068" s="6">
        <v>34.99</v>
      </c>
      <c r="E8068" t="s">
        <v>29</v>
      </c>
    </row>
    <row r="8069" spans="1:5" x14ac:dyDescent="0.25">
      <c r="A8069" t="str">
        <f>HYPERLINK("https://www.773grp.com/globalSearch/DAC7724N-750/page-1", "DAC7724N-750")</f>
        <v>DAC7724N-750</v>
      </c>
      <c r="B8069" s="3" t="s">
        <v>90</v>
      </c>
      <c r="C8069" s="5">
        <v>3750</v>
      </c>
      <c r="D8069" s="6">
        <v>35.01</v>
      </c>
      <c r="E8069" t="s">
        <v>29</v>
      </c>
    </row>
    <row r="8070" spans="1:5" x14ac:dyDescent="0.25">
      <c r="A8070" t="str">
        <f>HYPERLINK("https://www.773grp.com/globalSearch/DAC2900Y-250/page-1", "DAC2900Y-250")</f>
        <v>DAC2900Y-250</v>
      </c>
      <c r="B8070" s="3" t="s">
        <v>90</v>
      </c>
      <c r="C8070" s="5">
        <v>3374</v>
      </c>
      <c r="D8070" s="6">
        <v>35.299999999999997</v>
      </c>
      <c r="E8070" t="s">
        <v>29</v>
      </c>
    </row>
    <row r="8071" spans="1:5" x14ac:dyDescent="0.25">
      <c r="A8071" t="str">
        <f>HYPERLINK("https://www.773grp.com/globalSearch/DAC2900Y-250G4/page-1", "DAC2900Y-250G4")</f>
        <v>DAC2900Y-250G4</v>
      </c>
      <c r="B8071" s="3" t="s">
        <v>90</v>
      </c>
      <c r="C8071" s="5">
        <v>1000</v>
      </c>
      <c r="D8071" s="6">
        <v>35.299999999999997</v>
      </c>
      <c r="E8071" t="s">
        <v>29</v>
      </c>
    </row>
    <row r="8072" spans="1:5" x14ac:dyDescent="0.25">
      <c r="A8072" t="str">
        <f>HYPERLINK("https://www.773grp.com/globalSearch/DAC5662AIPFB/page-1", "DAC5662AIPFB")</f>
        <v>DAC5662AIPFB</v>
      </c>
      <c r="B8072" s="3" t="s">
        <v>90</v>
      </c>
      <c r="C8072" s="5">
        <v>484</v>
      </c>
      <c r="D8072" s="6">
        <v>35.86</v>
      </c>
      <c r="E8072" t="s">
        <v>29</v>
      </c>
    </row>
    <row r="8073" spans="1:5" x14ac:dyDescent="0.25">
      <c r="A8073" t="str">
        <f>HYPERLINK("https://www.773grp.com/globalSearch/DAC5662IPFB/page-1", "DAC5662IPFB")</f>
        <v>DAC5662IPFB</v>
      </c>
      <c r="B8073" s="3" t="s">
        <v>90</v>
      </c>
      <c r="C8073" s="5">
        <v>4029</v>
      </c>
      <c r="D8073" s="6">
        <v>35.86</v>
      </c>
      <c r="E8073" t="s">
        <v>29</v>
      </c>
    </row>
    <row r="8074" spans="1:5" x14ac:dyDescent="0.25">
      <c r="A8074" t="str">
        <f>HYPERLINK("https://www.773grp.com/globalSearch/DAC7741YC-250/page-1", "DAC7741YC-250")</f>
        <v>DAC7741YC-250</v>
      </c>
      <c r="B8074" s="3" t="s">
        <v>90</v>
      </c>
      <c r="C8074" s="5">
        <v>460</v>
      </c>
      <c r="D8074" s="6">
        <v>36</v>
      </c>
      <c r="E8074" t="s">
        <v>29</v>
      </c>
    </row>
    <row r="8075" spans="1:5" x14ac:dyDescent="0.25">
      <c r="A8075" t="str">
        <f>HYPERLINK("https://www.773grp.com/globalSearch/DAC5652MPFBREP/page-1", "DAC5652MPFBREP")</f>
        <v>DAC5652MPFBREP</v>
      </c>
      <c r="B8075" s="3" t="s">
        <v>90</v>
      </c>
      <c r="C8075" s="5">
        <v>880</v>
      </c>
      <c r="D8075" s="6">
        <v>36.409999999999997</v>
      </c>
      <c r="E8075" t="s">
        <v>29</v>
      </c>
    </row>
    <row r="8076" spans="1:5" x14ac:dyDescent="0.25">
      <c r="A8076" t="str">
        <f>HYPERLINK("https://www.773grp.com/globalSearch/DAC811JU/page-1", "DAC811JU")</f>
        <v>DAC811JU</v>
      </c>
      <c r="B8076" s="3" t="s">
        <v>90</v>
      </c>
      <c r="C8076" s="5">
        <v>168</v>
      </c>
      <c r="D8076" s="6">
        <v>36.56</v>
      </c>
      <c r="E8076" t="s">
        <v>29</v>
      </c>
    </row>
    <row r="8077" spans="1:5" x14ac:dyDescent="0.25">
      <c r="A8077" t="str">
        <f>HYPERLINK("https://www.773grp.com/globalSearch/DAC7731EC/page-1", "DAC7731EC")</f>
        <v>DAC7731EC</v>
      </c>
      <c r="B8077" s="3" t="s">
        <v>90</v>
      </c>
      <c r="C8077" s="5">
        <v>12729</v>
      </c>
      <c r="D8077" s="6">
        <v>36.880000000000003</v>
      </c>
      <c r="E8077" t="s">
        <v>29</v>
      </c>
    </row>
    <row r="8078" spans="1:5" x14ac:dyDescent="0.25">
      <c r="A8078" t="str">
        <f>HYPERLINK("https://www.773grp.com/globalSearch/DAC7643VFBT/page-1", "DAC7643VFBT")</f>
        <v>DAC7643VFBT</v>
      </c>
      <c r="B8078" s="3" t="s">
        <v>90</v>
      </c>
      <c r="C8078" s="5">
        <v>2190</v>
      </c>
      <c r="D8078" s="6">
        <v>37.409999999999997</v>
      </c>
      <c r="E8078" t="s">
        <v>29</v>
      </c>
    </row>
    <row r="8079" spans="1:5" x14ac:dyDescent="0.25">
      <c r="A8079" t="str">
        <f>HYPERLINK("https://www.773grp.com/globalSearch/DSD1792ADB/page-1", "DSD1792ADB")</f>
        <v>DSD1792ADB</v>
      </c>
      <c r="B8079" s="3" t="s">
        <v>90</v>
      </c>
      <c r="C8079" s="5">
        <v>415</v>
      </c>
      <c r="D8079" s="6">
        <v>37.46</v>
      </c>
      <c r="E8079" t="s">
        <v>29</v>
      </c>
    </row>
    <row r="8080" spans="1:5" x14ac:dyDescent="0.25">
      <c r="A8080" t="str">
        <f>HYPERLINK("https://www.773grp.com/globalSearch/DSD1794ADB/page-1", "DSD1794ADB")</f>
        <v>DSD1794ADB</v>
      </c>
      <c r="B8080" s="3" t="s">
        <v>90</v>
      </c>
      <c r="C8080" s="5">
        <v>48</v>
      </c>
      <c r="D8080" s="6">
        <v>37.46</v>
      </c>
      <c r="E8080" t="s">
        <v>29</v>
      </c>
    </row>
    <row r="8081" spans="1:5" x14ac:dyDescent="0.25">
      <c r="A8081" t="str">
        <f>HYPERLINK("https://www.773grp.com/globalSearch/DAC7724NB-750/page-1", "DAC7724NB-750")</f>
        <v>DAC7724NB-750</v>
      </c>
      <c r="B8081" s="3" t="s">
        <v>90</v>
      </c>
      <c r="C8081" s="5">
        <v>29250</v>
      </c>
      <c r="D8081" s="6">
        <v>37.549999999999997</v>
      </c>
      <c r="E8081" t="s">
        <v>29</v>
      </c>
    </row>
    <row r="8082" spans="1:5" x14ac:dyDescent="0.25">
      <c r="A8082" t="str">
        <f>HYPERLINK("https://www.773grp.com/globalSearch/DAC7725NB-750/page-1", "DAC7725NB-750")</f>
        <v>DAC7725NB-750</v>
      </c>
      <c r="B8082" s="3" t="s">
        <v>90</v>
      </c>
      <c r="C8082" s="5">
        <v>1500</v>
      </c>
      <c r="D8082" s="6">
        <v>37.549999999999997</v>
      </c>
      <c r="E8082" t="s">
        <v>29</v>
      </c>
    </row>
    <row r="8083" spans="1:5" x14ac:dyDescent="0.25">
      <c r="A8083" t="str">
        <f>HYPERLINK("https://www.773grp.com/globalSearch/DAC5672AIPFBR/page-1", "DAC5672AIPFBR")</f>
        <v>DAC5672AIPFBR</v>
      </c>
      <c r="B8083" s="3" t="s">
        <v>90</v>
      </c>
      <c r="C8083" s="5">
        <v>1000</v>
      </c>
      <c r="D8083" s="6">
        <v>37.69</v>
      </c>
      <c r="E8083" t="s">
        <v>29</v>
      </c>
    </row>
    <row r="8084" spans="1:5" x14ac:dyDescent="0.25">
      <c r="A8084" t="str">
        <f>HYPERLINK("https://www.773grp.com/globalSearch/DAC5672IPFBR/page-1", "DAC5672IPFBR")</f>
        <v>DAC5672IPFBR</v>
      </c>
      <c r="B8084" s="3" t="s">
        <v>90</v>
      </c>
      <c r="C8084" s="5">
        <v>1000</v>
      </c>
      <c r="D8084" s="6">
        <v>37.69</v>
      </c>
      <c r="E8084" t="s">
        <v>29</v>
      </c>
    </row>
    <row r="8085" spans="1:5" x14ac:dyDescent="0.25">
      <c r="A8085" t="str">
        <f>HYPERLINK("https://www.773grp.com/globalSearch/DAC7714U/page-1", "DAC7714U")</f>
        <v>DAC7714U</v>
      </c>
      <c r="B8085" s="3" t="s">
        <v>90</v>
      </c>
      <c r="C8085" s="5">
        <v>1440</v>
      </c>
      <c r="D8085" s="6">
        <v>37.840000000000003</v>
      </c>
      <c r="E8085" t="s">
        <v>29</v>
      </c>
    </row>
    <row r="8086" spans="1:5" x14ac:dyDescent="0.25">
      <c r="A8086" t="str">
        <f>HYPERLINK("https://www.773grp.com/globalSearch/DAC7800KU-1K/page-1", "DAC7800KU-1K")</f>
        <v>DAC7800KU-1K</v>
      </c>
      <c r="B8086" s="3" t="s">
        <v>90</v>
      </c>
      <c r="C8086" s="5">
        <v>2000</v>
      </c>
      <c r="D8086" s="6">
        <v>38.1</v>
      </c>
      <c r="E8086" t="s">
        <v>29</v>
      </c>
    </row>
    <row r="8087" spans="1:5" x14ac:dyDescent="0.25">
      <c r="A8087" t="str">
        <f>HYPERLINK("https://www.773grp.com/globalSearch/TLV5614MPWREP/page-1", "TLV5614MPWREP")</f>
        <v>TLV5614MPWREP</v>
      </c>
      <c r="B8087" s="3" t="s">
        <v>90</v>
      </c>
      <c r="C8087" s="5">
        <v>1553</v>
      </c>
      <c r="D8087" s="6">
        <v>38.25</v>
      </c>
      <c r="E8087" t="s">
        <v>29</v>
      </c>
    </row>
    <row r="8088" spans="1:5" x14ac:dyDescent="0.25">
      <c r="A8088" t="str">
        <f>HYPERLINK("https://www.773grp.com/globalSearch/DAC8168ICPW/page-1", "DAC8168ICPW")</f>
        <v>DAC8168ICPW</v>
      </c>
      <c r="B8088" s="3" t="s">
        <v>90</v>
      </c>
      <c r="C8088" s="5">
        <v>12251</v>
      </c>
      <c r="D8088" s="6">
        <v>38.81</v>
      </c>
      <c r="E8088" t="s">
        <v>29</v>
      </c>
    </row>
    <row r="8089" spans="1:5" x14ac:dyDescent="0.25">
      <c r="A8089" t="str">
        <f>HYPERLINK("https://www.773grp.com/globalSearch/DAC7725U/page-1", "DAC7725U")</f>
        <v>DAC7725U</v>
      </c>
      <c r="B8089" s="3" t="s">
        <v>90</v>
      </c>
      <c r="C8089" s="5">
        <v>404</v>
      </c>
      <c r="D8089" s="6">
        <v>38.950000000000003</v>
      </c>
      <c r="E8089" t="s">
        <v>29</v>
      </c>
    </row>
    <row r="8090" spans="1:5" x14ac:dyDescent="0.25">
      <c r="A8090" t="str">
        <f>HYPERLINK("https://www.773grp.com/globalSearch/PCM56P/page-1", "PCM56P")</f>
        <v>PCM56P</v>
      </c>
      <c r="B8090" s="3" t="s">
        <v>90</v>
      </c>
      <c r="C8090" s="5">
        <v>1711</v>
      </c>
      <c r="D8090" s="6">
        <v>38.99</v>
      </c>
      <c r="E8090" t="s">
        <v>29</v>
      </c>
    </row>
    <row r="8091" spans="1:5" x14ac:dyDescent="0.25">
      <c r="A8091" t="str">
        <f>HYPERLINK("https://www.773grp.com/globalSearch/PCM56P-J/page-1", "PCM56P-J")</f>
        <v>PCM56P-J</v>
      </c>
      <c r="B8091" s="3" t="s">
        <v>90</v>
      </c>
      <c r="C8091" s="5">
        <v>50</v>
      </c>
      <c r="D8091" s="6">
        <v>38.99</v>
      </c>
      <c r="E8091" t="s">
        <v>29</v>
      </c>
    </row>
    <row r="8092" spans="1:5" x14ac:dyDescent="0.25">
      <c r="A8092" t="str">
        <f>HYPERLINK("https://www.773grp.com/globalSearch/PCM56P-J/page-1", "PCM56P-J")</f>
        <v>PCM56P-J</v>
      </c>
      <c r="B8092" s="3" t="s">
        <v>90</v>
      </c>
      <c r="C8092" s="5">
        <v>65</v>
      </c>
      <c r="D8092" s="6">
        <v>38.99</v>
      </c>
      <c r="E8092" t="s">
        <v>29</v>
      </c>
    </row>
    <row r="8093" spans="1:5" x14ac:dyDescent="0.25">
      <c r="A8093" t="str">
        <f>HYPERLINK("https://www.773grp.com/globalSearch/PCM56P-K/page-1", "PCM56P-K")</f>
        <v>PCM56P-K</v>
      </c>
      <c r="B8093" s="3" t="s">
        <v>90</v>
      </c>
      <c r="C8093" s="5">
        <v>100</v>
      </c>
      <c r="D8093" s="6">
        <v>38.99</v>
      </c>
      <c r="E8093" t="s">
        <v>29</v>
      </c>
    </row>
    <row r="8094" spans="1:5" x14ac:dyDescent="0.25">
      <c r="A8094" t="str">
        <f>HYPERLINK("https://www.773grp.com/globalSearch/PCM56P-KG4/page-1", "PCM56P-KG4")</f>
        <v>PCM56P-KG4</v>
      </c>
      <c r="B8094" s="3" t="s">
        <v>90</v>
      </c>
      <c r="C8094" s="5">
        <v>1</v>
      </c>
      <c r="D8094" s="6">
        <v>38.99</v>
      </c>
      <c r="E8094" t="s">
        <v>29</v>
      </c>
    </row>
    <row r="8095" spans="1:5" x14ac:dyDescent="0.25">
      <c r="A8095" t="str">
        <f>HYPERLINK("https://www.773grp.com/globalSearch/DAC7742YB-250/page-1", "DAC7742YB-250")</f>
        <v>DAC7742YB-250</v>
      </c>
      <c r="B8095" s="3" t="s">
        <v>90</v>
      </c>
      <c r="C8095" s="5">
        <v>6592</v>
      </c>
      <c r="D8095" s="6">
        <v>39.79</v>
      </c>
      <c r="E8095" t="s">
        <v>29</v>
      </c>
    </row>
    <row r="8096" spans="1:5" x14ac:dyDescent="0.25">
      <c r="A8096" t="str">
        <f>HYPERLINK("https://www.773grp.com/globalSearch/DAC8803IDBT/page-1", "DAC8803IDBT")</f>
        <v>DAC8803IDBT</v>
      </c>
      <c r="B8096" s="3" t="s">
        <v>90</v>
      </c>
      <c r="C8096" s="5">
        <v>2528</v>
      </c>
      <c r="D8096" s="6">
        <v>39.79</v>
      </c>
      <c r="E8096" t="s">
        <v>29</v>
      </c>
    </row>
    <row r="8097" spans="1:5" x14ac:dyDescent="0.25">
      <c r="A8097" t="str">
        <f>HYPERLINK("https://www.773grp.com/globalSearch/DAC8544IPFB/page-1", "DAC8544IPFB")</f>
        <v>DAC8544IPFB</v>
      </c>
      <c r="B8097" s="3" t="s">
        <v>90</v>
      </c>
      <c r="C8097" s="5">
        <v>589</v>
      </c>
      <c r="D8097" s="6">
        <v>39.94</v>
      </c>
      <c r="E8097" t="s">
        <v>29</v>
      </c>
    </row>
    <row r="8098" spans="1:5" x14ac:dyDescent="0.25">
      <c r="A8098" t="str">
        <f>HYPERLINK("https://www.773grp.com/globalSearch/DAC7724N/page-1", "DAC7724N")</f>
        <v>DAC7724N</v>
      </c>
      <c r="B8098" s="3" t="s">
        <v>90</v>
      </c>
      <c r="C8098" s="5">
        <v>3472</v>
      </c>
      <c r="D8098" s="6">
        <v>40.64</v>
      </c>
      <c r="E8098" t="s">
        <v>29</v>
      </c>
    </row>
    <row r="8099" spans="1:5" x14ac:dyDescent="0.25">
      <c r="A8099" t="str">
        <f>HYPERLINK("https://www.773grp.com/globalSearch/DAC7724N/page-1", "DAC7724N")</f>
        <v>DAC7724N</v>
      </c>
      <c r="B8099" s="3" t="s">
        <v>90</v>
      </c>
      <c r="C8099" s="5">
        <v>881</v>
      </c>
      <c r="D8099" s="6">
        <v>40.64</v>
      </c>
      <c r="E8099" t="s">
        <v>29</v>
      </c>
    </row>
    <row r="8100" spans="1:5" x14ac:dyDescent="0.25">
      <c r="A8100" t="str">
        <f>HYPERLINK("https://www.773grp.com/globalSearch/DAC714U-1K/page-1", "DAC714U-1K")</f>
        <v>DAC714U-1K</v>
      </c>
      <c r="B8100" s="3" t="s">
        <v>90</v>
      </c>
      <c r="C8100" s="5">
        <v>2000</v>
      </c>
      <c r="D8100" s="6">
        <v>40.79</v>
      </c>
      <c r="E8100" t="s">
        <v>29</v>
      </c>
    </row>
    <row r="8101" spans="1:5" x14ac:dyDescent="0.25">
      <c r="A8101" t="str">
        <f>HYPERLINK("https://www.773grp.com/globalSearch/DAC7714UB/page-1", "DAC7714UB")</f>
        <v>DAC7714UB</v>
      </c>
      <c r="B8101" s="3" t="s">
        <v>90</v>
      </c>
      <c r="C8101" s="5">
        <v>455</v>
      </c>
      <c r="D8101" s="6">
        <v>41.06</v>
      </c>
      <c r="E8101" t="s">
        <v>29</v>
      </c>
    </row>
    <row r="8102" spans="1:5" x14ac:dyDescent="0.25">
      <c r="A8102" t="str">
        <f>HYPERLINK("https://www.773grp.com/globalSearch/DAC7615P/page-1", "DAC7615P")</f>
        <v>DAC7615P</v>
      </c>
      <c r="B8102" s="3" t="s">
        <v>90</v>
      </c>
      <c r="C8102" s="5">
        <v>3115</v>
      </c>
      <c r="D8102" s="6">
        <v>41.21</v>
      </c>
      <c r="E8102" t="s">
        <v>29</v>
      </c>
    </row>
    <row r="8103" spans="1:5" x14ac:dyDescent="0.25">
      <c r="A8103" t="str">
        <f>HYPERLINK("https://www.773grp.com/globalSearch/DAC7642VFT/page-1", "DAC7642VFT")</f>
        <v>DAC7642VFT</v>
      </c>
      <c r="B8103" s="3" t="s">
        <v>90</v>
      </c>
      <c r="C8103" s="5">
        <v>251</v>
      </c>
      <c r="D8103" s="6">
        <v>41.35</v>
      </c>
      <c r="E8103" t="s">
        <v>29</v>
      </c>
    </row>
    <row r="8104" spans="1:5" x14ac:dyDescent="0.25">
      <c r="A8104" t="str">
        <f>HYPERLINK("https://www.773grp.com/globalSearch/DAC7643VFT/page-1", "DAC7643VFT")</f>
        <v>DAC7643VFT</v>
      </c>
      <c r="B8104" s="3" t="s">
        <v>90</v>
      </c>
      <c r="C8104" s="5">
        <v>1495</v>
      </c>
      <c r="D8104" s="6">
        <v>41.35</v>
      </c>
      <c r="E8104" t="s">
        <v>29</v>
      </c>
    </row>
    <row r="8105" spans="1:5" x14ac:dyDescent="0.25">
      <c r="A8105" t="str">
        <f>HYPERLINK("https://www.773grp.com/globalSearch/DAC5672AIPFB/page-1", "DAC5672AIPFB")</f>
        <v>DAC5672AIPFB</v>
      </c>
      <c r="B8105" s="3" t="s">
        <v>90</v>
      </c>
      <c r="C8105" s="5">
        <v>653</v>
      </c>
      <c r="D8105" s="6">
        <v>41.9</v>
      </c>
      <c r="E8105" t="s">
        <v>29</v>
      </c>
    </row>
    <row r="8106" spans="1:5" x14ac:dyDescent="0.25">
      <c r="A8106" t="str">
        <f>HYPERLINK("https://www.773grp.com/globalSearch/DAC5672IPFB/page-1", "DAC5672IPFB")</f>
        <v>DAC5672IPFB</v>
      </c>
      <c r="B8106" s="3" t="s">
        <v>90</v>
      </c>
      <c r="C8106" s="5">
        <v>2296</v>
      </c>
      <c r="D8106" s="6">
        <v>41.9</v>
      </c>
      <c r="E8106" t="s">
        <v>29</v>
      </c>
    </row>
    <row r="8107" spans="1:5" x14ac:dyDescent="0.25">
      <c r="A8107" t="str">
        <f>HYPERLINK("https://www.773grp.com/globalSearch/DAC8830MCDEP/page-1", "DAC8830MCDEP")</f>
        <v>DAC8830MCDEP</v>
      </c>
      <c r="B8107" s="3" t="s">
        <v>90</v>
      </c>
      <c r="C8107" s="5">
        <v>66</v>
      </c>
      <c r="D8107" s="6">
        <v>41.9</v>
      </c>
      <c r="E8107" t="s">
        <v>29</v>
      </c>
    </row>
    <row r="8108" spans="1:5" x14ac:dyDescent="0.25">
      <c r="A8108" t="str">
        <f>HYPERLINK("https://www.773grp.com/globalSearch/DAC8831MCDREP/page-1", "DAC8831MCDREP")</f>
        <v>DAC8831MCDREP</v>
      </c>
      <c r="B8108" s="3" t="s">
        <v>90</v>
      </c>
      <c r="C8108" s="5">
        <v>2230</v>
      </c>
      <c r="D8108" s="6">
        <v>41.9</v>
      </c>
      <c r="E8108" t="s">
        <v>29</v>
      </c>
    </row>
    <row r="8109" spans="1:5" x14ac:dyDescent="0.25">
      <c r="A8109" t="str">
        <f>HYPERLINK("https://www.773grp.com/globalSearch/DAC8218SRGZT/page-1", "DAC8218SRGZT")</f>
        <v>DAC8218SRGZT</v>
      </c>
      <c r="B8109" s="3" t="s">
        <v>90</v>
      </c>
      <c r="C8109" s="5">
        <v>893</v>
      </c>
      <c r="D8109" s="6">
        <v>42.05</v>
      </c>
      <c r="E8109" t="s">
        <v>29</v>
      </c>
    </row>
    <row r="8110" spans="1:5" x14ac:dyDescent="0.25">
      <c r="A8110" t="str">
        <f>HYPERLINK("https://www.773grp.com/globalSearch/DAC8228SRTQT/page-1", "DAC8228SRTQT")</f>
        <v>DAC8228SRTQT</v>
      </c>
      <c r="B8110" s="3" t="s">
        <v>90</v>
      </c>
      <c r="C8110" s="5">
        <v>1740</v>
      </c>
      <c r="D8110" s="6">
        <v>42.05</v>
      </c>
      <c r="E8110" t="s">
        <v>29</v>
      </c>
    </row>
    <row r="8111" spans="1:5" x14ac:dyDescent="0.25">
      <c r="A8111" t="str">
        <f>HYPERLINK("https://www.773grp.com/globalSearch/DAC8234SPFBR/page-1", "DAC8234SPFBR")</f>
        <v>DAC8234SPFBR</v>
      </c>
      <c r="B8111" s="3" t="s">
        <v>90</v>
      </c>
      <c r="C8111" s="5">
        <v>1000</v>
      </c>
      <c r="D8111" s="6">
        <v>42.05</v>
      </c>
      <c r="E8111" t="s">
        <v>29</v>
      </c>
    </row>
    <row r="8112" spans="1:5" x14ac:dyDescent="0.25">
      <c r="A8112" t="str">
        <f>HYPERLINK("https://www.773grp.com/globalSearch/DAC7624P/page-1", "DAC7624P")</f>
        <v>DAC7624P</v>
      </c>
      <c r="B8112" s="3" t="s">
        <v>90</v>
      </c>
      <c r="C8112" s="5">
        <v>939</v>
      </c>
      <c r="D8112" s="6">
        <v>42.48</v>
      </c>
      <c r="E8112" t="s">
        <v>29</v>
      </c>
    </row>
    <row r="8113" spans="1:5" x14ac:dyDescent="0.25">
      <c r="A8113" t="str">
        <f>HYPERLINK("https://www.773grp.com/globalSearch/DAC7625P/page-1", "DAC7625P")</f>
        <v>DAC7625P</v>
      </c>
      <c r="B8113" s="3" t="s">
        <v>90</v>
      </c>
      <c r="C8113" s="5">
        <v>4495</v>
      </c>
      <c r="D8113" s="6">
        <v>42.48</v>
      </c>
      <c r="E8113" t="s">
        <v>29</v>
      </c>
    </row>
    <row r="8114" spans="1:5" x14ac:dyDescent="0.25">
      <c r="A8114" t="str">
        <f>HYPERLINK("https://www.773grp.com/globalSearch/DAC7724UB/page-1", "DAC7724UB")</f>
        <v>DAC7724UB</v>
      </c>
      <c r="B8114" s="3" t="s">
        <v>90</v>
      </c>
      <c r="C8114" s="5">
        <v>79</v>
      </c>
      <c r="D8114" s="6">
        <v>42.48</v>
      </c>
      <c r="E8114" t="s">
        <v>29</v>
      </c>
    </row>
    <row r="8115" spans="1:5" x14ac:dyDescent="0.25">
      <c r="A8115" t="str">
        <f>HYPERLINK("https://www.773grp.com/globalSearch/DAC813JU/page-1", "DAC813JU")</f>
        <v>DAC813JU</v>
      </c>
      <c r="B8115" s="3" t="s">
        <v>90</v>
      </c>
      <c r="C8115" s="5">
        <v>2405</v>
      </c>
      <c r="D8115" s="6">
        <v>42.83</v>
      </c>
      <c r="E8115" t="s">
        <v>29</v>
      </c>
    </row>
    <row r="8116" spans="1:5" x14ac:dyDescent="0.25">
      <c r="A8116" t="str">
        <f>HYPERLINK("https://www.773grp.com/globalSearch/DAC7614P/page-1", "DAC7614P")</f>
        <v>DAC7614P</v>
      </c>
      <c r="B8116" s="3" t="s">
        <v>90</v>
      </c>
      <c r="C8116" s="5">
        <v>7200</v>
      </c>
      <c r="D8116" s="6">
        <v>43.04</v>
      </c>
      <c r="E8116" t="s">
        <v>29</v>
      </c>
    </row>
    <row r="8117" spans="1:5" x14ac:dyDescent="0.25">
      <c r="A8117" t="str">
        <f>HYPERLINK("https://www.773grp.com/globalSearch/DAC7643VFBR/page-1", "DAC7643VFBR")</f>
        <v>DAC7643VFBR</v>
      </c>
      <c r="B8117" s="3" t="s">
        <v>90</v>
      </c>
      <c r="C8117" s="5">
        <v>2131</v>
      </c>
      <c r="D8117" s="6">
        <v>43.04</v>
      </c>
      <c r="E8117" t="s">
        <v>29</v>
      </c>
    </row>
    <row r="8118" spans="1:5" x14ac:dyDescent="0.25">
      <c r="A8118" t="str">
        <f>HYPERLINK("https://www.773grp.com/globalSearch/DAC7664YR/page-1", "DAC7664YR")</f>
        <v>DAC7664YR</v>
      </c>
      <c r="B8118" s="3" t="s">
        <v>90</v>
      </c>
      <c r="C8118" s="5">
        <v>4486</v>
      </c>
      <c r="D8118" s="6">
        <v>43.04</v>
      </c>
      <c r="E8118" t="s">
        <v>29</v>
      </c>
    </row>
    <row r="8119" spans="1:5" x14ac:dyDescent="0.25">
      <c r="A8119" t="str">
        <f>HYPERLINK("https://www.773grp.com/globalSearch/DAC7615PB/page-1", "DAC7615PB")</f>
        <v>DAC7615PB</v>
      </c>
      <c r="B8119" s="3" t="s">
        <v>90</v>
      </c>
      <c r="C8119" s="5">
        <v>2560</v>
      </c>
      <c r="D8119" s="6">
        <v>43.16</v>
      </c>
      <c r="E8119" t="s">
        <v>29</v>
      </c>
    </row>
    <row r="8120" spans="1:5" x14ac:dyDescent="0.25">
      <c r="A8120" t="str">
        <f>HYPERLINK("https://www.773grp.com/globalSearch/DAC7724NB/page-1", "DAC7724NB")</f>
        <v>DAC7724NB</v>
      </c>
      <c r="B8120" s="3" t="s">
        <v>90</v>
      </c>
      <c r="C8120" s="5">
        <v>14075</v>
      </c>
      <c r="D8120" s="6">
        <v>43.16</v>
      </c>
      <c r="E8120" t="s">
        <v>29</v>
      </c>
    </row>
    <row r="8121" spans="1:5" x14ac:dyDescent="0.25">
      <c r="A8121" t="str">
        <f>HYPERLINK("https://www.773grp.com/globalSearch/DAC7724NB/page-1", "DAC7724NB")</f>
        <v>DAC7724NB</v>
      </c>
      <c r="B8121" s="3" t="s">
        <v>90</v>
      </c>
      <c r="C8121" s="5">
        <v>101</v>
      </c>
      <c r="D8121" s="6">
        <v>43.16</v>
      </c>
      <c r="E8121" t="s">
        <v>29</v>
      </c>
    </row>
    <row r="8122" spans="1:5" x14ac:dyDescent="0.25">
      <c r="A8122" t="str">
        <f>HYPERLINK("https://www.773grp.com/globalSearch/DAC7725NB/page-1", "DAC7725NB")</f>
        <v>DAC7725NB</v>
      </c>
      <c r="B8122" s="3" t="s">
        <v>90</v>
      </c>
      <c r="C8122" s="5">
        <v>7476</v>
      </c>
      <c r="D8122" s="6">
        <v>43.16</v>
      </c>
      <c r="E8122" t="s">
        <v>29</v>
      </c>
    </row>
    <row r="8123" spans="1:5" x14ac:dyDescent="0.25">
      <c r="A8123" t="str">
        <f>HYPERLINK("https://www.773grp.com/globalSearch/DAC7725NB/page-1", "DAC7725NB")</f>
        <v>DAC7725NB</v>
      </c>
      <c r="B8123" s="3" t="s">
        <v>90</v>
      </c>
      <c r="C8123" s="5">
        <v>40</v>
      </c>
      <c r="D8123" s="6">
        <v>43.16</v>
      </c>
      <c r="E8123" t="s">
        <v>29</v>
      </c>
    </row>
    <row r="8124" spans="1:5" x14ac:dyDescent="0.25">
      <c r="A8124" t="str">
        <f>HYPERLINK("https://www.773grp.com/globalSearch/DAC8218SPAG/page-1", "DAC8218SPAG")</f>
        <v>DAC8218SPAG</v>
      </c>
      <c r="B8124" s="3" t="s">
        <v>90</v>
      </c>
      <c r="C8124" s="5">
        <v>11</v>
      </c>
      <c r="D8124" s="6">
        <v>43.45</v>
      </c>
      <c r="E8124" t="s">
        <v>29</v>
      </c>
    </row>
    <row r="8125" spans="1:5" x14ac:dyDescent="0.25">
      <c r="A8125" t="str">
        <f>HYPERLINK("https://www.773grp.com/globalSearch/DAC8228SPAG/page-1", "DAC8228SPAG")</f>
        <v>DAC8228SPAG</v>
      </c>
      <c r="B8125" s="3" t="s">
        <v>90</v>
      </c>
      <c r="C8125" s="5">
        <v>2829</v>
      </c>
      <c r="D8125" s="6">
        <v>43.45</v>
      </c>
      <c r="E8125" t="s">
        <v>29</v>
      </c>
    </row>
    <row r="8126" spans="1:5" x14ac:dyDescent="0.25">
      <c r="A8126" t="str">
        <f>HYPERLINK("https://www.773grp.com/globalSearch/DAC8568ICPW/page-1", "DAC8568ICPW")</f>
        <v>DAC8568ICPW</v>
      </c>
      <c r="B8126" s="3" t="s">
        <v>90</v>
      </c>
      <c r="C8126" s="5">
        <v>1039</v>
      </c>
      <c r="D8126" s="6">
        <v>43.45</v>
      </c>
      <c r="E8126" t="s">
        <v>29</v>
      </c>
    </row>
    <row r="8127" spans="1:5" x14ac:dyDescent="0.25">
      <c r="A8127" t="str">
        <f>HYPERLINK("https://www.773grp.com/globalSearch/DAC8568IDPW/page-1", "DAC8568IDPW")</f>
        <v>DAC8568IDPW</v>
      </c>
      <c r="B8127" s="3" t="s">
        <v>90</v>
      </c>
      <c r="C8127" s="5">
        <v>37</v>
      </c>
      <c r="D8127" s="6">
        <v>43.45</v>
      </c>
      <c r="E8127" t="s">
        <v>29</v>
      </c>
    </row>
    <row r="8128" spans="1:5" x14ac:dyDescent="0.25">
      <c r="A8128" t="str">
        <f>HYPERLINK("https://www.773grp.com/globalSearch/DSD1792DB/page-1", "DSD1792DB")</f>
        <v>DSD1792DB</v>
      </c>
      <c r="B8128" s="3" t="s">
        <v>90</v>
      </c>
      <c r="C8128" s="5">
        <v>184</v>
      </c>
      <c r="D8128" s="6">
        <v>43.59</v>
      </c>
      <c r="E8128" t="s">
        <v>29</v>
      </c>
    </row>
    <row r="8129" spans="1:5" x14ac:dyDescent="0.25">
      <c r="A8129" t="str">
        <f>HYPERLINK("https://www.773grp.com/globalSearch/DSD1794DB/page-1", "DSD1794DB")</f>
        <v>DSD1794DB</v>
      </c>
      <c r="B8129" s="3" t="s">
        <v>90</v>
      </c>
      <c r="C8129" s="5">
        <v>225</v>
      </c>
      <c r="D8129" s="6">
        <v>43.59</v>
      </c>
      <c r="E8129" t="s">
        <v>29</v>
      </c>
    </row>
    <row r="8130" spans="1:5" x14ac:dyDescent="0.25">
      <c r="A8130" t="str">
        <f>HYPERLINK("https://www.773grp.com/globalSearch/DAC7742YC-250/page-1", "DAC7742YC-250")</f>
        <v>DAC7742YC-250</v>
      </c>
      <c r="B8130" s="3" t="s">
        <v>90</v>
      </c>
      <c r="C8130" s="5">
        <v>4750</v>
      </c>
      <c r="D8130" s="6">
        <v>43.74</v>
      </c>
      <c r="E8130" t="s">
        <v>29</v>
      </c>
    </row>
    <row r="8131" spans="1:5" x14ac:dyDescent="0.25">
      <c r="A8131" t="str">
        <f>HYPERLINK("https://www.773grp.com/globalSearch/DAC7800KU/page-1", "DAC7800KU")</f>
        <v>DAC7800KU</v>
      </c>
      <c r="B8131" s="3" t="s">
        <v>90</v>
      </c>
      <c r="C8131" s="5">
        <v>11</v>
      </c>
      <c r="D8131" s="6">
        <v>43.74</v>
      </c>
      <c r="E8131" t="s">
        <v>29</v>
      </c>
    </row>
    <row r="8132" spans="1:5" x14ac:dyDescent="0.25">
      <c r="A8132" t="str">
        <f>HYPERLINK("https://www.773grp.com/globalSearch/DAC7800KUG4/page-1", "DAC7800KUG4")</f>
        <v>DAC7800KUG4</v>
      </c>
      <c r="B8132" s="3" t="s">
        <v>90</v>
      </c>
      <c r="C8132" s="5">
        <v>25</v>
      </c>
      <c r="D8132" s="6">
        <v>43.74</v>
      </c>
      <c r="E8132" t="s">
        <v>29</v>
      </c>
    </row>
    <row r="8133" spans="1:5" x14ac:dyDescent="0.25">
      <c r="A8133" t="str">
        <f>HYPERLINK("https://www.773grp.com/globalSearch/DAC7614PB/page-1", "DAC7614PB")</f>
        <v>DAC7614PB</v>
      </c>
      <c r="B8133" s="3" t="s">
        <v>90</v>
      </c>
      <c r="C8133" s="5">
        <v>3719</v>
      </c>
      <c r="D8133" s="6">
        <v>45</v>
      </c>
      <c r="E8133" t="s">
        <v>29</v>
      </c>
    </row>
    <row r="8134" spans="1:5" x14ac:dyDescent="0.25">
      <c r="A8134" t="str">
        <f>HYPERLINK("https://www.773grp.com/globalSearch/DAC7624PB/page-1", "DAC7624PB")</f>
        <v>DAC7624PB</v>
      </c>
      <c r="B8134" s="3" t="s">
        <v>90</v>
      </c>
      <c r="C8134" s="5">
        <v>1079</v>
      </c>
      <c r="D8134" s="6">
        <v>45.14</v>
      </c>
      <c r="E8134" t="s">
        <v>29</v>
      </c>
    </row>
    <row r="8135" spans="1:5" x14ac:dyDescent="0.25">
      <c r="A8135" t="str">
        <f>HYPERLINK("https://www.773grp.com/globalSearch/DAC7624PB/page-1", "DAC7624PB")</f>
        <v>DAC7624PB</v>
      </c>
      <c r="B8135" s="3" t="s">
        <v>90</v>
      </c>
      <c r="C8135" s="5">
        <v>1365</v>
      </c>
      <c r="D8135" s="6">
        <v>45.14</v>
      </c>
      <c r="E8135" t="s">
        <v>29</v>
      </c>
    </row>
    <row r="8136" spans="1:5" x14ac:dyDescent="0.25">
      <c r="A8136" t="str">
        <f>HYPERLINK("https://www.773grp.com/globalSearch/DAC7625PB/page-1", "DAC7625PB")</f>
        <v>DAC7625PB</v>
      </c>
      <c r="B8136" s="3" t="s">
        <v>90</v>
      </c>
      <c r="C8136" s="5">
        <v>5566</v>
      </c>
      <c r="D8136" s="6">
        <v>45.14</v>
      </c>
      <c r="E8136" t="s">
        <v>29</v>
      </c>
    </row>
    <row r="8137" spans="1:5" x14ac:dyDescent="0.25">
      <c r="A8137" t="str">
        <f>HYPERLINK("https://www.773grp.com/globalSearch/DAC811KU/page-1", "DAC811KU")</f>
        <v>DAC811KU</v>
      </c>
      <c r="B8137" s="3" t="s">
        <v>90</v>
      </c>
      <c r="C8137" s="5">
        <v>344</v>
      </c>
      <c r="D8137" s="6">
        <v>45.56</v>
      </c>
      <c r="E8137" t="s">
        <v>29</v>
      </c>
    </row>
    <row r="8138" spans="1:5" x14ac:dyDescent="0.25">
      <c r="A8138" t="str">
        <f>HYPERLINK("https://www.773grp.com/globalSearch/DAC811KU/page-1", "DAC811KU")</f>
        <v>DAC811KU</v>
      </c>
      <c r="B8138" s="3" t="s">
        <v>90</v>
      </c>
      <c r="C8138" s="5">
        <v>6043</v>
      </c>
      <c r="D8138" s="6">
        <v>45.56</v>
      </c>
      <c r="E8138" t="s">
        <v>29</v>
      </c>
    </row>
    <row r="8139" spans="1:5" x14ac:dyDescent="0.25">
      <c r="A8139" t="str">
        <f>HYPERLINK("https://www.773grp.com/globalSearch/DAC8234SRHAT/page-1", "DAC8234SRHAT")</f>
        <v>DAC8234SRHAT</v>
      </c>
      <c r="B8139" s="3" t="s">
        <v>90</v>
      </c>
      <c r="C8139" s="5">
        <v>1250</v>
      </c>
      <c r="D8139" s="6">
        <v>46.28</v>
      </c>
      <c r="E8139" t="s">
        <v>29</v>
      </c>
    </row>
    <row r="8140" spans="1:5" x14ac:dyDescent="0.25">
      <c r="A8140" t="str">
        <f>HYPERLINK("https://www.773grp.com/globalSearch/DAC8718SPAGR/page-1", "DAC8718SPAGR")</f>
        <v>DAC8718SPAGR</v>
      </c>
      <c r="B8140" s="3" t="s">
        <v>90</v>
      </c>
      <c r="C8140" s="5">
        <v>1490</v>
      </c>
      <c r="D8140" s="6">
        <v>46.28</v>
      </c>
      <c r="E8140" t="s">
        <v>29</v>
      </c>
    </row>
    <row r="8141" spans="1:5" x14ac:dyDescent="0.25">
      <c r="A8141" t="str">
        <f>HYPERLINK("https://www.773grp.com/globalSearch/DAC8718SRGZR/page-1", "DAC8718SRGZR")</f>
        <v>DAC8718SRGZR</v>
      </c>
      <c r="B8141" s="3" t="s">
        <v>90</v>
      </c>
      <c r="C8141" s="5">
        <v>6965</v>
      </c>
      <c r="D8141" s="6">
        <v>46.28</v>
      </c>
      <c r="E8141" t="s">
        <v>29</v>
      </c>
    </row>
    <row r="8142" spans="1:5" x14ac:dyDescent="0.25">
      <c r="A8142" t="str">
        <f>HYPERLINK("https://www.773grp.com/globalSearch/DAC714U/page-1", "DAC714U")</f>
        <v>DAC714U</v>
      </c>
      <c r="B8142" s="3" t="s">
        <v>90</v>
      </c>
      <c r="C8142" s="5">
        <v>640</v>
      </c>
      <c r="D8142" s="6">
        <v>46.41</v>
      </c>
      <c r="E8142" t="s">
        <v>29</v>
      </c>
    </row>
    <row r="8143" spans="1:5" x14ac:dyDescent="0.25">
      <c r="A8143" t="str">
        <f>HYPERLINK("https://www.773grp.com/globalSearch/DAC7642VFBT/page-1", "DAC7642VFBT")</f>
        <v>DAC7642VFBT</v>
      </c>
      <c r="B8143" s="3" t="s">
        <v>90</v>
      </c>
      <c r="C8143" s="5">
        <v>103</v>
      </c>
      <c r="D8143" s="6">
        <v>47.25</v>
      </c>
      <c r="E8143" t="s">
        <v>29</v>
      </c>
    </row>
    <row r="8144" spans="1:5" x14ac:dyDescent="0.25">
      <c r="A8144" t="str">
        <f>HYPERLINK("https://www.773grp.com/globalSearch/DAC9881SRGER/page-1", "DAC9881SRGER")</f>
        <v>DAC9881SRGER</v>
      </c>
      <c r="B8144" s="3" t="s">
        <v>90</v>
      </c>
      <c r="C8144" s="5">
        <v>18000</v>
      </c>
      <c r="D8144" s="6">
        <v>47.54</v>
      </c>
      <c r="E8144" t="s">
        <v>29</v>
      </c>
    </row>
    <row r="8145" spans="1:5" x14ac:dyDescent="0.25">
      <c r="A8145" t="str">
        <f>HYPERLINK("https://www.773grp.com/globalSearch/DAC8814IBDBR/page-1", "DAC8814IBDBR")</f>
        <v>DAC8814IBDBR</v>
      </c>
      <c r="B8145" s="3" t="s">
        <v>90</v>
      </c>
      <c r="C8145" s="5">
        <v>5500</v>
      </c>
      <c r="D8145" s="6">
        <v>47.68</v>
      </c>
      <c r="E8145" t="s">
        <v>29</v>
      </c>
    </row>
    <row r="8146" spans="1:5" x14ac:dyDescent="0.25">
      <c r="A8146" t="str">
        <f>HYPERLINK("https://www.773grp.com/globalSearch/PCM1792DB/page-1", "PCM1792DB")</f>
        <v>PCM1792DB</v>
      </c>
      <c r="B8146" s="3" t="s">
        <v>90</v>
      </c>
      <c r="C8146" s="5">
        <v>791</v>
      </c>
      <c r="D8146" s="6">
        <v>49.48</v>
      </c>
      <c r="E8146" t="s">
        <v>29</v>
      </c>
    </row>
    <row r="8147" spans="1:5" x14ac:dyDescent="0.25">
      <c r="A8147" t="str">
        <f>HYPERLINK("https://www.773grp.com/globalSearch/PCM1794DB/page-1", "PCM1794DB")</f>
        <v>PCM1794DB</v>
      </c>
      <c r="B8147" s="3" t="s">
        <v>90</v>
      </c>
      <c r="C8147" s="5">
        <v>468</v>
      </c>
      <c r="D8147" s="6">
        <v>49.48</v>
      </c>
      <c r="E8147" t="s">
        <v>29</v>
      </c>
    </row>
    <row r="8148" spans="1:5" x14ac:dyDescent="0.25">
      <c r="A8148" t="str">
        <f>HYPERLINK("https://www.773grp.com/globalSearch/DAC2904Y-1K/page-1", "DAC2904Y-1K")</f>
        <v>DAC2904Y-1K</v>
      </c>
      <c r="B8148" s="3" t="s">
        <v>90</v>
      </c>
      <c r="C8148" s="5">
        <v>7000</v>
      </c>
      <c r="D8148" s="6">
        <v>49.58</v>
      </c>
      <c r="E8148" t="s">
        <v>29</v>
      </c>
    </row>
    <row r="8149" spans="1:5" x14ac:dyDescent="0.25">
      <c r="A8149" t="str">
        <f>HYPERLINK("https://www.773grp.com/globalSearch/DAC712UB/page-1", "DAC712UB")</f>
        <v>DAC712UB</v>
      </c>
      <c r="B8149" s="3" t="s">
        <v>90</v>
      </c>
      <c r="C8149" s="5">
        <v>294</v>
      </c>
      <c r="D8149" s="6">
        <v>49.7</v>
      </c>
      <c r="E8149" t="s">
        <v>29</v>
      </c>
    </row>
    <row r="8150" spans="1:5" x14ac:dyDescent="0.25">
      <c r="A8150" t="str">
        <f>HYPERLINK("https://www.773grp.com/globalSearch/DAC8718SRGZT/page-1", "DAC8718SRGZT")</f>
        <v>DAC8718SRGZT</v>
      </c>
      <c r="B8150" s="3" t="s">
        <v>90</v>
      </c>
      <c r="C8150" s="5">
        <v>461</v>
      </c>
      <c r="D8150" s="6">
        <v>50.49</v>
      </c>
      <c r="E8150" t="s">
        <v>29</v>
      </c>
    </row>
    <row r="8151" spans="1:5" x14ac:dyDescent="0.25">
      <c r="A8151" t="str">
        <f>HYPERLINK("https://www.773grp.com/globalSearch/DAC8728SRTQT/page-1", "DAC8728SRTQT")</f>
        <v>DAC8728SRTQT</v>
      </c>
      <c r="B8151" s="3" t="s">
        <v>90</v>
      </c>
      <c r="C8151" s="5">
        <v>2633</v>
      </c>
      <c r="D8151" s="6">
        <v>50.49</v>
      </c>
      <c r="E8151" t="s">
        <v>29</v>
      </c>
    </row>
    <row r="8152" spans="1:5" x14ac:dyDescent="0.25">
      <c r="A8152" t="str">
        <f>HYPERLINK("https://www.773grp.com/globalSearch/DAC9881SRGET/page-1", "DAC9881SRGET")</f>
        <v>DAC9881SRGET</v>
      </c>
      <c r="B8152" s="3" t="s">
        <v>90</v>
      </c>
      <c r="C8152" s="5">
        <v>10917</v>
      </c>
      <c r="D8152" s="6">
        <v>51.75</v>
      </c>
      <c r="E8152" t="s">
        <v>29</v>
      </c>
    </row>
    <row r="8153" spans="1:5" x14ac:dyDescent="0.25">
      <c r="A8153" t="str">
        <f>HYPERLINK("https://www.773grp.com/globalSearch/DAC8728SPAG/page-1", "DAC8728SPAG")</f>
        <v>DAC8728SPAG</v>
      </c>
      <c r="B8153" s="3" t="s">
        <v>90</v>
      </c>
      <c r="C8153" s="5">
        <v>1224</v>
      </c>
      <c r="D8153" s="6">
        <v>51.89</v>
      </c>
      <c r="E8153" t="s">
        <v>29</v>
      </c>
    </row>
    <row r="8154" spans="1:5" x14ac:dyDescent="0.25">
      <c r="A8154" t="str">
        <f>HYPERLINK("https://www.773grp.com/globalSearch/DAC8814IBDBT/page-1", "DAC8814IBDBT")</f>
        <v>DAC8814IBDBT</v>
      </c>
      <c r="B8154" s="3" t="s">
        <v>90</v>
      </c>
      <c r="C8154" s="5">
        <v>410</v>
      </c>
      <c r="D8154" s="6">
        <v>51.89</v>
      </c>
      <c r="E8154" t="s">
        <v>29</v>
      </c>
    </row>
    <row r="8155" spans="1:5" x14ac:dyDescent="0.25">
      <c r="A8155" t="str">
        <f>HYPERLINK("https://www.773grp.com/globalSearch/DAC2902Y-250/page-1", "DAC2902Y-250")</f>
        <v>DAC2902Y-250</v>
      </c>
      <c r="B8155" s="3" t="s">
        <v>90</v>
      </c>
      <c r="C8155" s="5">
        <v>1088</v>
      </c>
      <c r="D8155" s="6">
        <v>53.29</v>
      </c>
      <c r="E8155" t="s">
        <v>29</v>
      </c>
    </row>
    <row r="8156" spans="1:5" x14ac:dyDescent="0.25">
      <c r="A8156" t="str">
        <f>HYPERLINK("https://www.773grp.com/globalSearch/DAC2902Y-250G4/page-1", "DAC2902Y-250G4")</f>
        <v>DAC2902Y-250G4</v>
      </c>
      <c r="B8156" s="3" t="s">
        <v>90</v>
      </c>
      <c r="C8156" s="5">
        <v>1250</v>
      </c>
      <c r="D8156" s="6">
        <v>53.29</v>
      </c>
      <c r="E8156" t="s">
        <v>29</v>
      </c>
    </row>
    <row r="8157" spans="1:5" x14ac:dyDescent="0.25">
      <c r="A8157" t="str">
        <f>HYPERLINK("https://www.773grp.com/globalSearch/DAC2904Y-250/page-1", "DAC2904Y-250")</f>
        <v>DAC2904Y-250</v>
      </c>
      <c r="B8157" s="3" t="s">
        <v>90</v>
      </c>
      <c r="C8157" s="5">
        <v>11662</v>
      </c>
      <c r="D8157" s="6">
        <v>54.23</v>
      </c>
      <c r="E8157" t="s">
        <v>29</v>
      </c>
    </row>
    <row r="8158" spans="1:5" x14ac:dyDescent="0.25">
      <c r="A8158" t="str">
        <f>HYPERLINK("https://www.773grp.com/globalSearch/DAC8814ICDBR/page-1", "DAC8814ICDBR")</f>
        <v>DAC8814ICDBR</v>
      </c>
      <c r="B8158" s="3" t="s">
        <v>90</v>
      </c>
      <c r="C8158" s="5">
        <v>1975</v>
      </c>
      <c r="D8158" s="6">
        <v>55.4</v>
      </c>
      <c r="E8158" t="s">
        <v>29</v>
      </c>
    </row>
    <row r="8159" spans="1:5" x14ac:dyDescent="0.25">
      <c r="A8159" t="str">
        <f>HYPERLINK("https://www.773grp.com/globalSearch/DAC715U/page-1", "DAC715U")</f>
        <v>DAC715U</v>
      </c>
      <c r="B8159" s="3" t="s">
        <v>90</v>
      </c>
      <c r="C8159" s="5">
        <v>786</v>
      </c>
      <c r="D8159" s="6">
        <v>55.83</v>
      </c>
      <c r="E8159" t="s">
        <v>29</v>
      </c>
    </row>
    <row r="8160" spans="1:5" x14ac:dyDescent="0.25">
      <c r="A8160" t="str">
        <f>HYPERLINK("https://www.773grp.com/globalSearch/DAC715U/page-1", "DAC715U")</f>
        <v>DAC715U</v>
      </c>
      <c r="B8160" s="3" t="s">
        <v>90</v>
      </c>
      <c r="C8160" s="5">
        <v>18</v>
      </c>
      <c r="D8160" s="6">
        <v>55.83</v>
      </c>
      <c r="E8160" t="s">
        <v>29</v>
      </c>
    </row>
    <row r="8161" spans="1:5" x14ac:dyDescent="0.25">
      <c r="A8161" t="str">
        <f>HYPERLINK("https://www.773grp.com/globalSearch/DAC716U/page-1", "DAC716U")</f>
        <v>DAC716U</v>
      </c>
      <c r="B8161" s="3" t="s">
        <v>90</v>
      </c>
      <c r="C8161" s="5">
        <v>27</v>
      </c>
      <c r="D8161" s="6">
        <v>55.83</v>
      </c>
      <c r="E8161" t="s">
        <v>29</v>
      </c>
    </row>
    <row r="8162" spans="1:5" x14ac:dyDescent="0.25">
      <c r="A8162" t="str">
        <f>HYPERLINK("https://www.773grp.com/globalSearch/DAC716U/page-1", "DAC716U")</f>
        <v>DAC716U</v>
      </c>
      <c r="B8162" s="3" t="s">
        <v>90</v>
      </c>
      <c r="C8162" s="5">
        <v>262</v>
      </c>
      <c r="D8162" s="6">
        <v>55.83</v>
      </c>
      <c r="E8162" t="s">
        <v>29</v>
      </c>
    </row>
    <row r="8163" spans="1:5" x14ac:dyDescent="0.25">
      <c r="A8163" t="str">
        <f>HYPERLINK("https://www.773grp.com/globalSearch/PCM54KP/page-1", "PCM54KP")</f>
        <v>PCM54KP</v>
      </c>
      <c r="B8163" s="3" t="s">
        <v>90</v>
      </c>
      <c r="C8163" s="5">
        <v>1608</v>
      </c>
      <c r="D8163" s="6">
        <v>56.11</v>
      </c>
      <c r="E8163" t="s">
        <v>29</v>
      </c>
    </row>
    <row r="8164" spans="1:5" x14ac:dyDescent="0.25">
      <c r="A8164" t="str">
        <f>HYPERLINK("https://www.773grp.com/globalSearch/DAC712P/page-1", "DAC712P")</f>
        <v>DAC712P</v>
      </c>
      <c r="B8164" s="3" t="s">
        <v>90</v>
      </c>
      <c r="C8164" s="5">
        <v>7</v>
      </c>
      <c r="D8164" s="6">
        <v>56.54</v>
      </c>
      <c r="E8164" t="s">
        <v>29</v>
      </c>
    </row>
    <row r="8165" spans="1:5" x14ac:dyDescent="0.25">
      <c r="A8165" t="str">
        <f>HYPERLINK("https://www.773grp.com/globalSearch/DAC8734SPFBR/page-1", "DAC8734SPFBR")</f>
        <v>DAC8734SPFBR</v>
      </c>
      <c r="B8165" s="3" t="s">
        <v>90</v>
      </c>
      <c r="C8165" s="5">
        <v>1000</v>
      </c>
      <c r="D8165" s="6">
        <v>56.81</v>
      </c>
      <c r="E8165" t="s">
        <v>29</v>
      </c>
    </row>
    <row r="8166" spans="1:5" x14ac:dyDescent="0.25">
      <c r="A8166" t="str">
        <f>HYPERLINK("https://www.773grp.com/globalSearch/DAC5674IPHPRG4/page-1", "DAC5674IPHPRG4")</f>
        <v>DAC5674IPHPRG4</v>
      </c>
      <c r="B8166" s="3" t="s">
        <v>90</v>
      </c>
      <c r="C8166" s="5">
        <v>1000</v>
      </c>
      <c r="D8166" s="6">
        <v>58.01</v>
      </c>
      <c r="E8166" t="s">
        <v>29</v>
      </c>
    </row>
    <row r="8167" spans="1:5" x14ac:dyDescent="0.25">
      <c r="A8167" t="str">
        <f>HYPERLINK("https://www.773grp.com/globalSearch/DAC712UL/page-1", "DAC712UL")</f>
        <v>DAC712UL</v>
      </c>
      <c r="B8167" s="3" t="s">
        <v>90</v>
      </c>
      <c r="C8167" s="5">
        <v>425</v>
      </c>
      <c r="D8167" s="6">
        <v>58.69</v>
      </c>
      <c r="E8167" t="s">
        <v>29</v>
      </c>
    </row>
    <row r="8168" spans="1:5" x14ac:dyDescent="0.25">
      <c r="A8168" t="str">
        <f>HYPERLINK("https://www.773grp.com/globalSearch/PCM69AU-J/page-1", "PCM69AU-J")</f>
        <v>PCM69AU-J</v>
      </c>
      <c r="B8168" s="3" t="s">
        <v>90</v>
      </c>
      <c r="C8168" s="5">
        <v>1152</v>
      </c>
      <c r="D8168" s="6">
        <v>59.06</v>
      </c>
      <c r="E8168" t="s">
        <v>29</v>
      </c>
    </row>
    <row r="8169" spans="1:5" x14ac:dyDescent="0.25">
      <c r="A8169" t="str">
        <f>HYPERLINK("https://www.773grp.com/globalSearch/DAC715UK/page-1", "DAC715UK")</f>
        <v>DAC715UK</v>
      </c>
      <c r="B8169" s="3" t="s">
        <v>90</v>
      </c>
      <c r="C8169" s="5">
        <v>4</v>
      </c>
      <c r="D8169" s="6">
        <v>59.63</v>
      </c>
      <c r="E8169" t="s">
        <v>29</v>
      </c>
    </row>
    <row r="8170" spans="1:5" x14ac:dyDescent="0.25">
      <c r="A8170" t="str">
        <f>HYPERLINK("https://www.773grp.com/globalSearch/DAC715UK/page-1", "DAC715UK")</f>
        <v>DAC715UK</v>
      </c>
      <c r="B8170" s="3" t="s">
        <v>90</v>
      </c>
      <c r="C8170" s="5">
        <v>10992</v>
      </c>
      <c r="D8170" s="6">
        <v>59.63</v>
      </c>
      <c r="E8170" t="s">
        <v>29</v>
      </c>
    </row>
    <row r="8171" spans="1:5" x14ac:dyDescent="0.25">
      <c r="A8171" t="str">
        <f>HYPERLINK("https://www.773grp.com/globalSearch/DAC716UK/page-1", "DAC716UK")</f>
        <v>DAC716UK</v>
      </c>
      <c r="B8171" s="3" t="s">
        <v>90</v>
      </c>
      <c r="C8171" s="5">
        <v>600</v>
      </c>
      <c r="D8171" s="6">
        <v>59.63</v>
      </c>
      <c r="E8171" t="s">
        <v>29</v>
      </c>
    </row>
    <row r="8172" spans="1:5" x14ac:dyDescent="0.25">
      <c r="A8172" t="str">
        <f>HYPERLINK("https://www.773grp.com/globalSearch/PCM54HP/page-1", "PCM54HP")</f>
        <v>PCM54HP</v>
      </c>
      <c r="B8172" s="3" t="s">
        <v>90</v>
      </c>
      <c r="C8172" s="5">
        <v>104</v>
      </c>
      <c r="D8172" s="6">
        <v>59.63</v>
      </c>
      <c r="E8172" t="s">
        <v>29</v>
      </c>
    </row>
    <row r="8173" spans="1:5" x14ac:dyDescent="0.25">
      <c r="A8173" t="str">
        <f>HYPERLINK("https://www.773grp.com/globalSearch/DAC7802LU/page-1", "DAC7802LU")</f>
        <v>DAC7802LU</v>
      </c>
      <c r="B8173" s="3" t="s">
        <v>90</v>
      </c>
      <c r="C8173" s="5">
        <v>7</v>
      </c>
      <c r="D8173" s="6">
        <v>59.85</v>
      </c>
      <c r="E8173" t="s">
        <v>29</v>
      </c>
    </row>
    <row r="8174" spans="1:5" x14ac:dyDescent="0.25">
      <c r="A8174" t="str">
        <f>HYPERLINK("https://www.773grp.com/globalSearch/DAC714P/page-1", "DAC714P")</f>
        <v>DAC714P</v>
      </c>
      <c r="B8174" s="3" t="s">
        <v>90</v>
      </c>
      <c r="C8174" s="5">
        <v>15</v>
      </c>
      <c r="D8174" s="6">
        <v>60.19</v>
      </c>
      <c r="E8174" t="s">
        <v>29</v>
      </c>
    </row>
    <row r="8175" spans="1:5" x14ac:dyDescent="0.25">
      <c r="A8175" t="str">
        <f>HYPERLINK("https://www.773grp.com/globalSearch/DAC8734SRHAT/page-1", "DAC8734SRHAT")</f>
        <v>DAC8734SRHAT</v>
      </c>
      <c r="B8175" s="3" t="s">
        <v>90</v>
      </c>
      <c r="C8175" s="5">
        <v>3457</v>
      </c>
      <c r="D8175" s="6">
        <v>61.04</v>
      </c>
      <c r="E8175" t="s">
        <v>29</v>
      </c>
    </row>
    <row r="8176" spans="1:5" x14ac:dyDescent="0.25">
      <c r="A8176" t="str">
        <f>HYPERLINK("https://www.773grp.com/globalSearch/DAC7802KP/page-1", "DAC7802KP")</f>
        <v>DAC7802KP</v>
      </c>
      <c r="B8176" s="3" t="s">
        <v>90</v>
      </c>
      <c r="C8176" s="5">
        <v>570</v>
      </c>
      <c r="D8176" s="6">
        <v>61.18</v>
      </c>
      <c r="E8176" t="s">
        <v>29</v>
      </c>
    </row>
    <row r="8177" spans="1:5" x14ac:dyDescent="0.25">
      <c r="A8177" t="str">
        <f>HYPERLINK("https://www.773grp.com/globalSearch/DAC7802KP/page-1", "DAC7802KP")</f>
        <v>DAC7802KP</v>
      </c>
      <c r="B8177" s="3" t="s">
        <v>90</v>
      </c>
      <c r="C8177" s="5">
        <v>17607</v>
      </c>
      <c r="D8177" s="6">
        <v>61.18</v>
      </c>
      <c r="E8177" t="s">
        <v>29</v>
      </c>
    </row>
    <row r="8178" spans="1:5" x14ac:dyDescent="0.25">
      <c r="A8178" t="str">
        <f>HYPERLINK("https://www.773grp.com/globalSearch/DAC7634E/page-1", "DAC7634E")</f>
        <v>DAC7634E</v>
      </c>
      <c r="B8178" s="3" t="s">
        <v>90</v>
      </c>
      <c r="C8178" s="5">
        <v>1220</v>
      </c>
      <c r="D8178" s="6">
        <v>61.73</v>
      </c>
      <c r="E8178" t="s">
        <v>29</v>
      </c>
    </row>
    <row r="8179" spans="1:5" x14ac:dyDescent="0.25">
      <c r="A8179" t="str">
        <f>HYPERLINK("https://www.773grp.com/globalSearch/DAC5674IPHP/page-1", "DAC5674IPHP")</f>
        <v>DAC5674IPHP</v>
      </c>
      <c r="B8179" s="3" t="s">
        <v>90</v>
      </c>
      <c r="C8179" s="5">
        <v>6271</v>
      </c>
      <c r="D8179" s="6">
        <v>62.24</v>
      </c>
      <c r="E8179" t="s">
        <v>29</v>
      </c>
    </row>
    <row r="8180" spans="1:5" x14ac:dyDescent="0.25">
      <c r="A8180" t="str">
        <f>HYPERLINK("https://www.773grp.com/globalSearch/DAC5674IPHPG4/page-1", "DAC5674IPHPG4")</f>
        <v>DAC5674IPHPG4</v>
      </c>
      <c r="B8180" s="3" t="s">
        <v>90</v>
      </c>
      <c r="C8180" s="5">
        <v>252</v>
      </c>
      <c r="D8180" s="6">
        <v>62.24</v>
      </c>
      <c r="E8180" t="s">
        <v>29</v>
      </c>
    </row>
    <row r="8181" spans="1:5" x14ac:dyDescent="0.25">
      <c r="A8181" t="str">
        <f>HYPERLINK("https://www.773grp.com/globalSearch/DAC1280IPW/page-1", "DAC1280IPW")</f>
        <v>DAC1280IPW</v>
      </c>
      <c r="B8181" s="3" t="s">
        <v>90</v>
      </c>
      <c r="C8181" s="5">
        <v>154</v>
      </c>
      <c r="D8181" s="6">
        <v>62.3</v>
      </c>
      <c r="E8181" t="s">
        <v>29</v>
      </c>
    </row>
    <row r="8182" spans="1:5" x14ac:dyDescent="0.25">
      <c r="A8182" t="str">
        <f>HYPERLINK("https://www.773grp.com/globalSearch/DAC813JP/page-1", "DAC813JP")</f>
        <v>DAC813JP</v>
      </c>
      <c r="B8182" s="3" t="s">
        <v>90</v>
      </c>
      <c r="C8182" s="5">
        <v>44</v>
      </c>
      <c r="D8182" s="6">
        <v>62.44</v>
      </c>
      <c r="E8182" t="s">
        <v>29</v>
      </c>
    </row>
    <row r="8183" spans="1:5" x14ac:dyDescent="0.25">
      <c r="A8183" t="str">
        <f>HYPERLINK("https://www.773grp.com/globalSearch/PCM54JP/page-1", "PCM54JP")</f>
        <v>PCM54JP</v>
      </c>
      <c r="B8183" s="3" t="s">
        <v>90</v>
      </c>
      <c r="C8183" s="5">
        <v>1</v>
      </c>
      <c r="D8183" s="6">
        <v>62.86</v>
      </c>
      <c r="E8183" t="s">
        <v>29</v>
      </c>
    </row>
    <row r="8184" spans="1:5" x14ac:dyDescent="0.25">
      <c r="A8184" t="str">
        <f>HYPERLINK("https://www.773grp.com/globalSearch/DAC5672MPFBEP/page-1", "DAC5672MPFBEP")</f>
        <v>DAC5672MPFBEP</v>
      </c>
      <c r="B8184" s="3" t="s">
        <v>90</v>
      </c>
      <c r="C8184" s="5">
        <v>428</v>
      </c>
      <c r="D8184" s="6">
        <v>63.41</v>
      </c>
      <c r="E8184" t="s">
        <v>29</v>
      </c>
    </row>
    <row r="8185" spans="1:5" x14ac:dyDescent="0.25">
      <c r="A8185" t="str">
        <f>HYPERLINK("https://www.773grp.com/globalSearch/DAC715UB/page-1", "DAC715UB")</f>
        <v>DAC715UB</v>
      </c>
      <c r="B8185" s="3" t="s">
        <v>90</v>
      </c>
      <c r="C8185" s="5">
        <v>933</v>
      </c>
      <c r="D8185" s="6">
        <v>64.69</v>
      </c>
      <c r="E8185" t="s">
        <v>29</v>
      </c>
    </row>
    <row r="8186" spans="1:5" x14ac:dyDescent="0.25">
      <c r="A8186" t="str">
        <f>HYPERLINK("https://www.773grp.com/globalSearch/DAC715UB/page-1", "DAC715UB")</f>
        <v>DAC715UB</v>
      </c>
      <c r="B8186" s="3" t="s">
        <v>90</v>
      </c>
      <c r="C8186" s="5">
        <v>1304</v>
      </c>
      <c r="D8186" s="6">
        <v>64.69</v>
      </c>
      <c r="E8186" t="s">
        <v>29</v>
      </c>
    </row>
    <row r="8187" spans="1:5" x14ac:dyDescent="0.25">
      <c r="A8187" t="str">
        <f>HYPERLINK("https://www.773grp.com/globalSearch/DAC715UB/page-1", "DAC715UB")</f>
        <v>DAC715UB</v>
      </c>
      <c r="B8187" s="3" t="s">
        <v>90</v>
      </c>
      <c r="C8187" s="5">
        <v>2215</v>
      </c>
      <c r="D8187" s="6">
        <v>64.69</v>
      </c>
      <c r="E8187" t="s">
        <v>29</v>
      </c>
    </row>
    <row r="8188" spans="1:5" x14ac:dyDescent="0.25">
      <c r="A8188" t="str">
        <f>HYPERLINK("https://www.773grp.com/globalSearch/DAC716UB/page-1", "DAC716UB")</f>
        <v>DAC716UB</v>
      </c>
      <c r="B8188" s="3" t="s">
        <v>90</v>
      </c>
      <c r="C8188" s="5">
        <v>207</v>
      </c>
      <c r="D8188" s="6">
        <v>64.69</v>
      </c>
      <c r="E8188" t="s">
        <v>29</v>
      </c>
    </row>
    <row r="8189" spans="1:5" x14ac:dyDescent="0.25">
      <c r="A8189" t="str">
        <f>HYPERLINK("https://www.773grp.com/globalSearch/DAC716UB/page-1", "DAC716UB")</f>
        <v>DAC716UB</v>
      </c>
      <c r="B8189" s="3" t="s">
        <v>90</v>
      </c>
      <c r="C8189" s="5">
        <v>631</v>
      </c>
      <c r="D8189" s="6">
        <v>64.69</v>
      </c>
      <c r="E8189" t="s">
        <v>29</v>
      </c>
    </row>
    <row r="8190" spans="1:5" x14ac:dyDescent="0.25">
      <c r="A8190" t="str">
        <f>HYPERLINK("https://www.773grp.com/globalSearch/DAC712PK/page-1", "DAC712PK")</f>
        <v>DAC712PK</v>
      </c>
      <c r="B8190" s="3" t="s">
        <v>90</v>
      </c>
      <c r="C8190" s="5">
        <v>102</v>
      </c>
      <c r="D8190" s="6">
        <v>64.98</v>
      </c>
      <c r="E8190" t="s">
        <v>29</v>
      </c>
    </row>
    <row r="8191" spans="1:5" x14ac:dyDescent="0.25">
      <c r="A8191" t="str">
        <f>HYPERLINK("https://www.773grp.com/globalSearch/DAC712PK/page-1", "DAC712PK")</f>
        <v>DAC712PK</v>
      </c>
      <c r="B8191" s="3" t="s">
        <v>90</v>
      </c>
      <c r="C8191" s="5">
        <v>528</v>
      </c>
      <c r="D8191" s="6">
        <v>64.98</v>
      </c>
      <c r="E8191" t="s">
        <v>29</v>
      </c>
    </row>
    <row r="8192" spans="1:5" x14ac:dyDescent="0.25">
      <c r="A8192" t="str">
        <f>HYPERLINK("https://www.773grp.com/globalSearch/DAC712PK/page-1", "DAC712PK")</f>
        <v>DAC712PK</v>
      </c>
      <c r="B8192" s="3" t="s">
        <v>90</v>
      </c>
      <c r="C8192" s="5">
        <v>837</v>
      </c>
      <c r="D8192" s="6">
        <v>64.98</v>
      </c>
      <c r="E8192" t="s">
        <v>29</v>
      </c>
    </row>
    <row r="8193" spans="1:5" x14ac:dyDescent="0.25">
      <c r="A8193" t="str">
        <f>HYPERLINK("https://www.773grp.com/globalSearch/DAC667KP/page-1", "DAC667KP")</f>
        <v>DAC667KP</v>
      </c>
      <c r="B8193" s="3" t="s">
        <v>90</v>
      </c>
      <c r="C8193" s="5">
        <v>9</v>
      </c>
      <c r="D8193" s="6">
        <v>66.790000000000006</v>
      </c>
      <c r="E8193" t="s">
        <v>29</v>
      </c>
    </row>
    <row r="8194" spans="1:5" x14ac:dyDescent="0.25">
      <c r="A8194" t="str">
        <f>HYPERLINK("https://www.773grp.com/globalSearch/DAC7801KU/page-1", "DAC7801KU")</f>
        <v>DAC7801KU</v>
      </c>
      <c r="B8194" s="3" t="s">
        <v>90</v>
      </c>
      <c r="C8194" s="5">
        <v>626</v>
      </c>
      <c r="D8194" s="6">
        <v>68.650000000000006</v>
      </c>
      <c r="E8194" t="s">
        <v>29</v>
      </c>
    </row>
    <row r="8195" spans="1:5" x14ac:dyDescent="0.25">
      <c r="A8195" t="str">
        <f>HYPERLINK("https://www.773grp.com/globalSearch/DAC7801KU/page-1", "DAC7801KU")</f>
        <v>DAC7801KU</v>
      </c>
      <c r="B8195" s="3" t="s">
        <v>90</v>
      </c>
      <c r="C8195" s="5">
        <v>4</v>
      </c>
      <c r="D8195" s="6">
        <v>68.650000000000006</v>
      </c>
      <c r="E8195" t="s">
        <v>29</v>
      </c>
    </row>
    <row r="8196" spans="1:5" x14ac:dyDescent="0.25">
      <c r="A8196" t="str">
        <f>HYPERLINK("https://www.773grp.com/globalSearch/DAC811JP/page-1", "DAC811JP")</f>
        <v>DAC811JP</v>
      </c>
      <c r="B8196" s="3" t="s">
        <v>90</v>
      </c>
      <c r="C8196" s="5">
        <v>421</v>
      </c>
      <c r="D8196" s="6">
        <v>70.040000000000006</v>
      </c>
      <c r="E8196" t="s">
        <v>29</v>
      </c>
    </row>
    <row r="8197" spans="1:5" x14ac:dyDescent="0.25">
      <c r="A8197" t="str">
        <f>HYPERLINK("https://www.773grp.com/globalSearch/DAC811KP/page-1", "DAC811KP")</f>
        <v>DAC811KP</v>
      </c>
      <c r="B8197" s="3" t="s">
        <v>90</v>
      </c>
      <c r="C8197" s="5">
        <v>1914</v>
      </c>
      <c r="D8197" s="6">
        <v>70.040000000000006</v>
      </c>
      <c r="E8197" t="s">
        <v>29</v>
      </c>
    </row>
    <row r="8198" spans="1:5" x14ac:dyDescent="0.25">
      <c r="A8198" t="str">
        <f>HYPERLINK("https://www.773grp.com/globalSearch/DAC811KP/page-1", "DAC811KP")</f>
        <v>DAC811KP</v>
      </c>
      <c r="B8198" s="3" t="s">
        <v>90</v>
      </c>
      <c r="C8198" s="5">
        <v>88</v>
      </c>
      <c r="D8198" s="6">
        <v>70.040000000000006</v>
      </c>
      <c r="E8198" t="s">
        <v>29</v>
      </c>
    </row>
    <row r="8199" spans="1:5" x14ac:dyDescent="0.25">
      <c r="A8199" t="str">
        <f>HYPERLINK("https://www.773grp.com/globalSearch/DAC9881SBRGER/page-1", "DAC9881SBRGER")</f>
        <v>DAC9881SBRGER</v>
      </c>
      <c r="B8199" s="3" t="s">
        <v>90</v>
      </c>
      <c r="C8199" s="5">
        <v>9000</v>
      </c>
      <c r="D8199" s="6">
        <v>70.040000000000006</v>
      </c>
      <c r="E8199" t="s">
        <v>29</v>
      </c>
    </row>
    <row r="8200" spans="1:5" x14ac:dyDescent="0.25">
      <c r="A8200" t="str">
        <f>HYPERLINK("https://www.773grp.com/globalSearch/TLV5638MJG/page-1", "TLV5638MJG")</f>
        <v>TLV5638MJG</v>
      </c>
      <c r="B8200" s="3" t="s">
        <v>90</v>
      </c>
      <c r="C8200" s="5">
        <v>139</v>
      </c>
      <c r="D8200" s="6">
        <v>70.16</v>
      </c>
      <c r="E8200" t="s">
        <v>29</v>
      </c>
    </row>
    <row r="8201" spans="1:5" x14ac:dyDescent="0.25">
      <c r="A8201" t="str">
        <f>HYPERLINK("https://www.773grp.com/globalSearch/DAC7634EB/page-1", "DAC7634EB")</f>
        <v>DAC7634EB</v>
      </c>
      <c r="B8201" s="3" t="s">
        <v>90</v>
      </c>
      <c r="C8201" s="5">
        <v>3</v>
      </c>
      <c r="D8201" s="6">
        <v>70.739999999999995</v>
      </c>
      <c r="E8201" t="s">
        <v>29</v>
      </c>
    </row>
    <row r="8202" spans="1:5" x14ac:dyDescent="0.25">
      <c r="A8202" t="str">
        <f>HYPERLINK("https://www.773grp.com/globalSearch/DAC7644EB/page-1", "DAC7644EB")</f>
        <v>DAC7644EB</v>
      </c>
      <c r="B8202" s="3" t="s">
        <v>90</v>
      </c>
      <c r="C8202" s="5">
        <v>12822</v>
      </c>
      <c r="D8202" s="6">
        <v>70.739999999999995</v>
      </c>
      <c r="E8202" t="s">
        <v>29</v>
      </c>
    </row>
    <row r="8203" spans="1:5" x14ac:dyDescent="0.25">
      <c r="A8203" t="str">
        <f>HYPERLINK("https://www.773grp.com/globalSearch/PCM69AP-K/page-1", "PCM69AP-K")</f>
        <v>PCM69AP-K</v>
      </c>
      <c r="B8203" s="3" t="s">
        <v>90</v>
      </c>
      <c r="C8203" s="5">
        <v>22</v>
      </c>
      <c r="D8203" s="6">
        <v>73.83</v>
      </c>
      <c r="E8203" t="s">
        <v>29</v>
      </c>
    </row>
    <row r="8204" spans="1:5" x14ac:dyDescent="0.25">
      <c r="A8204" t="str">
        <f>HYPERLINK("https://www.773grp.com/globalSearch/DAC9881SBRGET/page-1", "DAC9881SBRGET")</f>
        <v>DAC9881SBRGET</v>
      </c>
      <c r="B8204" s="3" t="s">
        <v>90</v>
      </c>
      <c r="C8204" s="5">
        <v>15085</v>
      </c>
      <c r="D8204" s="6">
        <v>74.25</v>
      </c>
      <c r="E8204" t="s">
        <v>29</v>
      </c>
    </row>
    <row r="8205" spans="1:5" x14ac:dyDescent="0.25">
      <c r="A8205" t="str">
        <f>HYPERLINK("https://www.773grp.com/globalSearch/DAC813KP/page-1", "DAC813KP")</f>
        <v>DAC813KP</v>
      </c>
      <c r="B8205" s="3" t="s">
        <v>90</v>
      </c>
      <c r="C8205" s="5">
        <v>51</v>
      </c>
      <c r="D8205" s="6">
        <v>74.680000000000007</v>
      </c>
      <c r="E8205" t="s">
        <v>29</v>
      </c>
    </row>
    <row r="8206" spans="1:5" x14ac:dyDescent="0.25">
      <c r="A8206" t="str">
        <f>HYPERLINK("https://www.773grp.com/globalSearch/DAC712PL/page-1", "DAC712PL")</f>
        <v>DAC712PL</v>
      </c>
      <c r="B8206" s="3" t="s">
        <v>90</v>
      </c>
      <c r="C8206" s="5">
        <v>1647</v>
      </c>
      <c r="D8206" s="6">
        <v>75.38</v>
      </c>
      <c r="E8206" t="s">
        <v>29</v>
      </c>
    </row>
    <row r="8207" spans="1:5" x14ac:dyDescent="0.25">
      <c r="A8207" t="str">
        <f>HYPERLINK("https://www.773grp.com/globalSearch/DAC7801LU-1K/page-1", "DAC7801LU-1K")</f>
        <v>DAC7801LU-1K</v>
      </c>
      <c r="B8207" s="3" t="s">
        <v>90</v>
      </c>
      <c r="C8207" s="5">
        <v>1000</v>
      </c>
      <c r="D8207" s="6">
        <v>76.08</v>
      </c>
      <c r="E8207" t="s">
        <v>29</v>
      </c>
    </row>
    <row r="8208" spans="1:5" x14ac:dyDescent="0.25">
      <c r="A8208" t="str">
        <f>HYPERLINK("https://www.773grp.com/globalSearch/DAC715UL/page-1", "DAC715UL")</f>
        <v>DAC715UL</v>
      </c>
      <c r="B8208" s="3" t="s">
        <v>90</v>
      </c>
      <c r="C8208" s="5">
        <v>4113</v>
      </c>
      <c r="D8208" s="6">
        <v>76.36</v>
      </c>
      <c r="E8208" t="s">
        <v>29</v>
      </c>
    </row>
    <row r="8209" spans="1:5" x14ac:dyDescent="0.25">
      <c r="A8209" t="str">
        <f>HYPERLINK("https://www.773grp.com/globalSearch/DAC7654YR/page-1", "DAC7654YR")</f>
        <v>DAC7654YR</v>
      </c>
      <c r="B8209" s="3" t="s">
        <v>90</v>
      </c>
      <c r="C8209" s="5">
        <v>1284</v>
      </c>
      <c r="D8209" s="6">
        <v>76.650000000000006</v>
      </c>
      <c r="E8209" t="s">
        <v>29</v>
      </c>
    </row>
    <row r="8210" spans="1:5" x14ac:dyDescent="0.25">
      <c r="A8210" t="str">
        <f>HYPERLINK("https://www.773grp.com/globalSearch/PCM69AP/page-1", "PCM69AP")</f>
        <v>PCM69AP</v>
      </c>
      <c r="B8210" s="3" t="s">
        <v>90</v>
      </c>
      <c r="C8210" s="5">
        <v>28108</v>
      </c>
      <c r="D8210" s="6">
        <v>76.650000000000006</v>
      </c>
      <c r="E8210" t="s">
        <v>29</v>
      </c>
    </row>
    <row r="8211" spans="1:5" x14ac:dyDescent="0.25">
      <c r="A8211" t="str">
        <f>HYPERLINK("https://www.773grp.com/globalSearch/PCM69AP/page-1", "PCM69AP")</f>
        <v>PCM69AP</v>
      </c>
      <c r="B8211" s="3" t="s">
        <v>90</v>
      </c>
      <c r="C8211" s="5">
        <v>310</v>
      </c>
      <c r="D8211" s="6">
        <v>76.650000000000006</v>
      </c>
      <c r="E8211" t="s">
        <v>29</v>
      </c>
    </row>
    <row r="8212" spans="1:5" x14ac:dyDescent="0.25">
      <c r="A8212" t="str">
        <f>HYPERLINK("https://www.773grp.com/globalSearch/PCM69AU/page-1", "PCM69AU")</f>
        <v>PCM69AU</v>
      </c>
      <c r="B8212" s="3" t="s">
        <v>90</v>
      </c>
      <c r="C8212" s="5">
        <v>10890</v>
      </c>
      <c r="D8212" s="6">
        <v>76.650000000000006</v>
      </c>
      <c r="E8212" t="s">
        <v>29</v>
      </c>
    </row>
    <row r="8213" spans="1:5" x14ac:dyDescent="0.25">
      <c r="A8213" t="str">
        <f>HYPERLINK("https://www.773grp.com/globalSearch/DAC5681IRGCR/page-1", "DAC5681IRGCR")</f>
        <v>DAC5681IRGCR</v>
      </c>
      <c r="B8213" s="3" t="s">
        <v>90</v>
      </c>
      <c r="C8213" s="5">
        <v>15991</v>
      </c>
      <c r="D8213" s="6">
        <v>77.34</v>
      </c>
      <c r="E8213" t="s">
        <v>29</v>
      </c>
    </row>
    <row r="8214" spans="1:5" x14ac:dyDescent="0.25">
      <c r="A8214" t="str">
        <f>HYPERLINK("https://www.773grp.com/globalSearch/DAC7800LP/page-1", "DAC7800LP")</f>
        <v>DAC7800LP</v>
      </c>
      <c r="B8214" s="3" t="s">
        <v>90</v>
      </c>
      <c r="C8214" s="5">
        <v>30</v>
      </c>
      <c r="D8214" s="6">
        <v>78.05</v>
      </c>
      <c r="E8214" t="s">
        <v>29</v>
      </c>
    </row>
    <row r="8215" spans="1:5" x14ac:dyDescent="0.25">
      <c r="A8215" t="str">
        <f>HYPERLINK("https://www.773grp.com/globalSearch/DAC3283IRGZT/page-1", "DAC3283IRGZT")</f>
        <v>DAC3283IRGZT</v>
      </c>
      <c r="B8215" s="3" t="s">
        <v>90</v>
      </c>
      <c r="C8215" s="5">
        <v>1027</v>
      </c>
      <c r="D8215" s="6">
        <v>80.03</v>
      </c>
      <c r="E8215" t="s">
        <v>29</v>
      </c>
    </row>
    <row r="8216" spans="1:5" x14ac:dyDescent="0.25">
      <c r="A8216" t="str">
        <f>HYPERLINK("https://www.773grp.com/globalSearch/DAC7545JU/page-1", "DAC7545JU")</f>
        <v>DAC7545JU</v>
      </c>
      <c r="B8216" s="3" t="s">
        <v>90</v>
      </c>
      <c r="C8216" s="5">
        <v>4580</v>
      </c>
      <c r="D8216" s="6">
        <v>80.290000000000006</v>
      </c>
      <c r="E8216" t="s">
        <v>29</v>
      </c>
    </row>
    <row r="8217" spans="1:5" x14ac:dyDescent="0.25">
      <c r="A8217" t="str">
        <f>HYPERLINK("https://www.773grp.com/globalSearch/DAC7664YT/page-1", "DAC7664YT")</f>
        <v>DAC7664YT</v>
      </c>
      <c r="B8217" s="3" t="s">
        <v>90</v>
      </c>
      <c r="C8217" s="5">
        <v>14714</v>
      </c>
      <c r="D8217" s="6">
        <v>80.86</v>
      </c>
      <c r="E8217" t="s">
        <v>29</v>
      </c>
    </row>
    <row r="8218" spans="1:5" x14ac:dyDescent="0.25">
      <c r="A8218" t="str">
        <f>HYPERLINK("https://www.773grp.com/globalSearch/DAC7801LU/page-1", "DAC7801LU")</f>
        <v>DAC7801LU</v>
      </c>
      <c r="B8218" s="3" t="s">
        <v>90</v>
      </c>
      <c r="C8218" s="5">
        <v>721</v>
      </c>
      <c r="D8218" s="6">
        <v>81.59</v>
      </c>
      <c r="E8218" t="s">
        <v>29</v>
      </c>
    </row>
    <row r="8219" spans="1:5" x14ac:dyDescent="0.25">
      <c r="A8219" t="str">
        <f>HYPERLINK("https://www.773grp.com/globalSearch/DAC7801LU/page-1", "DAC7801LU")</f>
        <v>DAC7801LU</v>
      </c>
      <c r="B8219" s="3" t="s">
        <v>90</v>
      </c>
      <c r="C8219" s="5">
        <v>4517</v>
      </c>
      <c r="D8219" s="6">
        <v>81.59</v>
      </c>
      <c r="E8219" t="s">
        <v>29</v>
      </c>
    </row>
    <row r="8220" spans="1:5" x14ac:dyDescent="0.25">
      <c r="A8220" t="str">
        <f>HYPERLINK("https://www.773grp.com/globalSearch/DAC5686IPZP/page-1", "DAC5686IPZP")</f>
        <v>DAC5686IPZP</v>
      </c>
      <c r="B8220" s="3" t="s">
        <v>90</v>
      </c>
      <c r="C8220" s="5">
        <v>2751</v>
      </c>
      <c r="D8220" s="6">
        <v>82.01</v>
      </c>
      <c r="E8220" t="s">
        <v>29</v>
      </c>
    </row>
    <row r="8221" spans="1:5" x14ac:dyDescent="0.25">
      <c r="A8221" t="str">
        <f>HYPERLINK("https://www.773grp.com/globalSearch/DAC5687IPZP/page-1", "DAC5687IPZP")</f>
        <v>DAC5687IPZP</v>
      </c>
      <c r="B8221" s="3" t="s">
        <v>90</v>
      </c>
      <c r="C8221" s="5">
        <v>94</v>
      </c>
      <c r="D8221" s="6">
        <v>82.21</v>
      </c>
      <c r="E8221" t="s">
        <v>29</v>
      </c>
    </row>
    <row r="8222" spans="1:5" x14ac:dyDescent="0.25">
      <c r="A8222" t="str">
        <f>HYPERLINK("https://www.773grp.com/globalSearch/DAC715P/page-1", "DAC715P")</f>
        <v>DAC715P</v>
      </c>
      <c r="B8222" s="3" t="s">
        <v>90</v>
      </c>
      <c r="C8222" s="5">
        <v>127</v>
      </c>
      <c r="D8222" s="6">
        <v>82.4</v>
      </c>
      <c r="E8222" t="s">
        <v>29</v>
      </c>
    </row>
    <row r="8223" spans="1:5" x14ac:dyDescent="0.25">
      <c r="A8223" t="str">
        <f>HYPERLINK("https://www.773grp.com/globalSearch/DAC716P/page-1", "DAC716P")</f>
        <v>DAC716P</v>
      </c>
      <c r="B8223" s="3" t="s">
        <v>90</v>
      </c>
      <c r="C8223" s="5">
        <v>21</v>
      </c>
      <c r="D8223" s="6">
        <v>82.4</v>
      </c>
      <c r="E8223" t="s">
        <v>29</v>
      </c>
    </row>
    <row r="8224" spans="1:5" x14ac:dyDescent="0.25">
      <c r="A8224" t="str">
        <f>HYPERLINK("https://www.773grp.com/globalSearch/DAC716P/page-1", "DAC716P")</f>
        <v>DAC716P</v>
      </c>
      <c r="B8224" s="3" t="s">
        <v>90</v>
      </c>
      <c r="C8224" s="5">
        <v>71</v>
      </c>
      <c r="D8224" s="6">
        <v>82.4</v>
      </c>
      <c r="E8224" t="s">
        <v>29</v>
      </c>
    </row>
    <row r="8225" spans="1:5" x14ac:dyDescent="0.25">
      <c r="A8225" t="str">
        <f>HYPERLINK("https://www.773grp.com/globalSearch/DAC5688IRGCR/page-1", "DAC5688IRGCR")</f>
        <v>DAC5688IRGCR</v>
      </c>
      <c r="B8225" s="3" t="s">
        <v>90</v>
      </c>
      <c r="C8225" s="5">
        <v>4000</v>
      </c>
      <c r="D8225" s="6">
        <v>84.24</v>
      </c>
      <c r="E8225" t="s">
        <v>29</v>
      </c>
    </row>
    <row r="8226" spans="1:5" x14ac:dyDescent="0.25">
      <c r="A8226" t="str">
        <f>HYPERLINK("https://www.773grp.com/globalSearch/DAC7802LP/page-1", "DAC7802LP")</f>
        <v>DAC7802LP</v>
      </c>
      <c r="B8226" s="3" t="s">
        <v>90</v>
      </c>
      <c r="C8226" s="5">
        <v>1756</v>
      </c>
      <c r="D8226" s="6">
        <v>84.51</v>
      </c>
      <c r="E8226" t="s">
        <v>29</v>
      </c>
    </row>
    <row r="8227" spans="1:5" x14ac:dyDescent="0.25">
      <c r="A8227" t="str">
        <f>HYPERLINK("https://www.773grp.com/globalSearch/DAC7654YT/page-1", "DAC7654YT")</f>
        <v>DAC7654YT</v>
      </c>
      <c r="B8227" s="3" t="s">
        <v>90</v>
      </c>
      <c r="C8227" s="5">
        <v>4372</v>
      </c>
      <c r="D8227" s="6">
        <v>84.68</v>
      </c>
      <c r="E8227" t="s">
        <v>29</v>
      </c>
    </row>
    <row r="8228" spans="1:5" x14ac:dyDescent="0.25">
      <c r="A8228" t="str">
        <f>HYPERLINK("https://www.773grp.com/globalSearch/DAC715PK/page-1", "DAC715PK")</f>
        <v>DAC715PK</v>
      </c>
      <c r="B8228" s="3" t="s">
        <v>90</v>
      </c>
      <c r="C8228" s="5">
        <v>334</v>
      </c>
      <c r="D8228" s="6">
        <v>87.46</v>
      </c>
      <c r="E8228" t="s">
        <v>29</v>
      </c>
    </row>
    <row r="8229" spans="1:5" x14ac:dyDescent="0.25">
      <c r="A8229" t="str">
        <f>HYPERLINK("https://www.773grp.com/globalSearch/DAC716PK/page-1", "DAC716PK")</f>
        <v>DAC716PK</v>
      </c>
      <c r="B8229" s="3" t="s">
        <v>90</v>
      </c>
      <c r="C8229" s="5">
        <v>25</v>
      </c>
      <c r="D8229" s="6">
        <v>87.46</v>
      </c>
      <c r="E8229" t="s">
        <v>29</v>
      </c>
    </row>
    <row r="8230" spans="1:5" x14ac:dyDescent="0.25">
      <c r="A8230" t="str">
        <f>HYPERLINK("https://www.773grp.com/globalSearch/DAC716PK/page-1", "DAC716PK")</f>
        <v>DAC716PK</v>
      </c>
      <c r="B8230" s="3" t="s">
        <v>90</v>
      </c>
      <c r="C8230" s="5">
        <v>4027</v>
      </c>
      <c r="D8230" s="6">
        <v>87.46</v>
      </c>
      <c r="E8230" t="s">
        <v>29</v>
      </c>
    </row>
    <row r="8231" spans="1:5" x14ac:dyDescent="0.25">
      <c r="A8231" t="str">
        <f>HYPERLINK("https://www.773grp.com/globalSearch/DAC5688IRGCT/page-1", "DAC5688IRGCT")</f>
        <v>DAC5688IRGCT</v>
      </c>
      <c r="B8231" s="3" t="s">
        <v>90</v>
      </c>
      <c r="C8231" s="5">
        <v>577</v>
      </c>
      <c r="D8231" s="6">
        <v>88.46</v>
      </c>
      <c r="E8231" t="s">
        <v>29</v>
      </c>
    </row>
    <row r="8232" spans="1:5" x14ac:dyDescent="0.25">
      <c r="A8232" t="str">
        <f>HYPERLINK("https://www.773grp.com/globalSearch/DAC7654YBR/page-1", "DAC7654YBR")</f>
        <v>DAC7654YBR</v>
      </c>
      <c r="B8232" s="3" t="s">
        <v>90</v>
      </c>
      <c r="C8232" s="5">
        <v>3261</v>
      </c>
      <c r="D8232" s="6">
        <v>89.01</v>
      </c>
      <c r="E8232" t="s">
        <v>29</v>
      </c>
    </row>
    <row r="8233" spans="1:5" x14ac:dyDescent="0.25">
      <c r="A8233" t="str">
        <f>HYPERLINK("https://www.773grp.com/globalSearch/DAC5681ZIRGCT/page-1", "DAC5681ZIRGCT")</f>
        <v>DAC5681ZIRGCT</v>
      </c>
      <c r="B8233" s="3" t="s">
        <v>90</v>
      </c>
      <c r="C8233" s="5">
        <v>1193</v>
      </c>
      <c r="D8233" s="6">
        <v>91.26</v>
      </c>
      <c r="E8233" t="s">
        <v>29</v>
      </c>
    </row>
    <row r="8234" spans="1:5" x14ac:dyDescent="0.25">
      <c r="A8234" t="str">
        <f>HYPERLINK("https://www.773grp.com/globalSearch/DAC7664YBT/page-1", "DAC7664YBT")</f>
        <v>DAC7664YBT</v>
      </c>
      <c r="B8234" s="3" t="s">
        <v>90</v>
      </c>
      <c r="C8234" s="5">
        <v>20723</v>
      </c>
      <c r="D8234" s="6">
        <v>92.53</v>
      </c>
      <c r="E8234" t="s">
        <v>29</v>
      </c>
    </row>
    <row r="8235" spans="1:5" x14ac:dyDescent="0.25">
      <c r="A8235" t="str">
        <f>HYPERLINK("https://www.773grp.com/globalSearch/DAC7744E-1K/page-1", "DAC7744E-1K")</f>
        <v>DAC7744E-1K</v>
      </c>
      <c r="B8235" s="3" t="s">
        <v>90</v>
      </c>
      <c r="C8235" s="5">
        <v>2950</v>
      </c>
      <c r="D8235" s="6">
        <v>92.86</v>
      </c>
      <c r="E8235" t="s">
        <v>29</v>
      </c>
    </row>
    <row r="8236" spans="1:5" x14ac:dyDescent="0.25">
      <c r="A8236" t="str">
        <f>HYPERLINK("https://www.773grp.com/globalSearch/DAC7801KP/page-1", "DAC7801KP")</f>
        <v>DAC7801KP</v>
      </c>
      <c r="B8236" s="3" t="s">
        <v>90</v>
      </c>
      <c r="C8236" s="5">
        <v>595</v>
      </c>
      <c r="D8236" s="6">
        <v>92.95</v>
      </c>
      <c r="E8236" t="s">
        <v>29</v>
      </c>
    </row>
    <row r="8237" spans="1:5" x14ac:dyDescent="0.25">
      <c r="A8237" t="str">
        <f>HYPERLINK("https://www.773grp.com/globalSearch/DAC7654YBT/page-1", "DAC7654YBT")</f>
        <v>DAC7654YBT</v>
      </c>
      <c r="B8237" s="3" t="s">
        <v>90</v>
      </c>
      <c r="C8237" s="5">
        <v>1250</v>
      </c>
      <c r="D8237" s="6">
        <v>93.24</v>
      </c>
      <c r="E8237" t="s">
        <v>29</v>
      </c>
    </row>
    <row r="8238" spans="1:5" x14ac:dyDescent="0.25">
      <c r="A8238" t="str">
        <f>HYPERLINK("https://www.773grp.com/globalSearch/DAC715PB/page-1", "DAC715PB")</f>
        <v>DAC715PB</v>
      </c>
      <c r="B8238" s="3" t="s">
        <v>90</v>
      </c>
      <c r="C8238" s="5">
        <v>435</v>
      </c>
      <c r="D8238" s="6">
        <v>93.94</v>
      </c>
      <c r="E8238" t="s">
        <v>29</v>
      </c>
    </row>
    <row r="8239" spans="1:5" x14ac:dyDescent="0.25">
      <c r="A8239" t="str">
        <f>HYPERLINK("https://www.773grp.com/globalSearch/DAC715PB/page-1", "DAC715PB")</f>
        <v>DAC715PB</v>
      </c>
      <c r="B8239" s="3" t="s">
        <v>90</v>
      </c>
      <c r="C8239" s="5">
        <v>1516</v>
      </c>
      <c r="D8239" s="6">
        <v>93.94</v>
      </c>
      <c r="E8239" t="s">
        <v>29</v>
      </c>
    </row>
    <row r="8240" spans="1:5" x14ac:dyDescent="0.25">
      <c r="A8240" t="str">
        <f>HYPERLINK("https://www.773grp.com/globalSearch/DAC716PB/page-1", "DAC716PB")</f>
        <v>DAC716PB</v>
      </c>
      <c r="B8240" s="3" t="s">
        <v>90</v>
      </c>
      <c r="C8240" s="5">
        <v>1407</v>
      </c>
      <c r="D8240" s="6">
        <v>93.94</v>
      </c>
      <c r="E8240" t="s">
        <v>29</v>
      </c>
    </row>
    <row r="8241" spans="1:5" x14ac:dyDescent="0.25">
      <c r="A8241" t="str">
        <f>HYPERLINK("https://www.773grp.com/globalSearch/DAC716PB/page-1", "DAC716PB")</f>
        <v>DAC716PB</v>
      </c>
      <c r="B8241" s="3" t="s">
        <v>90</v>
      </c>
      <c r="C8241" s="5">
        <v>968</v>
      </c>
      <c r="D8241" s="6">
        <v>93.94</v>
      </c>
      <c r="E8241" t="s">
        <v>29</v>
      </c>
    </row>
    <row r="8242" spans="1:5" x14ac:dyDescent="0.25">
      <c r="A8242" t="str">
        <f>HYPERLINK("https://www.773grp.com/globalSearch/DAC7734E/page-1", "DAC7734E")</f>
        <v>DAC7734E</v>
      </c>
      <c r="B8242" s="3" t="s">
        <v>90</v>
      </c>
      <c r="C8242" s="5">
        <v>30616</v>
      </c>
      <c r="D8242" s="6">
        <v>94.08</v>
      </c>
      <c r="E8242" t="s">
        <v>29</v>
      </c>
    </row>
    <row r="8243" spans="1:5" x14ac:dyDescent="0.25">
      <c r="A8243" t="str">
        <f>HYPERLINK("https://www.773grp.com/globalSearch/DAC7734EB/page-1", "DAC7734EB")</f>
        <v>DAC7734EB</v>
      </c>
      <c r="B8243" s="3" t="s">
        <v>90</v>
      </c>
      <c r="C8243" s="5">
        <v>5</v>
      </c>
      <c r="D8243" s="6">
        <v>97.31</v>
      </c>
      <c r="E8243" t="s">
        <v>29</v>
      </c>
    </row>
    <row r="8244" spans="1:5" x14ac:dyDescent="0.25">
      <c r="A8244" t="str">
        <f>HYPERLINK("https://www.773grp.com/globalSearch/DAC7744E/page-1", "DAC7744E")</f>
        <v>DAC7744E</v>
      </c>
      <c r="B8244" s="3" t="s">
        <v>90</v>
      </c>
      <c r="C8244" s="5">
        <v>2603</v>
      </c>
      <c r="D8244" s="6">
        <v>98.5</v>
      </c>
      <c r="E8244" t="s">
        <v>29</v>
      </c>
    </row>
    <row r="8245" spans="1:5" x14ac:dyDescent="0.25">
      <c r="A8245" t="str">
        <f>HYPERLINK("https://www.773grp.com/globalSearch/DAC7744EG4/page-1", "DAC7744EG4")</f>
        <v>DAC7744EG4</v>
      </c>
      <c r="B8245" s="3" t="s">
        <v>90</v>
      </c>
      <c r="C8245" s="5">
        <v>4</v>
      </c>
      <c r="D8245" s="6">
        <v>98.5</v>
      </c>
      <c r="E8245" t="s">
        <v>29</v>
      </c>
    </row>
    <row r="8246" spans="1:5" x14ac:dyDescent="0.25">
      <c r="A8246" t="str">
        <f>HYPERLINK("https://www.773grp.com/globalSearch/DAC7541AJU/page-1", "DAC7541AJU")</f>
        <v>DAC7541AJU</v>
      </c>
      <c r="B8246" s="3" t="s">
        <v>90</v>
      </c>
      <c r="C8246" s="5">
        <v>35</v>
      </c>
      <c r="D8246" s="6">
        <v>100.96</v>
      </c>
      <c r="E8246" t="s">
        <v>29</v>
      </c>
    </row>
    <row r="8247" spans="1:5" x14ac:dyDescent="0.25">
      <c r="A8247" t="str">
        <f>HYPERLINK("https://www.773grp.com/globalSearch/DAC7541AKU-1K/page-1", "DAC7541AKU-1K")</f>
        <v>DAC7541AKU-1K</v>
      </c>
      <c r="B8247" s="3" t="s">
        <v>90</v>
      </c>
      <c r="C8247" s="5">
        <v>1000</v>
      </c>
      <c r="D8247" s="6">
        <v>101.39</v>
      </c>
      <c r="E8247" t="s">
        <v>29</v>
      </c>
    </row>
    <row r="8248" spans="1:5" x14ac:dyDescent="0.25">
      <c r="A8248" t="str">
        <f>HYPERLINK("https://www.773grp.com/globalSearch/DAC7545KU/page-1", "DAC7545KU")</f>
        <v>DAC7545KU</v>
      </c>
      <c r="B8248" s="3" t="s">
        <v>90</v>
      </c>
      <c r="C8248" s="5">
        <v>80822</v>
      </c>
      <c r="D8248" s="6">
        <v>101.96</v>
      </c>
      <c r="E8248" t="s">
        <v>29</v>
      </c>
    </row>
    <row r="8249" spans="1:5" x14ac:dyDescent="0.25">
      <c r="A8249" t="str">
        <f>HYPERLINK("https://www.773grp.com/globalSearch/DAC7664YCT/page-1", "DAC7664YCT")</f>
        <v>DAC7664YCT</v>
      </c>
      <c r="B8249" s="3" t="s">
        <v>90</v>
      </c>
      <c r="C8249" s="5">
        <v>3138</v>
      </c>
      <c r="D8249" s="6">
        <v>102.01</v>
      </c>
      <c r="E8249" t="s">
        <v>29</v>
      </c>
    </row>
    <row r="8250" spans="1:5" x14ac:dyDescent="0.25">
      <c r="A8250" t="str">
        <f>HYPERLINK("https://www.773grp.com/globalSearch/DAC7744EB-1K/page-1", "DAC7744EB-1K")</f>
        <v>DAC7744EB-1K</v>
      </c>
      <c r="B8250" s="3" t="s">
        <v>90</v>
      </c>
      <c r="C8250" s="5">
        <v>13000</v>
      </c>
      <c r="D8250" s="6">
        <v>102.15</v>
      </c>
      <c r="E8250" t="s">
        <v>29</v>
      </c>
    </row>
    <row r="8251" spans="1:5" x14ac:dyDescent="0.25">
      <c r="A8251" t="str">
        <f>HYPERLINK("https://www.773grp.com/globalSearch/PCM55HP/page-1", "PCM55HP")</f>
        <v>PCM55HP</v>
      </c>
      <c r="B8251" s="3" t="s">
        <v>90</v>
      </c>
      <c r="C8251" s="5">
        <v>299</v>
      </c>
      <c r="D8251" s="6">
        <v>102.65</v>
      </c>
      <c r="E8251" t="s">
        <v>29</v>
      </c>
    </row>
    <row r="8252" spans="1:5" x14ac:dyDescent="0.25">
      <c r="A8252" t="str">
        <f>HYPERLINK("https://www.773grp.com/globalSearch/DAC5682ZIRGCT/page-1", "DAC5682ZIRGCT")</f>
        <v>DAC5682ZIRGCT</v>
      </c>
      <c r="B8252" s="3" t="s">
        <v>90</v>
      </c>
      <c r="C8252" s="5">
        <v>1082</v>
      </c>
      <c r="D8252" s="6">
        <v>103.08</v>
      </c>
      <c r="E8252" t="s">
        <v>29</v>
      </c>
    </row>
    <row r="8253" spans="1:5" x14ac:dyDescent="0.25">
      <c r="A8253" t="str">
        <f>HYPERLINK("https://www.773grp.com/globalSearch/DAC5675IPHPR/page-1", "DAC5675IPHPR")</f>
        <v>DAC5675IPHPR</v>
      </c>
      <c r="B8253" s="3" t="s">
        <v>90</v>
      </c>
      <c r="C8253" s="5">
        <v>5000</v>
      </c>
      <c r="D8253" s="6">
        <v>103.65</v>
      </c>
      <c r="E8253" t="s">
        <v>29</v>
      </c>
    </row>
    <row r="8254" spans="1:5" x14ac:dyDescent="0.25">
      <c r="A8254" t="str">
        <f>HYPERLINK("https://www.773grp.com/globalSearch/DAC5675AIPHP/page-1", "DAC5675AIPHP")</f>
        <v>DAC5675AIPHP</v>
      </c>
      <c r="B8254" s="3" t="s">
        <v>90</v>
      </c>
      <c r="C8254" s="5">
        <v>2802</v>
      </c>
      <c r="D8254" s="6">
        <v>105.05</v>
      </c>
      <c r="E8254" t="s">
        <v>29</v>
      </c>
    </row>
    <row r="8255" spans="1:5" x14ac:dyDescent="0.25">
      <c r="A8255" t="str">
        <f>HYPERLINK("https://www.773grp.com/globalSearch/DAC7654YCT/page-1", "DAC7654YCT")</f>
        <v>DAC7654YCT</v>
      </c>
      <c r="B8255" s="3" t="s">
        <v>90</v>
      </c>
      <c r="C8255" s="5">
        <v>715</v>
      </c>
      <c r="D8255" s="6">
        <v>106.94</v>
      </c>
      <c r="E8255" t="s">
        <v>29</v>
      </c>
    </row>
    <row r="8256" spans="1:5" x14ac:dyDescent="0.25">
      <c r="A8256" t="str">
        <f>HYPERLINK("https://www.773grp.com/globalSearch/PCM1702P-J/page-1", "PCM1702P-J")</f>
        <v>PCM1702P-J</v>
      </c>
      <c r="B8256" s="3" t="s">
        <v>90</v>
      </c>
      <c r="C8256" s="5">
        <v>25</v>
      </c>
      <c r="D8256" s="6">
        <v>108.43</v>
      </c>
      <c r="E8256" t="s">
        <v>29</v>
      </c>
    </row>
    <row r="8257" spans="1:5" x14ac:dyDescent="0.25">
      <c r="A8257" t="str">
        <f>HYPERLINK("https://www.773grp.com/globalSearch/DAC715PL/page-1", "DAC715PL")</f>
        <v>DAC715PL</v>
      </c>
      <c r="B8257" s="3" t="s">
        <v>90</v>
      </c>
      <c r="C8257" s="5">
        <v>2467</v>
      </c>
      <c r="D8257" s="6">
        <v>108.98</v>
      </c>
      <c r="E8257" t="s">
        <v>29</v>
      </c>
    </row>
    <row r="8258" spans="1:5" x14ac:dyDescent="0.25">
      <c r="A8258" t="str">
        <f>HYPERLINK("https://www.773grp.com/globalSearch/PCM1702U-K/page-1", "PCM1702U-K")</f>
        <v>PCM1702U-K</v>
      </c>
      <c r="B8258" s="3" t="s">
        <v>90</v>
      </c>
      <c r="C8258" s="5">
        <v>315</v>
      </c>
      <c r="D8258" s="6">
        <v>114.04</v>
      </c>
      <c r="E8258" t="s">
        <v>29</v>
      </c>
    </row>
    <row r="8259" spans="1:5" x14ac:dyDescent="0.25">
      <c r="A8259" t="str">
        <f>HYPERLINK("https://www.773grp.com/globalSearch/DAC7801LP/page-1", "DAC7801LP")</f>
        <v>DAC7801LP</v>
      </c>
      <c r="B8259" s="3" t="s">
        <v>90</v>
      </c>
      <c r="C8259" s="5">
        <v>510</v>
      </c>
      <c r="D8259" s="6">
        <v>115.88</v>
      </c>
      <c r="E8259" t="s">
        <v>29</v>
      </c>
    </row>
    <row r="8260" spans="1:5" x14ac:dyDescent="0.25">
      <c r="A8260" t="str">
        <f>HYPERLINK("https://www.773grp.com/globalSearch/DAC7801LP/page-1", "DAC7801LP")</f>
        <v>DAC7801LP</v>
      </c>
      <c r="B8260" s="3" t="s">
        <v>90</v>
      </c>
      <c r="C8260" s="5">
        <v>598</v>
      </c>
      <c r="D8260" s="6">
        <v>115.88</v>
      </c>
      <c r="E8260" t="s">
        <v>29</v>
      </c>
    </row>
    <row r="8261" spans="1:5" x14ac:dyDescent="0.25">
      <c r="A8261" t="str">
        <f>HYPERLINK("https://www.773grp.com/globalSearch/DAC7801LP/page-1", "DAC7801LP")</f>
        <v>DAC7801LP</v>
      </c>
      <c r="B8261" s="3" t="s">
        <v>90</v>
      </c>
      <c r="C8261" s="5">
        <v>3771</v>
      </c>
      <c r="D8261" s="6">
        <v>115.88</v>
      </c>
      <c r="E8261" t="s">
        <v>29</v>
      </c>
    </row>
    <row r="8262" spans="1:5" x14ac:dyDescent="0.25">
      <c r="A8262" t="str">
        <f>HYPERLINK("https://www.773grp.com/globalSearch/DAC7541AKU/page-1", "DAC7541AKU")</f>
        <v>DAC7541AKU</v>
      </c>
      <c r="B8262" s="3" t="s">
        <v>90</v>
      </c>
      <c r="C8262" s="5">
        <v>907</v>
      </c>
      <c r="D8262" s="6">
        <v>116.15</v>
      </c>
      <c r="E8262" t="s">
        <v>29</v>
      </c>
    </row>
    <row r="8263" spans="1:5" x14ac:dyDescent="0.25">
      <c r="A8263" t="str">
        <f>HYPERLINK("https://www.773grp.com/globalSearch/DAC5675IPHP/page-1", "DAC5675IPHP")</f>
        <v>DAC5675IPHP</v>
      </c>
      <c r="B8263" s="3" t="s">
        <v>90</v>
      </c>
      <c r="C8263" s="5">
        <v>10094</v>
      </c>
      <c r="D8263" s="6">
        <v>118.09</v>
      </c>
      <c r="E8263" t="s">
        <v>29</v>
      </c>
    </row>
    <row r="8264" spans="1:5" x14ac:dyDescent="0.25">
      <c r="A8264" t="str">
        <f>HYPERLINK("https://www.773grp.com/globalSearch/DAC7734EC/page-1", "DAC7734EC")</f>
        <v>DAC7734EC</v>
      </c>
      <c r="B8264" s="3" t="s">
        <v>90</v>
      </c>
      <c r="C8264" s="5">
        <v>226</v>
      </c>
      <c r="D8264" s="6">
        <v>119.81</v>
      </c>
      <c r="E8264" t="s">
        <v>29</v>
      </c>
    </row>
    <row r="8265" spans="1:5" x14ac:dyDescent="0.25">
      <c r="A8265" t="str">
        <f>HYPERLINK("https://www.773grp.com/globalSearch/TLV5618AMJG/page-1", "TLV5618AMJG")</f>
        <v>TLV5618AMJG</v>
      </c>
      <c r="B8265" s="3" t="s">
        <v>90</v>
      </c>
      <c r="C8265" s="5">
        <v>11</v>
      </c>
      <c r="D8265" s="6">
        <v>120.83</v>
      </c>
      <c r="E8265" t="s">
        <v>29</v>
      </c>
    </row>
    <row r="8266" spans="1:5" x14ac:dyDescent="0.25">
      <c r="A8266" t="str">
        <f>HYPERLINK("https://www.773grp.com/globalSearch/DAC7541AKP/page-1", "DAC7541AKP")</f>
        <v>DAC7541AKP</v>
      </c>
      <c r="B8266" s="3" t="s">
        <v>90</v>
      </c>
      <c r="C8266" s="5">
        <v>314</v>
      </c>
      <c r="D8266" s="6">
        <v>125.73</v>
      </c>
      <c r="E8266" t="s">
        <v>29</v>
      </c>
    </row>
    <row r="8267" spans="1:5" x14ac:dyDescent="0.25">
      <c r="A8267" t="str">
        <f>HYPERLINK("https://www.773grp.com/globalSearch/5962-9955701QPA/page-1", "5962-9955701QPA")</f>
        <v>5962-9955701QPA</v>
      </c>
      <c r="B8267" s="3" t="s">
        <v>90</v>
      </c>
      <c r="C8267" s="5">
        <v>201</v>
      </c>
      <c r="D8267" s="6">
        <v>130.22999999999999</v>
      </c>
      <c r="E8267" t="s">
        <v>29</v>
      </c>
    </row>
    <row r="8268" spans="1:5" x14ac:dyDescent="0.25">
      <c r="A8268" t="str">
        <f>HYPERLINK("https://www.773grp.com/globalSearch/5962-87700012A/page-1", "5962-87700012A")</f>
        <v>5962-87700012A</v>
      </c>
      <c r="B8268" s="3" t="str">
        <f>HYPERLINK("https://www.773grp.com/manufacturer/texas-instruments?pageNo=63", "Texas Instruments")</f>
        <v>Texas Instruments</v>
      </c>
      <c r="C8268" s="5">
        <v>7</v>
      </c>
      <c r="D8268" s="6">
        <v>138.80000000000001</v>
      </c>
      <c r="E8268" t="s">
        <v>29</v>
      </c>
    </row>
    <row r="8269" spans="1:5" x14ac:dyDescent="0.25">
      <c r="A8269" t="str">
        <f>HYPERLINK("https://www.773grp.com/globalSearch/DAC7545LU/page-1", "DAC7545LU")</f>
        <v>DAC7545LU</v>
      </c>
      <c r="B8269" s="3" t="str">
        <f>HYPERLINK("https://www.773grp.com/manufacturer/texas-instruments?pageNo=67", "Texas Instruments")</f>
        <v>Texas Instruments</v>
      </c>
      <c r="C8269" s="5">
        <v>1265</v>
      </c>
      <c r="D8269" s="6">
        <v>140.06</v>
      </c>
      <c r="E8269" t="s">
        <v>29</v>
      </c>
    </row>
    <row r="8270" spans="1:5" x14ac:dyDescent="0.25">
      <c r="A8270" t="str">
        <f>HYPERLINK("https://www.773grp.com/globalSearch/DAC7545LU/page-1", "DAC7545LU")</f>
        <v>DAC7545LU</v>
      </c>
      <c r="B8270" s="3" t="str">
        <f>HYPERLINK("https://www.773grp.com/manufacturer/texas-instruments?pageNo=68", "Texas Instruments")</f>
        <v>Texas Instruments</v>
      </c>
      <c r="C8270" s="5">
        <v>71</v>
      </c>
      <c r="D8270" s="6">
        <v>140.06</v>
      </c>
      <c r="E8270" t="s">
        <v>29</v>
      </c>
    </row>
    <row r="8271" spans="1:5" x14ac:dyDescent="0.25">
      <c r="A8271" t="str">
        <f>HYPERLINK("https://www.773grp.com/globalSearch/5962-9955702QPA/page-1", "5962-9955702QPA")</f>
        <v>5962-9955702QPA</v>
      </c>
      <c r="B8271" s="3" t="str">
        <f>HYPERLINK("https://www.773grp.com/manufacturer/texas-instruments?pageNo=108", "Texas Instruments")</f>
        <v>Texas Instruments</v>
      </c>
      <c r="C8271" s="5">
        <v>237</v>
      </c>
      <c r="D8271" s="6">
        <v>144.75</v>
      </c>
      <c r="E8271" t="s">
        <v>29</v>
      </c>
    </row>
    <row r="8272" spans="1:5" x14ac:dyDescent="0.25">
      <c r="A8272" t="str">
        <f>HYPERLINK("https://www.773grp.com/globalSearch/DAC811AH/page-1", "DAC811AH")</f>
        <v>DAC811AH</v>
      </c>
      <c r="B8272" s="3" t="str">
        <f>HYPERLINK("https://www.773grp.com/manufacturer/texas-instruments?pageNo=171", "Texas Instruments")</f>
        <v>Texas Instruments</v>
      </c>
      <c r="C8272" s="5">
        <v>365</v>
      </c>
      <c r="D8272" s="6">
        <v>150.47999999999999</v>
      </c>
      <c r="E8272" t="s">
        <v>29</v>
      </c>
    </row>
    <row r="8273" spans="1:5" x14ac:dyDescent="0.25">
      <c r="A8273" t="str">
        <f>HYPERLINK("https://www.773grp.com/globalSearch/DAC811BH/page-1", "DAC811BH")</f>
        <v>DAC811BH</v>
      </c>
      <c r="B8273" s="3" t="str">
        <f>HYPERLINK("https://www.773grp.com/manufacturer/texas-instruments?pageNo=172", "Texas Instruments")</f>
        <v>Texas Instruments</v>
      </c>
      <c r="C8273" s="5">
        <v>1121</v>
      </c>
      <c r="D8273" s="6">
        <v>150.47999999999999</v>
      </c>
      <c r="E8273" t="s">
        <v>29</v>
      </c>
    </row>
    <row r="8274" spans="1:5" x14ac:dyDescent="0.25">
      <c r="A8274" t="str">
        <f>HYPERLINK("https://www.773grp.com/globalSearch/DAC811BH/page-1", "DAC811BH")</f>
        <v>DAC811BH</v>
      </c>
      <c r="B8274" s="3" t="str">
        <f>HYPERLINK("https://www.773grp.com/manufacturer/texas-instruments?pageNo=173", "Texas Instruments")</f>
        <v>Texas Instruments</v>
      </c>
      <c r="C8274" s="5">
        <v>1952</v>
      </c>
      <c r="D8274" s="6">
        <v>150.47999999999999</v>
      </c>
      <c r="E8274" t="s">
        <v>29</v>
      </c>
    </row>
    <row r="8275" spans="1:5" x14ac:dyDescent="0.25">
      <c r="A8275" t="str">
        <f>HYPERLINK("https://www.773grp.com/globalSearch/5962-9955702Q2A/page-1", "5962-9955702Q2A")</f>
        <v>5962-9955702Q2A</v>
      </c>
      <c r="B8275" s="3" t="str">
        <f>HYPERLINK("https://www.773grp.com/manufacturer/texas-instruments?pageNo=178", "Texas Instruments")</f>
        <v>Texas Instruments</v>
      </c>
      <c r="C8275" s="5">
        <v>63</v>
      </c>
      <c r="D8275" s="6">
        <v>151.88</v>
      </c>
      <c r="E8275" t="s">
        <v>29</v>
      </c>
    </row>
    <row r="8276" spans="1:5" x14ac:dyDescent="0.25">
      <c r="A8276" t="str">
        <f>HYPERLINK("https://www.773grp.com/globalSearch/DAC5675MPHPEP/page-1", "DAC5675MPHPEP")</f>
        <v>DAC5675MPHPEP</v>
      </c>
      <c r="B8276" s="3" t="str">
        <f>HYPERLINK("https://www.773grp.com/manufacturer/texas-instruments?pageNo=207", "Texas Instruments")</f>
        <v>Texas Instruments</v>
      </c>
      <c r="C8276" s="5">
        <v>416</v>
      </c>
      <c r="D8276" s="6">
        <v>157.5</v>
      </c>
      <c r="E8276" t="s">
        <v>29</v>
      </c>
    </row>
    <row r="8277" spans="1:5" x14ac:dyDescent="0.25">
      <c r="A8277" t="str">
        <f>HYPERLINK("https://www.773grp.com/globalSearch/DAC7545GLUR/page-1", "DAC7545GLUR")</f>
        <v>DAC7545GLUR</v>
      </c>
      <c r="B8277" s="3" t="str">
        <f>HYPERLINK("https://www.773grp.com/manufacturer/texas-instruments?pageNo=263", "Texas Instruments")</f>
        <v>Texas Instruments</v>
      </c>
      <c r="C8277" s="5">
        <v>16000</v>
      </c>
      <c r="D8277" s="6">
        <v>164.95</v>
      </c>
      <c r="E8277" t="s">
        <v>29</v>
      </c>
    </row>
    <row r="8278" spans="1:5" x14ac:dyDescent="0.25">
      <c r="A8278" t="str">
        <f>HYPERLINK("https://www.773grp.com/globalSearch/PCM1704U/page-1", "PCM1704U")</f>
        <v>PCM1704U</v>
      </c>
      <c r="B8278" s="3" t="str">
        <f>HYPERLINK("https://www.773grp.com/manufacturer/texas-instruments?pageNo=278", "Texas Instruments")</f>
        <v>Texas Instruments</v>
      </c>
      <c r="C8278" s="5">
        <v>2135</v>
      </c>
      <c r="D8278" s="6">
        <v>166.5</v>
      </c>
      <c r="E8278" t="s">
        <v>29</v>
      </c>
    </row>
    <row r="8279" spans="1:5" x14ac:dyDescent="0.25">
      <c r="A8279" t="str">
        <f>HYPERLINK("https://www.773grp.com/globalSearch/PCM1704U-J/page-1", "PCM1704U-J")</f>
        <v>PCM1704U-J</v>
      </c>
      <c r="B8279" s="3" t="str">
        <f>HYPERLINK("https://www.773grp.com/manufacturer/texas-instruments?pageNo=279", "Texas Instruments")</f>
        <v>Texas Instruments</v>
      </c>
      <c r="C8279" s="5">
        <v>907</v>
      </c>
      <c r="D8279" s="6">
        <v>166.5</v>
      </c>
      <c r="E8279" t="s">
        <v>29</v>
      </c>
    </row>
    <row r="8280" spans="1:5" x14ac:dyDescent="0.25">
      <c r="A8280" t="str">
        <f>HYPERLINK("https://www.773grp.com/globalSearch/DAC702KH/page-1", "DAC702KH")</f>
        <v>DAC702KH</v>
      </c>
      <c r="B8280" s="3" t="str">
        <f>HYPERLINK("https://www.773grp.com/manufacturer/texas-instruments?pageNo=321", "Texas Instruments")</f>
        <v>Texas Instruments</v>
      </c>
      <c r="C8280" s="5">
        <v>10</v>
      </c>
      <c r="D8280" s="6">
        <v>176.04</v>
      </c>
      <c r="E8280" t="s">
        <v>29</v>
      </c>
    </row>
    <row r="8281" spans="1:5" x14ac:dyDescent="0.25">
      <c r="A8281" t="str">
        <f>HYPERLINK("https://www.773grp.com/globalSearch/DAC7545GLU/page-1", "DAC7545GLU")</f>
        <v>DAC7545GLU</v>
      </c>
      <c r="B8281" s="3" t="str">
        <f>HYPERLINK("https://www.773grp.com/manufacturer/texas-instruments?pageNo=363", "Texas Instruments")</f>
        <v>Texas Instruments</v>
      </c>
      <c r="C8281" s="5">
        <v>1706</v>
      </c>
      <c r="D8281" s="6">
        <v>185.49</v>
      </c>
      <c r="E8281" t="s">
        <v>29</v>
      </c>
    </row>
    <row r="8282" spans="1:5" x14ac:dyDescent="0.25">
      <c r="A8282" t="str">
        <f>HYPERLINK("https://www.773grp.com/globalSearch/DAC7545GLU/page-1", "DAC7545GLU")</f>
        <v>DAC7545GLU</v>
      </c>
      <c r="B8282" s="3" t="str">
        <f>HYPERLINK("https://www.773grp.com/manufacturer/texas-instruments?pageNo=364", "Texas Instruments")</f>
        <v>Texas Instruments</v>
      </c>
      <c r="C8282" s="5">
        <v>39</v>
      </c>
      <c r="D8282" s="6">
        <v>185.49</v>
      </c>
      <c r="E8282" t="s">
        <v>29</v>
      </c>
    </row>
    <row r="8283" spans="1:5" x14ac:dyDescent="0.25">
      <c r="A8283" t="str">
        <f>HYPERLINK("https://www.773grp.com/globalSearch/DAC707BH/page-1", "DAC707BH")</f>
        <v>DAC707BH</v>
      </c>
      <c r="B8283" s="3" t="str">
        <f>HYPERLINK("https://www.773grp.com/manufacturer/texas-instruments?pageNo=984", "Texas Instruments")</f>
        <v>Texas Instruments</v>
      </c>
      <c r="C8283" s="5">
        <v>3</v>
      </c>
      <c r="D8283" s="6">
        <v>280.41000000000003</v>
      </c>
      <c r="E8283" t="s">
        <v>29</v>
      </c>
    </row>
    <row r="8284" spans="1:5" x14ac:dyDescent="0.25">
      <c r="A8284" t="str">
        <f>HYPERLINK("https://www.773grp.com/globalSearch/5962-87802012C/page-1", "5962-87802012C")</f>
        <v>5962-87802012C</v>
      </c>
      <c r="B8284" s="3" t="str">
        <f>HYPERLINK("https://www.773grp.com/manufacturer/texas-instruments?pageNo=985", "Texas Instruments")</f>
        <v>Texas Instruments</v>
      </c>
      <c r="C8284" s="5">
        <v>352</v>
      </c>
      <c r="D8284" s="6">
        <v>280.51</v>
      </c>
      <c r="E8284" t="s">
        <v>29</v>
      </c>
    </row>
    <row r="8285" spans="1:5" x14ac:dyDescent="0.25">
      <c r="A8285" t="str">
        <f>HYPERLINK("https://www.773grp.com/globalSearch/DAC70BH-CSB-I/page-1", "DAC70BH-CSB-I")</f>
        <v>DAC70BH-CSB-I</v>
      </c>
      <c r="B8285" s="3" t="s">
        <v>90</v>
      </c>
      <c r="C8285" s="5">
        <v>5</v>
      </c>
      <c r="D8285" s="6">
        <v>302.39</v>
      </c>
      <c r="E8285" t="s">
        <v>29</v>
      </c>
    </row>
    <row r="8286" spans="1:5" x14ac:dyDescent="0.25">
      <c r="A8286" t="str">
        <f>HYPERLINK("https://www.773grp.com/globalSearch/DAC707JP/page-1", "DAC707JP")</f>
        <v>DAC707JP</v>
      </c>
      <c r="B8286" s="3" t="s">
        <v>90</v>
      </c>
      <c r="C8286" s="5">
        <v>3869</v>
      </c>
      <c r="D8286" s="6">
        <v>427.21</v>
      </c>
      <c r="E8286" t="s">
        <v>29</v>
      </c>
    </row>
    <row r="8287" spans="1:5" x14ac:dyDescent="0.25">
      <c r="A8287" t="str">
        <f>HYPERLINK("https://www.773grp.com/globalSearch/DAC707JP/page-1", "DAC707JP")</f>
        <v>DAC707JP</v>
      </c>
      <c r="B8287" s="3" t="s">
        <v>90</v>
      </c>
      <c r="C8287" s="5">
        <v>14</v>
      </c>
      <c r="D8287" s="6">
        <v>427.21</v>
      </c>
      <c r="E8287" t="s">
        <v>29</v>
      </c>
    </row>
    <row r="8288" spans="1:5" x14ac:dyDescent="0.25">
      <c r="A8288" t="str">
        <f>HYPERLINK("https://www.773grp.com/globalSearch/DAC725JP/page-1", "DAC725JP")</f>
        <v>DAC725JP</v>
      </c>
      <c r="B8288" s="3" t="s">
        <v>90</v>
      </c>
      <c r="C8288" s="5">
        <v>1538</v>
      </c>
      <c r="D8288" s="6">
        <v>534.03</v>
      </c>
      <c r="E8288" t="s">
        <v>29</v>
      </c>
    </row>
    <row r="8289" spans="1:5" x14ac:dyDescent="0.25">
      <c r="A8289" t="str">
        <f>HYPERLINK("https://www.773grp.com/globalSearch/MT8976AE1/page-1", "MT8976AE1")</f>
        <v>MT8976AE1</v>
      </c>
      <c r="B8289" s="3" t="s">
        <v>116</v>
      </c>
      <c r="C8289" s="5">
        <v>995</v>
      </c>
      <c r="D8289" s="6">
        <v>0</v>
      </c>
      <c r="E8289" t="s">
        <v>74</v>
      </c>
    </row>
    <row r="8290" spans="1:5" x14ac:dyDescent="0.25">
      <c r="A8290" t="str">
        <f>HYPERLINK("https://www.773grp.com/globalSearch/MT8977AP/page-1", "MT8977AP")</f>
        <v>MT8977AP</v>
      </c>
      <c r="B8290" s="3" t="s">
        <v>116</v>
      </c>
      <c r="C8290" s="5">
        <v>337</v>
      </c>
      <c r="D8290" s="6">
        <v>24.19</v>
      </c>
      <c r="E8290" t="s">
        <v>74</v>
      </c>
    </row>
    <row r="8291" spans="1:5" x14ac:dyDescent="0.25">
      <c r="A8291" t="str">
        <f>HYPERLINK("https://www.773grp.com/globalSearch/MT8977APR/page-1", "MT8977APR")</f>
        <v>MT8977APR</v>
      </c>
      <c r="B8291" s="3" t="s">
        <v>116</v>
      </c>
      <c r="C8291" s="5">
        <v>500</v>
      </c>
      <c r="D8291" s="6">
        <v>24.19</v>
      </c>
      <c r="E8291" t="s">
        <v>74</v>
      </c>
    </row>
    <row r="8292" spans="1:5" x14ac:dyDescent="0.25">
      <c r="A8292" t="str">
        <f>HYPERLINK("https://www.773grp.com/globalSearch/MT8976AP1/page-1", "MT8976AP1")</f>
        <v>MT8976AP1</v>
      </c>
      <c r="B8292" s="3" t="s">
        <v>116</v>
      </c>
      <c r="C8292" s="5">
        <v>1059</v>
      </c>
      <c r="D8292" s="6">
        <v>60.33</v>
      </c>
      <c r="E8292" t="s">
        <v>74</v>
      </c>
    </row>
    <row r="8293" spans="1:5" x14ac:dyDescent="0.25">
      <c r="A8293" t="str">
        <f>HYPERLINK("https://www.773grp.com/globalSearch/MT8976APR1/page-1", "MT8976APR1")</f>
        <v>MT8976APR1</v>
      </c>
      <c r="B8293" s="3" t="s">
        <v>116</v>
      </c>
      <c r="C8293" s="5">
        <v>500</v>
      </c>
      <c r="D8293" s="6">
        <v>71.25</v>
      </c>
      <c r="E8293" t="s">
        <v>74</v>
      </c>
    </row>
    <row r="8294" spans="1:5" x14ac:dyDescent="0.25">
      <c r="A8294" t="str">
        <f>HYPERLINK("https://www.773grp.com/globalSearch/AFE1224E-2-1K/page-1", "AFE1224E-2-1K")</f>
        <v>AFE1224E-2-1K</v>
      </c>
      <c r="B8294" s="3" t="s">
        <v>90</v>
      </c>
      <c r="C8294" s="5">
        <v>14000</v>
      </c>
      <c r="D8294" s="6">
        <v>21.35</v>
      </c>
      <c r="E8294" t="s">
        <v>68</v>
      </c>
    </row>
    <row r="8295" spans="1:5" x14ac:dyDescent="0.25">
      <c r="A8295" t="str">
        <f>HYPERLINK("https://www.773grp.com/globalSearch/AFE1144E/page-1", "AFE1144E")</f>
        <v>AFE1144E</v>
      </c>
      <c r="B8295" s="3" t="s">
        <v>90</v>
      </c>
      <c r="C8295" s="5">
        <v>30</v>
      </c>
      <c r="D8295" s="6">
        <v>27</v>
      </c>
      <c r="E8295" t="s">
        <v>68</v>
      </c>
    </row>
    <row r="8296" spans="1:5" x14ac:dyDescent="0.25">
      <c r="A8296" t="str">
        <f>HYPERLINK("https://www.773grp.com/globalSearch/AFE1302Y-2K/page-1", "AFE1302Y-2K")</f>
        <v>AFE1302Y-2K</v>
      </c>
      <c r="B8296" s="3" t="str">
        <f>HYPERLINK("https://www.773grp.com/manufacturer/texas-instruments?pageNo=671", "Texas Instruments")</f>
        <v>Texas Instruments</v>
      </c>
      <c r="C8296" s="5">
        <v>2000</v>
      </c>
      <c r="D8296" s="6">
        <v>31.35</v>
      </c>
      <c r="E8296" t="s">
        <v>68</v>
      </c>
    </row>
    <row r="8297" spans="1:5" x14ac:dyDescent="0.25">
      <c r="A8297" t="str">
        <f>HYPERLINK("https://www.773grp.com/globalSearch/AFE1115E-1-1K/page-1", "AFE1115E-1-1K")</f>
        <v>AFE1115E-1-1K</v>
      </c>
      <c r="B8297" s="3" t="s">
        <v>90</v>
      </c>
      <c r="C8297" s="5">
        <v>2123</v>
      </c>
      <c r="D8297" s="6">
        <v>33.75</v>
      </c>
      <c r="E8297" t="s">
        <v>68</v>
      </c>
    </row>
    <row r="8298" spans="1:5" x14ac:dyDescent="0.25">
      <c r="A8298" t="str">
        <f>HYPERLINK("https://www.773grp.com/globalSearch/AFE1105E/page-1", "AFE1105E")</f>
        <v>AFE1105E</v>
      </c>
      <c r="B8298" s="3" t="s">
        <v>90</v>
      </c>
      <c r="C8298" s="5">
        <v>60</v>
      </c>
      <c r="D8298" s="6">
        <v>35.44</v>
      </c>
      <c r="E8298" t="s">
        <v>68</v>
      </c>
    </row>
    <row r="8299" spans="1:5" x14ac:dyDescent="0.25">
      <c r="A8299" t="str">
        <f>HYPERLINK("https://www.773grp.com/globalSearch/AFE1115E/page-1", "AFE1115E")</f>
        <v>AFE1115E</v>
      </c>
      <c r="B8299" s="3" t="s">
        <v>90</v>
      </c>
      <c r="C8299" s="5">
        <v>54</v>
      </c>
      <c r="D8299" s="6">
        <v>35.86</v>
      </c>
      <c r="E8299" t="s">
        <v>68</v>
      </c>
    </row>
    <row r="8300" spans="1:5" x14ac:dyDescent="0.25">
      <c r="A8300" t="str">
        <f>HYPERLINK("https://www.773grp.com/globalSearch/AFE1205E/page-1", "AFE1205E")</f>
        <v>AFE1205E</v>
      </c>
      <c r="B8300" s="3" t="s">
        <v>90</v>
      </c>
      <c r="C8300" s="5">
        <v>60</v>
      </c>
      <c r="D8300" s="6">
        <v>43.04</v>
      </c>
      <c r="E8300" t="s">
        <v>68</v>
      </c>
    </row>
    <row r="8301" spans="1:5" x14ac:dyDescent="0.25">
      <c r="A8301" t="str">
        <f>HYPERLINK("https://www.773grp.com/globalSearch/AFE1205E/page-1", "AFE1205E")</f>
        <v>AFE1205E</v>
      </c>
      <c r="B8301" s="3" t="s">
        <v>90</v>
      </c>
      <c r="C8301" s="5">
        <v>810</v>
      </c>
      <c r="D8301" s="6">
        <v>43.04</v>
      </c>
      <c r="E8301" t="s">
        <v>68</v>
      </c>
    </row>
    <row r="8302" spans="1:5" x14ac:dyDescent="0.25">
      <c r="A8302" t="str">
        <f>HYPERLINK("https://www.773grp.com/globalSearch/AFE1224E/page-1", "AFE1224E")</f>
        <v>AFE1224E</v>
      </c>
      <c r="B8302" s="3" t="s">
        <v>90</v>
      </c>
      <c r="C8302" s="5">
        <v>571</v>
      </c>
      <c r="D8302" s="6">
        <v>43.04</v>
      </c>
      <c r="E8302" t="s">
        <v>68</v>
      </c>
    </row>
    <row r="8303" spans="1:5" x14ac:dyDescent="0.25">
      <c r="A8303" t="str">
        <f>HYPERLINK("https://www.773grp.com/globalSearch/AFE1103E-1K/page-1", "AFE1103E-1K")</f>
        <v>AFE1103E-1K</v>
      </c>
      <c r="B8303" s="3" t="s">
        <v>90</v>
      </c>
      <c r="C8303" s="5">
        <v>12000</v>
      </c>
      <c r="D8303" s="6">
        <v>44.3</v>
      </c>
      <c r="E8303" t="s">
        <v>68</v>
      </c>
    </row>
    <row r="8304" spans="1:5" x14ac:dyDescent="0.25">
      <c r="A8304" t="str">
        <f>HYPERLINK("https://www.773grp.com/globalSearch/AFE1302Y-250/page-1", "AFE1302Y-250")</f>
        <v>AFE1302Y-250</v>
      </c>
      <c r="B8304" s="3" t="s">
        <v>90</v>
      </c>
      <c r="C8304" s="5">
        <v>10241</v>
      </c>
      <c r="D8304" s="6">
        <v>47.11</v>
      </c>
      <c r="E8304" t="s">
        <v>68</v>
      </c>
    </row>
    <row r="8305" spans="1:5" x14ac:dyDescent="0.25">
      <c r="A8305" t="str">
        <f>HYPERLINK("https://www.773grp.com/globalSearch/AFE1104E-1K/page-1", "AFE1104E-1K")</f>
        <v>AFE1104E-1K</v>
      </c>
      <c r="B8305" s="3" t="s">
        <v>90</v>
      </c>
      <c r="C8305" s="5">
        <v>12000</v>
      </c>
      <c r="D8305" s="6">
        <v>53.16</v>
      </c>
      <c r="E8305" t="s">
        <v>68</v>
      </c>
    </row>
    <row r="8306" spans="1:5" x14ac:dyDescent="0.25">
      <c r="A8306" t="str">
        <f>HYPERLINK("https://www.773grp.com/globalSearch/AFE1103E/page-1", "AFE1103E")</f>
        <v>AFE1103E</v>
      </c>
      <c r="B8306" s="3" t="s">
        <v>90</v>
      </c>
      <c r="C8306" s="5">
        <v>1816</v>
      </c>
      <c r="D8306" s="6">
        <v>58.78</v>
      </c>
      <c r="E8306" t="s">
        <v>68</v>
      </c>
    </row>
    <row r="8307" spans="1:5" x14ac:dyDescent="0.25">
      <c r="A8307" t="str">
        <f>HYPERLINK("https://www.773grp.com/globalSearch/AFE1104E/page-1", "AFE1104E")</f>
        <v>AFE1104E</v>
      </c>
      <c r="B8307" s="3" t="s">
        <v>90</v>
      </c>
      <c r="C8307" s="5">
        <v>2285</v>
      </c>
      <c r="D8307" s="6">
        <v>58.78</v>
      </c>
      <c r="E8307" t="s">
        <v>68</v>
      </c>
    </row>
    <row r="8308" spans="1:5" x14ac:dyDescent="0.25">
      <c r="A8308" t="str">
        <f>HYPERLINK("https://www.773grp.com/globalSearch/AFE1230E/page-1", "AFE1230E")</f>
        <v>AFE1230E</v>
      </c>
      <c r="B8308" s="3" t="s">
        <v>90</v>
      </c>
      <c r="C8308" s="5">
        <v>90</v>
      </c>
      <c r="D8308" s="6">
        <v>73.41</v>
      </c>
      <c r="E8308" t="s">
        <v>68</v>
      </c>
    </row>
    <row r="8309" spans="1:5" x14ac:dyDescent="0.25">
      <c r="A8309" t="str">
        <f>HYPERLINK("https://www.773grp.com/globalSearch/AFE1230E-1K/page-1", "AFE1230E-1K")</f>
        <v>AFE1230E-1K</v>
      </c>
      <c r="B8309" s="3" t="s">
        <v>90</v>
      </c>
      <c r="C8309" s="5">
        <v>9000</v>
      </c>
      <c r="D8309" s="6">
        <v>73.959999999999994</v>
      </c>
      <c r="E8309" t="s">
        <v>68</v>
      </c>
    </row>
    <row r="8310" spans="1:5" x14ac:dyDescent="0.25">
      <c r="A8310" t="str">
        <f>HYPERLINK("https://www.773grp.com/globalSearch/AFE2124E/page-1", "AFE2124E")</f>
        <v>AFE2124E</v>
      </c>
      <c r="B8310" s="3" t="s">
        <v>90</v>
      </c>
      <c r="C8310" s="5">
        <v>11074</v>
      </c>
      <c r="D8310" s="6">
        <v>86.35</v>
      </c>
      <c r="E8310" t="s">
        <v>68</v>
      </c>
    </row>
    <row r="8311" spans="1:5" x14ac:dyDescent="0.25">
      <c r="A8311" t="str">
        <f>HYPERLINK("https://www.773grp.com/globalSearch/MV1442-IG-MPES/page-1", "MV1442-IG-MPES")</f>
        <v>MV1442-IG-MPES</v>
      </c>
      <c r="B8311" s="3" t="s">
        <v>116</v>
      </c>
      <c r="C8311" s="5">
        <v>1275</v>
      </c>
      <c r="D8311" s="6">
        <v>37.75</v>
      </c>
      <c r="E8311" t="s">
        <v>68</v>
      </c>
    </row>
    <row r="8312" spans="1:5" x14ac:dyDescent="0.25">
      <c r="A8312" t="str">
        <f>HYPERLINK("https://www.773grp.com/globalSearch/TVP3409-135CFN/page-1", "TVP3409-135CFN")</f>
        <v>TVP3409-135CFN</v>
      </c>
      <c r="B8312" s="3" t="s">
        <v>90</v>
      </c>
      <c r="C8312" s="5">
        <v>3300</v>
      </c>
      <c r="D8312" s="6">
        <v>11.86</v>
      </c>
      <c r="E8312" t="s">
        <v>104</v>
      </c>
    </row>
    <row r="8313" spans="1:5" x14ac:dyDescent="0.25">
      <c r="A8313" t="str">
        <f>HYPERLINK("https://www.773grp.com/globalSearch/TVP3409-170CFN/page-1", "TVP3409-170CFN")</f>
        <v>TVP3409-170CFN</v>
      </c>
      <c r="B8313" s="3" t="s">
        <v>90</v>
      </c>
      <c r="C8313" s="5">
        <v>20069</v>
      </c>
      <c r="D8313" s="6">
        <v>14.46</v>
      </c>
      <c r="E8313" t="s">
        <v>104</v>
      </c>
    </row>
    <row r="8314" spans="1:5" x14ac:dyDescent="0.25">
      <c r="A8314" t="str">
        <f>HYPERLINK("https://www.773grp.com/globalSearch/TVP3703-135CFN/page-1", "TVP3703-135CFN")</f>
        <v>TVP3703-135CFN</v>
      </c>
      <c r="B8314" s="3" t="s">
        <v>90</v>
      </c>
      <c r="C8314" s="5">
        <v>65</v>
      </c>
      <c r="D8314" s="6">
        <v>18.48</v>
      </c>
      <c r="E8314" t="s">
        <v>104</v>
      </c>
    </row>
    <row r="8315" spans="1:5" x14ac:dyDescent="0.25">
      <c r="A8315" t="str">
        <f>HYPERLINK("https://www.773grp.com/globalSearch/TLC34076-135FN/page-1", "TLC34076-135FN")</f>
        <v>TLC34076-135FN</v>
      </c>
      <c r="B8315" s="3" t="s">
        <v>90</v>
      </c>
      <c r="C8315" s="5">
        <v>193</v>
      </c>
      <c r="D8315" s="6">
        <v>35.49</v>
      </c>
      <c r="E8315" t="s">
        <v>104</v>
      </c>
    </row>
    <row r="8316" spans="1:5" x14ac:dyDescent="0.25">
      <c r="A8316" t="str">
        <f>HYPERLINK("https://www.773grp.com/globalSearch/TLC34076-85FN/page-1", "TLC34076-85FN")</f>
        <v>TLC34076-85FN</v>
      </c>
      <c r="B8316" s="3" t="s">
        <v>90</v>
      </c>
      <c r="C8316" s="5">
        <v>2511</v>
      </c>
      <c r="D8316" s="6">
        <v>35.49</v>
      </c>
      <c r="E8316" t="s">
        <v>104</v>
      </c>
    </row>
    <row r="8317" spans="1:5" x14ac:dyDescent="0.25">
      <c r="A8317" t="str">
        <f>HYPERLINK("https://www.773grp.com/globalSearch/TVP3026-175PCE/page-1", "TVP3026-175PCE")</f>
        <v>TVP3026-175PCE</v>
      </c>
      <c r="B8317" s="3" t="s">
        <v>90</v>
      </c>
      <c r="C8317" s="5">
        <v>6070</v>
      </c>
      <c r="D8317" s="6">
        <v>38.14</v>
      </c>
      <c r="E8317" t="s">
        <v>104</v>
      </c>
    </row>
    <row r="8318" spans="1:5" x14ac:dyDescent="0.25">
      <c r="A8318" t="str">
        <f>HYPERLINK("https://www.773grp.com/globalSearch/TLC34075-66AFN/page-1", "TLC34075-66AFN")</f>
        <v>TLC34075-66AFN</v>
      </c>
      <c r="B8318" s="3" t="s">
        <v>90</v>
      </c>
      <c r="C8318" s="5">
        <v>1089</v>
      </c>
      <c r="D8318" s="6">
        <v>41.23</v>
      </c>
      <c r="E8318" t="s">
        <v>104</v>
      </c>
    </row>
    <row r="8319" spans="1:5" x14ac:dyDescent="0.25">
      <c r="A8319" t="str">
        <f>HYPERLINK("https://www.773grp.com/globalSearch/TLC34075-85AFN/page-1", "TLC34075-85AFN")</f>
        <v>TLC34075-85AFN</v>
      </c>
      <c r="B8319" s="3" t="s">
        <v>90</v>
      </c>
      <c r="C8319" s="5">
        <v>3939</v>
      </c>
      <c r="D8319" s="6">
        <v>45</v>
      </c>
      <c r="E8319" t="s">
        <v>104</v>
      </c>
    </row>
    <row r="8320" spans="1:5" x14ac:dyDescent="0.25">
      <c r="A8320" t="str">
        <f>HYPERLINK("https://www.773grp.com/globalSearch/TVP3026-230CPCE/page-1", "TVP3026-230CPCE")</f>
        <v>TVP3026-230CPCE</v>
      </c>
      <c r="B8320" s="3" t="s">
        <v>90</v>
      </c>
      <c r="C8320" s="5">
        <v>288</v>
      </c>
      <c r="D8320" s="6">
        <v>47.54</v>
      </c>
      <c r="E8320" t="s">
        <v>104</v>
      </c>
    </row>
    <row r="8321" spans="1:5" x14ac:dyDescent="0.25">
      <c r="A8321" t="str">
        <f>HYPERLINK("https://www.773grp.com/globalSearch/TLC34058-80FN/page-1", "TLC34058-80FN")</f>
        <v>TLC34058-80FN</v>
      </c>
      <c r="B8321" s="3" t="s">
        <v>90</v>
      </c>
      <c r="C8321" s="5">
        <v>290</v>
      </c>
      <c r="D8321" s="6">
        <v>48.21</v>
      </c>
      <c r="E8321" t="s">
        <v>104</v>
      </c>
    </row>
    <row r="8322" spans="1:5" x14ac:dyDescent="0.25">
      <c r="A8322" t="str">
        <f>HYPERLINK("https://www.773grp.com/globalSearch/TVP3026-220BPCE/page-1", "TVP3026-220BPCE")</f>
        <v>TVP3026-220BPCE</v>
      </c>
      <c r="B8322" s="3" t="s">
        <v>90</v>
      </c>
      <c r="C8322" s="5">
        <v>94464</v>
      </c>
      <c r="D8322" s="6">
        <v>48.38</v>
      </c>
      <c r="E8322" t="s">
        <v>104</v>
      </c>
    </row>
    <row r="8323" spans="1:5" x14ac:dyDescent="0.25">
      <c r="A8323" t="str">
        <f>HYPERLINK("https://www.773grp.com/globalSearch/TLC34075-110AFN/page-1", "TLC34075-110AFN")</f>
        <v>TLC34075-110AFN</v>
      </c>
      <c r="B8323" s="3" t="s">
        <v>90</v>
      </c>
      <c r="C8323" s="5">
        <v>10452</v>
      </c>
      <c r="D8323" s="6">
        <v>48.74</v>
      </c>
      <c r="E8323" t="s">
        <v>104</v>
      </c>
    </row>
    <row r="8324" spans="1:5" x14ac:dyDescent="0.25">
      <c r="A8324" t="str">
        <f>HYPERLINK("https://www.773grp.com/globalSearch/TVP3026-250CPCE/page-1", "TVP3026-250CPCE")</f>
        <v>TVP3026-250CPCE</v>
      </c>
      <c r="B8324" s="3" t="s">
        <v>90</v>
      </c>
      <c r="C8324" s="5">
        <v>13079</v>
      </c>
      <c r="D8324" s="6">
        <v>49.5</v>
      </c>
      <c r="E8324" t="s">
        <v>104</v>
      </c>
    </row>
    <row r="8325" spans="1:5" x14ac:dyDescent="0.25">
      <c r="A8325" t="str">
        <f>HYPERLINK("https://www.773grp.com/globalSearch/TVP3026-220PCE/page-1", "TVP3026-220PCE")</f>
        <v>TVP3026-220PCE</v>
      </c>
      <c r="B8325" s="3" t="s">
        <v>90</v>
      </c>
      <c r="C8325" s="5">
        <v>24984</v>
      </c>
      <c r="D8325" s="6">
        <v>50.33</v>
      </c>
      <c r="E8325" t="s">
        <v>104</v>
      </c>
    </row>
    <row r="8326" spans="1:5" x14ac:dyDescent="0.25">
      <c r="A8326" t="str">
        <f>HYPERLINK("https://www.773grp.com/globalSearch/TLC34075-135AFN/page-1", "TLC34075-135AFN")</f>
        <v>TLC34075-135AFN</v>
      </c>
      <c r="B8326" s="3" t="s">
        <v>90</v>
      </c>
      <c r="C8326" s="5">
        <v>2311</v>
      </c>
      <c r="D8326" s="6">
        <v>52.49</v>
      </c>
      <c r="E8326" t="s">
        <v>104</v>
      </c>
    </row>
    <row r="8327" spans="1:5" x14ac:dyDescent="0.25">
      <c r="A8327" t="str">
        <f>HYPERLINK("https://www.773grp.com/globalSearch/TVP3030-175PPA/page-1", "TVP3030-175PPA")</f>
        <v>TVP3030-175PPA</v>
      </c>
      <c r="B8327" s="3" t="s">
        <v>90</v>
      </c>
      <c r="C8327" s="5">
        <v>343</v>
      </c>
      <c r="D8327" s="6">
        <v>53.55</v>
      </c>
      <c r="E8327" t="s">
        <v>104</v>
      </c>
    </row>
    <row r="8328" spans="1:5" x14ac:dyDescent="0.25">
      <c r="A8328" t="str">
        <f>HYPERLINK("https://www.773grp.com/globalSearch/TVP3020-135PCE/page-1", "TVP3020-135PCE")</f>
        <v>TVP3020-135PCE</v>
      </c>
      <c r="B8328" s="3" t="s">
        <v>90</v>
      </c>
      <c r="C8328" s="5">
        <v>381</v>
      </c>
      <c r="D8328" s="6">
        <v>61.43</v>
      </c>
      <c r="E8328" t="s">
        <v>104</v>
      </c>
    </row>
    <row r="8329" spans="1:5" x14ac:dyDescent="0.25">
      <c r="A8329" t="str">
        <f>HYPERLINK("https://www.773grp.com/globalSearch/TVP3026-135PCE/page-1", "TVP3026-135PCE")</f>
        <v>TVP3026-135PCE</v>
      </c>
      <c r="B8329" s="3" t="s">
        <v>90</v>
      </c>
      <c r="C8329" s="5">
        <v>234</v>
      </c>
      <c r="D8329" s="6">
        <v>61.43</v>
      </c>
      <c r="E8329" t="s">
        <v>104</v>
      </c>
    </row>
    <row r="8330" spans="1:5" x14ac:dyDescent="0.25">
      <c r="A8330" t="str">
        <f>HYPERLINK("https://www.773grp.com/globalSearch/TVP3026-250MDN/page-1", "TVP3026-250MDN")</f>
        <v>TVP3026-250MDN</v>
      </c>
      <c r="B8330" s="3" t="s">
        <v>90</v>
      </c>
      <c r="C8330" s="5">
        <v>74</v>
      </c>
      <c r="D8330" s="6">
        <v>67.209999999999994</v>
      </c>
      <c r="E8330" t="s">
        <v>104</v>
      </c>
    </row>
    <row r="8331" spans="1:5" x14ac:dyDescent="0.25">
      <c r="A8331" t="str">
        <f>HYPERLINK("https://www.773grp.com/globalSearch/TVP3026-175BPCE/page-1", "TVP3026-175BPCE")</f>
        <v>TVP3026-175BPCE</v>
      </c>
      <c r="B8331" s="3" t="s">
        <v>90</v>
      </c>
      <c r="C8331" s="5">
        <v>6221</v>
      </c>
      <c r="D8331" s="6">
        <v>73.13</v>
      </c>
      <c r="E8331" t="s">
        <v>104</v>
      </c>
    </row>
    <row r="8332" spans="1:5" x14ac:dyDescent="0.25">
      <c r="A8332" t="str">
        <f>HYPERLINK("https://www.773grp.com/globalSearch/TVP3026-250BPCE/page-1", "TVP3026-250BPCE")</f>
        <v>TVP3026-250BPCE</v>
      </c>
      <c r="B8332" s="3" t="s">
        <v>90</v>
      </c>
      <c r="C8332" s="5">
        <v>19081</v>
      </c>
      <c r="D8332" s="6">
        <v>132.25</v>
      </c>
      <c r="E8332" t="s">
        <v>104</v>
      </c>
    </row>
    <row r="8333" spans="1:5" x14ac:dyDescent="0.25">
      <c r="A8333" t="str">
        <f>HYPERLINK("https://www.773grp.com/globalSearch/TVP3030-230PPA/page-1", "TVP3030-230PPA")</f>
        <v>TVP3030-230PPA</v>
      </c>
      <c r="B8333" s="3" t="str">
        <f>HYPERLINK("https://www.773grp.com/manufacturer/texas-instruments?pageNo=344", "Texas Instruments")</f>
        <v>Texas Instruments</v>
      </c>
      <c r="C8333" s="5">
        <v>49</v>
      </c>
      <c r="D8333" s="6">
        <v>180.9</v>
      </c>
      <c r="E8333" t="s">
        <v>104</v>
      </c>
    </row>
    <row r="8334" spans="1:5" x14ac:dyDescent="0.25">
      <c r="A8334" t="str">
        <f>HYPERLINK("https://www.773grp.com/globalSearch/TVP3020-135MDN/page-1", "TVP3020-135MDN")</f>
        <v>TVP3020-135MDN</v>
      </c>
      <c r="B8334" s="3" t="str">
        <f>HYPERLINK("https://www.773grp.com/manufacturer/texas-instruments?pageNo=471", "Texas Instruments")</f>
        <v>Texas Instruments</v>
      </c>
      <c r="C8334" s="5">
        <v>96</v>
      </c>
      <c r="D8334" s="6">
        <v>206.21</v>
      </c>
      <c r="E8334" t="s">
        <v>104</v>
      </c>
    </row>
    <row r="8335" spans="1:5" x14ac:dyDescent="0.25">
      <c r="A8335" t="str">
        <f>HYPERLINK("https://www.773grp.com/globalSearch/TVP3030-250MEP/page-1", "TVP3030-250MEP")</f>
        <v>TVP3030-250MEP</v>
      </c>
      <c r="B8335" s="3" t="str">
        <f>HYPERLINK("https://www.773grp.com/manufacturer/texas-instruments?pageNo=513", "Texas Instruments")</f>
        <v>Texas Instruments</v>
      </c>
      <c r="C8335" s="5">
        <v>2258</v>
      </c>
      <c r="D8335" s="6">
        <v>213.26</v>
      </c>
      <c r="E8335" t="s">
        <v>104</v>
      </c>
    </row>
    <row r="8336" spans="1:5" x14ac:dyDescent="0.25">
      <c r="A8336" t="str">
        <f>HYPERLINK("https://www.773grp.com/globalSearch/TVP3020-200MDN/page-1", "TVP3020-200MDN")</f>
        <v>TVP3020-200MDN</v>
      </c>
      <c r="B8336" s="3" t="str">
        <f>HYPERLINK("https://www.773grp.com/manufacturer/texas-instruments?pageNo=776", "Texas Instruments")</f>
        <v>Texas Instruments</v>
      </c>
      <c r="C8336" s="5">
        <v>15</v>
      </c>
      <c r="D8336" s="6">
        <v>234.96</v>
      </c>
      <c r="E8336" t="s">
        <v>104</v>
      </c>
    </row>
    <row r="8337" spans="1:5" x14ac:dyDescent="0.25">
      <c r="A8337" t="str">
        <f>HYPERLINK("https://www.773grp.com/globalSearch/5962-8992801XA/page-1", "5962-8992801XA")</f>
        <v>5962-8992801XA</v>
      </c>
      <c r="B8337" s="3" t="s">
        <v>90</v>
      </c>
      <c r="C8337" s="5">
        <v>102</v>
      </c>
      <c r="D8337" s="6">
        <v>401.86</v>
      </c>
      <c r="E8337" t="s">
        <v>104</v>
      </c>
    </row>
    <row r="8338" spans="1:5" x14ac:dyDescent="0.25">
      <c r="A8338" t="str">
        <f>HYPERLINK("https://www.773grp.com/globalSearch/TVP3010-135MGA/page-1", "TVP3010-135MGA")</f>
        <v>TVP3010-135MGA</v>
      </c>
      <c r="B8338" s="3" t="s">
        <v>90</v>
      </c>
      <c r="C8338" s="5">
        <v>187</v>
      </c>
      <c r="D8338" s="6">
        <v>1106.5</v>
      </c>
      <c r="E8338" t="s">
        <v>104</v>
      </c>
    </row>
    <row r="8339" spans="1:5" x14ac:dyDescent="0.25">
      <c r="A8339" t="str">
        <f>HYPERLINK("https://www.773grp.com/globalSearch/TVP3010-135MGAB/page-1", "TVP3010-135MGAB")</f>
        <v>TVP3010-135MGAB</v>
      </c>
      <c r="B8339" s="3" t="s">
        <v>90</v>
      </c>
      <c r="C8339" s="5">
        <v>140</v>
      </c>
      <c r="D8339" s="6">
        <v>1623.15</v>
      </c>
      <c r="E8339" t="s">
        <v>104</v>
      </c>
    </row>
    <row r="8340" spans="1:5" x14ac:dyDescent="0.25">
      <c r="A8340" t="str">
        <f>HYPERLINK("https://www.773grp.com/globalSearch/TLC5944RHBT/page-1", "TLC5944RHBT")</f>
        <v>TLC5944RHBT</v>
      </c>
      <c r="B8340" s="3" t="str">
        <f>HYPERLINK("https://www.773grp.com/manufacturer/texas-instruments?pageNo=560", "Texas Instruments")</f>
        <v>Texas Instruments</v>
      </c>
      <c r="C8340" s="5">
        <v>2300</v>
      </c>
      <c r="D8340" s="6">
        <v>3.66</v>
      </c>
      <c r="E8340" t="s">
        <v>8</v>
      </c>
    </row>
    <row r="8341" spans="1:5" x14ac:dyDescent="0.25">
      <c r="A8341" t="str">
        <f>HYPERLINK("https://www.773grp.com/globalSearch/TLC5921DAPR/page-1", "TLC5921DAPR")</f>
        <v>TLC5921DAPR</v>
      </c>
      <c r="B8341" s="3" t="str">
        <f>HYPERLINK("https://www.773grp.com/manufacturer/texas-instruments?pageNo=745", "Texas Instruments")</f>
        <v>Texas Instruments</v>
      </c>
      <c r="C8341" s="5">
        <v>60964</v>
      </c>
      <c r="D8341" s="6">
        <v>3.68</v>
      </c>
      <c r="E8341" t="s">
        <v>8</v>
      </c>
    </row>
    <row r="8342" spans="1:5" x14ac:dyDescent="0.25">
      <c r="A8342" t="str">
        <f>HYPERLINK("https://www.773grp.com/globalSearch/TPS92020D/page-1", "TPS92020D")</f>
        <v>TPS92020D</v>
      </c>
      <c r="B8342" s="3" t="str">
        <f>HYPERLINK("https://www.773grp.com/manufacturer/texas-instruments?pageNo=939", "Texas Instruments")</f>
        <v>Texas Instruments</v>
      </c>
      <c r="C8342" s="5">
        <v>14400</v>
      </c>
      <c r="D8342" s="6">
        <v>4.1100000000000003</v>
      </c>
      <c r="E8342" t="s">
        <v>8</v>
      </c>
    </row>
    <row r="8343" spans="1:5" x14ac:dyDescent="0.25">
      <c r="A8343" t="str">
        <f>HYPERLINK("https://www.773grp.com/globalSearch/TLED2043IPWR/page-1", "TLED2043IPWR")</f>
        <v>TLED2043IPWR</v>
      </c>
      <c r="B8343" s="3" t="s">
        <v>90</v>
      </c>
      <c r="C8343" s="5">
        <v>1300</v>
      </c>
      <c r="D8343" s="6">
        <v>4.16</v>
      </c>
      <c r="E8343" t="s">
        <v>8</v>
      </c>
    </row>
    <row r="8344" spans="1:5" x14ac:dyDescent="0.25">
      <c r="A8344" t="str">
        <f>HYPERLINK("https://www.773grp.com/globalSearch/TLC5952DAPR/page-1", "TLC5952DAPR")</f>
        <v>TLC5952DAPR</v>
      </c>
      <c r="B8344" s="3" t="s">
        <v>90</v>
      </c>
      <c r="C8344" s="5">
        <v>11960</v>
      </c>
      <c r="D8344" s="6">
        <v>3.8</v>
      </c>
      <c r="E8344" t="s">
        <v>8</v>
      </c>
    </row>
    <row r="8345" spans="1:5" x14ac:dyDescent="0.25">
      <c r="A8345" t="str">
        <f>HYPERLINK("https://www.773grp.com/globalSearch/TLC59108FIPWR/page-1", "TLC59108FIPWR")</f>
        <v>TLC59108FIPWR</v>
      </c>
      <c r="B8345" s="3" t="str">
        <f>HYPERLINK("https://www.773grp.com/manufacturer/texas-instruments?pageNo=71", "Texas Instruments")</f>
        <v>Texas Instruments</v>
      </c>
      <c r="C8345" s="5">
        <v>12083</v>
      </c>
      <c r="D8345" s="6">
        <v>4.2300000000000004</v>
      </c>
      <c r="E8345" t="s">
        <v>8</v>
      </c>
    </row>
    <row r="8346" spans="1:5" x14ac:dyDescent="0.25">
      <c r="A8346" t="str">
        <f>HYPERLINK("https://www.773grp.com/globalSearch/TPS61180RTER/page-1", "TPS61180RTER")</f>
        <v>TPS61180RTER</v>
      </c>
      <c r="B8346" s="3" t="str">
        <f>HYPERLINK("https://www.773grp.com/manufacturer/texas-instruments?pageNo=187", "Texas Instruments")</f>
        <v>Texas Instruments</v>
      </c>
      <c r="C8346" s="5">
        <v>119489</v>
      </c>
      <c r="D8346" s="6">
        <v>4.2300000000000004</v>
      </c>
      <c r="E8346" t="s">
        <v>8</v>
      </c>
    </row>
    <row r="8347" spans="1:5" x14ac:dyDescent="0.25">
      <c r="A8347" t="str">
        <f>HYPERLINK("https://www.773grp.com/globalSearch/TPS61181RTER/page-1", "TPS61181RTER")</f>
        <v>TPS61181RTER</v>
      </c>
      <c r="B8347" s="3" t="str">
        <f>HYPERLINK("https://www.773grp.com/manufacturer/texas-instruments?pageNo=188", "Texas Instruments")</f>
        <v>Texas Instruments</v>
      </c>
      <c r="C8347" s="5">
        <v>3000</v>
      </c>
      <c r="D8347" s="6">
        <v>4.2300000000000004</v>
      </c>
      <c r="E8347" t="s">
        <v>8</v>
      </c>
    </row>
    <row r="8348" spans="1:5" x14ac:dyDescent="0.25">
      <c r="A8348" t="str">
        <f>HYPERLINK("https://www.773grp.com/globalSearch/TPS61182RTER/page-1", "TPS61182RTER")</f>
        <v>TPS61182RTER</v>
      </c>
      <c r="B8348" s="3" t="str">
        <f>HYPERLINK("https://www.773grp.com/manufacturer/texas-instruments?pageNo=189", "Texas Instruments")</f>
        <v>Texas Instruments</v>
      </c>
      <c r="C8348" s="5">
        <v>6000</v>
      </c>
      <c r="D8348" s="6">
        <v>4.2300000000000004</v>
      </c>
      <c r="E8348" t="s">
        <v>8</v>
      </c>
    </row>
    <row r="8349" spans="1:5" x14ac:dyDescent="0.25">
      <c r="A8349" t="str">
        <f>HYPERLINK("https://www.773grp.com/globalSearch/TPS61061YZFT/page-1", "TPS61061YZFT")</f>
        <v>TPS61061YZFT</v>
      </c>
      <c r="B8349" s="3" t="str">
        <f>HYPERLINK("https://www.773grp.com/manufacturer/texas-instruments?pageNo=385", "Texas Instruments")</f>
        <v>Texas Instruments</v>
      </c>
      <c r="C8349" s="5">
        <v>1631</v>
      </c>
      <c r="D8349" s="6">
        <v>4.28</v>
      </c>
      <c r="E8349" t="s">
        <v>8</v>
      </c>
    </row>
    <row r="8350" spans="1:5" x14ac:dyDescent="0.25">
      <c r="A8350" t="str">
        <f>HYPERLINK("https://www.773grp.com/globalSearch/TLC5920DL/page-1", "TLC5920DL")</f>
        <v>TLC5920DL</v>
      </c>
      <c r="B8350" s="3" t="str">
        <f>HYPERLINK("https://www.773grp.com/manufacturer/texas-instruments?pageNo=436", "Texas Instruments")</f>
        <v>Texas Instruments</v>
      </c>
      <c r="C8350" s="5">
        <v>125</v>
      </c>
      <c r="D8350" s="6">
        <v>3.89</v>
      </c>
      <c r="E8350" t="s">
        <v>8</v>
      </c>
    </row>
    <row r="8351" spans="1:5" x14ac:dyDescent="0.25">
      <c r="A8351" t="str">
        <f>HYPERLINK("https://www.773grp.com/globalSearch/TLC5943PWP/page-1", "TLC5943PWP")</f>
        <v>TLC5943PWP</v>
      </c>
      <c r="B8351" s="3" t="s">
        <v>90</v>
      </c>
      <c r="C8351" s="5">
        <v>96100</v>
      </c>
      <c r="D8351" s="6">
        <v>4.05</v>
      </c>
      <c r="E8351" t="s">
        <v>8</v>
      </c>
    </row>
    <row r="8352" spans="1:5" x14ac:dyDescent="0.25">
      <c r="A8352" t="str">
        <f>HYPERLINK("https://www.773grp.com/globalSearch/TLC5943RHBT/page-1", "TLC5943RHBT")</f>
        <v>TLC5943RHBT</v>
      </c>
      <c r="B8352" s="3" t="s">
        <v>90</v>
      </c>
      <c r="C8352" s="5">
        <v>16250</v>
      </c>
      <c r="D8352" s="6">
        <v>4.09</v>
      </c>
      <c r="E8352" t="s">
        <v>8</v>
      </c>
    </row>
    <row r="8353" spans="1:5" x14ac:dyDescent="0.25">
      <c r="A8353" t="str">
        <f>HYPERLINK("https://www.773grp.com/globalSearch/TPS61165DRVT/page-1", "TPS61165DRVT")</f>
        <v>TPS61165DRVT</v>
      </c>
      <c r="B8353" s="3" t="s">
        <v>90</v>
      </c>
      <c r="C8353" s="5">
        <v>1598</v>
      </c>
      <c r="D8353" s="6">
        <v>4.54</v>
      </c>
      <c r="E8353" t="s">
        <v>8</v>
      </c>
    </row>
    <row r="8354" spans="1:5" x14ac:dyDescent="0.25">
      <c r="A8354" t="str">
        <f>HYPERLINK("https://www.773grp.com/globalSearch/TLED2043IGQNR/page-1", "TLED2043IGQNR")</f>
        <v>TLED2043IGQNR</v>
      </c>
      <c r="B8354" s="3" t="s">
        <v>90</v>
      </c>
      <c r="C8354" s="5">
        <v>1000</v>
      </c>
      <c r="D8354" s="6">
        <v>4.59</v>
      </c>
      <c r="E8354" t="s">
        <v>8</v>
      </c>
    </row>
    <row r="8355" spans="1:5" x14ac:dyDescent="0.25">
      <c r="A8355" t="str">
        <f>HYPERLINK("https://www.773grp.com/globalSearch/TCA6507PW/page-1", "TCA6507PW")</f>
        <v>TCA6507PW</v>
      </c>
      <c r="B8355" s="3" t="s">
        <v>90</v>
      </c>
      <c r="C8355" s="5">
        <v>1165</v>
      </c>
      <c r="D8355" s="6">
        <v>4.6399999999999997</v>
      </c>
      <c r="E8355" t="s">
        <v>8</v>
      </c>
    </row>
    <row r="8356" spans="1:5" x14ac:dyDescent="0.25">
      <c r="A8356" t="str">
        <f>HYPERLINK("https://www.773grp.com/globalSearch/TPS61150ADRCR/page-1", "TPS61150ADRCR")</f>
        <v>TPS61150ADRCR</v>
      </c>
      <c r="B8356" s="3" t="s">
        <v>90</v>
      </c>
      <c r="C8356" s="5">
        <v>27783</v>
      </c>
      <c r="D8356" s="6">
        <v>4.74</v>
      </c>
      <c r="E8356" t="s">
        <v>8</v>
      </c>
    </row>
    <row r="8357" spans="1:5" x14ac:dyDescent="0.25">
      <c r="A8357" t="str">
        <f>HYPERLINK("https://www.773grp.com/globalSearch/TPS61150DRCR/page-1", "TPS61150DRCR")</f>
        <v>TPS61150DRCR</v>
      </c>
      <c r="B8357" s="3" t="s">
        <v>90</v>
      </c>
      <c r="C8357" s="5">
        <v>39000</v>
      </c>
      <c r="D8357" s="6">
        <v>4.74</v>
      </c>
      <c r="E8357" t="s">
        <v>8</v>
      </c>
    </row>
    <row r="8358" spans="1:5" x14ac:dyDescent="0.25">
      <c r="A8358" t="str">
        <f>HYPERLINK("https://www.773grp.com/globalSearch/TPS61151DRCR/page-1", "TPS61151DRCR")</f>
        <v>TPS61151DRCR</v>
      </c>
      <c r="B8358" s="3" t="s">
        <v>90</v>
      </c>
      <c r="C8358" s="5">
        <v>3000</v>
      </c>
      <c r="D8358" s="6">
        <v>4.74</v>
      </c>
      <c r="E8358" t="s">
        <v>8</v>
      </c>
    </row>
    <row r="8359" spans="1:5" x14ac:dyDescent="0.25">
      <c r="A8359" t="str">
        <f>HYPERLINK("https://www.773grp.com/globalSearch/TLC5951DAPR/page-1", "TLC5951DAPR")</f>
        <v>TLC5951DAPR</v>
      </c>
      <c r="B8359" s="3" t="s">
        <v>90</v>
      </c>
      <c r="C8359" s="5">
        <v>9112</v>
      </c>
      <c r="D8359" s="6">
        <v>4.3499999999999996</v>
      </c>
      <c r="E8359" t="s">
        <v>8</v>
      </c>
    </row>
    <row r="8360" spans="1:5" x14ac:dyDescent="0.25">
      <c r="A8360" t="str">
        <f>HYPERLINK("https://www.773grp.com/globalSearch/TLC5921DAP/page-1", "TLC5921DAP")</f>
        <v>TLC5921DAP</v>
      </c>
      <c r="B8360" s="3" t="s">
        <v>90</v>
      </c>
      <c r="C8360" s="5">
        <v>36202</v>
      </c>
      <c r="D8360" s="6">
        <v>4.3899999999999997</v>
      </c>
      <c r="E8360" t="s">
        <v>8</v>
      </c>
    </row>
    <row r="8361" spans="1:5" x14ac:dyDescent="0.25">
      <c r="A8361" t="str">
        <f>HYPERLINK("https://www.773grp.com/globalSearch/TPS61182RTET/page-1", "TPS61182RTET")</f>
        <v>TPS61182RTET</v>
      </c>
      <c r="B8361" s="3" t="s">
        <v>90</v>
      </c>
      <c r="C8361" s="5">
        <v>9000</v>
      </c>
      <c r="D8361" s="6">
        <v>4.8600000000000003</v>
      </c>
      <c r="E8361" t="s">
        <v>8</v>
      </c>
    </row>
    <row r="8362" spans="1:5" x14ac:dyDescent="0.25">
      <c r="A8362" t="str">
        <f>HYPERLINK("https://www.773grp.com/globalSearch/TLC59461PWPR/page-1", "TLC59461PWPR")</f>
        <v>TLC59461PWPR</v>
      </c>
      <c r="B8362" s="3" t="str">
        <f>HYPERLINK("https://www.773grp.com/manufacturer/texas-instruments?pageNo=597", "Texas Instruments")</f>
        <v>Texas Instruments</v>
      </c>
      <c r="C8362" s="5">
        <v>6000</v>
      </c>
      <c r="D8362" s="6">
        <v>5.01</v>
      </c>
      <c r="E8362" t="s">
        <v>8</v>
      </c>
    </row>
    <row r="8363" spans="1:5" x14ac:dyDescent="0.25">
      <c r="A8363" t="str">
        <f>HYPERLINK("https://www.773grp.com/globalSearch/TLC5952DAP/page-1", "TLC5952DAP")</f>
        <v>TLC5952DAP</v>
      </c>
      <c r="B8363" s="3" t="str">
        <f>HYPERLINK("https://www.773grp.com/manufacturer/texas-instruments?pageNo=775", "Texas Instruments")</f>
        <v>Texas Instruments</v>
      </c>
      <c r="C8363" s="5">
        <v>6521</v>
      </c>
      <c r="D8363" s="6">
        <v>4.5599999999999996</v>
      </c>
      <c r="E8363" t="s">
        <v>8</v>
      </c>
    </row>
    <row r="8364" spans="1:5" x14ac:dyDescent="0.25">
      <c r="A8364" t="str">
        <f>HYPERLINK("https://www.773grp.com/globalSearch/TLC5922DAPG4/page-1", "TLC5922DAPG4")</f>
        <v>TLC5922DAPG4</v>
      </c>
      <c r="B8364" s="3" t="s">
        <v>90</v>
      </c>
      <c r="C8364" s="5">
        <v>10</v>
      </c>
      <c r="D8364" s="6">
        <v>4.76</v>
      </c>
      <c r="E8364" t="s">
        <v>8</v>
      </c>
    </row>
    <row r="8365" spans="1:5" x14ac:dyDescent="0.25">
      <c r="A8365" t="str">
        <f>HYPERLINK("https://www.773grp.com/globalSearch/TLC5970RHPR/page-1", "TLC5970RHPR")</f>
        <v>TLC5970RHPR</v>
      </c>
      <c r="B8365" s="3" t="s">
        <v>90</v>
      </c>
      <c r="C8365" s="5">
        <v>1970</v>
      </c>
      <c r="D8365" s="6">
        <v>4.78</v>
      </c>
      <c r="E8365" t="s">
        <v>8</v>
      </c>
    </row>
    <row r="8366" spans="1:5" x14ac:dyDescent="0.25">
      <c r="A8366" t="str">
        <f>HYPERLINK("https://www.773grp.com/globalSearch/TLC5923RHBT/page-1", "TLC5923RHBT")</f>
        <v>TLC5923RHBT</v>
      </c>
      <c r="B8366" s="3" t="s">
        <v>90</v>
      </c>
      <c r="C8366" s="5">
        <v>5500</v>
      </c>
      <c r="D8366" s="6">
        <v>4.8600000000000003</v>
      </c>
      <c r="E8366" t="s">
        <v>8</v>
      </c>
    </row>
    <row r="8367" spans="1:5" x14ac:dyDescent="0.25">
      <c r="A8367" t="str">
        <f>HYPERLINK("https://www.773grp.com/globalSearch/TLC5923DAP/page-1", "TLC5923DAP")</f>
        <v>TLC5923DAP</v>
      </c>
      <c r="B8367" s="3" t="s">
        <v>90</v>
      </c>
      <c r="C8367" s="5">
        <v>15523</v>
      </c>
      <c r="D8367" s="6">
        <v>4.93</v>
      </c>
      <c r="E8367" t="s">
        <v>8</v>
      </c>
    </row>
    <row r="8368" spans="1:5" x14ac:dyDescent="0.25">
      <c r="A8368" t="str">
        <f>HYPERLINK("https://www.773grp.com/globalSearch/TLC5923DAPG4/page-1", "TLC5923DAPG4")</f>
        <v>TLC5923DAPG4</v>
      </c>
      <c r="B8368" s="3" t="s">
        <v>90</v>
      </c>
      <c r="C8368" s="5">
        <v>44</v>
      </c>
      <c r="D8368" s="6">
        <v>4.93</v>
      </c>
      <c r="E8368" t="s">
        <v>8</v>
      </c>
    </row>
    <row r="8369" spans="1:5" x14ac:dyDescent="0.25">
      <c r="A8369" t="str">
        <f>HYPERLINK("https://www.773grp.com/globalSearch/TLC5951DAP/page-1", "TLC5951DAP")</f>
        <v>TLC5951DAP</v>
      </c>
      <c r="B8369" s="3" t="s">
        <v>90</v>
      </c>
      <c r="C8369" s="5">
        <v>26693</v>
      </c>
      <c r="D8369" s="6">
        <v>5.24</v>
      </c>
      <c r="E8369" t="s">
        <v>8</v>
      </c>
    </row>
    <row r="8370" spans="1:5" x14ac:dyDescent="0.25">
      <c r="A8370" t="str">
        <f>HYPERLINK("https://www.773grp.com/globalSearch/TLC5940RHB/page-1", "TLC5940RHB")</f>
        <v>TLC5940RHB</v>
      </c>
      <c r="B8370" s="3" t="s">
        <v>90</v>
      </c>
      <c r="C8370" s="5">
        <v>59</v>
      </c>
      <c r="D8370" s="6">
        <v>5.35</v>
      </c>
      <c r="E8370" t="s">
        <v>8</v>
      </c>
    </row>
    <row r="8371" spans="1:5" x14ac:dyDescent="0.25">
      <c r="A8371" t="str">
        <f>HYPERLINK("https://www.773grp.com/globalSearch/TLC5941NT/page-1", "TLC5941NT")</f>
        <v>TLC5941NT</v>
      </c>
      <c r="B8371" s="3" t="str">
        <f>HYPERLINK("https://www.773grp.com/manufacturer/texas-instruments?pageNo=122", "Texas Instruments")</f>
        <v>Texas Instruments</v>
      </c>
      <c r="C8371" s="5">
        <v>2837</v>
      </c>
      <c r="D8371" s="6">
        <v>6.46</v>
      </c>
      <c r="E8371" t="s">
        <v>8</v>
      </c>
    </row>
    <row r="8372" spans="1:5" x14ac:dyDescent="0.25">
      <c r="A8372" t="str">
        <f>HYPERLINK("https://www.773grp.com/globalSearch/TLC5905PAP/page-1", "TLC5905PAP")</f>
        <v>TLC5905PAP</v>
      </c>
      <c r="B8372" s="3" t="s">
        <v>90</v>
      </c>
      <c r="C8372" s="5">
        <v>971</v>
      </c>
      <c r="D8372" s="6">
        <v>8.4</v>
      </c>
      <c r="E8372" t="s">
        <v>8</v>
      </c>
    </row>
    <row r="8373" spans="1:5" x14ac:dyDescent="0.25">
      <c r="A8373" t="str">
        <f>HYPERLINK("https://www.773grp.com/globalSearch/TFP410PAP/page-1", "TFP410PAP")</f>
        <v>TFP410PAP</v>
      </c>
      <c r="B8373" s="3" t="s">
        <v>90</v>
      </c>
      <c r="C8373" s="5">
        <v>31178</v>
      </c>
      <c r="D8373" s="6">
        <v>8.44</v>
      </c>
      <c r="E8373" t="s">
        <v>8</v>
      </c>
    </row>
    <row r="8374" spans="1:5" x14ac:dyDescent="0.25">
      <c r="A8374" t="str">
        <f>HYPERLINK("https://www.773grp.com/globalSearch/TLC5930PWP/page-1", "TLC5930PWP")</f>
        <v>TLC5930PWP</v>
      </c>
      <c r="B8374" s="3" t="s">
        <v>90</v>
      </c>
      <c r="C8374" s="5">
        <v>1480</v>
      </c>
      <c r="D8374" s="6">
        <v>9.68</v>
      </c>
      <c r="E8374" t="s">
        <v>8</v>
      </c>
    </row>
    <row r="8375" spans="1:5" x14ac:dyDescent="0.25">
      <c r="A8375" t="str">
        <f>HYPERLINK("https://www.773grp.com/globalSearch/TLC5902PZP/page-1", "TLC5902PZP")</f>
        <v>TLC5902PZP</v>
      </c>
      <c r="B8375" s="3" t="str">
        <f>HYPERLINK("https://www.773grp.com/manufacturer/texas-instruments?pageNo=577", "Texas Instruments")</f>
        <v>Texas Instruments</v>
      </c>
      <c r="C8375" s="5">
        <v>814</v>
      </c>
      <c r="D8375" s="6">
        <v>13.21</v>
      </c>
      <c r="E8375" t="s">
        <v>8</v>
      </c>
    </row>
    <row r="8376" spans="1:5" x14ac:dyDescent="0.25">
      <c r="A8376" t="str">
        <f>HYPERLINK("https://www.773grp.com/globalSearch/TLC5903PZP/page-1", "TLC5903PZP")</f>
        <v>TLC5903PZP</v>
      </c>
      <c r="B8376" s="3" t="str">
        <f>HYPERLINK("https://www.773grp.com/manufacturer/texas-instruments?pageNo=578", "Texas Instruments")</f>
        <v>Texas Instruments</v>
      </c>
      <c r="C8376" s="5">
        <v>90</v>
      </c>
      <c r="D8376" s="6">
        <v>13.21</v>
      </c>
      <c r="E8376" t="s">
        <v>8</v>
      </c>
    </row>
    <row r="8377" spans="1:5" x14ac:dyDescent="0.25">
      <c r="A8377" t="str">
        <f>HYPERLINK("https://www.773grp.com/globalSearch/TLC5910PZP/page-1", "TLC5910PZP")</f>
        <v>TLC5910PZP</v>
      </c>
      <c r="B8377" s="3" t="str">
        <f>HYPERLINK("https://www.773grp.com/manufacturer/texas-instruments?pageNo=609", "Texas Instruments")</f>
        <v>Texas Instruments</v>
      </c>
      <c r="C8377" s="5">
        <v>3206</v>
      </c>
      <c r="D8377" s="6">
        <v>13.25</v>
      </c>
      <c r="E8377" t="s">
        <v>8</v>
      </c>
    </row>
    <row r="8378" spans="1:5" x14ac:dyDescent="0.25">
      <c r="A8378" t="str">
        <f>HYPERLINK("https://www.773grp.com/globalSearch/TLC5911PZP/page-1", "TLC5911PZP")</f>
        <v>TLC5911PZP</v>
      </c>
      <c r="B8378" s="3" t="str">
        <f>HYPERLINK("https://www.773grp.com/manufacturer/texas-instruments?pageNo=633", "Texas Instruments")</f>
        <v>Texas Instruments</v>
      </c>
      <c r="C8378" s="5">
        <v>43993</v>
      </c>
      <c r="D8378" s="6">
        <v>13.3</v>
      </c>
      <c r="E8378" t="s">
        <v>8</v>
      </c>
    </row>
    <row r="8379" spans="1:5" x14ac:dyDescent="0.25">
      <c r="A8379" t="str">
        <f>HYPERLINK("https://www.773grp.com/globalSearch/TLC5904PZP/page-1", "TLC5904PZP")</f>
        <v>TLC5904PZP</v>
      </c>
      <c r="B8379" s="3" t="str">
        <f>HYPERLINK("https://www.773grp.com/manufacturer/texas-instruments?pageNo=860", "Texas Instruments")</f>
        <v>Texas Instruments</v>
      </c>
      <c r="C8379" s="5">
        <v>145</v>
      </c>
      <c r="D8379" s="6">
        <v>13.73</v>
      </c>
      <c r="E8379" t="s">
        <v>8</v>
      </c>
    </row>
    <row r="8380" spans="1:5" x14ac:dyDescent="0.25">
      <c r="A8380" t="str">
        <f>HYPERLINK("https://www.773grp.com/globalSearch/SN751506FT/page-1", "SN751506FT")</f>
        <v>SN751506FT</v>
      </c>
      <c r="B8380" s="3" t="s">
        <v>90</v>
      </c>
      <c r="C8380" s="5">
        <v>179</v>
      </c>
      <c r="D8380" s="6">
        <v>14.06</v>
      </c>
      <c r="E8380" t="s">
        <v>8</v>
      </c>
    </row>
    <row r="8381" spans="1:5" x14ac:dyDescent="0.25">
      <c r="A8381" t="str">
        <f>HYPERLINK("https://www.773grp.com/globalSearch/TFP410MPAPREP/page-1", "TFP410MPAPREP")</f>
        <v>TFP410MPAPREP</v>
      </c>
      <c r="B8381" s="3" t="s">
        <v>90</v>
      </c>
      <c r="C8381" s="5">
        <v>390</v>
      </c>
      <c r="D8381" s="6">
        <v>16.04</v>
      </c>
      <c r="E8381" t="s">
        <v>8</v>
      </c>
    </row>
    <row r="8382" spans="1:5" x14ac:dyDescent="0.25">
      <c r="A8382" t="str">
        <f>HYPERLINK("https://www.773grp.com/globalSearch/SN75551FN/page-1", "SN75551FN")</f>
        <v>SN75551FN</v>
      </c>
      <c r="B8382" s="3" t="s">
        <v>90</v>
      </c>
      <c r="C8382" s="5">
        <v>557</v>
      </c>
      <c r="D8382" s="6">
        <v>16.84</v>
      </c>
      <c r="E8382" t="s">
        <v>8</v>
      </c>
    </row>
    <row r="8383" spans="1:5" x14ac:dyDescent="0.25">
      <c r="A8383" t="str">
        <f>HYPERLINK("https://www.773grp.com/globalSearch/SN75554FN/page-1", "SN75554FN")</f>
        <v>SN75554FN</v>
      </c>
      <c r="B8383" s="3" t="s">
        <v>90</v>
      </c>
      <c r="C8383" s="5">
        <v>1631</v>
      </c>
      <c r="D8383" s="6">
        <v>16.84</v>
      </c>
      <c r="E8383" t="s">
        <v>8</v>
      </c>
    </row>
    <row r="8384" spans="1:5" x14ac:dyDescent="0.25">
      <c r="A8384" t="str">
        <f>HYPERLINK("https://www.773grp.com/globalSearch/SN75558FN/page-1", "SN75558FN")</f>
        <v>SN75558FN</v>
      </c>
      <c r="B8384" s="3" t="s">
        <v>90</v>
      </c>
      <c r="C8384" s="5">
        <v>359</v>
      </c>
      <c r="D8384" s="6">
        <v>33.75</v>
      </c>
      <c r="E8384" t="s">
        <v>8</v>
      </c>
    </row>
    <row r="8385" spans="1:5" x14ac:dyDescent="0.25">
      <c r="A8385" t="str">
        <f>HYPERLINK("https://www.773grp.com/globalSearch/SNJ55551FD/page-1", "SNJ55551FD")</f>
        <v>SNJ55551FD</v>
      </c>
      <c r="B8385" s="3" t="str">
        <f>HYPERLINK("https://www.773grp.com/manufacturer/texas-instruments?pageNo=69", "Texas Instruments")</f>
        <v>Texas Instruments</v>
      </c>
      <c r="C8385" s="5">
        <v>11</v>
      </c>
      <c r="D8385" s="6">
        <v>140.18</v>
      </c>
      <c r="E8385" t="s">
        <v>8</v>
      </c>
    </row>
    <row r="8386" spans="1:5" x14ac:dyDescent="0.25">
      <c r="A8386" t="str">
        <f>HYPERLINK("https://www.773grp.com/globalSearch/SNJ55553FD/page-1", "SNJ55553FD")</f>
        <v>SNJ55553FD</v>
      </c>
      <c r="B8386" s="3" t="str">
        <f>HYPERLINK("https://www.773grp.com/manufacturer/texas-instruments?pageNo=200", "Texas Instruments")</f>
        <v>Texas Instruments</v>
      </c>
      <c r="C8386" s="5">
        <v>2</v>
      </c>
      <c r="D8386" s="6">
        <v>155.47999999999999</v>
      </c>
      <c r="E8386" t="s">
        <v>8</v>
      </c>
    </row>
    <row r="8387" spans="1:5" x14ac:dyDescent="0.25">
      <c r="A8387" t="str">
        <f>HYPERLINK("https://www.773grp.com/globalSearch/SNJ55554FD/page-1", "SNJ55554FD")</f>
        <v>SNJ55554FD</v>
      </c>
      <c r="B8387" s="3" t="str">
        <f>HYPERLINK("https://www.773grp.com/manufacturer/texas-instruments?pageNo=201", "Texas Instruments")</f>
        <v>Texas Instruments</v>
      </c>
      <c r="C8387" s="5">
        <v>9</v>
      </c>
      <c r="D8387" s="6">
        <v>155.47999999999999</v>
      </c>
      <c r="E8387" t="s">
        <v>8</v>
      </c>
    </row>
    <row r="8388" spans="1:5" x14ac:dyDescent="0.25">
      <c r="A8388" t="str">
        <f>HYPERLINK("https://www.773grp.com/globalSearch/SNJ55500EFJ/page-1", "SNJ55500EFJ")</f>
        <v>SNJ55500EFJ</v>
      </c>
      <c r="B8388" s="3" t="str">
        <f>HYPERLINK("https://www.773grp.com/manufacturer/texas-instruments?pageNo=666", "Texas Instruments")</f>
        <v>Texas Instruments</v>
      </c>
      <c r="C8388" s="5">
        <v>3</v>
      </c>
      <c r="D8388" s="6">
        <v>218.88</v>
      </c>
      <c r="E8388" t="s">
        <v>8</v>
      </c>
    </row>
    <row r="8389" spans="1:5" x14ac:dyDescent="0.25">
      <c r="A8389" t="str">
        <f>HYPERLINK("https://www.773grp.com/globalSearch/32P4782A-CGT/page-1", "32P4782A-CGT")</f>
        <v>32P4782A-CGT</v>
      </c>
      <c r="B8389" s="3" t="s">
        <v>90</v>
      </c>
      <c r="C8389" s="5">
        <v>22309</v>
      </c>
      <c r="D8389" s="6">
        <v>18.11</v>
      </c>
      <c r="E8389" t="s">
        <v>66</v>
      </c>
    </row>
    <row r="8390" spans="1:5" x14ac:dyDescent="0.25">
      <c r="A8390" t="str">
        <f>HYPERLINK("https://www.773grp.com/globalSearch/32P4752-CGT/page-1", "32P4752-CGT")</f>
        <v>32P4752-CGT</v>
      </c>
      <c r="B8390" s="3" t="s">
        <v>90</v>
      </c>
      <c r="C8390" s="5">
        <v>2184</v>
      </c>
      <c r="D8390" s="6">
        <v>39.200000000000003</v>
      </c>
      <c r="E8390" t="s">
        <v>66</v>
      </c>
    </row>
    <row r="8391" spans="1:5" x14ac:dyDescent="0.25">
      <c r="A8391" t="str">
        <f>HYPERLINK("https://www.773grp.com/globalSearch/32P4742-CGT/page-1", "32P4742-CGT")</f>
        <v>32P4742-CGT</v>
      </c>
      <c r="B8391" s="3" t="s">
        <v>90</v>
      </c>
      <c r="C8391" s="5">
        <v>6742</v>
      </c>
      <c r="D8391" s="6">
        <v>45.79</v>
      </c>
      <c r="E8391" t="s">
        <v>66</v>
      </c>
    </row>
    <row r="8392" spans="1:5" x14ac:dyDescent="0.25">
      <c r="A8392" t="str">
        <f>HYPERLINK("https://www.773grp.com/globalSearch/CY29FCT520CTSOCT/page-1", "CY29FCT520CTSOCT")</f>
        <v>CY29FCT520CTSOCT</v>
      </c>
      <c r="B8392" s="3" t="s">
        <v>90</v>
      </c>
      <c r="C8392" s="5">
        <v>6000</v>
      </c>
      <c r="D8392" s="6">
        <v>5.63</v>
      </c>
      <c r="E8392" t="s">
        <v>89</v>
      </c>
    </row>
    <row r="8393" spans="1:5" x14ac:dyDescent="0.25">
      <c r="A8393" t="str">
        <f>HYPERLINK("https://www.773grp.com/globalSearch/CY29FCT520BTSOC/page-1", "CY29FCT520BTSOC")</f>
        <v>CY29FCT520BTSOC</v>
      </c>
      <c r="B8393" s="3" t="str">
        <f>HYPERLINK("https://www.773grp.com/manufacturer/texas-instruments?pageNo=590", "Texas Instruments")</f>
        <v>Texas Instruments</v>
      </c>
      <c r="C8393" s="5">
        <v>7260</v>
      </c>
      <c r="D8393" s="6">
        <v>6.84</v>
      </c>
      <c r="E8393" t="s">
        <v>89</v>
      </c>
    </row>
    <row r="8394" spans="1:5" x14ac:dyDescent="0.25">
      <c r="A8394" t="str">
        <f>HYPERLINK("https://www.773grp.com/globalSearch/CY29FCT520CTSOC/page-1", "CY29FCT520CTSOC")</f>
        <v>CY29FCT520CTSOC</v>
      </c>
      <c r="B8394" s="3" t="str">
        <f>HYPERLINK("https://www.773grp.com/manufacturer/texas-instruments?pageNo=591", "Texas Instruments")</f>
        <v>Texas Instruments</v>
      </c>
      <c r="C8394" s="5">
        <v>10633</v>
      </c>
      <c r="D8394" s="6">
        <v>6.84</v>
      </c>
      <c r="E8394" t="s">
        <v>89</v>
      </c>
    </row>
    <row r="8395" spans="1:5" x14ac:dyDescent="0.25">
      <c r="A8395" t="str">
        <f>HYPERLINK("https://www.773grp.com/globalSearch/CY29FCT520ATSOCT/page-1", "CY29FCT520ATSOCT")</f>
        <v>CY29FCT520ATSOCT</v>
      </c>
      <c r="B8395" s="3" t="s">
        <v>90</v>
      </c>
      <c r="C8395" s="5">
        <v>19000</v>
      </c>
      <c r="D8395" s="6">
        <v>11.44</v>
      </c>
      <c r="E8395" t="s">
        <v>89</v>
      </c>
    </row>
    <row r="8396" spans="1:5" x14ac:dyDescent="0.25">
      <c r="A8396" t="str">
        <f>HYPERLINK("https://www.773grp.com/globalSearch/CY29FCT520ATPC/page-1", "CY29FCT520ATPC")</f>
        <v>CY29FCT520ATPC</v>
      </c>
      <c r="B8396" s="3" t="s">
        <v>90</v>
      </c>
      <c r="C8396" s="5">
        <v>1588</v>
      </c>
      <c r="D8396" s="6">
        <v>12.06</v>
      </c>
      <c r="E8396" t="s">
        <v>89</v>
      </c>
    </row>
    <row r="8397" spans="1:5" x14ac:dyDescent="0.25">
      <c r="A8397" t="str">
        <f>HYPERLINK("https://www.773grp.com/globalSearch/CY29FCT520ATSOC/page-1", "CY29FCT520ATSOC")</f>
        <v>CY29FCT520ATSOC</v>
      </c>
      <c r="B8397" s="3" t="str">
        <f>HYPERLINK("https://www.773grp.com/manufacturer/texas-instruments?pageNo=501", "Texas Instruments")</f>
        <v>Texas Instruments</v>
      </c>
      <c r="C8397" s="5">
        <v>18292</v>
      </c>
      <c r="D8397" s="6">
        <v>13.05</v>
      </c>
      <c r="E8397" t="s">
        <v>89</v>
      </c>
    </row>
    <row r="8398" spans="1:5" x14ac:dyDescent="0.25">
      <c r="A8398" t="str">
        <f>HYPERLINK("https://www.773grp.com/globalSearch/DF1706E-2K/page-1", "DF1706E-2K")</f>
        <v>DF1706E-2K</v>
      </c>
      <c r="B8398" s="3" t="s">
        <v>90</v>
      </c>
      <c r="C8398" s="5">
        <v>1972</v>
      </c>
      <c r="D8398" s="6">
        <v>48.38</v>
      </c>
      <c r="E8398" t="s">
        <v>89</v>
      </c>
    </row>
    <row r="8399" spans="1:5" x14ac:dyDescent="0.25">
      <c r="A8399" t="str">
        <f>HYPERLINK("https://www.773grp.com/globalSearch/DF1704E/page-1", "DF1704E")</f>
        <v>DF1704E</v>
      </c>
      <c r="B8399" s="3" t="s">
        <v>90</v>
      </c>
      <c r="C8399" s="5">
        <v>618</v>
      </c>
      <c r="D8399" s="6">
        <v>58.34</v>
      </c>
      <c r="E8399" t="s">
        <v>89</v>
      </c>
    </row>
    <row r="8400" spans="1:5" x14ac:dyDescent="0.25">
      <c r="A8400" t="str">
        <f>HYPERLINK("https://www.773grp.com/globalSearch/DF1706E/page-1", "DF1706E")</f>
        <v>DF1706E</v>
      </c>
      <c r="B8400" s="3" t="s">
        <v>90</v>
      </c>
      <c r="C8400" s="5">
        <v>67</v>
      </c>
      <c r="D8400" s="6">
        <v>60.98</v>
      </c>
      <c r="E8400" t="s">
        <v>89</v>
      </c>
    </row>
    <row r="8401" spans="1:5" x14ac:dyDescent="0.25">
      <c r="A8401" t="str">
        <f>HYPERLINK("https://www.773grp.com/globalSearch/DF1760U/page-1", "DF1760U")</f>
        <v>DF1760U</v>
      </c>
      <c r="B8401" s="3" t="s">
        <v>90</v>
      </c>
      <c r="C8401" s="5">
        <v>64</v>
      </c>
      <c r="D8401" s="6">
        <v>69.900000000000006</v>
      </c>
      <c r="E8401" t="s">
        <v>89</v>
      </c>
    </row>
    <row r="8402" spans="1:5" x14ac:dyDescent="0.25">
      <c r="A8402" t="str">
        <f>HYPERLINK("https://www.773grp.com/globalSearch/DF1760U/page-1", "DF1760U")</f>
        <v>DF1760U</v>
      </c>
      <c r="B8402" s="3" t="s">
        <v>90</v>
      </c>
      <c r="C8402" s="5">
        <v>26</v>
      </c>
      <c r="D8402" s="6">
        <v>69.900000000000006</v>
      </c>
      <c r="E8402" t="s">
        <v>89</v>
      </c>
    </row>
    <row r="8403" spans="1:5" x14ac:dyDescent="0.25">
      <c r="A8403" t="str">
        <f>HYPERLINK("https://www.773grp.com/globalSearch/DF1760P/page-1", "DF1760P")</f>
        <v>DF1760P</v>
      </c>
      <c r="B8403" s="3" t="s">
        <v>90</v>
      </c>
      <c r="C8403" s="5">
        <v>26</v>
      </c>
      <c r="D8403" s="6">
        <v>74.11</v>
      </c>
      <c r="E8403" t="s">
        <v>89</v>
      </c>
    </row>
    <row r="8404" spans="1:5" x14ac:dyDescent="0.25">
      <c r="A8404" t="str">
        <f>HYPERLINK("https://www.773grp.com/globalSearch/5962-9220504MLA/page-1", "5962-9220504MLA")</f>
        <v>5962-9220504MLA</v>
      </c>
      <c r="B8404" s="3" t="s">
        <v>90</v>
      </c>
      <c r="C8404" s="5">
        <v>17</v>
      </c>
      <c r="D8404" s="6">
        <v>107.7</v>
      </c>
      <c r="E8404" t="s">
        <v>89</v>
      </c>
    </row>
    <row r="8405" spans="1:5" x14ac:dyDescent="0.25">
      <c r="A8405" t="str">
        <f>HYPERLINK("https://www.773grp.com/globalSearch/SNJ54AS897AGB/page-1", "SNJ54AS897AGB")</f>
        <v>SNJ54AS897AGB</v>
      </c>
      <c r="B8405" s="3" t="str">
        <f>HYPERLINK("https://www.773grp.com/manufacturer/texas-instruments?pageNo=746", "Texas Instruments")</f>
        <v>Texas Instruments</v>
      </c>
      <c r="C8405" s="5">
        <v>58</v>
      </c>
      <c r="D8405" s="6">
        <v>265.45</v>
      </c>
      <c r="E8405" t="s">
        <v>89</v>
      </c>
    </row>
    <row r="8406" spans="1:5" x14ac:dyDescent="0.25">
      <c r="A8406" t="str">
        <f>HYPERLINK("https://www.773grp.com/globalSearch/GC3011A-PQ/page-1", "GC3011A-PQ")</f>
        <v>GC3011A-PQ</v>
      </c>
      <c r="B8406" s="3" t="s">
        <v>90</v>
      </c>
      <c r="C8406" s="5">
        <v>2367</v>
      </c>
      <c r="D8406" s="6">
        <v>253.86</v>
      </c>
      <c r="E8406" t="s">
        <v>89</v>
      </c>
    </row>
    <row r="8407" spans="1:5" x14ac:dyDescent="0.25">
      <c r="A8407" t="str">
        <f>HYPERLINK("https://www.773grp.com/globalSearch/GC3011-PQ/page-1", "GC3011-PQ")</f>
        <v>GC3011-PQ</v>
      </c>
      <c r="B8407" s="3" t="s">
        <v>90</v>
      </c>
      <c r="C8407" s="5">
        <v>1294</v>
      </c>
      <c r="D8407" s="6">
        <v>258.25</v>
      </c>
      <c r="E8407" t="s">
        <v>89</v>
      </c>
    </row>
    <row r="8408" spans="1:5" x14ac:dyDescent="0.25">
      <c r="A8408" t="str">
        <f>HYPERLINK("https://www.773grp.com/globalSearch/GC2011A-PB/page-1", "GC2011A-PB")</f>
        <v>GC2011A-PB</v>
      </c>
      <c r="B8408" s="3" t="s">
        <v>90</v>
      </c>
      <c r="C8408" s="5">
        <v>3548</v>
      </c>
      <c r="D8408" s="6">
        <v>271.29000000000002</v>
      </c>
      <c r="E8408" t="s">
        <v>89</v>
      </c>
    </row>
    <row r="8409" spans="1:5" x14ac:dyDescent="0.25">
      <c r="A8409" t="str">
        <f>HYPERLINK("https://www.773grp.com/globalSearch/GC2011A-PQ/page-1", "GC2011A-PQ")</f>
        <v>GC2011A-PQ</v>
      </c>
      <c r="B8409" s="3" t="s">
        <v>90</v>
      </c>
      <c r="C8409" s="5">
        <v>4404</v>
      </c>
      <c r="D8409" s="6">
        <v>1072.3</v>
      </c>
      <c r="E8409" t="s">
        <v>89</v>
      </c>
    </row>
    <row r="8410" spans="1:5" x14ac:dyDescent="0.25">
      <c r="A8410" t="str">
        <f>HYPERLINK("https://www.773grp.com/globalSearch/TMS44165-80DZ/page-1", "TMS44165-80DZ")</f>
        <v>TMS44165-80DZ</v>
      </c>
      <c r="B8410" s="3" t="s">
        <v>90</v>
      </c>
      <c r="C8410" s="5">
        <v>225222</v>
      </c>
      <c r="D8410" s="6">
        <v>8.44</v>
      </c>
      <c r="E8410" t="s">
        <v>83</v>
      </c>
    </row>
    <row r="8411" spans="1:5" x14ac:dyDescent="0.25">
      <c r="A8411" t="str">
        <f>HYPERLINK("https://www.773grp.com/globalSearch/TMS626402-12DGE/page-1", "TMS626402-12DGE")</f>
        <v>TMS626402-12DGE</v>
      </c>
      <c r="B8411" s="3" t="s">
        <v>90</v>
      </c>
      <c r="C8411" s="5">
        <v>340</v>
      </c>
      <c r="D8411" s="6">
        <v>8.44</v>
      </c>
      <c r="E8411" t="s">
        <v>83</v>
      </c>
    </row>
    <row r="8412" spans="1:5" x14ac:dyDescent="0.25">
      <c r="A8412" t="str">
        <f>HYPERLINK("https://www.773grp.com/globalSearch/TMS44460-70DJ/page-1", "TMS44460-70DJ")</f>
        <v>TMS44460-70DJ</v>
      </c>
      <c r="B8412" s="3" t="s">
        <v>90</v>
      </c>
      <c r="C8412" s="5">
        <v>2839</v>
      </c>
      <c r="D8412" s="6">
        <v>9.84</v>
      </c>
      <c r="E8412" t="s">
        <v>83</v>
      </c>
    </row>
    <row r="8413" spans="1:5" x14ac:dyDescent="0.25">
      <c r="A8413" t="str">
        <f>HYPERLINK("https://www.773grp.com/globalSearch/TMS4161-15NL/page-1", "TMS4161-15NL")</f>
        <v>TMS4161-15NL</v>
      </c>
      <c r="B8413" s="3" t="s">
        <v>90</v>
      </c>
      <c r="C8413" s="5">
        <v>56098</v>
      </c>
      <c r="D8413" s="6">
        <v>10.38</v>
      </c>
      <c r="E8413" t="s">
        <v>83</v>
      </c>
    </row>
    <row r="8414" spans="1:5" x14ac:dyDescent="0.25">
      <c r="A8414" t="str">
        <f>HYPERLINK("https://www.773grp.com/globalSearch/TMS418169-60DZ/page-1", "TMS418169-60DZ")</f>
        <v>TMS418169-60DZ</v>
      </c>
      <c r="B8414" s="3" t="s">
        <v>90</v>
      </c>
      <c r="C8414" s="5">
        <v>58</v>
      </c>
      <c r="D8414" s="6">
        <v>11.25</v>
      </c>
      <c r="E8414" t="s">
        <v>83</v>
      </c>
    </row>
    <row r="8415" spans="1:5" x14ac:dyDescent="0.25">
      <c r="A8415" t="str">
        <f>HYPERLINK("https://www.773grp.com/globalSearch/TMS45165-70DZ/page-1", "TMS45165-70DZ")</f>
        <v>TMS45165-70DZ</v>
      </c>
      <c r="B8415" s="3" t="s">
        <v>90</v>
      </c>
      <c r="C8415" s="5">
        <v>22493</v>
      </c>
      <c r="D8415" s="6">
        <v>11.25</v>
      </c>
      <c r="E8415" t="s">
        <v>83</v>
      </c>
    </row>
    <row r="8416" spans="1:5" x14ac:dyDescent="0.25">
      <c r="A8416" t="str">
        <f>HYPERLINK("https://www.773grp.com/globalSearch/TMS44165-70DZ/page-1", "TMS44165-70DZ")</f>
        <v>TMS44165-70DZ</v>
      </c>
      <c r="B8416" s="3" t="s">
        <v>90</v>
      </c>
      <c r="C8416" s="5">
        <v>55443</v>
      </c>
      <c r="D8416" s="6">
        <v>15.23</v>
      </c>
      <c r="E8416" t="s">
        <v>83</v>
      </c>
    </row>
    <row r="8417" spans="1:5" x14ac:dyDescent="0.25">
      <c r="A8417" t="str">
        <f>HYPERLINK("https://www.773grp.com/globalSearch/TMS418160-70DZ/page-1", "TMS418160-70DZ")</f>
        <v>TMS418160-70DZ</v>
      </c>
      <c r="B8417" s="3" t="s">
        <v>90</v>
      </c>
      <c r="C8417" s="5">
        <v>1</v>
      </c>
      <c r="D8417" s="6">
        <v>15.48</v>
      </c>
      <c r="E8417" t="s">
        <v>83</v>
      </c>
    </row>
    <row r="8418" spans="1:5" x14ac:dyDescent="0.25">
      <c r="A8418" t="str">
        <f>HYPERLINK("https://www.773grp.com/globalSearch/TMS44C256-10DJ/page-1", "TMS44C256-10DJ")</f>
        <v>TMS44C256-10DJ</v>
      </c>
      <c r="B8418" s="3" t="s">
        <v>90</v>
      </c>
      <c r="C8418" s="5">
        <v>8454</v>
      </c>
      <c r="D8418" s="6">
        <v>17.329999999999998</v>
      </c>
      <c r="E8418" t="s">
        <v>83</v>
      </c>
    </row>
    <row r="8419" spans="1:5" x14ac:dyDescent="0.25">
      <c r="A8419" t="str">
        <f>HYPERLINK("https://www.773grp.com/globalSearch/TMS48C128-10DJ/page-1", "TMS48C128-10DJ")</f>
        <v>TMS48C128-10DJ</v>
      </c>
      <c r="B8419" s="3" t="s">
        <v>90</v>
      </c>
      <c r="C8419" s="5">
        <v>3937</v>
      </c>
      <c r="D8419" s="6">
        <v>17.440000000000001</v>
      </c>
      <c r="E8419" t="s">
        <v>83</v>
      </c>
    </row>
    <row r="8420" spans="1:5" x14ac:dyDescent="0.25">
      <c r="A8420" t="str">
        <f>HYPERLINK("https://www.773grp.com/globalSearch/TMS48C128-80DJ/page-1", "TMS48C128-80DJ")</f>
        <v>TMS48C128-80DJ</v>
      </c>
      <c r="B8420" s="3" t="s">
        <v>90</v>
      </c>
      <c r="C8420" s="5">
        <v>1621</v>
      </c>
      <c r="D8420" s="6">
        <v>17.440000000000001</v>
      </c>
      <c r="E8420" t="s">
        <v>83</v>
      </c>
    </row>
    <row r="8421" spans="1:5" x14ac:dyDescent="0.25">
      <c r="A8421" t="str">
        <f>HYPERLINK("https://www.773grp.com/globalSearch/TMS48C138-10DJ/page-1", "TMS48C138-10DJ")</f>
        <v>TMS48C138-10DJ</v>
      </c>
      <c r="B8421" s="3" t="s">
        <v>90</v>
      </c>
      <c r="C8421" s="5">
        <v>1115</v>
      </c>
      <c r="D8421" s="6">
        <v>17.440000000000001</v>
      </c>
      <c r="E8421" t="s">
        <v>83</v>
      </c>
    </row>
    <row r="8422" spans="1:5" x14ac:dyDescent="0.25">
      <c r="A8422" t="str">
        <f>HYPERLINK("https://www.773grp.com/globalSearch/TMS48C138-70DJ/page-1", "TMS48C138-70DJ")</f>
        <v>TMS48C138-70DJ</v>
      </c>
      <c r="B8422" s="3" t="s">
        <v>90</v>
      </c>
      <c r="C8422" s="5">
        <v>11016</v>
      </c>
      <c r="D8422" s="6">
        <v>17.440000000000001</v>
      </c>
      <c r="E8422" t="s">
        <v>83</v>
      </c>
    </row>
    <row r="8423" spans="1:5" x14ac:dyDescent="0.25">
      <c r="A8423" t="str">
        <f>HYPERLINK("https://www.773grp.com/globalSearch/TMS55160-60DGH/page-1", "TMS55160-60DGH")</f>
        <v>TMS55160-60DGH</v>
      </c>
      <c r="B8423" s="3" t="s">
        <v>90</v>
      </c>
      <c r="C8423" s="5">
        <v>61955</v>
      </c>
      <c r="D8423" s="6">
        <v>19.690000000000001</v>
      </c>
      <c r="E8423" t="s">
        <v>83</v>
      </c>
    </row>
    <row r="8424" spans="1:5" x14ac:dyDescent="0.25">
      <c r="A8424" t="str">
        <f>HYPERLINK("https://www.773grp.com/globalSearch/TMS55160-70DGH/page-1", "TMS55160-70DGH")</f>
        <v>TMS55160-70DGH</v>
      </c>
      <c r="B8424" s="3" t="s">
        <v>90</v>
      </c>
      <c r="C8424" s="5">
        <v>10830</v>
      </c>
      <c r="D8424" s="6">
        <v>19.690000000000001</v>
      </c>
      <c r="E8424" t="s">
        <v>83</v>
      </c>
    </row>
    <row r="8425" spans="1:5" x14ac:dyDescent="0.25">
      <c r="A8425" t="str">
        <f>HYPERLINK("https://www.773grp.com/globalSearch/TMS55161-60DGH/page-1", "TMS55161-60DGH")</f>
        <v>TMS55161-60DGH</v>
      </c>
      <c r="B8425" s="3" t="s">
        <v>90</v>
      </c>
      <c r="C8425" s="5">
        <v>4851</v>
      </c>
      <c r="D8425" s="6">
        <v>19.690000000000001</v>
      </c>
      <c r="E8425" t="s">
        <v>83</v>
      </c>
    </row>
    <row r="8426" spans="1:5" x14ac:dyDescent="0.25">
      <c r="A8426" t="str">
        <f>HYPERLINK("https://www.773grp.com/globalSearch/TMS55161-70DGH/page-1", "TMS55161-70DGH")</f>
        <v>TMS55161-70DGH</v>
      </c>
      <c r="B8426" s="3" t="s">
        <v>90</v>
      </c>
      <c r="C8426" s="5">
        <v>105110</v>
      </c>
      <c r="D8426" s="6">
        <v>19.690000000000001</v>
      </c>
      <c r="E8426" t="s">
        <v>83</v>
      </c>
    </row>
    <row r="8427" spans="1:5" x14ac:dyDescent="0.25">
      <c r="A8427" t="str">
        <f>HYPERLINK("https://www.773grp.com/globalSearch/TMS55165-60DGH/page-1", "TMS55165-60DGH")</f>
        <v>TMS55165-60DGH</v>
      </c>
      <c r="B8427" s="3" t="s">
        <v>90</v>
      </c>
      <c r="C8427" s="5">
        <v>25776</v>
      </c>
      <c r="D8427" s="6">
        <v>19.690000000000001</v>
      </c>
      <c r="E8427" t="s">
        <v>83</v>
      </c>
    </row>
    <row r="8428" spans="1:5" x14ac:dyDescent="0.25">
      <c r="A8428" t="str">
        <f>HYPERLINK("https://www.773grp.com/globalSearch/TMS55166-60DGH/page-1", "TMS55166-60DGH")</f>
        <v>TMS55166-60DGH</v>
      </c>
      <c r="B8428" s="3" t="s">
        <v>90</v>
      </c>
      <c r="C8428" s="5">
        <v>64359</v>
      </c>
      <c r="D8428" s="6">
        <v>19.690000000000001</v>
      </c>
      <c r="E8428" t="s">
        <v>83</v>
      </c>
    </row>
    <row r="8429" spans="1:5" x14ac:dyDescent="0.25">
      <c r="A8429" t="str">
        <f>HYPERLINK("https://www.773grp.com/globalSearch/TMS55166-70DGH/page-1", "TMS55166-70DGH")</f>
        <v>TMS55166-70DGH</v>
      </c>
      <c r="B8429" s="3" t="s">
        <v>90</v>
      </c>
      <c r="C8429" s="5">
        <v>1200</v>
      </c>
      <c r="D8429" s="6">
        <v>19.690000000000001</v>
      </c>
      <c r="E8429" t="s">
        <v>83</v>
      </c>
    </row>
    <row r="8430" spans="1:5" x14ac:dyDescent="0.25">
      <c r="A8430" t="str">
        <f>HYPERLINK("https://www.773grp.com/globalSearch/TMS4C1024-70DJ/page-1", "TMS4C1024-70DJ")</f>
        <v>TMS4C1024-70DJ</v>
      </c>
      <c r="B8430" s="3" t="str">
        <f>HYPERLINK("https://www.773grp.com/manufacturer/texas-instruments?pageNo=397", "Texas Instruments")</f>
        <v>Texas Instruments</v>
      </c>
      <c r="C8430" s="5">
        <v>748</v>
      </c>
      <c r="D8430" s="6">
        <v>29.66</v>
      </c>
      <c r="E8430" t="s">
        <v>83</v>
      </c>
    </row>
    <row r="8431" spans="1:5" x14ac:dyDescent="0.25">
      <c r="A8431" t="str">
        <f>HYPERLINK("https://www.773grp.com/globalSearch/TMS48C121-10DZ/page-1", "TMS48C121-10DZ")</f>
        <v>TMS48C121-10DZ</v>
      </c>
      <c r="B8431" s="3" t="s">
        <v>90</v>
      </c>
      <c r="C8431" s="5">
        <v>276</v>
      </c>
      <c r="D8431" s="6">
        <v>33.75</v>
      </c>
      <c r="E8431" t="s">
        <v>83</v>
      </c>
    </row>
    <row r="8432" spans="1:5" x14ac:dyDescent="0.25">
      <c r="A8432" t="str">
        <f>HYPERLINK("https://www.773grp.com/globalSearch/SMJ4164-12FGS/page-1", "SMJ4164-12FGS")</f>
        <v>SMJ4164-12FGS</v>
      </c>
      <c r="B8432" s="3" t="s">
        <v>90</v>
      </c>
      <c r="C8432" s="5">
        <v>244</v>
      </c>
      <c r="D8432" s="6">
        <v>39.380000000000003</v>
      </c>
      <c r="E8432" t="s">
        <v>83</v>
      </c>
    </row>
    <row r="8433" spans="1:5" x14ac:dyDescent="0.25">
      <c r="A8433" t="str">
        <f>HYPERLINK("https://www.773grp.com/globalSearch/SMJ4161-20JDS/page-1", "SMJ4161-20JDS")</f>
        <v>SMJ4161-20JDS</v>
      </c>
      <c r="B8433" s="3" t="s">
        <v>90</v>
      </c>
      <c r="C8433" s="5">
        <v>101</v>
      </c>
      <c r="D8433" s="6">
        <v>57.66</v>
      </c>
      <c r="E8433" t="s">
        <v>83</v>
      </c>
    </row>
    <row r="8434" spans="1:5" x14ac:dyDescent="0.25">
      <c r="A8434" t="str">
        <f>HYPERLINK("https://www.773grp.com/globalSearch/TMS44100-80DJ/page-1", "TMS44100-80DJ")</f>
        <v>TMS44100-80DJ</v>
      </c>
      <c r="B8434" s="3" t="s">
        <v>90</v>
      </c>
      <c r="C8434" s="5">
        <v>24122</v>
      </c>
      <c r="D8434" s="6">
        <v>57.75</v>
      </c>
      <c r="E8434" t="s">
        <v>83</v>
      </c>
    </row>
    <row r="8435" spans="1:5" x14ac:dyDescent="0.25">
      <c r="A8435" t="str">
        <f>HYPERLINK("https://www.773grp.com/globalSearch/SMJ4161-15JDS/page-1", "SMJ4161-15JDS")</f>
        <v>SMJ4161-15JDS</v>
      </c>
      <c r="B8435" s="3" t="s">
        <v>90</v>
      </c>
      <c r="C8435" s="5">
        <v>1823</v>
      </c>
      <c r="D8435" s="6">
        <v>61.88</v>
      </c>
      <c r="E8435" t="s">
        <v>83</v>
      </c>
    </row>
    <row r="8436" spans="1:5" x14ac:dyDescent="0.25">
      <c r="A8436" t="str">
        <f>HYPERLINK("https://www.773grp.com/globalSearch/SMJ4416-15JDL/page-1", "SMJ4416-15JDL")</f>
        <v>SMJ4416-15JDL</v>
      </c>
      <c r="B8436" s="3" t="s">
        <v>90</v>
      </c>
      <c r="C8436" s="5">
        <v>391</v>
      </c>
      <c r="D8436" s="6">
        <v>61.88</v>
      </c>
      <c r="E8436" t="s">
        <v>83</v>
      </c>
    </row>
    <row r="8437" spans="1:5" x14ac:dyDescent="0.25">
      <c r="A8437" t="str">
        <f>HYPERLINK("https://www.773grp.com/globalSearch/SMJ4416-15JDS/page-1", "SMJ4416-15JDS")</f>
        <v>SMJ4416-15JDS</v>
      </c>
      <c r="B8437" s="3" t="s">
        <v>90</v>
      </c>
      <c r="C8437" s="5">
        <v>3691</v>
      </c>
      <c r="D8437" s="6">
        <v>61.88</v>
      </c>
      <c r="E8437" t="s">
        <v>83</v>
      </c>
    </row>
    <row r="8438" spans="1:5" x14ac:dyDescent="0.25">
      <c r="A8438" t="str">
        <f>HYPERLINK("https://www.773grp.com/globalSearch/SMJ4416-20JDS/page-1", "SMJ4416-20JDS")</f>
        <v>SMJ4416-20JDS</v>
      </c>
      <c r="B8438" s="3" t="s">
        <v>90</v>
      </c>
      <c r="C8438" s="5">
        <v>3516</v>
      </c>
      <c r="D8438" s="6">
        <v>61.88</v>
      </c>
      <c r="E8438" t="s">
        <v>83</v>
      </c>
    </row>
    <row r="8439" spans="1:5" x14ac:dyDescent="0.25">
      <c r="A8439" t="str">
        <f>HYPERLINK("https://www.773grp.com/globalSearch/SMJ4256-20JDS/page-1", "SMJ4256-20JDS")</f>
        <v>SMJ4256-20JDS</v>
      </c>
      <c r="B8439" s="3" t="s">
        <v>90</v>
      </c>
      <c r="C8439" s="5">
        <v>7</v>
      </c>
      <c r="D8439" s="6">
        <v>64.69</v>
      </c>
      <c r="E8439" t="s">
        <v>83</v>
      </c>
    </row>
    <row r="8440" spans="1:5" x14ac:dyDescent="0.25">
      <c r="A8440" t="str">
        <f>HYPERLINK("https://www.773grp.com/globalSearch/SMJ4464-15JDL/page-1", "SMJ4464-15JDL")</f>
        <v>SMJ4464-15JDL</v>
      </c>
      <c r="B8440" s="3" t="s">
        <v>90</v>
      </c>
      <c r="C8440" s="5">
        <v>600</v>
      </c>
      <c r="D8440" s="6">
        <v>64.69</v>
      </c>
      <c r="E8440" t="s">
        <v>83</v>
      </c>
    </row>
    <row r="8441" spans="1:5" x14ac:dyDescent="0.25">
      <c r="A8441" t="str">
        <f>HYPERLINK("https://www.773grp.com/globalSearch/SMJ4464-15JDS/page-1", "SMJ4464-15JDS")</f>
        <v>SMJ4464-15JDS</v>
      </c>
      <c r="B8441" s="3" t="s">
        <v>90</v>
      </c>
      <c r="C8441" s="5">
        <v>1631</v>
      </c>
      <c r="D8441" s="6">
        <v>64.69</v>
      </c>
      <c r="E8441" t="s">
        <v>83</v>
      </c>
    </row>
    <row r="8442" spans="1:5" x14ac:dyDescent="0.25">
      <c r="A8442" t="str">
        <f>HYPERLINK("https://www.773grp.com/globalSearch/SMJ4464-12JDL/page-1", "SMJ4464-12JDL")</f>
        <v>SMJ4464-12JDL</v>
      </c>
      <c r="B8442" s="3" t="s">
        <v>90</v>
      </c>
      <c r="C8442" s="5">
        <v>494</v>
      </c>
      <c r="D8442" s="6">
        <v>81.56</v>
      </c>
      <c r="E8442" t="s">
        <v>83</v>
      </c>
    </row>
    <row r="8443" spans="1:5" x14ac:dyDescent="0.25">
      <c r="A8443" t="str">
        <f>HYPERLINK("https://www.773grp.com/globalSearch/SMJ4464-12JDS/page-1", "SMJ4464-12JDS")</f>
        <v>SMJ4464-12JDS</v>
      </c>
      <c r="B8443" s="3" t="s">
        <v>90</v>
      </c>
      <c r="C8443" s="5">
        <v>6134</v>
      </c>
      <c r="D8443" s="6">
        <v>81.56</v>
      </c>
      <c r="E8443" t="s">
        <v>83</v>
      </c>
    </row>
    <row r="8444" spans="1:5" x14ac:dyDescent="0.25">
      <c r="A8444" t="str">
        <f>HYPERLINK("https://www.773grp.com/globalSearch/TM124BBK32-80/page-1", "TM124BBK32-80")</f>
        <v>TM124BBK32-80</v>
      </c>
      <c r="B8444" s="3" t="s">
        <v>90</v>
      </c>
      <c r="C8444" s="5">
        <v>63</v>
      </c>
      <c r="D8444" s="6">
        <v>125.46</v>
      </c>
      <c r="E8444" t="s">
        <v>83</v>
      </c>
    </row>
    <row r="8445" spans="1:5" x14ac:dyDescent="0.25">
      <c r="A8445" t="str">
        <f>HYPERLINK("https://www.773grp.com/globalSearch/TM124BBK32S-80/page-1", "TM124BBK32S-80")</f>
        <v>TM124BBK32S-80</v>
      </c>
      <c r="B8445" s="3" t="s">
        <v>90</v>
      </c>
      <c r="C8445" s="5">
        <v>296</v>
      </c>
      <c r="D8445" s="6">
        <v>125.46</v>
      </c>
      <c r="E8445" t="s">
        <v>83</v>
      </c>
    </row>
    <row r="8446" spans="1:5" x14ac:dyDescent="0.25">
      <c r="A8446" t="str">
        <f>HYPERLINK("https://www.773grp.com/globalSearch/TM4100GAD8-80/page-1", "TM4100GAD8-80")</f>
        <v>TM4100GAD8-80</v>
      </c>
      <c r="B8446" s="3" t="s">
        <v>90</v>
      </c>
      <c r="C8446" s="5">
        <v>93</v>
      </c>
      <c r="D8446" s="6">
        <v>129.80000000000001</v>
      </c>
      <c r="E8446" t="s">
        <v>83</v>
      </c>
    </row>
    <row r="8447" spans="1:5" x14ac:dyDescent="0.25">
      <c r="A8447" t="str">
        <f>HYPERLINK("https://www.773grp.com/globalSearch/TM4100EAD9-80/page-1", "TM4100EAD9-80")</f>
        <v>TM4100EAD9-80</v>
      </c>
      <c r="B8447" s="3" t="str">
        <f>HYPERLINK("https://www.773grp.com/manufacturer/texas-instruments?pageNo=119", "Texas Instruments")</f>
        <v>Texas Instruments</v>
      </c>
      <c r="C8447" s="5">
        <v>199</v>
      </c>
      <c r="D8447" s="6">
        <v>146.03</v>
      </c>
      <c r="E8447" t="s">
        <v>83</v>
      </c>
    </row>
    <row r="8448" spans="1:5" x14ac:dyDescent="0.25">
      <c r="A8448" t="str">
        <f>HYPERLINK("https://www.773grp.com/globalSearch/SMJ44400-10HMM/page-1", "SMJ44400-10HMM")</f>
        <v>SMJ44400-10HMM</v>
      </c>
      <c r="B8448" s="3" t="str">
        <f>HYPERLINK("https://www.773grp.com/manufacturer/texas-instruments?pageNo=406", "Texas Instruments")</f>
        <v>Texas Instruments</v>
      </c>
      <c r="C8448" s="5">
        <v>987</v>
      </c>
      <c r="D8448" s="6">
        <v>193.35</v>
      </c>
      <c r="E8448" t="s">
        <v>83</v>
      </c>
    </row>
    <row r="8449" spans="1:5" x14ac:dyDescent="0.25">
      <c r="A8449" t="str">
        <f>HYPERLINK("https://www.773grp.com/globalSearch/TM248NBK36R-80/page-1", "TM248NBK36R-80")</f>
        <v>TM248NBK36R-80</v>
      </c>
      <c r="B8449" s="3" t="str">
        <f>HYPERLINK("https://www.773grp.com/manufacturer/texas-instruments?pageNo=665", "Texas Instruments")</f>
        <v>Texas Instruments</v>
      </c>
      <c r="C8449" s="5">
        <v>49</v>
      </c>
      <c r="D8449" s="6">
        <v>253.13</v>
      </c>
      <c r="E8449" t="s">
        <v>83</v>
      </c>
    </row>
    <row r="8450" spans="1:5" x14ac:dyDescent="0.25">
      <c r="A8450" t="str">
        <f>HYPERLINK("https://www.773grp.com/globalSearch/SMJ44400-80HMM/page-1", "SMJ44400-80HMM")</f>
        <v>SMJ44400-80HMM</v>
      </c>
      <c r="B8450" s="3" t="str">
        <f>HYPERLINK("https://www.773grp.com/manufacturer/texas-instruments?pageNo=919", "Texas Instruments")</f>
        <v>Texas Instruments</v>
      </c>
      <c r="C8450" s="5">
        <v>432</v>
      </c>
      <c r="D8450" s="6">
        <v>278.44</v>
      </c>
      <c r="E8450" t="s">
        <v>83</v>
      </c>
    </row>
    <row r="8451" spans="1:5" x14ac:dyDescent="0.25">
      <c r="A8451" t="str">
        <f>HYPERLINK("https://www.773grp.com/globalSearch/CSD16325Q5C/page-1", "CSD16325Q5C")</f>
        <v>CSD16325Q5C</v>
      </c>
      <c r="B8451" s="3" t="s">
        <v>90</v>
      </c>
      <c r="C8451" s="5">
        <v>4600</v>
      </c>
      <c r="D8451" s="6">
        <v>4.49</v>
      </c>
      <c r="E8451" t="s">
        <v>81</v>
      </c>
    </row>
    <row r="8452" spans="1:5" x14ac:dyDescent="0.25">
      <c r="A8452" t="str">
        <f>HYPERLINK("https://www.773grp.com/globalSearch/CSD16401Q5/page-1", "CSD16401Q5")</f>
        <v>CSD16401Q5</v>
      </c>
      <c r="B8452" s="3" t="str">
        <f>HYPERLINK("https://www.773grp.com/manufacturer/texas-instruments?pageNo=477", "Texas Instruments")</f>
        <v>Texas Instruments</v>
      </c>
      <c r="C8452" s="5">
        <v>2500</v>
      </c>
      <c r="D8452" s="6">
        <v>5.01</v>
      </c>
      <c r="E8452" t="s">
        <v>81</v>
      </c>
    </row>
    <row r="8453" spans="1:5" x14ac:dyDescent="0.25">
      <c r="A8453" t="str">
        <f>HYPERLINK("https://www.773grp.com/globalSearch/CSD17312Q5/page-1", "CSD17312Q5")</f>
        <v>CSD17312Q5</v>
      </c>
      <c r="B8453" s="3" t="str">
        <f>HYPERLINK("https://www.773grp.com/manufacturer/texas-instruments?pageNo=478", "Texas Instruments")</f>
        <v>Texas Instruments</v>
      </c>
      <c r="C8453" s="5">
        <v>495</v>
      </c>
      <c r="D8453" s="6">
        <v>5.01</v>
      </c>
      <c r="E8453" t="s">
        <v>81</v>
      </c>
    </row>
    <row r="8454" spans="1:5" x14ac:dyDescent="0.25">
      <c r="A8454" t="str">
        <f>HYPERLINK("https://www.773grp.com/globalSearch/TPIC5322LD/page-1", "TPIC5322LD")</f>
        <v>TPIC5322LD</v>
      </c>
      <c r="B8454" s="3" t="str">
        <f>HYPERLINK("https://www.773grp.com/manufacturer/texas-instruments?pageNo=809", "Texas Instruments")</f>
        <v>Texas Instruments</v>
      </c>
      <c r="C8454" s="5">
        <v>19</v>
      </c>
      <c r="D8454" s="6">
        <v>5.0599999999999996</v>
      </c>
      <c r="E8454" t="s">
        <v>81</v>
      </c>
    </row>
    <row r="8455" spans="1:5" x14ac:dyDescent="0.25">
      <c r="A8455" t="str">
        <f>HYPERLINK("https://www.773grp.com/globalSearch/TPIC5302D/page-1", "TPIC5302D")</f>
        <v>TPIC5302D</v>
      </c>
      <c r="B8455" s="3" t="s">
        <v>90</v>
      </c>
      <c r="C8455" s="5">
        <v>969</v>
      </c>
      <c r="D8455" s="6">
        <v>5.0599999999999996</v>
      </c>
      <c r="E8455" t="s">
        <v>81</v>
      </c>
    </row>
    <row r="8456" spans="1:5" x14ac:dyDescent="0.25">
      <c r="A8456" t="str">
        <f>HYPERLINK("https://www.773grp.com/globalSearch/TPIC5423LDW/page-1", "TPIC5423LDW")</f>
        <v>TPIC5423LDW</v>
      </c>
      <c r="B8456" s="3" t="s">
        <v>90</v>
      </c>
      <c r="C8456" s="5">
        <v>5734</v>
      </c>
      <c r="D8456" s="6">
        <v>5.4</v>
      </c>
      <c r="E8456" t="s">
        <v>81</v>
      </c>
    </row>
    <row r="8457" spans="1:5" x14ac:dyDescent="0.25">
      <c r="A8457" t="str">
        <f>HYPERLINK("https://www.773grp.com/globalSearch/TPIC2202KC/page-1", "TPIC2202KC")</f>
        <v>TPIC2202KC</v>
      </c>
      <c r="B8457" s="3" t="s">
        <v>90</v>
      </c>
      <c r="C8457" s="5">
        <v>5494</v>
      </c>
      <c r="D8457" s="6">
        <v>5.63</v>
      </c>
      <c r="E8457" t="s">
        <v>81</v>
      </c>
    </row>
    <row r="8458" spans="1:5" x14ac:dyDescent="0.25">
      <c r="A8458" t="str">
        <f>HYPERLINK("https://www.773grp.com/globalSearch/TPIC5421LDW/page-1", "TPIC5421LDW")</f>
        <v>TPIC5421LDW</v>
      </c>
      <c r="B8458" s="3" t="s">
        <v>90</v>
      </c>
      <c r="C8458" s="5">
        <v>150</v>
      </c>
      <c r="D8458" s="6">
        <v>5.79</v>
      </c>
      <c r="E8458" t="s">
        <v>81</v>
      </c>
    </row>
    <row r="8459" spans="1:5" x14ac:dyDescent="0.25">
      <c r="A8459" t="str">
        <f>HYPERLINK("https://www.773grp.com/globalSearch/TPIC5403DW/page-1", "TPIC5403DW")</f>
        <v>TPIC5403DW</v>
      </c>
      <c r="B8459" s="3" t="s">
        <v>90</v>
      </c>
      <c r="C8459" s="5">
        <v>778</v>
      </c>
      <c r="D8459" s="6">
        <v>6.08</v>
      </c>
      <c r="E8459" t="s">
        <v>81</v>
      </c>
    </row>
    <row r="8460" spans="1:5" x14ac:dyDescent="0.25">
      <c r="A8460" t="str">
        <f>HYPERLINK("https://www.773grp.com/globalSearch/TPIC2401KTA/page-1", "TPIC2401KTA")</f>
        <v>TPIC2401KTA</v>
      </c>
      <c r="B8460" s="3" t="str">
        <f>HYPERLINK("https://www.773grp.com/manufacturer/texas-instruments?pageNo=130", "Texas Instruments")</f>
        <v>Texas Instruments</v>
      </c>
      <c r="C8460" s="5">
        <v>1528</v>
      </c>
      <c r="D8460" s="6">
        <v>6.46</v>
      </c>
      <c r="E8460" t="s">
        <v>81</v>
      </c>
    </row>
    <row r="8461" spans="1:5" x14ac:dyDescent="0.25">
      <c r="A8461" t="str">
        <f>HYPERLINK("https://www.773grp.com/globalSearch/TPIC5424LDW/page-1", "TPIC5424LDW")</f>
        <v>TPIC5424LDW</v>
      </c>
      <c r="B8461" s="3" t="s">
        <v>90</v>
      </c>
      <c r="C8461" s="5">
        <v>600</v>
      </c>
      <c r="D8461" s="6">
        <v>7.88</v>
      </c>
      <c r="E8461" t="s">
        <v>81</v>
      </c>
    </row>
    <row r="8462" spans="1:5" x14ac:dyDescent="0.25">
      <c r="A8462" t="str">
        <f>HYPERLINK("https://www.773grp.com/globalSearch/TPIC5621LDW/page-1", "TPIC5621LDW")</f>
        <v>TPIC5621LDW</v>
      </c>
      <c r="B8462" s="3" t="s">
        <v>90</v>
      </c>
      <c r="C8462" s="5">
        <v>290</v>
      </c>
      <c r="D8462" s="6">
        <v>7.88</v>
      </c>
      <c r="E8462" t="s">
        <v>81</v>
      </c>
    </row>
    <row r="8463" spans="1:5" x14ac:dyDescent="0.25">
      <c r="A8463" t="str">
        <f>HYPERLINK("https://www.773grp.com/globalSearch/TPIC5421LNE/page-1", "TPIC5421LNE")</f>
        <v>TPIC5421LNE</v>
      </c>
      <c r="B8463" s="3" t="s">
        <v>90</v>
      </c>
      <c r="C8463" s="5">
        <v>7214</v>
      </c>
      <c r="D8463" s="6">
        <v>9.41</v>
      </c>
      <c r="E8463" t="s">
        <v>81</v>
      </c>
    </row>
    <row r="8464" spans="1:5" x14ac:dyDescent="0.25">
      <c r="A8464" t="str">
        <f>HYPERLINK("https://www.773grp.com/globalSearch/TPIC1501ADWR/page-1", "TPIC1501ADWR")</f>
        <v>TPIC1501ADWR</v>
      </c>
      <c r="B8464" s="3" t="s">
        <v>90</v>
      </c>
      <c r="C8464" s="5">
        <v>18000</v>
      </c>
      <c r="D8464" s="6">
        <v>9.74</v>
      </c>
      <c r="E8464" t="s">
        <v>81</v>
      </c>
    </row>
    <row r="8465" spans="1:5" x14ac:dyDescent="0.25">
      <c r="A8465" t="str">
        <f>HYPERLINK("https://www.773grp.com/globalSearch/TPIC1301DW/page-1", "TPIC1301DW")</f>
        <v>TPIC1301DW</v>
      </c>
      <c r="B8465" s="3" t="str">
        <f>HYPERLINK("https://www.773grp.com/manufacturer/texas-instruments?pageNo=312", "Texas Instruments")</f>
        <v>Texas Instruments</v>
      </c>
      <c r="C8465" s="5">
        <v>59</v>
      </c>
      <c r="D8465" s="6">
        <v>12.66</v>
      </c>
      <c r="E8465" t="s">
        <v>81</v>
      </c>
    </row>
    <row r="8466" spans="1:5" x14ac:dyDescent="0.25">
      <c r="A8466" t="str">
        <f>HYPERLINK("https://www.773grp.com/globalSearch/TPIC3302D/page-1", "TPIC3302D")</f>
        <v>TPIC3302D</v>
      </c>
      <c r="B8466" s="3" t="str">
        <f>HYPERLINK("https://www.773grp.com/manufacturer/texas-instruments?pageNo=409", "Texas Instruments")</f>
        <v>Texas Instruments</v>
      </c>
      <c r="C8466" s="5">
        <v>1025</v>
      </c>
      <c r="D8466" s="6">
        <v>3.63</v>
      </c>
      <c r="E8466" t="s">
        <v>82</v>
      </c>
    </row>
    <row r="8467" spans="1:5" x14ac:dyDescent="0.25">
      <c r="A8467" t="str">
        <f>HYPERLINK("https://www.773grp.com/globalSearch/TPS1101DR/page-1", "TPS1101DR")</f>
        <v>TPS1101DR</v>
      </c>
      <c r="B8467" s="3" t="s">
        <v>90</v>
      </c>
      <c r="C8467" s="5">
        <v>2500</v>
      </c>
      <c r="D8467" s="6">
        <v>4.16</v>
      </c>
      <c r="E8467" t="s">
        <v>82</v>
      </c>
    </row>
    <row r="8468" spans="1:5" x14ac:dyDescent="0.25">
      <c r="A8468" t="str">
        <f>HYPERLINK("https://www.773grp.com/globalSearch/TPS1101PWR/page-1", "TPS1101PWR")</f>
        <v>TPS1101PWR</v>
      </c>
      <c r="B8468" s="3" t="s">
        <v>90</v>
      </c>
      <c r="C8468" s="5">
        <v>3000</v>
      </c>
      <c r="D8468" s="6">
        <v>4.16</v>
      </c>
      <c r="E8468" t="s">
        <v>82</v>
      </c>
    </row>
    <row r="8469" spans="1:5" x14ac:dyDescent="0.25">
      <c r="A8469" t="str">
        <f>HYPERLINK("https://www.773grp.com/globalSearch/TPS1120D/page-1", "TPS1120D")</f>
        <v>TPS1120D</v>
      </c>
      <c r="B8469" s="3" t="s">
        <v>90</v>
      </c>
      <c r="C8469" s="5">
        <v>2856</v>
      </c>
      <c r="D8469" s="6">
        <v>4.6399999999999997</v>
      </c>
      <c r="E8469" t="s">
        <v>82</v>
      </c>
    </row>
    <row r="8470" spans="1:5" x14ac:dyDescent="0.25">
      <c r="A8470" t="str">
        <f>HYPERLINK("https://www.773grp.com/globalSearch/TPIC2322LD/page-1", "TPIC2322LD")</f>
        <v>TPIC2322LD</v>
      </c>
      <c r="B8470" s="3" t="s">
        <v>90</v>
      </c>
      <c r="C8470" s="5">
        <v>330</v>
      </c>
      <c r="D8470" s="6">
        <v>4.2300000000000004</v>
      </c>
      <c r="E8470" t="s">
        <v>82</v>
      </c>
    </row>
    <row r="8471" spans="1:5" x14ac:dyDescent="0.25">
      <c r="A8471" t="str">
        <f>HYPERLINK("https://www.773grp.com/globalSearch/TPS1101D/page-1", "TPS1101D")</f>
        <v>TPS1101D</v>
      </c>
      <c r="B8471" s="3" t="str">
        <f>HYPERLINK("https://www.773grp.com/manufacturer/texas-instruments?pageNo=288", "Texas Instruments")</f>
        <v>Texas Instruments</v>
      </c>
      <c r="C8471" s="5">
        <v>8020</v>
      </c>
      <c r="D8471" s="6">
        <v>4.96</v>
      </c>
      <c r="E8471" t="s">
        <v>82</v>
      </c>
    </row>
    <row r="8472" spans="1:5" x14ac:dyDescent="0.25">
      <c r="A8472" t="str">
        <f>HYPERLINK("https://www.773grp.com/globalSearch/TPIC5223LD/page-1", "TPIC5223LD")</f>
        <v>TPIC5223LD</v>
      </c>
      <c r="B8472" s="3" t="str">
        <f>HYPERLINK("https://www.773grp.com/manufacturer/texas-instruments?pageNo=808", "Texas Instruments")</f>
        <v>Texas Instruments</v>
      </c>
      <c r="C8472" s="5">
        <v>1278</v>
      </c>
      <c r="D8472" s="6">
        <v>5.0599999999999996</v>
      </c>
      <c r="E8472" t="s">
        <v>82</v>
      </c>
    </row>
    <row r="8473" spans="1:5" x14ac:dyDescent="0.25">
      <c r="A8473" t="str">
        <f>HYPERLINK("https://www.773grp.com/globalSearch/TPIC1502DW/page-1", "TPIC1502DW")</f>
        <v>TPIC1502DW</v>
      </c>
      <c r="B8473" s="3" t="s">
        <v>90</v>
      </c>
      <c r="C8473" s="5">
        <v>637</v>
      </c>
      <c r="D8473" s="6">
        <v>4.76</v>
      </c>
      <c r="E8473" t="s">
        <v>82</v>
      </c>
    </row>
    <row r="8474" spans="1:5" x14ac:dyDescent="0.25">
      <c r="A8474" t="str">
        <f>HYPERLINK("https://www.773grp.com/globalSearch/TPIC1502DWR/page-1", "TPIC1502DWR")</f>
        <v>TPIC1502DWR</v>
      </c>
      <c r="B8474" s="3" t="s">
        <v>90</v>
      </c>
      <c r="C8474" s="5">
        <v>38000</v>
      </c>
      <c r="D8474" s="6">
        <v>4.8099999999999996</v>
      </c>
      <c r="E8474" t="s">
        <v>82</v>
      </c>
    </row>
    <row r="8475" spans="1:5" x14ac:dyDescent="0.25">
      <c r="A8475" t="str">
        <f>HYPERLINK("https://www.773grp.com/globalSearch/TPIC1505DWR/page-1", "TPIC1505DWR")</f>
        <v>TPIC1505DWR</v>
      </c>
      <c r="B8475" s="3" t="s">
        <v>90</v>
      </c>
      <c r="C8475" s="5">
        <v>31000</v>
      </c>
      <c r="D8475" s="6">
        <v>6.11</v>
      </c>
      <c r="E8475" t="s">
        <v>82</v>
      </c>
    </row>
    <row r="8476" spans="1:5" x14ac:dyDescent="0.25">
      <c r="A8476" t="str">
        <f>HYPERLINK("https://www.773grp.com/globalSearch/TPIC1504DW/page-1", "TPIC1504DW")</f>
        <v>TPIC1504DW</v>
      </c>
      <c r="B8476" s="3" t="s">
        <v>90</v>
      </c>
      <c r="C8476" s="5">
        <v>100</v>
      </c>
      <c r="D8476" s="6">
        <v>9.4499999999999993</v>
      </c>
      <c r="E8476" t="s">
        <v>82</v>
      </c>
    </row>
    <row r="8477" spans="1:5" x14ac:dyDescent="0.25">
      <c r="A8477" t="str">
        <f>HYPERLINK("https://www.773grp.com/globalSearch/TPIC1533DW/page-1", "TPIC1533DW")</f>
        <v>TPIC1533DW</v>
      </c>
      <c r="B8477" s="3" t="s">
        <v>90</v>
      </c>
      <c r="C8477" s="5">
        <v>1547</v>
      </c>
      <c r="D8477" s="6">
        <v>9.65</v>
      </c>
      <c r="E8477" t="s">
        <v>82</v>
      </c>
    </row>
    <row r="8478" spans="1:5" x14ac:dyDescent="0.25">
      <c r="A8478" t="str">
        <f>HYPERLINK("https://www.773grp.com/globalSearch/TPIC1533DWR/page-1", "TPIC1533DWR")</f>
        <v>TPIC1533DWR</v>
      </c>
      <c r="B8478" s="3" t="s">
        <v>90</v>
      </c>
      <c r="C8478" s="5">
        <v>5000</v>
      </c>
      <c r="D8478" s="6">
        <v>9.74</v>
      </c>
      <c r="E8478" t="s">
        <v>82</v>
      </c>
    </row>
    <row r="8479" spans="1:5" x14ac:dyDescent="0.25">
      <c r="A8479" t="str">
        <f>HYPERLINK("https://www.773grp.com/globalSearch/74ACT11074D/page-1", "74ACT11074D")</f>
        <v>74ACT11074D</v>
      </c>
      <c r="B8479" s="3" t="str">
        <f>HYPERLINK("https://www.773grp.com/manufacturer/texas-instruments?pageNo=270", "Texas Instruments")</f>
        <v>Texas Instruments</v>
      </c>
      <c r="C8479" s="5">
        <v>15516</v>
      </c>
      <c r="D8479" s="6">
        <v>3.63</v>
      </c>
      <c r="E8479" t="s">
        <v>31</v>
      </c>
    </row>
    <row r="8480" spans="1:5" x14ac:dyDescent="0.25">
      <c r="A8480" t="str">
        <f>HYPERLINK("https://www.773grp.com/globalSearch/SN74S175N/page-1", "SN74S175N")</f>
        <v>SN74S175N</v>
      </c>
      <c r="B8480" s="3" t="str">
        <f>HYPERLINK("https://www.773grp.com/manufacturer/texas-instruments?pageNo=372", "Texas Instruments")</f>
        <v>Texas Instruments</v>
      </c>
      <c r="C8480" s="5">
        <v>17670</v>
      </c>
      <c r="D8480" s="6">
        <v>3.63</v>
      </c>
      <c r="E8480" t="s">
        <v>31</v>
      </c>
    </row>
    <row r="8481" spans="1:5" x14ac:dyDescent="0.25">
      <c r="A8481" t="str">
        <f>HYPERLINK("https://www.773grp.com/globalSearch/SN54ALS113AJ/page-1", "SN54ALS113AJ")</f>
        <v>SN54ALS113AJ</v>
      </c>
      <c r="B8481" s="3" t="str">
        <f>HYPERLINK("https://www.773grp.com/manufacturer/texas-instruments?pageNo=539", "Texas Instruments")</f>
        <v>Texas Instruments</v>
      </c>
      <c r="C8481" s="5">
        <v>1</v>
      </c>
      <c r="D8481" s="6">
        <v>3.66</v>
      </c>
      <c r="E8481" t="s">
        <v>31</v>
      </c>
    </row>
    <row r="8482" spans="1:5" x14ac:dyDescent="0.25">
      <c r="A8482" t="str">
        <f>HYPERLINK("https://www.773grp.com/globalSearch/SN54ALS114AJ/page-1", "SN54ALS114AJ")</f>
        <v>SN54ALS114AJ</v>
      </c>
      <c r="B8482" s="3" t="str">
        <f>HYPERLINK("https://www.773grp.com/manufacturer/texas-instruments?pageNo=540", "Texas Instruments")</f>
        <v>Texas Instruments</v>
      </c>
      <c r="C8482" s="5">
        <v>13</v>
      </c>
      <c r="D8482" s="6">
        <v>3.66</v>
      </c>
      <c r="E8482" t="s">
        <v>31</v>
      </c>
    </row>
    <row r="8483" spans="1:5" x14ac:dyDescent="0.25">
      <c r="A8483" t="str">
        <f>HYPERLINK("https://www.773grp.com/globalSearch/CY74FCT399ATSOCT/page-1", "CY74FCT399ATSOCT")</f>
        <v>CY74FCT399ATSOCT</v>
      </c>
      <c r="B8483" s="3" t="s">
        <v>90</v>
      </c>
      <c r="C8483" s="5">
        <v>6000</v>
      </c>
      <c r="D8483" s="6">
        <v>4.16</v>
      </c>
      <c r="E8483" t="s">
        <v>31</v>
      </c>
    </row>
    <row r="8484" spans="1:5" x14ac:dyDescent="0.25">
      <c r="A8484" t="str">
        <f>HYPERLINK("https://www.773grp.com/globalSearch/CY74FCT399CTSOCT/page-1", "CY74FCT399CTSOCT")</f>
        <v>CY74FCT399CTSOCT</v>
      </c>
      <c r="B8484" s="3" t="s">
        <v>90</v>
      </c>
      <c r="C8484" s="5">
        <v>8000</v>
      </c>
      <c r="D8484" s="6">
        <v>4.16</v>
      </c>
      <c r="E8484" t="s">
        <v>31</v>
      </c>
    </row>
    <row r="8485" spans="1:5" x14ac:dyDescent="0.25">
      <c r="A8485" t="str">
        <f>HYPERLINK("https://www.773grp.com/globalSearch/SN74S74N/page-1", "SN74S74N")</f>
        <v>SN74S74N</v>
      </c>
      <c r="B8485" s="3" t="s">
        <v>90</v>
      </c>
      <c r="C8485" s="5">
        <v>12197</v>
      </c>
      <c r="D8485" s="6">
        <v>4.16</v>
      </c>
      <c r="E8485" t="s">
        <v>31</v>
      </c>
    </row>
    <row r="8486" spans="1:5" x14ac:dyDescent="0.25">
      <c r="A8486" t="str">
        <f>HYPERLINK("https://www.773grp.com/globalSearch/SN74LS399D/page-1", "SN74LS399D")</f>
        <v>SN74LS399D</v>
      </c>
      <c r="B8486" s="3" t="str">
        <f>HYPERLINK("https://www.773grp.com/manufacturer/texas-instruments?pageNo=20", "Texas Instruments")</f>
        <v>Texas Instruments</v>
      </c>
      <c r="C8486" s="5">
        <v>20782</v>
      </c>
      <c r="D8486" s="6">
        <v>4.2300000000000004</v>
      </c>
      <c r="E8486" t="s">
        <v>31</v>
      </c>
    </row>
    <row r="8487" spans="1:5" x14ac:dyDescent="0.25">
      <c r="A8487" t="str">
        <f>HYPERLINK("https://www.773grp.com/globalSearch/TPIC6B273DWR/page-1", "TPIC6B273DWR")</f>
        <v>TPIC6B273DWR</v>
      </c>
      <c r="B8487" s="3" t="str">
        <f>HYPERLINK("https://www.773grp.com/manufacturer/texas-instruments?pageNo=141", "Texas Instruments")</f>
        <v>Texas Instruments</v>
      </c>
      <c r="C8487" s="5">
        <v>2000</v>
      </c>
      <c r="D8487" s="6">
        <v>4.2300000000000004</v>
      </c>
      <c r="E8487" t="s">
        <v>31</v>
      </c>
    </row>
    <row r="8488" spans="1:5" x14ac:dyDescent="0.25">
      <c r="A8488" t="str">
        <f>HYPERLINK("https://www.773grp.com/globalSearch/SN74LS298NS/page-1", "SN74LS298NS")</f>
        <v>SN74LS298NS</v>
      </c>
      <c r="B8488" s="3" t="str">
        <f>HYPERLINK("https://www.773grp.com/manufacturer/texas-instruments?pageNo=593", "Texas Instruments")</f>
        <v>Texas Instruments</v>
      </c>
      <c r="C8488" s="5">
        <v>5200</v>
      </c>
      <c r="D8488" s="6">
        <v>3.94</v>
      </c>
      <c r="E8488" t="s">
        <v>31</v>
      </c>
    </row>
    <row r="8489" spans="1:5" x14ac:dyDescent="0.25">
      <c r="A8489" t="str">
        <f>HYPERLINK("https://www.773grp.com/globalSearch/SN74LS171D/page-1", "SN74LS171D")</f>
        <v>SN74LS171D</v>
      </c>
      <c r="B8489" s="3" t="str">
        <f>HYPERLINK("https://www.773grp.com/manufacturer/texas-instruments?pageNo=736", "Texas Instruments")</f>
        <v>Texas Instruments</v>
      </c>
      <c r="C8489" s="5">
        <v>1637</v>
      </c>
      <c r="D8489" s="6">
        <v>3.96</v>
      </c>
      <c r="E8489" t="s">
        <v>31</v>
      </c>
    </row>
    <row r="8490" spans="1:5" x14ac:dyDescent="0.25">
      <c r="A8490" t="str">
        <f>HYPERLINK("https://www.773grp.com/globalSearch/SN74LS171N/page-1", "SN74LS171N")</f>
        <v>SN74LS171N</v>
      </c>
      <c r="B8490" s="3" t="str">
        <f>HYPERLINK("https://www.773grp.com/manufacturer/texas-instruments?pageNo=737", "Texas Instruments")</f>
        <v>Texas Instruments</v>
      </c>
      <c r="C8490" s="5">
        <v>2076</v>
      </c>
      <c r="D8490" s="6">
        <v>3.96</v>
      </c>
      <c r="E8490" t="s">
        <v>31</v>
      </c>
    </row>
    <row r="8491" spans="1:5" x14ac:dyDescent="0.25">
      <c r="A8491" t="str">
        <f>HYPERLINK("https://www.773grp.com/globalSearch/SN74AS109AN/page-1", "SN74AS109AN")</f>
        <v>SN74AS109AN</v>
      </c>
      <c r="B8491" s="3" t="str">
        <f>HYPERLINK("https://www.773grp.com/manufacturer/texas-instruments?pageNo=952", "Texas Instruments")</f>
        <v>Texas Instruments</v>
      </c>
      <c r="C8491" s="5">
        <v>46335</v>
      </c>
      <c r="D8491" s="6">
        <v>4.01</v>
      </c>
      <c r="E8491" t="s">
        <v>31</v>
      </c>
    </row>
    <row r="8492" spans="1:5" x14ac:dyDescent="0.25">
      <c r="A8492" t="str">
        <f>HYPERLINK("https://www.773grp.com/globalSearch/SN74AS174DR/page-1", "SN74AS174DR")</f>
        <v>SN74AS174DR</v>
      </c>
      <c r="B8492" s="3" t="str">
        <f>HYPERLINK("https://www.773grp.com/manufacturer/texas-instruments?pageNo=957", "Texas Instruments")</f>
        <v>Texas Instruments</v>
      </c>
      <c r="C8492" s="5">
        <v>2500</v>
      </c>
      <c r="D8492" s="6">
        <v>4.01</v>
      </c>
      <c r="E8492" t="s">
        <v>31</v>
      </c>
    </row>
    <row r="8493" spans="1:5" x14ac:dyDescent="0.25">
      <c r="A8493" t="str">
        <f>HYPERLINK("https://www.773grp.com/globalSearch/SN74298N/page-1", "SN74298N")</f>
        <v>SN74298N</v>
      </c>
      <c r="B8493" s="3" t="s">
        <v>90</v>
      </c>
      <c r="C8493" s="5">
        <v>357</v>
      </c>
      <c r="D8493" s="6">
        <v>4.05</v>
      </c>
      <c r="E8493" t="s">
        <v>31</v>
      </c>
    </row>
    <row r="8494" spans="1:5" x14ac:dyDescent="0.25">
      <c r="A8494" t="str">
        <f>HYPERLINK("https://www.773grp.com/globalSearch/74AC11074DR/page-1", "74AC11074DR")</f>
        <v>74AC11074DR</v>
      </c>
      <c r="B8494" s="3" t="s">
        <v>90</v>
      </c>
      <c r="C8494" s="5">
        <v>10000</v>
      </c>
      <c r="D8494" s="6">
        <v>4.54</v>
      </c>
      <c r="E8494" t="s">
        <v>31</v>
      </c>
    </row>
    <row r="8495" spans="1:5" x14ac:dyDescent="0.25">
      <c r="A8495" t="str">
        <f>HYPERLINK("https://www.773grp.com/globalSearch/74AC11074PWR/page-1", "74AC11074PWR")</f>
        <v>74AC11074PWR</v>
      </c>
      <c r="B8495" s="3" t="s">
        <v>90</v>
      </c>
      <c r="C8495" s="5">
        <v>2016</v>
      </c>
      <c r="D8495" s="6">
        <v>4.54</v>
      </c>
      <c r="E8495" t="s">
        <v>31</v>
      </c>
    </row>
    <row r="8496" spans="1:5" x14ac:dyDescent="0.25">
      <c r="A8496" t="str">
        <f>HYPERLINK("https://www.773grp.com/globalSearch/SN74LS378N/page-1", "SN74LS378N")</f>
        <v>SN74LS378N</v>
      </c>
      <c r="B8496" s="3" t="s">
        <v>90</v>
      </c>
      <c r="C8496" s="5">
        <v>1500</v>
      </c>
      <c r="D8496" s="6">
        <v>4.54</v>
      </c>
      <c r="E8496" t="s">
        <v>31</v>
      </c>
    </row>
    <row r="8497" spans="1:5" x14ac:dyDescent="0.25">
      <c r="A8497" t="str">
        <f>HYPERLINK("https://www.773grp.com/globalSearch/SN74LS73ADR/page-1", "SN74LS73ADR")</f>
        <v>SN74LS73ADR</v>
      </c>
      <c r="B8497" s="3" t="s">
        <v>90</v>
      </c>
      <c r="C8497" s="5">
        <v>12500</v>
      </c>
      <c r="D8497" s="6">
        <v>4.54</v>
      </c>
      <c r="E8497" t="s">
        <v>31</v>
      </c>
    </row>
    <row r="8498" spans="1:5" x14ac:dyDescent="0.25">
      <c r="A8498" t="str">
        <f>HYPERLINK("https://www.773grp.com/globalSearch/SN74S175NSR/page-1", "SN74S175NSR")</f>
        <v>SN74S175NSR</v>
      </c>
      <c r="B8498" s="3" t="s">
        <v>90</v>
      </c>
      <c r="C8498" s="5">
        <v>8000</v>
      </c>
      <c r="D8498" s="6">
        <v>4.59</v>
      </c>
      <c r="E8498" t="s">
        <v>31</v>
      </c>
    </row>
    <row r="8499" spans="1:5" x14ac:dyDescent="0.25">
      <c r="A8499" t="str">
        <f>HYPERLINK("https://www.773grp.com/globalSearch/SN74AS175BDR/page-1", "SN74AS175BDR")</f>
        <v>SN74AS175BDR</v>
      </c>
      <c r="B8499" s="3" t="s">
        <v>90</v>
      </c>
      <c r="C8499" s="5">
        <v>2500</v>
      </c>
      <c r="D8499" s="6">
        <v>4.1900000000000004</v>
      </c>
      <c r="E8499" t="s">
        <v>31</v>
      </c>
    </row>
    <row r="8500" spans="1:5" x14ac:dyDescent="0.25">
      <c r="A8500" t="str">
        <f>HYPERLINK("https://www.773grp.com/globalSearch/SN74AS109AD/page-1", "SN74AS109AD")</f>
        <v>SN74AS109AD</v>
      </c>
      <c r="B8500" s="3" t="s">
        <v>90</v>
      </c>
      <c r="C8500" s="5">
        <v>42890</v>
      </c>
      <c r="D8500" s="6">
        <v>4.2300000000000004</v>
      </c>
      <c r="E8500" t="s">
        <v>31</v>
      </c>
    </row>
    <row r="8501" spans="1:5" x14ac:dyDescent="0.25">
      <c r="A8501" t="str">
        <f>HYPERLINK("https://www.773grp.com/globalSearch/74AC11175DW/page-1", "74AC11175DW")</f>
        <v>74AC11175DW</v>
      </c>
      <c r="B8501" s="3" t="s">
        <v>90</v>
      </c>
      <c r="C8501" s="5">
        <v>6289</v>
      </c>
      <c r="D8501" s="6">
        <v>4.79</v>
      </c>
      <c r="E8501" t="s">
        <v>31</v>
      </c>
    </row>
    <row r="8502" spans="1:5" x14ac:dyDescent="0.25">
      <c r="A8502" t="str">
        <f>HYPERLINK("https://www.773grp.com/globalSearch/74AC11175DWR/page-1", "74AC11175DWR")</f>
        <v>74AC11175DWR</v>
      </c>
      <c r="B8502" s="3" t="s">
        <v>90</v>
      </c>
      <c r="C8502" s="5">
        <v>70000</v>
      </c>
      <c r="D8502" s="6">
        <v>4.79</v>
      </c>
      <c r="E8502" t="s">
        <v>31</v>
      </c>
    </row>
    <row r="8503" spans="1:5" x14ac:dyDescent="0.25">
      <c r="A8503" t="str">
        <f>HYPERLINK("https://www.773grp.com/globalSearch/74AC11175N/page-1", "74AC11175N")</f>
        <v>74AC11175N</v>
      </c>
      <c r="B8503" s="3" t="s">
        <v>90</v>
      </c>
      <c r="C8503" s="5">
        <v>8330</v>
      </c>
      <c r="D8503" s="6">
        <v>4.79</v>
      </c>
      <c r="E8503" t="s">
        <v>31</v>
      </c>
    </row>
    <row r="8504" spans="1:5" x14ac:dyDescent="0.25">
      <c r="A8504" t="str">
        <f>HYPERLINK("https://www.773grp.com/globalSearch/SN74ALS259DR/page-1", "SN74ALS259DR")</f>
        <v>SN74ALS259DR</v>
      </c>
      <c r="B8504" s="3" t="s">
        <v>90</v>
      </c>
      <c r="C8504" s="5">
        <v>7500</v>
      </c>
      <c r="D8504" s="6">
        <v>4.43</v>
      </c>
      <c r="E8504" t="s">
        <v>31</v>
      </c>
    </row>
    <row r="8505" spans="1:5" x14ac:dyDescent="0.25">
      <c r="A8505" t="str">
        <f>HYPERLINK("https://www.773grp.com/globalSearch/SN74LS107AN/page-1", "SN74LS107AN")</f>
        <v>SN74LS107AN</v>
      </c>
      <c r="B8505" s="3" t="str">
        <f>HYPERLINK("https://www.773grp.com/manufacturer/texas-instruments?pageNo=129", "Texas Instruments")</f>
        <v>Texas Instruments</v>
      </c>
      <c r="C8505" s="5">
        <v>16587</v>
      </c>
      <c r="D8505" s="6">
        <v>4.91</v>
      </c>
      <c r="E8505" t="s">
        <v>31</v>
      </c>
    </row>
    <row r="8506" spans="1:5" x14ac:dyDescent="0.25">
      <c r="A8506" t="str">
        <f>HYPERLINK("https://www.773grp.com/globalSearch/SN74LS107ANSR/page-1", "SN74LS107ANSR")</f>
        <v>SN74LS107ANSR</v>
      </c>
      <c r="B8506" s="3" t="str">
        <f>HYPERLINK("https://www.773grp.com/manufacturer/texas-instruments?pageNo=130", "Texas Instruments")</f>
        <v>Texas Instruments</v>
      </c>
      <c r="C8506" s="5">
        <v>6000</v>
      </c>
      <c r="D8506" s="6">
        <v>4.91</v>
      </c>
      <c r="E8506" t="s">
        <v>31</v>
      </c>
    </row>
    <row r="8507" spans="1:5" x14ac:dyDescent="0.25">
      <c r="A8507" t="str">
        <f>HYPERLINK("https://www.773grp.com/globalSearch/SN74LS378D/page-1", "SN74LS378D")</f>
        <v>SN74LS378D</v>
      </c>
      <c r="B8507" s="3" t="str">
        <f>HYPERLINK("https://www.773grp.com/manufacturer/texas-instruments?pageNo=133", "Texas Instruments")</f>
        <v>Texas Instruments</v>
      </c>
      <c r="C8507" s="5">
        <v>16255</v>
      </c>
      <c r="D8507" s="6">
        <v>4.91</v>
      </c>
      <c r="E8507" t="s">
        <v>31</v>
      </c>
    </row>
    <row r="8508" spans="1:5" x14ac:dyDescent="0.25">
      <c r="A8508" t="str">
        <f>HYPERLINK("https://www.773grp.com/globalSearch/SN74LS73AN/page-1", "SN74LS73AN")</f>
        <v>SN74LS73AN</v>
      </c>
      <c r="B8508" s="3" t="str">
        <f>HYPERLINK("https://www.773grp.com/manufacturer/texas-instruments?pageNo=137", "Texas Instruments")</f>
        <v>Texas Instruments</v>
      </c>
      <c r="C8508" s="5">
        <v>4183</v>
      </c>
      <c r="D8508" s="6">
        <v>4.91</v>
      </c>
      <c r="E8508" t="s">
        <v>31</v>
      </c>
    </row>
    <row r="8509" spans="1:5" x14ac:dyDescent="0.25">
      <c r="A8509" t="str">
        <f>HYPERLINK("https://www.773grp.com/globalSearch/SN74LS75DR/page-1", "SN74LS75DR")</f>
        <v>SN74LS75DR</v>
      </c>
      <c r="B8509" s="3" t="str">
        <f>HYPERLINK("https://www.773grp.com/manufacturer/texas-instruments?pageNo=138", "Texas Instruments")</f>
        <v>Texas Instruments</v>
      </c>
      <c r="C8509" s="5">
        <v>11500</v>
      </c>
      <c r="D8509" s="6">
        <v>4.91</v>
      </c>
      <c r="E8509" t="s">
        <v>31</v>
      </c>
    </row>
    <row r="8510" spans="1:5" x14ac:dyDescent="0.25">
      <c r="A8510" t="str">
        <f>HYPERLINK("https://www.773grp.com/globalSearch/SN74S112ANSR/page-1", "SN74S112ANSR")</f>
        <v>SN74S112ANSR</v>
      </c>
      <c r="B8510" s="3" t="str">
        <f>HYPERLINK("https://www.773grp.com/manufacturer/texas-instruments?pageNo=159", "Texas Instruments")</f>
        <v>Texas Instruments</v>
      </c>
      <c r="C8510" s="5">
        <v>10000</v>
      </c>
      <c r="D8510" s="6">
        <v>4.91</v>
      </c>
      <c r="E8510" t="s">
        <v>31</v>
      </c>
    </row>
    <row r="8511" spans="1:5" x14ac:dyDescent="0.25">
      <c r="A8511" t="str">
        <f>HYPERLINK("https://www.773grp.com/globalSearch/SN74AS109ADR/page-1", "SN74AS109ADR")</f>
        <v>SN74AS109ADR</v>
      </c>
      <c r="B8511" s="3" t="str">
        <f>HYPERLINK("https://www.773grp.com/manufacturer/texas-instruments?pageNo=276", "Texas Instruments")</f>
        <v>Texas Instruments</v>
      </c>
      <c r="C8511" s="5">
        <v>15000</v>
      </c>
      <c r="D8511" s="6">
        <v>4.96</v>
      </c>
      <c r="E8511" t="s">
        <v>31</v>
      </c>
    </row>
    <row r="8512" spans="1:5" x14ac:dyDescent="0.25">
      <c r="A8512" t="str">
        <f>HYPERLINK("https://www.773grp.com/globalSearch/TPIC6B273DW/page-1", "TPIC6B273DW")</f>
        <v>TPIC6B273DW</v>
      </c>
      <c r="B8512" s="3" t="str">
        <f>HYPERLINK("https://www.773grp.com/manufacturer/texas-instruments?pageNo=657", "Texas Instruments")</f>
        <v>Texas Instruments</v>
      </c>
      <c r="C8512" s="5">
        <v>2438</v>
      </c>
      <c r="D8512" s="6">
        <v>5.01</v>
      </c>
      <c r="E8512" t="s">
        <v>31</v>
      </c>
    </row>
    <row r="8513" spans="1:5" x14ac:dyDescent="0.25">
      <c r="A8513" t="str">
        <f>HYPERLINK("https://www.773grp.com/globalSearch/TPIC6B273N/page-1", "TPIC6B273N")</f>
        <v>TPIC6B273N</v>
      </c>
      <c r="B8513" s="3" t="str">
        <f>HYPERLINK("https://www.773grp.com/manufacturer/texas-instruments?pageNo=659", "Texas Instruments")</f>
        <v>Texas Instruments</v>
      </c>
      <c r="C8513" s="5">
        <v>32703</v>
      </c>
      <c r="D8513" s="6">
        <v>5.01</v>
      </c>
      <c r="E8513" t="s">
        <v>31</v>
      </c>
    </row>
    <row r="8514" spans="1:5" x14ac:dyDescent="0.25">
      <c r="A8514" t="str">
        <f>HYPERLINK("https://www.773grp.com/globalSearch/CY74FCT273ATQC/page-1", "CY74FCT273ATQC")</f>
        <v>CY74FCT273ATQC</v>
      </c>
      <c r="B8514" s="3" t="str">
        <f>HYPERLINK("https://www.773grp.com/manufacturer/texas-instruments?pageNo=787", "Texas Instruments")</f>
        <v>Texas Instruments</v>
      </c>
      <c r="C8514" s="5">
        <v>8965</v>
      </c>
      <c r="D8514" s="6">
        <v>5.0599999999999996</v>
      </c>
      <c r="E8514" t="s">
        <v>31</v>
      </c>
    </row>
    <row r="8515" spans="1:5" x14ac:dyDescent="0.25">
      <c r="A8515" t="str">
        <f>HYPERLINK("https://www.773grp.com/globalSearch/74ACT11273DWR/page-1", "74ACT11273DWR")</f>
        <v>74ACT11273DWR</v>
      </c>
      <c r="B8515" s="3" t="str">
        <f>HYPERLINK("https://www.773grp.com/manufacturer/texas-instruments?pageNo=959", "Texas Instruments")</f>
        <v>Texas Instruments</v>
      </c>
      <c r="C8515" s="5">
        <v>1400</v>
      </c>
      <c r="D8515" s="6">
        <v>5.1100000000000003</v>
      </c>
      <c r="E8515" t="s">
        <v>31</v>
      </c>
    </row>
    <row r="8516" spans="1:5" x14ac:dyDescent="0.25">
      <c r="A8516" t="str">
        <f>HYPERLINK("https://www.773grp.com/globalSearch/SN74ALS259N/page-1", "SN74ALS259N")</f>
        <v>SN74ALS259N</v>
      </c>
      <c r="B8516" s="3" t="s">
        <v>90</v>
      </c>
      <c r="C8516" s="5">
        <v>23329</v>
      </c>
      <c r="D8516" s="6">
        <v>5.03</v>
      </c>
      <c r="E8516" t="s">
        <v>31</v>
      </c>
    </row>
    <row r="8517" spans="1:5" x14ac:dyDescent="0.25">
      <c r="A8517" t="str">
        <f>HYPERLINK("https://www.773grp.com/globalSearch/SNJ54ALS114AJ/page-1", "SNJ54ALS114AJ")</f>
        <v>SNJ54ALS114AJ</v>
      </c>
      <c r="B8517" s="3" t="s">
        <v>90</v>
      </c>
      <c r="C8517" s="5">
        <v>258</v>
      </c>
      <c r="D8517" s="6">
        <v>5.2</v>
      </c>
      <c r="E8517" t="s">
        <v>31</v>
      </c>
    </row>
    <row r="8518" spans="1:5" x14ac:dyDescent="0.25">
      <c r="A8518" t="str">
        <f>HYPERLINK("https://www.773grp.com/globalSearch/SN74LVT273DWR/page-1", "SN74LVT273DWR")</f>
        <v>SN74LVT273DWR</v>
      </c>
      <c r="B8518" s="3" t="s">
        <v>90</v>
      </c>
      <c r="C8518" s="5">
        <v>1000</v>
      </c>
      <c r="D8518" s="6">
        <v>5.26</v>
      </c>
      <c r="E8518" t="s">
        <v>31</v>
      </c>
    </row>
    <row r="8519" spans="1:5" x14ac:dyDescent="0.25">
      <c r="A8519" t="str">
        <f>HYPERLINK("https://www.773grp.com/globalSearch/SN74ALS259D/page-1", "SN74ALS259D")</f>
        <v>SN74ALS259D</v>
      </c>
      <c r="B8519" s="3" t="s">
        <v>90</v>
      </c>
      <c r="C8519" s="5">
        <v>49485</v>
      </c>
      <c r="D8519" s="6">
        <v>5.44</v>
      </c>
      <c r="E8519" t="s">
        <v>31</v>
      </c>
    </row>
    <row r="8520" spans="1:5" x14ac:dyDescent="0.25">
      <c r="A8520" t="str">
        <f>HYPERLINK("https://www.773grp.com/globalSearch/SNJ54AS74J/page-1", "SNJ54AS74J")</f>
        <v>SNJ54AS74J</v>
      </c>
      <c r="B8520" s="3" t="s">
        <v>90</v>
      </c>
      <c r="C8520" s="5">
        <v>2009</v>
      </c>
      <c r="D8520" s="6">
        <v>5.44</v>
      </c>
      <c r="E8520" t="s">
        <v>31</v>
      </c>
    </row>
    <row r="8521" spans="1:5" x14ac:dyDescent="0.25">
      <c r="A8521" t="str">
        <f>HYPERLINK("https://www.773grp.com/globalSearch/SN74AS174N/page-1", "SN74AS174N")</f>
        <v>SN74AS174N</v>
      </c>
      <c r="B8521" s="3" t="s">
        <v>90</v>
      </c>
      <c r="C8521" s="5">
        <v>3762</v>
      </c>
      <c r="D8521" s="6">
        <v>5.83</v>
      </c>
      <c r="E8521" t="s">
        <v>31</v>
      </c>
    </row>
    <row r="8522" spans="1:5" x14ac:dyDescent="0.25">
      <c r="A8522" t="str">
        <f>HYPERLINK("https://www.773grp.com/globalSearch/SN74AS174NSR/page-1", "SN74AS174NSR")</f>
        <v>SN74AS174NSR</v>
      </c>
      <c r="B8522" s="3" t="s">
        <v>90</v>
      </c>
      <c r="C8522" s="5">
        <v>2000</v>
      </c>
      <c r="D8522" s="6">
        <v>5.83</v>
      </c>
      <c r="E8522" t="s">
        <v>31</v>
      </c>
    </row>
    <row r="8523" spans="1:5" x14ac:dyDescent="0.25">
      <c r="A8523" t="str">
        <f>HYPERLINK("https://www.773grp.com/globalSearch/SN74SSTV16857DGGR/page-1", "SN74SSTV16857DGGR")</f>
        <v>SN74SSTV16857DGGR</v>
      </c>
      <c r="B8523" s="3" t="s">
        <v>90</v>
      </c>
      <c r="C8523" s="5">
        <v>74000</v>
      </c>
      <c r="D8523" s="6">
        <v>5.91</v>
      </c>
      <c r="E8523" t="s">
        <v>31</v>
      </c>
    </row>
    <row r="8524" spans="1:5" x14ac:dyDescent="0.25">
      <c r="A8524" t="str">
        <f>HYPERLINK("https://www.773grp.com/globalSearch/SN74SSTV16857DGVR/page-1", "SN74SSTV16857DGVR")</f>
        <v>SN74SSTV16857DGVR</v>
      </c>
      <c r="B8524" s="3" t="s">
        <v>90</v>
      </c>
      <c r="C8524" s="5">
        <v>26000</v>
      </c>
      <c r="D8524" s="6">
        <v>5.91</v>
      </c>
      <c r="E8524" t="s">
        <v>31</v>
      </c>
    </row>
    <row r="8525" spans="1:5" x14ac:dyDescent="0.25">
      <c r="A8525" t="str">
        <f>HYPERLINK("https://www.773grp.com/globalSearch/CD54HC74F/page-1", "CD54HC74F")</f>
        <v>CD54HC74F</v>
      </c>
      <c r="B8525" s="3" t="s">
        <v>90</v>
      </c>
      <c r="C8525" s="5">
        <v>47</v>
      </c>
      <c r="D8525" s="6">
        <v>5.96</v>
      </c>
      <c r="E8525" t="s">
        <v>31</v>
      </c>
    </row>
    <row r="8526" spans="1:5" x14ac:dyDescent="0.25">
      <c r="A8526" t="str">
        <f>HYPERLINK("https://www.773grp.com/globalSearch/SN74AS298DR/page-1", "SN74AS298DR")</f>
        <v>SN74AS298DR</v>
      </c>
      <c r="B8526" s="3" t="s">
        <v>90</v>
      </c>
      <c r="C8526" s="5">
        <v>2500</v>
      </c>
      <c r="D8526" s="6">
        <v>5.96</v>
      </c>
      <c r="E8526" t="s">
        <v>31</v>
      </c>
    </row>
    <row r="8527" spans="1:5" x14ac:dyDescent="0.25">
      <c r="A8527" t="str">
        <f>HYPERLINK("https://www.773grp.com/globalSearch/SN74AS175BN/page-1", "SN74AS175BN")</f>
        <v>SN74AS175BN</v>
      </c>
      <c r="B8527" s="3" t="s">
        <v>90</v>
      </c>
      <c r="C8527" s="5">
        <v>4057</v>
      </c>
      <c r="D8527" s="6">
        <v>6.03</v>
      </c>
      <c r="E8527" t="s">
        <v>31</v>
      </c>
    </row>
    <row r="8528" spans="1:5" x14ac:dyDescent="0.25">
      <c r="A8528" t="str">
        <f>HYPERLINK("https://www.773grp.com/globalSearch/SN54ALS109AJ/page-1", "SN54ALS109AJ")</f>
        <v>SN54ALS109AJ</v>
      </c>
      <c r="B8528" s="3" t="s">
        <v>90</v>
      </c>
      <c r="C8528" s="5">
        <v>346</v>
      </c>
      <c r="D8528" s="6">
        <v>6.33</v>
      </c>
      <c r="E8528" t="s">
        <v>31</v>
      </c>
    </row>
    <row r="8529" spans="1:5" x14ac:dyDescent="0.25">
      <c r="A8529" t="str">
        <f>HYPERLINK("https://www.773grp.com/globalSearch/SN54F74J/page-1", "SN54F74J")</f>
        <v>SN54F74J</v>
      </c>
      <c r="B8529" s="3" t="s">
        <v>90</v>
      </c>
      <c r="C8529" s="5">
        <v>725</v>
      </c>
      <c r="D8529" s="6">
        <v>6.41</v>
      </c>
      <c r="E8529" t="s">
        <v>31</v>
      </c>
    </row>
    <row r="8530" spans="1:5" x14ac:dyDescent="0.25">
      <c r="A8530" t="str">
        <f>HYPERLINK("https://www.773grp.com/globalSearch/SN74AS174D/page-1", "SN74AS174D")</f>
        <v>SN74AS174D</v>
      </c>
      <c r="B8530" s="3" t="str">
        <f>HYPERLINK("https://www.773grp.com/manufacturer/texas-instruments?pageNo=6", "Texas Instruments")</f>
        <v>Texas Instruments</v>
      </c>
      <c r="C8530" s="5">
        <v>5880</v>
      </c>
      <c r="D8530" s="6">
        <v>6.45</v>
      </c>
      <c r="E8530" t="s">
        <v>31</v>
      </c>
    </row>
    <row r="8531" spans="1:5" x14ac:dyDescent="0.25">
      <c r="A8531" t="str">
        <f>HYPERLINK("https://www.773grp.com/globalSearch/SN74AS175BD/page-1", "SN74AS175BD")</f>
        <v>SN74AS175BD</v>
      </c>
      <c r="B8531" s="3" t="str">
        <f>HYPERLINK("https://www.773grp.com/manufacturer/texas-instruments?pageNo=378", "Texas Instruments")</f>
        <v>Texas Instruments</v>
      </c>
      <c r="C8531" s="5">
        <v>32651</v>
      </c>
      <c r="D8531" s="6">
        <v>6.64</v>
      </c>
      <c r="E8531" t="s">
        <v>31</v>
      </c>
    </row>
    <row r="8532" spans="1:5" x14ac:dyDescent="0.25">
      <c r="A8532" t="str">
        <f>HYPERLINK("https://www.773grp.com/globalSearch/5962-9686001QCA/page-1", "5962-9686001QCA")</f>
        <v>5962-9686001QCA</v>
      </c>
      <c r="B8532" s="3" t="str">
        <f>HYPERLINK("https://www.773grp.com/manufacturer/texas-instruments?pageNo=634", "Texas Instruments")</f>
        <v>Texas Instruments</v>
      </c>
      <c r="C8532" s="5">
        <v>138</v>
      </c>
      <c r="D8532" s="6">
        <v>6.89</v>
      </c>
      <c r="E8532" t="s">
        <v>31</v>
      </c>
    </row>
    <row r="8533" spans="1:5" x14ac:dyDescent="0.25">
      <c r="A8533" t="str">
        <f>HYPERLINK("https://www.773grp.com/globalSearch/SN74S174N/page-1", "SN74S174N")</f>
        <v>SN74S174N</v>
      </c>
      <c r="B8533" s="3" t="str">
        <f>HYPERLINK("https://www.773grp.com/manufacturer/texas-instruments?pageNo=739", "Texas Instruments")</f>
        <v>Texas Instruments</v>
      </c>
      <c r="C8533" s="5">
        <v>3051</v>
      </c>
      <c r="D8533" s="6">
        <v>7</v>
      </c>
      <c r="E8533" t="s">
        <v>31</v>
      </c>
    </row>
    <row r="8534" spans="1:5" x14ac:dyDescent="0.25">
      <c r="A8534" t="str">
        <f>HYPERLINK("https://www.773grp.com/globalSearch/SN5476J/page-1", "SN5476J")</f>
        <v>SN5476J</v>
      </c>
      <c r="B8534" s="3" t="str">
        <f>HYPERLINK("https://www.773grp.com/manufacturer/texas-instruments?pageNo=798", "Texas Instruments")</f>
        <v>Texas Instruments</v>
      </c>
      <c r="C8534" s="5">
        <v>9</v>
      </c>
      <c r="D8534" s="6">
        <v>7.04</v>
      </c>
      <c r="E8534" t="s">
        <v>31</v>
      </c>
    </row>
    <row r="8535" spans="1:5" x14ac:dyDescent="0.25">
      <c r="A8535" t="str">
        <f>HYPERLINK("https://www.773grp.com/globalSearch/5962-9686101QCA/page-1", "5962-9686101QCA")</f>
        <v>5962-9686101QCA</v>
      </c>
      <c r="B8535" s="3" t="str">
        <f>HYPERLINK("https://www.773grp.com/manufacturer/texas-instruments?pageNo=907", "Texas Instruments")</f>
        <v>Texas Instruments</v>
      </c>
      <c r="C8535" s="5">
        <v>346</v>
      </c>
      <c r="D8535" s="6">
        <v>7.05</v>
      </c>
      <c r="E8535" t="s">
        <v>31</v>
      </c>
    </row>
    <row r="8536" spans="1:5" x14ac:dyDescent="0.25">
      <c r="A8536" t="str">
        <f>HYPERLINK("https://www.773grp.com/globalSearch/5962-9759201QCA/page-1", "5962-9759201QCA")</f>
        <v>5962-9759201QCA</v>
      </c>
      <c r="B8536" s="3" t="str">
        <f>HYPERLINK("https://www.773grp.com/manufacturer/texas-instruments?pageNo=908", "Texas Instruments")</f>
        <v>Texas Instruments</v>
      </c>
      <c r="C8536" s="5">
        <v>105</v>
      </c>
      <c r="D8536" s="6">
        <v>7.05</v>
      </c>
      <c r="E8536" t="s">
        <v>31</v>
      </c>
    </row>
    <row r="8537" spans="1:5" x14ac:dyDescent="0.25">
      <c r="A8537" t="str">
        <f>HYPERLINK("https://www.773grp.com/globalSearch/SNJ54AHCT74J/page-1", "SNJ54AHCT74J")</f>
        <v>SNJ54AHCT74J</v>
      </c>
      <c r="B8537" s="3" t="str">
        <f>HYPERLINK("https://www.773grp.com/manufacturer/texas-instruments?pageNo=915", "Texas Instruments")</f>
        <v>Texas Instruments</v>
      </c>
      <c r="C8537" s="5">
        <v>19</v>
      </c>
      <c r="D8537" s="6">
        <v>7.05</v>
      </c>
      <c r="E8537" t="s">
        <v>31</v>
      </c>
    </row>
    <row r="8538" spans="1:5" x14ac:dyDescent="0.25">
      <c r="A8538" t="str">
        <f>HYPERLINK("https://www.773grp.com/globalSearch/SNJ54F74J/page-1", "SNJ54F74J")</f>
        <v>SNJ54F74J</v>
      </c>
      <c r="B8538" s="3" t="str">
        <f>HYPERLINK("https://www.773grp.com/manufacturer/texas-instruments?pageNo=916", "Texas Instruments")</f>
        <v>Texas Instruments</v>
      </c>
      <c r="C8538" s="5">
        <v>296</v>
      </c>
      <c r="D8538" s="6">
        <v>7.05</v>
      </c>
      <c r="E8538" t="s">
        <v>31</v>
      </c>
    </row>
    <row r="8539" spans="1:5" x14ac:dyDescent="0.25">
      <c r="A8539" t="str">
        <f>HYPERLINK("https://www.773grp.com/globalSearch/CD54HC273F/page-1", "CD54HC273F")</f>
        <v>CD54HC273F</v>
      </c>
      <c r="B8539" s="3" t="str">
        <f>HYPERLINK("https://www.773grp.com/manufacturer/texas-instruments?pageNo=919", "Texas Instruments")</f>
        <v>Texas Instruments</v>
      </c>
      <c r="C8539" s="5">
        <v>2281</v>
      </c>
      <c r="D8539" s="6">
        <v>7.09</v>
      </c>
      <c r="E8539" t="s">
        <v>31</v>
      </c>
    </row>
    <row r="8540" spans="1:5" x14ac:dyDescent="0.25">
      <c r="A8540" t="str">
        <f>HYPERLINK("https://www.773grp.com/globalSearch/SN74SSTVF16857GR/page-1", "SN74SSTVF16857GR")</f>
        <v>SN74SSTVF16857GR</v>
      </c>
      <c r="B8540" s="3" t="str">
        <f>HYPERLINK("https://www.773grp.com/manufacturer/texas-instruments?pageNo=926", "Texas Instruments")</f>
        <v>Texas Instruments</v>
      </c>
      <c r="C8540" s="5">
        <v>157996</v>
      </c>
      <c r="D8540" s="6">
        <v>7.09</v>
      </c>
      <c r="E8540" t="s">
        <v>31</v>
      </c>
    </row>
    <row r="8541" spans="1:5" x14ac:dyDescent="0.25">
      <c r="A8541" t="str">
        <f>HYPERLINK("https://www.773grp.com/globalSearch/SN74SSTVF16857VR/page-1", "SN74SSTVF16857VR")</f>
        <v>SN74SSTVF16857VR</v>
      </c>
      <c r="B8541" s="3" t="str">
        <f>HYPERLINK("https://www.773grp.com/manufacturer/texas-instruments?pageNo=927", "Texas Instruments")</f>
        <v>Texas Instruments</v>
      </c>
      <c r="C8541" s="5">
        <v>86000</v>
      </c>
      <c r="D8541" s="6">
        <v>7.09</v>
      </c>
      <c r="E8541" t="s">
        <v>31</v>
      </c>
    </row>
    <row r="8542" spans="1:5" x14ac:dyDescent="0.25">
      <c r="A8542" t="str">
        <f>HYPERLINK("https://www.773grp.com/globalSearch/SN54HC112J/page-1", "SN54HC112J")</f>
        <v>SN54HC112J</v>
      </c>
      <c r="B8542" s="3" t="s">
        <v>90</v>
      </c>
      <c r="C8542" s="5">
        <v>230</v>
      </c>
      <c r="D8542" s="6">
        <v>7.54</v>
      </c>
      <c r="E8542" t="s">
        <v>31</v>
      </c>
    </row>
    <row r="8543" spans="1:5" x14ac:dyDescent="0.25">
      <c r="A8543" t="str">
        <f>HYPERLINK("https://www.773grp.com/globalSearch/SN54HC109J/page-1", "SN54HC109J")</f>
        <v>SN54HC109J</v>
      </c>
      <c r="B8543" s="3" t="s">
        <v>90</v>
      </c>
      <c r="C8543" s="5">
        <v>3</v>
      </c>
      <c r="D8543" s="6">
        <v>7.6</v>
      </c>
      <c r="E8543" t="s">
        <v>31</v>
      </c>
    </row>
    <row r="8544" spans="1:5" x14ac:dyDescent="0.25">
      <c r="A8544" t="str">
        <f>HYPERLINK("https://www.773grp.com/globalSearch/SN74SSTVF16859SR/page-1", "SN74SSTVF16859SR")</f>
        <v>SN74SSTVF16859SR</v>
      </c>
      <c r="B8544" s="3" t="s">
        <v>90</v>
      </c>
      <c r="C8544" s="5">
        <v>78000</v>
      </c>
      <c r="D8544" s="6">
        <v>7.73</v>
      </c>
      <c r="E8544" t="s">
        <v>31</v>
      </c>
    </row>
    <row r="8545" spans="1:5" x14ac:dyDescent="0.25">
      <c r="A8545" t="str">
        <f>HYPERLINK("https://www.773grp.com/globalSearch/SN54AS175AJ/page-1", "SN54AS175AJ")</f>
        <v>SN54AS175AJ</v>
      </c>
      <c r="B8545" s="3" t="s">
        <v>90</v>
      </c>
      <c r="C8545" s="5">
        <v>68</v>
      </c>
      <c r="D8545" s="6">
        <v>8.0500000000000007</v>
      </c>
      <c r="E8545" t="s">
        <v>31</v>
      </c>
    </row>
    <row r="8546" spans="1:5" x14ac:dyDescent="0.25">
      <c r="A8546" t="str">
        <f>HYPERLINK("https://www.773grp.com/globalSearch/SN74HSTL16918DGGR/page-1", "SN74HSTL16918DGGR")</f>
        <v>SN74HSTL16918DGGR</v>
      </c>
      <c r="B8546" s="3" t="s">
        <v>90</v>
      </c>
      <c r="C8546" s="5">
        <v>1870</v>
      </c>
      <c r="D8546" s="6">
        <v>8.0500000000000007</v>
      </c>
      <c r="E8546" t="s">
        <v>31</v>
      </c>
    </row>
    <row r="8547" spans="1:5" x14ac:dyDescent="0.25">
      <c r="A8547" t="str">
        <f>HYPERLINK("https://www.773grp.com/globalSearch/SN54107J/page-1", "SN54107J")</f>
        <v>SN54107J</v>
      </c>
      <c r="B8547" s="3" t="s">
        <v>90</v>
      </c>
      <c r="C8547" s="5">
        <v>80</v>
      </c>
      <c r="D8547" s="6">
        <v>8.3000000000000007</v>
      </c>
      <c r="E8547" t="s">
        <v>31</v>
      </c>
    </row>
    <row r="8548" spans="1:5" x14ac:dyDescent="0.25">
      <c r="A8548" t="str">
        <f>HYPERLINK("https://www.773grp.com/globalSearch/SN54HC74J/page-1", "SN54HC74J")</f>
        <v>SN54HC74J</v>
      </c>
      <c r="B8548" s="3" t="s">
        <v>90</v>
      </c>
      <c r="C8548" s="5">
        <v>8</v>
      </c>
      <c r="D8548" s="6">
        <v>8.5500000000000007</v>
      </c>
      <c r="E8548" t="s">
        <v>31</v>
      </c>
    </row>
    <row r="8549" spans="1:5" x14ac:dyDescent="0.25">
      <c r="A8549" t="str">
        <f>HYPERLINK("https://www.773grp.com/globalSearch/SN54LS174J/page-1", "SN54LS174J")</f>
        <v>SN54LS174J</v>
      </c>
      <c r="B8549" s="3" t="s">
        <v>90</v>
      </c>
      <c r="C8549" s="5">
        <v>119</v>
      </c>
      <c r="D8549" s="6">
        <v>8.86</v>
      </c>
      <c r="E8549" t="s">
        <v>31</v>
      </c>
    </row>
    <row r="8550" spans="1:5" x14ac:dyDescent="0.25">
      <c r="A8550" t="str">
        <f>HYPERLINK("https://www.773grp.com/globalSearch/CD54HCT74F/page-1", "CD54HCT74F")</f>
        <v>CD54HCT74F</v>
      </c>
      <c r="B8550" s="3" t="s">
        <v>90</v>
      </c>
      <c r="C8550" s="5">
        <v>68</v>
      </c>
      <c r="D8550" s="6">
        <v>8.89</v>
      </c>
      <c r="E8550" t="s">
        <v>31</v>
      </c>
    </row>
    <row r="8551" spans="1:5" x14ac:dyDescent="0.25">
      <c r="A8551" t="str">
        <f>HYPERLINK("https://www.773grp.com/globalSearch/5962-9853001QRA/page-1", "5962-9853001QRA")</f>
        <v>5962-9853001QRA</v>
      </c>
      <c r="B8551" s="3" t="s">
        <v>90</v>
      </c>
      <c r="C8551" s="5">
        <v>192</v>
      </c>
      <c r="D8551" s="6">
        <v>8.91</v>
      </c>
      <c r="E8551" t="s">
        <v>31</v>
      </c>
    </row>
    <row r="8552" spans="1:5" x14ac:dyDescent="0.25">
      <c r="A8552" t="str">
        <f>HYPERLINK("https://www.773grp.com/globalSearch/SN54HC273J/page-1", "SN54HC273J")</f>
        <v>SN54HC273J</v>
      </c>
      <c r="B8552" s="3" t="s">
        <v>90</v>
      </c>
      <c r="C8552" s="5">
        <v>4</v>
      </c>
      <c r="D8552" s="6">
        <v>9.06</v>
      </c>
      <c r="E8552" t="s">
        <v>31</v>
      </c>
    </row>
    <row r="8553" spans="1:5" x14ac:dyDescent="0.25">
      <c r="A8553" t="str">
        <f>HYPERLINK("https://www.773grp.com/globalSearch/SN74276DW/page-1", "SN74276DW")</f>
        <v>SN74276DW</v>
      </c>
      <c r="B8553" s="3" t="s">
        <v>90</v>
      </c>
      <c r="C8553" s="5">
        <v>2625</v>
      </c>
      <c r="D8553" s="6">
        <v>9.08</v>
      </c>
      <c r="E8553" t="s">
        <v>31</v>
      </c>
    </row>
    <row r="8554" spans="1:5" x14ac:dyDescent="0.25">
      <c r="A8554" t="str">
        <f>HYPERLINK("https://www.773grp.com/globalSearch/SN74276N/page-1", "SN74276N")</f>
        <v>SN74276N</v>
      </c>
      <c r="B8554" s="3" t="s">
        <v>90</v>
      </c>
      <c r="C8554" s="5">
        <v>3655</v>
      </c>
      <c r="D8554" s="6">
        <v>9.08</v>
      </c>
      <c r="E8554" t="s">
        <v>31</v>
      </c>
    </row>
    <row r="8555" spans="1:5" x14ac:dyDescent="0.25">
      <c r="A8555" t="str">
        <f>HYPERLINK("https://www.773grp.com/globalSearch/SN74SSTV16859DGGR/page-1", "SN74SSTV16859DGGR")</f>
        <v>SN74SSTV16859DGGR</v>
      </c>
      <c r="B8555" s="3" t="s">
        <v>90</v>
      </c>
      <c r="C8555" s="5">
        <v>19754</v>
      </c>
      <c r="D8555" s="6">
        <v>9.25</v>
      </c>
      <c r="E8555" t="s">
        <v>31</v>
      </c>
    </row>
    <row r="8556" spans="1:5" x14ac:dyDescent="0.25">
      <c r="A8556" t="str">
        <f>HYPERLINK("https://www.773grp.com/globalSearch/SN74SSTV16859RGQR/page-1", "SN74SSTV16859RGQR")</f>
        <v>SN74SSTV16859RGQR</v>
      </c>
      <c r="B8556" s="3" t="s">
        <v>90</v>
      </c>
      <c r="C8556" s="5">
        <v>294000</v>
      </c>
      <c r="D8556" s="6">
        <v>9.25</v>
      </c>
      <c r="E8556" t="s">
        <v>31</v>
      </c>
    </row>
    <row r="8557" spans="1:5" x14ac:dyDescent="0.25">
      <c r="A8557" t="str">
        <f>HYPERLINK("https://www.773grp.com/globalSearch/SN74SSTVF16859G4R/page-1", "SN74SSTVF16859G4R")</f>
        <v>SN74SSTVF16859G4R</v>
      </c>
      <c r="B8557" s="3" t="s">
        <v>90</v>
      </c>
      <c r="C8557" s="5">
        <v>229000</v>
      </c>
      <c r="D8557" s="6">
        <v>9.25</v>
      </c>
      <c r="E8557" t="s">
        <v>31</v>
      </c>
    </row>
    <row r="8558" spans="1:5" x14ac:dyDescent="0.25">
      <c r="A8558" t="str">
        <f>HYPERLINK("https://www.773grp.com/globalSearch/SN74SSTVF16859GR/page-1", "SN74SSTVF16859GR")</f>
        <v>SN74SSTVF16859GR</v>
      </c>
      <c r="B8558" s="3" t="s">
        <v>90</v>
      </c>
      <c r="C8558" s="5">
        <v>120000</v>
      </c>
      <c r="D8558" s="6">
        <v>9.25</v>
      </c>
      <c r="E8558" t="s">
        <v>31</v>
      </c>
    </row>
    <row r="8559" spans="1:5" x14ac:dyDescent="0.25">
      <c r="A8559" t="str">
        <f>HYPERLINK("https://www.773grp.com/globalSearch/SN54173J/page-1", "SN54173J")</f>
        <v>SN54173J</v>
      </c>
      <c r="B8559" s="3" t="s">
        <v>90</v>
      </c>
      <c r="C8559" s="5">
        <v>560</v>
      </c>
      <c r="D8559" s="6">
        <v>9.2899999999999991</v>
      </c>
      <c r="E8559" t="s">
        <v>31</v>
      </c>
    </row>
    <row r="8560" spans="1:5" x14ac:dyDescent="0.25">
      <c r="A8560" t="str">
        <f>HYPERLINK("https://www.773grp.com/globalSearch/JM38510-34102BEA/page-1", "JM38510-34102BEA")</f>
        <v>JM38510-34102BEA</v>
      </c>
      <c r="B8560" s="3" t="s">
        <v>90</v>
      </c>
      <c r="C8560" s="5">
        <v>418</v>
      </c>
      <c r="D8560" s="6">
        <v>9.5399999999999991</v>
      </c>
      <c r="E8560" t="s">
        <v>31</v>
      </c>
    </row>
    <row r="8561" spans="1:5" x14ac:dyDescent="0.25">
      <c r="A8561" t="str">
        <f>HYPERLINK("https://www.773grp.com/globalSearch/SN5472J/page-1", "SN5472J")</f>
        <v>SN5472J</v>
      </c>
      <c r="B8561" s="3" t="s">
        <v>90</v>
      </c>
      <c r="C8561" s="5">
        <v>10</v>
      </c>
      <c r="D8561" s="6">
        <v>9.56</v>
      </c>
      <c r="E8561" t="s">
        <v>31</v>
      </c>
    </row>
    <row r="8562" spans="1:5" x14ac:dyDescent="0.25">
      <c r="A8562" t="str">
        <f>HYPERLINK("https://www.773grp.com/globalSearch/CD54AC74F3A/page-1", "CD54AC74F3A")</f>
        <v>CD54AC74F3A</v>
      </c>
      <c r="B8562" s="3" t="s">
        <v>90</v>
      </c>
      <c r="C8562" s="5">
        <v>302</v>
      </c>
      <c r="D8562" s="6">
        <v>9.6300000000000008</v>
      </c>
      <c r="E8562" t="s">
        <v>31</v>
      </c>
    </row>
    <row r="8563" spans="1:5" x14ac:dyDescent="0.25">
      <c r="A8563" t="str">
        <f>HYPERLINK("https://www.773grp.com/globalSearch/SNJ54LS109AJ/page-1", "SNJ54LS109AJ")</f>
        <v>SNJ54LS109AJ</v>
      </c>
      <c r="B8563" s="3" t="s">
        <v>90</v>
      </c>
      <c r="C8563" s="5">
        <v>485</v>
      </c>
      <c r="D8563" s="6">
        <v>9.65</v>
      </c>
      <c r="E8563" t="s">
        <v>31</v>
      </c>
    </row>
    <row r="8564" spans="1:5" x14ac:dyDescent="0.25">
      <c r="A8564" t="str">
        <f>HYPERLINK("https://www.773grp.com/globalSearch/5962-9758001QEA/page-1", "5962-9758001QEA")</f>
        <v>5962-9758001QEA</v>
      </c>
      <c r="B8564" s="3" t="s">
        <v>90</v>
      </c>
      <c r="C8564" s="5">
        <v>220</v>
      </c>
      <c r="D8564" s="6">
        <v>9.6999999999999993</v>
      </c>
      <c r="E8564" t="s">
        <v>31</v>
      </c>
    </row>
    <row r="8565" spans="1:5" x14ac:dyDescent="0.25">
      <c r="A8565" t="str">
        <f>HYPERLINK("https://www.773grp.com/globalSearch/SNJ54F109J/page-1", "SNJ54F109J")</f>
        <v>SNJ54F109J</v>
      </c>
      <c r="B8565" s="3" t="s">
        <v>90</v>
      </c>
      <c r="C8565" s="5">
        <v>1</v>
      </c>
      <c r="D8565" s="6">
        <v>9.6999999999999993</v>
      </c>
      <c r="E8565" t="s">
        <v>31</v>
      </c>
    </row>
    <row r="8566" spans="1:5" x14ac:dyDescent="0.25">
      <c r="A8566" t="str">
        <f>HYPERLINK("https://www.773grp.com/globalSearch/SNJ54LS174J/page-1", "SNJ54LS174J")</f>
        <v>SNJ54LS174J</v>
      </c>
      <c r="B8566" s="3" t="s">
        <v>90</v>
      </c>
      <c r="C8566" s="5">
        <v>5</v>
      </c>
      <c r="D8566" s="6">
        <v>9.7899999999999991</v>
      </c>
      <c r="E8566" t="s">
        <v>31</v>
      </c>
    </row>
    <row r="8567" spans="1:5" x14ac:dyDescent="0.25">
      <c r="A8567" t="str">
        <f>HYPERLINK("https://www.773grp.com/globalSearch/CD54ACT74F3A/page-1", "CD54ACT74F3A")</f>
        <v>CD54ACT74F3A</v>
      </c>
      <c r="B8567" s="3" t="s">
        <v>90</v>
      </c>
      <c r="C8567" s="5">
        <v>390</v>
      </c>
      <c r="D8567" s="6">
        <v>9.8800000000000008</v>
      </c>
      <c r="E8567" t="s">
        <v>31</v>
      </c>
    </row>
    <row r="8568" spans="1:5" x14ac:dyDescent="0.25">
      <c r="A8568" t="str">
        <f>HYPERLINK("https://www.773grp.com/globalSearch/5962-8852001CA/page-1", "5962-8852001CA")</f>
        <v>5962-8852001CA</v>
      </c>
      <c r="B8568" s="3" t="s">
        <v>90</v>
      </c>
      <c r="C8568" s="5">
        <v>956</v>
      </c>
      <c r="D8568" s="6">
        <v>9.9</v>
      </c>
      <c r="E8568" t="s">
        <v>31</v>
      </c>
    </row>
    <row r="8569" spans="1:5" x14ac:dyDescent="0.25">
      <c r="A8569" t="str">
        <f>HYPERLINK("https://www.773grp.com/globalSearch/SNJ54AC74J/page-1", "SNJ54AC74J")</f>
        <v>SNJ54AC74J</v>
      </c>
      <c r="B8569" s="3" t="s">
        <v>90</v>
      </c>
      <c r="C8569" s="5">
        <v>58</v>
      </c>
      <c r="D8569" s="6">
        <v>9.9</v>
      </c>
      <c r="E8569" t="s">
        <v>31</v>
      </c>
    </row>
    <row r="8570" spans="1:5" x14ac:dyDescent="0.25">
      <c r="A8570" t="str">
        <f>HYPERLINK("https://www.773grp.com/globalSearch/JM38510-30102BCA/page-1", "JM38510-30102BCA")</f>
        <v>JM38510-30102BCA</v>
      </c>
      <c r="B8570" s="3" t="s">
        <v>90</v>
      </c>
      <c r="C8570" s="5">
        <v>42</v>
      </c>
      <c r="D8570" s="6">
        <v>9.99</v>
      </c>
      <c r="E8570" t="s">
        <v>31</v>
      </c>
    </row>
    <row r="8571" spans="1:5" x14ac:dyDescent="0.25">
      <c r="A8571" t="str">
        <f>HYPERLINK("https://www.773grp.com/globalSearch/SN54HC174J/page-1", "SN54HC174J")</f>
        <v>SN54HC174J</v>
      </c>
      <c r="B8571" s="3" t="s">
        <v>90</v>
      </c>
      <c r="C8571" s="5">
        <v>52</v>
      </c>
      <c r="D8571" s="6">
        <v>10.01</v>
      </c>
      <c r="E8571" t="s">
        <v>31</v>
      </c>
    </row>
    <row r="8572" spans="1:5" x14ac:dyDescent="0.25">
      <c r="A8572" t="str">
        <f>HYPERLINK("https://www.773grp.com/globalSearch/SN54HC259J/page-1", "SN54HC259J")</f>
        <v>SN54HC259J</v>
      </c>
      <c r="B8572" s="3" t="s">
        <v>90</v>
      </c>
      <c r="C8572" s="5">
        <v>219</v>
      </c>
      <c r="D8572" s="6">
        <v>10.18</v>
      </c>
      <c r="E8572" t="s">
        <v>31</v>
      </c>
    </row>
    <row r="8573" spans="1:5" x14ac:dyDescent="0.25">
      <c r="A8573" t="str">
        <f>HYPERLINK("https://www.773grp.com/globalSearch/5962-8752501MCA/page-1", "5962-8752501MCA")</f>
        <v>5962-8752501MCA</v>
      </c>
      <c r="B8573" s="3" t="s">
        <v>90</v>
      </c>
      <c r="C8573" s="5">
        <v>1649</v>
      </c>
      <c r="D8573" s="6">
        <v>10.210000000000001</v>
      </c>
      <c r="E8573" t="s">
        <v>31</v>
      </c>
    </row>
    <row r="8574" spans="1:5" x14ac:dyDescent="0.25">
      <c r="A8574" t="str">
        <f>HYPERLINK("https://www.773grp.com/globalSearch/SN54ALS74AJ/page-1", "SN54ALS74AJ")</f>
        <v>SN54ALS74AJ</v>
      </c>
      <c r="B8574" s="3" t="s">
        <v>90</v>
      </c>
      <c r="C8574" s="5">
        <v>11</v>
      </c>
      <c r="D8574" s="6">
        <v>10.64</v>
      </c>
      <c r="E8574" t="s">
        <v>31</v>
      </c>
    </row>
    <row r="8575" spans="1:5" x14ac:dyDescent="0.25">
      <c r="A8575" t="str">
        <f>HYPERLINK("https://www.773grp.com/globalSearch/SNJ54LS273J/page-1", "SNJ54LS273J")</f>
        <v>SNJ54LS273J</v>
      </c>
      <c r="B8575" s="3" t="s">
        <v>90</v>
      </c>
      <c r="C8575" s="5">
        <v>22</v>
      </c>
      <c r="D8575" s="6">
        <v>10.98</v>
      </c>
      <c r="E8575" t="s">
        <v>31</v>
      </c>
    </row>
    <row r="8576" spans="1:5" x14ac:dyDescent="0.25">
      <c r="A8576" t="str">
        <f>HYPERLINK("https://www.773grp.com/globalSearch/SN74H102N/page-1", "SN74H102N")</f>
        <v>SN74H102N</v>
      </c>
      <c r="B8576" s="3" t="s">
        <v>90</v>
      </c>
      <c r="C8576" s="5">
        <v>2390</v>
      </c>
      <c r="D8576" s="6">
        <v>11.25</v>
      </c>
      <c r="E8576" t="s">
        <v>31</v>
      </c>
    </row>
    <row r="8577" spans="1:5" x14ac:dyDescent="0.25">
      <c r="A8577" t="str">
        <f>HYPERLINK("https://www.773grp.com/globalSearch/SN74H72N/page-1", "SN74H72N")</f>
        <v>SN74H72N</v>
      </c>
      <c r="B8577" s="3" t="s">
        <v>90</v>
      </c>
      <c r="C8577" s="5">
        <v>1537</v>
      </c>
      <c r="D8577" s="6">
        <v>11.25</v>
      </c>
      <c r="E8577" t="s">
        <v>31</v>
      </c>
    </row>
    <row r="8578" spans="1:5" x14ac:dyDescent="0.25">
      <c r="A8578" t="str">
        <f>HYPERLINK("https://www.773grp.com/globalSearch/SN54LS109AJ/page-1", "SN54LS109AJ")</f>
        <v>SN54LS109AJ</v>
      </c>
      <c r="B8578" s="3" t="s">
        <v>90</v>
      </c>
      <c r="C8578" s="5">
        <v>325</v>
      </c>
      <c r="D8578" s="6">
        <v>11.28</v>
      </c>
      <c r="E8578" t="s">
        <v>31</v>
      </c>
    </row>
    <row r="8579" spans="1:5" x14ac:dyDescent="0.25">
      <c r="A8579" t="str">
        <f>HYPERLINK("https://www.773grp.com/globalSearch/SNJ54LS175J/page-1", "SNJ54LS175J")</f>
        <v>SNJ54LS175J</v>
      </c>
      <c r="B8579" s="3" t="s">
        <v>90</v>
      </c>
      <c r="C8579" s="5">
        <v>8</v>
      </c>
      <c r="D8579" s="6">
        <v>11.31</v>
      </c>
      <c r="E8579" t="s">
        <v>31</v>
      </c>
    </row>
    <row r="8580" spans="1:5" x14ac:dyDescent="0.25">
      <c r="A8580" t="str">
        <f>HYPERLINK("https://www.773grp.com/globalSearch/8408801EA/page-1", "8408801EA")</f>
        <v>8408801EA</v>
      </c>
      <c r="B8580" s="3" t="s">
        <v>90</v>
      </c>
      <c r="C8580" s="5">
        <v>120</v>
      </c>
      <c r="D8580" s="6">
        <v>11.61</v>
      </c>
      <c r="E8580" t="s">
        <v>31</v>
      </c>
    </row>
    <row r="8581" spans="1:5" x14ac:dyDescent="0.25">
      <c r="A8581" t="str">
        <f>HYPERLINK("https://www.773grp.com/globalSearch/SNJ54HC112J/page-1", "SNJ54HC112J")</f>
        <v>SNJ54HC112J</v>
      </c>
      <c r="B8581" s="3" t="s">
        <v>90</v>
      </c>
      <c r="C8581" s="5">
        <v>202</v>
      </c>
      <c r="D8581" s="6">
        <v>11.61</v>
      </c>
      <c r="E8581" t="s">
        <v>31</v>
      </c>
    </row>
    <row r="8582" spans="1:5" x14ac:dyDescent="0.25">
      <c r="A8582" t="str">
        <f>HYPERLINK("https://www.773grp.com/globalSearch/SN74107N/page-1", "SN74107N")</f>
        <v>SN74107N</v>
      </c>
      <c r="B8582" s="3" t="s">
        <v>90</v>
      </c>
      <c r="C8582" s="5">
        <v>47869</v>
      </c>
      <c r="D8582" s="6">
        <v>11.65</v>
      </c>
      <c r="E8582" t="s">
        <v>31</v>
      </c>
    </row>
    <row r="8583" spans="1:5" x14ac:dyDescent="0.25">
      <c r="A8583" t="str">
        <f>HYPERLINK("https://www.773grp.com/globalSearch/JM38510-30106BEA/page-1", "JM38510-30106BEA")</f>
        <v>JM38510-30106BEA</v>
      </c>
      <c r="B8583" s="3" t="s">
        <v>90</v>
      </c>
      <c r="C8583" s="5">
        <v>950</v>
      </c>
      <c r="D8583" s="6">
        <v>11.9</v>
      </c>
      <c r="E8583" t="s">
        <v>31</v>
      </c>
    </row>
    <row r="8584" spans="1:5" x14ac:dyDescent="0.25">
      <c r="A8584" t="str">
        <f>HYPERLINK("https://www.773grp.com/globalSearch/7601801EA/page-1", "7601801EA")</f>
        <v>7601801EA</v>
      </c>
      <c r="B8584" s="3" t="s">
        <v>90</v>
      </c>
      <c r="C8584" s="5">
        <v>48</v>
      </c>
      <c r="D8584" s="6">
        <v>11.95</v>
      </c>
      <c r="E8584" t="s">
        <v>31</v>
      </c>
    </row>
    <row r="8585" spans="1:5" x14ac:dyDescent="0.25">
      <c r="A8585" t="str">
        <f>HYPERLINK("https://www.773grp.com/globalSearch/CD54ACT109F3A/page-1", "CD54ACT109F3A")</f>
        <v>CD54ACT109F3A</v>
      </c>
      <c r="B8585" s="3" t="s">
        <v>90</v>
      </c>
      <c r="C8585" s="5">
        <v>300</v>
      </c>
      <c r="D8585" s="6">
        <v>11.95</v>
      </c>
      <c r="E8585" t="s">
        <v>31</v>
      </c>
    </row>
    <row r="8586" spans="1:5" x14ac:dyDescent="0.25">
      <c r="A8586" t="str">
        <f>HYPERLINK("https://www.773grp.com/globalSearch/SN54LS75J/page-1", "SN54LS75J")</f>
        <v>SN54LS75J</v>
      </c>
      <c r="B8586" s="3" t="s">
        <v>90</v>
      </c>
      <c r="C8586" s="5">
        <v>89</v>
      </c>
      <c r="D8586" s="6">
        <v>11.95</v>
      </c>
      <c r="E8586" t="s">
        <v>31</v>
      </c>
    </row>
    <row r="8587" spans="1:5" x14ac:dyDescent="0.25">
      <c r="A8587" t="str">
        <f>HYPERLINK("https://www.773grp.com/globalSearch/SNJ54LS279AJ/page-1", "SNJ54LS279AJ")</f>
        <v>SNJ54LS279AJ</v>
      </c>
      <c r="B8587" s="3" t="s">
        <v>90</v>
      </c>
      <c r="C8587" s="5">
        <v>165</v>
      </c>
      <c r="D8587" s="6">
        <v>11.95</v>
      </c>
      <c r="E8587" t="s">
        <v>31</v>
      </c>
    </row>
    <row r="8588" spans="1:5" x14ac:dyDescent="0.25">
      <c r="A8588" t="str">
        <f>HYPERLINK("https://www.773grp.com/globalSearch/JM38510-30107BEA/page-1", "JM38510-30107BEA")</f>
        <v>JM38510-30107BEA</v>
      </c>
      <c r="B8588" s="3" t="s">
        <v>90</v>
      </c>
      <c r="C8588" s="5">
        <v>956</v>
      </c>
      <c r="D8588" s="6">
        <v>11.99</v>
      </c>
      <c r="E8588" t="s">
        <v>31</v>
      </c>
    </row>
    <row r="8589" spans="1:5" x14ac:dyDescent="0.25">
      <c r="A8589" t="str">
        <f>HYPERLINK("https://www.773grp.com/globalSearch/SN54LS273J/page-1", "SN54LS273J")</f>
        <v>SN54LS273J</v>
      </c>
      <c r="B8589" s="3" t="str">
        <f>HYPERLINK("https://www.773grp.com/manufacturer/texas-instruments?pageNo=36", "Texas Instruments")</f>
        <v>Texas Instruments</v>
      </c>
      <c r="C8589" s="5">
        <v>11</v>
      </c>
      <c r="D8589" s="6">
        <v>12.2</v>
      </c>
      <c r="E8589" t="s">
        <v>31</v>
      </c>
    </row>
    <row r="8590" spans="1:5" x14ac:dyDescent="0.25">
      <c r="A8590" t="str">
        <f>HYPERLINK("https://www.773grp.com/globalSearch/CD40174BF/page-1", "CD40174BF")</f>
        <v>CD40174BF</v>
      </c>
      <c r="B8590" s="3" t="str">
        <f>HYPERLINK("https://www.773grp.com/manufacturer/texas-instruments?pageNo=77", "Texas Instruments")</f>
        <v>Texas Instruments</v>
      </c>
      <c r="C8590" s="5">
        <v>118</v>
      </c>
      <c r="D8590" s="6">
        <v>12.29</v>
      </c>
      <c r="E8590" t="s">
        <v>31</v>
      </c>
    </row>
    <row r="8591" spans="1:5" x14ac:dyDescent="0.25">
      <c r="A8591" t="str">
        <f>HYPERLINK("https://www.773grp.com/globalSearch/JM38510-30109BEA/page-1", "JM38510-30109BEA")</f>
        <v>JM38510-30109BEA</v>
      </c>
      <c r="B8591" s="3" t="str">
        <f>HYPERLINK("https://www.773grp.com/manufacturer/texas-instruments?pageNo=89", "Texas Instruments")</f>
        <v>Texas Instruments</v>
      </c>
      <c r="C8591" s="5">
        <v>3106</v>
      </c>
      <c r="D8591" s="6">
        <v>12.35</v>
      </c>
      <c r="E8591" t="s">
        <v>31</v>
      </c>
    </row>
    <row r="8592" spans="1:5" x14ac:dyDescent="0.25">
      <c r="A8592" t="str">
        <f>HYPERLINK("https://www.773grp.com/globalSearch/SNJ5475W/page-1", "SNJ5475W")</f>
        <v>SNJ5475W</v>
      </c>
      <c r="B8592" s="3" t="str">
        <f>HYPERLINK("https://www.773grp.com/manufacturer/texas-instruments?pageNo=142", "Texas Instruments")</f>
        <v>Texas Instruments</v>
      </c>
      <c r="C8592" s="5">
        <v>5</v>
      </c>
      <c r="D8592" s="6">
        <v>12.38</v>
      </c>
      <c r="E8592" t="s">
        <v>31</v>
      </c>
    </row>
    <row r="8593" spans="1:5" x14ac:dyDescent="0.25">
      <c r="A8593" t="str">
        <f>HYPERLINK("https://www.773grp.com/globalSearch/8400001EA/page-1", "8400001EA")</f>
        <v>8400001EA</v>
      </c>
      <c r="B8593" s="3" t="str">
        <f>HYPERLINK("https://www.773grp.com/manufacturer/texas-instruments?pageNo=164", "Texas Instruments")</f>
        <v>Texas Instruments</v>
      </c>
      <c r="C8593" s="5">
        <v>114</v>
      </c>
      <c r="D8593" s="6">
        <v>12.44</v>
      </c>
      <c r="E8593" t="s">
        <v>31</v>
      </c>
    </row>
    <row r="8594" spans="1:5" x14ac:dyDescent="0.25">
      <c r="A8594" t="str">
        <f>HYPERLINK("https://www.773grp.com/globalSearch/SN54LS378J/page-1", "SN54LS378J")</f>
        <v>SN54LS378J</v>
      </c>
      <c r="B8594" s="3" t="str">
        <f>HYPERLINK("https://www.773grp.com/manufacturer/texas-instruments?pageNo=327", "Texas Instruments")</f>
        <v>Texas Instruments</v>
      </c>
      <c r="C8594" s="5">
        <v>832</v>
      </c>
      <c r="D8594" s="6">
        <v>12.69</v>
      </c>
      <c r="E8594" t="s">
        <v>31</v>
      </c>
    </row>
    <row r="8595" spans="1:5" x14ac:dyDescent="0.25">
      <c r="A8595" t="str">
        <f>HYPERLINK("https://www.773grp.com/globalSearch/JM38510-32501BRA/page-1", "JM38510-32501BRA")</f>
        <v>JM38510-32501BRA</v>
      </c>
      <c r="B8595" s="3" t="str">
        <f>HYPERLINK("https://www.773grp.com/manufacturer/texas-instruments?pageNo=369", "Texas Instruments")</f>
        <v>Texas Instruments</v>
      </c>
      <c r="C8595" s="5">
        <v>16</v>
      </c>
      <c r="D8595" s="6">
        <v>12.79</v>
      </c>
      <c r="E8595" t="s">
        <v>31</v>
      </c>
    </row>
    <row r="8596" spans="1:5" x14ac:dyDescent="0.25">
      <c r="A8596" t="str">
        <f>HYPERLINK("https://www.773grp.com/globalSearch/7601201EA/page-1", "7601201EA")</f>
        <v>7601201EA</v>
      </c>
      <c r="B8596" s="3" t="str">
        <f>HYPERLINK("https://www.773grp.com/manufacturer/texas-instruments?pageNo=463", "Texas Instruments")</f>
        <v>Texas Instruments</v>
      </c>
      <c r="C8596" s="5">
        <v>15</v>
      </c>
      <c r="D8596" s="6">
        <v>12.96</v>
      </c>
      <c r="E8596" t="s">
        <v>31</v>
      </c>
    </row>
    <row r="8597" spans="1:5" x14ac:dyDescent="0.25">
      <c r="A8597" t="str">
        <f>HYPERLINK("https://www.773grp.com/globalSearch/8400002EA/page-1", "8400002EA")</f>
        <v>8400002EA</v>
      </c>
      <c r="B8597" s="3" t="str">
        <f>HYPERLINK("https://www.773grp.com/manufacturer/texas-instruments?pageNo=475", "Texas Instruments")</f>
        <v>Texas Instruments</v>
      </c>
      <c r="C8597" s="5">
        <v>266</v>
      </c>
      <c r="D8597" s="6">
        <v>13</v>
      </c>
      <c r="E8597" t="s">
        <v>31</v>
      </c>
    </row>
    <row r="8598" spans="1:5" x14ac:dyDescent="0.25">
      <c r="A8598" t="str">
        <f>HYPERLINK("https://www.773grp.com/globalSearch/5962-9557501QEA/page-1", "5962-9557501QEA")</f>
        <v>5962-9557501QEA</v>
      </c>
      <c r="B8598" s="3" t="str">
        <f>HYPERLINK("https://www.773grp.com/manufacturer/texas-instruments?pageNo=584", "Texas Instruments")</f>
        <v>Texas Instruments</v>
      </c>
      <c r="C8598" s="5">
        <v>42</v>
      </c>
      <c r="D8598" s="6">
        <v>13.25</v>
      </c>
      <c r="E8598" t="s">
        <v>31</v>
      </c>
    </row>
    <row r="8599" spans="1:5" x14ac:dyDescent="0.25">
      <c r="A8599" t="str">
        <f>HYPERLINK("https://www.773grp.com/globalSearch/SNJ54HC273J/page-1", "SNJ54HC273J")</f>
        <v>SNJ54HC273J</v>
      </c>
      <c r="B8599" s="3" t="str">
        <f>HYPERLINK("https://www.773grp.com/manufacturer/texas-instruments?pageNo=608", "Texas Instruments")</f>
        <v>Texas Instruments</v>
      </c>
      <c r="C8599" s="5">
        <v>6</v>
      </c>
      <c r="D8599" s="6">
        <v>13.25</v>
      </c>
      <c r="E8599" t="s">
        <v>31</v>
      </c>
    </row>
    <row r="8600" spans="1:5" x14ac:dyDescent="0.25">
      <c r="A8600" t="str">
        <f>HYPERLINK("https://www.773grp.com/globalSearch/SN54LS173AJ/page-1", "SN54LS173AJ")</f>
        <v>SN54LS173AJ</v>
      </c>
      <c r="B8600" s="3" t="str">
        <f>HYPERLINK("https://www.773grp.com/manufacturer/texas-instruments?pageNo=617", "Texas Instruments")</f>
        <v>Texas Instruments</v>
      </c>
      <c r="C8600" s="5">
        <v>195</v>
      </c>
      <c r="D8600" s="6">
        <v>13.28</v>
      </c>
      <c r="E8600" t="s">
        <v>31</v>
      </c>
    </row>
    <row r="8601" spans="1:5" x14ac:dyDescent="0.25">
      <c r="A8601" t="str">
        <f>HYPERLINK("https://www.773grp.com/globalSearch/SN54LS377J/page-1", "SN54LS377J")</f>
        <v>SN54LS377J</v>
      </c>
      <c r="B8601" s="3" t="str">
        <f>HYPERLINK("https://www.773grp.com/manufacturer/texas-instruments?pageNo=626", "Texas Instruments")</f>
        <v>Texas Instruments</v>
      </c>
      <c r="C8601" s="5">
        <v>4</v>
      </c>
      <c r="D8601" s="6">
        <v>13.3</v>
      </c>
      <c r="E8601" t="s">
        <v>31</v>
      </c>
    </row>
    <row r="8602" spans="1:5" x14ac:dyDescent="0.25">
      <c r="A8602" t="str">
        <f>HYPERLINK("https://www.773grp.com/globalSearch/CD54HC273F3A/page-1", "CD54HC273F3A")</f>
        <v>CD54HC273F3A</v>
      </c>
      <c r="B8602" s="3" t="str">
        <f>HYPERLINK("https://www.773grp.com/manufacturer/texas-instruments?pageNo=687", "Texas Instruments")</f>
        <v>Texas Instruments</v>
      </c>
      <c r="C8602" s="5">
        <v>197</v>
      </c>
      <c r="D8602" s="6">
        <v>13.39</v>
      </c>
      <c r="E8602" t="s">
        <v>31</v>
      </c>
    </row>
    <row r="8603" spans="1:5" x14ac:dyDescent="0.25">
      <c r="A8603" t="str">
        <f>HYPERLINK("https://www.773grp.com/globalSearch/SN54ALS273J/page-1", "SN54ALS273J")</f>
        <v>SN54ALS273J</v>
      </c>
      <c r="B8603" s="3" t="str">
        <f>HYPERLINK("https://www.773grp.com/manufacturer/texas-instruments?pageNo=820", "Texas Instruments")</f>
        <v>Texas Instruments</v>
      </c>
      <c r="C8603" s="5">
        <v>838</v>
      </c>
      <c r="D8603" s="6">
        <v>13.64</v>
      </c>
      <c r="E8603" t="s">
        <v>31</v>
      </c>
    </row>
    <row r="8604" spans="1:5" x14ac:dyDescent="0.25">
      <c r="A8604" t="str">
        <f>HYPERLINK("https://www.773grp.com/globalSearch/74SSTUB32866AZKER/page-1", "74SSTUB32866AZKER")</f>
        <v>74SSTUB32866AZKER</v>
      </c>
      <c r="B8604" s="3" t="str">
        <f>HYPERLINK("https://www.773grp.com/manufacturer/texas-instruments?pageNo=843", "Texas Instruments")</f>
        <v>Texas Instruments</v>
      </c>
      <c r="C8604" s="5">
        <v>1610</v>
      </c>
      <c r="D8604" s="6">
        <v>13.73</v>
      </c>
      <c r="E8604" t="s">
        <v>31</v>
      </c>
    </row>
    <row r="8605" spans="1:5" x14ac:dyDescent="0.25">
      <c r="A8605" t="str">
        <f>HYPERLINK("https://www.773grp.com/globalSearch/SN74SSTUB32864ZKER/page-1", "SN74SSTUB32864ZKER")</f>
        <v>SN74SSTUB32864ZKER</v>
      </c>
      <c r="B8605" s="3" t="str">
        <f>HYPERLINK("https://www.773grp.com/manufacturer/texas-instruments?pageNo=845", "Texas Instruments")</f>
        <v>Texas Instruments</v>
      </c>
      <c r="C8605" s="5">
        <v>3962</v>
      </c>
      <c r="D8605" s="6">
        <v>13.73</v>
      </c>
      <c r="E8605" t="s">
        <v>31</v>
      </c>
    </row>
    <row r="8606" spans="1:5" x14ac:dyDescent="0.25">
      <c r="A8606" t="str">
        <f>HYPERLINK("https://www.773grp.com/globalSearch/SN74SSTUB32866ZKER/page-1", "SN74SSTUB32866ZKER")</f>
        <v>SN74SSTUB32866ZKER</v>
      </c>
      <c r="B8606" s="3" t="str">
        <f>HYPERLINK("https://www.773grp.com/manufacturer/texas-instruments?pageNo=846", "Texas Instruments")</f>
        <v>Texas Instruments</v>
      </c>
      <c r="C8606" s="5">
        <v>43610</v>
      </c>
      <c r="D8606" s="6">
        <v>13.73</v>
      </c>
      <c r="E8606" t="s">
        <v>31</v>
      </c>
    </row>
    <row r="8607" spans="1:5" x14ac:dyDescent="0.25">
      <c r="A8607" t="str">
        <f>HYPERLINK("https://www.773grp.com/globalSearch/SN74SSTUB32866ZWLR/page-1", "SN74SSTUB32866ZWLR")</f>
        <v>SN74SSTUB32866ZWLR</v>
      </c>
      <c r="B8607" s="3" t="str">
        <f>HYPERLINK("https://www.773grp.com/manufacturer/texas-instruments?pageNo=847", "Texas Instruments")</f>
        <v>Texas Instruments</v>
      </c>
      <c r="C8607" s="5">
        <v>20976</v>
      </c>
      <c r="D8607" s="6">
        <v>13.73</v>
      </c>
      <c r="E8607" t="s">
        <v>31</v>
      </c>
    </row>
    <row r="8608" spans="1:5" x14ac:dyDescent="0.25">
      <c r="A8608" t="str">
        <f>HYPERLINK("https://www.773grp.com/globalSearch/SNJ54F109W/page-1", "SNJ54F109W")</f>
        <v>SNJ54F109W</v>
      </c>
      <c r="B8608" s="3" t="str">
        <f>HYPERLINK("https://www.773grp.com/manufacturer/texas-instruments?pageNo=914", "Texas Instruments")</f>
        <v>Texas Instruments</v>
      </c>
      <c r="C8608" s="5">
        <v>449</v>
      </c>
      <c r="D8608" s="6">
        <v>13.8</v>
      </c>
      <c r="E8608" t="s">
        <v>31</v>
      </c>
    </row>
    <row r="8609" spans="1:5" x14ac:dyDescent="0.25">
      <c r="A8609" t="str">
        <f>HYPERLINK("https://www.773grp.com/globalSearch/CD54HC175F3A/page-1", "CD54HC175F3A")</f>
        <v>CD54HC175F3A</v>
      </c>
      <c r="B8609" s="3" t="str">
        <f>HYPERLINK("https://www.773grp.com/manufacturer/texas-instruments?pageNo=940", "Texas Instruments")</f>
        <v>Texas Instruments</v>
      </c>
      <c r="C8609" s="5">
        <v>19</v>
      </c>
      <c r="D8609" s="6">
        <v>13.89</v>
      </c>
      <c r="E8609" t="s">
        <v>31</v>
      </c>
    </row>
    <row r="8610" spans="1:5" x14ac:dyDescent="0.25">
      <c r="A8610" t="str">
        <f>HYPERLINK("https://www.773grp.com/globalSearch/8408901EA/page-1", "8408901EA")</f>
        <v>8408901EA</v>
      </c>
      <c r="B8610" s="3" t="s">
        <v>90</v>
      </c>
      <c r="C8610" s="5">
        <v>84</v>
      </c>
      <c r="D8610" s="6">
        <v>13.98</v>
      </c>
      <c r="E8610" t="s">
        <v>31</v>
      </c>
    </row>
    <row r="8611" spans="1:5" x14ac:dyDescent="0.25">
      <c r="A8611" t="str">
        <f>HYPERLINK("https://www.773grp.com/globalSearch/SNJ54HC175J/page-1", "SNJ54HC175J")</f>
        <v>SNJ54HC175J</v>
      </c>
      <c r="B8611" s="3" t="s">
        <v>90</v>
      </c>
      <c r="C8611" s="5">
        <v>111</v>
      </c>
      <c r="D8611" s="6">
        <v>13.98</v>
      </c>
      <c r="E8611" t="s">
        <v>31</v>
      </c>
    </row>
    <row r="8612" spans="1:5" x14ac:dyDescent="0.25">
      <c r="A8612" t="str">
        <f>HYPERLINK("https://www.773grp.com/globalSearch/SNJ54175W/page-1", "SNJ54175W")</f>
        <v>SNJ54175W</v>
      </c>
      <c r="B8612" s="3" t="s">
        <v>90</v>
      </c>
      <c r="C8612" s="5">
        <v>42</v>
      </c>
      <c r="D8612" s="6">
        <v>14.06</v>
      </c>
      <c r="E8612" t="s">
        <v>31</v>
      </c>
    </row>
    <row r="8613" spans="1:5" x14ac:dyDescent="0.25">
      <c r="A8613" t="str">
        <f>HYPERLINK("https://www.773grp.com/globalSearch/SN54LS175J/page-1", "SN54LS175J")</f>
        <v>SN54LS175J</v>
      </c>
      <c r="B8613" s="3" t="s">
        <v>90</v>
      </c>
      <c r="C8613" s="5">
        <v>717</v>
      </c>
      <c r="D8613" s="6">
        <v>14.09</v>
      </c>
      <c r="E8613" t="s">
        <v>31</v>
      </c>
    </row>
    <row r="8614" spans="1:5" x14ac:dyDescent="0.25">
      <c r="A8614" t="str">
        <f>HYPERLINK("https://www.773grp.com/globalSearch/SNJ54H72J/page-1", "SNJ54H72J")</f>
        <v>SNJ54H72J</v>
      </c>
      <c r="B8614" s="3" t="s">
        <v>90</v>
      </c>
      <c r="C8614" s="5">
        <v>293</v>
      </c>
      <c r="D8614" s="6">
        <v>14.21</v>
      </c>
      <c r="E8614" t="s">
        <v>31</v>
      </c>
    </row>
    <row r="8615" spans="1:5" x14ac:dyDescent="0.25">
      <c r="A8615" t="str">
        <f>HYPERLINK("https://www.773grp.com/globalSearch/SNJ54H76J/page-1", "SNJ54H76J")</f>
        <v>SNJ54H76J</v>
      </c>
      <c r="B8615" s="3" t="s">
        <v>90</v>
      </c>
      <c r="C8615" s="5">
        <v>3</v>
      </c>
      <c r="D8615" s="6">
        <v>14.21</v>
      </c>
      <c r="E8615" t="s">
        <v>31</v>
      </c>
    </row>
    <row r="8616" spans="1:5" x14ac:dyDescent="0.25">
      <c r="A8616" t="str">
        <f>HYPERLINK("https://www.773grp.com/globalSearch/SNJ54LS379J/page-1", "SNJ54LS379J")</f>
        <v>SNJ54LS379J</v>
      </c>
      <c r="B8616" s="3" t="s">
        <v>90</v>
      </c>
      <c r="C8616" s="5">
        <v>19</v>
      </c>
      <c r="D8616" s="6">
        <v>14.21</v>
      </c>
      <c r="E8616" t="s">
        <v>31</v>
      </c>
    </row>
    <row r="8617" spans="1:5" x14ac:dyDescent="0.25">
      <c r="A8617" t="str">
        <f>HYPERLINK("https://www.773grp.com/globalSearch/CD40174BF3A/page-1", "CD40174BF3A")</f>
        <v>CD40174BF3A</v>
      </c>
      <c r="B8617" s="3" t="s">
        <v>90</v>
      </c>
      <c r="C8617" s="5">
        <v>351</v>
      </c>
      <c r="D8617" s="6">
        <v>14.26</v>
      </c>
      <c r="E8617" t="s">
        <v>31</v>
      </c>
    </row>
    <row r="8618" spans="1:5" x14ac:dyDescent="0.25">
      <c r="A8618" t="str">
        <f>HYPERLINK("https://www.773grp.com/globalSearch/8415001EA/page-1", "8415001EA")</f>
        <v>8415001EA</v>
      </c>
      <c r="B8618" s="3" t="s">
        <v>90</v>
      </c>
      <c r="C8618" s="5">
        <v>368</v>
      </c>
      <c r="D8618" s="6">
        <v>14.29</v>
      </c>
      <c r="E8618" t="s">
        <v>31</v>
      </c>
    </row>
    <row r="8619" spans="1:5" x14ac:dyDescent="0.25">
      <c r="A8619" t="str">
        <f>HYPERLINK("https://www.773grp.com/globalSearch/CD54HC109F3A/page-1", "CD54HC109F3A")</f>
        <v>CD54HC109F3A</v>
      </c>
      <c r="B8619" s="3" t="s">
        <v>90</v>
      </c>
      <c r="C8619" s="5">
        <v>172</v>
      </c>
      <c r="D8619" s="6">
        <v>14.29</v>
      </c>
      <c r="E8619" t="s">
        <v>31</v>
      </c>
    </row>
    <row r="8620" spans="1:5" x14ac:dyDescent="0.25">
      <c r="A8620" t="str">
        <f>HYPERLINK("https://www.773grp.com/globalSearch/JM38510-34101BDA/page-1", "JM38510-34101BDA")</f>
        <v>JM38510-34101BDA</v>
      </c>
      <c r="B8620" s="3" t="s">
        <v>90</v>
      </c>
      <c r="C8620" s="5">
        <v>6</v>
      </c>
      <c r="D8620" s="6">
        <v>14.35</v>
      </c>
      <c r="E8620" t="s">
        <v>31</v>
      </c>
    </row>
    <row r="8621" spans="1:5" x14ac:dyDescent="0.25">
      <c r="A8621" t="str">
        <f>HYPERLINK("https://www.773grp.com/globalSearch/SN54S74J/page-1", "SN54S74J")</f>
        <v>SN54S74J</v>
      </c>
      <c r="B8621" s="3" t="s">
        <v>90</v>
      </c>
      <c r="C8621" s="5">
        <v>8</v>
      </c>
      <c r="D8621" s="6">
        <v>14.4</v>
      </c>
      <c r="E8621" t="s">
        <v>31</v>
      </c>
    </row>
    <row r="8622" spans="1:5" x14ac:dyDescent="0.25">
      <c r="A8622" t="str">
        <f>HYPERLINK("https://www.773grp.com/globalSearch/5962-9675101QCA/page-1", "5962-9675101QCA")</f>
        <v>5962-9675101QCA</v>
      </c>
      <c r="B8622" s="3" t="s">
        <v>90</v>
      </c>
      <c r="C8622" s="5">
        <v>104</v>
      </c>
      <c r="D8622" s="6">
        <v>14.43</v>
      </c>
      <c r="E8622" t="s">
        <v>31</v>
      </c>
    </row>
    <row r="8623" spans="1:5" x14ac:dyDescent="0.25">
      <c r="A8623" t="str">
        <f>HYPERLINK("https://www.773grp.com/globalSearch/SNJ54LS73AJ/page-1", "SNJ54LS73AJ")</f>
        <v>SNJ54LS73AJ</v>
      </c>
      <c r="B8623" s="3" t="s">
        <v>90</v>
      </c>
      <c r="C8623" s="5">
        <v>31</v>
      </c>
      <c r="D8623" s="6">
        <v>14.43</v>
      </c>
      <c r="E8623" t="s">
        <v>31</v>
      </c>
    </row>
    <row r="8624" spans="1:5" x14ac:dyDescent="0.25">
      <c r="A8624" t="str">
        <f>HYPERLINK("https://www.773grp.com/globalSearch/SN54LS298J/page-1", "SN54LS298J")</f>
        <v>SN54LS298J</v>
      </c>
      <c r="B8624" s="3" t="s">
        <v>90</v>
      </c>
      <c r="C8624" s="5">
        <v>89</v>
      </c>
      <c r="D8624" s="6">
        <v>14.48</v>
      </c>
      <c r="E8624" t="s">
        <v>31</v>
      </c>
    </row>
    <row r="8625" spans="1:5" x14ac:dyDescent="0.25">
      <c r="A8625" t="str">
        <f>HYPERLINK("https://www.773grp.com/globalSearch/CD40175BF3A/page-1", "CD40175BF3A")</f>
        <v>CD40175BF3A</v>
      </c>
      <c r="B8625" s="3" t="s">
        <v>90</v>
      </c>
      <c r="C8625" s="5">
        <v>211</v>
      </c>
      <c r="D8625" s="6">
        <v>14.56</v>
      </c>
      <c r="E8625" t="s">
        <v>31</v>
      </c>
    </row>
    <row r="8626" spans="1:5" x14ac:dyDescent="0.25">
      <c r="A8626" t="str">
        <f>HYPERLINK("https://www.773grp.com/globalSearch/SN54LS379J/page-1", "SN54LS379J")</f>
        <v>SN54LS379J</v>
      </c>
      <c r="B8626" s="3" t="s">
        <v>90</v>
      </c>
      <c r="C8626" s="5">
        <v>231</v>
      </c>
      <c r="D8626" s="6">
        <v>14.56</v>
      </c>
      <c r="E8626" t="s">
        <v>31</v>
      </c>
    </row>
    <row r="8627" spans="1:5" x14ac:dyDescent="0.25">
      <c r="A8627" t="str">
        <f>HYPERLINK("https://www.773grp.com/globalSearch/SNJ54LS173AJ/page-1", "SNJ54LS173AJ")</f>
        <v>SNJ54LS173AJ</v>
      </c>
      <c r="B8627" s="3" t="s">
        <v>90</v>
      </c>
      <c r="C8627" s="5">
        <v>88</v>
      </c>
      <c r="D8627" s="6">
        <v>14.6</v>
      </c>
      <c r="E8627" t="s">
        <v>31</v>
      </c>
    </row>
    <row r="8628" spans="1:5" x14ac:dyDescent="0.25">
      <c r="A8628" t="str">
        <f>HYPERLINK("https://www.773grp.com/globalSearch/SN54LS112AJ/page-1", "SN54LS112AJ")</f>
        <v>SN54LS112AJ</v>
      </c>
      <c r="B8628" s="3" t="s">
        <v>90</v>
      </c>
      <c r="C8628" s="5">
        <v>363</v>
      </c>
      <c r="D8628" s="6">
        <v>14.65</v>
      </c>
      <c r="E8628" t="s">
        <v>31</v>
      </c>
    </row>
    <row r="8629" spans="1:5" x14ac:dyDescent="0.25">
      <c r="A8629" t="str">
        <f>HYPERLINK("https://www.773grp.com/globalSearch/SN54S112J/page-1", "SN54S112J")</f>
        <v>SN54S112J</v>
      </c>
      <c r="B8629" s="3" t="s">
        <v>90</v>
      </c>
      <c r="C8629" s="5">
        <v>497</v>
      </c>
      <c r="D8629" s="6">
        <v>14.65</v>
      </c>
      <c r="E8629" t="s">
        <v>31</v>
      </c>
    </row>
    <row r="8630" spans="1:5" x14ac:dyDescent="0.25">
      <c r="A8630" t="str">
        <f>HYPERLINK("https://www.773grp.com/globalSearch/SNJ54LS76AJ/page-1", "SNJ54LS76AJ")</f>
        <v>SNJ54LS76AJ</v>
      </c>
      <c r="B8630" s="3" t="s">
        <v>90</v>
      </c>
      <c r="C8630" s="5">
        <v>49</v>
      </c>
      <c r="D8630" s="6">
        <v>14.74</v>
      </c>
      <c r="E8630" t="s">
        <v>31</v>
      </c>
    </row>
    <row r="8631" spans="1:5" x14ac:dyDescent="0.25">
      <c r="A8631" t="str">
        <f>HYPERLINK("https://www.773grp.com/globalSearch/CD54HC74F3A/page-1", "CD54HC74F3A")</f>
        <v>CD54HC74F3A</v>
      </c>
      <c r="B8631" s="3" t="s">
        <v>90</v>
      </c>
      <c r="C8631" s="5">
        <v>586</v>
      </c>
      <c r="D8631" s="6">
        <v>14.81</v>
      </c>
      <c r="E8631" t="s">
        <v>31</v>
      </c>
    </row>
    <row r="8632" spans="1:5" x14ac:dyDescent="0.25">
      <c r="A8632" t="str">
        <f>HYPERLINK("https://www.773grp.com/globalSearch/SNJ54LS377J/page-1", "SNJ54LS377J")</f>
        <v>SNJ54LS377J</v>
      </c>
      <c r="B8632" s="3" t="s">
        <v>90</v>
      </c>
      <c r="C8632" s="5">
        <v>46</v>
      </c>
      <c r="D8632" s="6">
        <v>14.85</v>
      </c>
      <c r="E8632" t="s">
        <v>31</v>
      </c>
    </row>
    <row r="8633" spans="1:5" x14ac:dyDescent="0.25">
      <c r="A8633" t="str">
        <f>HYPERLINK("https://www.773grp.com/globalSearch/SNJ54HC74J/page-1", "SNJ54HC74J")</f>
        <v>SNJ54HC74J</v>
      </c>
      <c r="B8633" s="3" t="s">
        <v>90</v>
      </c>
      <c r="C8633" s="5">
        <v>6666</v>
      </c>
      <c r="D8633" s="6">
        <v>14.94</v>
      </c>
      <c r="E8633" t="s">
        <v>31</v>
      </c>
    </row>
    <row r="8634" spans="1:5" x14ac:dyDescent="0.25">
      <c r="A8634" t="str">
        <f>HYPERLINK("https://www.773grp.com/globalSearch/SN74HSTL16919DGGR/page-1", "SN74HSTL16919DGGR")</f>
        <v>SN74HSTL16919DGGR</v>
      </c>
      <c r="B8634" s="3" t="s">
        <v>90</v>
      </c>
      <c r="C8634" s="5">
        <v>10000</v>
      </c>
      <c r="D8634" s="6">
        <v>15.08</v>
      </c>
      <c r="E8634" t="s">
        <v>31</v>
      </c>
    </row>
    <row r="8635" spans="1:5" x14ac:dyDescent="0.25">
      <c r="A8635" t="str">
        <f>HYPERLINK("https://www.773grp.com/globalSearch/SN74SSTL16857DGGR/page-1", "SN74SSTL16857DGGR")</f>
        <v>SN74SSTL16857DGGR</v>
      </c>
      <c r="B8635" s="3" t="s">
        <v>90</v>
      </c>
      <c r="C8635" s="5">
        <v>12000</v>
      </c>
      <c r="D8635" s="6">
        <v>15.08</v>
      </c>
      <c r="E8635" t="s">
        <v>31</v>
      </c>
    </row>
    <row r="8636" spans="1:5" x14ac:dyDescent="0.25">
      <c r="A8636" t="str">
        <f>HYPERLINK("https://www.773grp.com/globalSearch/SNJ54107J/page-1", "SNJ54107J")</f>
        <v>SNJ54107J</v>
      </c>
      <c r="B8636" s="3" t="s">
        <v>90</v>
      </c>
      <c r="C8636" s="5">
        <v>185</v>
      </c>
      <c r="D8636" s="6">
        <v>15.3</v>
      </c>
      <c r="E8636" t="s">
        <v>31</v>
      </c>
    </row>
    <row r="8637" spans="1:5" x14ac:dyDescent="0.25">
      <c r="A8637" t="str">
        <f>HYPERLINK("https://www.773grp.com/globalSearch/SN54AS74AJ/page-1", "SN54AS74AJ")</f>
        <v>SN54AS74AJ</v>
      </c>
      <c r="B8637" s="3" t="s">
        <v>90</v>
      </c>
      <c r="C8637" s="5">
        <v>177</v>
      </c>
      <c r="D8637" s="6">
        <v>15.41</v>
      </c>
      <c r="E8637" t="s">
        <v>31</v>
      </c>
    </row>
    <row r="8638" spans="1:5" x14ac:dyDescent="0.25">
      <c r="A8638" t="str">
        <f>HYPERLINK("https://www.773grp.com/globalSearch/SNJ54376J/page-1", "SNJ54376J")</f>
        <v>SNJ54376J</v>
      </c>
      <c r="B8638" s="3" t="s">
        <v>90</v>
      </c>
      <c r="C8638" s="5">
        <v>338</v>
      </c>
      <c r="D8638" s="6">
        <v>15.44</v>
      </c>
      <c r="E8638" t="s">
        <v>31</v>
      </c>
    </row>
    <row r="8639" spans="1:5" x14ac:dyDescent="0.25">
      <c r="A8639" t="str">
        <f>HYPERLINK("https://www.773grp.com/globalSearch/5962-8515401CA/page-1", "5962-8515401CA")</f>
        <v>5962-8515401CA</v>
      </c>
      <c r="B8639" s="3" t="s">
        <v>90</v>
      </c>
      <c r="C8639" s="5">
        <v>160</v>
      </c>
      <c r="D8639" s="6">
        <v>15.64</v>
      </c>
      <c r="E8639" t="s">
        <v>31</v>
      </c>
    </row>
    <row r="8640" spans="1:5" x14ac:dyDescent="0.25">
      <c r="A8640" t="str">
        <f>HYPERLINK("https://www.773grp.com/globalSearch/CD54HC107F3A/page-1", "CD54HC107F3A")</f>
        <v>CD54HC107F3A</v>
      </c>
      <c r="B8640" s="3" t="s">
        <v>90</v>
      </c>
      <c r="C8640" s="5">
        <v>110</v>
      </c>
      <c r="D8640" s="6">
        <v>15.64</v>
      </c>
      <c r="E8640" t="s">
        <v>31</v>
      </c>
    </row>
    <row r="8641" spans="1:5" x14ac:dyDescent="0.25">
      <c r="A8641" t="str">
        <f>HYPERLINK("https://www.773grp.com/globalSearch/SN74HSTL162822DGGR/page-1", "SN74HSTL162822DGGR")</f>
        <v>SN74HSTL162822DGGR</v>
      </c>
      <c r="B8641" s="3" t="s">
        <v>90</v>
      </c>
      <c r="C8641" s="5">
        <v>6000</v>
      </c>
      <c r="D8641" s="6">
        <v>16.059999999999999</v>
      </c>
      <c r="E8641" t="s">
        <v>31</v>
      </c>
    </row>
    <row r="8642" spans="1:5" x14ac:dyDescent="0.25">
      <c r="A8642" t="str">
        <f>HYPERLINK("https://www.773grp.com/globalSearch/SNJ54S112J/page-1", "SNJ54S112J")</f>
        <v>SNJ54S112J</v>
      </c>
      <c r="B8642" s="3" t="s">
        <v>90</v>
      </c>
      <c r="C8642" s="5">
        <v>340</v>
      </c>
      <c r="D8642" s="6">
        <v>16.16</v>
      </c>
      <c r="E8642" t="s">
        <v>31</v>
      </c>
    </row>
    <row r="8643" spans="1:5" x14ac:dyDescent="0.25">
      <c r="A8643" t="str">
        <f>HYPERLINK("https://www.773grp.com/globalSearch/8407001EA/page-1", "8407001EA")</f>
        <v>8407001EA</v>
      </c>
      <c r="B8643" s="3" t="s">
        <v>90</v>
      </c>
      <c r="C8643" s="5">
        <v>208</v>
      </c>
      <c r="D8643" s="6">
        <v>16.29</v>
      </c>
      <c r="E8643" t="s">
        <v>31</v>
      </c>
    </row>
    <row r="8644" spans="1:5" x14ac:dyDescent="0.25">
      <c r="A8644" t="str">
        <f>HYPERLINK("https://www.773grp.com/globalSearch/CD54HC75F3A/page-1", "CD54HC75F3A")</f>
        <v>CD54HC75F3A</v>
      </c>
      <c r="B8644" s="3" t="s">
        <v>90</v>
      </c>
      <c r="C8644" s="5">
        <v>93</v>
      </c>
      <c r="D8644" s="6">
        <v>16.29</v>
      </c>
      <c r="E8644" t="s">
        <v>31</v>
      </c>
    </row>
    <row r="8645" spans="1:5" x14ac:dyDescent="0.25">
      <c r="A8645" t="str">
        <f>HYPERLINK("https://www.773grp.com/globalSearch/SN74ALS990N/page-1", "SN74ALS990N")</f>
        <v>SN74ALS990N</v>
      </c>
      <c r="B8645" s="3" t="s">
        <v>90</v>
      </c>
      <c r="C8645" s="5">
        <v>600</v>
      </c>
      <c r="D8645" s="6">
        <v>16.29</v>
      </c>
      <c r="E8645" t="s">
        <v>31</v>
      </c>
    </row>
    <row r="8646" spans="1:5" x14ac:dyDescent="0.25">
      <c r="A8646" t="str">
        <f>HYPERLINK("https://www.773grp.com/globalSearch/SNJ54LS112AJ/page-1", "SNJ54LS112AJ")</f>
        <v>SNJ54LS112AJ</v>
      </c>
      <c r="B8646" s="3" t="s">
        <v>90</v>
      </c>
      <c r="C8646" s="5">
        <v>65</v>
      </c>
      <c r="D8646" s="6">
        <v>16.399999999999999</v>
      </c>
      <c r="E8646" t="s">
        <v>31</v>
      </c>
    </row>
    <row r="8647" spans="1:5" x14ac:dyDescent="0.25">
      <c r="A8647" t="str">
        <f>HYPERLINK("https://www.773grp.com/globalSearch/7601901EA/page-1", "7601901EA")</f>
        <v>7601901EA</v>
      </c>
      <c r="B8647" s="3" t="s">
        <v>90</v>
      </c>
      <c r="C8647" s="5">
        <v>313</v>
      </c>
      <c r="D8647" s="6">
        <v>16.43</v>
      </c>
      <c r="E8647" t="s">
        <v>31</v>
      </c>
    </row>
    <row r="8648" spans="1:5" x14ac:dyDescent="0.25">
      <c r="A8648" t="str">
        <f>HYPERLINK("https://www.773grp.com/globalSearch/SNJ54S74J/page-1", "SNJ54S74J")</f>
        <v>SNJ54S74J</v>
      </c>
      <c r="B8648" s="3" t="s">
        <v>90</v>
      </c>
      <c r="C8648" s="5">
        <v>3</v>
      </c>
      <c r="D8648" s="6">
        <v>16.63</v>
      </c>
      <c r="E8648" t="s">
        <v>31</v>
      </c>
    </row>
    <row r="8649" spans="1:5" x14ac:dyDescent="0.25">
      <c r="A8649" t="str">
        <f>HYPERLINK("https://www.773grp.com/globalSearch/SN54LS375J/page-1", "SN54LS375J")</f>
        <v>SN54LS375J</v>
      </c>
      <c r="B8649" s="3" t="s">
        <v>90</v>
      </c>
      <c r="C8649" s="5">
        <v>50</v>
      </c>
      <c r="D8649" s="6">
        <v>16.989999999999998</v>
      </c>
      <c r="E8649" t="s">
        <v>31</v>
      </c>
    </row>
    <row r="8650" spans="1:5" x14ac:dyDescent="0.25">
      <c r="A8650" t="str">
        <f>HYPERLINK("https://www.773grp.com/globalSearch/CD54HCT273F/page-1", "CD54HCT273F")</f>
        <v>CD54HCT273F</v>
      </c>
      <c r="B8650" s="3" t="s">
        <v>90</v>
      </c>
      <c r="C8650" s="5">
        <v>6</v>
      </c>
      <c r="D8650" s="6">
        <v>17.16</v>
      </c>
      <c r="E8650" t="s">
        <v>31</v>
      </c>
    </row>
    <row r="8651" spans="1:5" x14ac:dyDescent="0.25">
      <c r="A8651" t="str">
        <f>HYPERLINK("https://www.773grp.com/globalSearch/5962-8992501EA/page-1", "5962-8992501EA")</f>
        <v>5962-8992501EA</v>
      </c>
      <c r="B8651" s="3" t="s">
        <v>90</v>
      </c>
      <c r="C8651" s="5">
        <v>786</v>
      </c>
      <c r="D8651" s="6">
        <v>17.21</v>
      </c>
      <c r="E8651" t="s">
        <v>31</v>
      </c>
    </row>
    <row r="8652" spans="1:5" x14ac:dyDescent="0.25">
      <c r="A8652" t="str">
        <f>HYPERLINK("https://www.773grp.com/globalSearch/SNJ54LS378J/page-1", "SNJ54LS378J")</f>
        <v>SNJ54LS378J</v>
      </c>
      <c r="B8652" s="3" t="s">
        <v>90</v>
      </c>
      <c r="C8652" s="5">
        <v>113</v>
      </c>
      <c r="D8652" s="6">
        <v>17.21</v>
      </c>
      <c r="E8652" t="s">
        <v>31</v>
      </c>
    </row>
    <row r="8653" spans="1:5" x14ac:dyDescent="0.25">
      <c r="A8653" t="str">
        <f>HYPERLINK("https://www.773grp.com/globalSearch/SNJ54AS74AJ/page-1", "SNJ54AS74AJ")</f>
        <v>SNJ54AS74AJ</v>
      </c>
      <c r="B8653" s="3" t="s">
        <v>90</v>
      </c>
      <c r="C8653" s="5">
        <v>179</v>
      </c>
      <c r="D8653" s="6">
        <v>17.66</v>
      </c>
      <c r="E8653" t="s">
        <v>31</v>
      </c>
    </row>
    <row r="8654" spans="1:5" x14ac:dyDescent="0.25">
      <c r="A8654" t="str">
        <f>HYPERLINK("https://www.773grp.com/globalSearch/SN74ALS990DW/page-1", "SN74ALS990DW")</f>
        <v>SN74ALS990DW</v>
      </c>
      <c r="B8654" s="3" t="s">
        <v>90</v>
      </c>
      <c r="C8654" s="5">
        <v>39</v>
      </c>
      <c r="D8654" s="6">
        <v>17.690000000000001</v>
      </c>
      <c r="E8654" t="s">
        <v>31</v>
      </c>
    </row>
    <row r="8655" spans="1:5" x14ac:dyDescent="0.25">
      <c r="A8655" t="str">
        <f>HYPERLINK("https://www.773grp.com/globalSearch/5962-9070101MEA/page-1", "5962-9070101MEA")</f>
        <v>5962-9070101MEA</v>
      </c>
      <c r="B8655" s="3" t="s">
        <v>90</v>
      </c>
      <c r="C8655" s="5">
        <v>81</v>
      </c>
      <c r="D8655" s="6">
        <v>18.059999999999999</v>
      </c>
      <c r="E8655" t="s">
        <v>31</v>
      </c>
    </row>
    <row r="8656" spans="1:5" x14ac:dyDescent="0.25">
      <c r="A8656" t="str">
        <f>HYPERLINK("https://www.773grp.com/globalSearch/CD54HCT109F3A/page-1", "CD54HCT109F3A")</f>
        <v>CD54HCT109F3A</v>
      </c>
      <c r="B8656" s="3" t="s">
        <v>90</v>
      </c>
      <c r="C8656" s="5">
        <v>16</v>
      </c>
      <c r="D8656" s="6">
        <v>18.059999999999999</v>
      </c>
      <c r="E8656" t="s">
        <v>31</v>
      </c>
    </row>
    <row r="8657" spans="1:5" x14ac:dyDescent="0.25">
      <c r="A8657" t="str">
        <f>HYPERLINK("https://www.773grp.com/globalSearch/CD4042BF/page-1", "CD4042BF")</f>
        <v>CD4042BF</v>
      </c>
      <c r="B8657" s="3" t="s">
        <v>90</v>
      </c>
      <c r="C8657" s="5">
        <v>226</v>
      </c>
      <c r="D8657" s="6">
        <v>18.23</v>
      </c>
      <c r="E8657" t="s">
        <v>31</v>
      </c>
    </row>
    <row r="8658" spans="1:5" x14ac:dyDescent="0.25">
      <c r="A8658" t="str">
        <f>HYPERLINK("https://www.773grp.com/globalSearch/5962-8752501M2A/page-1", "5962-8752501M2A")</f>
        <v>5962-8752501M2A</v>
      </c>
      <c r="B8658" s="3" t="s">
        <v>90</v>
      </c>
      <c r="C8658" s="5">
        <v>125</v>
      </c>
      <c r="D8658" s="6">
        <v>18.399999999999999</v>
      </c>
      <c r="E8658" t="s">
        <v>31</v>
      </c>
    </row>
    <row r="8659" spans="1:5" x14ac:dyDescent="0.25">
      <c r="A8659" t="str">
        <f>HYPERLINK("https://www.773grp.com/globalSearch/SNJ54ACT74FK/page-1", "SNJ54ACT74FK")</f>
        <v>SNJ54ACT74FK</v>
      </c>
      <c r="B8659" s="3" t="s">
        <v>90</v>
      </c>
      <c r="C8659" s="5">
        <v>44</v>
      </c>
      <c r="D8659" s="6">
        <v>18.399999999999999</v>
      </c>
      <c r="E8659" t="s">
        <v>31</v>
      </c>
    </row>
    <row r="8660" spans="1:5" x14ac:dyDescent="0.25">
      <c r="A8660" t="str">
        <f>HYPERLINK("https://www.773grp.com/globalSearch/SN74SSTV32852GKFR/page-1", "SN74SSTV32852GKFR")</f>
        <v>SN74SSTV32852GKFR</v>
      </c>
      <c r="B8660" s="3" t="s">
        <v>90</v>
      </c>
      <c r="C8660" s="5">
        <v>52996</v>
      </c>
      <c r="D8660" s="6">
        <v>18.43</v>
      </c>
      <c r="E8660" t="s">
        <v>31</v>
      </c>
    </row>
    <row r="8661" spans="1:5" x14ac:dyDescent="0.25">
      <c r="A8661" t="str">
        <f>HYPERLINK("https://www.773grp.com/globalSearch/SN74SSTV32852ZKFR/page-1", "SN74SSTV32852ZKFR")</f>
        <v>SN74SSTV32852ZKFR</v>
      </c>
      <c r="B8661" s="3" t="s">
        <v>90</v>
      </c>
      <c r="C8661" s="5">
        <v>1000</v>
      </c>
      <c r="D8661" s="6">
        <v>18.43</v>
      </c>
      <c r="E8661" t="s">
        <v>31</v>
      </c>
    </row>
    <row r="8662" spans="1:5" x14ac:dyDescent="0.25">
      <c r="A8662" t="str">
        <f>HYPERLINK("https://www.773grp.com/globalSearch/SN74SSTU32864DZKER/page-1", "SN74SSTU32864DZKER")</f>
        <v>SN74SSTU32864DZKER</v>
      </c>
      <c r="B8662" s="3" t="s">
        <v>90</v>
      </c>
      <c r="C8662" s="5">
        <v>154000</v>
      </c>
      <c r="D8662" s="6">
        <v>18.559999999999999</v>
      </c>
      <c r="E8662" t="s">
        <v>31</v>
      </c>
    </row>
    <row r="8663" spans="1:5" x14ac:dyDescent="0.25">
      <c r="A8663" t="str">
        <f>HYPERLINK("https://www.773grp.com/globalSearch/SN74SSTU32864EZKER/page-1", "SN74SSTU32864EZKER")</f>
        <v>SN74SSTU32864EZKER</v>
      </c>
      <c r="B8663" s="3" t="s">
        <v>90</v>
      </c>
      <c r="C8663" s="5">
        <v>22000</v>
      </c>
      <c r="D8663" s="6">
        <v>18.559999999999999</v>
      </c>
      <c r="E8663" t="s">
        <v>31</v>
      </c>
    </row>
    <row r="8664" spans="1:5" x14ac:dyDescent="0.25">
      <c r="A8664" t="str">
        <f>HYPERLINK("https://www.773grp.com/globalSearch/CD54HCT75F3A/page-1", "CD54HCT75F3A")</f>
        <v>CD54HCT75F3A</v>
      </c>
      <c r="B8664" s="3" t="s">
        <v>90</v>
      </c>
      <c r="C8664" s="5">
        <v>197</v>
      </c>
      <c r="D8664" s="6">
        <v>18.649999999999999</v>
      </c>
      <c r="E8664" t="s">
        <v>31</v>
      </c>
    </row>
    <row r="8665" spans="1:5" x14ac:dyDescent="0.25">
      <c r="A8665" t="str">
        <f>HYPERLINK("https://www.773grp.com/globalSearch/SNJ54LS73AFD/page-1", "SNJ54LS73AFD")</f>
        <v>SNJ54LS73AFD</v>
      </c>
      <c r="B8665" s="3" t="s">
        <v>90</v>
      </c>
      <c r="C8665" s="5">
        <v>104</v>
      </c>
      <c r="D8665" s="6">
        <v>18.68</v>
      </c>
      <c r="E8665" t="s">
        <v>31</v>
      </c>
    </row>
    <row r="8666" spans="1:5" x14ac:dyDescent="0.25">
      <c r="A8666" t="str">
        <f>HYPERLINK("https://www.773grp.com/globalSearch/JM38510-30103BEA/page-1", "JM38510-30103BEA")</f>
        <v>JM38510-30103BEA</v>
      </c>
      <c r="B8666" s="3" t="s">
        <v>90</v>
      </c>
      <c r="C8666" s="5">
        <v>82</v>
      </c>
      <c r="D8666" s="6">
        <v>18.86</v>
      </c>
      <c r="E8666" t="s">
        <v>31</v>
      </c>
    </row>
    <row r="8667" spans="1:5" x14ac:dyDescent="0.25">
      <c r="A8667" t="str">
        <f>HYPERLINK("https://www.773grp.com/globalSearch/5962-8752501MDA/page-1", "5962-8752501MDA")</f>
        <v>5962-8752501MDA</v>
      </c>
      <c r="B8667" s="3" t="s">
        <v>90</v>
      </c>
      <c r="C8667" s="5">
        <v>342</v>
      </c>
      <c r="D8667" s="6">
        <v>18.95</v>
      </c>
      <c r="E8667" t="s">
        <v>31</v>
      </c>
    </row>
    <row r="8668" spans="1:5" x14ac:dyDescent="0.25">
      <c r="A8668" t="str">
        <f>HYPERLINK("https://www.773grp.com/globalSearch/5962-9314801QRA/page-1", "5962-9314801QRA")</f>
        <v>5962-9314801QRA</v>
      </c>
      <c r="B8668" s="3" t="s">
        <v>90</v>
      </c>
      <c r="C8668" s="5">
        <v>562</v>
      </c>
      <c r="D8668" s="6">
        <v>18.989999999999998</v>
      </c>
      <c r="E8668" t="s">
        <v>31</v>
      </c>
    </row>
    <row r="8669" spans="1:5" x14ac:dyDescent="0.25">
      <c r="A8669" t="str">
        <f>HYPERLINK("https://www.773grp.com/globalSearch/CD4044BF/page-1", "CD4044BF")</f>
        <v>CD4044BF</v>
      </c>
      <c r="B8669" s="3" t="s">
        <v>90</v>
      </c>
      <c r="C8669" s="5">
        <v>241</v>
      </c>
      <c r="D8669" s="6">
        <v>19.010000000000002</v>
      </c>
      <c r="E8669" t="s">
        <v>31</v>
      </c>
    </row>
    <row r="8670" spans="1:5" x14ac:dyDescent="0.25">
      <c r="A8670" t="str">
        <f>HYPERLINK("https://www.773grp.com/globalSearch/SNJ5472J/page-1", "SNJ5472J")</f>
        <v>SNJ5472J</v>
      </c>
      <c r="B8670" s="3" t="s">
        <v>90</v>
      </c>
      <c r="C8670" s="5">
        <v>69</v>
      </c>
      <c r="D8670" s="6">
        <v>19.04</v>
      </c>
      <c r="E8670" t="s">
        <v>31</v>
      </c>
    </row>
    <row r="8671" spans="1:5" x14ac:dyDescent="0.25">
      <c r="A8671" t="str">
        <f>HYPERLINK("https://www.773grp.com/globalSearch/CD54HC377F3A/page-1", "CD54HC377F3A")</f>
        <v>CD54HC377F3A</v>
      </c>
      <c r="B8671" s="3" t="s">
        <v>90</v>
      </c>
      <c r="C8671" s="5">
        <v>141</v>
      </c>
      <c r="D8671" s="6">
        <v>19.100000000000001</v>
      </c>
      <c r="E8671" t="s">
        <v>31</v>
      </c>
    </row>
    <row r="8672" spans="1:5" x14ac:dyDescent="0.25">
      <c r="A8672" t="str">
        <f>HYPERLINK("https://www.773grp.com/globalSearch/SNJ54LS375J/page-1", "SNJ54LS375J")</f>
        <v>SNJ54LS375J</v>
      </c>
      <c r="B8672" s="3" t="s">
        <v>90</v>
      </c>
      <c r="C8672" s="5">
        <v>138</v>
      </c>
      <c r="D8672" s="6">
        <v>19.100000000000001</v>
      </c>
      <c r="E8672" t="s">
        <v>31</v>
      </c>
    </row>
    <row r="8673" spans="1:5" x14ac:dyDescent="0.25">
      <c r="A8673" t="str">
        <f>HYPERLINK("https://www.773grp.com/globalSearch/8301902EA/page-1", "8301902EA")</f>
        <v>8301902EA</v>
      </c>
      <c r="B8673" s="3" t="s">
        <v>90</v>
      </c>
      <c r="C8673" s="5">
        <v>3</v>
      </c>
      <c r="D8673" s="6">
        <v>19.13</v>
      </c>
      <c r="E8673" t="s">
        <v>31</v>
      </c>
    </row>
    <row r="8674" spans="1:5" x14ac:dyDescent="0.25">
      <c r="A8674" t="str">
        <f>HYPERLINK("https://www.773grp.com/globalSearch/SNJ54LS259BW/page-1", "SNJ54LS259BW")</f>
        <v>SNJ54LS259BW</v>
      </c>
      <c r="B8674" s="3" t="s">
        <v>90</v>
      </c>
      <c r="C8674" s="5">
        <v>48</v>
      </c>
      <c r="D8674" s="6">
        <v>19.29</v>
      </c>
      <c r="E8674" t="s">
        <v>31</v>
      </c>
    </row>
    <row r="8675" spans="1:5" x14ac:dyDescent="0.25">
      <c r="A8675" t="str">
        <f>HYPERLINK("https://www.773grp.com/globalSearch/JM38510-34102BFA/page-1", "JM38510-34102BFA")</f>
        <v>JM38510-34102BFA</v>
      </c>
      <c r="B8675" s="3" t="s">
        <v>90</v>
      </c>
      <c r="C8675" s="5">
        <v>1075</v>
      </c>
      <c r="D8675" s="6">
        <v>19.489999999999998</v>
      </c>
      <c r="E8675" t="s">
        <v>31</v>
      </c>
    </row>
    <row r="8676" spans="1:5" x14ac:dyDescent="0.25">
      <c r="A8676" t="str">
        <f>HYPERLINK("https://www.773grp.com/globalSearch/SNJ54LS259BFK/page-1", "SNJ54LS259BFK")</f>
        <v>SNJ54LS259BFK</v>
      </c>
      <c r="B8676" s="3" t="s">
        <v>90</v>
      </c>
      <c r="C8676" s="5">
        <v>145</v>
      </c>
      <c r="D8676" s="6">
        <v>19.53</v>
      </c>
      <c r="E8676" t="s">
        <v>31</v>
      </c>
    </row>
    <row r="8677" spans="1:5" x14ac:dyDescent="0.25">
      <c r="A8677" t="str">
        <f>HYPERLINK("https://www.773grp.com/globalSearch/SNJ54LS107AFK/page-1", "SNJ54LS107AFK")</f>
        <v>SNJ54LS107AFK</v>
      </c>
      <c r="B8677" s="3" t="s">
        <v>90</v>
      </c>
      <c r="C8677" s="5">
        <v>20</v>
      </c>
      <c r="D8677" s="6">
        <v>19.579999999999998</v>
      </c>
      <c r="E8677" t="s">
        <v>31</v>
      </c>
    </row>
    <row r="8678" spans="1:5" x14ac:dyDescent="0.25">
      <c r="A8678" t="str">
        <f>HYPERLINK("https://www.773grp.com/globalSearch/5962-8682501EA/page-1", "5962-8682501EA")</f>
        <v>5962-8682501EA</v>
      </c>
      <c r="B8678" s="3" t="s">
        <v>90</v>
      </c>
      <c r="C8678" s="5">
        <v>202</v>
      </c>
      <c r="D8678" s="6">
        <v>20.11</v>
      </c>
      <c r="E8678" t="s">
        <v>31</v>
      </c>
    </row>
    <row r="8679" spans="1:5" x14ac:dyDescent="0.25">
      <c r="A8679" t="str">
        <f>HYPERLINK("https://www.773grp.com/globalSearch/5962-9321701QRA/page-1", "5962-9321701QRA")</f>
        <v>5962-9321701QRA</v>
      </c>
      <c r="B8679" s="3" t="s">
        <v>90</v>
      </c>
      <c r="C8679" s="5">
        <v>944</v>
      </c>
      <c r="D8679" s="6">
        <v>20.11</v>
      </c>
      <c r="E8679" t="s">
        <v>31</v>
      </c>
    </row>
    <row r="8680" spans="1:5" x14ac:dyDescent="0.25">
      <c r="A8680" t="str">
        <f>HYPERLINK("https://www.773grp.com/globalSearch/CD54HC173F3A/page-1", "CD54HC173F3A")</f>
        <v>CD54HC173F3A</v>
      </c>
      <c r="B8680" s="3" t="s">
        <v>90</v>
      </c>
      <c r="C8680" s="5">
        <v>36</v>
      </c>
      <c r="D8680" s="6">
        <v>20.11</v>
      </c>
      <c r="E8680" t="s">
        <v>31</v>
      </c>
    </row>
    <row r="8681" spans="1:5" x14ac:dyDescent="0.25">
      <c r="A8681" t="str">
        <f>HYPERLINK("https://www.773grp.com/globalSearch/5962-9761601QCA/page-1", "5962-9761601QCA")</f>
        <v>5962-9761601QCA</v>
      </c>
      <c r="B8681" s="3" t="s">
        <v>90</v>
      </c>
      <c r="C8681" s="5">
        <v>191</v>
      </c>
      <c r="D8681" s="6">
        <v>20.25</v>
      </c>
      <c r="E8681" t="s">
        <v>31</v>
      </c>
    </row>
    <row r="8682" spans="1:5" x14ac:dyDescent="0.25">
      <c r="A8682" t="str">
        <f>HYPERLINK("https://www.773grp.com/globalSearch/JM38510-30105BCA/page-1", "JM38510-30105BCA")</f>
        <v>JM38510-30105BCA</v>
      </c>
      <c r="B8682" s="3" t="s">
        <v>90</v>
      </c>
      <c r="C8682" s="5">
        <v>816</v>
      </c>
      <c r="D8682" s="6">
        <v>20.39</v>
      </c>
      <c r="E8682" t="s">
        <v>31</v>
      </c>
    </row>
    <row r="8683" spans="1:5" x14ac:dyDescent="0.25">
      <c r="A8683" t="str">
        <f>HYPERLINK("https://www.773grp.com/globalSearch/JM38510-34101B2A/page-1", "JM38510-34101B2A")</f>
        <v>JM38510-34101B2A</v>
      </c>
      <c r="B8683" s="3" t="s">
        <v>90</v>
      </c>
      <c r="C8683" s="5">
        <v>214</v>
      </c>
      <c r="D8683" s="6">
        <v>20.81</v>
      </c>
      <c r="E8683" t="s">
        <v>31</v>
      </c>
    </row>
    <row r="8684" spans="1:5" x14ac:dyDescent="0.25">
      <c r="A8684" t="str">
        <f>HYPERLINK("https://www.773grp.com/globalSearch/SN54LS399J/page-1", "SN54LS399J")</f>
        <v>SN54LS399J</v>
      </c>
      <c r="B8684" s="3" t="s">
        <v>90</v>
      </c>
      <c r="C8684" s="5">
        <v>83</v>
      </c>
      <c r="D8684" s="6">
        <v>20.93</v>
      </c>
      <c r="E8684" t="s">
        <v>31</v>
      </c>
    </row>
    <row r="8685" spans="1:5" x14ac:dyDescent="0.25">
      <c r="A8685" t="str">
        <f>HYPERLINK("https://www.773grp.com/globalSearch/CD4076BF/page-1", "CD4076BF")</f>
        <v>CD4076BF</v>
      </c>
      <c r="B8685" s="3" t="s">
        <v>90</v>
      </c>
      <c r="C8685" s="5">
        <v>102</v>
      </c>
      <c r="D8685" s="6">
        <v>21.15</v>
      </c>
      <c r="E8685" t="s">
        <v>31</v>
      </c>
    </row>
    <row r="8686" spans="1:5" x14ac:dyDescent="0.25">
      <c r="A8686" t="str">
        <f>HYPERLINK("https://www.773grp.com/globalSearch/CD4027BF3A/page-1", "CD4027BF3A")</f>
        <v>CD4027BF3A</v>
      </c>
      <c r="B8686" s="3" t="s">
        <v>90</v>
      </c>
      <c r="C8686" s="5">
        <v>123</v>
      </c>
      <c r="D8686" s="6">
        <v>21.64</v>
      </c>
      <c r="E8686" t="s">
        <v>31</v>
      </c>
    </row>
    <row r="8687" spans="1:5" x14ac:dyDescent="0.25">
      <c r="A8687" t="str">
        <f>HYPERLINK("https://www.773grp.com/globalSearch/SN54S174J/page-1", "SN54S174J")</f>
        <v>SN54S174J</v>
      </c>
      <c r="B8687" s="3" t="s">
        <v>90</v>
      </c>
      <c r="C8687" s="5">
        <v>57</v>
      </c>
      <c r="D8687" s="6">
        <v>21.64</v>
      </c>
      <c r="E8687" t="s">
        <v>31</v>
      </c>
    </row>
    <row r="8688" spans="1:5" x14ac:dyDescent="0.25">
      <c r="A8688" t="str">
        <f>HYPERLINK("https://www.773grp.com/globalSearch/CSSTV32867SGKEREP/page-1", "CSSTV32867SGKEREP")</f>
        <v>CSSTV32867SGKEREP</v>
      </c>
      <c r="B8688" s="3" t="s">
        <v>90</v>
      </c>
      <c r="C8688" s="5">
        <v>200</v>
      </c>
      <c r="D8688" s="6">
        <v>21.8</v>
      </c>
      <c r="E8688" t="s">
        <v>31</v>
      </c>
    </row>
    <row r="8689" spans="1:5" x14ac:dyDescent="0.25">
      <c r="A8689" t="str">
        <f>HYPERLINK("https://www.773grp.com/globalSearch/JM38510-31601BEA/page-1", "JM38510-31601BEA")</f>
        <v>JM38510-31601BEA</v>
      </c>
      <c r="B8689" s="3" t="s">
        <v>90</v>
      </c>
      <c r="C8689" s="5">
        <v>162</v>
      </c>
      <c r="D8689" s="6">
        <v>22.24</v>
      </c>
      <c r="E8689" t="s">
        <v>31</v>
      </c>
    </row>
    <row r="8690" spans="1:5" x14ac:dyDescent="0.25">
      <c r="A8690" t="str">
        <f>HYPERLINK("https://www.773grp.com/globalSearch/74SSTUB32865ZJBR/page-1", "74SSTUB32865ZJBR")</f>
        <v>74SSTUB32865ZJBR</v>
      </c>
      <c r="B8690" s="3" t="s">
        <v>90</v>
      </c>
      <c r="C8690" s="5">
        <v>3250</v>
      </c>
      <c r="D8690" s="6">
        <v>22.28</v>
      </c>
      <c r="E8690" t="s">
        <v>31</v>
      </c>
    </row>
    <row r="8691" spans="1:5" x14ac:dyDescent="0.25">
      <c r="A8691" t="str">
        <f>HYPERLINK("https://www.773grp.com/globalSearch/74SSTUB32868AZRHR/page-1", "74SSTUB32868AZRHR")</f>
        <v>74SSTUB32868AZRHR</v>
      </c>
      <c r="B8691" s="3" t="s">
        <v>90</v>
      </c>
      <c r="C8691" s="5">
        <v>1252</v>
      </c>
      <c r="D8691" s="6">
        <v>22.28</v>
      </c>
      <c r="E8691" t="s">
        <v>31</v>
      </c>
    </row>
    <row r="8692" spans="1:5" x14ac:dyDescent="0.25">
      <c r="A8692" t="str">
        <f>HYPERLINK("https://www.773grp.com/globalSearch/74SSTUB32868ZRHR/page-1", "74SSTUB32868ZRHR")</f>
        <v>74SSTUB32868ZRHR</v>
      </c>
      <c r="B8692" s="3" t="s">
        <v>90</v>
      </c>
      <c r="C8692" s="5">
        <v>225000</v>
      </c>
      <c r="D8692" s="6">
        <v>22.28</v>
      </c>
      <c r="E8692" t="s">
        <v>31</v>
      </c>
    </row>
    <row r="8693" spans="1:5" x14ac:dyDescent="0.25">
      <c r="A8693" t="str">
        <f>HYPERLINK("https://www.773grp.com/globalSearch/SN74SSTU32864CZKER/page-1", "SN74SSTU32864CZKER")</f>
        <v>SN74SSTU32864CZKER</v>
      </c>
      <c r="B8693" s="3" t="s">
        <v>90</v>
      </c>
      <c r="C8693" s="5">
        <v>139297</v>
      </c>
      <c r="D8693" s="6">
        <v>22.28</v>
      </c>
      <c r="E8693" t="s">
        <v>31</v>
      </c>
    </row>
    <row r="8694" spans="1:5" x14ac:dyDescent="0.25">
      <c r="A8694" t="str">
        <f>HYPERLINK("https://www.773grp.com/globalSearch/SN74SSTU32864GKER/page-1", "SN74SSTU32864GKER")</f>
        <v>SN74SSTU32864GKER</v>
      </c>
      <c r="B8694" s="3" t="s">
        <v>90</v>
      </c>
      <c r="C8694" s="5">
        <v>11297</v>
      </c>
      <c r="D8694" s="6">
        <v>22.28</v>
      </c>
      <c r="E8694" t="s">
        <v>31</v>
      </c>
    </row>
    <row r="8695" spans="1:5" x14ac:dyDescent="0.25">
      <c r="A8695" t="str">
        <f>HYPERLINK("https://www.773grp.com/globalSearch/SN74SSTU32864ZKER/page-1", "SN74SSTU32864ZKER")</f>
        <v>SN74SSTU32864ZKER</v>
      </c>
      <c r="B8695" s="3" t="s">
        <v>90</v>
      </c>
      <c r="C8695" s="5">
        <v>316875</v>
      </c>
      <c r="D8695" s="6">
        <v>22.28</v>
      </c>
      <c r="E8695" t="s">
        <v>31</v>
      </c>
    </row>
    <row r="8696" spans="1:5" x14ac:dyDescent="0.25">
      <c r="A8696" t="str">
        <f>HYPERLINK("https://www.773grp.com/globalSearch/JM38510-30102BDA/page-1", "JM38510-30102BDA")</f>
        <v>JM38510-30102BDA</v>
      </c>
      <c r="B8696" s="3" t="s">
        <v>90</v>
      </c>
      <c r="C8696" s="5">
        <v>111</v>
      </c>
      <c r="D8696" s="6">
        <v>22.36</v>
      </c>
      <c r="E8696" t="s">
        <v>31</v>
      </c>
    </row>
    <row r="8697" spans="1:5" x14ac:dyDescent="0.25">
      <c r="A8697" t="str">
        <f>HYPERLINK("https://www.773grp.com/globalSearch/SNJ54H72W/page-1", "SNJ54H72W")</f>
        <v>SNJ54H72W</v>
      </c>
      <c r="B8697" s="3" t="s">
        <v>90</v>
      </c>
      <c r="C8697" s="5">
        <v>137</v>
      </c>
      <c r="D8697" s="6">
        <v>22.36</v>
      </c>
      <c r="E8697" t="s">
        <v>31</v>
      </c>
    </row>
    <row r="8698" spans="1:5" x14ac:dyDescent="0.25">
      <c r="A8698" t="str">
        <f>HYPERLINK("https://www.773grp.com/globalSearch/SNJ54H74W/page-1", "SNJ54H74W")</f>
        <v>SNJ54H74W</v>
      </c>
      <c r="B8698" s="3" t="s">
        <v>90</v>
      </c>
      <c r="C8698" s="5">
        <v>3</v>
      </c>
      <c r="D8698" s="6">
        <v>22.36</v>
      </c>
      <c r="E8698" t="s">
        <v>31</v>
      </c>
    </row>
    <row r="8699" spans="1:5" x14ac:dyDescent="0.25">
      <c r="A8699" t="str">
        <f>HYPERLINK("https://www.773grp.com/globalSearch/8413601RA/page-1", "8413601RA")</f>
        <v>8413601RA</v>
      </c>
      <c r="B8699" s="3" t="s">
        <v>90</v>
      </c>
      <c r="C8699" s="5">
        <v>17</v>
      </c>
      <c r="D8699" s="6">
        <v>22.66</v>
      </c>
      <c r="E8699" t="s">
        <v>31</v>
      </c>
    </row>
    <row r="8700" spans="1:5" x14ac:dyDescent="0.25">
      <c r="A8700" t="str">
        <f>HYPERLINK("https://www.773grp.com/globalSearch/SNJ54ALS273J/page-1", "SNJ54ALS273J")</f>
        <v>SNJ54ALS273J</v>
      </c>
      <c r="B8700" s="3" t="s">
        <v>90</v>
      </c>
      <c r="C8700" s="5">
        <v>33</v>
      </c>
      <c r="D8700" s="6">
        <v>22.66</v>
      </c>
      <c r="E8700" t="s">
        <v>31</v>
      </c>
    </row>
    <row r="8701" spans="1:5" x14ac:dyDescent="0.25">
      <c r="A8701" t="str">
        <f>HYPERLINK("https://www.773grp.com/globalSearch/SNJ54HC377J/page-1", "SNJ54HC377J")</f>
        <v>SNJ54HC377J</v>
      </c>
      <c r="B8701" s="3" t="s">
        <v>90</v>
      </c>
      <c r="C8701" s="5">
        <v>504</v>
      </c>
      <c r="D8701" s="6">
        <v>22.66</v>
      </c>
      <c r="E8701" t="s">
        <v>31</v>
      </c>
    </row>
    <row r="8702" spans="1:5" x14ac:dyDescent="0.25">
      <c r="A8702" t="str">
        <f>HYPERLINK("https://www.773grp.com/globalSearch/5962-8772501RA/page-1", "5962-8772501RA")</f>
        <v>5962-8772501RA</v>
      </c>
      <c r="B8702" s="3" t="s">
        <v>90</v>
      </c>
      <c r="C8702" s="5">
        <v>2</v>
      </c>
      <c r="D8702" s="6">
        <v>22.91</v>
      </c>
      <c r="E8702" t="s">
        <v>31</v>
      </c>
    </row>
    <row r="8703" spans="1:5" x14ac:dyDescent="0.25">
      <c r="A8703" t="str">
        <f>HYPERLINK("https://www.773grp.com/globalSearch/CD54HCT273F3A/page-1", "CD54HCT273F3A")</f>
        <v>CD54HCT273F3A</v>
      </c>
      <c r="B8703" s="3" t="s">
        <v>90</v>
      </c>
      <c r="C8703" s="5">
        <v>21</v>
      </c>
      <c r="D8703" s="6">
        <v>22.91</v>
      </c>
      <c r="E8703" t="s">
        <v>31</v>
      </c>
    </row>
    <row r="8704" spans="1:5" x14ac:dyDescent="0.25">
      <c r="A8704" t="str">
        <f>HYPERLINK("https://www.773grp.com/globalSearch/74SSTVF32852ZKFR/page-1", "74SSTVF32852ZKFR")</f>
        <v>74SSTVF32852ZKFR</v>
      </c>
      <c r="B8704" s="3" t="s">
        <v>90</v>
      </c>
      <c r="C8704" s="5">
        <v>94985</v>
      </c>
      <c r="D8704" s="6">
        <v>22.99</v>
      </c>
      <c r="E8704" t="s">
        <v>31</v>
      </c>
    </row>
    <row r="8705" spans="1:5" x14ac:dyDescent="0.25">
      <c r="A8705" t="str">
        <f>HYPERLINK("https://www.773grp.com/globalSearch/SN54LS74AFK/page-1", "SN54LS74AFK")</f>
        <v>SN54LS74AFK</v>
      </c>
      <c r="B8705" s="3" t="s">
        <v>90</v>
      </c>
      <c r="C8705" s="5">
        <v>65</v>
      </c>
      <c r="D8705" s="6">
        <v>22.99</v>
      </c>
      <c r="E8705" t="s">
        <v>31</v>
      </c>
    </row>
    <row r="8706" spans="1:5" x14ac:dyDescent="0.25">
      <c r="A8706" t="str">
        <f>HYPERLINK("https://www.773grp.com/globalSearch/SN74SSTVF32852KR/page-1", "SN74SSTVF32852KR")</f>
        <v>SN74SSTVF32852KR</v>
      </c>
      <c r="B8706" s="3" t="s">
        <v>90</v>
      </c>
      <c r="C8706" s="5">
        <v>15870</v>
      </c>
      <c r="D8706" s="6">
        <v>22.99</v>
      </c>
      <c r="E8706" t="s">
        <v>31</v>
      </c>
    </row>
    <row r="8707" spans="1:5" x14ac:dyDescent="0.25">
      <c r="A8707" t="str">
        <f>HYPERLINK("https://www.773grp.com/globalSearch/SN54H106J/page-1", "SN54H106J")</f>
        <v>SN54H106J</v>
      </c>
      <c r="B8707" s="3" t="s">
        <v>90</v>
      </c>
      <c r="C8707" s="5">
        <v>62</v>
      </c>
      <c r="D8707" s="6">
        <v>23.2</v>
      </c>
      <c r="E8707" t="s">
        <v>31</v>
      </c>
    </row>
    <row r="8708" spans="1:5" x14ac:dyDescent="0.25">
      <c r="A8708" t="str">
        <f>HYPERLINK("https://www.773grp.com/globalSearch/JM38510-30107BFA/page-1", "JM38510-30107BFA")</f>
        <v>JM38510-30107BFA</v>
      </c>
      <c r="B8708" s="3" t="s">
        <v>90</v>
      </c>
      <c r="C8708" s="5">
        <v>1160</v>
      </c>
      <c r="D8708" s="6">
        <v>23.43</v>
      </c>
      <c r="E8708" t="s">
        <v>31</v>
      </c>
    </row>
    <row r="8709" spans="1:5" x14ac:dyDescent="0.25">
      <c r="A8709" t="str">
        <f>HYPERLINK("https://www.773grp.com/globalSearch/JM38510-32504BRA/page-1", "JM38510-32504BRA")</f>
        <v>JM38510-32504BRA</v>
      </c>
      <c r="B8709" s="3" t="s">
        <v>90</v>
      </c>
      <c r="C8709" s="5">
        <v>1758</v>
      </c>
      <c r="D8709" s="6">
        <v>23.54</v>
      </c>
      <c r="E8709" t="s">
        <v>31</v>
      </c>
    </row>
    <row r="8710" spans="1:5" x14ac:dyDescent="0.25">
      <c r="A8710" t="str">
        <f>HYPERLINK("https://www.773grp.com/globalSearch/CD4099BF3A/page-1", "CD4099BF3A")</f>
        <v>CD4099BF3A</v>
      </c>
      <c r="B8710" s="3" t="s">
        <v>90</v>
      </c>
      <c r="C8710" s="5">
        <v>139</v>
      </c>
      <c r="D8710" s="6">
        <v>23.58</v>
      </c>
      <c r="E8710" t="s">
        <v>31</v>
      </c>
    </row>
    <row r="8711" spans="1:5" x14ac:dyDescent="0.25">
      <c r="A8711" t="str">
        <f>HYPERLINK("https://www.773grp.com/globalSearch/SNJ54S174J/page-1", "SNJ54S174J")</f>
        <v>SNJ54S174J</v>
      </c>
      <c r="B8711" s="3" t="s">
        <v>90</v>
      </c>
      <c r="C8711" s="5">
        <v>1282</v>
      </c>
      <c r="D8711" s="6">
        <v>23.88</v>
      </c>
      <c r="E8711" t="s">
        <v>31</v>
      </c>
    </row>
    <row r="8712" spans="1:5" x14ac:dyDescent="0.25">
      <c r="A8712" t="str">
        <f>HYPERLINK("https://www.773grp.com/globalSearch/SNJ54AS109FK/page-1", "SNJ54AS109FK")</f>
        <v>SNJ54AS109FK</v>
      </c>
      <c r="B8712" s="3" t="s">
        <v>90</v>
      </c>
      <c r="C8712" s="5">
        <v>69</v>
      </c>
      <c r="D8712" s="6">
        <v>23.91</v>
      </c>
      <c r="E8712" t="s">
        <v>31</v>
      </c>
    </row>
    <row r="8713" spans="1:5" x14ac:dyDescent="0.25">
      <c r="A8713" t="str">
        <f>HYPERLINK("https://www.773grp.com/globalSearch/CD54AC112F3A/page-1", "CD54AC112F3A")</f>
        <v>CD54AC112F3A</v>
      </c>
      <c r="B8713" s="3" t="s">
        <v>90</v>
      </c>
      <c r="C8713" s="5">
        <v>23</v>
      </c>
      <c r="D8713" s="6">
        <v>24.19</v>
      </c>
      <c r="E8713" t="s">
        <v>31</v>
      </c>
    </row>
    <row r="8714" spans="1:5" x14ac:dyDescent="0.25">
      <c r="A8714" t="str">
        <f>HYPERLINK("https://www.773grp.com/globalSearch/SN74SSTV32867GKER/page-1", "SN74SSTV32867GKER")</f>
        <v>SN74SSTV32867GKER</v>
      </c>
      <c r="B8714" s="3" t="s">
        <v>90</v>
      </c>
      <c r="C8714" s="5">
        <v>2000</v>
      </c>
      <c r="D8714" s="6">
        <v>24.19</v>
      </c>
      <c r="E8714" t="s">
        <v>31</v>
      </c>
    </row>
    <row r="8715" spans="1:5" x14ac:dyDescent="0.25">
      <c r="A8715" t="str">
        <f>HYPERLINK("https://www.773grp.com/globalSearch/CD4076BF3A/page-1", "CD4076BF3A")</f>
        <v>CD4076BF3A</v>
      </c>
      <c r="B8715" s="3" t="s">
        <v>90</v>
      </c>
      <c r="C8715" s="5">
        <v>84</v>
      </c>
      <c r="D8715" s="6">
        <v>24.5</v>
      </c>
      <c r="E8715" t="s">
        <v>31</v>
      </c>
    </row>
    <row r="8716" spans="1:5" x14ac:dyDescent="0.25">
      <c r="A8716" t="str">
        <f>HYPERLINK("https://www.773grp.com/globalSearch/SNJ54100W/page-1", "SNJ54100W")</f>
        <v>SNJ54100W</v>
      </c>
      <c r="B8716" s="3" t="s">
        <v>90</v>
      </c>
      <c r="C8716" s="5">
        <v>327</v>
      </c>
      <c r="D8716" s="6">
        <v>24.6</v>
      </c>
      <c r="E8716" t="s">
        <v>31</v>
      </c>
    </row>
    <row r="8717" spans="1:5" x14ac:dyDescent="0.25">
      <c r="A8717" t="str">
        <f>HYPERLINK("https://www.773grp.com/globalSearch/8415401EA/page-1", "8415401EA")</f>
        <v>8415401EA</v>
      </c>
      <c r="B8717" s="3" t="s">
        <v>90</v>
      </c>
      <c r="C8717" s="5">
        <v>27</v>
      </c>
      <c r="D8717" s="6">
        <v>24.81</v>
      </c>
      <c r="E8717" t="s">
        <v>31</v>
      </c>
    </row>
    <row r="8718" spans="1:5" x14ac:dyDescent="0.25">
      <c r="A8718" t="str">
        <f>HYPERLINK("https://www.773grp.com/globalSearch/SNJ54LS399J/page-1", "SNJ54LS399J")</f>
        <v>SNJ54LS399J</v>
      </c>
      <c r="B8718" s="3" t="s">
        <v>90</v>
      </c>
      <c r="C8718" s="5">
        <v>87</v>
      </c>
      <c r="D8718" s="6">
        <v>24.81</v>
      </c>
      <c r="E8718" t="s">
        <v>31</v>
      </c>
    </row>
    <row r="8719" spans="1:5" x14ac:dyDescent="0.25">
      <c r="A8719" t="str">
        <f>HYPERLINK("https://www.773grp.com/globalSearch/SNJ54LS74AW/page-1", "SNJ54LS74AW")</f>
        <v>SNJ54LS74AW</v>
      </c>
      <c r="B8719" s="3" t="s">
        <v>90</v>
      </c>
      <c r="C8719" s="5">
        <v>25</v>
      </c>
      <c r="D8719" s="6">
        <v>24.86</v>
      </c>
      <c r="E8719" t="s">
        <v>31</v>
      </c>
    </row>
    <row r="8720" spans="1:5" x14ac:dyDescent="0.25">
      <c r="A8720" t="str">
        <f>HYPERLINK("https://www.773grp.com/globalSearch/SN5474W/page-1", "SN5474W")</f>
        <v>SN5474W</v>
      </c>
      <c r="B8720" s="3" t="s">
        <v>90</v>
      </c>
      <c r="C8720" s="5">
        <v>1224</v>
      </c>
      <c r="D8720" s="6">
        <v>25.15</v>
      </c>
      <c r="E8720" t="s">
        <v>31</v>
      </c>
    </row>
    <row r="8721" spans="1:5" x14ac:dyDescent="0.25">
      <c r="A8721" t="str">
        <f>HYPERLINK("https://www.773grp.com/globalSearch/SN54H74W/page-1", "SN54H74W")</f>
        <v>SN54H74W</v>
      </c>
      <c r="B8721" s="3" t="s">
        <v>90</v>
      </c>
      <c r="C8721" s="5">
        <v>1960</v>
      </c>
      <c r="D8721" s="6">
        <v>25.15</v>
      </c>
      <c r="E8721" t="s">
        <v>31</v>
      </c>
    </row>
    <row r="8722" spans="1:5" x14ac:dyDescent="0.25">
      <c r="A8722" t="str">
        <f>HYPERLINK("https://www.773grp.com/globalSearch/5962-8852001DA/page-1", "5962-8852001DA")</f>
        <v>5962-8852001DA</v>
      </c>
      <c r="B8722" s="3" t="s">
        <v>90</v>
      </c>
      <c r="C8722" s="5">
        <v>138</v>
      </c>
      <c r="D8722" s="6">
        <v>25.23</v>
      </c>
      <c r="E8722" t="s">
        <v>31</v>
      </c>
    </row>
    <row r="8723" spans="1:5" x14ac:dyDescent="0.25">
      <c r="A8723" t="str">
        <f>HYPERLINK("https://www.773grp.com/globalSearch/SNJ54LS175W/page-1", "SNJ54LS175W")</f>
        <v>SNJ54LS175W</v>
      </c>
      <c r="B8723" s="3" t="s">
        <v>90</v>
      </c>
      <c r="C8723" s="5">
        <v>143</v>
      </c>
      <c r="D8723" s="6">
        <v>25.95</v>
      </c>
      <c r="E8723" t="s">
        <v>31</v>
      </c>
    </row>
    <row r="8724" spans="1:5" x14ac:dyDescent="0.25">
      <c r="A8724" t="str">
        <f>HYPERLINK("https://www.773grp.com/globalSearch/5962-9221503MRA/page-1", "5962-9221503MRA")</f>
        <v>5962-9221503MRA</v>
      </c>
      <c r="B8724" s="3" t="s">
        <v>90</v>
      </c>
      <c r="C8724" s="5">
        <v>150</v>
      </c>
      <c r="D8724" s="6">
        <v>26.53</v>
      </c>
      <c r="E8724" t="s">
        <v>31</v>
      </c>
    </row>
    <row r="8725" spans="1:5" x14ac:dyDescent="0.25">
      <c r="A8725" t="str">
        <f>HYPERLINK("https://www.773grp.com/globalSearch/CY54FCT273ATLMB/page-1", "CY54FCT273ATLMB")</f>
        <v>CY54FCT273ATLMB</v>
      </c>
      <c r="B8725" s="3" t="s">
        <v>90</v>
      </c>
      <c r="C8725" s="5">
        <v>15</v>
      </c>
      <c r="D8725" s="6">
        <v>26.53</v>
      </c>
      <c r="E8725" t="s">
        <v>31</v>
      </c>
    </row>
    <row r="8726" spans="1:5" x14ac:dyDescent="0.25">
      <c r="A8726" t="str">
        <f>HYPERLINK("https://www.773grp.com/globalSearch/5962-9686001Q2A/page-1", "5962-9686001Q2A")</f>
        <v>5962-9686001Q2A</v>
      </c>
      <c r="B8726" s="3" t="s">
        <v>90</v>
      </c>
      <c r="C8726" s="5">
        <v>51</v>
      </c>
      <c r="D8726" s="6">
        <v>26.75</v>
      </c>
      <c r="E8726" t="s">
        <v>31</v>
      </c>
    </row>
    <row r="8727" spans="1:5" x14ac:dyDescent="0.25">
      <c r="A8727" t="str">
        <f>HYPERLINK("https://www.773grp.com/globalSearch/JM38510-30109B2A/page-1", "JM38510-30109B2A")</f>
        <v>JM38510-30109B2A</v>
      </c>
      <c r="B8727" s="3" t="s">
        <v>90</v>
      </c>
      <c r="C8727" s="5">
        <v>31</v>
      </c>
      <c r="D8727" s="6">
        <v>26.86</v>
      </c>
      <c r="E8727" t="s">
        <v>31</v>
      </c>
    </row>
    <row r="8728" spans="1:5" x14ac:dyDescent="0.25">
      <c r="A8728" t="str">
        <f>HYPERLINK("https://www.773grp.com/globalSearch/5962-8970101EA/page-1", "5962-8970101EA")</f>
        <v>5962-8970101EA</v>
      </c>
      <c r="B8728" s="3" t="s">
        <v>90</v>
      </c>
      <c r="C8728" s="5">
        <v>34</v>
      </c>
      <c r="D8728" s="6">
        <v>27.18</v>
      </c>
      <c r="E8728" t="s">
        <v>31</v>
      </c>
    </row>
    <row r="8729" spans="1:5" x14ac:dyDescent="0.25">
      <c r="A8729" t="str">
        <f>HYPERLINK("https://www.773grp.com/globalSearch/JM38510-00203BCA/page-1", "JM38510-00203BCA")</f>
        <v>JM38510-00203BCA</v>
      </c>
      <c r="B8729" s="3" t="str">
        <f>HYPERLINK("https://www.773grp.com/manufacturer/texas-instruments?pageNo=75", "Texas Instruments")</f>
        <v>Texas Instruments</v>
      </c>
      <c r="C8729" s="5">
        <v>43</v>
      </c>
      <c r="D8729" s="6">
        <v>27.81</v>
      </c>
      <c r="E8729" t="s">
        <v>31</v>
      </c>
    </row>
    <row r="8730" spans="1:5" x14ac:dyDescent="0.25">
      <c r="A8730" t="str">
        <f>HYPERLINK("https://www.773grp.com/globalSearch/JM38510-00206BCA/page-1", "JM38510-00206BCA")</f>
        <v>JM38510-00206BCA</v>
      </c>
      <c r="B8730" s="3" t="str">
        <f>HYPERLINK("https://www.773grp.com/manufacturer/texas-instruments?pageNo=90", "Texas Instruments")</f>
        <v>Texas Instruments</v>
      </c>
      <c r="C8730" s="5">
        <v>3086</v>
      </c>
      <c r="D8730" s="6">
        <v>27.96</v>
      </c>
      <c r="E8730" t="s">
        <v>31</v>
      </c>
    </row>
    <row r="8731" spans="1:5" x14ac:dyDescent="0.25">
      <c r="A8731" t="str">
        <f>HYPERLINK("https://www.773grp.com/globalSearch/JM38510-31604BEA/page-1", "JM38510-31604BEA")</f>
        <v>JM38510-31604BEA</v>
      </c>
      <c r="B8731" s="3" t="str">
        <f>HYPERLINK("https://www.773grp.com/manufacturer/texas-instruments?pageNo=92", "Texas Instruments")</f>
        <v>Texas Instruments</v>
      </c>
      <c r="C8731" s="5">
        <v>621</v>
      </c>
      <c r="D8731" s="6">
        <v>27.96</v>
      </c>
      <c r="E8731" t="s">
        <v>31</v>
      </c>
    </row>
    <row r="8732" spans="1:5" x14ac:dyDescent="0.25">
      <c r="A8732" t="str">
        <f>HYPERLINK("https://www.773grp.com/globalSearch/SN54100J/page-1", "SN54100J")</f>
        <v>SN54100J</v>
      </c>
      <c r="B8732" s="3" t="str">
        <f>HYPERLINK("https://www.773grp.com/manufacturer/texas-instruments?pageNo=93", "Texas Instruments")</f>
        <v>Texas Instruments</v>
      </c>
      <c r="C8732" s="5">
        <v>10</v>
      </c>
      <c r="D8732" s="6">
        <v>27.96</v>
      </c>
      <c r="E8732" t="s">
        <v>31</v>
      </c>
    </row>
    <row r="8733" spans="1:5" x14ac:dyDescent="0.25">
      <c r="A8733" t="str">
        <f>HYPERLINK("https://www.773grp.com/globalSearch/JM38510-30106B2A/page-1", "JM38510-30106B2A")</f>
        <v>JM38510-30106B2A</v>
      </c>
      <c r="B8733" s="3" t="str">
        <f>HYPERLINK("https://www.773grp.com/manufacturer/texas-instruments?pageNo=116", "Texas Instruments")</f>
        <v>Texas Instruments</v>
      </c>
      <c r="C8733" s="5">
        <v>9</v>
      </c>
      <c r="D8733" s="6">
        <v>28.06</v>
      </c>
      <c r="E8733" t="s">
        <v>31</v>
      </c>
    </row>
    <row r="8734" spans="1:5" x14ac:dyDescent="0.25">
      <c r="A8734" t="str">
        <f>HYPERLINK("https://www.773grp.com/globalSearch/84154012A/page-1", "84154012A")</f>
        <v>84154012A</v>
      </c>
      <c r="B8734" s="3" t="str">
        <f>HYPERLINK("https://www.773grp.com/manufacturer/texas-instruments?pageNo=179", "Texas Instruments")</f>
        <v>Texas Instruments</v>
      </c>
      <c r="C8734" s="5">
        <v>26</v>
      </c>
      <c r="D8734" s="6">
        <v>28.15</v>
      </c>
      <c r="E8734" t="s">
        <v>31</v>
      </c>
    </row>
    <row r="8735" spans="1:5" x14ac:dyDescent="0.25">
      <c r="A8735" t="str">
        <f>HYPERLINK("https://www.773grp.com/globalSearch/JM38510-36101BEA/page-1", "JM38510-36101BEA")</f>
        <v>JM38510-36101BEA</v>
      </c>
      <c r="B8735" s="3" t="str">
        <f>HYPERLINK("https://www.773grp.com/manufacturer/texas-instruments?pageNo=252", "Texas Instruments")</f>
        <v>Texas Instruments</v>
      </c>
      <c r="C8735" s="5">
        <v>445</v>
      </c>
      <c r="D8735" s="6">
        <v>28.78</v>
      </c>
      <c r="E8735" t="s">
        <v>31</v>
      </c>
    </row>
    <row r="8736" spans="1:5" x14ac:dyDescent="0.25">
      <c r="A8736" t="str">
        <f>HYPERLINK("https://www.773grp.com/globalSearch/JM38510-30108B2A/page-1", "JM38510-30108B2A")</f>
        <v>JM38510-30108B2A</v>
      </c>
      <c r="B8736" s="3" t="str">
        <f>HYPERLINK("https://www.773grp.com/manufacturer/texas-instruments?pageNo=260", "Texas Instruments")</f>
        <v>Texas Instruments</v>
      </c>
      <c r="C8736" s="5">
        <v>73</v>
      </c>
      <c r="D8736" s="6">
        <v>28.83</v>
      </c>
      <c r="E8736" t="s">
        <v>31</v>
      </c>
    </row>
    <row r="8737" spans="1:5" x14ac:dyDescent="0.25">
      <c r="A8737" t="str">
        <f>HYPERLINK("https://www.773grp.com/globalSearch/5962-9314801Q2A/page-1", "5962-9314801Q2A")</f>
        <v>5962-9314801Q2A</v>
      </c>
      <c r="B8737" s="3" t="str">
        <f>HYPERLINK("https://www.773grp.com/manufacturer/texas-instruments?pageNo=295", "Texas Instruments")</f>
        <v>Texas Instruments</v>
      </c>
      <c r="C8737" s="5">
        <v>74</v>
      </c>
      <c r="D8737" s="6">
        <v>29.03</v>
      </c>
      <c r="E8737" t="s">
        <v>31</v>
      </c>
    </row>
    <row r="8738" spans="1:5" x14ac:dyDescent="0.25">
      <c r="A8738" t="str">
        <f>HYPERLINK("https://www.773grp.com/globalSearch/CD54AC273F3A/page-1", "CD54AC273F3A")</f>
        <v>CD54AC273F3A</v>
      </c>
      <c r="B8738" s="3" t="str">
        <f>HYPERLINK("https://www.773grp.com/manufacturer/texas-instruments?pageNo=362", "Texas Instruments")</f>
        <v>Texas Instruments</v>
      </c>
      <c r="C8738" s="5">
        <v>64</v>
      </c>
      <c r="D8738" s="6">
        <v>29.45</v>
      </c>
      <c r="E8738" t="s">
        <v>31</v>
      </c>
    </row>
    <row r="8739" spans="1:5" x14ac:dyDescent="0.25">
      <c r="A8739" t="str">
        <f>HYPERLINK("https://www.773grp.com/globalSearch/5962-8874101EA/page-1", "5962-8874101EA")</f>
        <v>5962-8874101EA</v>
      </c>
      <c r="B8739" s="3" t="str">
        <f>HYPERLINK("https://www.773grp.com/manufacturer/texas-instruments?pageNo=393", "Texas Instruments")</f>
        <v>Texas Instruments</v>
      </c>
      <c r="C8739" s="5">
        <v>1</v>
      </c>
      <c r="D8739" s="6">
        <v>29.65</v>
      </c>
      <c r="E8739" t="s">
        <v>31</v>
      </c>
    </row>
    <row r="8740" spans="1:5" x14ac:dyDescent="0.25">
      <c r="A8740" t="str">
        <f>HYPERLINK("https://www.773grp.com/globalSearch/JM38510-30107B2A/page-1", "JM38510-30107B2A")</f>
        <v>JM38510-30107B2A</v>
      </c>
      <c r="B8740" s="3" t="str">
        <f>HYPERLINK("https://www.773grp.com/manufacturer/texas-instruments?pageNo=398", "Texas Instruments")</f>
        <v>Texas Instruments</v>
      </c>
      <c r="C8740" s="5">
        <v>26</v>
      </c>
      <c r="D8740" s="6">
        <v>29.7</v>
      </c>
      <c r="E8740" t="s">
        <v>31</v>
      </c>
    </row>
    <row r="8741" spans="1:5" x14ac:dyDescent="0.25">
      <c r="A8741" t="str">
        <f>HYPERLINK("https://www.773grp.com/globalSearch/SNJ54LS378W/page-1", "SNJ54LS378W")</f>
        <v>SNJ54LS378W</v>
      </c>
      <c r="B8741" s="3" t="str">
        <f>HYPERLINK("https://www.773grp.com/manufacturer/texas-instruments?pageNo=419", "Texas Instruments")</f>
        <v>Texas Instruments</v>
      </c>
      <c r="C8741" s="5">
        <v>48</v>
      </c>
      <c r="D8741" s="6">
        <v>29.93</v>
      </c>
      <c r="E8741" t="s">
        <v>31</v>
      </c>
    </row>
    <row r="8742" spans="1:5" x14ac:dyDescent="0.25">
      <c r="A8742" t="str">
        <f>HYPERLINK("https://www.773grp.com/globalSearch/5962-8976901RA/page-1", "5962-8976901RA")</f>
        <v>5962-8976901RA</v>
      </c>
      <c r="B8742" s="3" t="str">
        <f>HYPERLINK("https://www.773grp.com/manufacturer/texas-instruments?pageNo=468", "Texas Instruments")</f>
        <v>Texas Instruments</v>
      </c>
      <c r="C8742" s="5">
        <v>45</v>
      </c>
      <c r="D8742" s="6">
        <v>30.26</v>
      </c>
      <c r="E8742" t="s">
        <v>31</v>
      </c>
    </row>
    <row r="8743" spans="1:5" x14ac:dyDescent="0.25">
      <c r="A8743" t="str">
        <f>HYPERLINK("https://www.773grp.com/globalSearch/SNJ54S175J/page-1", "SNJ54S175J")</f>
        <v>SNJ54S175J</v>
      </c>
      <c r="B8743" s="3" t="str">
        <f>HYPERLINK("https://www.773grp.com/manufacturer/texas-instruments?pageNo=470", "Texas Instruments")</f>
        <v>Texas Instruments</v>
      </c>
      <c r="C8743" s="5">
        <v>21</v>
      </c>
      <c r="D8743" s="6">
        <v>30.26</v>
      </c>
      <c r="E8743" t="s">
        <v>31</v>
      </c>
    </row>
    <row r="8744" spans="1:5" x14ac:dyDescent="0.25">
      <c r="A8744" t="str">
        <f>HYPERLINK("https://www.773grp.com/globalSearch/SNJ54H101J/page-1", "SNJ54H101J")</f>
        <v>SNJ54H101J</v>
      </c>
      <c r="B8744" s="3" t="str">
        <f>HYPERLINK("https://www.773grp.com/manufacturer/texas-instruments?pageNo=502", "Texas Instruments")</f>
        <v>Texas Instruments</v>
      </c>
      <c r="C8744" s="5">
        <v>21</v>
      </c>
      <c r="D8744" s="6">
        <v>30.51</v>
      </c>
      <c r="E8744" t="s">
        <v>31</v>
      </c>
    </row>
    <row r="8745" spans="1:5" x14ac:dyDescent="0.25">
      <c r="A8745" t="str">
        <f>HYPERLINK("https://www.773grp.com/globalSearch/5962-8875901EA/page-1", "5962-8875901EA")</f>
        <v>5962-8875901EA</v>
      </c>
      <c r="B8745" s="3" t="str">
        <f>HYPERLINK("https://www.773grp.com/manufacturer/texas-instruments?pageNo=670", "Texas Instruments")</f>
        <v>Texas Instruments</v>
      </c>
      <c r="C8745" s="5">
        <v>21</v>
      </c>
      <c r="D8745" s="6">
        <v>31.35</v>
      </c>
      <c r="E8745" t="s">
        <v>31</v>
      </c>
    </row>
    <row r="8746" spans="1:5" x14ac:dyDescent="0.25">
      <c r="A8746" t="str">
        <f>HYPERLINK("https://www.773grp.com/globalSearch/CD54HCT173F3A/page-1", "CD54HCT173F3A")</f>
        <v>CD54HCT173F3A</v>
      </c>
      <c r="B8746" s="3" t="str">
        <f>HYPERLINK("https://www.773grp.com/manufacturer/texas-instruments?pageNo=672", "Texas Instruments")</f>
        <v>Texas Instruments</v>
      </c>
      <c r="C8746" s="5">
        <v>114</v>
      </c>
      <c r="D8746" s="6">
        <v>31.35</v>
      </c>
      <c r="E8746" t="s">
        <v>31</v>
      </c>
    </row>
    <row r="8747" spans="1:5" x14ac:dyDescent="0.25">
      <c r="A8747" t="str">
        <f>HYPERLINK("https://www.773grp.com/globalSearch/5962-9853001Q2A/page-1", "5962-9853001Q2A")</f>
        <v>5962-9853001Q2A</v>
      </c>
      <c r="B8747" s="3" t="str">
        <f>HYPERLINK("https://www.773grp.com/manufacturer/texas-instruments?pageNo=686", "Texas Instruments")</f>
        <v>Texas Instruments</v>
      </c>
      <c r="C8747" s="5">
        <v>33</v>
      </c>
      <c r="D8747" s="6">
        <v>31.44</v>
      </c>
      <c r="E8747" t="s">
        <v>31</v>
      </c>
    </row>
    <row r="8748" spans="1:5" x14ac:dyDescent="0.25">
      <c r="A8748" t="str">
        <f>HYPERLINK("https://www.773grp.com/globalSearch/8408901FA/page-1", "8408901FA")</f>
        <v>8408901FA</v>
      </c>
      <c r="B8748" s="3" t="str">
        <f>HYPERLINK("https://www.773grp.com/manufacturer/texas-instruments?pageNo=720", "Texas Instruments")</f>
        <v>Texas Instruments</v>
      </c>
      <c r="C8748" s="5">
        <v>29</v>
      </c>
      <c r="D8748" s="6">
        <v>31.78</v>
      </c>
      <c r="E8748" t="s">
        <v>31</v>
      </c>
    </row>
    <row r="8749" spans="1:5" x14ac:dyDescent="0.25">
      <c r="A8749" t="str">
        <f>HYPERLINK("https://www.773grp.com/globalSearch/7601801FA/page-1", "7601801FA")</f>
        <v>7601801FA</v>
      </c>
      <c r="B8749" s="3" t="str">
        <f>HYPERLINK("https://www.773grp.com/manufacturer/texas-instruments?pageNo=813", "Texas Instruments")</f>
        <v>Texas Instruments</v>
      </c>
      <c r="C8749" s="5">
        <v>7</v>
      </c>
      <c r="D8749" s="6">
        <v>32.24</v>
      </c>
      <c r="E8749" t="s">
        <v>31</v>
      </c>
    </row>
    <row r="8750" spans="1:5" x14ac:dyDescent="0.25">
      <c r="A8750" t="str">
        <f>HYPERLINK("https://www.773grp.com/globalSearch/5962-9686101QDA/page-1", "5962-9686101QDA")</f>
        <v>5962-9686101QDA</v>
      </c>
      <c r="B8750" s="3" t="str">
        <f>HYPERLINK("https://www.773grp.com/manufacturer/texas-instruments?pageNo=850", "Texas Instruments")</f>
        <v>Texas Instruments</v>
      </c>
      <c r="C8750" s="5">
        <v>36</v>
      </c>
      <c r="D8750" s="6">
        <v>32.450000000000003</v>
      </c>
      <c r="E8750" t="s">
        <v>31</v>
      </c>
    </row>
    <row r="8751" spans="1:5" x14ac:dyDescent="0.25">
      <c r="A8751" t="str">
        <f>HYPERLINK("https://www.773grp.com/globalSearch/JM38510-30109BFA/page-1", "JM38510-30109BFA")</f>
        <v>JM38510-30109BFA</v>
      </c>
      <c r="B8751" s="3" t="str">
        <f>HYPERLINK("https://www.773grp.com/manufacturer/texas-instruments?pageNo=870", "Texas Instruments")</f>
        <v>Texas Instruments</v>
      </c>
      <c r="C8751" s="5">
        <v>61</v>
      </c>
      <c r="D8751" s="6">
        <v>32.630000000000003</v>
      </c>
      <c r="E8751" t="s">
        <v>31</v>
      </c>
    </row>
    <row r="8752" spans="1:5" x14ac:dyDescent="0.25">
      <c r="A8752" t="str">
        <f>HYPERLINK("https://www.773grp.com/globalSearch/SNJ54AHC273W/page-1", "SNJ54AHC273W")</f>
        <v>SNJ54AHC273W</v>
      </c>
      <c r="B8752" s="3" t="str">
        <f>HYPERLINK("https://www.773grp.com/manufacturer/texas-instruments?pageNo=904", "Texas Instruments")</f>
        <v>Texas Instruments</v>
      </c>
      <c r="C8752" s="5">
        <v>237</v>
      </c>
      <c r="D8752" s="6">
        <v>33.08</v>
      </c>
      <c r="E8752" t="s">
        <v>31</v>
      </c>
    </row>
    <row r="8753" spans="1:5" x14ac:dyDescent="0.25">
      <c r="A8753" t="str">
        <f>HYPERLINK("https://www.773grp.com/globalSearch/5962-9761601QDA/page-1", "5962-9761601QDA")</f>
        <v>5962-9761601QDA</v>
      </c>
      <c r="B8753" s="3" t="str">
        <f>HYPERLINK("https://www.773grp.com/manufacturer/texas-instruments?pageNo=920", "Texas Instruments")</f>
        <v>Texas Instruments</v>
      </c>
      <c r="C8753" s="5">
        <v>48</v>
      </c>
      <c r="D8753" s="6">
        <v>33.19</v>
      </c>
      <c r="E8753" t="s">
        <v>31</v>
      </c>
    </row>
    <row r="8754" spans="1:5" x14ac:dyDescent="0.25">
      <c r="A8754" t="str">
        <f>HYPERLINK("https://www.773grp.com/globalSearch/SNJ54H102J/page-1", "SNJ54H102J")</f>
        <v>SNJ54H102J</v>
      </c>
      <c r="B8754" s="3" t="s">
        <v>90</v>
      </c>
      <c r="C8754" s="5">
        <v>582</v>
      </c>
      <c r="D8754" s="6">
        <v>33.75</v>
      </c>
      <c r="E8754" t="s">
        <v>31</v>
      </c>
    </row>
    <row r="8755" spans="1:5" x14ac:dyDescent="0.25">
      <c r="A8755" t="str">
        <f>HYPERLINK("https://www.773grp.com/globalSearch/SN54H103W/page-1", "SN54H103W")</f>
        <v>SN54H103W</v>
      </c>
      <c r="B8755" s="3" t="s">
        <v>90</v>
      </c>
      <c r="C8755" s="5">
        <v>1645</v>
      </c>
      <c r="D8755" s="6">
        <v>34.18</v>
      </c>
      <c r="E8755" t="s">
        <v>31</v>
      </c>
    </row>
    <row r="8756" spans="1:5" x14ac:dyDescent="0.25">
      <c r="A8756" t="str">
        <f>HYPERLINK("https://www.773grp.com/globalSearch/SNJ54LS174FK/page-1", "SNJ54LS174FK")</f>
        <v>SNJ54LS174FK</v>
      </c>
      <c r="B8756" s="3" t="s">
        <v>90</v>
      </c>
      <c r="C8756" s="5">
        <v>19</v>
      </c>
      <c r="D8756" s="6">
        <v>34.54</v>
      </c>
      <c r="E8756" t="s">
        <v>31</v>
      </c>
    </row>
    <row r="8757" spans="1:5" x14ac:dyDescent="0.25">
      <c r="A8757" t="str">
        <f>HYPERLINK("https://www.773grp.com/globalSearch/5962-9761601Q2A/page-1", "5962-9761601Q2A")</f>
        <v>5962-9761601Q2A</v>
      </c>
      <c r="B8757" s="3" t="s">
        <v>90</v>
      </c>
      <c r="C8757" s="5">
        <v>22</v>
      </c>
      <c r="D8757" s="6">
        <v>35.86</v>
      </c>
      <c r="E8757" t="s">
        <v>31</v>
      </c>
    </row>
    <row r="8758" spans="1:5" x14ac:dyDescent="0.25">
      <c r="A8758" t="str">
        <f>HYPERLINK("https://www.773grp.com/globalSearch/SNJ54LS279AFK/page-1", "SNJ54LS279AFK")</f>
        <v>SNJ54LS279AFK</v>
      </c>
      <c r="B8758" s="3" t="s">
        <v>90</v>
      </c>
      <c r="C8758" s="5">
        <v>51</v>
      </c>
      <c r="D8758" s="6">
        <v>36.06</v>
      </c>
      <c r="E8758" t="s">
        <v>31</v>
      </c>
    </row>
    <row r="8759" spans="1:5" x14ac:dyDescent="0.25">
      <c r="A8759" t="str">
        <f>HYPERLINK("https://www.773grp.com/globalSearch/SNJ54LS109AFK/page-1", "SNJ54LS109AFK")</f>
        <v>SNJ54LS109AFK</v>
      </c>
      <c r="B8759" s="3" t="s">
        <v>90</v>
      </c>
      <c r="C8759" s="5">
        <v>6</v>
      </c>
      <c r="D8759" s="6">
        <v>36.229999999999997</v>
      </c>
      <c r="E8759" t="s">
        <v>31</v>
      </c>
    </row>
    <row r="8760" spans="1:5" x14ac:dyDescent="0.25">
      <c r="A8760" t="str">
        <f>HYPERLINK("https://www.773grp.com/globalSearch/JM38510-32504BSA/page-1", "JM38510-32504BSA")</f>
        <v>JM38510-32504BSA</v>
      </c>
      <c r="B8760" s="3" t="s">
        <v>90</v>
      </c>
      <c r="C8760" s="5">
        <v>181</v>
      </c>
      <c r="D8760" s="6">
        <v>36.5</v>
      </c>
      <c r="E8760" t="s">
        <v>31</v>
      </c>
    </row>
    <row r="8761" spans="1:5" x14ac:dyDescent="0.25">
      <c r="A8761" t="str">
        <f>HYPERLINK("https://www.773grp.com/globalSearch/SNJ54S112W/page-1", "SNJ54S112W")</f>
        <v>SNJ54S112W</v>
      </c>
      <c r="B8761" s="3" t="s">
        <v>90</v>
      </c>
      <c r="C8761" s="5">
        <v>18</v>
      </c>
      <c r="D8761" s="6">
        <v>36.96</v>
      </c>
      <c r="E8761" t="s">
        <v>31</v>
      </c>
    </row>
    <row r="8762" spans="1:5" x14ac:dyDescent="0.25">
      <c r="A8762" t="str">
        <f>HYPERLINK("https://www.773grp.com/globalSearch/SNJ54LS175FK/page-1", "SNJ54LS175FK")</f>
        <v>SNJ54LS175FK</v>
      </c>
      <c r="B8762" s="3" t="s">
        <v>90</v>
      </c>
      <c r="C8762" s="5">
        <v>2</v>
      </c>
      <c r="D8762" s="6">
        <v>37.69</v>
      </c>
      <c r="E8762" t="s">
        <v>31</v>
      </c>
    </row>
    <row r="8763" spans="1:5" x14ac:dyDescent="0.25">
      <c r="A8763" t="str">
        <f>HYPERLINK("https://www.773grp.com/globalSearch/SN74ALS994DW/page-1", "SN74ALS994DW")</f>
        <v>SN74ALS994DW</v>
      </c>
      <c r="B8763" s="3" t="s">
        <v>90</v>
      </c>
      <c r="C8763" s="5">
        <v>4975</v>
      </c>
      <c r="D8763" s="6">
        <v>38.18</v>
      </c>
      <c r="E8763" t="s">
        <v>31</v>
      </c>
    </row>
    <row r="8764" spans="1:5" x14ac:dyDescent="0.25">
      <c r="A8764" t="str">
        <f>HYPERLINK("https://www.773grp.com/globalSearch/JM38510-30103B2A/page-1", "JM38510-30103B2A")</f>
        <v>JM38510-30103B2A</v>
      </c>
      <c r="B8764" s="3" t="s">
        <v>90</v>
      </c>
      <c r="C8764" s="5">
        <v>40</v>
      </c>
      <c r="D8764" s="6">
        <v>38.340000000000003</v>
      </c>
      <c r="E8764" t="s">
        <v>31</v>
      </c>
    </row>
    <row r="8765" spans="1:5" x14ac:dyDescent="0.25">
      <c r="A8765" t="str">
        <f>HYPERLINK("https://www.773grp.com/globalSearch/JM38510-37102BEA/page-1", "JM38510-37102BEA")</f>
        <v>JM38510-37102BEA</v>
      </c>
      <c r="B8765" s="3" t="s">
        <v>90</v>
      </c>
      <c r="C8765" s="5">
        <v>39</v>
      </c>
      <c r="D8765" s="6">
        <v>38.44</v>
      </c>
      <c r="E8765" t="s">
        <v>31</v>
      </c>
    </row>
    <row r="8766" spans="1:5" x14ac:dyDescent="0.25">
      <c r="A8766" t="str">
        <f>HYPERLINK("https://www.773grp.com/globalSearch/SNJ54LS173AFK/page-1", "SNJ54LS173AFK")</f>
        <v>SNJ54LS173AFK</v>
      </c>
      <c r="B8766" s="3" t="s">
        <v>90</v>
      </c>
      <c r="C8766" s="5">
        <v>76</v>
      </c>
      <c r="D8766" s="6">
        <v>38.65</v>
      </c>
      <c r="E8766" t="s">
        <v>31</v>
      </c>
    </row>
    <row r="8767" spans="1:5" x14ac:dyDescent="0.25">
      <c r="A8767" t="str">
        <f>HYPERLINK("https://www.773grp.com/globalSearch/JM38510-37103BEA/page-1", "JM38510-37103BEA")</f>
        <v>JM38510-37103BEA</v>
      </c>
      <c r="B8767" s="3" t="s">
        <v>90</v>
      </c>
      <c r="C8767" s="5">
        <v>30</v>
      </c>
      <c r="D8767" s="6">
        <v>39.35</v>
      </c>
      <c r="E8767" t="s">
        <v>31</v>
      </c>
    </row>
    <row r="8768" spans="1:5" x14ac:dyDescent="0.25">
      <c r="A8768" t="str">
        <f>HYPERLINK("https://www.773grp.com/globalSearch/JM38510-65352BDA/page-1", "JM38510-65352BDA")</f>
        <v>JM38510-65352BDA</v>
      </c>
      <c r="B8768" s="3" t="s">
        <v>90</v>
      </c>
      <c r="C8768" s="5">
        <v>42</v>
      </c>
      <c r="D8768" s="6">
        <v>39.450000000000003</v>
      </c>
      <c r="E8768" t="s">
        <v>31</v>
      </c>
    </row>
    <row r="8769" spans="1:5" x14ac:dyDescent="0.25">
      <c r="A8769" t="str">
        <f>HYPERLINK("https://www.773grp.com/globalSearch/8401101DA/page-1", "8401101DA")</f>
        <v>8401101DA</v>
      </c>
      <c r="B8769" s="3" t="s">
        <v>90</v>
      </c>
      <c r="C8769" s="5">
        <v>47</v>
      </c>
      <c r="D8769" s="6">
        <v>39.880000000000003</v>
      </c>
      <c r="E8769" t="s">
        <v>31</v>
      </c>
    </row>
    <row r="8770" spans="1:5" x14ac:dyDescent="0.25">
      <c r="A8770" t="str">
        <f>HYPERLINK("https://www.773grp.com/globalSearch/SNJ54ALS74AW/page-1", "SNJ54ALS74AW")</f>
        <v>SNJ54ALS74AW</v>
      </c>
      <c r="B8770" s="3" t="s">
        <v>90</v>
      </c>
      <c r="C8770" s="5">
        <v>368</v>
      </c>
      <c r="D8770" s="6">
        <v>39.880000000000003</v>
      </c>
      <c r="E8770" t="s">
        <v>31</v>
      </c>
    </row>
    <row r="8771" spans="1:5" x14ac:dyDescent="0.25">
      <c r="A8771" t="str">
        <f>HYPERLINK("https://www.773grp.com/globalSearch/SNJ54H103W/page-1", "SNJ54H103W")</f>
        <v>SNJ54H103W</v>
      </c>
      <c r="B8771" s="3" t="s">
        <v>90</v>
      </c>
      <c r="C8771" s="5">
        <v>5</v>
      </c>
      <c r="D8771" s="6">
        <v>40.159999999999997</v>
      </c>
      <c r="E8771" t="s">
        <v>31</v>
      </c>
    </row>
    <row r="8772" spans="1:5" x14ac:dyDescent="0.25">
      <c r="A8772" t="str">
        <f>HYPERLINK("https://www.773grp.com/globalSearch/SNJ54LS377FK/page-1", "SNJ54LS377FK")</f>
        <v>SNJ54LS377FK</v>
      </c>
      <c r="B8772" s="3" t="s">
        <v>90</v>
      </c>
      <c r="C8772" s="5">
        <v>271</v>
      </c>
      <c r="D8772" s="6">
        <v>40.75</v>
      </c>
      <c r="E8772" t="s">
        <v>31</v>
      </c>
    </row>
    <row r="8773" spans="1:5" x14ac:dyDescent="0.25">
      <c r="A8773" t="str">
        <f>HYPERLINK("https://www.773grp.com/globalSearch/SNJ54LS379FK/page-1", "SNJ54LS379FK")</f>
        <v>SNJ54LS379FK</v>
      </c>
      <c r="B8773" s="3" t="s">
        <v>90</v>
      </c>
      <c r="C8773" s="5">
        <v>31</v>
      </c>
      <c r="D8773" s="6">
        <v>40.75</v>
      </c>
      <c r="E8773" t="s">
        <v>31</v>
      </c>
    </row>
    <row r="8774" spans="1:5" x14ac:dyDescent="0.25">
      <c r="A8774" t="str">
        <f>HYPERLINK("https://www.773grp.com/globalSearch/JM38510-00201BDA/page-1", "JM38510-00201BDA")</f>
        <v>JM38510-00201BDA</v>
      </c>
      <c r="B8774" s="3" t="s">
        <v>90</v>
      </c>
      <c r="C8774" s="5">
        <v>1912</v>
      </c>
      <c r="D8774" s="6">
        <v>40.79</v>
      </c>
      <c r="E8774" t="s">
        <v>31</v>
      </c>
    </row>
    <row r="8775" spans="1:5" x14ac:dyDescent="0.25">
      <c r="A8775" t="str">
        <f>HYPERLINK("https://www.773grp.com/globalSearch/84011012A/page-1", "84011012A")</f>
        <v>84011012A</v>
      </c>
      <c r="B8775" s="3" t="s">
        <v>90</v>
      </c>
      <c r="C8775" s="5">
        <v>137</v>
      </c>
      <c r="D8775" s="6">
        <v>41.14</v>
      </c>
      <c r="E8775" t="s">
        <v>31</v>
      </c>
    </row>
    <row r="8776" spans="1:5" x14ac:dyDescent="0.25">
      <c r="A8776" t="str">
        <f>HYPERLINK("https://www.773grp.com/globalSearch/SNJ54LS73AW/page-1", "SNJ54LS73AW")</f>
        <v>SNJ54LS73AW</v>
      </c>
      <c r="B8776" s="3" t="s">
        <v>90</v>
      </c>
      <c r="C8776" s="5">
        <v>52</v>
      </c>
      <c r="D8776" s="6">
        <v>41.4</v>
      </c>
      <c r="E8776" t="s">
        <v>31</v>
      </c>
    </row>
    <row r="8777" spans="1:5" x14ac:dyDescent="0.25">
      <c r="A8777" t="str">
        <f>HYPERLINK("https://www.773grp.com/globalSearch/SNJ54LS75W/page-1", "SNJ54LS75W")</f>
        <v>SNJ54LS75W</v>
      </c>
      <c r="B8777" s="3" t="s">
        <v>90</v>
      </c>
      <c r="C8777" s="5">
        <v>2</v>
      </c>
      <c r="D8777" s="6">
        <v>41.65</v>
      </c>
      <c r="E8777" t="s">
        <v>31</v>
      </c>
    </row>
    <row r="8778" spans="1:5" x14ac:dyDescent="0.25">
      <c r="A8778" t="str">
        <f>HYPERLINK("https://www.773grp.com/globalSearch/84000012A/page-1", "84000012A")</f>
        <v>84000012A</v>
      </c>
      <c r="B8778" s="3" t="s">
        <v>90</v>
      </c>
      <c r="C8778" s="5">
        <v>21</v>
      </c>
      <c r="D8778" s="6">
        <v>41.85</v>
      </c>
      <c r="E8778" t="s">
        <v>31</v>
      </c>
    </row>
    <row r="8779" spans="1:5" x14ac:dyDescent="0.25">
      <c r="A8779" t="str">
        <f>HYPERLINK("https://www.773grp.com/globalSearch/78010012A/page-1", "78010012A")</f>
        <v>78010012A</v>
      </c>
      <c r="B8779" s="3" t="s">
        <v>90</v>
      </c>
      <c r="C8779" s="5">
        <v>65</v>
      </c>
      <c r="D8779" s="6">
        <v>42.44</v>
      </c>
      <c r="E8779" t="s">
        <v>31</v>
      </c>
    </row>
    <row r="8780" spans="1:5" x14ac:dyDescent="0.25">
      <c r="A8780" t="str">
        <f>HYPERLINK("https://www.773grp.com/globalSearch/SN74ALS994NT/page-1", "SN74ALS994NT")</f>
        <v>SN74ALS994NT</v>
      </c>
      <c r="B8780" s="3" t="s">
        <v>90</v>
      </c>
      <c r="C8780" s="5">
        <v>1584</v>
      </c>
      <c r="D8780" s="6">
        <v>42.58</v>
      </c>
      <c r="E8780" t="s">
        <v>31</v>
      </c>
    </row>
    <row r="8781" spans="1:5" x14ac:dyDescent="0.25">
      <c r="A8781" t="str">
        <f>HYPERLINK("https://www.773grp.com/globalSearch/84056012A/page-1", "84056012A")</f>
        <v>84056012A</v>
      </c>
      <c r="B8781" s="3" t="s">
        <v>90</v>
      </c>
      <c r="C8781" s="5">
        <v>2</v>
      </c>
      <c r="D8781" s="6">
        <v>42.75</v>
      </c>
      <c r="E8781" t="s">
        <v>31</v>
      </c>
    </row>
    <row r="8782" spans="1:5" x14ac:dyDescent="0.25">
      <c r="A8782" t="str">
        <f>HYPERLINK("https://www.773grp.com/globalSearch/SNJ54HC74FK/page-1", "SNJ54HC74FK")</f>
        <v>SNJ54HC74FK</v>
      </c>
      <c r="B8782" s="3" t="s">
        <v>90</v>
      </c>
      <c r="C8782" s="5">
        <v>83</v>
      </c>
      <c r="D8782" s="6">
        <v>42.75</v>
      </c>
      <c r="E8782" t="s">
        <v>31</v>
      </c>
    </row>
    <row r="8783" spans="1:5" x14ac:dyDescent="0.25">
      <c r="A8783" t="str">
        <f>HYPERLINK("https://www.773grp.com/globalSearch/JM38510-37101B2A/page-1", "JM38510-37101B2A")</f>
        <v>JM38510-37101B2A</v>
      </c>
      <c r="B8783" s="3" t="s">
        <v>90</v>
      </c>
      <c r="C8783" s="5">
        <v>174</v>
      </c>
      <c r="D8783" s="6">
        <v>42.86</v>
      </c>
      <c r="E8783" t="s">
        <v>31</v>
      </c>
    </row>
    <row r="8784" spans="1:5" x14ac:dyDescent="0.25">
      <c r="A8784" t="str">
        <f>HYPERLINK("https://www.773grp.com/globalSearch/JM38510-37102B2A/page-1", "JM38510-37102B2A")</f>
        <v>JM38510-37102B2A</v>
      </c>
      <c r="B8784" s="3" t="s">
        <v>90</v>
      </c>
      <c r="C8784" s="5">
        <v>47</v>
      </c>
      <c r="D8784" s="6">
        <v>42.86</v>
      </c>
      <c r="E8784" t="s">
        <v>31</v>
      </c>
    </row>
    <row r="8785" spans="1:5" x14ac:dyDescent="0.25">
      <c r="A8785" t="str">
        <f>HYPERLINK("https://www.773grp.com/globalSearch/JM38510-37103B2A/page-1", "JM38510-37103B2A")</f>
        <v>JM38510-37103B2A</v>
      </c>
      <c r="B8785" s="3" t="s">
        <v>90</v>
      </c>
      <c r="C8785" s="5">
        <v>53</v>
      </c>
      <c r="D8785" s="6">
        <v>42.86</v>
      </c>
      <c r="E8785" t="s">
        <v>31</v>
      </c>
    </row>
    <row r="8786" spans="1:5" x14ac:dyDescent="0.25">
      <c r="A8786" t="str">
        <f>HYPERLINK("https://www.773grp.com/globalSearch/JM38510-07102BFA/page-1", "JM38510-07102BFA")</f>
        <v>JM38510-07102BFA</v>
      </c>
      <c r="B8786" s="3" t="s">
        <v>90</v>
      </c>
      <c r="C8786" s="5">
        <v>138</v>
      </c>
      <c r="D8786" s="6">
        <v>43.11</v>
      </c>
      <c r="E8786" t="s">
        <v>31</v>
      </c>
    </row>
    <row r="8787" spans="1:5" x14ac:dyDescent="0.25">
      <c r="A8787" t="str">
        <f>HYPERLINK("https://www.773grp.com/globalSearch/SNJ54LS379W/page-1", "SNJ54LS379W")</f>
        <v>SNJ54LS379W</v>
      </c>
      <c r="B8787" s="3" t="s">
        <v>90</v>
      </c>
      <c r="C8787" s="5">
        <v>21</v>
      </c>
      <c r="D8787" s="6">
        <v>43.2</v>
      </c>
      <c r="E8787" t="s">
        <v>31</v>
      </c>
    </row>
    <row r="8788" spans="1:5" x14ac:dyDescent="0.25">
      <c r="A8788" t="str">
        <f>HYPERLINK("https://www.773grp.com/globalSearch/JM38510-65308BFA/page-1", "JM38510-65308BFA")</f>
        <v>JM38510-65308BFA</v>
      </c>
      <c r="B8788" s="3" t="s">
        <v>90</v>
      </c>
      <c r="C8788" s="5">
        <v>24</v>
      </c>
      <c r="D8788" s="6">
        <v>43.59</v>
      </c>
      <c r="E8788" t="s">
        <v>31</v>
      </c>
    </row>
    <row r="8789" spans="1:5" x14ac:dyDescent="0.25">
      <c r="A8789" t="str">
        <f>HYPERLINK("https://www.773grp.com/globalSearch/SNJ54LS377W/page-1", "SNJ54LS377W")</f>
        <v>SNJ54LS377W</v>
      </c>
      <c r="B8789" s="3" t="s">
        <v>90</v>
      </c>
      <c r="C8789" s="5">
        <v>3</v>
      </c>
      <c r="D8789" s="6">
        <v>43.76</v>
      </c>
      <c r="E8789" t="s">
        <v>31</v>
      </c>
    </row>
    <row r="8790" spans="1:5" x14ac:dyDescent="0.25">
      <c r="A8790" t="str">
        <f>HYPERLINK("https://www.773grp.com/globalSearch/5962-8985201EA/page-1", "5962-8985201EA")</f>
        <v>5962-8985201EA</v>
      </c>
      <c r="B8790" s="3" t="s">
        <v>90</v>
      </c>
      <c r="C8790" s="5">
        <v>9</v>
      </c>
      <c r="D8790" s="6">
        <v>44.6</v>
      </c>
      <c r="E8790" t="s">
        <v>31</v>
      </c>
    </row>
    <row r="8791" spans="1:5" x14ac:dyDescent="0.25">
      <c r="A8791" t="str">
        <f>HYPERLINK("https://www.773grp.com/globalSearch/CD54HCT259F3A/page-1", "CD54HCT259F3A")</f>
        <v>CD54HCT259F3A</v>
      </c>
      <c r="B8791" s="3" t="s">
        <v>90</v>
      </c>
      <c r="C8791" s="5">
        <v>12</v>
      </c>
      <c r="D8791" s="6">
        <v>44.6</v>
      </c>
      <c r="E8791" t="s">
        <v>31</v>
      </c>
    </row>
    <row r="8792" spans="1:5" x14ac:dyDescent="0.25">
      <c r="A8792" t="str">
        <f>HYPERLINK("https://www.773grp.com/globalSearch/84150012A/page-1", "84150012A")</f>
        <v>84150012A</v>
      </c>
      <c r="B8792" s="3" t="s">
        <v>90</v>
      </c>
      <c r="C8792" s="5">
        <v>11</v>
      </c>
      <c r="D8792" s="6">
        <v>44.94</v>
      </c>
      <c r="E8792" t="s">
        <v>31</v>
      </c>
    </row>
    <row r="8793" spans="1:5" x14ac:dyDescent="0.25">
      <c r="A8793" t="str">
        <f>HYPERLINK("https://www.773grp.com/globalSearch/SNJ54HC109FK/page-1", "SNJ54HC109FK")</f>
        <v>SNJ54HC109FK</v>
      </c>
      <c r="B8793" s="3" t="s">
        <v>90</v>
      </c>
      <c r="C8793" s="5">
        <v>9</v>
      </c>
      <c r="D8793" s="6">
        <v>44.94</v>
      </c>
      <c r="E8793" t="s">
        <v>31</v>
      </c>
    </row>
    <row r="8794" spans="1:5" x14ac:dyDescent="0.25">
      <c r="A8794" t="str">
        <f>HYPERLINK("https://www.773grp.com/globalSearch/84088012A/page-1", "84088012A")</f>
        <v>84088012A</v>
      </c>
      <c r="B8794" s="3" t="s">
        <v>90</v>
      </c>
      <c r="C8794" s="5">
        <v>91</v>
      </c>
      <c r="D8794" s="6">
        <v>44.98</v>
      </c>
      <c r="E8794" t="s">
        <v>31</v>
      </c>
    </row>
    <row r="8795" spans="1:5" x14ac:dyDescent="0.25">
      <c r="A8795" t="str">
        <f>HYPERLINK("https://www.773grp.com/globalSearch/SNJ54LS112AFK/page-1", "SNJ54LS112AFK")</f>
        <v>SNJ54LS112AFK</v>
      </c>
      <c r="B8795" s="3" t="s">
        <v>90</v>
      </c>
      <c r="C8795" s="5">
        <v>85</v>
      </c>
      <c r="D8795" s="6">
        <v>45.45</v>
      </c>
      <c r="E8795" t="s">
        <v>31</v>
      </c>
    </row>
    <row r="8796" spans="1:5" x14ac:dyDescent="0.25">
      <c r="A8796" t="str">
        <f>HYPERLINK("https://www.773grp.com/globalSearch/SN54174W/page-1", "SN54174W")</f>
        <v>SN54174W</v>
      </c>
      <c r="B8796" s="3" t="s">
        <v>90</v>
      </c>
      <c r="C8796" s="5">
        <v>15</v>
      </c>
      <c r="D8796" s="6">
        <v>45.85</v>
      </c>
      <c r="E8796" t="s">
        <v>31</v>
      </c>
    </row>
    <row r="8797" spans="1:5" x14ac:dyDescent="0.25">
      <c r="A8797" t="str">
        <f>HYPERLINK("https://www.773grp.com/globalSearch/JM38510-00202BDA/page-1", "JM38510-00202BDA")</f>
        <v>JM38510-00202BDA</v>
      </c>
      <c r="B8797" s="3" t="s">
        <v>90</v>
      </c>
      <c r="C8797" s="5">
        <v>1</v>
      </c>
      <c r="D8797" s="6">
        <v>46.41</v>
      </c>
      <c r="E8797" t="s">
        <v>31</v>
      </c>
    </row>
    <row r="8798" spans="1:5" x14ac:dyDescent="0.25">
      <c r="A8798" t="str">
        <f>HYPERLINK("https://www.773grp.com/globalSearch/JM38510-37201BEA/page-1", "JM38510-37201BEA")</f>
        <v>JM38510-37201BEA</v>
      </c>
      <c r="B8798" s="3" t="s">
        <v>90</v>
      </c>
      <c r="C8798" s="5">
        <v>214</v>
      </c>
      <c r="D8798" s="6">
        <v>47.25</v>
      </c>
      <c r="E8798" t="s">
        <v>31</v>
      </c>
    </row>
    <row r="8799" spans="1:5" x14ac:dyDescent="0.25">
      <c r="A8799" t="str">
        <f>HYPERLINK("https://www.773grp.com/globalSearch/84073012A/page-1", "84073012A")</f>
        <v>84073012A</v>
      </c>
      <c r="B8799" s="3" t="s">
        <v>90</v>
      </c>
      <c r="C8799" s="5">
        <v>69</v>
      </c>
      <c r="D8799" s="6">
        <v>47.29</v>
      </c>
      <c r="E8799" t="s">
        <v>31</v>
      </c>
    </row>
    <row r="8800" spans="1:5" x14ac:dyDescent="0.25">
      <c r="A8800" t="str">
        <f>HYPERLINK("https://www.773grp.com/globalSearch/JM38510-37202BEA/page-1", "JM38510-37202BEA")</f>
        <v>JM38510-37202BEA</v>
      </c>
      <c r="B8800" s="3" t="s">
        <v>90</v>
      </c>
      <c r="C8800" s="5">
        <v>234</v>
      </c>
      <c r="D8800" s="6">
        <v>47.7</v>
      </c>
      <c r="E8800" t="s">
        <v>31</v>
      </c>
    </row>
    <row r="8801" spans="1:5" x14ac:dyDescent="0.25">
      <c r="A8801" t="str">
        <f>HYPERLINK("https://www.773grp.com/globalSearch/JM38510-65352B2A/page-1", "JM38510-65352B2A")</f>
        <v>JM38510-65352B2A</v>
      </c>
      <c r="B8801" s="3" t="s">
        <v>90</v>
      </c>
      <c r="C8801" s="5">
        <v>65</v>
      </c>
      <c r="D8801" s="6">
        <v>49.05</v>
      </c>
      <c r="E8801" t="s">
        <v>31</v>
      </c>
    </row>
    <row r="8802" spans="1:5" x14ac:dyDescent="0.25">
      <c r="A8802" t="str">
        <f>HYPERLINK("https://www.773grp.com/globalSearch/84136012A/page-1", "84136012A")</f>
        <v>84136012A</v>
      </c>
      <c r="B8802" s="3" t="s">
        <v>90</v>
      </c>
      <c r="C8802" s="5">
        <v>152</v>
      </c>
      <c r="D8802" s="6">
        <v>49.08</v>
      </c>
      <c r="E8802" t="s">
        <v>31</v>
      </c>
    </row>
    <row r="8803" spans="1:5" x14ac:dyDescent="0.25">
      <c r="A8803" t="str">
        <f>HYPERLINK("https://www.773grp.com/globalSearch/JM38510-07101BCA/page-1", "JM38510-07101BCA")</f>
        <v>JM38510-07101BCA</v>
      </c>
      <c r="B8803" s="3" t="s">
        <v>90</v>
      </c>
      <c r="C8803" s="5">
        <v>260</v>
      </c>
      <c r="D8803" s="6">
        <v>53.8</v>
      </c>
      <c r="E8803" t="s">
        <v>31</v>
      </c>
    </row>
    <row r="8804" spans="1:5" x14ac:dyDescent="0.25">
      <c r="A8804" t="str">
        <f>HYPERLINK("https://www.773grp.com/globalSearch/JM38510-07105BEA/page-1", "JM38510-07105BEA")</f>
        <v>JM38510-07105BEA</v>
      </c>
      <c r="B8804" s="3" t="s">
        <v>90</v>
      </c>
      <c r="C8804" s="5">
        <v>221</v>
      </c>
      <c r="D8804" s="6">
        <v>54.18</v>
      </c>
      <c r="E8804" t="s">
        <v>31</v>
      </c>
    </row>
    <row r="8805" spans="1:5" x14ac:dyDescent="0.25">
      <c r="A8805" t="str">
        <f>HYPERLINK("https://www.773grp.com/globalSearch/85519012A/page-1", "85519012A")</f>
        <v>85519012A</v>
      </c>
      <c r="B8805" s="3" t="s">
        <v>90</v>
      </c>
      <c r="C8805" s="5">
        <v>8</v>
      </c>
      <c r="D8805" s="6">
        <v>54.48</v>
      </c>
      <c r="E8805" t="s">
        <v>31</v>
      </c>
    </row>
    <row r="8806" spans="1:5" x14ac:dyDescent="0.25">
      <c r="A8806" t="str">
        <f>HYPERLINK("https://www.773grp.com/globalSearch/JM38510-07102BEA/page-1", "JM38510-07102BEA")</f>
        <v>JM38510-07102BEA</v>
      </c>
      <c r="B8806" s="3" t="s">
        <v>90</v>
      </c>
      <c r="C8806" s="5">
        <v>1104</v>
      </c>
      <c r="D8806" s="6">
        <v>56.2</v>
      </c>
      <c r="E8806" t="s">
        <v>31</v>
      </c>
    </row>
    <row r="8807" spans="1:5" x14ac:dyDescent="0.25">
      <c r="A8807" t="str">
        <f>HYPERLINK("https://www.773grp.com/globalSearch/JM38510-65302B2A/page-1", "JM38510-65302B2A")</f>
        <v>JM38510-65302B2A</v>
      </c>
      <c r="B8807" s="3" t="s">
        <v>90</v>
      </c>
      <c r="C8807" s="5">
        <v>21</v>
      </c>
      <c r="D8807" s="6">
        <v>56.36</v>
      </c>
      <c r="E8807" t="s">
        <v>31</v>
      </c>
    </row>
    <row r="8808" spans="1:5" x14ac:dyDescent="0.25">
      <c r="A8808" t="str">
        <f>HYPERLINK("https://www.773grp.com/globalSearch/8409901SA/page-1", "8409901SA")</f>
        <v>8409901SA</v>
      </c>
      <c r="B8808" s="3" t="s">
        <v>90</v>
      </c>
      <c r="C8808" s="5">
        <v>2820</v>
      </c>
      <c r="D8808" s="6">
        <v>56.74</v>
      </c>
      <c r="E8808" t="s">
        <v>31</v>
      </c>
    </row>
    <row r="8809" spans="1:5" x14ac:dyDescent="0.25">
      <c r="A8809" t="str">
        <f>HYPERLINK("https://www.773grp.com/globalSearch/84099012A/page-1", "84099012A")</f>
        <v>84099012A</v>
      </c>
      <c r="B8809" s="3" t="s">
        <v>90</v>
      </c>
      <c r="C8809" s="5">
        <v>431</v>
      </c>
      <c r="D8809" s="6">
        <v>57.94</v>
      </c>
      <c r="E8809" t="s">
        <v>31</v>
      </c>
    </row>
    <row r="8810" spans="1:5" x14ac:dyDescent="0.25">
      <c r="A8810" t="str">
        <f>HYPERLINK("https://www.773grp.com/globalSearch/JM38510-65601BSA/page-1", "JM38510-65601BSA")</f>
        <v>JM38510-65601BSA</v>
      </c>
      <c r="B8810" s="3" t="s">
        <v>90</v>
      </c>
      <c r="C8810" s="5">
        <v>3</v>
      </c>
      <c r="D8810" s="6">
        <v>58.43</v>
      </c>
      <c r="E8810" t="s">
        <v>31</v>
      </c>
    </row>
    <row r="8811" spans="1:5" x14ac:dyDescent="0.25">
      <c r="A8811" t="str">
        <f>HYPERLINK("https://www.773grp.com/globalSearch/5962-87807012A/page-1", "5962-87807012A")</f>
        <v>5962-87807012A</v>
      </c>
      <c r="B8811" s="3" t="s">
        <v>90</v>
      </c>
      <c r="C8811" s="5">
        <v>18</v>
      </c>
      <c r="D8811" s="6">
        <v>60.08</v>
      </c>
      <c r="E8811" t="s">
        <v>31</v>
      </c>
    </row>
    <row r="8812" spans="1:5" x14ac:dyDescent="0.25">
      <c r="A8812" t="str">
        <f>HYPERLINK("https://www.773grp.com/globalSearch/SNJ54HC377FK/page-1", "SNJ54HC377FK")</f>
        <v>SNJ54HC377FK</v>
      </c>
      <c r="B8812" s="3" t="s">
        <v>90</v>
      </c>
      <c r="C8812" s="5">
        <v>6</v>
      </c>
      <c r="D8812" s="6">
        <v>60.08</v>
      </c>
      <c r="E8812" t="s">
        <v>31</v>
      </c>
    </row>
    <row r="8813" spans="1:5" x14ac:dyDescent="0.25">
      <c r="A8813" t="str">
        <f>HYPERLINK("https://www.773grp.com/globalSearch/JM38510-65305BEA/page-1", "JM38510-65305BEA")</f>
        <v>JM38510-65305BEA</v>
      </c>
      <c r="B8813" s="3" t="s">
        <v>90</v>
      </c>
      <c r="C8813" s="5">
        <v>1</v>
      </c>
      <c r="D8813" s="6">
        <v>66.33</v>
      </c>
      <c r="E8813" t="s">
        <v>31</v>
      </c>
    </row>
    <row r="8814" spans="1:5" x14ac:dyDescent="0.25">
      <c r="A8814" t="str">
        <f>HYPERLINK("https://www.773grp.com/globalSearch/JM38510-65302BCA/page-1", "JM38510-65302BCA")</f>
        <v>JM38510-65302BCA</v>
      </c>
      <c r="B8814" s="3" t="s">
        <v>90</v>
      </c>
      <c r="C8814" s="5">
        <v>19</v>
      </c>
      <c r="D8814" s="6">
        <v>69.64</v>
      </c>
      <c r="E8814" t="s">
        <v>31</v>
      </c>
    </row>
    <row r="8815" spans="1:5" x14ac:dyDescent="0.25">
      <c r="A8815" t="str">
        <f>HYPERLINK("https://www.773grp.com/globalSearch/JM38510-65304BEA/page-1", "JM38510-65304BEA")</f>
        <v>JM38510-65304BEA</v>
      </c>
      <c r="B8815" s="3" t="s">
        <v>90</v>
      </c>
      <c r="C8815" s="5">
        <v>39</v>
      </c>
      <c r="D8815" s="6">
        <v>69.86</v>
      </c>
      <c r="E8815" t="s">
        <v>31</v>
      </c>
    </row>
    <row r="8816" spans="1:5" x14ac:dyDescent="0.25">
      <c r="A8816" t="str">
        <f>HYPERLINK("https://www.773grp.com/globalSearch/JM38510-65307BEA/page-1", "JM38510-65307BEA")</f>
        <v>JM38510-65307BEA</v>
      </c>
      <c r="B8816" s="3" t="s">
        <v>90</v>
      </c>
      <c r="C8816" s="5">
        <v>579</v>
      </c>
      <c r="D8816" s="6">
        <v>72.510000000000005</v>
      </c>
      <c r="E8816" t="s">
        <v>31</v>
      </c>
    </row>
    <row r="8817" spans="1:5" x14ac:dyDescent="0.25">
      <c r="A8817" t="str">
        <f>HYPERLINK("https://www.773grp.com/globalSearch/JM38510-07106BEA/page-1", "JM38510-07106BEA")</f>
        <v>JM38510-07106BEA</v>
      </c>
      <c r="B8817" s="3" t="s">
        <v>90</v>
      </c>
      <c r="C8817" s="5">
        <v>72</v>
      </c>
      <c r="D8817" s="6">
        <v>82.05</v>
      </c>
      <c r="E8817" t="s">
        <v>31</v>
      </c>
    </row>
    <row r="8818" spans="1:5" x14ac:dyDescent="0.25">
      <c r="A8818" t="str">
        <f>HYPERLINK("https://www.773grp.com/globalSearch/CD54ACT273F3A/page-1", "CD54ACT273F3A")</f>
        <v>CD54ACT273F3A</v>
      </c>
      <c r="B8818" s="3" t="s">
        <v>90</v>
      </c>
      <c r="C8818" s="5">
        <v>104</v>
      </c>
      <c r="D8818" s="6">
        <v>99.11</v>
      </c>
      <c r="E8818" t="s">
        <v>31</v>
      </c>
    </row>
    <row r="8819" spans="1:5" x14ac:dyDescent="0.25">
      <c r="A8819" t="str">
        <f>HYPERLINK("https://www.773grp.com/globalSearch/SN54H103J/page-1", "SN54H103J")</f>
        <v>SN54H103J</v>
      </c>
      <c r="B8819" s="3" t="s">
        <v>90</v>
      </c>
      <c r="C8819" s="5">
        <v>2031</v>
      </c>
      <c r="D8819" s="6">
        <v>102.65</v>
      </c>
      <c r="E8819" t="s">
        <v>31</v>
      </c>
    </row>
    <row r="8820" spans="1:5" x14ac:dyDescent="0.25">
      <c r="A8820" t="str">
        <f>HYPERLINK("https://www.773grp.com/globalSearch/JM38510-17601BEA/page-1", "JM38510-17601BEA")</f>
        <v>JM38510-17601BEA</v>
      </c>
      <c r="B8820" s="3" t="s">
        <v>90</v>
      </c>
      <c r="C8820" s="5">
        <v>21</v>
      </c>
      <c r="D8820" s="6">
        <v>114.3</v>
      </c>
      <c r="E8820" t="s">
        <v>31</v>
      </c>
    </row>
    <row r="8821" spans="1:5" x14ac:dyDescent="0.25">
      <c r="A8821" t="str">
        <f>HYPERLINK("https://www.773grp.com/globalSearch/JM38510-30102SCA/page-1", "JM38510-30102SCA")</f>
        <v>JM38510-30102SCA</v>
      </c>
      <c r="B8821" s="3" t="str">
        <f>HYPERLINK("https://www.773grp.com/manufacturer/texas-instruments?pageNo=416", "Texas Instruments")</f>
        <v>Texas Instruments</v>
      </c>
      <c r="C8821" s="5">
        <v>41</v>
      </c>
      <c r="D8821" s="6">
        <v>194.35</v>
      </c>
      <c r="E8821" t="s">
        <v>31</v>
      </c>
    </row>
    <row r="8822" spans="1:5" x14ac:dyDescent="0.25">
      <c r="A8822" t="str">
        <f>HYPERLINK("https://www.773grp.com/globalSearch/JM38510-30107SEA/page-1", "JM38510-30107SEA")</f>
        <v>JM38510-30107SEA</v>
      </c>
      <c r="B8822" s="3" t="str">
        <f>HYPERLINK("https://www.773grp.com/manufacturer/texas-instruments?pageNo=417", "Texas Instruments")</f>
        <v>Texas Instruments</v>
      </c>
      <c r="C8822" s="5">
        <v>54</v>
      </c>
      <c r="D8822" s="6">
        <v>194.35</v>
      </c>
      <c r="E8822" t="s">
        <v>31</v>
      </c>
    </row>
    <row r="8823" spans="1:5" x14ac:dyDescent="0.25">
      <c r="A8823" t="str">
        <f>HYPERLINK("https://www.773grp.com/globalSearch/JM38510-30109SEA/page-1", "JM38510-30109SEA")</f>
        <v>JM38510-30109SEA</v>
      </c>
      <c r="B8823" s="3" t="str">
        <f>HYPERLINK("https://www.773grp.com/manufacturer/texas-instruments?pageNo=418", "Texas Instruments")</f>
        <v>Texas Instruments</v>
      </c>
      <c r="C8823" s="5">
        <v>156</v>
      </c>
      <c r="D8823" s="6">
        <v>194.35</v>
      </c>
      <c r="E8823" t="s">
        <v>31</v>
      </c>
    </row>
    <row r="8824" spans="1:5" x14ac:dyDescent="0.25">
      <c r="A8824" t="str">
        <f>HYPERLINK("https://www.773grp.com/globalSearch/JM38510-36101SEA/page-1", "JM38510-36101SEA")</f>
        <v>JM38510-36101SEA</v>
      </c>
      <c r="B8824" s="3" t="str">
        <f>HYPERLINK("https://www.773grp.com/manufacturer/texas-instruments?pageNo=423", "Texas Instruments")</f>
        <v>Texas Instruments</v>
      </c>
      <c r="C8824" s="5">
        <v>52</v>
      </c>
      <c r="D8824" s="6">
        <v>194.35</v>
      </c>
      <c r="E8824" t="s">
        <v>31</v>
      </c>
    </row>
    <row r="8825" spans="1:5" x14ac:dyDescent="0.25">
      <c r="A8825" t="str">
        <f>HYPERLINK("https://www.773grp.com/globalSearch/JM38510-30102SDA/page-1", "JM38510-30102SDA")</f>
        <v>JM38510-30102SDA</v>
      </c>
      <c r="B8825" s="3" t="str">
        <f>HYPERLINK("https://www.773grp.com/manufacturer/texas-instruments?pageNo=680", "Texas Instruments")</f>
        <v>Texas Instruments</v>
      </c>
      <c r="C8825" s="5">
        <v>99</v>
      </c>
      <c r="D8825" s="6">
        <v>222.26</v>
      </c>
      <c r="E8825" t="s">
        <v>31</v>
      </c>
    </row>
    <row r="8826" spans="1:5" x14ac:dyDescent="0.25">
      <c r="A8826" t="str">
        <f>HYPERLINK("https://www.773grp.com/globalSearch/JM38510-30107SFA/page-1", "JM38510-30107SFA")</f>
        <v>JM38510-30107SFA</v>
      </c>
      <c r="B8826" s="3" t="str">
        <f>HYPERLINK("https://www.773grp.com/manufacturer/texas-instruments?pageNo=681", "Texas Instruments")</f>
        <v>Texas Instruments</v>
      </c>
      <c r="C8826" s="5">
        <v>105</v>
      </c>
      <c r="D8826" s="6">
        <v>222.26</v>
      </c>
      <c r="E8826" t="s">
        <v>31</v>
      </c>
    </row>
    <row r="8827" spans="1:5" x14ac:dyDescent="0.25">
      <c r="A8827" t="str">
        <f>HYPERLINK("https://www.773grp.com/globalSearch/JM38510-30109SFA/page-1", "JM38510-30109SFA")</f>
        <v>JM38510-30109SFA</v>
      </c>
      <c r="B8827" s="3" t="str">
        <f>HYPERLINK("https://www.773grp.com/manufacturer/texas-instruments?pageNo=682", "Texas Instruments")</f>
        <v>Texas Instruments</v>
      </c>
      <c r="C8827" s="5">
        <v>9</v>
      </c>
      <c r="D8827" s="6">
        <v>222.26</v>
      </c>
      <c r="E8827" t="s">
        <v>31</v>
      </c>
    </row>
    <row r="8828" spans="1:5" x14ac:dyDescent="0.25">
      <c r="A8828" t="str">
        <f>HYPERLINK("https://www.773grp.com/globalSearch/TPC1020AMGB84B/page-1", "TPC1020AMGB84B")</f>
        <v>TPC1020AMGB84B</v>
      </c>
      <c r="B8828" s="3" t="s">
        <v>90</v>
      </c>
      <c r="C8828" s="5">
        <v>334</v>
      </c>
      <c r="D8828" s="6">
        <v>480.61</v>
      </c>
      <c r="E8828" t="s">
        <v>109</v>
      </c>
    </row>
    <row r="8829" spans="1:5" x14ac:dyDescent="0.25">
      <c r="A8829" t="str">
        <f>HYPERLINK("https://www.773grp.com/globalSearch/XC4025E-3HQ240I/page-1", "XC4025E-3HQ240I")</f>
        <v>XC4025E-3HQ240I</v>
      </c>
      <c r="B8829" s="3" t="str">
        <f>HYPERLINK("https://www.773grp.com/manufacturer/amd?pageNo=27", "Xilinx")</f>
        <v>Xilinx</v>
      </c>
      <c r="C8829" s="5">
        <v>132</v>
      </c>
      <c r="D8829" s="6">
        <v>0</v>
      </c>
      <c r="E8829" t="s">
        <v>109</v>
      </c>
    </row>
    <row r="8830" spans="1:5" x14ac:dyDescent="0.25">
      <c r="A8830" t="str">
        <f>HYPERLINK("https://www.773grp.com/globalSearch/XCV2000E-6FG860I/page-1", "XCV2000E-6FG860I")</f>
        <v>XCV2000E-6FG860I</v>
      </c>
      <c r="B8830" s="3" t="str">
        <f>HYPERLINK("https://www.773grp.com/manufacturer/amd?pageNo=31", "Xilinx")</f>
        <v>Xilinx</v>
      </c>
      <c r="C8830" s="5">
        <v>9</v>
      </c>
      <c r="D8830" s="6">
        <v>0</v>
      </c>
      <c r="E8830" t="s">
        <v>109</v>
      </c>
    </row>
    <row r="8831" spans="1:5" x14ac:dyDescent="0.25">
      <c r="A8831" t="str">
        <f>HYPERLINK("https://www.773grp.com/globalSearch/XC2S15-5CS144I/page-1", "XC2S15-5CS144I")</f>
        <v>XC2S15-5CS144I</v>
      </c>
      <c r="B8831" s="3" t="str">
        <f>HYPERLINK("https://www.773grp.com/manufacturer/amd?pageNo=84", "Xilinx")</f>
        <v>Xilinx</v>
      </c>
      <c r="C8831" s="5">
        <v>2896</v>
      </c>
      <c r="D8831" s="6">
        <v>21.23</v>
      </c>
      <c r="E8831" t="s">
        <v>109</v>
      </c>
    </row>
    <row r="8832" spans="1:5" x14ac:dyDescent="0.25">
      <c r="A8832" t="str">
        <f>HYPERLINK("https://www.773grp.com/globalSearch/XC3S50-4CPG132C/page-1", "XC3S50-4CPG132C")</f>
        <v>XC3S50-4CPG132C</v>
      </c>
      <c r="B8832" s="3" t="str">
        <f>HYPERLINK("https://www.773grp.com/manufacturer/amd?pageNo=86", "Xilinx")</f>
        <v>Xilinx</v>
      </c>
      <c r="C8832" s="5">
        <v>1090</v>
      </c>
      <c r="D8832" s="6">
        <v>22.24</v>
      </c>
      <c r="E8832" t="s">
        <v>109</v>
      </c>
    </row>
    <row r="8833" spans="1:5" x14ac:dyDescent="0.25">
      <c r="A8833" t="str">
        <f>HYPERLINK("https://www.773grp.com/globalSearch/XC5202-5PC84C/page-1", "XC5202-5PC84C")</f>
        <v>XC5202-5PC84C</v>
      </c>
      <c r="B8833" s="3" t="str">
        <f>HYPERLINK("https://www.773grp.com/manufacturer/amd?pageNo=89", "Xilinx")</f>
        <v>Xilinx</v>
      </c>
      <c r="C8833" s="5">
        <v>1</v>
      </c>
      <c r="D8833" s="6">
        <v>24.5</v>
      </c>
      <c r="E8833" t="s">
        <v>109</v>
      </c>
    </row>
    <row r="8834" spans="1:5" x14ac:dyDescent="0.25">
      <c r="A8834" t="str">
        <f>HYPERLINK("https://www.773grp.com/globalSearch/XC3S50-4CP132I/page-1", "XC3S50-4CP132I")</f>
        <v>XC3S50-4CP132I</v>
      </c>
      <c r="B8834" s="3" t="str">
        <f>HYPERLINK("https://www.773grp.com/manufacturer/amd?pageNo=91", "Xilinx")</f>
        <v>Xilinx</v>
      </c>
      <c r="C8834" s="5">
        <v>516</v>
      </c>
      <c r="D8834" s="6">
        <v>25.6</v>
      </c>
      <c r="E8834" t="s">
        <v>109</v>
      </c>
    </row>
    <row r="8835" spans="1:5" x14ac:dyDescent="0.25">
      <c r="A8835" t="str">
        <f>HYPERLINK("https://www.773grp.com/globalSearch/XC3S50-4CPG132I/page-1", "XC3S50-4CPG132I")</f>
        <v>XC3S50-4CPG132I</v>
      </c>
      <c r="B8835" s="3" t="str">
        <f>HYPERLINK("https://www.773grp.com/manufacturer/amd?pageNo=92", "Xilinx")</f>
        <v>Xilinx</v>
      </c>
      <c r="C8835" s="5">
        <v>71</v>
      </c>
      <c r="D8835" s="6">
        <v>25.6</v>
      </c>
      <c r="E8835" t="s">
        <v>109</v>
      </c>
    </row>
    <row r="8836" spans="1:5" x14ac:dyDescent="0.25">
      <c r="A8836" t="str">
        <f>HYPERLINK("https://www.773grp.com/globalSearch/XC3S50-5CPG132C/page-1", "XC3S50-5CPG132C")</f>
        <v>XC3S50-5CPG132C</v>
      </c>
      <c r="B8836" s="3" t="str">
        <f>HYPERLINK("https://www.773grp.com/manufacturer/amd?pageNo=93", "Xilinx")</f>
        <v>Xilinx</v>
      </c>
      <c r="C8836" s="5">
        <v>365</v>
      </c>
      <c r="D8836" s="6">
        <v>25.6</v>
      </c>
      <c r="E8836" t="s">
        <v>109</v>
      </c>
    </row>
    <row r="8837" spans="1:5" x14ac:dyDescent="0.25">
      <c r="A8837" t="str">
        <f>HYPERLINK("https://www.773grp.com/globalSearch/XC5202-5VQ100C/page-1", "XC5202-5VQ100C")</f>
        <v>XC5202-5VQ100C</v>
      </c>
      <c r="B8837" s="3" t="s">
        <v>115</v>
      </c>
      <c r="C8837" s="5">
        <v>55</v>
      </c>
      <c r="D8837" s="6">
        <v>32.15</v>
      </c>
      <c r="E8837" t="s">
        <v>109</v>
      </c>
    </row>
    <row r="8838" spans="1:5" x14ac:dyDescent="0.25">
      <c r="A8838" t="str">
        <f>HYPERLINK("https://www.773grp.com/globalSearch/XC5202-6VQ100I/page-1", "XC5202-6VQ100I")</f>
        <v>XC5202-6VQ100I</v>
      </c>
      <c r="B8838" s="3" t="s">
        <v>115</v>
      </c>
      <c r="C8838" s="5">
        <v>12</v>
      </c>
      <c r="D8838" s="6">
        <v>32.15</v>
      </c>
      <c r="E8838" t="s">
        <v>109</v>
      </c>
    </row>
    <row r="8839" spans="1:5" x14ac:dyDescent="0.25">
      <c r="A8839" t="str">
        <f>HYPERLINK("https://www.773grp.com/globalSearch/XC3130-5PC44C/page-1", "XC3130-5PC44C")</f>
        <v>XC3130-5PC44C</v>
      </c>
      <c r="B8839" s="3" t="s">
        <v>115</v>
      </c>
      <c r="C8839" s="5">
        <v>198</v>
      </c>
      <c r="D8839" s="6">
        <v>33.04</v>
      </c>
      <c r="E8839" t="s">
        <v>109</v>
      </c>
    </row>
    <row r="8840" spans="1:5" x14ac:dyDescent="0.25">
      <c r="A8840" t="str">
        <f>HYPERLINK("https://www.773grp.com/globalSearch/XC3130-3PC68C/page-1", "XC3130-3PC68C")</f>
        <v>XC3130-3PC68C</v>
      </c>
      <c r="B8840" s="3" t="s">
        <v>115</v>
      </c>
      <c r="C8840" s="5">
        <v>641</v>
      </c>
      <c r="D8840" s="6">
        <v>34.31</v>
      </c>
      <c r="E8840" t="s">
        <v>109</v>
      </c>
    </row>
    <row r="8841" spans="1:5" x14ac:dyDescent="0.25">
      <c r="A8841" t="str">
        <f>HYPERLINK("https://www.773grp.com/globalSearch/XC3130-5PC68C/page-1", "XC3130-5PC68C")</f>
        <v>XC3130-5PC68C</v>
      </c>
      <c r="B8841" s="3" t="s">
        <v>115</v>
      </c>
      <c r="C8841" s="5">
        <v>124</v>
      </c>
      <c r="D8841" s="6">
        <v>34.31</v>
      </c>
      <c r="E8841" t="s">
        <v>109</v>
      </c>
    </row>
    <row r="8842" spans="1:5" x14ac:dyDescent="0.25">
      <c r="A8842" t="str">
        <f>HYPERLINK("https://www.773grp.com/globalSearch/XC3130-5PC84C/page-1", "XC3130-5PC84C")</f>
        <v>XC3130-5PC84C</v>
      </c>
      <c r="B8842" s="3" t="s">
        <v>115</v>
      </c>
      <c r="C8842" s="5">
        <v>126</v>
      </c>
      <c r="D8842" s="6">
        <v>35.299999999999997</v>
      </c>
      <c r="E8842" t="s">
        <v>109</v>
      </c>
    </row>
    <row r="8843" spans="1:5" x14ac:dyDescent="0.25">
      <c r="A8843" t="str">
        <f>HYPERLINK("https://www.773grp.com/globalSearch/XC5204-6PC84C/page-1", "XC5204-6PC84C")</f>
        <v>XC5204-6PC84C</v>
      </c>
      <c r="B8843" s="3" t="s">
        <v>115</v>
      </c>
      <c r="C8843" s="5">
        <v>1</v>
      </c>
      <c r="D8843" s="6">
        <v>38.61</v>
      </c>
      <c r="E8843" t="s">
        <v>109</v>
      </c>
    </row>
    <row r="8844" spans="1:5" x14ac:dyDescent="0.25">
      <c r="A8844" t="str">
        <f>HYPERLINK("https://www.773grp.com/globalSearch/XC3130-4PC44C/page-1", "XC3130-4PC44C")</f>
        <v>XC3130-4PC44C</v>
      </c>
      <c r="B8844" s="3" t="s">
        <v>115</v>
      </c>
      <c r="C8844" s="5">
        <v>31</v>
      </c>
      <c r="D8844" s="6">
        <v>38.68</v>
      </c>
      <c r="E8844" t="s">
        <v>109</v>
      </c>
    </row>
    <row r="8845" spans="1:5" x14ac:dyDescent="0.25">
      <c r="A8845" t="str">
        <f>HYPERLINK("https://www.773grp.com/globalSearch/XC3130-4PC68C/page-1", "XC3130-4PC68C")</f>
        <v>XC3130-4PC68C</v>
      </c>
      <c r="B8845" s="3" t="s">
        <v>115</v>
      </c>
      <c r="C8845" s="5">
        <v>450</v>
      </c>
      <c r="D8845" s="6">
        <v>39.94</v>
      </c>
      <c r="E8845" t="s">
        <v>109</v>
      </c>
    </row>
    <row r="8846" spans="1:5" x14ac:dyDescent="0.25">
      <c r="A8846" t="str">
        <f>HYPERLINK("https://www.773grp.com/globalSearch/XC3130-4PC84C/page-1", "XC3130-4PC84C")</f>
        <v>XC3130-4PC84C</v>
      </c>
      <c r="B8846" s="3" t="s">
        <v>115</v>
      </c>
      <c r="C8846" s="5">
        <v>376</v>
      </c>
      <c r="D8846" s="6">
        <v>41.21</v>
      </c>
      <c r="E8846" t="s">
        <v>109</v>
      </c>
    </row>
    <row r="8847" spans="1:5" x14ac:dyDescent="0.25">
      <c r="A8847" t="str">
        <f>HYPERLINK("https://www.773grp.com/globalSearch/XC3130-5TQ100C/page-1", "XC3130-5TQ100C")</f>
        <v>XC3130-5TQ100C</v>
      </c>
      <c r="B8847" s="3" t="s">
        <v>115</v>
      </c>
      <c r="C8847" s="5">
        <v>134</v>
      </c>
      <c r="D8847" s="6">
        <v>41.48</v>
      </c>
      <c r="E8847" t="s">
        <v>109</v>
      </c>
    </row>
    <row r="8848" spans="1:5" x14ac:dyDescent="0.25">
      <c r="A8848" t="str">
        <f>HYPERLINK("https://www.773grp.com/globalSearch/XC5204-6PQ100C/page-1", "XC5204-6PQ100C")</f>
        <v>XC5204-6PQ100C</v>
      </c>
      <c r="B8848" s="3" t="s">
        <v>115</v>
      </c>
      <c r="C8848" s="5">
        <v>2</v>
      </c>
      <c r="D8848" s="6">
        <v>42.91</v>
      </c>
      <c r="E8848" t="s">
        <v>109</v>
      </c>
    </row>
    <row r="8849" spans="1:5" x14ac:dyDescent="0.25">
      <c r="A8849" t="str">
        <f>HYPERLINK("https://www.773grp.com/globalSearch/XCS20XL-4CS144C/page-1", "XCS20XL-4CS144C")</f>
        <v>XCS20XL-4CS144C</v>
      </c>
      <c r="B8849" s="3" t="s">
        <v>115</v>
      </c>
      <c r="C8849" s="5">
        <v>617</v>
      </c>
      <c r="D8849" s="6">
        <v>44.84</v>
      </c>
      <c r="E8849" t="s">
        <v>109</v>
      </c>
    </row>
    <row r="8850" spans="1:5" x14ac:dyDescent="0.25">
      <c r="A8850" t="str">
        <f>HYPERLINK("https://www.773grp.com/globalSearch/XC3130-4PQ100C/page-1", "XC3130-4PQ100C")</f>
        <v>XC3130-4PQ100C</v>
      </c>
      <c r="B8850" s="3" t="s">
        <v>115</v>
      </c>
      <c r="C8850" s="5">
        <v>9</v>
      </c>
      <c r="D8850" s="6">
        <v>45.56</v>
      </c>
      <c r="E8850" t="s">
        <v>109</v>
      </c>
    </row>
    <row r="8851" spans="1:5" x14ac:dyDescent="0.25">
      <c r="A8851" t="str">
        <f>HYPERLINK("https://www.773grp.com/globalSearch/XC3130-4PC84I/page-1", "XC3130-4PC84I")</f>
        <v>XC3130-4PC84I</v>
      </c>
      <c r="B8851" s="3" t="s">
        <v>115</v>
      </c>
      <c r="C8851" s="5">
        <v>6</v>
      </c>
      <c r="D8851" s="6">
        <v>46.54</v>
      </c>
      <c r="E8851" t="s">
        <v>109</v>
      </c>
    </row>
    <row r="8852" spans="1:5" x14ac:dyDescent="0.25">
      <c r="A8852" t="str">
        <f>HYPERLINK("https://www.773grp.com/globalSearch/XC3130-4TQ100C/page-1", "XC3130-4TQ100C")</f>
        <v>XC3130-4TQ100C</v>
      </c>
      <c r="B8852" s="3" t="s">
        <v>115</v>
      </c>
      <c r="C8852" s="5">
        <v>20</v>
      </c>
      <c r="D8852" s="6">
        <v>48.51</v>
      </c>
      <c r="E8852" t="s">
        <v>109</v>
      </c>
    </row>
    <row r="8853" spans="1:5" x14ac:dyDescent="0.25">
      <c r="A8853" t="str">
        <f>HYPERLINK("https://www.773grp.com/globalSearch/XC3142-3TQ100C/page-1", "XC3142-3TQ100C")</f>
        <v>XC3142-3TQ100C</v>
      </c>
      <c r="B8853" s="3" t="s">
        <v>115</v>
      </c>
      <c r="C8853" s="5">
        <v>903</v>
      </c>
      <c r="D8853" s="6">
        <v>48.51</v>
      </c>
      <c r="E8853" t="s">
        <v>109</v>
      </c>
    </row>
    <row r="8854" spans="1:5" x14ac:dyDescent="0.25">
      <c r="A8854" t="str">
        <f>HYPERLINK("https://www.773grp.com/globalSearch/XC3142-5TQ100C/page-1", "XC3142-5TQ100C")</f>
        <v>XC3142-5TQ100C</v>
      </c>
      <c r="B8854" s="3" t="s">
        <v>115</v>
      </c>
      <c r="C8854" s="5">
        <v>168</v>
      </c>
      <c r="D8854" s="6">
        <v>48.8</v>
      </c>
      <c r="E8854" t="s">
        <v>109</v>
      </c>
    </row>
    <row r="8855" spans="1:5" x14ac:dyDescent="0.25">
      <c r="A8855" t="str">
        <f>HYPERLINK("https://www.773grp.com/globalSearch/XC3130-4PQ100I/page-1", "XC3130-4PQ100I")</f>
        <v>XC3130-4PQ100I</v>
      </c>
      <c r="B8855" s="3" t="s">
        <v>115</v>
      </c>
      <c r="C8855" s="5">
        <v>40</v>
      </c>
      <c r="D8855" s="6">
        <v>51.48</v>
      </c>
      <c r="E8855" t="s">
        <v>109</v>
      </c>
    </row>
    <row r="8856" spans="1:5" x14ac:dyDescent="0.25">
      <c r="A8856" t="str">
        <f>HYPERLINK("https://www.773grp.com/globalSearch/XC5204-6VQ100I/page-1", "XC5204-6VQ100I")</f>
        <v>XC5204-6VQ100I</v>
      </c>
      <c r="B8856" s="3" t="s">
        <v>115</v>
      </c>
      <c r="C8856" s="5">
        <v>3</v>
      </c>
      <c r="D8856" s="6">
        <v>51.64</v>
      </c>
      <c r="E8856" t="s">
        <v>109</v>
      </c>
    </row>
    <row r="8857" spans="1:5" x14ac:dyDescent="0.25">
      <c r="A8857" t="str">
        <f>HYPERLINK("https://www.773grp.com/globalSearch/XC5204-4PC84C/page-1", "XC5204-4PC84C")</f>
        <v>XC5204-4PC84C</v>
      </c>
      <c r="B8857" s="3" t="s">
        <v>115</v>
      </c>
      <c r="C8857" s="5">
        <v>1</v>
      </c>
      <c r="D8857" s="6">
        <v>53.33</v>
      </c>
      <c r="E8857" t="s">
        <v>109</v>
      </c>
    </row>
    <row r="8858" spans="1:5" x14ac:dyDescent="0.25">
      <c r="A8858" t="str">
        <f>HYPERLINK("https://www.773grp.com/globalSearch/XC3142-4PQ100C/page-1", "XC3142-4PQ100C")</f>
        <v>XC3142-4PQ100C</v>
      </c>
      <c r="B8858" s="3" t="s">
        <v>115</v>
      </c>
      <c r="C8858" s="5">
        <v>1280</v>
      </c>
      <c r="D8858" s="6">
        <v>54.56</v>
      </c>
      <c r="E8858" t="s">
        <v>109</v>
      </c>
    </row>
    <row r="8859" spans="1:5" x14ac:dyDescent="0.25">
      <c r="A8859" t="str">
        <f>HYPERLINK("https://www.773grp.com/globalSearch/XC3142-4TQ100C/page-1", "XC3142-4TQ100C")</f>
        <v>XC3142-4TQ100C</v>
      </c>
      <c r="B8859" s="3" t="s">
        <v>115</v>
      </c>
      <c r="C8859" s="5">
        <v>191</v>
      </c>
      <c r="D8859" s="6">
        <v>56.95</v>
      </c>
      <c r="E8859" t="s">
        <v>109</v>
      </c>
    </row>
    <row r="8860" spans="1:5" x14ac:dyDescent="0.25">
      <c r="A8860" t="str">
        <f>HYPERLINK("https://www.773grp.com/globalSearch/XC3164A-3TQ144C/page-1", "XC3164A-3TQ144C")</f>
        <v>XC3164A-3TQ144C</v>
      </c>
      <c r="B8860" s="3" t="s">
        <v>115</v>
      </c>
      <c r="C8860" s="5">
        <v>18</v>
      </c>
      <c r="D8860" s="6">
        <v>58.09</v>
      </c>
      <c r="E8860" t="s">
        <v>109</v>
      </c>
    </row>
    <row r="8861" spans="1:5" x14ac:dyDescent="0.25">
      <c r="A8861" t="str">
        <f>HYPERLINK("https://www.773grp.com/globalSearch/XC5204-5PQ160C/page-1", "XC5204-5PQ160C")</f>
        <v>XC5204-5PQ160C</v>
      </c>
      <c r="B8861" s="3" t="s">
        <v>115</v>
      </c>
      <c r="C8861" s="5">
        <v>487</v>
      </c>
      <c r="D8861" s="6">
        <v>58.34</v>
      </c>
      <c r="E8861" t="s">
        <v>109</v>
      </c>
    </row>
    <row r="8862" spans="1:5" x14ac:dyDescent="0.25">
      <c r="A8862" t="str">
        <f>HYPERLINK("https://www.773grp.com/globalSearch/XC3190-4PQ160C/page-1", "XC3190-4PQ160C")</f>
        <v>XC3190-4PQ160C</v>
      </c>
      <c r="B8862" s="3" t="s">
        <v>115</v>
      </c>
      <c r="C8862" s="5">
        <v>106</v>
      </c>
      <c r="D8862" s="6">
        <v>58.78</v>
      </c>
      <c r="E8862" t="s">
        <v>109</v>
      </c>
    </row>
    <row r="8863" spans="1:5" x14ac:dyDescent="0.25">
      <c r="A8863" t="str">
        <f>HYPERLINK("https://www.773grp.com/globalSearch/XC3142-5TQ144C/page-1", "XC3142-5TQ144C")</f>
        <v>XC3142-5TQ144C</v>
      </c>
      <c r="B8863" s="3" t="s">
        <v>115</v>
      </c>
      <c r="C8863" s="5">
        <v>39</v>
      </c>
      <c r="D8863" s="6">
        <v>63.15</v>
      </c>
      <c r="E8863" t="s">
        <v>109</v>
      </c>
    </row>
    <row r="8864" spans="1:5" x14ac:dyDescent="0.25">
      <c r="A8864" t="str">
        <f>HYPERLINK("https://www.773grp.com/globalSearch/XC3190-4PQ208C/page-1", "XC3190-4PQ208C")</f>
        <v>XC3190-4PQ208C</v>
      </c>
      <c r="B8864" s="3" t="s">
        <v>115</v>
      </c>
      <c r="C8864" s="5">
        <v>72</v>
      </c>
      <c r="D8864" s="6">
        <v>64.98</v>
      </c>
      <c r="E8864" t="s">
        <v>109</v>
      </c>
    </row>
    <row r="8865" spans="1:5" x14ac:dyDescent="0.25">
      <c r="A8865" t="str">
        <f>HYPERLINK("https://www.773grp.com/globalSearch/XC3190A-4PC84C/page-1", "XC3190A-4PC84C")</f>
        <v>XC3190A-4PC84C</v>
      </c>
      <c r="B8865" s="3" t="s">
        <v>115</v>
      </c>
      <c r="C8865" s="5">
        <v>382</v>
      </c>
      <c r="D8865" s="6">
        <v>67.5</v>
      </c>
      <c r="E8865" t="s">
        <v>109</v>
      </c>
    </row>
    <row r="8866" spans="1:5" x14ac:dyDescent="0.25">
      <c r="A8866" t="str">
        <f>HYPERLINK("https://www.773grp.com/globalSearch/XC3164-3PC84C/page-1", "XC3164-3PC84C")</f>
        <v>XC3164-3PC84C</v>
      </c>
      <c r="B8866" s="3" t="s">
        <v>115</v>
      </c>
      <c r="C8866" s="5">
        <v>39</v>
      </c>
      <c r="D8866" s="6">
        <v>69.61</v>
      </c>
      <c r="E8866" t="s">
        <v>109</v>
      </c>
    </row>
    <row r="8867" spans="1:5" x14ac:dyDescent="0.25">
      <c r="A8867" t="str">
        <f>HYPERLINK("https://www.773grp.com/globalSearch/XC3164A-1TQ144C/page-1", "XC3164A-1TQ144C")</f>
        <v>XC3164A-1TQ144C</v>
      </c>
      <c r="B8867" s="3" t="s">
        <v>115</v>
      </c>
      <c r="C8867" s="5">
        <v>13</v>
      </c>
      <c r="D8867" s="6">
        <v>72.28</v>
      </c>
      <c r="E8867" t="s">
        <v>109</v>
      </c>
    </row>
    <row r="8868" spans="1:5" x14ac:dyDescent="0.25">
      <c r="A8868" t="str">
        <f>HYPERLINK("https://www.773grp.com/globalSearch/XC5204-3VQ100C/page-1", "XC5204-3VQ100C")</f>
        <v>XC5204-3VQ100C</v>
      </c>
      <c r="B8868" s="3" t="s">
        <v>115</v>
      </c>
      <c r="C8868" s="5">
        <v>2</v>
      </c>
      <c r="D8868" s="6">
        <v>74.48</v>
      </c>
      <c r="E8868" t="s">
        <v>109</v>
      </c>
    </row>
    <row r="8869" spans="1:5" x14ac:dyDescent="0.25">
      <c r="A8869" t="str">
        <f>HYPERLINK("https://www.773grp.com/globalSearch/XC3190A-4PC84I/page-1", "XC3190A-4PC84I")</f>
        <v>XC3190A-4PC84I</v>
      </c>
      <c r="B8869" s="3" t="s">
        <v>115</v>
      </c>
      <c r="C8869" s="5">
        <v>1</v>
      </c>
      <c r="D8869" s="6">
        <v>75.650000000000006</v>
      </c>
      <c r="E8869" t="s">
        <v>109</v>
      </c>
    </row>
    <row r="8870" spans="1:5" x14ac:dyDescent="0.25">
      <c r="A8870" t="str">
        <f>HYPERLINK("https://www.773grp.com/globalSearch/XC3190-3PC84C/page-1", "XC3190-3PC84C")</f>
        <v>XC3190-3PC84C</v>
      </c>
      <c r="B8870" s="3" t="s">
        <v>115</v>
      </c>
      <c r="C8870" s="5">
        <v>67</v>
      </c>
      <c r="D8870" s="6">
        <v>78.34</v>
      </c>
      <c r="E8870" t="s">
        <v>109</v>
      </c>
    </row>
    <row r="8871" spans="1:5" x14ac:dyDescent="0.25">
      <c r="A8871" t="str">
        <f>HYPERLINK("https://www.773grp.com/globalSearch/XC3064A-7PC84C/page-1", "XC3064A-7PC84C")</f>
        <v>XC3064A-7PC84C</v>
      </c>
      <c r="B8871" s="3" t="s">
        <v>115</v>
      </c>
      <c r="C8871" s="5">
        <v>4</v>
      </c>
      <c r="D8871" s="6">
        <v>80.44</v>
      </c>
      <c r="E8871" t="s">
        <v>109</v>
      </c>
    </row>
    <row r="8872" spans="1:5" x14ac:dyDescent="0.25">
      <c r="A8872" t="str">
        <f>HYPERLINK("https://www.773grp.com/globalSearch/XC3190-3PQ160C/page-1", "XC3190-3PQ160C")</f>
        <v>XC3190-3PQ160C</v>
      </c>
      <c r="B8872" s="3" t="s">
        <v>115</v>
      </c>
      <c r="C8872" s="5">
        <v>8</v>
      </c>
      <c r="D8872" s="6">
        <v>82.26</v>
      </c>
      <c r="E8872" t="s">
        <v>109</v>
      </c>
    </row>
    <row r="8873" spans="1:5" x14ac:dyDescent="0.25">
      <c r="A8873" t="str">
        <f>HYPERLINK("https://www.773grp.com/globalSearch/XC4005XL-2TQ144C/page-1", "XC4005XL-2TQ144C")</f>
        <v>XC4005XL-2TQ144C</v>
      </c>
      <c r="B8873" s="3" t="s">
        <v>115</v>
      </c>
      <c r="C8873" s="5">
        <v>360</v>
      </c>
      <c r="D8873" s="6">
        <v>85.95</v>
      </c>
      <c r="E8873" t="s">
        <v>109</v>
      </c>
    </row>
    <row r="8874" spans="1:5" x14ac:dyDescent="0.25">
      <c r="A8874" t="str">
        <f>HYPERLINK("https://www.773grp.com/globalSearch/XC5206-5TQ144C/page-1", "XC5206-5TQ144C")</f>
        <v>XC5206-5TQ144C</v>
      </c>
      <c r="B8874" s="3" t="s">
        <v>115</v>
      </c>
      <c r="C8874" s="5">
        <v>205</v>
      </c>
      <c r="D8874" s="6">
        <v>89.78</v>
      </c>
      <c r="E8874" t="s">
        <v>109</v>
      </c>
    </row>
    <row r="8875" spans="1:5" x14ac:dyDescent="0.25">
      <c r="A8875" t="str">
        <f>HYPERLINK("https://www.773grp.com/globalSearch/XC3164-4PC84I/page-1", "XC3164-4PC84I")</f>
        <v>XC3164-4PC84I</v>
      </c>
      <c r="B8875" s="3" t="s">
        <v>115</v>
      </c>
      <c r="C8875" s="5">
        <v>71</v>
      </c>
      <c r="D8875" s="6">
        <v>90.29</v>
      </c>
      <c r="E8875" t="s">
        <v>109</v>
      </c>
    </row>
    <row r="8876" spans="1:5" x14ac:dyDescent="0.25">
      <c r="A8876" t="str">
        <f>HYPERLINK("https://www.773grp.com/globalSearch/XC3190-3PQ208C/page-1", "XC3190-3PQ208C")</f>
        <v>XC3190-3PQ208C</v>
      </c>
      <c r="B8876" s="3" t="s">
        <v>115</v>
      </c>
      <c r="C8876" s="5">
        <v>80</v>
      </c>
      <c r="D8876" s="6">
        <v>90.99</v>
      </c>
      <c r="E8876" t="s">
        <v>109</v>
      </c>
    </row>
    <row r="8877" spans="1:5" x14ac:dyDescent="0.25">
      <c r="A8877" t="str">
        <f>HYPERLINK("https://www.773grp.com/globalSearch/XC3190A-3PQ160C/page-1", "XC3190A-3PQ160C")</f>
        <v>XC3190A-3PQ160C</v>
      </c>
      <c r="B8877" s="3" t="s">
        <v>115</v>
      </c>
      <c r="C8877" s="5">
        <v>139</v>
      </c>
      <c r="D8877" s="6">
        <v>91.41</v>
      </c>
      <c r="E8877" t="s">
        <v>109</v>
      </c>
    </row>
    <row r="8878" spans="1:5" x14ac:dyDescent="0.25">
      <c r="A8878" t="str">
        <f>HYPERLINK("https://www.773grp.com/globalSearch/XC4013XLA-09PQ160C/page-1", "XC4013XLA-09PQ160C")</f>
        <v>XC4013XLA-09PQ160C</v>
      </c>
      <c r="B8878" s="3" t="s">
        <v>115</v>
      </c>
      <c r="C8878" s="5">
        <v>56</v>
      </c>
      <c r="D8878" s="6">
        <v>95.4</v>
      </c>
      <c r="E8878" t="s">
        <v>109</v>
      </c>
    </row>
    <row r="8879" spans="1:5" x14ac:dyDescent="0.25">
      <c r="A8879" t="str">
        <f>HYPERLINK("https://www.773grp.com/globalSearch/XC3190-5PC84C/page-1", "XC3190-5PC84C")</f>
        <v>XC3190-5PC84C</v>
      </c>
      <c r="B8879" s="3" t="s">
        <v>115</v>
      </c>
      <c r="C8879" s="5">
        <v>164</v>
      </c>
      <c r="D8879" s="6">
        <v>96.48</v>
      </c>
      <c r="E8879" t="s">
        <v>109</v>
      </c>
    </row>
    <row r="8880" spans="1:5" x14ac:dyDescent="0.25">
      <c r="A8880" t="str">
        <f>HYPERLINK("https://www.773grp.com/globalSearch/XC3164-4PQ160C/page-1", "XC3164-4PQ160C")</f>
        <v>XC3164-4PQ160C</v>
      </c>
      <c r="B8880" s="3" t="s">
        <v>115</v>
      </c>
      <c r="C8880" s="5">
        <v>13</v>
      </c>
      <c r="D8880" s="6">
        <v>100.28</v>
      </c>
      <c r="E8880" t="s">
        <v>109</v>
      </c>
    </row>
    <row r="8881" spans="1:5" x14ac:dyDescent="0.25">
      <c r="A8881" t="str">
        <f>HYPERLINK("https://www.773grp.com/globalSearch/XC3190-4PP175C/page-1", "XC3190-4PP175C")</f>
        <v>XC3190-4PP175C</v>
      </c>
      <c r="B8881" s="3" t="s">
        <v>115</v>
      </c>
      <c r="C8881" s="5">
        <v>140</v>
      </c>
      <c r="D8881" s="6">
        <v>101.39</v>
      </c>
      <c r="E8881" t="s">
        <v>109</v>
      </c>
    </row>
    <row r="8882" spans="1:5" x14ac:dyDescent="0.25">
      <c r="A8882" t="str">
        <f>HYPERLINK("https://www.773grp.com/globalSearch/XC3190-5PC84I/page-1", "XC3190-5PC84I")</f>
        <v>XC3190-5PC84I</v>
      </c>
      <c r="B8882" s="3" t="s">
        <v>115</v>
      </c>
      <c r="C8882" s="5">
        <v>102</v>
      </c>
      <c r="D8882" s="6">
        <v>102.23</v>
      </c>
      <c r="E8882" t="s">
        <v>109</v>
      </c>
    </row>
    <row r="8883" spans="1:5" x14ac:dyDescent="0.25">
      <c r="A8883" t="str">
        <f>HYPERLINK("https://www.773grp.com/globalSearch/XC3190-5PQ160I/page-1", "XC3190-5PQ160I")</f>
        <v>XC3190-5PQ160I</v>
      </c>
      <c r="B8883" s="3" t="s">
        <v>115</v>
      </c>
      <c r="C8883" s="5">
        <v>210</v>
      </c>
      <c r="D8883" s="6">
        <v>107.29</v>
      </c>
      <c r="E8883" t="s">
        <v>109</v>
      </c>
    </row>
    <row r="8884" spans="1:5" x14ac:dyDescent="0.25">
      <c r="A8884" t="str">
        <f>HYPERLINK("https://www.773grp.com/globalSearch/XC4010XL-3TQ144C/page-1", "XC4010XL-3TQ144C")</f>
        <v>XC4010XL-3TQ144C</v>
      </c>
      <c r="B8884" s="3" t="s">
        <v>115</v>
      </c>
      <c r="C8884" s="5">
        <v>203</v>
      </c>
      <c r="D8884" s="6">
        <v>107.84</v>
      </c>
      <c r="E8884" t="s">
        <v>109</v>
      </c>
    </row>
    <row r="8885" spans="1:5" x14ac:dyDescent="0.25">
      <c r="A8885" t="str">
        <f>HYPERLINK("https://www.773grp.com/globalSearch/XC4005XL-1VQ100C/page-1", "XC4005XL-1VQ100C")</f>
        <v>XC4005XL-1VQ100C</v>
      </c>
      <c r="B8885" s="3" t="s">
        <v>115</v>
      </c>
      <c r="C8885" s="5">
        <v>79</v>
      </c>
      <c r="D8885" s="6">
        <v>110.7</v>
      </c>
      <c r="E8885" t="s">
        <v>109</v>
      </c>
    </row>
    <row r="8886" spans="1:5" x14ac:dyDescent="0.25">
      <c r="A8886" t="str">
        <f>HYPERLINK("https://www.773grp.com/globalSearch/XC3190-5PQ208C/page-1", "XC3190-5PQ208C")</f>
        <v>XC3190-5PQ208C</v>
      </c>
      <c r="B8886" s="3" t="s">
        <v>115</v>
      </c>
      <c r="C8886" s="5">
        <v>710</v>
      </c>
      <c r="D8886" s="6">
        <v>111.94</v>
      </c>
      <c r="E8886" t="s">
        <v>109</v>
      </c>
    </row>
    <row r="8887" spans="1:5" x14ac:dyDescent="0.25">
      <c r="A8887" t="str">
        <f>HYPERLINK("https://www.773grp.com/globalSearch/XC3195-4PQ160C/page-1", "XC3195-4PQ160C")</f>
        <v>XC3195-4PQ160C</v>
      </c>
      <c r="B8887" s="3" t="s">
        <v>115</v>
      </c>
      <c r="C8887" s="5">
        <v>42</v>
      </c>
      <c r="D8887" s="6">
        <v>113.35</v>
      </c>
      <c r="E8887" t="s">
        <v>109</v>
      </c>
    </row>
    <row r="8888" spans="1:5" x14ac:dyDescent="0.25">
      <c r="A8888" t="str">
        <f>HYPERLINK("https://www.773grp.com/globalSearch/XC3195A-4PQ160C/page-1", "XC3195A-4PQ160C")</f>
        <v>XC3195A-4PQ160C</v>
      </c>
      <c r="B8888" s="3" t="s">
        <v>115</v>
      </c>
      <c r="C8888" s="5">
        <v>23</v>
      </c>
      <c r="D8888" s="6">
        <v>113.35</v>
      </c>
      <c r="E8888" t="s">
        <v>109</v>
      </c>
    </row>
    <row r="8889" spans="1:5" x14ac:dyDescent="0.25">
      <c r="A8889" t="str">
        <f>HYPERLINK("https://www.773grp.com/globalSearch/XC3190-4PP175I/page-1", "XC3190-4PP175I")</f>
        <v>XC3190-4PP175I</v>
      </c>
      <c r="B8889" s="3" t="s">
        <v>115</v>
      </c>
      <c r="C8889" s="5">
        <v>309</v>
      </c>
      <c r="D8889" s="6">
        <v>113.63</v>
      </c>
      <c r="E8889" t="s">
        <v>109</v>
      </c>
    </row>
    <row r="8890" spans="1:5" x14ac:dyDescent="0.25">
      <c r="A8890" t="str">
        <f>HYPERLINK("https://www.773grp.com/globalSearch/XC3164A-09TQ144C/page-1", "XC3164A-09TQ144C")</f>
        <v>XC3164A-09TQ144C</v>
      </c>
      <c r="B8890" s="3" t="s">
        <v>115</v>
      </c>
      <c r="C8890" s="5">
        <v>67</v>
      </c>
      <c r="D8890" s="6">
        <v>114.19</v>
      </c>
      <c r="E8890" t="s">
        <v>109</v>
      </c>
    </row>
    <row r="8891" spans="1:5" x14ac:dyDescent="0.25">
      <c r="A8891" t="str">
        <f>HYPERLINK("https://www.773grp.com/globalSearch/XC3190-5PQ208I/page-1", "XC3190-5PQ208I")</f>
        <v>XC3190-5PQ208I</v>
      </c>
      <c r="B8891" s="3" t="s">
        <v>115</v>
      </c>
      <c r="C8891" s="5">
        <v>17</v>
      </c>
      <c r="D8891" s="6">
        <v>118.55</v>
      </c>
      <c r="E8891" t="s">
        <v>109</v>
      </c>
    </row>
    <row r="8892" spans="1:5" x14ac:dyDescent="0.25">
      <c r="A8892" t="str">
        <f>HYPERLINK("https://www.773grp.com/globalSearch/XC3195-4PQ208C/page-1", "XC3195-4PQ208C")</f>
        <v>XC3195-4PQ208C</v>
      </c>
      <c r="B8892" s="3" t="s">
        <v>115</v>
      </c>
      <c r="C8892" s="5">
        <v>18</v>
      </c>
      <c r="D8892" s="6">
        <v>120.24</v>
      </c>
      <c r="E8892" t="s">
        <v>109</v>
      </c>
    </row>
    <row r="8893" spans="1:5" x14ac:dyDescent="0.25">
      <c r="A8893" t="str">
        <f>HYPERLINK("https://www.773grp.com/globalSearch/XC3195-3PQ160C/page-1", "XC3195-3PQ160C")</f>
        <v>XC3195-3PQ160C</v>
      </c>
      <c r="B8893" s="3" t="s">
        <v>115</v>
      </c>
      <c r="C8893" s="5">
        <v>201</v>
      </c>
      <c r="D8893" s="6">
        <v>124.74</v>
      </c>
      <c r="E8893" t="s">
        <v>109</v>
      </c>
    </row>
    <row r="8894" spans="1:5" x14ac:dyDescent="0.25">
      <c r="A8894" t="str">
        <f>HYPERLINK("https://www.773grp.com/globalSearch/XC3195A-3PQ160C/page-1", "XC3195A-3PQ160C")</f>
        <v>XC3195A-3PQ160C</v>
      </c>
      <c r="B8894" s="3" t="s">
        <v>115</v>
      </c>
      <c r="C8894" s="5">
        <v>6</v>
      </c>
      <c r="D8894" s="6">
        <v>124.74</v>
      </c>
      <c r="E8894" t="s">
        <v>109</v>
      </c>
    </row>
    <row r="8895" spans="1:5" x14ac:dyDescent="0.25">
      <c r="A8895" t="str">
        <f>HYPERLINK("https://www.773grp.com/globalSearch/XC3195-4PQ160I/page-1", "XC3195-4PQ160I")</f>
        <v>XC3195-4PQ160I</v>
      </c>
      <c r="B8895" s="3" t="s">
        <v>115</v>
      </c>
      <c r="C8895" s="5">
        <v>9</v>
      </c>
      <c r="D8895" s="6">
        <v>128.11000000000001</v>
      </c>
      <c r="E8895" t="s">
        <v>109</v>
      </c>
    </row>
    <row r="8896" spans="1:5" x14ac:dyDescent="0.25">
      <c r="A8896" t="str">
        <f>HYPERLINK("https://www.773grp.com/globalSearch/XC3142-5PP132C/page-1", "XC3142-5PP132C")</f>
        <v>XC3142-5PP132C</v>
      </c>
      <c r="B8896" s="3" t="s">
        <v>115</v>
      </c>
      <c r="C8896" s="5">
        <v>36</v>
      </c>
      <c r="D8896" s="6">
        <v>128.38999999999999</v>
      </c>
      <c r="E8896" t="s">
        <v>109</v>
      </c>
    </row>
    <row r="8897" spans="1:5" x14ac:dyDescent="0.25">
      <c r="A8897" t="str">
        <f>HYPERLINK("https://www.773grp.com/globalSearch/XC5206-3TQ144C/page-1", "XC5206-3TQ144C")</f>
        <v>XC5206-3TQ144C</v>
      </c>
      <c r="B8897" s="3" t="s">
        <v>115</v>
      </c>
      <c r="C8897" s="5">
        <v>20</v>
      </c>
      <c r="D8897" s="6">
        <v>129.1</v>
      </c>
      <c r="E8897" t="s">
        <v>109</v>
      </c>
    </row>
    <row r="8898" spans="1:5" x14ac:dyDescent="0.25">
      <c r="A8898" t="str">
        <f>HYPERLINK("https://www.773grp.com/globalSearch/XC4006E-4PQ208C/page-1", "XC4006E-4PQ208C")</f>
        <v>XC4006E-4PQ208C</v>
      </c>
      <c r="B8898" s="3" t="s">
        <v>115</v>
      </c>
      <c r="C8898" s="5">
        <v>194</v>
      </c>
      <c r="D8898" s="6">
        <v>130.16</v>
      </c>
      <c r="E8898" t="s">
        <v>109</v>
      </c>
    </row>
    <row r="8899" spans="1:5" x14ac:dyDescent="0.25">
      <c r="A8899" t="str">
        <f>HYPERLINK("https://www.773grp.com/globalSearch/XC3195-3PQ208C/page-1", "XC3195-3PQ208C")</f>
        <v>XC3195-3PQ208C</v>
      </c>
      <c r="B8899" s="3" t="s">
        <v>115</v>
      </c>
      <c r="C8899" s="5">
        <v>90</v>
      </c>
      <c r="D8899" s="6">
        <v>132.34</v>
      </c>
      <c r="E8899" t="s">
        <v>109</v>
      </c>
    </row>
    <row r="8900" spans="1:5" x14ac:dyDescent="0.25">
      <c r="A8900" t="str">
        <f>HYPERLINK("https://www.773grp.com/globalSearch/XC3130-4PG84C/page-1", "XC3130-4PG84C")</f>
        <v>XC3130-4PG84C</v>
      </c>
      <c r="B8900" s="3" t="s">
        <v>115</v>
      </c>
      <c r="C8900" s="5">
        <v>82</v>
      </c>
      <c r="D8900" s="6">
        <v>138.51</v>
      </c>
      <c r="E8900" t="s">
        <v>109</v>
      </c>
    </row>
    <row r="8901" spans="1:5" x14ac:dyDescent="0.25">
      <c r="A8901" t="str">
        <f>HYPERLINK("https://www.773grp.com/globalSearch/XC3164-3PP132C/page-1", "XC3164-3PP132C")</f>
        <v>XC3164-3PP132C</v>
      </c>
      <c r="B8901" s="3" t="s">
        <v>115</v>
      </c>
      <c r="C8901" s="5">
        <v>94</v>
      </c>
      <c r="D8901" s="6">
        <v>139.35</v>
      </c>
      <c r="E8901" t="s">
        <v>109</v>
      </c>
    </row>
    <row r="8902" spans="1:5" x14ac:dyDescent="0.25">
      <c r="A8902" t="str">
        <f>HYPERLINK("https://www.773grp.com/globalSearch/XC4013XL-3PQ160C/page-1", "XC4013XL-3PQ160C")</f>
        <v>XC4013XL-3PQ160C</v>
      </c>
      <c r="B8902" s="3" t="s">
        <v>115</v>
      </c>
      <c r="C8902" s="5">
        <v>67</v>
      </c>
      <c r="D8902" s="6">
        <v>141.53</v>
      </c>
      <c r="E8902" t="s">
        <v>109</v>
      </c>
    </row>
    <row r="8903" spans="1:5" x14ac:dyDescent="0.25">
      <c r="A8903" t="str">
        <f>HYPERLINK("https://www.773grp.com/globalSearch/XC3190-3PP175C/page-1", "XC3190-3PP175C")</f>
        <v>XC3190-3PP175C</v>
      </c>
      <c r="B8903" s="3" t="s">
        <v>115</v>
      </c>
      <c r="C8903" s="5">
        <v>907</v>
      </c>
      <c r="D8903" s="6">
        <v>141.88999999999999</v>
      </c>
      <c r="E8903" t="s">
        <v>109</v>
      </c>
    </row>
    <row r="8904" spans="1:5" x14ac:dyDescent="0.25">
      <c r="A8904" t="str">
        <f>HYPERLINK("https://www.773grp.com/globalSearch/XC5210-6PQG208C/page-1", "XC5210-6PQG208C")</f>
        <v>XC5210-6PQG208C</v>
      </c>
      <c r="B8904" s="3" t="s">
        <v>115</v>
      </c>
      <c r="C8904" s="5">
        <v>1</v>
      </c>
      <c r="D8904" s="6">
        <v>142.85</v>
      </c>
      <c r="E8904" t="s">
        <v>109</v>
      </c>
    </row>
    <row r="8905" spans="1:5" x14ac:dyDescent="0.25">
      <c r="A8905" t="str">
        <f>HYPERLINK("https://www.773grp.com/globalSearch/XC3195-3PC84C/page-1", "XC3195-3PC84C")</f>
        <v>XC3195-3PC84C</v>
      </c>
      <c r="B8905" s="3" t="s">
        <v>115</v>
      </c>
      <c r="C8905" s="5">
        <v>658</v>
      </c>
      <c r="D8905" s="6">
        <v>146.94999999999999</v>
      </c>
      <c r="E8905" t="s">
        <v>109</v>
      </c>
    </row>
    <row r="8906" spans="1:5" x14ac:dyDescent="0.25">
      <c r="A8906" t="str">
        <f>HYPERLINK("https://www.773grp.com/globalSearch/XC3195-5PC84C/page-1", "XC3195-5PC84C")</f>
        <v>XC3195-5PC84C</v>
      </c>
      <c r="B8906" s="3" t="s">
        <v>115</v>
      </c>
      <c r="C8906" s="5">
        <v>918</v>
      </c>
      <c r="D8906" s="6">
        <v>147.1</v>
      </c>
      <c r="E8906" t="s">
        <v>109</v>
      </c>
    </row>
    <row r="8907" spans="1:5" x14ac:dyDescent="0.25">
      <c r="A8907" t="str">
        <f>HYPERLINK("https://www.773grp.com/globalSearch/XC5206-3PQ160C/page-1", "XC5206-3PQ160C")</f>
        <v>XC5206-3PQ160C</v>
      </c>
      <c r="B8907" s="3" t="s">
        <v>115</v>
      </c>
      <c r="C8907" s="5">
        <v>3</v>
      </c>
      <c r="D8907" s="6">
        <v>147.38</v>
      </c>
      <c r="E8907" t="s">
        <v>109</v>
      </c>
    </row>
    <row r="8908" spans="1:5" x14ac:dyDescent="0.25">
      <c r="A8908" t="str">
        <f>HYPERLINK("https://www.773grp.com/globalSearch/XC4013XL-3PQ208C/page-1", "XC4013XL-3PQ208C")</f>
        <v>XC4013XL-3PQ208C</v>
      </c>
      <c r="B8908" s="3" t="s">
        <v>115</v>
      </c>
      <c r="C8908" s="5">
        <v>30</v>
      </c>
      <c r="D8908" s="6">
        <v>148.59</v>
      </c>
      <c r="E8908" t="s">
        <v>109</v>
      </c>
    </row>
    <row r="8909" spans="1:5" x14ac:dyDescent="0.25">
      <c r="A8909" t="str">
        <f>HYPERLINK("https://www.773grp.com/globalSearch/XC4005XL-09VQ100C/page-1", "XC4005XL-09VQ100C")</f>
        <v>XC4005XL-09VQ100C</v>
      </c>
      <c r="B8909" s="3" t="s">
        <v>115</v>
      </c>
      <c r="C8909" s="5">
        <v>27</v>
      </c>
      <c r="D8909" s="6">
        <v>155.03</v>
      </c>
      <c r="E8909" t="s">
        <v>109</v>
      </c>
    </row>
    <row r="8910" spans="1:5" x14ac:dyDescent="0.25">
      <c r="A8910" t="str">
        <f>HYPERLINK("https://www.773grp.com/globalSearch/XC3195-5PC84I/page-1", "XC3195-5PC84I")</f>
        <v>XC3195-5PC84I</v>
      </c>
      <c r="B8910" s="3" t="s">
        <v>115</v>
      </c>
      <c r="C8910" s="5">
        <v>172</v>
      </c>
      <c r="D8910" s="6">
        <v>155.96</v>
      </c>
      <c r="E8910" t="s">
        <v>109</v>
      </c>
    </row>
    <row r="8911" spans="1:5" x14ac:dyDescent="0.25">
      <c r="A8911" t="str">
        <f>HYPERLINK("https://www.773grp.com/globalSearch/XC3130-4PG84I/page-1", "XC3130-4PG84I")</f>
        <v>XC3130-4PG84I</v>
      </c>
      <c r="B8911" s="3" t="s">
        <v>115</v>
      </c>
      <c r="C8911" s="5">
        <v>489</v>
      </c>
      <c r="D8911" s="6">
        <v>156.51</v>
      </c>
      <c r="E8911" t="s">
        <v>109</v>
      </c>
    </row>
    <row r="8912" spans="1:5" x14ac:dyDescent="0.25">
      <c r="A8912" t="str">
        <f>HYPERLINK("https://www.773grp.com/globalSearch/XC4020XLA-09BG256C/page-1", "XC4020XLA-09BG256C")</f>
        <v>XC4020XLA-09BG256C</v>
      </c>
      <c r="B8912" s="3" t="s">
        <v>115</v>
      </c>
      <c r="C8912" s="5">
        <v>160</v>
      </c>
      <c r="D8912" s="6">
        <v>159.47999999999999</v>
      </c>
      <c r="E8912" t="s">
        <v>109</v>
      </c>
    </row>
    <row r="8913" spans="1:5" x14ac:dyDescent="0.25">
      <c r="A8913" t="str">
        <f>HYPERLINK("https://www.773grp.com/globalSearch/XC3164-5PP132C/page-1", "XC3164-5PP132C")</f>
        <v>XC3164-5PP132C</v>
      </c>
      <c r="B8913" s="3" t="s">
        <v>115</v>
      </c>
      <c r="C8913" s="5">
        <v>5</v>
      </c>
      <c r="D8913" s="6">
        <v>159.75</v>
      </c>
      <c r="E8913" t="s">
        <v>109</v>
      </c>
    </row>
    <row r="8914" spans="1:5" x14ac:dyDescent="0.25">
      <c r="A8914" t="str">
        <f>HYPERLINK("https://www.773grp.com/globalSearch/XC3190-5PP175C/page-1", "XC3190-5PP175C")</f>
        <v>XC3190-5PP175C</v>
      </c>
      <c r="B8914" s="3" t="s">
        <v>115</v>
      </c>
      <c r="C8914" s="5">
        <v>404</v>
      </c>
      <c r="D8914" s="6">
        <v>161.03</v>
      </c>
      <c r="E8914" t="s">
        <v>109</v>
      </c>
    </row>
    <row r="8915" spans="1:5" x14ac:dyDescent="0.25">
      <c r="A8915" t="str">
        <f>HYPERLINK("https://www.773grp.com/globalSearch/XC4013XL-3BG256C/page-1", "XC4013XL-3BG256C")</f>
        <v>XC4013XL-3BG256C</v>
      </c>
      <c r="B8915" s="3" t="s">
        <v>115</v>
      </c>
      <c r="C8915" s="5">
        <v>63</v>
      </c>
      <c r="D8915" s="6">
        <v>162.71</v>
      </c>
      <c r="E8915" t="s">
        <v>109</v>
      </c>
    </row>
    <row r="8916" spans="1:5" x14ac:dyDescent="0.25">
      <c r="A8916" t="str">
        <f>HYPERLINK("https://www.773grp.com/globalSearch/XC5210-5PQG208C/page-1", "XC5210-5PQG208C")</f>
        <v>XC5210-5PQG208C</v>
      </c>
      <c r="B8916" s="3" t="s">
        <v>115</v>
      </c>
      <c r="C8916" s="5">
        <v>9</v>
      </c>
      <c r="D8916" s="6">
        <v>164.36</v>
      </c>
      <c r="E8916" t="s">
        <v>109</v>
      </c>
    </row>
    <row r="8917" spans="1:5" x14ac:dyDescent="0.25">
      <c r="A8917" t="str">
        <f>HYPERLINK("https://www.773grp.com/globalSearch/XC3164-4PP132C/page-1", "XC3164-4PP132C")</f>
        <v>XC3164-4PP132C</v>
      </c>
      <c r="B8917" s="3" t="s">
        <v>115</v>
      </c>
      <c r="C8917" s="5">
        <v>42</v>
      </c>
      <c r="D8917" s="6">
        <v>169.73</v>
      </c>
      <c r="E8917" t="s">
        <v>109</v>
      </c>
    </row>
    <row r="8918" spans="1:5" x14ac:dyDescent="0.25">
      <c r="A8918" t="str">
        <f>HYPERLINK("https://www.773grp.com/globalSearch/XC3195-5PQ160C/page-1", "XC3195-5PQ160C")</f>
        <v>XC3195-5PQ160C</v>
      </c>
      <c r="B8918" s="3" t="s">
        <v>115</v>
      </c>
      <c r="C8918" s="5">
        <v>101</v>
      </c>
      <c r="D8918" s="6">
        <v>169.88</v>
      </c>
      <c r="E8918" t="s">
        <v>109</v>
      </c>
    </row>
    <row r="8919" spans="1:5" x14ac:dyDescent="0.25">
      <c r="A8919" t="str">
        <f>HYPERLINK("https://www.773grp.com/globalSearch/XC3142-3PG132C/page-1", "XC3142-3PG132C")</f>
        <v>XC3142-3PG132C</v>
      </c>
      <c r="B8919" s="3" t="s">
        <v>115</v>
      </c>
      <c r="C8919" s="5">
        <v>11</v>
      </c>
      <c r="D8919" s="6">
        <v>172.55</v>
      </c>
      <c r="E8919" t="s">
        <v>109</v>
      </c>
    </row>
    <row r="8920" spans="1:5" x14ac:dyDescent="0.25">
      <c r="A8920" t="str">
        <f>HYPERLINK("https://www.773grp.com/globalSearch/XC4005E-3TQ144I/page-1", "XC4005E-3TQ144I")</f>
        <v>XC4005E-3TQ144I</v>
      </c>
      <c r="B8920" s="3" t="s">
        <v>115</v>
      </c>
      <c r="C8920" s="5">
        <v>285</v>
      </c>
      <c r="D8920" s="6">
        <v>175</v>
      </c>
      <c r="E8920" t="s">
        <v>109</v>
      </c>
    </row>
    <row r="8921" spans="1:5" x14ac:dyDescent="0.25">
      <c r="A8921" t="str">
        <f>HYPERLINK("https://www.773grp.com/globalSearch/XC3195-5PQ160I/page-1", "XC3195-5PQ160I")</f>
        <v>XC3195-5PQ160I</v>
      </c>
      <c r="B8921" s="3" t="s">
        <v>115</v>
      </c>
      <c r="C8921" s="5">
        <v>72</v>
      </c>
      <c r="D8921" s="6">
        <v>180</v>
      </c>
      <c r="E8921" t="s">
        <v>109</v>
      </c>
    </row>
    <row r="8922" spans="1:5" x14ac:dyDescent="0.25">
      <c r="A8922" t="str">
        <f>HYPERLINK("https://www.773grp.com/globalSearch/XC3195-5PQ208C/page-1", "XC3195-5PQ208C")</f>
        <v>XC3195-5PQ208C</v>
      </c>
      <c r="B8922" s="3" t="s">
        <v>115</v>
      </c>
      <c r="C8922" s="5">
        <v>100</v>
      </c>
      <c r="D8922" s="6">
        <v>181.69</v>
      </c>
      <c r="E8922" t="s">
        <v>109</v>
      </c>
    </row>
    <row r="8923" spans="1:5" x14ac:dyDescent="0.25">
      <c r="A8923" t="str">
        <f>HYPERLINK("https://www.773grp.com/globalSearch/XC5210-4TQ144C/page-1", "XC5210-4TQ144C")</f>
        <v>XC5210-4TQ144C</v>
      </c>
      <c r="B8923" s="3" t="s">
        <v>115</v>
      </c>
      <c r="C8923" s="5">
        <v>1</v>
      </c>
      <c r="D8923" s="6">
        <v>182.05</v>
      </c>
      <c r="E8923" t="s">
        <v>109</v>
      </c>
    </row>
    <row r="8924" spans="1:5" x14ac:dyDescent="0.25">
      <c r="A8924" t="str">
        <f>HYPERLINK("https://www.773grp.com/globalSearch/XC4004A-6TQ144I/page-1", "XC4004A-6TQ144I")</f>
        <v>XC4004A-6TQ144I</v>
      </c>
      <c r="B8924" s="3" t="s">
        <v>115</v>
      </c>
      <c r="C8924" s="5">
        <v>85</v>
      </c>
      <c r="D8924" s="6">
        <v>184.23</v>
      </c>
      <c r="E8924" t="s">
        <v>109</v>
      </c>
    </row>
    <row r="8925" spans="1:5" x14ac:dyDescent="0.25">
      <c r="A8925" t="str">
        <f>HYPERLINK("https://www.773grp.com/globalSearch/XC4008E-4PQ208C/page-1", "XC4008E-4PQ208C")</f>
        <v>XC4008E-4PQ208C</v>
      </c>
      <c r="B8925" s="3" t="s">
        <v>115</v>
      </c>
      <c r="C8925" s="5">
        <v>261</v>
      </c>
      <c r="D8925" s="6">
        <v>185.29</v>
      </c>
      <c r="E8925" t="s">
        <v>109</v>
      </c>
    </row>
    <row r="8926" spans="1:5" x14ac:dyDescent="0.25">
      <c r="A8926" t="str">
        <f>HYPERLINK("https://www.773grp.com/globalSearch/XC3164-5PG132C/page-1", "XC3164-5PG132C")</f>
        <v>XC3164-5PG132C</v>
      </c>
      <c r="B8926" s="3" t="s">
        <v>115</v>
      </c>
      <c r="C8926" s="5">
        <v>112</v>
      </c>
      <c r="D8926" s="6">
        <v>204.05</v>
      </c>
      <c r="E8926" t="s">
        <v>109</v>
      </c>
    </row>
    <row r="8927" spans="1:5" x14ac:dyDescent="0.25">
      <c r="A8927" t="str">
        <f>HYPERLINK("https://www.773grp.com/globalSearch/XC4028XLA-09HQ160C/page-1", "XC4028XLA-09HQ160C")</f>
        <v>XC4028XLA-09HQ160C</v>
      </c>
      <c r="B8927" s="3" t="s">
        <v>115</v>
      </c>
      <c r="C8927" s="5">
        <v>72</v>
      </c>
      <c r="D8927" s="6">
        <v>206.66</v>
      </c>
      <c r="E8927" t="s">
        <v>109</v>
      </c>
    </row>
    <row r="8928" spans="1:5" x14ac:dyDescent="0.25">
      <c r="A8928" t="str">
        <f>HYPERLINK("https://www.773grp.com/globalSearch/XC4013XL-1HT144C/page-1", "XC4013XL-1HT144C")</f>
        <v>XC4013XL-1HT144C</v>
      </c>
      <c r="B8928" s="3" t="s">
        <v>115</v>
      </c>
      <c r="C8928" s="5">
        <v>24</v>
      </c>
      <c r="D8928" s="6">
        <v>206.93</v>
      </c>
      <c r="E8928" t="s">
        <v>109</v>
      </c>
    </row>
    <row r="8929" spans="1:5" x14ac:dyDescent="0.25">
      <c r="A8929" t="str">
        <f>HYPERLINK("https://www.773grp.com/globalSearch/XC5210-4PQ240C/page-1", "XC5210-4PQ240C")</f>
        <v>XC5210-4PQ240C</v>
      </c>
      <c r="B8929" s="3" t="s">
        <v>115</v>
      </c>
      <c r="C8929" s="5">
        <v>2</v>
      </c>
      <c r="D8929" s="6">
        <v>212.18</v>
      </c>
      <c r="E8929" t="s">
        <v>109</v>
      </c>
    </row>
    <row r="8930" spans="1:5" x14ac:dyDescent="0.25">
      <c r="A8930" t="str">
        <f>HYPERLINK("https://www.773grp.com/globalSearch/XC5215-6PQ160C/page-1", "XC5215-6PQ160C")</f>
        <v>XC5215-6PQ160C</v>
      </c>
      <c r="B8930" s="3" t="s">
        <v>115</v>
      </c>
      <c r="C8930" s="5">
        <v>1</v>
      </c>
      <c r="D8930" s="6">
        <v>217.55</v>
      </c>
      <c r="E8930" t="s">
        <v>109</v>
      </c>
    </row>
    <row r="8931" spans="1:5" x14ac:dyDescent="0.25">
      <c r="A8931" t="str">
        <f>HYPERLINK("https://www.773grp.com/globalSearch/XC4020XLA-08BG256C/page-1", "XC4020XLA-08BG256C")</f>
        <v>XC4020XLA-08BG256C</v>
      </c>
      <c r="B8931" s="3" t="s">
        <v>115</v>
      </c>
      <c r="C8931" s="5">
        <v>408</v>
      </c>
      <c r="D8931" s="6">
        <v>223.29</v>
      </c>
      <c r="E8931" t="s">
        <v>109</v>
      </c>
    </row>
    <row r="8932" spans="1:5" x14ac:dyDescent="0.25">
      <c r="A8932" t="str">
        <f>HYPERLINK("https://www.773grp.com/globalSearch/XC3195-4PG223C/page-1", "XC3195-4PG223C")</f>
        <v>XC3195-4PG223C</v>
      </c>
      <c r="B8932" s="3" t="s">
        <v>115</v>
      </c>
      <c r="C8932" s="5">
        <v>4</v>
      </c>
      <c r="D8932" s="6">
        <v>230.63</v>
      </c>
      <c r="E8932" t="s">
        <v>109</v>
      </c>
    </row>
    <row r="8933" spans="1:5" x14ac:dyDescent="0.25">
      <c r="A8933" t="str">
        <f>HYPERLINK("https://www.773grp.com/globalSearch/XC3195-5PP175C/page-1", "XC3195-5PP175C")</f>
        <v>XC3195-5PP175C</v>
      </c>
      <c r="B8933" s="3" t="s">
        <v>115</v>
      </c>
      <c r="C8933" s="5">
        <v>99</v>
      </c>
      <c r="D8933" s="6">
        <v>230.9</v>
      </c>
      <c r="E8933" t="s">
        <v>109</v>
      </c>
    </row>
    <row r="8934" spans="1:5" x14ac:dyDescent="0.25">
      <c r="A8934" t="str">
        <f>HYPERLINK("https://www.773grp.com/globalSearch/XC5210-3PQ208C/page-1", "XC5210-3PQ208C")</f>
        <v>XC5210-3PQ208C</v>
      </c>
      <c r="B8934" s="3" t="s">
        <v>115</v>
      </c>
      <c r="C8934" s="5">
        <v>2</v>
      </c>
      <c r="D8934" s="6">
        <v>236.55</v>
      </c>
      <c r="E8934" t="s">
        <v>109</v>
      </c>
    </row>
    <row r="8935" spans="1:5" x14ac:dyDescent="0.25">
      <c r="A8935" t="str">
        <f>HYPERLINK("https://www.773grp.com/globalSearch/XC4028XLA-09BGG352C/page-1", "XC4028XLA-09BGG352C")</f>
        <v>XC4028XLA-09BGG352C</v>
      </c>
      <c r="B8935" s="3" t="s">
        <v>115</v>
      </c>
      <c r="C8935" s="5">
        <v>302</v>
      </c>
      <c r="D8935" s="6">
        <v>248.63</v>
      </c>
      <c r="E8935" t="s">
        <v>109</v>
      </c>
    </row>
    <row r="8936" spans="1:5" x14ac:dyDescent="0.25">
      <c r="A8936" t="str">
        <f>HYPERLINK("https://www.773grp.com/globalSearch/XC5215-5PQG160C/page-1", "XC5215-5PQG160C")</f>
        <v>XC5215-5PQG160C</v>
      </c>
      <c r="B8936" s="3" t="s">
        <v>115</v>
      </c>
      <c r="C8936" s="5">
        <v>90</v>
      </c>
      <c r="D8936" s="6">
        <v>248.63</v>
      </c>
      <c r="E8936" t="s">
        <v>109</v>
      </c>
    </row>
    <row r="8937" spans="1:5" x14ac:dyDescent="0.25">
      <c r="A8937" t="str">
        <f>HYPERLINK("https://www.773grp.com/globalSearch/XC4013XL-1BG256C/page-1", "XC4013XL-1BG256C")</f>
        <v>XC4013XL-1BG256C</v>
      </c>
      <c r="B8937" s="3" t="s">
        <v>115</v>
      </c>
      <c r="C8937" s="5">
        <v>158</v>
      </c>
      <c r="D8937" s="6">
        <v>216.06</v>
      </c>
      <c r="E8937" t="s">
        <v>109</v>
      </c>
    </row>
    <row r="8938" spans="1:5" x14ac:dyDescent="0.25">
      <c r="A8938" t="str">
        <f>HYPERLINK("https://www.773grp.com/globalSearch/XC4036XLA-09HQ208C/page-1", "XC4036XLA-09HQ208C")</f>
        <v>XC4036XLA-09HQ208C</v>
      </c>
      <c r="B8938" s="3" t="s">
        <v>115</v>
      </c>
      <c r="C8938" s="5">
        <v>8</v>
      </c>
      <c r="D8938" s="6">
        <v>217.88</v>
      </c>
      <c r="E8938" t="s">
        <v>109</v>
      </c>
    </row>
    <row r="8939" spans="1:5" x14ac:dyDescent="0.25">
      <c r="A8939" t="str">
        <f>HYPERLINK("https://www.773grp.com/globalSearch/XC3195-3PG223C/page-1", "XC3195-3PG223C")</f>
        <v>XC3195-3PG223C</v>
      </c>
      <c r="B8939" s="3" t="s">
        <v>115</v>
      </c>
      <c r="C8939" s="5">
        <v>30</v>
      </c>
      <c r="D8939" s="6">
        <v>253.69</v>
      </c>
      <c r="E8939" t="s">
        <v>109</v>
      </c>
    </row>
    <row r="8940" spans="1:5" x14ac:dyDescent="0.25">
      <c r="A8940" t="str">
        <f>HYPERLINK("https://www.773grp.com/globalSearch/XC5215-6HQ208C/page-1", "XC5215-6HQ208C")</f>
        <v>XC5215-6HQ208C</v>
      </c>
      <c r="B8940" s="3" t="s">
        <v>115</v>
      </c>
      <c r="C8940" s="5">
        <v>778</v>
      </c>
      <c r="D8940" s="6">
        <v>255.79</v>
      </c>
      <c r="E8940" t="s">
        <v>109</v>
      </c>
    </row>
    <row r="8941" spans="1:5" x14ac:dyDescent="0.25">
      <c r="A8941" t="str">
        <f>HYPERLINK("https://www.773grp.com/globalSearch/XC5215-6HQ208I/page-1", "XC5215-6HQ208I")</f>
        <v>XC5215-6HQ208I</v>
      </c>
      <c r="B8941" s="3" t="s">
        <v>115</v>
      </c>
      <c r="C8941" s="5">
        <v>4</v>
      </c>
      <c r="D8941" s="6">
        <v>223.33</v>
      </c>
      <c r="E8941" t="s">
        <v>109</v>
      </c>
    </row>
    <row r="8942" spans="1:5" x14ac:dyDescent="0.25">
      <c r="A8942" t="str">
        <f>HYPERLINK("https://www.773grp.com/globalSearch/XC4008E-3PQ208C/page-1", "XC4008E-3PQ208C")</f>
        <v>XC4008E-3PQ208C</v>
      </c>
      <c r="B8942" s="3" t="s">
        <v>115</v>
      </c>
      <c r="C8942" s="5">
        <v>409</v>
      </c>
      <c r="D8942" s="6">
        <v>224.29</v>
      </c>
      <c r="E8942" t="s">
        <v>109</v>
      </c>
    </row>
    <row r="8943" spans="1:5" x14ac:dyDescent="0.25">
      <c r="A8943" t="str">
        <f>HYPERLINK("https://www.773grp.com/globalSearch/XC4044XLA-09HQ208C/page-1", "XC4044XLA-09HQ208C")</f>
        <v>XC4044XLA-09HQ208C</v>
      </c>
      <c r="B8943" s="3" t="s">
        <v>115</v>
      </c>
      <c r="C8943" s="5">
        <v>75</v>
      </c>
      <c r="D8943" s="6">
        <v>264.38</v>
      </c>
      <c r="E8943" t="s">
        <v>109</v>
      </c>
    </row>
    <row r="8944" spans="1:5" x14ac:dyDescent="0.25">
      <c r="A8944" t="str">
        <f>HYPERLINK("https://www.773grp.com/globalSearch/XC4013XL-1PQ240C/page-1", "XC4013XL-1PQ240C")</f>
        <v>XC4013XL-1PQ240C</v>
      </c>
      <c r="B8944" s="3" t="s">
        <v>115</v>
      </c>
      <c r="C8944" s="5">
        <v>14</v>
      </c>
      <c r="D8944" s="6">
        <v>272.54000000000002</v>
      </c>
      <c r="E8944" t="s">
        <v>109</v>
      </c>
    </row>
    <row r="8945" spans="1:5" x14ac:dyDescent="0.25">
      <c r="A8945" t="str">
        <f>HYPERLINK("https://www.773grp.com/globalSearch/XC4028XLA-09BG352C/page-1", "XC4028XLA-09BG352C")</f>
        <v>XC4028XLA-09BG352C</v>
      </c>
      <c r="B8945" s="3" t="s">
        <v>115</v>
      </c>
      <c r="C8945" s="5">
        <v>44</v>
      </c>
      <c r="D8945" s="6">
        <v>272.54000000000002</v>
      </c>
      <c r="E8945" t="s">
        <v>109</v>
      </c>
    </row>
    <row r="8946" spans="1:5" x14ac:dyDescent="0.25">
      <c r="A8946" t="str">
        <f>HYPERLINK("https://www.773grp.com/globalSearch/XC4010E-4BG225I/page-1", "XC4010E-4BG225I")</f>
        <v>XC4010E-4BG225I</v>
      </c>
      <c r="B8946" s="3" t="s">
        <v>115</v>
      </c>
      <c r="C8946" s="5">
        <v>8</v>
      </c>
      <c r="D8946" s="6">
        <v>277.31</v>
      </c>
      <c r="E8946" t="s">
        <v>109</v>
      </c>
    </row>
    <row r="8947" spans="1:5" x14ac:dyDescent="0.25">
      <c r="A8947" t="str">
        <f>HYPERLINK("https://www.773grp.com/globalSearch/XC4028XL-3HQ208I/page-1", "XC4028XL-3HQ208I")</f>
        <v>XC4028XL-3HQ208I</v>
      </c>
      <c r="B8947" s="3" t="s">
        <v>115</v>
      </c>
      <c r="C8947" s="5">
        <v>123</v>
      </c>
      <c r="D8947" s="6">
        <v>248.75</v>
      </c>
      <c r="E8947" t="s">
        <v>109</v>
      </c>
    </row>
    <row r="8948" spans="1:5" x14ac:dyDescent="0.25">
      <c r="A8948" t="str">
        <f>HYPERLINK("https://www.773grp.com/globalSearch/XC4028XL-3HQ240C/page-1", "XC4028XL-3HQ240C")</f>
        <v>XC4028XL-3HQ240C</v>
      </c>
      <c r="B8948" s="3" t="s">
        <v>115</v>
      </c>
      <c r="C8948" s="5">
        <v>10</v>
      </c>
      <c r="D8948" s="6">
        <v>250.56</v>
      </c>
      <c r="E8948" t="s">
        <v>109</v>
      </c>
    </row>
    <row r="8949" spans="1:5" x14ac:dyDescent="0.25">
      <c r="A8949" t="str">
        <f>HYPERLINK("https://www.773grp.com/globalSearch/XC4036XLA-09BG432C/page-1", "XC4036XLA-09BG432C")</f>
        <v>XC4036XLA-09BG432C</v>
      </c>
      <c r="B8949" s="3" t="s">
        <v>115</v>
      </c>
      <c r="C8949" s="5">
        <v>27</v>
      </c>
      <c r="D8949" s="6">
        <v>250.56</v>
      </c>
      <c r="E8949" t="s">
        <v>109</v>
      </c>
    </row>
    <row r="8950" spans="1:5" x14ac:dyDescent="0.25">
      <c r="A8950" t="str">
        <f>HYPERLINK("https://www.773grp.com/globalSearch/XC4028XL-2HQ208C/page-1", "XC4028XL-2HQ208C")</f>
        <v>XC4028XL-2HQ208C</v>
      </c>
      <c r="B8950" s="3" t="s">
        <v>115</v>
      </c>
      <c r="C8950" s="5">
        <v>23</v>
      </c>
      <c r="D8950" s="6">
        <v>259.64</v>
      </c>
      <c r="E8950" t="s">
        <v>109</v>
      </c>
    </row>
    <row r="8951" spans="1:5" x14ac:dyDescent="0.25">
      <c r="A8951" t="str">
        <f>HYPERLINK("https://www.773grp.com/globalSearch/XC4013E-4PQ240C/page-1", "XC4013E-4PQ240C")</f>
        <v>XC4013E-4PQ240C</v>
      </c>
      <c r="B8951" s="3" t="s">
        <v>115</v>
      </c>
      <c r="C8951" s="5">
        <v>35</v>
      </c>
      <c r="D8951" s="6">
        <v>263.26</v>
      </c>
      <c r="E8951" t="s">
        <v>109</v>
      </c>
    </row>
    <row r="8952" spans="1:5" x14ac:dyDescent="0.25">
      <c r="A8952" t="str">
        <f>HYPERLINK("https://www.773grp.com/globalSearch/XC3195-5PG223C/page-1", "XC3195-5PG223C")</f>
        <v>XC3195-5PG223C</v>
      </c>
      <c r="B8952" s="3" t="s">
        <v>115</v>
      </c>
      <c r="C8952" s="5">
        <v>17</v>
      </c>
      <c r="D8952" s="6">
        <v>263.58999999999997</v>
      </c>
      <c r="E8952" t="s">
        <v>109</v>
      </c>
    </row>
    <row r="8953" spans="1:5" x14ac:dyDescent="0.25">
      <c r="A8953" t="str">
        <f>HYPERLINK("https://www.773grp.com/globalSearch/XC4028XLA-09BG352I/page-1", "XC4028XLA-09BG352I")</f>
        <v>XC4028XLA-09BG352I</v>
      </c>
      <c r="B8953" s="3" t="s">
        <v>115</v>
      </c>
      <c r="C8953" s="5">
        <v>150</v>
      </c>
      <c r="D8953" s="6">
        <v>268.70999999999998</v>
      </c>
      <c r="E8953" t="s">
        <v>109</v>
      </c>
    </row>
    <row r="8954" spans="1:5" x14ac:dyDescent="0.25">
      <c r="A8954" t="str">
        <f>HYPERLINK("https://www.773grp.com/globalSearch/XC4013E-4HQ240C/page-1", "XC4013E-4HQ240C")</f>
        <v>XC4013E-4HQ240C</v>
      </c>
      <c r="B8954" s="3" t="s">
        <v>115</v>
      </c>
      <c r="C8954" s="5">
        <v>1</v>
      </c>
      <c r="D8954" s="6">
        <v>290.5</v>
      </c>
      <c r="E8954" t="s">
        <v>109</v>
      </c>
    </row>
    <row r="8955" spans="1:5" x14ac:dyDescent="0.25">
      <c r="A8955" t="str">
        <f>HYPERLINK("https://www.773grp.com/globalSearch/XC4028XL-2HQ160C/page-1", "XC4028XL-2HQ160C")</f>
        <v>XC4028XL-2HQ160C</v>
      </c>
      <c r="B8955" s="3" t="s">
        <v>115</v>
      </c>
      <c r="C8955" s="5">
        <v>106</v>
      </c>
      <c r="D8955" s="6">
        <v>315.94</v>
      </c>
      <c r="E8955" t="s">
        <v>109</v>
      </c>
    </row>
    <row r="8956" spans="1:5" x14ac:dyDescent="0.25">
      <c r="A8956" t="str">
        <f>HYPERLINK("https://www.773grp.com/globalSearch/XC4028XL-2HQ208I/page-1", "XC4028XL-2HQ208I")</f>
        <v>XC4028XL-2HQ208I</v>
      </c>
      <c r="B8956" s="3" t="s">
        <v>115</v>
      </c>
      <c r="C8956" s="5">
        <v>3</v>
      </c>
      <c r="D8956" s="6">
        <v>323.19</v>
      </c>
      <c r="E8956" t="s">
        <v>109</v>
      </c>
    </row>
    <row r="8957" spans="1:5" x14ac:dyDescent="0.25">
      <c r="A8957" t="str">
        <f>HYPERLINK("https://www.773grp.com/globalSearch/XC4052XLA-09HQ160C/page-1", "XC4052XLA-09HQ160C")</f>
        <v>XC4052XLA-09HQ160C</v>
      </c>
      <c r="B8957" s="3" t="s">
        <v>115</v>
      </c>
      <c r="C8957" s="5">
        <v>3</v>
      </c>
      <c r="D8957" s="6">
        <v>334.08</v>
      </c>
      <c r="E8957" t="s">
        <v>109</v>
      </c>
    </row>
    <row r="8958" spans="1:5" x14ac:dyDescent="0.25">
      <c r="A8958" t="str">
        <f>HYPERLINK("https://www.773grp.com/globalSearch/XC4052XLA-09HQ208C/page-1", "XC4052XLA-09HQ208C")</f>
        <v>XC4052XLA-09HQ208C</v>
      </c>
      <c r="B8958" s="3" t="s">
        <v>115</v>
      </c>
      <c r="C8958" s="5">
        <v>1189</v>
      </c>
      <c r="D8958" s="6">
        <v>334.08</v>
      </c>
      <c r="E8958" t="s">
        <v>109</v>
      </c>
    </row>
    <row r="8959" spans="1:5" x14ac:dyDescent="0.25">
      <c r="A8959" t="str">
        <f>HYPERLINK("https://www.773grp.com/globalSearch/XC4020XL-1HT144I/page-1", "XC4020XL-1HT144I")</f>
        <v>XC4020XL-1HT144I</v>
      </c>
      <c r="B8959" s="3" t="s">
        <v>115</v>
      </c>
      <c r="C8959" s="5">
        <v>311</v>
      </c>
      <c r="D8959" s="6">
        <v>339.64</v>
      </c>
      <c r="E8959" t="s">
        <v>109</v>
      </c>
    </row>
    <row r="8960" spans="1:5" x14ac:dyDescent="0.25">
      <c r="A8960" t="str">
        <f>HYPERLINK("https://www.773grp.com/globalSearch/XC4028XL-3BG352C/page-1", "XC4028XL-3BG352C")</f>
        <v>XC4028XL-3BG352C</v>
      </c>
      <c r="B8960" s="3" t="s">
        <v>115</v>
      </c>
      <c r="C8960" s="5">
        <v>11</v>
      </c>
      <c r="D8960" s="6">
        <v>339.64</v>
      </c>
      <c r="E8960" t="s">
        <v>109</v>
      </c>
    </row>
    <row r="8961" spans="1:5" x14ac:dyDescent="0.25">
      <c r="A8961" t="str">
        <f>HYPERLINK("https://www.773grp.com/globalSearch/XC4013E-3HQ208C/page-1", "XC4013E-3HQ208C")</f>
        <v>XC4013E-3HQ208C</v>
      </c>
      <c r="B8961" s="3" t="s">
        <v>115</v>
      </c>
      <c r="C8961" s="5">
        <v>1</v>
      </c>
      <c r="D8961" s="6">
        <v>361.31</v>
      </c>
      <c r="E8961" t="s">
        <v>109</v>
      </c>
    </row>
    <row r="8962" spans="1:5" x14ac:dyDescent="0.25">
      <c r="A8962" t="str">
        <f>HYPERLINK("https://www.773grp.com/globalSearch/XC4036XL-2HQ160C/page-1", "XC4036XL-2HQ160C")</f>
        <v>XC4036XL-2HQ160C</v>
      </c>
      <c r="B8962" s="3" t="s">
        <v>115</v>
      </c>
      <c r="C8962" s="5">
        <v>182</v>
      </c>
      <c r="D8962" s="6">
        <v>374.04</v>
      </c>
      <c r="E8962" t="s">
        <v>109</v>
      </c>
    </row>
    <row r="8963" spans="1:5" x14ac:dyDescent="0.25">
      <c r="A8963" t="str">
        <f>HYPERLINK("https://www.773grp.com/globalSearch/XC3S5000-4FG1156C/page-1", "XC3S5000-4FG1156C")</f>
        <v>XC3S5000-4FG1156C</v>
      </c>
      <c r="B8963" s="3" t="s">
        <v>115</v>
      </c>
      <c r="C8963" s="5">
        <v>18</v>
      </c>
      <c r="D8963" s="6">
        <v>410.34</v>
      </c>
      <c r="E8963" t="s">
        <v>109</v>
      </c>
    </row>
    <row r="8964" spans="1:5" x14ac:dyDescent="0.25">
      <c r="A8964" t="str">
        <f>HYPERLINK("https://www.773grp.com/globalSearch/XC3S5000-4FGG1156C/page-1", "XC3S5000-4FGG1156C")</f>
        <v>XC3S5000-4FGG1156C</v>
      </c>
      <c r="B8964" s="3" t="s">
        <v>115</v>
      </c>
      <c r="C8964" s="5">
        <v>437</v>
      </c>
      <c r="D8964" s="6">
        <v>410.34</v>
      </c>
      <c r="E8964" t="s">
        <v>109</v>
      </c>
    </row>
    <row r="8965" spans="1:5" x14ac:dyDescent="0.25">
      <c r="A8965" t="str">
        <f>HYPERLINK("https://www.773grp.com/globalSearch/XC3S4000-5FG1156C/page-1", "XC3S4000-5FG1156C")</f>
        <v>XC3S4000-5FG1156C</v>
      </c>
      <c r="B8965" s="3" t="s">
        <v>115</v>
      </c>
      <c r="C8965" s="5">
        <v>19</v>
      </c>
      <c r="D8965" s="6">
        <v>423.06</v>
      </c>
      <c r="E8965" t="s">
        <v>109</v>
      </c>
    </row>
    <row r="8966" spans="1:5" x14ac:dyDescent="0.25">
      <c r="A8966" t="str">
        <f>HYPERLINK("https://www.773grp.com/globalSearch/XC3S4000-5FGG1156C/page-1", "XC3S4000-5FGG1156C")</f>
        <v>XC3S4000-5FGG1156C</v>
      </c>
      <c r="B8966" s="3" t="s">
        <v>115</v>
      </c>
      <c r="C8966" s="5">
        <v>8</v>
      </c>
      <c r="D8966" s="6">
        <v>423.06</v>
      </c>
      <c r="E8966" t="s">
        <v>109</v>
      </c>
    </row>
    <row r="8967" spans="1:5" x14ac:dyDescent="0.25">
      <c r="A8967" t="str">
        <f>HYPERLINK("https://www.773grp.com/globalSearch/XC4052XLA-09HQ208I/page-1", "XC4052XLA-09HQ208I")</f>
        <v>XC4052XLA-09HQ208I</v>
      </c>
      <c r="B8967" s="3" t="s">
        <v>115</v>
      </c>
      <c r="C8967" s="5">
        <v>14</v>
      </c>
      <c r="D8967" s="6">
        <v>433.94</v>
      </c>
      <c r="E8967" t="s">
        <v>109</v>
      </c>
    </row>
    <row r="8968" spans="1:5" x14ac:dyDescent="0.25">
      <c r="A8968" t="str">
        <f>HYPERLINK("https://www.773grp.com/globalSearch/XC4020E-4HQ240C/page-1", "XC4020E-4HQ240C")</f>
        <v>XC4020E-4HQ240C</v>
      </c>
      <c r="B8968" s="3" t="s">
        <v>115</v>
      </c>
      <c r="C8968" s="5">
        <v>17</v>
      </c>
      <c r="D8968" s="6">
        <v>472.08</v>
      </c>
      <c r="E8968" t="s">
        <v>109</v>
      </c>
    </row>
    <row r="8969" spans="1:5" x14ac:dyDescent="0.25">
      <c r="A8969" t="str">
        <f>HYPERLINK("https://www.773grp.com/globalSearch/XC4085XLA-09HQ208C/page-1", "XC4085XLA-09HQ208C")</f>
        <v>XC4085XLA-09HQ208C</v>
      </c>
      <c r="B8969" s="3" t="s">
        <v>115</v>
      </c>
      <c r="C8969" s="5">
        <v>143</v>
      </c>
      <c r="D8969" s="6">
        <v>481.16</v>
      </c>
      <c r="E8969" t="s">
        <v>109</v>
      </c>
    </row>
    <row r="8970" spans="1:5" x14ac:dyDescent="0.25">
      <c r="A8970" t="str">
        <f>HYPERLINK("https://www.773grp.com/globalSearch/XC4052XLA-08BG432C/page-1", "XC4052XLA-08BG432C")</f>
        <v>XC4052XLA-08BG432C</v>
      </c>
      <c r="B8970" s="3" t="s">
        <v>115</v>
      </c>
      <c r="C8970" s="5">
        <v>49</v>
      </c>
      <c r="D8970" s="6">
        <v>537.44000000000005</v>
      </c>
      <c r="E8970" t="s">
        <v>109</v>
      </c>
    </row>
    <row r="8971" spans="1:5" x14ac:dyDescent="0.25">
      <c r="A8971" t="str">
        <f>HYPERLINK("https://www.773grp.com/globalSearch/XC4025E-4HQ240I/page-1", "XC4025E-4HQ240I")</f>
        <v>XC4025E-4HQ240I</v>
      </c>
      <c r="B8971" s="3" t="s">
        <v>115</v>
      </c>
      <c r="C8971" s="5">
        <v>10</v>
      </c>
      <c r="D8971" s="6">
        <v>561.04</v>
      </c>
      <c r="E8971" t="s">
        <v>109</v>
      </c>
    </row>
    <row r="8972" spans="1:5" x14ac:dyDescent="0.25">
      <c r="A8972" t="str">
        <f>HYPERLINK("https://www.773grp.com/globalSearch/XCV400-4HQ240C/page-1", "XCV400-4HQ240C")</f>
        <v>XCV400-4HQ240C</v>
      </c>
      <c r="B8972" s="3" t="s">
        <v>115</v>
      </c>
      <c r="C8972" s="5">
        <v>4</v>
      </c>
      <c r="D8972" s="6">
        <v>579.21</v>
      </c>
      <c r="E8972" t="s">
        <v>109</v>
      </c>
    </row>
    <row r="8973" spans="1:5" x14ac:dyDescent="0.25">
      <c r="A8973" t="str">
        <f>HYPERLINK("https://www.773grp.com/globalSearch/XC4085XLA-09BGG352C/page-1", "XC4085XLA-09BGG352C")</f>
        <v>XC4085XLA-09BGG352C</v>
      </c>
      <c r="B8973" s="3" t="s">
        <v>115</v>
      </c>
      <c r="C8973" s="5">
        <v>5</v>
      </c>
      <c r="D8973" s="6">
        <v>633.67999999999995</v>
      </c>
      <c r="E8973" t="s">
        <v>109</v>
      </c>
    </row>
    <row r="8974" spans="1:5" x14ac:dyDescent="0.25">
      <c r="A8974" t="str">
        <f>HYPERLINK("https://www.773grp.com/globalSearch/XC4085XLA-09BG432C/page-1", "XC4085XLA-09BG432C")</f>
        <v>XC4085XLA-09BG432C</v>
      </c>
      <c r="B8974" s="3" t="s">
        <v>115</v>
      </c>
      <c r="C8974" s="5">
        <v>32</v>
      </c>
      <c r="D8974" s="6">
        <v>662.71</v>
      </c>
      <c r="E8974" t="s">
        <v>109</v>
      </c>
    </row>
    <row r="8975" spans="1:5" x14ac:dyDescent="0.25">
      <c r="A8975" t="str">
        <f>HYPERLINK("https://www.773grp.com/globalSearch/XC4013E-1HQ208C/page-1", "XC4013E-1HQ208C")</f>
        <v>XC4013E-1HQ208C</v>
      </c>
      <c r="B8975" s="3" t="s">
        <v>115</v>
      </c>
      <c r="C8975" s="5">
        <v>28</v>
      </c>
      <c r="D8975" s="6">
        <v>682.7</v>
      </c>
      <c r="E8975" t="s">
        <v>109</v>
      </c>
    </row>
    <row r="8976" spans="1:5" x14ac:dyDescent="0.25">
      <c r="A8976" t="str">
        <f>HYPERLINK("https://www.773grp.com/globalSearch/XC4044XL-1BG352C/page-1", "XC4044XL-1BG352C")</f>
        <v>XC4044XL-1BG352C</v>
      </c>
      <c r="B8976" s="3" t="s">
        <v>115</v>
      </c>
      <c r="C8976" s="5">
        <v>70</v>
      </c>
      <c r="D8976" s="6">
        <v>684.5</v>
      </c>
      <c r="E8976" t="s">
        <v>109</v>
      </c>
    </row>
    <row r="8977" spans="1:5" x14ac:dyDescent="0.25">
      <c r="A8977" t="str">
        <f>HYPERLINK("https://www.773grp.com/globalSearch/XC4062XL-3HQ240C/page-1", "XC4062XL-3HQ240C")</f>
        <v>XC4062XL-3HQ240C</v>
      </c>
      <c r="B8977" s="3" t="s">
        <v>115</v>
      </c>
      <c r="C8977" s="5">
        <v>123</v>
      </c>
      <c r="D8977" s="6">
        <v>684.5</v>
      </c>
      <c r="E8977" t="s">
        <v>109</v>
      </c>
    </row>
    <row r="8978" spans="1:5" x14ac:dyDescent="0.25">
      <c r="A8978" t="str">
        <f>HYPERLINK("https://www.773grp.com/globalSearch/XCV400-4HQ240I/page-1", "XCV400-4HQ240I")</f>
        <v>XCV400-4HQ240I</v>
      </c>
      <c r="B8978" s="3" t="s">
        <v>115</v>
      </c>
      <c r="C8978" s="5">
        <v>1</v>
      </c>
      <c r="D8978" s="6">
        <v>695.4</v>
      </c>
      <c r="E8978" t="s">
        <v>109</v>
      </c>
    </row>
    <row r="8979" spans="1:5" x14ac:dyDescent="0.25">
      <c r="A8979" t="str">
        <f>HYPERLINK("https://www.773grp.com/globalSearch/XC4085XLA-09BG352I/page-1", "XC4085XLA-09BG352I")</f>
        <v>XC4085XLA-09BG352I</v>
      </c>
      <c r="B8979" s="3" t="s">
        <v>115</v>
      </c>
      <c r="C8979" s="5">
        <v>214</v>
      </c>
      <c r="D8979" s="6">
        <v>824.31</v>
      </c>
      <c r="E8979" t="s">
        <v>109</v>
      </c>
    </row>
    <row r="8980" spans="1:5" x14ac:dyDescent="0.25">
      <c r="A8980" t="str">
        <f>HYPERLINK("https://www.773grp.com/globalSearch/XC4020E-2HQ240C/page-1", "XC4020E-2HQ240C")</f>
        <v>XC4020E-2HQ240C</v>
      </c>
      <c r="B8980" s="3" t="s">
        <v>115</v>
      </c>
      <c r="C8980" s="5">
        <v>1</v>
      </c>
      <c r="D8980" s="6">
        <v>829.76</v>
      </c>
      <c r="E8980" t="s">
        <v>109</v>
      </c>
    </row>
    <row r="8981" spans="1:5" x14ac:dyDescent="0.25">
      <c r="A8981" t="str">
        <f>HYPERLINK("https://www.773grp.com/globalSearch/XCV400-5HQ240I/page-1", "XCV400-5HQ240I")</f>
        <v>XCV400-5HQ240I</v>
      </c>
      <c r="B8981" s="3" t="s">
        <v>115</v>
      </c>
      <c r="C8981" s="5">
        <v>6</v>
      </c>
      <c r="D8981" s="6">
        <v>835.21</v>
      </c>
      <c r="E8981" t="s">
        <v>109</v>
      </c>
    </row>
    <row r="8982" spans="1:5" x14ac:dyDescent="0.25">
      <c r="A8982" t="str">
        <f>HYPERLINK("https://www.773grp.com/globalSearch/XC4062XL-3BG432C/page-1", "XC4062XL-3BG432C")</f>
        <v>XC4062XL-3BG432C</v>
      </c>
      <c r="B8982" s="3" t="s">
        <v>115</v>
      </c>
      <c r="C8982" s="5">
        <v>10</v>
      </c>
      <c r="D8982" s="6">
        <v>864.25</v>
      </c>
      <c r="E8982" t="s">
        <v>109</v>
      </c>
    </row>
    <row r="8983" spans="1:5" x14ac:dyDescent="0.25">
      <c r="A8983" t="str">
        <f>HYPERLINK("https://www.773grp.com/globalSearch/XC4085XLA-08HQ160I/page-1", "XC4085XLA-08HQ160I")</f>
        <v>XC4085XLA-08HQ160I</v>
      </c>
      <c r="B8983" s="3" t="s">
        <v>115</v>
      </c>
      <c r="C8983" s="5">
        <v>68</v>
      </c>
      <c r="D8983" s="6">
        <v>875.15</v>
      </c>
      <c r="E8983" t="s">
        <v>109</v>
      </c>
    </row>
    <row r="8984" spans="1:5" x14ac:dyDescent="0.25">
      <c r="A8984" t="str">
        <f>HYPERLINK("https://www.773grp.com/globalSearch/XC4085XLA-08BG432C/page-1", "XC4085XLA-08BG432C")</f>
        <v>XC4085XLA-08BG432C</v>
      </c>
      <c r="B8984" s="3" t="s">
        <v>115</v>
      </c>
      <c r="C8984" s="5">
        <v>1</v>
      </c>
      <c r="D8984" s="6">
        <v>927.8</v>
      </c>
      <c r="E8984" t="s">
        <v>109</v>
      </c>
    </row>
    <row r="8985" spans="1:5" x14ac:dyDescent="0.25">
      <c r="A8985" t="str">
        <f>HYPERLINK("https://www.773grp.com/globalSearch/XC4085XLA-09BG560I/page-1", "XC4085XLA-09BG560I")</f>
        <v>XC4085XLA-09BG560I</v>
      </c>
      <c r="B8985" s="3" t="s">
        <v>115</v>
      </c>
      <c r="C8985" s="5">
        <v>1</v>
      </c>
      <c r="D8985" s="6">
        <v>936.89</v>
      </c>
      <c r="E8985" t="s">
        <v>109</v>
      </c>
    </row>
    <row r="8986" spans="1:5" x14ac:dyDescent="0.25">
      <c r="A8986" t="str">
        <f>HYPERLINK("https://www.773grp.com/globalSearch/XC4085XLA-08HQ240I/page-1", "XC4085XLA-08HQ240I")</f>
        <v>XC4085XLA-08HQ240I</v>
      </c>
      <c r="B8986" s="3" t="s">
        <v>115</v>
      </c>
      <c r="C8986" s="5">
        <v>9</v>
      </c>
      <c r="D8986" s="6">
        <v>1102.1099999999999</v>
      </c>
      <c r="E8986" t="s">
        <v>109</v>
      </c>
    </row>
    <row r="8987" spans="1:5" x14ac:dyDescent="0.25">
      <c r="A8987" t="str">
        <f>HYPERLINK("https://www.773grp.com/globalSearch/XC4062XL-1BG432C/page-1", "XC4062XL-1BG432C")</f>
        <v>XC4062XL-1BG432C</v>
      </c>
      <c r="B8987" s="3" t="s">
        <v>115</v>
      </c>
      <c r="C8987" s="5">
        <v>863</v>
      </c>
      <c r="D8987" s="6">
        <v>1516.09</v>
      </c>
      <c r="E8987" t="s">
        <v>109</v>
      </c>
    </row>
    <row r="8988" spans="1:5" x14ac:dyDescent="0.25">
      <c r="A8988" t="str">
        <f>HYPERLINK("https://www.773grp.com/globalSearch/XC4062XL-1BG560C/page-1", "XC4062XL-1BG560C")</f>
        <v>XC4062XL-1BG560C</v>
      </c>
      <c r="B8988" s="3" t="s">
        <v>115</v>
      </c>
      <c r="C8988" s="5">
        <v>137</v>
      </c>
      <c r="D8988" s="6">
        <v>1588.71</v>
      </c>
      <c r="E8988" t="s">
        <v>109</v>
      </c>
    </row>
    <row r="8989" spans="1:5" x14ac:dyDescent="0.25">
      <c r="A8989" t="str">
        <f>HYPERLINK("https://www.773grp.com/globalSearch/XC40150XV-09BG560C/page-1", "XC40150XV-09BG560C")</f>
        <v>XC40150XV-09BG560C</v>
      </c>
      <c r="B8989" s="3" t="s">
        <v>115</v>
      </c>
      <c r="C8989" s="5">
        <v>275</v>
      </c>
      <c r="D8989" s="6">
        <v>1594.15</v>
      </c>
      <c r="E8989" t="s">
        <v>109</v>
      </c>
    </row>
    <row r="8990" spans="1:5" x14ac:dyDescent="0.25">
      <c r="A8990" t="str">
        <f>HYPERLINK("https://www.773grp.com/globalSearch/XC4062XL-1BG432I/page-1", "XC4062XL-1BG432I")</f>
        <v>XC4062XL-1BG432I</v>
      </c>
      <c r="B8990" s="3" t="s">
        <v>115</v>
      </c>
      <c r="C8990" s="5">
        <v>45</v>
      </c>
      <c r="D8990" s="6">
        <v>1897.38</v>
      </c>
      <c r="E8990" t="s">
        <v>109</v>
      </c>
    </row>
    <row r="8991" spans="1:5" x14ac:dyDescent="0.25">
      <c r="A8991" t="str">
        <f>HYPERLINK("https://www.773grp.com/globalSearch/XC4062XL-09BG432C/page-1", "XC4062XL-09BG432C")</f>
        <v>XC4062XL-09BG432C</v>
      </c>
      <c r="B8991" s="3" t="s">
        <v>115</v>
      </c>
      <c r="C8991" s="5">
        <v>735</v>
      </c>
      <c r="D8991" s="6">
        <v>2122.5</v>
      </c>
      <c r="E8991" t="s">
        <v>109</v>
      </c>
    </row>
    <row r="8992" spans="1:5" x14ac:dyDescent="0.25">
      <c r="A8992" t="str">
        <f>HYPERLINK("https://www.773grp.com/globalSearch/SN74S225N/page-1", "SN74S225N")</f>
        <v>SN74S225N</v>
      </c>
      <c r="B8992" s="3" t="s">
        <v>90</v>
      </c>
      <c r="C8992" s="5">
        <v>1740</v>
      </c>
      <c r="D8992" s="6">
        <v>6.19</v>
      </c>
      <c r="E8992" t="s">
        <v>77</v>
      </c>
    </row>
    <row r="8993" spans="1:5" x14ac:dyDescent="0.25">
      <c r="A8993" t="str">
        <f>HYPERLINK("https://www.773grp.com/globalSearch/SN74ACT2226DW/page-1", "SN74ACT2226DW")</f>
        <v>SN74ACT2226DW</v>
      </c>
      <c r="B8993" s="3" t="str">
        <f>HYPERLINK("https://www.773grp.com/manufacturer/texas-instruments?pageNo=487", "Texas Instruments")</f>
        <v>Texas Instruments</v>
      </c>
      <c r="C8993" s="5">
        <v>6511</v>
      </c>
      <c r="D8993" s="6">
        <v>6.75</v>
      </c>
      <c r="E8993" t="s">
        <v>77</v>
      </c>
    </row>
    <row r="8994" spans="1:5" x14ac:dyDescent="0.25">
      <c r="A8994" t="str">
        <f>HYPERLINK("https://www.773grp.com/globalSearch/SN74ACT2226DWR/page-1", "SN74ACT2226DWR")</f>
        <v>SN74ACT2226DWR</v>
      </c>
      <c r="B8994" s="3" t="str">
        <f>HYPERLINK("https://www.773grp.com/manufacturer/texas-instruments?pageNo=488", "Texas Instruments")</f>
        <v>Texas Instruments</v>
      </c>
      <c r="C8994" s="5">
        <v>4000</v>
      </c>
      <c r="D8994" s="6">
        <v>6.75</v>
      </c>
      <c r="E8994" t="s">
        <v>77</v>
      </c>
    </row>
    <row r="8995" spans="1:5" x14ac:dyDescent="0.25">
      <c r="A8995" t="str">
        <f>HYPERLINK("https://www.773grp.com/globalSearch/SN74ACT2227DW/page-1", "SN74ACT2227DW")</f>
        <v>SN74ACT2227DW</v>
      </c>
      <c r="B8995" s="3" t="str">
        <f>HYPERLINK("https://www.773grp.com/manufacturer/texas-instruments?pageNo=489", "Texas Instruments")</f>
        <v>Texas Instruments</v>
      </c>
      <c r="C8995" s="5">
        <v>900</v>
      </c>
      <c r="D8995" s="6">
        <v>6.75</v>
      </c>
      <c r="E8995" t="s">
        <v>77</v>
      </c>
    </row>
    <row r="8996" spans="1:5" x14ac:dyDescent="0.25">
      <c r="A8996" t="str">
        <f>HYPERLINK("https://www.773grp.com/globalSearch/SN74ACT2227DWR/page-1", "SN74ACT2227DWR")</f>
        <v>SN74ACT2227DWR</v>
      </c>
      <c r="B8996" s="3" t="str">
        <f>HYPERLINK("https://www.773grp.com/manufacturer/texas-instruments?pageNo=490", "Texas Instruments")</f>
        <v>Texas Instruments</v>
      </c>
      <c r="C8996" s="5">
        <v>2000</v>
      </c>
      <c r="D8996" s="6">
        <v>6.75</v>
      </c>
      <c r="E8996" t="s">
        <v>77</v>
      </c>
    </row>
    <row r="8997" spans="1:5" x14ac:dyDescent="0.25">
      <c r="A8997" t="str">
        <f>HYPERLINK("https://www.773grp.com/globalSearch/SN74ACT2228DW/page-1", "SN74ACT2228DW")</f>
        <v>SN74ACT2228DW</v>
      </c>
      <c r="B8997" s="3" t="str">
        <f>HYPERLINK("https://www.773grp.com/manufacturer/texas-instruments?pageNo=491", "Texas Instruments")</f>
        <v>Texas Instruments</v>
      </c>
      <c r="C8997" s="5">
        <v>1067</v>
      </c>
      <c r="D8997" s="6">
        <v>6.75</v>
      </c>
      <c r="E8997" t="s">
        <v>77</v>
      </c>
    </row>
    <row r="8998" spans="1:5" x14ac:dyDescent="0.25">
      <c r="A8998" t="str">
        <f>HYPERLINK("https://www.773grp.com/globalSearch/SN74S225N3/page-1", "SN74S225N3")</f>
        <v>SN74S225N3</v>
      </c>
      <c r="B8998" s="3" t="s">
        <v>90</v>
      </c>
      <c r="C8998" s="5">
        <v>375</v>
      </c>
      <c r="D8998" s="6">
        <v>7.23</v>
      </c>
      <c r="E8998" t="s">
        <v>77</v>
      </c>
    </row>
    <row r="8999" spans="1:5" x14ac:dyDescent="0.25">
      <c r="A8999" t="str">
        <f>HYPERLINK("https://www.773grp.com/globalSearch/SN74ALS236N/page-1", "SN74ALS236N")</f>
        <v>SN74ALS236N</v>
      </c>
      <c r="B8999" s="3" t="s">
        <v>90</v>
      </c>
      <c r="C8999" s="5">
        <v>3714</v>
      </c>
      <c r="D8999" s="6">
        <v>7.43</v>
      </c>
      <c r="E8999" t="s">
        <v>77</v>
      </c>
    </row>
    <row r="9000" spans="1:5" x14ac:dyDescent="0.25">
      <c r="A9000" t="str">
        <f>HYPERLINK("https://www.773grp.com/globalSearch/SN74ACT2229DW/page-1", "SN74ACT2229DW")</f>
        <v>SN74ACT2229DW</v>
      </c>
      <c r="B9000" s="3" t="s">
        <v>90</v>
      </c>
      <c r="C9000" s="5">
        <v>7029</v>
      </c>
      <c r="D9000" s="6">
        <v>8.44</v>
      </c>
      <c r="E9000" t="s">
        <v>77</v>
      </c>
    </row>
    <row r="9001" spans="1:5" x14ac:dyDescent="0.25">
      <c r="A9001" t="str">
        <f>HYPERLINK("https://www.773grp.com/globalSearch/SN74ACT2229DWR/page-1", "SN74ACT2229DWR")</f>
        <v>SN74ACT2229DWR</v>
      </c>
      <c r="B9001" s="3" t="s">
        <v>90</v>
      </c>
      <c r="C9001" s="5">
        <v>7000</v>
      </c>
      <c r="D9001" s="6">
        <v>8.44</v>
      </c>
      <c r="E9001" t="s">
        <v>77</v>
      </c>
    </row>
    <row r="9002" spans="1:5" x14ac:dyDescent="0.25">
      <c r="A9002" t="str">
        <f>HYPERLINK("https://www.773grp.com/globalSearch/SN74ACT7200L50DV/page-1", "SN74ACT7200L50DV")</f>
        <v>SN74ACT7200L50DV</v>
      </c>
      <c r="B9002" s="3" t="s">
        <v>90</v>
      </c>
      <c r="C9002" s="5">
        <v>948</v>
      </c>
      <c r="D9002" s="6">
        <v>8.44</v>
      </c>
      <c r="E9002" t="s">
        <v>77</v>
      </c>
    </row>
    <row r="9003" spans="1:5" x14ac:dyDescent="0.25">
      <c r="A9003" t="str">
        <f>HYPERLINK("https://www.773grp.com/globalSearch/SN74ACT7200L50NP/page-1", "SN74ACT7200L50NP")</f>
        <v>SN74ACT7200L50NP</v>
      </c>
      <c r="B9003" s="3" t="s">
        <v>90</v>
      </c>
      <c r="C9003" s="5">
        <v>2</v>
      </c>
      <c r="D9003" s="6">
        <v>8.44</v>
      </c>
      <c r="E9003" t="s">
        <v>77</v>
      </c>
    </row>
    <row r="9004" spans="1:5" x14ac:dyDescent="0.25">
      <c r="A9004" t="str">
        <f>HYPERLINK("https://www.773grp.com/globalSearch/SN74ACT7200L50RJ/page-1", "SN74ACT7200L50RJ")</f>
        <v>SN74ACT7200L50RJ</v>
      </c>
      <c r="B9004" s="3" t="s">
        <v>90</v>
      </c>
      <c r="C9004" s="5">
        <v>28200</v>
      </c>
      <c r="D9004" s="6">
        <v>8.44</v>
      </c>
      <c r="E9004" t="s">
        <v>77</v>
      </c>
    </row>
    <row r="9005" spans="1:5" x14ac:dyDescent="0.25">
      <c r="A9005" t="str">
        <f>HYPERLINK("https://www.773grp.com/globalSearch/SN74ALS229BDW/page-1", "SN74ALS229BDW")</f>
        <v>SN74ALS229BDW</v>
      </c>
      <c r="B9005" s="3" t="s">
        <v>90</v>
      </c>
      <c r="C9005" s="5">
        <v>2400</v>
      </c>
      <c r="D9005" s="6">
        <v>8.98</v>
      </c>
      <c r="E9005" t="s">
        <v>77</v>
      </c>
    </row>
    <row r="9006" spans="1:5" x14ac:dyDescent="0.25">
      <c r="A9006" t="str">
        <f>HYPERLINK("https://www.773grp.com/globalSearch/SN74ALS229BN/page-1", "SN74ALS229BN")</f>
        <v>SN74ALS229BN</v>
      </c>
      <c r="B9006" s="3" t="s">
        <v>90</v>
      </c>
      <c r="C9006" s="5">
        <v>1273</v>
      </c>
      <c r="D9006" s="6">
        <v>8.98</v>
      </c>
      <c r="E9006" t="s">
        <v>77</v>
      </c>
    </row>
    <row r="9007" spans="1:5" x14ac:dyDescent="0.25">
      <c r="A9007" t="str">
        <f>HYPERLINK("https://www.773grp.com/globalSearch/SN74ALS232BDW/page-1", "SN74ALS232BDW")</f>
        <v>SN74ALS232BDW</v>
      </c>
      <c r="B9007" s="3" t="s">
        <v>90</v>
      </c>
      <c r="C9007" s="5">
        <v>7217</v>
      </c>
      <c r="D9007" s="6">
        <v>8.98</v>
      </c>
      <c r="E9007" t="s">
        <v>77</v>
      </c>
    </row>
    <row r="9008" spans="1:5" x14ac:dyDescent="0.25">
      <c r="A9008" t="str">
        <f>HYPERLINK("https://www.773grp.com/globalSearch/SN74ALS232BDWR/page-1", "SN74ALS232BDWR")</f>
        <v>SN74ALS232BDWR</v>
      </c>
      <c r="B9008" s="3" t="s">
        <v>90</v>
      </c>
      <c r="C9008" s="5">
        <v>1000</v>
      </c>
      <c r="D9008" s="6">
        <v>8.98</v>
      </c>
      <c r="E9008" t="s">
        <v>77</v>
      </c>
    </row>
    <row r="9009" spans="1:5" x14ac:dyDescent="0.25">
      <c r="A9009" t="str">
        <f>HYPERLINK("https://www.773grp.com/globalSearch/SN74ALS232BFN/page-1", "SN74ALS232BFN")</f>
        <v>SN74ALS232BFN</v>
      </c>
      <c r="B9009" s="3" t="s">
        <v>90</v>
      </c>
      <c r="C9009" s="5">
        <v>5202</v>
      </c>
      <c r="D9009" s="6">
        <v>8.98</v>
      </c>
      <c r="E9009" t="s">
        <v>77</v>
      </c>
    </row>
    <row r="9010" spans="1:5" x14ac:dyDescent="0.25">
      <c r="A9010" t="str">
        <f>HYPERLINK("https://www.773grp.com/globalSearch/SN74ALS232BFNR/page-1", "SN74ALS232BFNR")</f>
        <v>SN74ALS232BFNR</v>
      </c>
      <c r="B9010" s="3" t="s">
        <v>90</v>
      </c>
      <c r="C9010" s="5">
        <v>7950</v>
      </c>
      <c r="D9010" s="6">
        <v>8.98</v>
      </c>
      <c r="E9010" t="s">
        <v>77</v>
      </c>
    </row>
    <row r="9011" spans="1:5" x14ac:dyDescent="0.25">
      <c r="A9011" t="str">
        <f>HYPERLINK("https://www.773grp.com/globalSearch/SN74ALS233BDW/page-1", "SN74ALS233BDW")</f>
        <v>SN74ALS233BDW</v>
      </c>
      <c r="B9011" s="3" t="s">
        <v>90</v>
      </c>
      <c r="C9011" s="5">
        <v>1610</v>
      </c>
      <c r="D9011" s="6">
        <v>8.98</v>
      </c>
      <c r="E9011" t="s">
        <v>77</v>
      </c>
    </row>
    <row r="9012" spans="1:5" x14ac:dyDescent="0.25">
      <c r="A9012" t="str">
        <f>HYPERLINK("https://www.773grp.com/globalSearch/SN74ALS233BN/page-1", "SN74ALS233BN")</f>
        <v>SN74ALS233BN</v>
      </c>
      <c r="B9012" s="3" t="s">
        <v>90</v>
      </c>
      <c r="C9012" s="5">
        <v>1185</v>
      </c>
      <c r="D9012" s="6">
        <v>8.98</v>
      </c>
      <c r="E9012" t="s">
        <v>77</v>
      </c>
    </row>
    <row r="9013" spans="1:5" x14ac:dyDescent="0.25">
      <c r="A9013" t="str">
        <f>HYPERLINK("https://www.773grp.com/globalSearch/SN74ACT7201LA50DV/page-1", "SN74ACT7201LA50DV")</f>
        <v>SN74ACT7201LA50DV</v>
      </c>
      <c r="B9013" s="3" t="s">
        <v>90</v>
      </c>
      <c r="C9013" s="5">
        <v>16</v>
      </c>
      <c r="D9013" s="6">
        <v>9.06</v>
      </c>
      <c r="E9013" t="s">
        <v>77</v>
      </c>
    </row>
    <row r="9014" spans="1:5" x14ac:dyDescent="0.25">
      <c r="A9014" t="str">
        <f>HYPERLINK("https://www.773grp.com/globalSearch/SN74ACT7201LA50NP/page-1", "SN74ACT7201LA50NP")</f>
        <v>SN74ACT7201LA50NP</v>
      </c>
      <c r="B9014" s="3" t="s">
        <v>90</v>
      </c>
      <c r="C9014" s="5">
        <v>24093</v>
      </c>
      <c r="D9014" s="6">
        <v>9.06</v>
      </c>
      <c r="E9014" t="s">
        <v>77</v>
      </c>
    </row>
    <row r="9015" spans="1:5" x14ac:dyDescent="0.25">
      <c r="A9015" t="str">
        <f>HYPERLINK("https://www.773grp.com/globalSearch/SN74ACT7201LA50RJ/page-1", "SN74ACT7201LA50RJ")</f>
        <v>SN74ACT7201LA50RJ</v>
      </c>
      <c r="B9015" s="3" t="s">
        <v>90</v>
      </c>
      <c r="C9015" s="5">
        <v>4133</v>
      </c>
      <c r="D9015" s="6">
        <v>9.06</v>
      </c>
      <c r="E9015" t="s">
        <v>77</v>
      </c>
    </row>
    <row r="9016" spans="1:5" x14ac:dyDescent="0.25">
      <c r="A9016" t="str">
        <f>HYPERLINK("https://www.773grp.com/globalSearch/SN74ACT7202LA50DV/page-1", "SN74ACT7202LA50DV")</f>
        <v>SN74ACT7202LA50DV</v>
      </c>
      <c r="B9016" s="3" t="s">
        <v>90</v>
      </c>
      <c r="C9016" s="5">
        <v>438</v>
      </c>
      <c r="D9016" s="6">
        <v>9.93</v>
      </c>
      <c r="E9016" t="s">
        <v>77</v>
      </c>
    </row>
    <row r="9017" spans="1:5" x14ac:dyDescent="0.25">
      <c r="A9017" t="str">
        <f>HYPERLINK("https://www.773grp.com/globalSearch/SN74ACT7202LA50NP/page-1", "SN74ACT7202LA50NP")</f>
        <v>SN74ACT7202LA50NP</v>
      </c>
      <c r="B9017" s="3" t="s">
        <v>90</v>
      </c>
      <c r="C9017" s="5">
        <v>713</v>
      </c>
      <c r="D9017" s="6">
        <v>9.93</v>
      </c>
      <c r="E9017" t="s">
        <v>77</v>
      </c>
    </row>
    <row r="9018" spans="1:5" x14ac:dyDescent="0.25">
      <c r="A9018" t="str">
        <f>HYPERLINK("https://www.773grp.com/globalSearch/SN74ACT7202LA50RJ/page-1", "SN74ACT7202LA50RJ")</f>
        <v>SN74ACT7202LA50RJ</v>
      </c>
      <c r="B9018" s="3" t="s">
        <v>90</v>
      </c>
      <c r="C9018" s="5">
        <v>6522</v>
      </c>
      <c r="D9018" s="6">
        <v>9.93</v>
      </c>
      <c r="E9018" t="s">
        <v>77</v>
      </c>
    </row>
    <row r="9019" spans="1:5" x14ac:dyDescent="0.25">
      <c r="A9019" t="str">
        <f>HYPERLINK("https://www.773grp.com/globalSearch/SN74V215-20PAG/page-1", "SN74V215-20PAG")</f>
        <v>SN74V215-20PAG</v>
      </c>
      <c r="B9019" s="3" t="s">
        <v>90</v>
      </c>
      <c r="C9019" s="5">
        <v>1370</v>
      </c>
      <c r="D9019" s="6">
        <v>10.3</v>
      </c>
      <c r="E9019" t="s">
        <v>77</v>
      </c>
    </row>
    <row r="9020" spans="1:5" x14ac:dyDescent="0.25">
      <c r="A9020" t="str">
        <f>HYPERLINK("https://www.773grp.com/globalSearch/SN74ACT7201LA35DV/page-1", "SN74ACT7201LA35DV")</f>
        <v>SN74ACT7201LA35DV</v>
      </c>
      <c r="B9020" s="3" t="s">
        <v>90</v>
      </c>
      <c r="C9020" s="5">
        <v>990</v>
      </c>
      <c r="D9020" s="6">
        <v>11.03</v>
      </c>
      <c r="E9020" t="s">
        <v>77</v>
      </c>
    </row>
    <row r="9021" spans="1:5" x14ac:dyDescent="0.25">
      <c r="A9021" t="str">
        <f>HYPERLINK("https://www.773grp.com/globalSearch/SN74ACT7201LA35NP/page-1", "SN74ACT7201LA35NP")</f>
        <v>SN74ACT7201LA35NP</v>
      </c>
      <c r="B9021" s="3" t="s">
        <v>90</v>
      </c>
      <c r="C9021" s="5">
        <v>1120</v>
      </c>
      <c r="D9021" s="6">
        <v>11.03</v>
      </c>
      <c r="E9021" t="s">
        <v>77</v>
      </c>
    </row>
    <row r="9022" spans="1:5" x14ac:dyDescent="0.25">
      <c r="A9022" t="str">
        <f>HYPERLINK("https://www.773grp.com/globalSearch/SN74ACT7201LA35RJ/page-1", "SN74ACT7201LA35RJ")</f>
        <v>SN74ACT7201LA35RJ</v>
      </c>
      <c r="B9022" s="3" t="s">
        <v>90</v>
      </c>
      <c r="C9022" s="5">
        <v>40960</v>
      </c>
      <c r="D9022" s="6">
        <v>11.03</v>
      </c>
      <c r="E9022" t="s">
        <v>77</v>
      </c>
    </row>
    <row r="9023" spans="1:5" x14ac:dyDescent="0.25">
      <c r="A9023" t="str">
        <f>HYPERLINK("https://www.773grp.com/globalSearch/SN74ACT7805-40DLR/page-1", "SN74ACT7805-40DLR")</f>
        <v>SN74ACT7805-40DLR</v>
      </c>
      <c r="B9023" s="3" t="s">
        <v>90</v>
      </c>
      <c r="C9023" s="5">
        <v>1250</v>
      </c>
      <c r="D9023" s="6">
        <v>11.1</v>
      </c>
      <c r="E9023" t="s">
        <v>77</v>
      </c>
    </row>
    <row r="9024" spans="1:5" x14ac:dyDescent="0.25">
      <c r="A9024" t="str">
        <f>HYPERLINK("https://www.773grp.com/globalSearch/SN74ACT7806-40DLR/page-1", "SN74ACT7806-40DLR")</f>
        <v>SN74ACT7806-40DLR</v>
      </c>
      <c r="B9024" s="3" t="s">
        <v>90</v>
      </c>
      <c r="C9024" s="5">
        <v>2000</v>
      </c>
      <c r="D9024" s="6">
        <v>11.1</v>
      </c>
      <c r="E9024" t="s">
        <v>77</v>
      </c>
    </row>
    <row r="9025" spans="1:5" x14ac:dyDescent="0.25">
      <c r="A9025" t="str">
        <f>HYPERLINK("https://www.773grp.com/globalSearch/SN74ALVC7805-40DL/page-1", "SN74ALVC7805-40DL")</f>
        <v>SN74ALVC7805-40DL</v>
      </c>
      <c r="B9025" s="3" t="s">
        <v>90</v>
      </c>
      <c r="C9025" s="5">
        <v>1779</v>
      </c>
      <c r="D9025" s="6">
        <v>11.1</v>
      </c>
      <c r="E9025" t="s">
        <v>77</v>
      </c>
    </row>
    <row r="9026" spans="1:5" x14ac:dyDescent="0.25">
      <c r="A9026" t="str">
        <f>HYPERLINK("https://www.773grp.com/globalSearch/SN74ALVC7806-40DL/page-1", "SN74ALVC7806-40DL")</f>
        <v>SN74ALVC7806-40DL</v>
      </c>
      <c r="B9026" s="3" t="s">
        <v>90</v>
      </c>
      <c r="C9026" s="5">
        <v>397</v>
      </c>
      <c r="D9026" s="6">
        <v>11.1</v>
      </c>
      <c r="E9026" t="s">
        <v>77</v>
      </c>
    </row>
    <row r="9027" spans="1:5" x14ac:dyDescent="0.25">
      <c r="A9027" t="str">
        <f>HYPERLINK("https://www.773grp.com/globalSearch/SN74ALVC7803-20DL/page-1", "SN74ALVC7803-20DL")</f>
        <v>SN74ALVC7803-20DL</v>
      </c>
      <c r="B9027" s="3" t="s">
        <v>90</v>
      </c>
      <c r="C9027" s="5">
        <v>422</v>
      </c>
      <c r="D9027" s="6">
        <v>11.14</v>
      </c>
      <c r="E9027" t="s">
        <v>77</v>
      </c>
    </row>
    <row r="9028" spans="1:5" x14ac:dyDescent="0.25">
      <c r="A9028" t="str">
        <f>HYPERLINK("https://www.773grp.com/globalSearch/SN74ACT7200L35DV/page-1", "SN74ACT7200L35DV")</f>
        <v>SN74ACT7200L35DV</v>
      </c>
      <c r="B9028" s="3" t="s">
        <v>90</v>
      </c>
      <c r="C9028" s="5">
        <v>1300</v>
      </c>
      <c r="D9028" s="6">
        <v>11.86</v>
      </c>
      <c r="E9028" t="s">
        <v>77</v>
      </c>
    </row>
    <row r="9029" spans="1:5" x14ac:dyDescent="0.25">
      <c r="A9029" t="str">
        <f>HYPERLINK("https://www.773grp.com/globalSearch/SN74ACT7200L35NP/page-1", "SN74ACT7200L35NP")</f>
        <v>SN74ACT7200L35NP</v>
      </c>
      <c r="B9029" s="3" t="s">
        <v>90</v>
      </c>
      <c r="C9029" s="5">
        <v>470</v>
      </c>
      <c r="D9029" s="6">
        <v>11.86</v>
      </c>
      <c r="E9029" t="s">
        <v>77</v>
      </c>
    </row>
    <row r="9030" spans="1:5" x14ac:dyDescent="0.25">
      <c r="A9030" t="str">
        <f>HYPERLINK("https://www.773grp.com/globalSearch/SN74ACT7200L35RJ/page-1", "SN74ACT7200L35RJ")</f>
        <v>SN74ACT7200L35RJ</v>
      </c>
      <c r="B9030" s="3" t="s">
        <v>90</v>
      </c>
      <c r="C9030" s="5">
        <v>758</v>
      </c>
      <c r="D9030" s="6">
        <v>11.86</v>
      </c>
      <c r="E9030" t="s">
        <v>77</v>
      </c>
    </row>
    <row r="9031" spans="1:5" x14ac:dyDescent="0.25">
      <c r="A9031" t="str">
        <f>HYPERLINK("https://www.773grp.com/globalSearch/SN74ACT7803-40DLR/page-1", "SN74ACT7803-40DLR")</f>
        <v>SN74ACT7803-40DLR</v>
      </c>
      <c r="B9031" s="3" t="str">
        <f>HYPERLINK("https://www.773grp.com/manufacturer/texas-instruments?pageNo=95", "Texas Instruments")</f>
        <v>Texas Instruments</v>
      </c>
      <c r="C9031" s="5">
        <v>3000</v>
      </c>
      <c r="D9031" s="6">
        <v>12.35</v>
      </c>
      <c r="E9031" t="s">
        <v>77</v>
      </c>
    </row>
    <row r="9032" spans="1:5" x14ac:dyDescent="0.25">
      <c r="A9032" t="str">
        <f>HYPERLINK("https://www.773grp.com/globalSearch/SN74ACT7813-40DL/page-1", "SN74ACT7813-40DL")</f>
        <v>SN74ACT7813-40DL</v>
      </c>
      <c r="B9032" s="3" t="str">
        <f>HYPERLINK("https://www.773grp.com/manufacturer/texas-instruments?pageNo=96", "Texas Instruments")</f>
        <v>Texas Instruments</v>
      </c>
      <c r="C9032" s="5">
        <v>165</v>
      </c>
      <c r="D9032" s="6">
        <v>12.35</v>
      </c>
      <c r="E9032" t="s">
        <v>77</v>
      </c>
    </row>
    <row r="9033" spans="1:5" x14ac:dyDescent="0.25">
      <c r="A9033" t="str">
        <f>HYPERLINK("https://www.773grp.com/globalSearch/SN74ACT7813-40DLR/page-1", "SN74ACT7813-40DLR")</f>
        <v>SN74ACT7813-40DLR</v>
      </c>
      <c r="B9033" s="3" t="str">
        <f>HYPERLINK("https://www.773grp.com/manufacturer/texas-instruments?pageNo=97", "Texas Instruments")</f>
        <v>Texas Instruments</v>
      </c>
      <c r="C9033" s="5">
        <v>1000</v>
      </c>
      <c r="D9033" s="6">
        <v>12.35</v>
      </c>
      <c r="E9033" t="s">
        <v>77</v>
      </c>
    </row>
    <row r="9034" spans="1:5" x14ac:dyDescent="0.25">
      <c r="A9034" t="str">
        <f>HYPERLINK("https://www.773grp.com/globalSearch/SN74ALVC7813-40DL/page-1", "SN74ALVC7813-40DL")</f>
        <v>SN74ALVC7813-40DL</v>
      </c>
      <c r="B9034" s="3" t="str">
        <f>HYPERLINK("https://www.773grp.com/manufacturer/texas-instruments?pageNo=98", "Texas Instruments")</f>
        <v>Texas Instruments</v>
      </c>
      <c r="C9034" s="5">
        <v>1494</v>
      </c>
      <c r="D9034" s="6">
        <v>12.35</v>
      </c>
      <c r="E9034" t="s">
        <v>77</v>
      </c>
    </row>
    <row r="9035" spans="1:5" x14ac:dyDescent="0.25">
      <c r="A9035" t="str">
        <f>HYPERLINK("https://www.773grp.com/globalSearch/SN74ALVC7813-40DLR/page-1", "SN74ALVC7813-40DLR")</f>
        <v>SN74ALVC7813-40DLR</v>
      </c>
      <c r="B9035" s="3" t="str">
        <f>HYPERLINK("https://www.773grp.com/manufacturer/texas-instruments?pageNo=99", "Texas Instruments")</f>
        <v>Texas Instruments</v>
      </c>
      <c r="C9035" s="5">
        <v>1000</v>
      </c>
      <c r="D9035" s="6">
        <v>12.35</v>
      </c>
      <c r="E9035" t="s">
        <v>77</v>
      </c>
    </row>
    <row r="9036" spans="1:5" x14ac:dyDescent="0.25">
      <c r="A9036" t="str">
        <f>HYPERLINK("https://www.773grp.com/globalSearch/SN74ALVC7814-40DL/page-1", "SN74ALVC7814-40DL")</f>
        <v>SN74ALVC7814-40DL</v>
      </c>
      <c r="B9036" s="3" t="str">
        <f>HYPERLINK("https://www.773grp.com/manufacturer/texas-instruments?pageNo=100", "Texas Instruments")</f>
        <v>Texas Instruments</v>
      </c>
      <c r="C9036" s="5">
        <v>2297</v>
      </c>
      <c r="D9036" s="6">
        <v>12.35</v>
      </c>
      <c r="E9036" t="s">
        <v>77</v>
      </c>
    </row>
    <row r="9037" spans="1:5" x14ac:dyDescent="0.25">
      <c r="A9037" t="str">
        <f>HYPERLINK("https://www.773grp.com/globalSearch/SN74ALVC7814-40DLR/page-1", "SN74ALVC7814-40DLR")</f>
        <v>SN74ALVC7814-40DLR</v>
      </c>
      <c r="B9037" s="3" t="str">
        <f>HYPERLINK("https://www.773grp.com/manufacturer/texas-instruments?pageNo=101", "Texas Instruments")</f>
        <v>Texas Instruments</v>
      </c>
      <c r="C9037" s="5">
        <v>2250</v>
      </c>
      <c r="D9037" s="6">
        <v>12.35</v>
      </c>
      <c r="E9037" t="s">
        <v>77</v>
      </c>
    </row>
    <row r="9038" spans="1:5" x14ac:dyDescent="0.25">
      <c r="A9038" t="str">
        <f>HYPERLINK("https://www.773grp.com/globalSearch/SN74ACT7201LA25NP/page-1", "SN74ACT7201LA25NP")</f>
        <v>SN74ACT7201LA25NP</v>
      </c>
      <c r="B9038" s="3" t="str">
        <f>HYPERLINK("https://www.773grp.com/manufacturer/texas-instruments?pageNo=288", "Texas Instruments")</f>
        <v>Texas Instruments</v>
      </c>
      <c r="C9038" s="5">
        <v>1061</v>
      </c>
      <c r="D9038" s="6">
        <v>12.66</v>
      </c>
      <c r="E9038" t="s">
        <v>77</v>
      </c>
    </row>
    <row r="9039" spans="1:5" x14ac:dyDescent="0.25">
      <c r="A9039" t="str">
        <f>HYPERLINK("https://www.773grp.com/globalSearch/SN74ACT7201LA25RJ/page-1", "SN74ACT7201LA25RJ")</f>
        <v>SN74ACT7201LA25RJ</v>
      </c>
      <c r="B9039" s="3" t="str">
        <f>HYPERLINK("https://www.773grp.com/manufacturer/texas-instruments?pageNo=289", "Texas Instruments")</f>
        <v>Texas Instruments</v>
      </c>
      <c r="C9039" s="5">
        <v>11069</v>
      </c>
      <c r="D9039" s="6">
        <v>12.66</v>
      </c>
      <c r="E9039" t="s">
        <v>77</v>
      </c>
    </row>
    <row r="9040" spans="1:5" x14ac:dyDescent="0.25">
      <c r="A9040" t="str">
        <f>HYPERLINK("https://www.773grp.com/globalSearch/SN74ACT7203L50NP/page-1", "SN74ACT7203L50NP")</f>
        <v>SN74ACT7203L50NP</v>
      </c>
      <c r="B9040" s="3" t="str">
        <f>HYPERLINK("https://www.773grp.com/manufacturer/texas-instruments?pageNo=618", "Texas Instruments")</f>
        <v>Texas Instruments</v>
      </c>
      <c r="C9040" s="5">
        <v>44924</v>
      </c>
      <c r="D9040" s="6">
        <v>13.28</v>
      </c>
      <c r="E9040" t="s">
        <v>77</v>
      </c>
    </row>
    <row r="9041" spans="1:5" x14ac:dyDescent="0.25">
      <c r="A9041" t="str">
        <f>HYPERLINK("https://www.773grp.com/globalSearch/SN74ACT7203L50RJ/page-1", "SN74ACT7203L50RJ")</f>
        <v>SN74ACT7203L50RJ</v>
      </c>
      <c r="B9041" s="3" t="str">
        <f>HYPERLINK("https://www.773grp.com/manufacturer/texas-instruments?pageNo=619", "Texas Instruments")</f>
        <v>Texas Instruments</v>
      </c>
      <c r="C9041" s="5">
        <v>6</v>
      </c>
      <c r="D9041" s="6">
        <v>13.28</v>
      </c>
      <c r="E9041" t="s">
        <v>77</v>
      </c>
    </row>
    <row r="9042" spans="1:5" x14ac:dyDescent="0.25">
      <c r="A9042" t="str">
        <f>HYPERLINK("https://www.773grp.com/globalSearch/SN74ALVC7804-40DL/page-1", "SN74ALVC7804-40DL")</f>
        <v>SN74ALVC7804-40DL</v>
      </c>
      <c r="B9042" s="3" t="str">
        <f>HYPERLINK("https://www.773grp.com/manufacturer/texas-instruments?pageNo=621", "Texas Instruments")</f>
        <v>Texas Instruments</v>
      </c>
      <c r="C9042" s="5">
        <v>319</v>
      </c>
      <c r="D9042" s="6">
        <v>13.28</v>
      </c>
      <c r="E9042" t="s">
        <v>77</v>
      </c>
    </row>
    <row r="9043" spans="1:5" x14ac:dyDescent="0.25">
      <c r="A9043" t="str">
        <f>HYPERLINK("https://www.773grp.com/globalSearch/SN74ACT7200L25DV/page-1", "SN74ACT7200L25DV")</f>
        <v>SN74ACT7200L25DV</v>
      </c>
      <c r="B9043" s="3" t="str">
        <f>HYPERLINK("https://www.773grp.com/manufacturer/texas-instruments?pageNo=646", "Texas Instruments")</f>
        <v>Texas Instruments</v>
      </c>
      <c r="C9043" s="5">
        <v>151</v>
      </c>
      <c r="D9043" s="6">
        <v>13.34</v>
      </c>
      <c r="E9043" t="s">
        <v>77</v>
      </c>
    </row>
    <row r="9044" spans="1:5" x14ac:dyDescent="0.25">
      <c r="A9044" t="str">
        <f>HYPERLINK("https://www.773grp.com/globalSearch/SN74ACT7200L25NP/page-1", "SN74ACT7200L25NP")</f>
        <v>SN74ACT7200L25NP</v>
      </c>
      <c r="B9044" s="3" t="str">
        <f>HYPERLINK("https://www.773grp.com/manufacturer/texas-instruments?pageNo=648", "Texas Instruments")</f>
        <v>Texas Instruments</v>
      </c>
      <c r="C9044" s="5">
        <v>3064</v>
      </c>
      <c r="D9044" s="6">
        <v>13.34</v>
      </c>
      <c r="E9044" t="s">
        <v>77</v>
      </c>
    </row>
    <row r="9045" spans="1:5" x14ac:dyDescent="0.25">
      <c r="A9045" t="str">
        <f>HYPERLINK("https://www.773grp.com/globalSearch/SN74ACT7813-25DL/page-1", "SN74ACT7813-25DL")</f>
        <v>SN74ACT7813-25DL</v>
      </c>
      <c r="B9045" s="3" t="str">
        <f>HYPERLINK("https://www.773grp.com/manufacturer/texas-instruments?pageNo=782", "Texas Instruments")</f>
        <v>Texas Instruments</v>
      </c>
      <c r="C9045" s="5">
        <v>1373</v>
      </c>
      <c r="D9045" s="6">
        <v>13.59</v>
      </c>
      <c r="E9045" t="s">
        <v>77</v>
      </c>
    </row>
    <row r="9046" spans="1:5" x14ac:dyDescent="0.25">
      <c r="A9046" t="str">
        <f>HYPERLINK("https://www.773grp.com/globalSearch/SN74ACT7814-25DLR/page-1", "SN74ACT7814-25DLR")</f>
        <v>SN74ACT7814-25DLR</v>
      </c>
      <c r="B9046" s="3" t="str">
        <f>HYPERLINK("https://www.773grp.com/manufacturer/texas-instruments?pageNo=783", "Texas Instruments")</f>
        <v>Texas Instruments</v>
      </c>
      <c r="C9046" s="5">
        <v>75000</v>
      </c>
      <c r="D9046" s="6">
        <v>13.59</v>
      </c>
      <c r="E9046" t="s">
        <v>77</v>
      </c>
    </row>
    <row r="9047" spans="1:5" x14ac:dyDescent="0.25">
      <c r="A9047" t="str">
        <f>HYPERLINK("https://www.773grp.com/globalSearch/SN74ALVC7813-25DL/page-1", "SN74ALVC7813-25DL")</f>
        <v>SN74ALVC7813-25DL</v>
      </c>
      <c r="B9047" s="3" t="str">
        <f>HYPERLINK("https://www.773grp.com/manufacturer/texas-instruments?pageNo=784", "Texas Instruments")</f>
        <v>Texas Instruments</v>
      </c>
      <c r="C9047" s="5">
        <v>501</v>
      </c>
      <c r="D9047" s="6">
        <v>13.59</v>
      </c>
      <c r="E9047" t="s">
        <v>77</v>
      </c>
    </row>
    <row r="9048" spans="1:5" x14ac:dyDescent="0.25">
      <c r="A9048" t="str">
        <f>HYPERLINK("https://www.773grp.com/globalSearch/SN74ALVC7813-25DLR/page-1", "SN74ALVC7813-25DLR")</f>
        <v>SN74ALVC7813-25DLR</v>
      </c>
      <c r="B9048" s="3" t="str">
        <f>HYPERLINK("https://www.773grp.com/manufacturer/texas-instruments?pageNo=785", "Texas Instruments")</f>
        <v>Texas Instruments</v>
      </c>
      <c r="C9048" s="5">
        <v>9000</v>
      </c>
      <c r="D9048" s="6">
        <v>13.59</v>
      </c>
      <c r="E9048" t="s">
        <v>77</v>
      </c>
    </row>
    <row r="9049" spans="1:5" x14ac:dyDescent="0.25">
      <c r="A9049" t="str">
        <f>HYPERLINK("https://www.773grp.com/globalSearch/SN74ALVC7814-25DL/page-1", "SN74ALVC7814-25DL")</f>
        <v>SN74ALVC7814-25DL</v>
      </c>
      <c r="B9049" s="3" t="str">
        <f>HYPERLINK("https://www.773grp.com/manufacturer/texas-instruments?pageNo=786", "Texas Instruments")</f>
        <v>Texas Instruments</v>
      </c>
      <c r="C9049" s="5">
        <v>1301</v>
      </c>
      <c r="D9049" s="6">
        <v>13.59</v>
      </c>
      <c r="E9049" t="s">
        <v>77</v>
      </c>
    </row>
    <row r="9050" spans="1:5" x14ac:dyDescent="0.25">
      <c r="A9050" t="str">
        <f>HYPERLINK("https://www.773grp.com/globalSearch/SN74ALVC7803-40DL/page-1", "SN74ALVC7803-40DL")</f>
        <v>SN74ALVC7803-40DL</v>
      </c>
      <c r="B9050" s="3" t="s">
        <v>90</v>
      </c>
      <c r="C9050" s="5">
        <v>1167</v>
      </c>
      <c r="D9050" s="6">
        <v>14.26</v>
      </c>
      <c r="E9050" t="s">
        <v>77</v>
      </c>
    </row>
    <row r="9051" spans="1:5" x14ac:dyDescent="0.25">
      <c r="A9051" t="str">
        <f>HYPERLINK("https://www.773grp.com/globalSearch/SN74ALVC7803-20DLR/page-1", "SN74ALVC7803-20DLR")</f>
        <v>SN74ALVC7803-20DLR</v>
      </c>
      <c r="B9051" s="3" t="s">
        <v>90</v>
      </c>
      <c r="C9051" s="5">
        <v>1000</v>
      </c>
      <c r="D9051" s="6">
        <v>14.8</v>
      </c>
      <c r="E9051" t="s">
        <v>77</v>
      </c>
    </row>
    <row r="9052" spans="1:5" x14ac:dyDescent="0.25">
      <c r="A9052" t="str">
        <f>HYPERLINK("https://www.773grp.com/globalSearch/SN74ACT7803-20DL/page-1", "SN74ACT7803-20DL")</f>
        <v>SN74ACT7803-20DL</v>
      </c>
      <c r="B9052" s="3" t="s">
        <v>90</v>
      </c>
      <c r="C9052" s="5">
        <v>1913</v>
      </c>
      <c r="D9052" s="6">
        <v>14.81</v>
      </c>
      <c r="E9052" t="s">
        <v>77</v>
      </c>
    </row>
    <row r="9053" spans="1:5" x14ac:dyDescent="0.25">
      <c r="A9053" t="str">
        <f>HYPERLINK("https://www.773grp.com/globalSearch/SN74ACT7803-20DLR/page-1", "SN74ACT7803-20DLR")</f>
        <v>SN74ACT7803-20DLR</v>
      </c>
      <c r="B9053" s="3" t="s">
        <v>90</v>
      </c>
      <c r="C9053" s="5">
        <v>2750</v>
      </c>
      <c r="D9053" s="6">
        <v>14.81</v>
      </c>
      <c r="E9053" t="s">
        <v>77</v>
      </c>
    </row>
    <row r="9054" spans="1:5" x14ac:dyDescent="0.25">
      <c r="A9054" t="str">
        <f>HYPERLINK("https://www.773grp.com/globalSearch/SN74ACT7803-25DLR/page-1", "SN74ACT7803-25DLR")</f>
        <v>SN74ACT7803-25DLR</v>
      </c>
      <c r="B9054" s="3" t="s">
        <v>90</v>
      </c>
      <c r="C9054" s="5">
        <v>5485</v>
      </c>
      <c r="D9054" s="6">
        <v>14.81</v>
      </c>
      <c r="E9054" t="s">
        <v>77</v>
      </c>
    </row>
    <row r="9055" spans="1:5" x14ac:dyDescent="0.25">
      <c r="A9055" t="str">
        <f>HYPERLINK("https://www.773grp.com/globalSearch/SN74ACT7804-25DL/page-1", "SN74ACT7804-25DL")</f>
        <v>SN74ACT7804-25DL</v>
      </c>
      <c r="B9055" s="3" t="s">
        <v>90</v>
      </c>
      <c r="C9055" s="5">
        <v>2843</v>
      </c>
      <c r="D9055" s="6">
        <v>14.81</v>
      </c>
      <c r="E9055" t="s">
        <v>77</v>
      </c>
    </row>
    <row r="9056" spans="1:5" x14ac:dyDescent="0.25">
      <c r="A9056" t="str">
        <f>HYPERLINK("https://www.773grp.com/globalSearch/SN74ACT7804-25DLR/page-1", "SN74ACT7804-25DLR")</f>
        <v>SN74ACT7804-25DLR</v>
      </c>
      <c r="B9056" s="3" t="s">
        <v>90</v>
      </c>
      <c r="C9056" s="5">
        <v>1000</v>
      </c>
      <c r="D9056" s="6">
        <v>14.81</v>
      </c>
      <c r="E9056" t="s">
        <v>77</v>
      </c>
    </row>
    <row r="9057" spans="1:5" x14ac:dyDescent="0.25">
      <c r="A9057" t="str">
        <f>HYPERLINK("https://www.773grp.com/globalSearch/SN74ACT7806-25DL/page-1", "SN74ACT7806-25DL")</f>
        <v>SN74ACT7806-25DL</v>
      </c>
      <c r="B9057" s="3" t="s">
        <v>90</v>
      </c>
      <c r="C9057" s="5">
        <v>5366</v>
      </c>
      <c r="D9057" s="6">
        <v>14.81</v>
      </c>
      <c r="E9057" t="s">
        <v>77</v>
      </c>
    </row>
    <row r="9058" spans="1:5" x14ac:dyDescent="0.25">
      <c r="A9058" t="str">
        <f>HYPERLINK("https://www.773grp.com/globalSearch/SN74ACT7806-25DLR/page-1", "SN74ACT7806-25DLR")</f>
        <v>SN74ACT7806-25DLR</v>
      </c>
      <c r="B9058" s="3" t="s">
        <v>90</v>
      </c>
      <c r="C9058" s="5">
        <v>1000</v>
      </c>
      <c r="D9058" s="6">
        <v>14.81</v>
      </c>
      <c r="E9058" t="s">
        <v>77</v>
      </c>
    </row>
    <row r="9059" spans="1:5" x14ac:dyDescent="0.25">
      <c r="A9059" t="str">
        <f>HYPERLINK("https://www.773grp.com/globalSearch/SN74ACT7813-15DLR/page-1", "SN74ACT7813-15DLR")</f>
        <v>SN74ACT7813-15DLR</v>
      </c>
      <c r="B9059" s="3" t="s">
        <v>90</v>
      </c>
      <c r="C9059" s="5">
        <v>8750</v>
      </c>
      <c r="D9059" s="6">
        <v>14.81</v>
      </c>
      <c r="E9059" t="s">
        <v>77</v>
      </c>
    </row>
    <row r="9060" spans="1:5" x14ac:dyDescent="0.25">
      <c r="A9060" t="str">
        <f>HYPERLINK("https://www.773grp.com/globalSearch/SN74ACT7813-20DL/page-1", "SN74ACT7813-20DL")</f>
        <v>SN74ACT7813-20DL</v>
      </c>
      <c r="B9060" s="3" t="s">
        <v>90</v>
      </c>
      <c r="C9060" s="5">
        <v>2097</v>
      </c>
      <c r="D9060" s="6">
        <v>14.81</v>
      </c>
      <c r="E9060" t="s">
        <v>77</v>
      </c>
    </row>
    <row r="9061" spans="1:5" x14ac:dyDescent="0.25">
      <c r="A9061" t="str">
        <f>HYPERLINK("https://www.773grp.com/globalSearch/SN74ACT7813-20DLR/page-1", "SN74ACT7813-20DLR")</f>
        <v>SN74ACT7813-20DLR</v>
      </c>
      <c r="B9061" s="3" t="s">
        <v>90</v>
      </c>
      <c r="C9061" s="5">
        <v>1000</v>
      </c>
      <c r="D9061" s="6">
        <v>14.81</v>
      </c>
      <c r="E9061" t="s">
        <v>77</v>
      </c>
    </row>
    <row r="9062" spans="1:5" x14ac:dyDescent="0.25">
      <c r="A9062" t="str">
        <f>HYPERLINK("https://www.773grp.com/globalSearch/SN74ALVC7803-25DL/page-1", "SN74ALVC7803-25DL")</f>
        <v>SN74ALVC7803-25DL</v>
      </c>
      <c r="B9062" s="3" t="s">
        <v>90</v>
      </c>
      <c r="C9062" s="5">
        <v>2456</v>
      </c>
      <c r="D9062" s="6">
        <v>14.81</v>
      </c>
      <c r="E9062" t="s">
        <v>77</v>
      </c>
    </row>
    <row r="9063" spans="1:5" x14ac:dyDescent="0.25">
      <c r="A9063" t="str">
        <f>HYPERLINK("https://www.773grp.com/globalSearch/SN74ALVC7803-25DLR/page-1", "SN74ALVC7803-25DLR")</f>
        <v>SN74ALVC7803-25DLR</v>
      </c>
      <c r="B9063" s="3" t="s">
        <v>90</v>
      </c>
      <c r="C9063" s="5">
        <v>1000</v>
      </c>
      <c r="D9063" s="6">
        <v>14.81</v>
      </c>
      <c r="E9063" t="s">
        <v>77</v>
      </c>
    </row>
    <row r="9064" spans="1:5" x14ac:dyDescent="0.25">
      <c r="A9064" t="str">
        <f>HYPERLINK("https://www.773grp.com/globalSearch/SN74ALVC7804-25DLR/page-1", "SN74ALVC7804-25DLR")</f>
        <v>SN74ALVC7804-25DLR</v>
      </c>
      <c r="B9064" s="3" t="s">
        <v>90</v>
      </c>
      <c r="C9064" s="5">
        <v>1000</v>
      </c>
      <c r="D9064" s="6">
        <v>14.81</v>
      </c>
      <c r="E9064" t="s">
        <v>77</v>
      </c>
    </row>
    <row r="9065" spans="1:5" x14ac:dyDescent="0.25">
      <c r="A9065" t="str">
        <f>HYPERLINK("https://www.773grp.com/globalSearch/SN74ALVC7805-25DL/page-1", "SN74ALVC7805-25DL")</f>
        <v>SN74ALVC7805-25DL</v>
      </c>
      <c r="B9065" s="3" t="s">
        <v>90</v>
      </c>
      <c r="C9065" s="5">
        <v>2205</v>
      </c>
      <c r="D9065" s="6">
        <v>14.81</v>
      </c>
      <c r="E9065" t="s">
        <v>77</v>
      </c>
    </row>
    <row r="9066" spans="1:5" x14ac:dyDescent="0.25">
      <c r="A9066" t="str">
        <f>HYPERLINK("https://www.773grp.com/globalSearch/SN74ALVC7805-25DLR/page-1", "SN74ALVC7805-25DLR")</f>
        <v>SN74ALVC7805-25DLR</v>
      </c>
      <c r="B9066" s="3" t="s">
        <v>90</v>
      </c>
      <c r="C9066" s="5">
        <v>1000</v>
      </c>
      <c r="D9066" s="6">
        <v>14.81</v>
      </c>
      <c r="E9066" t="s">
        <v>77</v>
      </c>
    </row>
    <row r="9067" spans="1:5" x14ac:dyDescent="0.25">
      <c r="A9067" t="str">
        <f>HYPERLINK("https://www.773grp.com/globalSearch/SN74ALVC7806-25DL/page-1", "SN74ALVC7806-25DL")</f>
        <v>SN74ALVC7806-25DL</v>
      </c>
      <c r="B9067" s="3" t="s">
        <v>90</v>
      </c>
      <c r="C9067" s="5">
        <v>1291</v>
      </c>
      <c r="D9067" s="6">
        <v>14.81</v>
      </c>
      <c r="E9067" t="s">
        <v>77</v>
      </c>
    </row>
    <row r="9068" spans="1:5" x14ac:dyDescent="0.25">
      <c r="A9068" t="str">
        <f>HYPERLINK("https://www.773grp.com/globalSearch/SN74ALVC7813-20DL/page-1", "SN74ALVC7813-20DL")</f>
        <v>SN74ALVC7813-20DL</v>
      </c>
      <c r="B9068" s="3" t="s">
        <v>90</v>
      </c>
      <c r="C9068" s="5">
        <v>2535</v>
      </c>
      <c r="D9068" s="6">
        <v>14.81</v>
      </c>
      <c r="E9068" t="s">
        <v>77</v>
      </c>
    </row>
    <row r="9069" spans="1:5" x14ac:dyDescent="0.25">
      <c r="A9069" t="str">
        <f>HYPERLINK("https://www.773grp.com/globalSearch/SN74ALVC7813-20DLR/page-1", "SN74ALVC7813-20DLR")</f>
        <v>SN74ALVC7813-20DLR</v>
      </c>
      <c r="B9069" s="3" t="s">
        <v>90</v>
      </c>
      <c r="C9069" s="5">
        <v>1000</v>
      </c>
      <c r="D9069" s="6">
        <v>14.81</v>
      </c>
      <c r="E9069" t="s">
        <v>77</v>
      </c>
    </row>
    <row r="9070" spans="1:5" x14ac:dyDescent="0.25">
      <c r="A9070" t="str">
        <f>HYPERLINK("https://www.773grp.com/globalSearch/SN74ACT7804-40DL/page-1", "SN74ACT7804-40DL")</f>
        <v>SN74ACT7804-40DL</v>
      </c>
      <c r="B9070" s="3" t="s">
        <v>90</v>
      </c>
      <c r="C9070" s="5">
        <v>2913</v>
      </c>
      <c r="D9070" s="6">
        <v>14.96</v>
      </c>
      <c r="E9070" t="s">
        <v>77</v>
      </c>
    </row>
    <row r="9071" spans="1:5" x14ac:dyDescent="0.25">
      <c r="A9071" t="str">
        <f>HYPERLINK("https://www.773grp.com/globalSearch/SN74ACT7814-40DL/page-1", "SN74ACT7814-40DL")</f>
        <v>SN74ACT7814-40DL</v>
      </c>
      <c r="B9071" s="3" t="s">
        <v>90</v>
      </c>
      <c r="C9071" s="5">
        <v>342</v>
      </c>
      <c r="D9071" s="6">
        <v>14.96</v>
      </c>
      <c r="E9071" t="s">
        <v>77</v>
      </c>
    </row>
    <row r="9072" spans="1:5" x14ac:dyDescent="0.25">
      <c r="A9072" t="str">
        <f>HYPERLINK("https://www.773grp.com/globalSearch/SN74ACT7803-25DL/page-1", "SN74ACT7803-25DL")</f>
        <v>SN74ACT7803-25DL</v>
      </c>
      <c r="B9072" s="3" t="s">
        <v>90</v>
      </c>
      <c r="C9072" s="5">
        <v>2200</v>
      </c>
      <c r="D9072" s="6">
        <v>15.33</v>
      </c>
      <c r="E9072" t="s">
        <v>77</v>
      </c>
    </row>
    <row r="9073" spans="1:5" x14ac:dyDescent="0.25">
      <c r="A9073" t="str">
        <f>HYPERLINK("https://www.773grp.com/globalSearch/SN74ACT7803-40DL/page-1", "SN74ACT7803-40DL")</f>
        <v>SN74ACT7803-40DL</v>
      </c>
      <c r="B9073" s="3" t="s">
        <v>90</v>
      </c>
      <c r="C9073" s="5">
        <v>3286</v>
      </c>
      <c r="D9073" s="6">
        <v>15.33</v>
      </c>
      <c r="E9073" t="s">
        <v>77</v>
      </c>
    </row>
    <row r="9074" spans="1:5" x14ac:dyDescent="0.25">
      <c r="A9074" t="str">
        <f>HYPERLINK("https://www.773grp.com/globalSearch/SN74V245-15PAG/page-1", "SN74V245-15PAG")</f>
        <v>SN74V245-15PAG</v>
      </c>
      <c r="B9074" s="3" t="s">
        <v>90</v>
      </c>
      <c r="C9074" s="5">
        <v>380</v>
      </c>
      <c r="D9074" s="6">
        <v>15.33</v>
      </c>
      <c r="E9074" t="s">
        <v>77</v>
      </c>
    </row>
    <row r="9075" spans="1:5" x14ac:dyDescent="0.25">
      <c r="A9075" t="str">
        <f>HYPERLINK("https://www.773grp.com/globalSearch/SN74ACT7200L20DV/page-1", "SN74ACT7200L20DV")</f>
        <v>SN74ACT7200L20DV</v>
      </c>
      <c r="B9075" s="3" t="s">
        <v>90</v>
      </c>
      <c r="C9075" s="5">
        <v>1534</v>
      </c>
      <c r="D9075" s="6">
        <v>15.64</v>
      </c>
      <c r="E9075" t="s">
        <v>77</v>
      </c>
    </row>
    <row r="9076" spans="1:5" x14ac:dyDescent="0.25">
      <c r="A9076" t="str">
        <f>HYPERLINK("https://www.773grp.com/globalSearch/SN74ACT7200L20NP/page-1", "SN74ACT7200L20NP")</f>
        <v>SN74ACT7200L20NP</v>
      </c>
      <c r="B9076" s="3" t="s">
        <v>90</v>
      </c>
      <c r="C9076" s="5">
        <v>1708</v>
      </c>
      <c r="D9076" s="6">
        <v>15.64</v>
      </c>
      <c r="E9076" t="s">
        <v>77</v>
      </c>
    </row>
    <row r="9077" spans="1:5" x14ac:dyDescent="0.25">
      <c r="A9077" t="str">
        <f>HYPERLINK("https://www.773grp.com/globalSearch/SN74ACT7200L20RJ/page-1", "SN74ACT7200L20RJ")</f>
        <v>SN74ACT7200L20RJ</v>
      </c>
      <c r="B9077" s="3" t="s">
        <v>90</v>
      </c>
      <c r="C9077" s="5">
        <v>1536</v>
      </c>
      <c r="D9077" s="6">
        <v>15.64</v>
      </c>
      <c r="E9077" t="s">
        <v>77</v>
      </c>
    </row>
    <row r="9078" spans="1:5" x14ac:dyDescent="0.25">
      <c r="A9078" t="str">
        <f>HYPERLINK("https://www.773grp.com/globalSearch/SN74ACT7804-20DL/page-1", "SN74ACT7804-20DL")</f>
        <v>SN74ACT7804-20DL</v>
      </c>
      <c r="B9078" s="3" t="s">
        <v>90</v>
      </c>
      <c r="C9078" s="5">
        <v>19358</v>
      </c>
      <c r="D9078" s="6">
        <v>15.73</v>
      </c>
      <c r="E9078" t="s">
        <v>77</v>
      </c>
    </row>
    <row r="9079" spans="1:5" x14ac:dyDescent="0.25">
      <c r="A9079" t="str">
        <f>HYPERLINK("https://www.773grp.com/globalSearch/SN74ACT7804-40DLR/page-1", "SN74ACT7804-40DLR")</f>
        <v>SN74ACT7804-40DLR</v>
      </c>
      <c r="B9079" s="3" t="s">
        <v>90</v>
      </c>
      <c r="C9079" s="5">
        <v>2889</v>
      </c>
      <c r="D9079" s="6">
        <v>15.73</v>
      </c>
      <c r="E9079" t="s">
        <v>77</v>
      </c>
    </row>
    <row r="9080" spans="1:5" x14ac:dyDescent="0.25">
      <c r="A9080" t="str">
        <f>HYPERLINK("https://www.773grp.com/globalSearch/SN74ACT7805-25DL/page-1", "SN74ACT7805-25DL")</f>
        <v>SN74ACT7805-25DL</v>
      </c>
      <c r="B9080" s="3" t="s">
        <v>90</v>
      </c>
      <c r="C9080" s="5">
        <v>1154</v>
      </c>
      <c r="D9080" s="6">
        <v>15.73</v>
      </c>
      <c r="E9080" t="s">
        <v>77</v>
      </c>
    </row>
    <row r="9081" spans="1:5" x14ac:dyDescent="0.25">
      <c r="A9081" t="str">
        <f>HYPERLINK("https://www.773grp.com/globalSearch/SN74ACT7805-40DL/page-1", "SN74ACT7805-40DL")</f>
        <v>SN74ACT7805-40DL</v>
      </c>
      <c r="B9081" s="3" t="s">
        <v>90</v>
      </c>
      <c r="C9081" s="5">
        <v>4631</v>
      </c>
      <c r="D9081" s="6">
        <v>15.73</v>
      </c>
      <c r="E9081" t="s">
        <v>77</v>
      </c>
    </row>
    <row r="9082" spans="1:5" x14ac:dyDescent="0.25">
      <c r="A9082" t="str">
        <f>HYPERLINK("https://www.773grp.com/globalSearch/SN74ACT7813-15DL/page-1", "SN74ACT7813-15DL")</f>
        <v>SN74ACT7813-15DL</v>
      </c>
      <c r="B9082" s="3" t="s">
        <v>90</v>
      </c>
      <c r="C9082" s="5">
        <v>311</v>
      </c>
      <c r="D9082" s="6">
        <v>15.73</v>
      </c>
      <c r="E9082" t="s">
        <v>77</v>
      </c>
    </row>
    <row r="9083" spans="1:5" x14ac:dyDescent="0.25">
      <c r="A9083" t="str">
        <f>HYPERLINK("https://www.773grp.com/globalSearch/SN74ACT7813-25DLR/page-1", "SN74ACT7813-25DLR")</f>
        <v>SN74ACT7813-25DLR</v>
      </c>
      <c r="B9083" s="3" t="s">
        <v>90</v>
      </c>
      <c r="C9083" s="5">
        <v>3250</v>
      </c>
      <c r="D9083" s="6">
        <v>15.73</v>
      </c>
      <c r="E9083" t="s">
        <v>77</v>
      </c>
    </row>
    <row r="9084" spans="1:5" x14ac:dyDescent="0.25">
      <c r="A9084" t="str">
        <f>HYPERLINK("https://www.773grp.com/globalSearch/SN74ACT7814-25DL/page-1", "SN74ACT7814-25DL")</f>
        <v>SN74ACT7814-25DL</v>
      </c>
      <c r="B9084" s="3" t="s">
        <v>90</v>
      </c>
      <c r="C9084" s="5">
        <v>9105</v>
      </c>
      <c r="D9084" s="6">
        <v>15.73</v>
      </c>
      <c r="E9084" t="s">
        <v>77</v>
      </c>
    </row>
    <row r="9085" spans="1:5" x14ac:dyDescent="0.25">
      <c r="A9085" t="str">
        <f>HYPERLINK("https://www.773grp.com/globalSearch/SN74ACT7806-40DL/page-1", "SN74ACT7806-40DL")</f>
        <v>SN74ACT7806-40DL</v>
      </c>
      <c r="B9085" s="3" t="s">
        <v>90</v>
      </c>
      <c r="C9085" s="5">
        <v>4456</v>
      </c>
      <c r="D9085" s="6">
        <v>15.9</v>
      </c>
      <c r="E9085" t="s">
        <v>77</v>
      </c>
    </row>
    <row r="9086" spans="1:5" x14ac:dyDescent="0.25">
      <c r="A9086" t="str">
        <f>HYPERLINK("https://www.773grp.com/globalSearch/SN74ACT7202LA25DV/page-1", "SN74ACT7202LA25DV")</f>
        <v>SN74ACT7202LA25DV</v>
      </c>
      <c r="B9086" s="3" t="s">
        <v>90</v>
      </c>
      <c r="C9086" s="5">
        <v>238</v>
      </c>
      <c r="D9086" s="6">
        <v>15.95</v>
      </c>
      <c r="E9086" t="s">
        <v>77</v>
      </c>
    </row>
    <row r="9087" spans="1:5" x14ac:dyDescent="0.25">
      <c r="A9087" t="str">
        <f>HYPERLINK("https://www.773grp.com/globalSearch/SN74ACT7202LA25NP/page-1", "SN74ACT7202LA25NP")</f>
        <v>SN74ACT7202LA25NP</v>
      </c>
      <c r="B9087" s="3" t="s">
        <v>90</v>
      </c>
      <c r="C9087" s="5">
        <v>140</v>
      </c>
      <c r="D9087" s="6">
        <v>15.95</v>
      </c>
      <c r="E9087" t="s">
        <v>77</v>
      </c>
    </row>
    <row r="9088" spans="1:5" x14ac:dyDescent="0.25">
      <c r="A9088" t="str">
        <f>HYPERLINK("https://www.773grp.com/globalSearch/SN74ACT7804-20DLR/page-1", "SN74ACT7804-20DLR")</f>
        <v>SN74ACT7804-20DLR</v>
      </c>
      <c r="B9088" s="3" t="s">
        <v>90</v>
      </c>
      <c r="C9088" s="5">
        <v>1781</v>
      </c>
      <c r="D9088" s="6">
        <v>16.09</v>
      </c>
      <c r="E9088" t="s">
        <v>77</v>
      </c>
    </row>
    <row r="9089" spans="1:5" x14ac:dyDescent="0.25">
      <c r="A9089" t="str">
        <f>HYPERLINK("https://www.773grp.com/globalSearch/SN74ACT7805-15DL/page-1", "SN74ACT7805-15DL")</f>
        <v>SN74ACT7805-15DL</v>
      </c>
      <c r="B9089" s="3" t="s">
        <v>90</v>
      </c>
      <c r="C9089" s="5">
        <v>1402</v>
      </c>
      <c r="D9089" s="6">
        <v>16.09</v>
      </c>
      <c r="E9089" t="s">
        <v>77</v>
      </c>
    </row>
    <row r="9090" spans="1:5" x14ac:dyDescent="0.25">
      <c r="A9090" t="str">
        <f>HYPERLINK("https://www.773grp.com/globalSearch/SN74ACT7814-20DLR/page-1", "SN74ACT7814-20DLR")</f>
        <v>SN74ACT7814-20DLR</v>
      </c>
      <c r="B9090" s="3" t="s">
        <v>90</v>
      </c>
      <c r="C9090" s="5">
        <v>3665</v>
      </c>
      <c r="D9090" s="6">
        <v>16.09</v>
      </c>
      <c r="E9090" t="s">
        <v>77</v>
      </c>
    </row>
    <row r="9091" spans="1:5" x14ac:dyDescent="0.25">
      <c r="A9091" t="str">
        <f>HYPERLINK("https://www.773grp.com/globalSearch/SN74ACT7814-40DLR/page-1", "SN74ACT7814-40DLR")</f>
        <v>SN74ACT7814-40DLR</v>
      </c>
      <c r="B9091" s="3" t="s">
        <v>90</v>
      </c>
      <c r="C9091" s="5">
        <v>4500</v>
      </c>
      <c r="D9091" s="6">
        <v>16.09</v>
      </c>
      <c r="E9091" t="s">
        <v>77</v>
      </c>
    </row>
    <row r="9092" spans="1:5" x14ac:dyDescent="0.25">
      <c r="A9092" t="str">
        <f>HYPERLINK("https://www.773grp.com/globalSearch/SN74ACT7201LA20DV/page-1", "SN74ACT7201LA20DV")</f>
        <v>SN74ACT7201LA20DV</v>
      </c>
      <c r="B9092" s="3" t="s">
        <v>90</v>
      </c>
      <c r="C9092" s="5">
        <v>1679</v>
      </c>
      <c r="D9092" s="6">
        <v>16.25</v>
      </c>
      <c r="E9092" t="s">
        <v>77</v>
      </c>
    </row>
    <row r="9093" spans="1:5" x14ac:dyDescent="0.25">
      <c r="A9093" t="str">
        <f>HYPERLINK("https://www.773grp.com/globalSearch/SN74ACT7201LA20NP/page-1", "SN74ACT7201LA20NP")</f>
        <v>SN74ACT7201LA20NP</v>
      </c>
      <c r="B9093" s="3" t="s">
        <v>90</v>
      </c>
      <c r="C9093" s="5">
        <v>1496</v>
      </c>
      <c r="D9093" s="6">
        <v>16.25</v>
      </c>
      <c r="E9093" t="s">
        <v>77</v>
      </c>
    </row>
    <row r="9094" spans="1:5" x14ac:dyDescent="0.25">
      <c r="A9094" t="str">
        <f>HYPERLINK("https://www.773grp.com/globalSearch/SN74ACT7201LA20RJ/page-1", "SN74ACT7201LA20RJ")</f>
        <v>SN74ACT7201LA20RJ</v>
      </c>
      <c r="B9094" s="3" t="s">
        <v>90</v>
      </c>
      <c r="C9094" s="5">
        <v>1888</v>
      </c>
      <c r="D9094" s="6">
        <v>16.25</v>
      </c>
      <c r="E9094" t="s">
        <v>77</v>
      </c>
    </row>
    <row r="9095" spans="1:5" x14ac:dyDescent="0.25">
      <c r="A9095" t="str">
        <f>HYPERLINK("https://www.773grp.com/globalSearch/SN74V245-7PAG/page-1", "SN74V245-7PAG")</f>
        <v>SN74V245-7PAG</v>
      </c>
      <c r="B9095" s="3" t="s">
        <v>90</v>
      </c>
      <c r="C9095" s="5">
        <v>870</v>
      </c>
      <c r="D9095" s="6">
        <v>16.29</v>
      </c>
      <c r="E9095" t="s">
        <v>77</v>
      </c>
    </row>
    <row r="9096" spans="1:5" x14ac:dyDescent="0.25">
      <c r="A9096" t="str">
        <f>HYPERLINK("https://www.773grp.com/globalSearch/SN74ALS232BN/page-1", "SN74ALS232BN")</f>
        <v>SN74ALS232BN</v>
      </c>
      <c r="B9096" s="3" t="s">
        <v>90</v>
      </c>
      <c r="C9096" s="5">
        <v>10455</v>
      </c>
      <c r="D9096" s="6">
        <v>16.84</v>
      </c>
      <c r="E9096" t="s">
        <v>77</v>
      </c>
    </row>
    <row r="9097" spans="1:5" x14ac:dyDescent="0.25">
      <c r="A9097" t="str">
        <f>HYPERLINK("https://www.773grp.com/globalSearch/SN74ACT72211L25RJ/page-1", "SN74ACT72211L25RJ")</f>
        <v>SN74ACT72211L25RJ</v>
      </c>
      <c r="B9097" s="3" t="s">
        <v>90</v>
      </c>
      <c r="C9097" s="5">
        <v>25</v>
      </c>
      <c r="D9097" s="6">
        <v>17.16</v>
      </c>
      <c r="E9097" t="s">
        <v>77</v>
      </c>
    </row>
    <row r="9098" spans="1:5" x14ac:dyDescent="0.25">
      <c r="A9098" t="str">
        <f>HYPERLINK("https://www.773grp.com/globalSearch/SN74ALS2233AFN/page-1", "SN74ALS2233AFN")</f>
        <v>SN74ALS2233AFN</v>
      </c>
      <c r="B9098" s="3" t="s">
        <v>90</v>
      </c>
      <c r="C9098" s="5">
        <v>11522</v>
      </c>
      <c r="D9098" s="6">
        <v>18.09</v>
      </c>
      <c r="E9098" t="s">
        <v>77</v>
      </c>
    </row>
    <row r="9099" spans="1:5" x14ac:dyDescent="0.25">
      <c r="A9099" t="str">
        <f>HYPERLINK("https://www.773grp.com/globalSearch/SN74ALS2233AFNR/page-1", "SN74ALS2233AFNR")</f>
        <v>SN74ALS2233AFNR</v>
      </c>
      <c r="B9099" s="3" t="s">
        <v>90</v>
      </c>
      <c r="C9099" s="5">
        <v>1500</v>
      </c>
      <c r="D9099" s="6">
        <v>18.09</v>
      </c>
      <c r="E9099" t="s">
        <v>77</v>
      </c>
    </row>
    <row r="9100" spans="1:5" x14ac:dyDescent="0.25">
      <c r="A9100" t="str">
        <f>HYPERLINK("https://www.773grp.com/globalSearch/SN74V225-10PAG/page-1", "SN74V225-10PAG")</f>
        <v>SN74V225-10PAG</v>
      </c>
      <c r="B9100" s="3" t="s">
        <v>90</v>
      </c>
      <c r="C9100" s="5">
        <v>1597</v>
      </c>
      <c r="D9100" s="6">
        <v>21.31</v>
      </c>
      <c r="E9100" t="s">
        <v>77</v>
      </c>
    </row>
    <row r="9101" spans="1:5" x14ac:dyDescent="0.25">
      <c r="A9101" t="str">
        <f>HYPERLINK("https://www.773grp.com/globalSearch/SN74V235-10PAG/page-1", "SN74V235-10PAG")</f>
        <v>SN74V235-10PAG</v>
      </c>
      <c r="B9101" s="3" t="s">
        <v>90</v>
      </c>
      <c r="C9101" s="5">
        <v>12190</v>
      </c>
      <c r="D9101" s="6">
        <v>21.31</v>
      </c>
      <c r="E9101" t="s">
        <v>77</v>
      </c>
    </row>
    <row r="9102" spans="1:5" x14ac:dyDescent="0.25">
      <c r="A9102" t="str">
        <f>HYPERLINK("https://www.773grp.com/globalSearch/SN74V235-7PAG/page-1", "SN74V235-7PAG")</f>
        <v>SN74V235-7PAG</v>
      </c>
      <c r="B9102" s="3" t="s">
        <v>90</v>
      </c>
      <c r="C9102" s="5">
        <v>1079</v>
      </c>
      <c r="D9102" s="6">
        <v>21.31</v>
      </c>
      <c r="E9102" t="s">
        <v>77</v>
      </c>
    </row>
    <row r="9103" spans="1:5" x14ac:dyDescent="0.25">
      <c r="A9103" t="str">
        <f>HYPERLINK("https://www.773grp.com/globalSearch/SN74V235-15PAG/page-1", "SN74V235-15PAG")</f>
        <v>SN74V235-15PAG</v>
      </c>
      <c r="B9103" s="3" t="s">
        <v>90</v>
      </c>
      <c r="C9103" s="5">
        <v>1905</v>
      </c>
      <c r="D9103" s="6">
        <v>21.69</v>
      </c>
      <c r="E9103" t="s">
        <v>77</v>
      </c>
    </row>
    <row r="9104" spans="1:5" x14ac:dyDescent="0.25">
      <c r="A9104" t="str">
        <f>HYPERLINK("https://www.773grp.com/globalSearch/SN74V235-20PAG/page-1", "SN74V235-20PAG")</f>
        <v>SN74V235-20PAG</v>
      </c>
      <c r="B9104" s="3" t="s">
        <v>90</v>
      </c>
      <c r="C9104" s="5">
        <v>2089</v>
      </c>
      <c r="D9104" s="6">
        <v>21.69</v>
      </c>
      <c r="E9104" t="s">
        <v>77</v>
      </c>
    </row>
    <row r="9105" spans="1:5" x14ac:dyDescent="0.25">
      <c r="A9105" t="str">
        <f>HYPERLINK("https://www.773grp.com/globalSearch/SN74ACT7203L25NP/page-1", "SN74ACT7203L25NP")</f>
        <v>SN74ACT7203L25NP</v>
      </c>
      <c r="B9105" s="3" t="s">
        <v>90</v>
      </c>
      <c r="C9105" s="5">
        <v>161</v>
      </c>
      <c r="D9105" s="6">
        <v>21.71</v>
      </c>
      <c r="E9105" t="s">
        <v>77</v>
      </c>
    </row>
    <row r="9106" spans="1:5" x14ac:dyDescent="0.25">
      <c r="A9106" t="str">
        <f>HYPERLINK("https://www.773grp.com/globalSearch/SN74ACT7203L25RJ/page-1", "SN74ACT7203L25RJ")</f>
        <v>SN74ACT7203L25RJ</v>
      </c>
      <c r="B9106" s="3" t="s">
        <v>90</v>
      </c>
      <c r="C9106" s="5">
        <v>1295</v>
      </c>
      <c r="D9106" s="6">
        <v>21.71</v>
      </c>
      <c r="E9106" t="s">
        <v>77</v>
      </c>
    </row>
    <row r="9107" spans="1:5" x14ac:dyDescent="0.25">
      <c r="A9107" t="str">
        <f>HYPERLINK("https://www.773grp.com/globalSearch/SN74V225-20PAG/page-1", "SN74V225-20PAG")</f>
        <v>SN74V225-20PAG</v>
      </c>
      <c r="B9107" s="3" t="s">
        <v>90</v>
      </c>
      <c r="C9107" s="5">
        <v>1014</v>
      </c>
      <c r="D9107" s="6">
        <v>22.08</v>
      </c>
      <c r="E9107" t="s">
        <v>77</v>
      </c>
    </row>
    <row r="9108" spans="1:5" x14ac:dyDescent="0.25">
      <c r="A9108" t="str">
        <f>HYPERLINK("https://www.773grp.com/globalSearch/SN74ACT7200L15DV/page-1", "SN74ACT7200L15DV")</f>
        <v>SN74ACT7200L15DV</v>
      </c>
      <c r="B9108" s="3" t="s">
        <v>90</v>
      </c>
      <c r="C9108" s="5">
        <v>1100</v>
      </c>
      <c r="D9108" s="6">
        <v>22.19</v>
      </c>
      <c r="E9108" t="s">
        <v>77</v>
      </c>
    </row>
    <row r="9109" spans="1:5" x14ac:dyDescent="0.25">
      <c r="A9109" t="str">
        <f>HYPERLINK("https://www.773grp.com/globalSearch/SN74ACT7200L15NP/page-1", "SN74ACT7200L15NP")</f>
        <v>SN74ACT7200L15NP</v>
      </c>
      <c r="B9109" s="3" t="s">
        <v>90</v>
      </c>
      <c r="C9109" s="5">
        <v>4161</v>
      </c>
      <c r="D9109" s="6">
        <v>22.19</v>
      </c>
      <c r="E9109" t="s">
        <v>77</v>
      </c>
    </row>
    <row r="9110" spans="1:5" x14ac:dyDescent="0.25">
      <c r="A9110" t="str">
        <f>HYPERLINK("https://www.773grp.com/globalSearch/SN74ACT7204L50NP/page-1", "SN74ACT7204L50NP")</f>
        <v>SN74ACT7204L50NP</v>
      </c>
      <c r="B9110" s="3" t="s">
        <v>90</v>
      </c>
      <c r="C9110" s="5">
        <v>2098</v>
      </c>
      <c r="D9110" s="6">
        <v>22.23</v>
      </c>
      <c r="E9110" t="s">
        <v>77</v>
      </c>
    </row>
    <row r="9111" spans="1:5" x14ac:dyDescent="0.25">
      <c r="A9111" t="str">
        <f>HYPERLINK("https://www.773grp.com/globalSearch/SN74ACT7204L50RJ/page-1", "SN74ACT7204L50RJ")</f>
        <v>SN74ACT7204L50RJ</v>
      </c>
      <c r="B9111" s="3" t="s">
        <v>90</v>
      </c>
      <c r="C9111" s="5">
        <v>1327</v>
      </c>
      <c r="D9111" s="6">
        <v>22.23</v>
      </c>
      <c r="E9111" t="s">
        <v>77</v>
      </c>
    </row>
    <row r="9112" spans="1:5" x14ac:dyDescent="0.25">
      <c r="A9112" t="str">
        <f>HYPERLINK("https://www.773grp.com/globalSearch/SN74V225-15PAG/page-1", "SN74V225-15PAG")</f>
        <v>SN74V225-15PAG</v>
      </c>
      <c r="B9112" s="3" t="s">
        <v>90</v>
      </c>
      <c r="C9112" s="5">
        <v>3590</v>
      </c>
      <c r="D9112" s="6">
        <v>22.45</v>
      </c>
      <c r="E9112" t="s">
        <v>77</v>
      </c>
    </row>
    <row r="9113" spans="1:5" x14ac:dyDescent="0.25">
      <c r="A9113" t="str">
        <f>HYPERLINK("https://www.773grp.com/globalSearch/SN74ALS2233AN/page-1", "SN74ALS2233AN")</f>
        <v>SN74ALS2233AN</v>
      </c>
      <c r="B9113" s="3" t="s">
        <v>90</v>
      </c>
      <c r="C9113" s="5">
        <v>969</v>
      </c>
      <c r="D9113" s="6">
        <v>22.5</v>
      </c>
      <c r="E9113" t="s">
        <v>77</v>
      </c>
    </row>
    <row r="9114" spans="1:5" x14ac:dyDescent="0.25">
      <c r="A9114" t="str">
        <f>HYPERLINK("https://www.773grp.com/globalSearch/SN74V215-15PAG/page-1", "SN74V215-15PAG")</f>
        <v>SN74V215-15PAG</v>
      </c>
      <c r="B9114" s="3" t="s">
        <v>90</v>
      </c>
      <c r="C9114" s="5">
        <v>178</v>
      </c>
      <c r="D9114" s="6">
        <v>22.81</v>
      </c>
      <c r="E9114" t="s">
        <v>77</v>
      </c>
    </row>
    <row r="9115" spans="1:5" x14ac:dyDescent="0.25">
      <c r="A9115" t="str">
        <f>HYPERLINK("https://www.773grp.com/globalSearch/SN74ACT7201LA15DV/page-1", "SN74ACT7201LA15DV")</f>
        <v>SN74ACT7201LA15DV</v>
      </c>
      <c r="B9115" s="3" t="s">
        <v>90</v>
      </c>
      <c r="C9115" s="5">
        <v>75</v>
      </c>
      <c r="D9115" s="6">
        <v>22.99</v>
      </c>
      <c r="E9115" t="s">
        <v>77</v>
      </c>
    </row>
    <row r="9116" spans="1:5" x14ac:dyDescent="0.25">
      <c r="A9116" t="str">
        <f>HYPERLINK("https://www.773grp.com/globalSearch/SN74ACT7201LA15NP/page-1", "SN74ACT7201LA15NP")</f>
        <v>SN74ACT7201LA15NP</v>
      </c>
      <c r="B9116" s="3" t="s">
        <v>90</v>
      </c>
      <c r="C9116" s="5">
        <v>620</v>
      </c>
      <c r="D9116" s="6">
        <v>22.99</v>
      </c>
      <c r="E9116" t="s">
        <v>77</v>
      </c>
    </row>
    <row r="9117" spans="1:5" x14ac:dyDescent="0.25">
      <c r="A9117" t="str">
        <f>HYPERLINK("https://www.773grp.com/globalSearch/SN74ACT7201LA15RJ/page-1", "SN74ACT7201LA15RJ")</f>
        <v>SN74ACT7201LA15RJ</v>
      </c>
      <c r="B9117" s="3" t="s">
        <v>90</v>
      </c>
      <c r="C9117" s="5">
        <v>5660</v>
      </c>
      <c r="D9117" s="6">
        <v>22.99</v>
      </c>
      <c r="E9117" t="s">
        <v>77</v>
      </c>
    </row>
    <row r="9118" spans="1:5" x14ac:dyDescent="0.25">
      <c r="A9118" t="str">
        <f>HYPERLINK("https://www.773grp.com/globalSearch/SN74V215-7PAG/page-1", "SN74V215-7PAG")</f>
        <v>SN74V215-7PAG</v>
      </c>
      <c r="B9118" s="3" t="s">
        <v>90</v>
      </c>
      <c r="C9118" s="5">
        <v>1600</v>
      </c>
      <c r="D9118" s="6">
        <v>23.49</v>
      </c>
      <c r="E9118" t="s">
        <v>77</v>
      </c>
    </row>
    <row r="9119" spans="1:5" x14ac:dyDescent="0.25">
      <c r="A9119" t="str">
        <f>HYPERLINK("https://www.773grp.com/globalSearch/SN74ABT7820-25PN/page-1", "SN74ABT7820-25PN")</f>
        <v>SN74ABT7820-25PN</v>
      </c>
      <c r="B9119" s="3" t="s">
        <v>90</v>
      </c>
      <c r="C9119" s="5">
        <v>1248</v>
      </c>
      <c r="D9119" s="6">
        <v>23.71</v>
      </c>
      <c r="E9119" t="s">
        <v>77</v>
      </c>
    </row>
    <row r="9120" spans="1:5" x14ac:dyDescent="0.25">
      <c r="A9120" t="str">
        <f>HYPERLINK("https://www.773grp.com/globalSearch/SN74ACT7802-25PN/page-1", "SN74ACT7802-25PN")</f>
        <v>SN74ACT7802-25PN</v>
      </c>
      <c r="B9120" s="3" t="s">
        <v>90</v>
      </c>
      <c r="C9120" s="5">
        <v>1828</v>
      </c>
      <c r="D9120" s="6">
        <v>23.71</v>
      </c>
      <c r="E9120" t="s">
        <v>77</v>
      </c>
    </row>
    <row r="9121" spans="1:5" x14ac:dyDescent="0.25">
      <c r="A9121" t="str">
        <f>HYPERLINK("https://www.773grp.com/globalSearch/SN74ACT7807-25FN/page-1", "SN74ACT7807-25FN")</f>
        <v>SN74ACT7807-25FN</v>
      </c>
      <c r="B9121" s="3" t="s">
        <v>90</v>
      </c>
      <c r="C9121" s="5">
        <v>3858</v>
      </c>
      <c r="D9121" s="6">
        <v>23.71</v>
      </c>
      <c r="E9121" t="s">
        <v>77</v>
      </c>
    </row>
    <row r="9122" spans="1:5" x14ac:dyDescent="0.25">
      <c r="A9122" t="str">
        <f>HYPERLINK("https://www.773grp.com/globalSearch/SN74ACT7807-25PAG/page-1", "SN74ACT7807-25PAG")</f>
        <v>SN74ACT7807-25PAG</v>
      </c>
      <c r="B9122" s="3" t="s">
        <v>90</v>
      </c>
      <c r="C9122" s="5">
        <v>2402</v>
      </c>
      <c r="D9122" s="6">
        <v>23.71</v>
      </c>
      <c r="E9122" t="s">
        <v>77</v>
      </c>
    </row>
    <row r="9123" spans="1:5" x14ac:dyDescent="0.25">
      <c r="A9123" t="str">
        <f>HYPERLINK("https://www.773grp.com/globalSearch/SN74ACT7808-25FN/page-1", "SN74ACT7808-25FN")</f>
        <v>SN74ACT7808-25FN</v>
      </c>
      <c r="B9123" s="3" t="s">
        <v>90</v>
      </c>
      <c r="C9123" s="5">
        <v>165</v>
      </c>
      <c r="D9123" s="6">
        <v>23.71</v>
      </c>
      <c r="E9123" t="s">
        <v>77</v>
      </c>
    </row>
    <row r="9124" spans="1:5" x14ac:dyDescent="0.25">
      <c r="A9124" t="str">
        <f>HYPERLINK("https://www.773grp.com/globalSearch/SN74ACT7808-25PAG/page-1", "SN74ACT7808-25PAG")</f>
        <v>SN74ACT7808-25PAG</v>
      </c>
      <c r="B9124" s="3" t="s">
        <v>90</v>
      </c>
      <c r="C9124" s="5">
        <v>2328</v>
      </c>
      <c r="D9124" s="6">
        <v>23.71</v>
      </c>
      <c r="E9124" t="s">
        <v>77</v>
      </c>
    </row>
    <row r="9125" spans="1:5" x14ac:dyDescent="0.25">
      <c r="A9125" t="str">
        <f>HYPERLINK("https://www.773grp.com/globalSearch/SN74ACT7811-15PN/page-1", "SN74ACT7811-15PN")</f>
        <v>SN74ACT7811-15PN</v>
      </c>
      <c r="B9125" s="3" t="s">
        <v>90</v>
      </c>
      <c r="C9125" s="5">
        <v>290</v>
      </c>
      <c r="D9125" s="6">
        <v>23.71</v>
      </c>
      <c r="E9125" t="s">
        <v>77</v>
      </c>
    </row>
    <row r="9126" spans="1:5" x14ac:dyDescent="0.25">
      <c r="A9126" t="str">
        <f>HYPERLINK("https://www.773grp.com/globalSearch/SN74ABT7820-25PH/page-1", "SN74ABT7820-25PH")</f>
        <v>SN74ABT7820-25PH</v>
      </c>
      <c r="B9126" s="3" t="s">
        <v>90</v>
      </c>
      <c r="C9126" s="5">
        <v>993</v>
      </c>
      <c r="D9126" s="6">
        <v>23.88</v>
      </c>
      <c r="E9126" t="s">
        <v>77</v>
      </c>
    </row>
    <row r="9127" spans="1:5" x14ac:dyDescent="0.25">
      <c r="A9127" t="str">
        <f>HYPERLINK("https://www.773grp.com/globalSearch/SN74ACT2235-60FN/page-1", "SN74ACT2235-60FN")</f>
        <v>SN74ACT2235-60FN</v>
      </c>
      <c r="B9127" s="3" t="s">
        <v>90</v>
      </c>
      <c r="C9127" s="5">
        <v>830</v>
      </c>
      <c r="D9127" s="6">
        <v>23.93</v>
      </c>
      <c r="E9127" t="s">
        <v>77</v>
      </c>
    </row>
    <row r="9128" spans="1:5" x14ac:dyDescent="0.25">
      <c r="A9128" t="str">
        <f>HYPERLINK("https://www.773grp.com/globalSearch/SN74ACT2235-60PAG/page-1", "SN74ACT2235-60PAG")</f>
        <v>SN74ACT2235-60PAG</v>
      </c>
      <c r="B9128" s="3" t="s">
        <v>90</v>
      </c>
      <c r="C9128" s="5">
        <v>2021</v>
      </c>
      <c r="D9128" s="6">
        <v>23.93</v>
      </c>
      <c r="E9128" t="s">
        <v>77</v>
      </c>
    </row>
    <row r="9129" spans="1:5" x14ac:dyDescent="0.25">
      <c r="A9129" t="str">
        <f>HYPERLINK("https://www.773grp.com/globalSearch/SN74ACT7802-60FN/page-1", "SN74ACT7802-60FN")</f>
        <v>SN74ACT7802-60FN</v>
      </c>
      <c r="B9129" s="3" t="s">
        <v>90</v>
      </c>
      <c r="C9129" s="5">
        <v>1554</v>
      </c>
      <c r="D9129" s="6">
        <v>23.93</v>
      </c>
      <c r="E9129" t="s">
        <v>77</v>
      </c>
    </row>
    <row r="9130" spans="1:5" x14ac:dyDescent="0.25">
      <c r="A9130" t="str">
        <f>HYPERLINK("https://www.773grp.com/globalSearch/SN74ACT7811-25FN/page-1", "SN74ACT7811-25FN")</f>
        <v>SN74ACT7811-25FN</v>
      </c>
      <c r="B9130" s="3" t="s">
        <v>90</v>
      </c>
      <c r="C9130" s="5">
        <v>1687</v>
      </c>
      <c r="D9130" s="6">
        <v>23.93</v>
      </c>
      <c r="E9130" t="s">
        <v>77</v>
      </c>
    </row>
    <row r="9131" spans="1:5" x14ac:dyDescent="0.25">
      <c r="A9131" t="str">
        <f>HYPERLINK("https://www.773grp.com/globalSearch/SN74ACT7811-25PN/page-1", "SN74ACT7811-25PN")</f>
        <v>SN74ACT7811-25PN</v>
      </c>
      <c r="B9131" s="3" t="s">
        <v>90</v>
      </c>
      <c r="C9131" s="5">
        <v>160</v>
      </c>
      <c r="D9131" s="6">
        <v>23.93</v>
      </c>
      <c r="E9131" t="s">
        <v>77</v>
      </c>
    </row>
    <row r="9132" spans="1:5" x14ac:dyDescent="0.25">
      <c r="A9132" t="str">
        <f>HYPERLINK("https://www.773grp.com/globalSearch/SN74ACT7204L35NP/page-1", "SN74ACT7204L35NP")</f>
        <v>SN74ACT7204L35NP</v>
      </c>
      <c r="B9132" s="3" t="s">
        <v>90</v>
      </c>
      <c r="C9132" s="5">
        <v>2300</v>
      </c>
      <c r="D9132" s="6">
        <v>25.15</v>
      </c>
      <c r="E9132" t="s">
        <v>77</v>
      </c>
    </row>
    <row r="9133" spans="1:5" x14ac:dyDescent="0.25">
      <c r="A9133" t="str">
        <f>HYPERLINK("https://www.773grp.com/globalSearch/SN74ACT7204L35RJ/page-1", "SN74ACT7204L35RJ")</f>
        <v>SN74ACT7204L35RJ</v>
      </c>
      <c r="B9133" s="3" t="s">
        <v>90</v>
      </c>
      <c r="C9133" s="5">
        <v>640</v>
      </c>
      <c r="D9133" s="6">
        <v>25.15</v>
      </c>
      <c r="E9133" t="s">
        <v>77</v>
      </c>
    </row>
    <row r="9134" spans="1:5" x14ac:dyDescent="0.25">
      <c r="A9134" t="str">
        <f>HYPERLINK("https://www.773grp.com/globalSearch/SN74ACT7802-60PN/page-1", "SN74ACT7802-60PN")</f>
        <v>SN74ACT7802-60PN</v>
      </c>
      <c r="B9134" s="3" t="s">
        <v>90</v>
      </c>
      <c r="C9134" s="5">
        <v>1593</v>
      </c>
      <c r="D9134" s="6">
        <v>25.43</v>
      </c>
      <c r="E9134" t="s">
        <v>77</v>
      </c>
    </row>
    <row r="9135" spans="1:5" x14ac:dyDescent="0.25">
      <c r="A9135" t="str">
        <f>HYPERLINK("https://www.773grp.com/globalSearch/SN74ACT2235-40FN/page-1", "SN74ACT2235-40FN")</f>
        <v>SN74ACT2235-40FN</v>
      </c>
      <c r="B9135" s="3" t="s">
        <v>90</v>
      </c>
      <c r="C9135" s="5">
        <v>1649</v>
      </c>
      <c r="D9135" s="6">
        <v>25.94</v>
      </c>
      <c r="E9135" t="s">
        <v>77</v>
      </c>
    </row>
    <row r="9136" spans="1:5" x14ac:dyDescent="0.25">
      <c r="A9136" t="str">
        <f>HYPERLINK("https://www.773grp.com/globalSearch/SN74ACT2235-40PAG/page-1", "SN74ACT2235-40PAG")</f>
        <v>SN74ACT2235-40PAG</v>
      </c>
      <c r="B9136" s="3" t="s">
        <v>90</v>
      </c>
      <c r="C9136" s="5">
        <v>25</v>
      </c>
      <c r="D9136" s="6">
        <v>25.94</v>
      </c>
      <c r="E9136" t="s">
        <v>77</v>
      </c>
    </row>
    <row r="9137" spans="1:5" x14ac:dyDescent="0.25">
      <c r="A9137" t="str">
        <f>HYPERLINK("https://www.773grp.com/globalSearch/SN74ACT7802-40FN/page-1", "SN74ACT7802-40FN")</f>
        <v>SN74ACT7802-40FN</v>
      </c>
      <c r="B9137" s="3" t="s">
        <v>90</v>
      </c>
      <c r="C9137" s="5">
        <v>710</v>
      </c>
      <c r="D9137" s="6">
        <v>25.94</v>
      </c>
      <c r="E9137" t="s">
        <v>77</v>
      </c>
    </row>
    <row r="9138" spans="1:5" x14ac:dyDescent="0.25">
      <c r="A9138" t="str">
        <f>HYPERLINK("https://www.773grp.com/globalSearch/SN74ACT7802-40PN/page-1", "SN74ACT7802-40PN")</f>
        <v>SN74ACT7802-40PN</v>
      </c>
      <c r="B9138" s="3" t="s">
        <v>90</v>
      </c>
      <c r="C9138" s="5">
        <v>1241</v>
      </c>
      <c r="D9138" s="6">
        <v>25.94</v>
      </c>
      <c r="E9138" t="s">
        <v>77</v>
      </c>
    </row>
    <row r="9139" spans="1:5" x14ac:dyDescent="0.25">
      <c r="A9139" t="str">
        <f>HYPERLINK("https://www.773grp.com/globalSearch/SN74ACT7807-40FN/page-1", "SN74ACT7807-40FN")</f>
        <v>SN74ACT7807-40FN</v>
      </c>
      <c r="B9139" s="3" t="s">
        <v>90</v>
      </c>
      <c r="C9139" s="5">
        <v>4889</v>
      </c>
      <c r="D9139" s="6">
        <v>25.94</v>
      </c>
      <c r="E9139" t="s">
        <v>77</v>
      </c>
    </row>
    <row r="9140" spans="1:5" x14ac:dyDescent="0.25">
      <c r="A9140" t="str">
        <f>HYPERLINK("https://www.773grp.com/globalSearch/SN74ACT7807-40PAG/page-1", "SN74ACT7807-40PAG")</f>
        <v>SN74ACT7807-40PAG</v>
      </c>
      <c r="B9140" s="3" t="s">
        <v>90</v>
      </c>
      <c r="C9140" s="5">
        <v>1428</v>
      </c>
      <c r="D9140" s="6">
        <v>25.94</v>
      </c>
      <c r="E9140" t="s">
        <v>77</v>
      </c>
    </row>
    <row r="9141" spans="1:5" x14ac:dyDescent="0.25">
      <c r="A9141" t="str">
        <f>HYPERLINK("https://www.773grp.com/globalSearch/SN74ACT7808-40FN/page-1", "SN74ACT7808-40FN")</f>
        <v>SN74ACT7808-40FN</v>
      </c>
      <c r="B9141" s="3" t="s">
        <v>90</v>
      </c>
      <c r="C9141" s="5">
        <v>4395</v>
      </c>
      <c r="D9141" s="6">
        <v>25.94</v>
      </c>
      <c r="E9141" t="s">
        <v>77</v>
      </c>
    </row>
    <row r="9142" spans="1:5" x14ac:dyDescent="0.25">
      <c r="A9142" t="str">
        <f>HYPERLINK("https://www.773grp.com/globalSearch/SN74ACT7808-40PAG/page-1", "SN74ACT7808-40PAG")</f>
        <v>SN74ACT7808-40PAG</v>
      </c>
      <c r="B9142" s="3" t="s">
        <v>90</v>
      </c>
      <c r="C9142" s="5">
        <v>1294</v>
      </c>
      <c r="D9142" s="6">
        <v>25.94</v>
      </c>
      <c r="E9142" t="s">
        <v>77</v>
      </c>
    </row>
    <row r="9143" spans="1:5" x14ac:dyDescent="0.25">
      <c r="A9143" t="str">
        <f>HYPERLINK("https://www.773grp.com/globalSearch/SN74V215-10PAG/page-1", "SN74V215-10PAG")</f>
        <v>SN74V215-10PAG</v>
      </c>
      <c r="B9143" s="3" t="s">
        <v>90</v>
      </c>
      <c r="C9143" s="5">
        <v>6179</v>
      </c>
      <c r="D9143" s="6">
        <v>26.7</v>
      </c>
      <c r="E9143" t="s">
        <v>77</v>
      </c>
    </row>
    <row r="9144" spans="1:5" x14ac:dyDescent="0.25">
      <c r="A9144" t="str">
        <f>HYPERLINK("https://www.773grp.com/globalSearch/SN74ACT7202LA15DV/page-1", "SN74ACT7202LA15DV")</f>
        <v>SN74ACT7202LA15DV</v>
      </c>
      <c r="B9144" s="3" t="s">
        <v>90</v>
      </c>
      <c r="C9144" s="5">
        <v>5576</v>
      </c>
      <c r="D9144" s="6">
        <v>26.89</v>
      </c>
      <c r="E9144" t="s">
        <v>77</v>
      </c>
    </row>
    <row r="9145" spans="1:5" x14ac:dyDescent="0.25">
      <c r="A9145" t="str">
        <f>HYPERLINK("https://www.773grp.com/globalSearch/SN74ACT7202LA15NP/page-1", "SN74ACT7202LA15NP")</f>
        <v>SN74ACT7202LA15NP</v>
      </c>
      <c r="B9145" s="3" t="s">
        <v>90</v>
      </c>
      <c r="C9145" s="5">
        <v>3289</v>
      </c>
      <c r="D9145" s="6">
        <v>26.89</v>
      </c>
      <c r="E9145" t="s">
        <v>77</v>
      </c>
    </row>
    <row r="9146" spans="1:5" x14ac:dyDescent="0.25">
      <c r="A9146" t="str">
        <f>HYPERLINK("https://www.773grp.com/globalSearch/SN74ACT7202LA15RJ/page-1", "SN74ACT7202LA15RJ")</f>
        <v>SN74ACT7202LA15RJ</v>
      </c>
      <c r="B9146" s="3" t="s">
        <v>90</v>
      </c>
      <c r="C9146" s="5">
        <v>62788</v>
      </c>
      <c r="D9146" s="6">
        <v>26.89</v>
      </c>
      <c r="E9146" t="s">
        <v>77</v>
      </c>
    </row>
    <row r="9147" spans="1:5" x14ac:dyDescent="0.25">
      <c r="A9147" t="str">
        <f>HYPERLINK("https://www.773grp.com/globalSearch/SN74ACT7802-25FN/page-1", "SN74ACT7802-25FN")</f>
        <v>SN74ACT7802-25FN</v>
      </c>
      <c r="B9147" s="3" t="str">
        <f>HYPERLINK("https://www.773grp.com/manufacturer/texas-instruments?pageNo=47", "Texas Instruments")</f>
        <v>Texas Instruments</v>
      </c>
      <c r="C9147" s="5">
        <v>2274</v>
      </c>
      <c r="D9147" s="6">
        <v>27.68</v>
      </c>
      <c r="E9147" t="s">
        <v>77</v>
      </c>
    </row>
    <row r="9148" spans="1:5" x14ac:dyDescent="0.25">
      <c r="A9148" t="str">
        <f>HYPERLINK("https://www.773grp.com/globalSearch/SN74ACT7814-20DL/page-1", "SN74ACT7814-20DL")</f>
        <v>SN74ACT7814-20DL</v>
      </c>
      <c r="B9148" s="3" t="str">
        <f>HYPERLINK("https://www.773grp.com/manufacturer/texas-instruments?pageNo=119", "Texas Instruments")</f>
        <v>Texas Instruments</v>
      </c>
      <c r="C9148" s="5">
        <v>26052</v>
      </c>
      <c r="D9148" s="6">
        <v>28.06</v>
      </c>
      <c r="E9148" t="s">
        <v>77</v>
      </c>
    </row>
    <row r="9149" spans="1:5" x14ac:dyDescent="0.25">
      <c r="A9149" t="str">
        <f>HYPERLINK("https://www.773grp.com/globalSearch/SN74ACT7204L25RJ/page-1", "SN74ACT7204L25RJ")</f>
        <v>SN74ACT7204L25RJ</v>
      </c>
      <c r="B9149" s="3" t="str">
        <f>HYPERLINK("https://www.773grp.com/manufacturer/texas-instruments?pageNo=297", "Texas Instruments")</f>
        <v>Texas Instruments</v>
      </c>
      <c r="C9149" s="5">
        <v>180</v>
      </c>
      <c r="D9149" s="6">
        <v>29.06</v>
      </c>
      <c r="E9149" t="s">
        <v>77</v>
      </c>
    </row>
    <row r="9150" spans="1:5" x14ac:dyDescent="0.25">
      <c r="A9150" t="str">
        <f>HYPERLINK("https://www.773grp.com/globalSearch/SN74ACT7803-15DL/page-1", "SN74ACT7803-15DL")</f>
        <v>SN74ACT7803-15DL</v>
      </c>
      <c r="B9150" s="3" t="str">
        <f>HYPERLINK("https://www.773grp.com/manufacturer/texas-instruments?pageNo=391", "Texas Instruments")</f>
        <v>Texas Instruments</v>
      </c>
      <c r="C9150" s="5">
        <v>3582</v>
      </c>
      <c r="D9150" s="6">
        <v>29.61</v>
      </c>
      <c r="E9150" t="s">
        <v>77</v>
      </c>
    </row>
    <row r="9151" spans="1:5" x14ac:dyDescent="0.25">
      <c r="A9151" t="str">
        <f>HYPERLINK("https://www.773grp.com/globalSearch/SN74ACT7803-15DLR/page-1", "SN74ACT7803-15DLR")</f>
        <v>SN74ACT7803-15DLR</v>
      </c>
      <c r="B9151" s="3" t="str">
        <f>HYPERLINK("https://www.773grp.com/manufacturer/texas-instruments?pageNo=392", "Texas Instruments")</f>
        <v>Texas Instruments</v>
      </c>
      <c r="C9151" s="5">
        <v>4500</v>
      </c>
      <c r="D9151" s="6">
        <v>29.61</v>
      </c>
      <c r="E9151" t="s">
        <v>77</v>
      </c>
    </row>
    <row r="9152" spans="1:5" x14ac:dyDescent="0.25">
      <c r="A9152" t="str">
        <f>HYPERLINK("https://www.773grp.com/globalSearch/SN74V245-10PAG/page-1", "SN74V245-10PAG")</f>
        <v>SN74V245-10PAG</v>
      </c>
      <c r="B9152" s="3" t="str">
        <f>HYPERLINK("https://www.773grp.com/manufacturer/texas-instruments?pageNo=534", "Texas Instruments")</f>
        <v>Texas Instruments</v>
      </c>
      <c r="C9152" s="5">
        <v>6067</v>
      </c>
      <c r="D9152" s="6">
        <v>30.68</v>
      </c>
      <c r="E9152" t="s">
        <v>77</v>
      </c>
    </row>
    <row r="9153" spans="1:5" x14ac:dyDescent="0.25">
      <c r="A9153" t="str">
        <f>HYPERLINK("https://www.773grp.com/globalSearch/SN74ACT7801-20FN/page-1", "SN74ACT7801-20FN")</f>
        <v>SN74ACT7801-20FN</v>
      </c>
      <c r="B9153" s="3" t="str">
        <f>HYPERLINK("https://www.773grp.com/manufacturer/texas-instruments?pageNo=608", "Texas Instruments")</f>
        <v>Texas Instruments</v>
      </c>
      <c r="C9153" s="5">
        <v>1818</v>
      </c>
      <c r="D9153" s="6">
        <v>30.85</v>
      </c>
      <c r="E9153" t="s">
        <v>77</v>
      </c>
    </row>
    <row r="9154" spans="1:5" x14ac:dyDescent="0.25">
      <c r="A9154" t="str">
        <f>HYPERLINK("https://www.773grp.com/globalSearch/SN74ACT7811-20FN/page-1", "SN74ACT7811-20FN")</f>
        <v>SN74ACT7811-20FN</v>
      </c>
      <c r="B9154" s="3" t="str">
        <f>HYPERLINK("https://www.773grp.com/manufacturer/texas-instruments?pageNo=609", "Texas Instruments")</f>
        <v>Texas Instruments</v>
      </c>
      <c r="C9154" s="5">
        <v>1118</v>
      </c>
      <c r="D9154" s="6">
        <v>30.85</v>
      </c>
      <c r="E9154" t="s">
        <v>77</v>
      </c>
    </row>
    <row r="9155" spans="1:5" x14ac:dyDescent="0.25">
      <c r="A9155" t="str">
        <f>HYPERLINK("https://www.773grp.com/globalSearch/SN74ACT7811-20PN/page-1", "SN74ACT7811-20PN")</f>
        <v>SN74ACT7811-20PN</v>
      </c>
      <c r="B9155" s="3" t="str">
        <f>HYPERLINK("https://www.773grp.com/manufacturer/texas-instruments?pageNo=610", "Texas Instruments")</f>
        <v>Texas Instruments</v>
      </c>
      <c r="C9155" s="5">
        <v>4110</v>
      </c>
      <c r="D9155" s="6">
        <v>30.85</v>
      </c>
      <c r="E9155" t="s">
        <v>77</v>
      </c>
    </row>
    <row r="9156" spans="1:5" x14ac:dyDescent="0.25">
      <c r="A9156" t="str">
        <f>HYPERLINK("https://www.773grp.com/globalSearch/SN74ACT7205L50NP/page-1", "SN74ACT7205L50NP")</f>
        <v>SN74ACT7205L50NP</v>
      </c>
      <c r="B9156" s="3" t="str">
        <f>HYPERLINK("https://www.773grp.com/manufacturer/texas-instruments?pageNo=883", "Texas Instruments")</f>
        <v>Texas Instruments</v>
      </c>
      <c r="C9156" s="5">
        <v>900</v>
      </c>
      <c r="D9156" s="6">
        <v>32.79</v>
      </c>
      <c r="E9156" t="s">
        <v>77</v>
      </c>
    </row>
    <row r="9157" spans="1:5" x14ac:dyDescent="0.25">
      <c r="A9157" t="str">
        <f>HYPERLINK("https://www.773grp.com/globalSearch/SN74ACT7205L50RJ/page-1", "SN74ACT7205L50RJ")</f>
        <v>SN74ACT7205L50RJ</v>
      </c>
      <c r="B9157" s="3" t="str">
        <f>HYPERLINK("https://www.773grp.com/manufacturer/texas-instruments?pageNo=884", "Texas Instruments")</f>
        <v>Texas Instruments</v>
      </c>
      <c r="C9157" s="5">
        <v>3272</v>
      </c>
      <c r="D9157" s="6">
        <v>32.79</v>
      </c>
      <c r="E9157" t="s">
        <v>77</v>
      </c>
    </row>
    <row r="9158" spans="1:5" x14ac:dyDescent="0.25">
      <c r="A9158" t="str">
        <f>HYPERLINK("https://www.773grp.com/globalSearch/SN74ACT2235-20FN/page-1", "SN74ACT2235-20FN")</f>
        <v>SN74ACT2235-20FN</v>
      </c>
      <c r="B9158" s="3" t="s">
        <v>90</v>
      </c>
      <c r="C9158" s="5">
        <v>345</v>
      </c>
      <c r="D9158" s="6">
        <v>33.409999999999997</v>
      </c>
      <c r="E9158" t="s">
        <v>77</v>
      </c>
    </row>
    <row r="9159" spans="1:5" x14ac:dyDescent="0.25">
      <c r="A9159" t="str">
        <f>HYPERLINK("https://www.773grp.com/globalSearch/SN74ACT2235-20PAG/page-1", "SN74ACT2235-20PAG")</f>
        <v>SN74ACT2235-20PAG</v>
      </c>
      <c r="B9159" s="3" t="s">
        <v>90</v>
      </c>
      <c r="C9159" s="5">
        <v>3244</v>
      </c>
      <c r="D9159" s="6">
        <v>33.409999999999997</v>
      </c>
      <c r="E9159" t="s">
        <v>77</v>
      </c>
    </row>
    <row r="9160" spans="1:5" x14ac:dyDescent="0.25">
      <c r="A9160" t="str">
        <f>HYPERLINK("https://www.773grp.com/globalSearch/SN74ACT3632-15PCB/page-1", "SN74ACT3632-15PCB")</f>
        <v>SN74ACT3632-15PCB</v>
      </c>
      <c r="B9160" s="3" t="s">
        <v>90</v>
      </c>
      <c r="C9160" s="5">
        <v>2336</v>
      </c>
      <c r="D9160" s="6">
        <v>33.409999999999997</v>
      </c>
      <c r="E9160" t="s">
        <v>77</v>
      </c>
    </row>
    <row r="9161" spans="1:5" x14ac:dyDescent="0.25">
      <c r="A9161" t="str">
        <f>HYPERLINK("https://www.773grp.com/globalSearch/SN74ACT3632-15PQ/page-1", "SN74ACT3632-15PQ")</f>
        <v>SN74ACT3632-15PQ</v>
      </c>
      <c r="B9161" s="3" t="s">
        <v>90</v>
      </c>
      <c r="C9161" s="5">
        <v>1629</v>
      </c>
      <c r="D9161" s="6">
        <v>33.409999999999997</v>
      </c>
      <c r="E9161" t="s">
        <v>77</v>
      </c>
    </row>
    <row r="9162" spans="1:5" x14ac:dyDescent="0.25">
      <c r="A9162" t="str">
        <f>HYPERLINK("https://www.773grp.com/globalSearch/SN74ACT3632-20PCB/page-1", "SN74ACT3632-20PCB")</f>
        <v>SN74ACT3632-20PCB</v>
      </c>
      <c r="B9162" s="3" t="s">
        <v>90</v>
      </c>
      <c r="C9162" s="5">
        <v>10</v>
      </c>
      <c r="D9162" s="6">
        <v>33.409999999999997</v>
      </c>
      <c r="E9162" t="s">
        <v>77</v>
      </c>
    </row>
    <row r="9163" spans="1:5" x14ac:dyDescent="0.25">
      <c r="A9163" t="str">
        <f>HYPERLINK("https://www.773grp.com/globalSearch/SN74ACT3632-20PQ/page-1", "SN74ACT3632-20PQ")</f>
        <v>SN74ACT3632-20PQ</v>
      </c>
      <c r="B9163" s="3" t="s">
        <v>90</v>
      </c>
      <c r="C9163" s="5">
        <v>603</v>
      </c>
      <c r="D9163" s="6">
        <v>33.409999999999997</v>
      </c>
      <c r="E9163" t="s">
        <v>77</v>
      </c>
    </row>
    <row r="9164" spans="1:5" x14ac:dyDescent="0.25">
      <c r="A9164" t="str">
        <f>HYPERLINK("https://www.773grp.com/globalSearch/SN74ABT3612-20PCB/page-1", "SN74ABT3612-20PCB")</f>
        <v>SN74ABT3612-20PCB</v>
      </c>
      <c r="B9164" s="3" t="s">
        <v>90</v>
      </c>
      <c r="C9164" s="5">
        <v>208</v>
      </c>
      <c r="D9164" s="6">
        <v>33.590000000000003</v>
      </c>
      <c r="E9164" t="s">
        <v>77</v>
      </c>
    </row>
    <row r="9165" spans="1:5" x14ac:dyDescent="0.25">
      <c r="A9165" t="str">
        <f>HYPERLINK("https://www.773grp.com/globalSearch/SN74ABT3612-20PQ/page-1", "SN74ABT3612-20PQ")</f>
        <v>SN74ABT3612-20PQ</v>
      </c>
      <c r="B9165" s="3" t="s">
        <v>90</v>
      </c>
      <c r="C9165" s="5">
        <v>4201</v>
      </c>
      <c r="D9165" s="6">
        <v>33.590000000000003</v>
      </c>
      <c r="E9165" t="s">
        <v>77</v>
      </c>
    </row>
    <row r="9166" spans="1:5" x14ac:dyDescent="0.25">
      <c r="A9166" t="str">
        <f>HYPERLINK("https://www.773grp.com/globalSearch/SN74ABT3614-20PCB/page-1", "SN74ABT3614-20PCB")</f>
        <v>SN74ABT3614-20PCB</v>
      </c>
      <c r="B9166" s="3" t="s">
        <v>90</v>
      </c>
      <c r="C9166" s="5">
        <v>1894</v>
      </c>
      <c r="D9166" s="6">
        <v>33.590000000000003</v>
      </c>
      <c r="E9166" t="s">
        <v>77</v>
      </c>
    </row>
    <row r="9167" spans="1:5" x14ac:dyDescent="0.25">
      <c r="A9167" t="str">
        <f>HYPERLINK("https://www.773grp.com/globalSearch/SN74ABT3614-20PQ/page-1", "SN74ABT3614-20PQ")</f>
        <v>SN74ABT3614-20PQ</v>
      </c>
      <c r="B9167" s="3" t="s">
        <v>90</v>
      </c>
      <c r="C9167" s="5">
        <v>9542</v>
      </c>
      <c r="D9167" s="6">
        <v>33.590000000000003</v>
      </c>
      <c r="E9167" t="s">
        <v>77</v>
      </c>
    </row>
    <row r="9168" spans="1:5" x14ac:dyDescent="0.25">
      <c r="A9168" t="str">
        <f>HYPERLINK("https://www.773grp.com/globalSearch/SN74ACT7805-20DL/page-1", "SN74ACT7805-20DL")</f>
        <v>SN74ACT7805-20DL</v>
      </c>
      <c r="B9168" s="3" t="s">
        <v>90</v>
      </c>
      <c r="C9168" s="5">
        <v>1717</v>
      </c>
      <c r="D9168" s="6">
        <v>33.590000000000003</v>
      </c>
      <c r="E9168" t="s">
        <v>77</v>
      </c>
    </row>
    <row r="9169" spans="1:5" x14ac:dyDescent="0.25">
      <c r="A9169" t="str">
        <f>HYPERLINK("https://www.773grp.com/globalSearch/SN74ACT7805-20DLR/page-1", "SN74ACT7805-20DLR")</f>
        <v>SN74ACT7805-20DLR</v>
      </c>
      <c r="B9169" s="3" t="s">
        <v>90</v>
      </c>
      <c r="C9169" s="5">
        <v>36750</v>
      </c>
      <c r="D9169" s="6">
        <v>33.590000000000003</v>
      </c>
      <c r="E9169" t="s">
        <v>77</v>
      </c>
    </row>
    <row r="9170" spans="1:5" x14ac:dyDescent="0.25">
      <c r="A9170" t="str">
        <f>HYPERLINK("https://www.773grp.com/globalSearch/SN74ACT7806-20DL/page-1", "SN74ACT7806-20DL")</f>
        <v>SN74ACT7806-20DL</v>
      </c>
      <c r="B9170" s="3" t="s">
        <v>90</v>
      </c>
      <c r="C9170" s="5">
        <v>2796</v>
      </c>
      <c r="D9170" s="6">
        <v>33.590000000000003</v>
      </c>
      <c r="E9170" t="s">
        <v>77</v>
      </c>
    </row>
    <row r="9171" spans="1:5" x14ac:dyDescent="0.25">
      <c r="A9171" t="str">
        <f>HYPERLINK("https://www.773grp.com/globalSearch/SN74ALVC7805-20DL/page-1", "SN74ALVC7805-20DL")</f>
        <v>SN74ALVC7805-20DL</v>
      </c>
      <c r="B9171" s="3" t="s">
        <v>90</v>
      </c>
      <c r="C9171" s="5">
        <v>1420</v>
      </c>
      <c r="D9171" s="6">
        <v>33.590000000000003</v>
      </c>
      <c r="E9171" t="s">
        <v>77</v>
      </c>
    </row>
    <row r="9172" spans="1:5" x14ac:dyDescent="0.25">
      <c r="A9172" t="str">
        <f>HYPERLINK("https://www.773grp.com/globalSearch/SN74ALVC7805-20DLR/page-1", "SN74ALVC7805-20DLR")</f>
        <v>SN74ALVC7805-20DLR</v>
      </c>
      <c r="B9172" s="3" t="s">
        <v>90</v>
      </c>
      <c r="C9172" s="5">
        <v>4500</v>
      </c>
      <c r="D9172" s="6">
        <v>33.590000000000003</v>
      </c>
      <c r="E9172" t="s">
        <v>77</v>
      </c>
    </row>
    <row r="9173" spans="1:5" x14ac:dyDescent="0.25">
      <c r="A9173" t="str">
        <f>HYPERLINK("https://www.773grp.com/globalSearch/SN74ABT3614-15PQ/page-1", "SN74ABT3614-15PQ")</f>
        <v>SN74ABT3614-15PQ</v>
      </c>
      <c r="B9173" s="3" t="s">
        <v>90</v>
      </c>
      <c r="C9173" s="5">
        <v>5852</v>
      </c>
      <c r="D9173" s="6">
        <v>34.049999999999997</v>
      </c>
      <c r="E9173" t="s">
        <v>77</v>
      </c>
    </row>
    <row r="9174" spans="1:5" x14ac:dyDescent="0.25">
      <c r="A9174" t="str">
        <f>HYPERLINK("https://www.773grp.com/globalSearch/SN74V3640-7PEU/page-1", "SN74V3640-7PEU")</f>
        <v>SN74V3640-7PEU</v>
      </c>
      <c r="B9174" s="3" t="s">
        <v>90</v>
      </c>
      <c r="C9174" s="5">
        <v>533</v>
      </c>
      <c r="D9174" s="6">
        <v>34.39</v>
      </c>
      <c r="E9174" t="s">
        <v>77</v>
      </c>
    </row>
    <row r="9175" spans="1:5" x14ac:dyDescent="0.25">
      <c r="A9175" t="str">
        <f>HYPERLINK("https://www.773grp.com/globalSearch/SN74ACT72211L50RJ/page-1", "SN74ACT72211L50RJ")</f>
        <v>SN74ACT72211L50RJ</v>
      </c>
      <c r="B9175" s="3" t="s">
        <v>90</v>
      </c>
      <c r="C9175" s="5">
        <v>9374</v>
      </c>
      <c r="D9175" s="6">
        <v>34.799999999999997</v>
      </c>
      <c r="E9175" t="s">
        <v>77</v>
      </c>
    </row>
    <row r="9176" spans="1:5" x14ac:dyDescent="0.25">
      <c r="A9176" t="str">
        <f>HYPERLINK("https://www.773grp.com/globalSearch/SN74ACT7811-15FN/page-1", "SN74ACT7811-15FN")</f>
        <v>SN74ACT7811-15FN</v>
      </c>
      <c r="B9176" s="3" t="s">
        <v>90</v>
      </c>
      <c r="C9176" s="5">
        <v>2707</v>
      </c>
      <c r="D9176" s="6">
        <v>35.15</v>
      </c>
      <c r="E9176" t="s">
        <v>77</v>
      </c>
    </row>
    <row r="9177" spans="1:5" x14ac:dyDescent="0.25">
      <c r="A9177" t="str">
        <f>HYPERLINK("https://www.773grp.com/globalSearch/SN74ABT3611-20PQ/page-1", "SN74ABT3611-20PQ")</f>
        <v>SN74ABT3611-20PQ</v>
      </c>
      <c r="B9177" s="3" t="s">
        <v>90</v>
      </c>
      <c r="C9177" s="5">
        <v>1059</v>
      </c>
      <c r="D9177" s="6">
        <v>35.299999999999997</v>
      </c>
      <c r="E9177" t="s">
        <v>77</v>
      </c>
    </row>
    <row r="9178" spans="1:5" x14ac:dyDescent="0.25">
      <c r="A9178" t="str">
        <f>HYPERLINK("https://www.773grp.com/globalSearch/SN74ABT3612-30PQ/page-1", "SN74ABT3612-30PQ")</f>
        <v>SN74ABT3612-30PQ</v>
      </c>
      <c r="B9178" s="3" t="s">
        <v>90</v>
      </c>
      <c r="C9178" s="5">
        <v>2635</v>
      </c>
      <c r="D9178" s="6">
        <v>35.299999999999997</v>
      </c>
      <c r="E9178" t="s">
        <v>77</v>
      </c>
    </row>
    <row r="9179" spans="1:5" x14ac:dyDescent="0.25">
      <c r="A9179" t="str">
        <f>HYPERLINK("https://www.773grp.com/globalSearch/SN74ABT3614-30PCB/page-1", "SN74ABT3614-30PCB")</f>
        <v>SN74ABT3614-30PCB</v>
      </c>
      <c r="B9179" s="3" t="s">
        <v>90</v>
      </c>
      <c r="C9179" s="5">
        <v>514</v>
      </c>
      <c r="D9179" s="6">
        <v>35.299999999999997</v>
      </c>
      <c r="E9179" t="s">
        <v>77</v>
      </c>
    </row>
    <row r="9180" spans="1:5" x14ac:dyDescent="0.25">
      <c r="A9180" t="str">
        <f>HYPERLINK("https://www.773grp.com/globalSearch/SN74ABT3614-30PQ/page-1", "SN74ABT3614-30PQ")</f>
        <v>SN74ABT3614-30PQ</v>
      </c>
      <c r="B9180" s="3" t="s">
        <v>90</v>
      </c>
      <c r="C9180" s="5">
        <v>1378</v>
      </c>
      <c r="D9180" s="6">
        <v>35.299999999999997</v>
      </c>
      <c r="E9180" t="s">
        <v>77</v>
      </c>
    </row>
    <row r="9181" spans="1:5" x14ac:dyDescent="0.25">
      <c r="A9181" t="str">
        <f>HYPERLINK("https://www.773grp.com/globalSearch/SN74ABT3611-20PCB/page-1", "SN74ABT3611-20PCB")</f>
        <v>SN74ABT3611-20PCB</v>
      </c>
      <c r="B9181" s="3" t="s">
        <v>90</v>
      </c>
      <c r="C9181" s="5">
        <v>1041</v>
      </c>
      <c r="D9181" s="6">
        <v>35.33</v>
      </c>
      <c r="E9181" t="s">
        <v>77</v>
      </c>
    </row>
    <row r="9182" spans="1:5" x14ac:dyDescent="0.25">
      <c r="A9182" t="str">
        <f>HYPERLINK("https://www.773grp.com/globalSearch/SN74ABT3611-30PCB/page-1", "SN74ABT3611-30PCB")</f>
        <v>SN74ABT3611-30PCB</v>
      </c>
      <c r="B9182" s="3" t="s">
        <v>90</v>
      </c>
      <c r="C9182" s="5">
        <v>1044</v>
      </c>
      <c r="D9182" s="6">
        <v>35.33</v>
      </c>
      <c r="E9182" t="s">
        <v>77</v>
      </c>
    </row>
    <row r="9183" spans="1:5" x14ac:dyDescent="0.25">
      <c r="A9183" t="str">
        <f>HYPERLINK("https://www.773grp.com/globalSearch/SN74ABT3612-30PCB/page-1", "SN74ABT3612-30PCB")</f>
        <v>SN74ABT3612-30PCB</v>
      </c>
      <c r="B9183" s="3" t="s">
        <v>90</v>
      </c>
      <c r="C9183" s="5">
        <v>1907</v>
      </c>
      <c r="D9183" s="6">
        <v>35.33</v>
      </c>
      <c r="E9183" t="s">
        <v>77</v>
      </c>
    </row>
    <row r="9184" spans="1:5" x14ac:dyDescent="0.25">
      <c r="A9184" t="str">
        <f>HYPERLINK("https://www.773grp.com/globalSearch/SN74ABT3613-20PCB/page-1", "SN74ABT3613-20PCB")</f>
        <v>SN74ABT3613-20PCB</v>
      </c>
      <c r="B9184" s="3" t="s">
        <v>90</v>
      </c>
      <c r="C9184" s="5">
        <v>1507</v>
      </c>
      <c r="D9184" s="6">
        <v>35.33</v>
      </c>
      <c r="E9184" t="s">
        <v>77</v>
      </c>
    </row>
    <row r="9185" spans="1:5" x14ac:dyDescent="0.25">
      <c r="A9185" t="str">
        <f>HYPERLINK("https://www.773grp.com/globalSearch/SN74ABT3613-20PQ/page-1", "SN74ABT3613-20PQ")</f>
        <v>SN74ABT3613-20PQ</v>
      </c>
      <c r="B9185" s="3" t="s">
        <v>90</v>
      </c>
      <c r="C9185" s="5">
        <v>703</v>
      </c>
      <c r="D9185" s="6">
        <v>35.33</v>
      </c>
      <c r="E9185" t="s">
        <v>77</v>
      </c>
    </row>
    <row r="9186" spans="1:5" x14ac:dyDescent="0.25">
      <c r="A9186" t="str">
        <f>HYPERLINK("https://www.773grp.com/globalSearch/SN74ABT3613-30PCB/page-1", "SN74ABT3613-30PCB")</f>
        <v>SN74ABT3613-30PCB</v>
      </c>
      <c r="B9186" s="3" t="s">
        <v>90</v>
      </c>
      <c r="C9186" s="5">
        <v>899</v>
      </c>
      <c r="D9186" s="6">
        <v>35.33</v>
      </c>
      <c r="E9186" t="s">
        <v>77</v>
      </c>
    </row>
    <row r="9187" spans="1:5" x14ac:dyDescent="0.25">
      <c r="A9187" t="str">
        <f>HYPERLINK("https://www.773grp.com/globalSearch/SN74ABT3613-30PQ/page-1", "SN74ABT3613-30PQ")</f>
        <v>SN74ABT3613-30PQ</v>
      </c>
      <c r="B9187" s="3" t="s">
        <v>90</v>
      </c>
      <c r="C9187" s="5">
        <v>628</v>
      </c>
      <c r="D9187" s="6">
        <v>35.33</v>
      </c>
      <c r="E9187" t="s">
        <v>77</v>
      </c>
    </row>
    <row r="9188" spans="1:5" x14ac:dyDescent="0.25">
      <c r="A9188" t="str">
        <f>HYPERLINK("https://www.773grp.com/globalSearch/SN74V3640-6PEU/page-1", "SN74V3640-6PEU")</f>
        <v>SN74V3640-6PEU</v>
      </c>
      <c r="B9188" s="3" t="s">
        <v>90</v>
      </c>
      <c r="C9188" s="5">
        <v>576</v>
      </c>
      <c r="D9188" s="6">
        <v>35.549999999999997</v>
      </c>
      <c r="E9188" t="s">
        <v>77</v>
      </c>
    </row>
    <row r="9189" spans="1:5" x14ac:dyDescent="0.25">
      <c r="A9189" t="str">
        <f>HYPERLINK("https://www.773grp.com/globalSearch/SN74ABT3611-15PCB/page-1", "SN74ABT3611-15PCB")</f>
        <v>SN74ABT3611-15PCB</v>
      </c>
      <c r="B9189" s="3" t="s">
        <v>90</v>
      </c>
      <c r="C9189" s="5">
        <v>439</v>
      </c>
      <c r="D9189" s="6">
        <v>35.81</v>
      </c>
      <c r="E9189" t="s">
        <v>77</v>
      </c>
    </row>
    <row r="9190" spans="1:5" x14ac:dyDescent="0.25">
      <c r="A9190" t="str">
        <f>HYPERLINK("https://www.773grp.com/globalSearch/SN74ABT3611-15PQ/page-1", "SN74ABT3611-15PQ")</f>
        <v>SN74ABT3611-15PQ</v>
      </c>
      <c r="B9190" s="3" t="s">
        <v>90</v>
      </c>
      <c r="C9190" s="5">
        <v>6266</v>
      </c>
      <c r="D9190" s="6">
        <v>35.81</v>
      </c>
      <c r="E9190" t="s">
        <v>77</v>
      </c>
    </row>
    <row r="9191" spans="1:5" x14ac:dyDescent="0.25">
      <c r="A9191" t="str">
        <f>HYPERLINK("https://www.773grp.com/globalSearch/SN74ABT3613-15PCB/page-1", "SN74ABT3613-15PCB")</f>
        <v>SN74ABT3613-15PCB</v>
      </c>
      <c r="B9191" s="3" t="s">
        <v>90</v>
      </c>
      <c r="C9191" s="5">
        <v>1155</v>
      </c>
      <c r="D9191" s="6">
        <v>35.81</v>
      </c>
      <c r="E9191" t="s">
        <v>77</v>
      </c>
    </row>
    <row r="9192" spans="1:5" x14ac:dyDescent="0.25">
      <c r="A9192" t="str">
        <f>HYPERLINK("https://www.773grp.com/globalSearch/SN74ABT3613-15PQ/page-1", "SN74ABT3613-15PQ")</f>
        <v>SN74ABT3613-15PQ</v>
      </c>
      <c r="B9192" s="3" t="s">
        <v>90</v>
      </c>
      <c r="C9192" s="5">
        <v>1820</v>
      </c>
      <c r="D9192" s="6">
        <v>35.81</v>
      </c>
      <c r="E9192" t="s">
        <v>77</v>
      </c>
    </row>
    <row r="9193" spans="1:5" x14ac:dyDescent="0.25">
      <c r="A9193" t="str">
        <f>HYPERLINK("https://www.773grp.com/globalSearch/SN74ACT7202LA25RJ/page-1", "SN74ACT7202LA25RJ")</f>
        <v>SN74ACT7202LA25RJ</v>
      </c>
      <c r="B9193" s="3" t="s">
        <v>90</v>
      </c>
      <c r="C9193" s="5">
        <v>8050</v>
      </c>
      <c r="D9193" s="6">
        <v>35.86</v>
      </c>
      <c r="E9193" t="s">
        <v>77</v>
      </c>
    </row>
    <row r="9194" spans="1:5" x14ac:dyDescent="0.25">
      <c r="A9194" t="str">
        <f>HYPERLINK("https://www.773grp.com/globalSearch/SN74V3640-15PEU/page-1", "SN74V3640-15PEU")</f>
        <v>SN74V3640-15PEU</v>
      </c>
      <c r="B9194" s="3" t="s">
        <v>90</v>
      </c>
      <c r="C9194" s="5">
        <v>864</v>
      </c>
      <c r="D9194" s="6">
        <v>36.450000000000003</v>
      </c>
      <c r="E9194" t="s">
        <v>77</v>
      </c>
    </row>
    <row r="9195" spans="1:5" x14ac:dyDescent="0.25">
      <c r="A9195" t="str">
        <f>HYPERLINK("https://www.773grp.com/globalSearch/SN74V3650-7PEU/page-1", "SN74V3650-7PEU")</f>
        <v>SN74V3650-7PEU</v>
      </c>
      <c r="B9195" s="3" t="s">
        <v>90</v>
      </c>
      <c r="C9195" s="5">
        <v>1261</v>
      </c>
      <c r="D9195" s="6">
        <v>37.43</v>
      </c>
      <c r="E9195" t="s">
        <v>77</v>
      </c>
    </row>
    <row r="9196" spans="1:5" x14ac:dyDescent="0.25">
      <c r="A9196" t="str">
        <f>HYPERLINK("https://www.773grp.com/globalSearch/SN74V3640-10PEU/page-1", "SN74V3640-10PEU")</f>
        <v>SN74V3640-10PEU</v>
      </c>
      <c r="B9196" s="3" t="s">
        <v>90</v>
      </c>
      <c r="C9196" s="5">
        <v>720</v>
      </c>
      <c r="D9196" s="6">
        <v>37.799999999999997</v>
      </c>
      <c r="E9196" t="s">
        <v>77</v>
      </c>
    </row>
    <row r="9197" spans="1:5" x14ac:dyDescent="0.25">
      <c r="A9197" t="str">
        <f>HYPERLINK("https://www.773grp.com/globalSearch/SN74ABT7819-30PN/page-1", "SN74ABT7819-30PN")</f>
        <v>SN74ABT7819-30PN</v>
      </c>
      <c r="B9197" s="3" t="s">
        <v>90</v>
      </c>
      <c r="C9197" s="5">
        <v>92</v>
      </c>
      <c r="D9197" s="6">
        <v>38.28</v>
      </c>
      <c r="E9197" t="s">
        <v>77</v>
      </c>
    </row>
    <row r="9198" spans="1:5" x14ac:dyDescent="0.25">
      <c r="A9198" t="str">
        <f>HYPERLINK("https://www.773grp.com/globalSearch/SN74ABT7819A-30PN/page-1", "SN74ABT7819A-30PN")</f>
        <v>SN74ABT7819A-30PN</v>
      </c>
      <c r="B9198" s="3" t="s">
        <v>90</v>
      </c>
      <c r="C9198" s="5">
        <v>599</v>
      </c>
      <c r="D9198" s="6">
        <v>38.28</v>
      </c>
      <c r="E9198" t="s">
        <v>77</v>
      </c>
    </row>
    <row r="9199" spans="1:5" x14ac:dyDescent="0.25">
      <c r="A9199" t="str">
        <f>HYPERLINK("https://www.773grp.com/globalSearch/SN74ABT7820-30PH/page-1", "SN74ABT7820-30PH")</f>
        <v>SN74ABT7820-30PH</v>
      </c>
      <c r="B9199" s="3" t="s">
        <v>90</v>
      </c>
      <c r="C9199" s="5">
        <v>251</v>
      </c>
      <c r="D9199" s="6">
        <v>38.28</v>
      </c>
      <c r="E9199" t="s">
        <v>77</v>
      </c>
    </row>
    <row r="9200" spans="1:5" x14ac:dyDescent="0.25">
      <c r="A9200" t="str">
        <f>HYPERLINK("https://www.773grp.com/globalSearch/SN74ABT7820-30PN/page-1", "SN74ABT7820-30PN")</f>
        <v>SN74ABT7820-30PN</v>
      </c>
      <c r="B9200" s="3" t="s">
        <v>90</v>
      </c>
      <c r="C9200" s="5">
        <v>4753</v>
      </c>
      <c r="D9200" s="6">
        <v>38.28</v>
      </c>
      <c r="E9200" t="s">
        <v>77</v>
      </c>
    </row>
    <row r="9201" spans="1:5" x14ac:dyDescent="0.25">
      <c r="A9201" t="str">
        <f>HYPERLINK("https://www.773grp.com/globalSearch/SN74ACT2235-30FN/page-1", "SN74ACT2235-30FN")</f>
        <v>SN74ACT2235-30FN</v>
      </c>
      <c r="B9201" s="3" t="s">
        <v>90</v>
      </c>
      <c r="C9201" s="5">
        <v>499</v>
      </c>
      <c r="D9201" s="6">
        <v>38.28</v>
      </c>
      <c r="E9201" t="s">
        <v>77</v>
      </c>
    </row>
    <row r="9202" spans="1:5" x14ac:dyDescent="0.25">
      <c r="A9202" t="str">
        <f>HYPERLINK("https://www.773grp.com/globalSearch/SN74ACT2235-30FNR/page-1", "SN74ACT2235-30FNR")</f>
        <v>SN74ACT2235-30FNR</v>
      </c>
      <c r="B9202" s="3" t="s">
        <v>90</v>
      </c>
      <c r="C9202" s="5">
        <v>500</v>
      </c>
      <c r="D9202" s="6">
        <v>38.28</v>
      </c>
      <c r="E9202" t="s">
        <v>77</v>
      </c>
    </row>
    <row r="9203" spans="1:5" x14ac:dyDescent="0.25">
      <c r="A9203" t="str">
        <f>HYPERLINK("https://www.773grp.com/globalSearch/SN74ACT2235-30PAG/page-1", "SN74ACT2235-30PAG")</f>
        <v>SN74ACT2235-30PAG</v>
      </c>
      <c r="B9203" s="3" t="s">
        <v>90</v>
      </c>
      <c r="C9203" s="5">
        <v>2102</v>
      </c>
      <c r="D9203" s="6">
        <v>38.28</v>
      </c>
      <c r="E9203" t="s">
        <v>77</v>
      </c>
    </row>
    <row r="9204" spans="1:5" x14ac:dyDescent="0.25">
      <c r="A9204" t="str">
        <f>HYPERLINK("https://www.773grp.com/globalSearch/SN74ACT3622-30PQ/page-1", "SN74ACT3622-30PQ")</f>
        <v>SN74ACT3622-30PQ</v>
      </c>
      <c r="B9204" s="3" t="s">
        <v>90</v>
      </c>
      <c r="C9204" s="5">
        <v>299</v>
      </c>
      <c r="D9204" s="6">
        <v>38.28</v>
      </c>
      <c r="E9204" t="s">
        <v>77</v>
      </c>
    </row>
    <row r="9205" spans="1:5" x14ac:dyDescent="0.25">
      <c r="A9205" t="str">
        <f>HYPERLINK("https://www.773grp.com/globalSearch/SN74ACT3631-30PCB/page-1", "SN74ACT3631-30PCB")</f>
        <v>SN74ACT3631-30PCB</v>
      </c>
      <c r="B9205" s="3" t="s">
        <v>90</v>
      </c>
      <c r="C9205" s="5">
        <v>361</v>
      </c>
      <c r="D9205" s="6">
        <v>38.28</v>
      </c>
      <c r="E9205" t="s">
        <v>77</v>
      </c>
    </row>
    <row r="9206" spans="1:5" x14ac:dyDescent="0.25">
      <c r="A9206" t="str">
        <f>HYPERLINK("https://www.773grp.com/globalSearch/SN74ACT3631-30PQ/page-1", "SN74ACT3631-30PQ")</f>
        <v>SN74ACT3631-30PQ</v>
      </c>
      <c r="B9206" s="3" t="s">
        <v>90</v>
      </c>
      <c r="C9206" s="5">
        <v>1106</v>
      </c>
      <c r="D9206" s="6">
        <v>38.28</v>
      </c>
      <c r="E9206" t="s">
        <v>77</v>
      </c>
    </row>
    <row r="9207" spans="1:5" x14ac:dyDescent="0.25">
      <c r="A9207" t="str">
        <f>HYPERLINK("https://www.773grp.com/globalSearch/SN74ACT3632-30PCB/page-1", "SN74ACT3632-30PCB")</f>
        <v>SN74ACT3632-30PCB</v>
      </c>
      <c r="B9207" s="3" t="s">
        <v>90</v>
      </c>
      <c r="C9207" s="5">
        <v>2390</v>
      </c>
      <c r="D9207" s="6">
        <v>38.28</v>
      </c>
      <c r="E9207" t="s">
        <v>77</v>
      </c>
    </row>
    <row r="9208" spans="1:5" x14ac:dyDescent="0.25">
      <c r="A9208" t="str">
        <f>HYPERLINK("https://www.773grp.com/globalSearch/SN74ACT3632-30PQ/page-1", "SN74ACT3632-30PQ")</f>
        <v>SN74ACT3632-30PQ</v>
      </c>
      <c r="B9208" s="3" t="s">
        <v>90</v>
      </c>
      <c r="C9208" s="5">
        <v>809</v>
      </c>
      <c r="D9208" s="6">
        <v>38.28</v>
      </c>
      <c r="E9208" t="s">
        <v>77</v>
      </c>
    </row>
    <row r="9209" spans="1:5" x14ac:dyDescent="0.25">
      <c r="A9209" t="str">
        <f>HYPERLINK("https://www.773grp.com/globalSearch/SN74ACT7808-30FN/page-1", "SN74ACT7808-30FN")</f>
        <v>SN74ACT7808-30FN</v>
      </c>
      <c r="B9209" s="3" t="s">
        <v>90</v>
      </c>
      <c r="C9209" s="5">
        <v>2800</v>
      </c>
      <c r="D9209" s="6">
        <v>38.28</v>
      </c>
      <c r="E9209" t="s">
        <v>77</v>
      </c>
    </row>
    <row r="9210" spans="1:5" x14ac:dyDescent="0.25">
      <c r="A9210" t="str">
        <f>HYPERLINK("https://www.773grp.com/globalSearch/SN74ACT7808-30PAG/page-1", "SN74ACT7808-30PAG")</f>
        <v>SN74ACT7808-30PAG</v>
      </c>
      <c r="B9210" s="3" t="s">
        <v>90</v>
      </c>
      <c r="C9210" s="5">
        <v>848</v>
      </c>
      <c r="D9210" s="6">
        <v>38.28</v>
      </c>
      <c r="E9210" t="s">
        <v>77</v>
      </c>
    </row>
    <row r="9211" spans="1:5" x14ac:dyDescent="0.25">
      <c r="A9211" t="str">
        <f>HYPERLINK("https://www.773grp.com/globalSearch/SN74ACT7881-30FN/page-1", "SN74ACT7881-30FN")</f>
        <v>SN74ACT7881-30FN</v>
      </c>
      <c r="B9211" s="3" t="s">
        <v>90</v>
      </c>
      <c r="C9211" s="5">
        <v>387</v>
      </c>
      <c r="D9211" s="6">
        <v>38.28</v>
      </c>
      <c r="E9211" t="s">
        <v>77</v>
      </c>
    </row>
    <row r="9212" spans="1:5" x14ac:dyDescent="0.25">
      <c r="A9212" t="str">
        <f>HYPERLINK("https://www.773grp.com/globalSearch/SN74ACT7881-30PN/page-1", "SN74ACT7881-30PN")</f>
        <v>SN74ACT7881-30PN</v>
      </c>
      <c r="B9212" s="3" t="s">
        <v>90</v>
      </c>
      <c r="C9212" s="5">
        <v>11652</v>
      </c>
      <c r="D9212" s="6">
        <v>38.28</v>
      </c>
      <c r="E9212" t="s">
        <v>77</v>
      </c>
    </row>
    <row r="9213" spans="1:5" x14ac:dyDescent="0.25">
      <c r="A9213" t="str">
        <f>HYPERLINK("https://www.773grp.com/globalSearch/SN74V263-15PZA/page-1", "SN74V263-15PZA")</f>
        <v>SN74V263-15PZA</v>
      </c>
      <c r="B9213" s="3" t="s">
        <v>90</v>
      </c>
      <c r="C9213" s="5">
        <v>756</v>
      </c>
      <c r="D9213" s="6">
        <v>38.36</v>
      </c>
      <c r="E9213" t="s">
        <v>77</v>
      </c>
    </row>
    <row r="9214" spans="1:5" x14ac:dyDescent="0.25">
      <c r="A9214" t="str">
        <f>HYPERLINK("https://www.773grp.com/globalSearch/SN74ACT7205L25NP/page-1", "SN74ACT7205L25NP")</f>
        <v>SN74ACT7205L25NP</v>
      </c>
      <c r="B9214" s="3" t="s">
        <v>90</v>
      </c>
      <c r="C9214" s="5">
        <v>2645</v>
      </c>
      <c r="D9214" s="6">
        <v>39.04</v>
      </c>
      <c r="E9214" t="s">
        <v>77</v>
      </c>
    </row>
    <row r="9215" spans="1:5" x14ac:dyDescent="0.25">
      <c r="A9215" t="str">
        <f>HYPERLINK("https://www.773grp.com/globalSearch/SN74ACT7203L15NP/page-1", "SN74ACT7203L15NP")</f>
        <v>SN74ACT7203L15NP</v>
      </c>
      <c r="B9215" s="3" t="s">
        <v>90</v>
      </c>
      <c r="C9215" s="5">
        <v>2283</v>
      </c>
      <c r="D9215" s="6">
        <v>39.44</v>
      </c>
      <c r="E9215" t="s">
        <v>77</v>
      </c>
    </row>
    <row r="9216" spans="1:5" x14ac:dyDescent="0.25">
      <c r="A9216" t="str">
        <f>HYPERLINK("https://www.773grp.com/globalSearch/SN74ACT7203L15RJ/page-1", "SN74ACT7203L15RJ")</f>
        <v>SN74ACT7203L15RJ</v>
      </c>
      <c r="B9216" s="3" t="s">
        <v>90</v>
      </c>
      <c r="C9216" s="5">
        <v>22010</v>
      </c>
      <c r="D9216" s="6">
        <v>39.44</v>
      </c>
      <c r="E9216" t="s">
        <v>77</v>
      </c>
    </row>
    <row r="9217" spans="1:5" x14ac:dyDescent="0.25">
      <c r="A9217" t="str">
        <f>HYPERLINK("https://www.773grp.com/globalSearch/SN74V263-10PZA/page-1", "SN74V263-10PZA")</f>
        <v>SN74V263-10PZA</v>
      </c>
      <c r="B9217" s="3" t="s">
        <v>90</v>
      </c>
      <c r="C9217" s="5">
        <v>518</v>
      </c>
      <c r="D9217" s="6">
        <v>39.58</v>
      </c>
      <c r="E9217" t="s">
        <v>77</v>
      </c>
    </row>
    <row r="9218" spans="1:5" x14ac:dyDescent="0.25">
      <c r="A9218" t="str">
        <f>HYPERLINK("https://www.773grp.com/globalSearch/SN74V3650-15PEU/page-1", "SN74V3650-15PEU")</f>
        <v>SN74V3650-15PEU</v>
      </c>
      <c r="B9218" s="3" t="s">
        <v>90</v>
      </c>
      <c r="C9218" s="5">
        <v>1512</v>
      </c>
      <c r="D9218" s="6">
        <v>39.86</v>
      </c>
      <c r="E9218" t="s">
        <v>77</v>
      </c>
    </row>
    <row r="9219" spans="1:5" x14ac:dyDescent="0.25">
      <c r="A9219" t="str">
        <f>HYPERLINK("https://www.773grp.com/globalSearch/SN74V263-7PZA/page-1", "SN74V263-7PZA")</f>
        <v>SN74V263-7PZA</v>
      </c>
      <c r="B9219" s="3" t="s">
        <v>90</v>
      </c>
      <c r="C9219" s="5">
        <v>137</v>
      </c>
      <c r="D9219" s="6">
        <v>40.75</v>
      </c>
      <c r="E9219" t="s">
        <v>77</v>
      </c>
    </row>
    <row r="9220" spans="1:5" x14ac:dyDescent="0.25">
      <c r="A9220" t="str">
        <f>HYPERLINK("https://www.773grp.com/globalSearch/SN74V3660-7PEU/page-1", "SN74V3660-7PEU")</f>
        <v>SN74V3660-7PEU</v>
      </c>
      <c r="B9220" s="3" t="s">
        <v>90</v>
      </c>
      <c r="C9220" s="5">
        <v>527</v>
      </c>
      <c r="D9220" s="6">
        <v>40.75</v>
      </c>
      <c r="E9220" t="s">
        <v>77</v>
      </c>
    </row>
    <row r="9221" spans="1:5" x14ac:dyDescent="0.25">
      <c r="A9221" t="str">
        <f>HYPERLINK("https://www.773grp.com/globalSearch/SN74ALS234N/page-1", "SN74ALS234N")</f>
        <v>SN74ALS234N</v>
      </c>
      <c r="B9221" s="3" t="s">
        <v>90</v>
      </c>
      <c r="C9221" s="5">
        <v>166</v>
      </c>
      <c r="D9221" s="6">
        <v>41.09</v>
      </c>
      <c r="E9221" t="s">
        <v>77</v>
      </c>
    </row>
    <row r="9222" spans="1:5" x14ac:dyDescent="0.25">
      <c r="A9222" t="str">
        <f>HYPERLINK("https://www.773grp.com/globalSearch/SN74ALS235N/page-1", "SN74ALS235N")</f>
        <v>SN74ALS235N</v>
      </c>
      <c r="B9222" s="3" t="s">
        <v>90</v>
      </c>
      <c r="C9222" s="5">
        <v>257</v>
      </c>
      <c r="D9222" s="6">
        <v>41.09</v>
      </c>
      <c r="E9222" t="s">
        <v>77</v>
      </c>
    </row>
    <row r="9223" spans="1:5" x14ac:dyDescent="0.25">
      <c r="A9223" t="str">
        <f>HYPERLINK("https://www.773grp.com/globalSearch/SN74V3650-10PEU/page-1", "SN74V3650-10PEU")</f>
        <v>SN74V3650-10PEU</v>
      </c>
      <c r="B9223" s="3" t="s">
        <v>90</v>
      </c>
      <c r="C9223" s="5">
        <v>1440</v>
      </c>
      <c r="D9223" s="6">
        <v>41.23</v>
      </c>
      <c r="E9223" t="s">
        <v>77</v>
      </c>
    </row>
    <row r="9224" spans="1:5" x14ac:dyDescent="0.25">
      <c r="A9224" t="str">
        <f>HYPERLINK("https://www.773grp.com/globalSearch/CD54HCT40105F3A/page-1", "CD54HCT40105F3A")</f>
        <v>CD54HCT40105F3A</v>
      </c>
      <c r="B9224" s="3" t="s">
        <v>90</v>
      </c>
      <c r="C9224" s="5">
        <v>6</v>
      </c>
      <c r="D9224" s="6">
        <v>41.48</v>
      </c>
      <c r="E9224" t="s">
        <v>77</v>
      </c>
    </row>
    <row r="9225" spans="1:5" x14ac:dyDescent="0.25">
      <c r="A9225" t="str">
        <f>HYPERLINK("https://www.773grp.com/globalSearch/SN74ACT7882-15FN/page-1", "SN74ACT7882-15FN")</f>
        <v>SN74ACT7882-15FN</v>
      </c>
      <c r="B9225" s="3" t="s">
        <v>90</v>
      </c>
      <c r="C9225" s="5">
        <v>1458</v>
      </c>
      <c r="D9225" s="6">
        <v>41.76</v>
      </c>
      <c r="E9225" t="s">
        <v>77</v>
      </c>
    </row>
    <row r="9226" spans="1:5" x14ac:dyDescent="0.25">
      <c r="A9226" t="str">
        <f>HYPERLINK("https://www.773grp.com/globalSearch/SN74ACT7882-15PN/page-1", "SN74ACT7882-15PN")</f>
        <v>SN74ACT7882-15PN</v>
      </c>
      <c r="B9226" s="3" t="s">
        <v>90</v>
      </c>
      <c r="C9226" s="5">
        <v>913</v>
      </c>
      <c r="D9226" s="6">
        <v>41.76</v>
      </c>
      <c r="E9226" t="s">
        <v>77</v>
      </c>
    </row>
    <row r="9227" spans="1:5" x14ac:dyDescent="0.25">
      <c r="A9227" t="str">
        <f>HYPERLINK("https://www.773grp.com/globalSearch/SN74ACT7882-20FN/page-1", "SN74ACT7882-20FN")</f>
        <v>SN74ACT7882-20FN</v>
      </c>
      <c r="B9227" s="3" t="s">
        <v>90</v>
      </c>
      <c r="C9227" s="5">
        <v>1367</v>
      </c>
      <c r="D9227" s="6">
        <v>41.76</v>
      </c>
      <c r="E9227" t="s">
        <v>77</v>
      </c>
    </row>
    <row r="9228" spans="1:5" x14ac:dyDescent="0.25">
      <c r="A9228" t="str">
        <f>HYPERLINK("https://www.773grp.com/globalSearch/SN74V263-6PZA/page-1", "SN74V263-6PZA")</f>
        <v>SN74V263-6PZA</v>
      </c>
      <c r="B9228" s="3" t="s">
        <v>90</v>
      </c>
      <c r="C9228" s="5">
        <v>511</v>
      </c>
      <c r="D9228" s="6">
        <v>41.94</v>
      </c>
      <c r="E9228" t="s">
        <v>77</v>
      </c>
    </row>
    <row r="9229" spans="1:5" x14ac:dyDescent="0.25">
      <c r="A9229" t="str">
        <f>HYPERLINK("https://www.773grp.com/globalSearch/SN74V273-15PZA/page-1", "SN74V273-15PZA")</f>
        <v>SN74V273-15PZA</v>
      </c>
      <c r="B9229" s="3" t="s">
        <v>90</v>
      </c>
      <c r="C9229" s="5">
        <v>435</v>
      </c>
      <c r="D9229" s="6">
        <v>41.94</v>
      </c>
      <c r="E9229" t="s">
        <v>77</v>
      </c>
    </row>
    <row r="9230" spans="1:5" x14ac:dyDescent="0.25">
      <c r="A9230" t="str">
        <f>HYPERLINK("https://www.773grp.com/globalSearch/SN74V3660-6PEU/page-1", "SN74V3660-6PEU")</f>
        <v>SN74V3660-6PEU</v>
      </c>
      <c r="B9230" s="3" t="s">
        <v>90</v>
      </c>
      <c r="C9230" s="5">
        <v>5522</v>
      </c>
      <c r="D9230" s="6">
        <v>41.94</v>
      </c>
      <c r="E9230" t="s">
        <v>77</v>
      </c>
    </row>
    <row r="9231" spans="1:5" x14ac:dyDescent="0.25">
      <c r="A9231" t="str">
        <f>HYPERLINK("https://www.773grp.com/globalSearch/SN74V263PZAEP/page-1", "SN74V263PZAEP")</f>
        <v>SN74V263PZAEP</v>
      </c>
      <c r="B9231" s="3" t="s">
        <v>90</v>
      </c>
      <c r="C9231" s="5">
        <v>98</v>
      </c>
      <c r="D9231" s="6">
        <v>42.61</v>
      </c>
      <c r="E9231" t="s">
        <v>77</v>
      </c>
    </row>
    <row r="9232" spans="1:5" x14ac:dyDescent="0.25">
      <c r="A9232" t="str">
        <f>HYPERLINK("https://www.773grp.com/globalSearch/SN74ACT7204L20NP/page-1", "SN74ACT7204L20NP")</f>
        <v>SN74ACT7204L20NP</v>
      </c>
      <c r="B9232" s="3" t="s">
        <v>90</v>
      </c>
      <c r="C9232" s="5">
        <v>1946</v>
      </c>
      <c r="D9232" s="6">
        <v>42.81</v>
      </c>
      <c r="E9232" t="s">
        <v>77</v>
      </c>
    </row>
    <row r="9233" spans="1:5" x14ac:dyDescent="0.25">
      <c r="A9233" t="str">
        <f>HYPERLINK("https://www.773grp.com/globalSearch/SN74ACT7204L20RJ/page-1", "SN74ACT7204L20RJ")</f>
        <v>SN74ACT7204L20RJ</v>
      </c>
      <c r="B9233" s="3" t="s">
        <v>90</v>
      </c>
      <c r="C9233" s="5">
        <v>1496</v>
      </c>
      <c r="D9233" s="6">
        <v>42.81</v>
      </c>
      <c r="E9233" t="s">
        <v>77</v>
      </c>
    </row>
    <row r="9234" spans="1:5" x14ac:dyDescent="0.25">
      <c r="A9234" t="str">
        <f>HYPERLINK("https://www.773grp.com/globalSearch/SN74ABT3612-15PCB/page-1", "SN74ABT3612-15PCB")</f>
        <v>SN74ABT3612-15PCB</v>
      </c>
      <c r="B9234" s="3" t="s">
        <v>90</v>
      </c>
      <c r="C9234" s="5">
        <v>8908</v>
      </c>
      <c r="D9234" s="6">
        <v>43.04</v>
      </c>
      <c r="E9234" t="s">
        <v>77</v>
      </c>
    </row>
    <row r="9235" spans="1:5" x14ac:dyDescent="0.25">
      <c r="A9235" t="str">
        <f>HYPERLINK("https://www.773grp.com/globalSearch/SN74ABT3612-15PQ/page-1", "SN74ABT3612-15PQ")</f>
        <v>SN74ABT3612-15PQ</v>
      </c>
      <c r="B9235" s="3" t="s">
        <v>90</v>
      </c>
      <c r="C9235" s="5">
        <v>590</v>
      </c>
      <c r="D9235" s="6">
        <v>43.04</v>
      </c>
      <c r="E9235" t="s">
        <v>77</v>
      </c>
    </row>
    <row r="9236" spans="1:5" x14ac:dyDescent="0.25">
      <c r="A9236" t="str">
        <f>HYPERLINK("https://www.773grp.com/globalSearch/SN74ABT3614-15PCB/page-1", "SN74ABT3614-15PCB")</f>
        <v>SN74ABT3614-15PCB</v>
      </c>
      <c r="B9236" s="3" t="s">
        <v>90</v>
      </c>
      <c r="C9236" s="5">
        <v>184</v>
      </c>
      <c r="D9236" s="6">
        <v>43.04</v>
      </c>
      <c r="E9236" t="s">
        <v>77</v>
      </c>
    </row>
    <row r="9237" spans="1:5" x14ac:dyDescent="0.25">
      <c r="A9237" t="str">
        <f>HYPERLINK("https://www.773grp.com/globalSearch/SN74V273-10PZA/page-1", "SN74V273-10PZA")</f>
        <v>SN74V273-10PZA</v>
      </c>
      <c r="B9237" s="3" t="s">
        <v>90</v>
      </c>
      <c r="C9237" s="5">
        <v>50</v>
      </c>
      <c r="D9237" s="6">
        <v>43.15</v>
      </c>
      <c r="E9237" t="s">
        <v>77</v>
      </c>
    </row>
    <row r="9238" spans="1:5" x14ac:dyDescent="0.25">
      <c r="A9238" t="str">
        <f>HYPERLINK("https://www.773grp.com/globalSearch/SN74V3650-6PEU/page-1", "SN74V3650-6PEU")</f>
        <v>SN74V3650-6PEU</v>
      </c>
      <c r="B9238" s="3" t="s">
        <v>90</v>
      </c>
      <c r="C9238" s="5">
        <v>761</v>
      </c>
      <c r="D9238" s="6">
        <v>43.88</v>
      </c>
      <c r="E9238" t="s">
        <v>77</v>
      </c>
    </row>
    <row r="9239" spans="1:5" x14ac:dyDescent="0.25">
      <c r="A9239" t="str">
        <f>HYPERLINK("https://www.773grp.com/globalSearch/SN74V273-7PZA/page-1", "SN74V273-7PZA")</f>
        <v>SN74V273-7PZA</v>
      </c>
      <c r="B9239" s="3" t="s">
        <v>90</v>
      </c>
      <c r="C9239" s="5">
        <v>538</v>
      </c>
      <c r="D9239" s="6">
        <v>44.35</v>
      </c>
      <c r="E9239" t="s">
        <v>77</v>
      </c>
    </row>
    <row r="9240" spans="1:5" x14ac:dyDescent="0.25">
      <c r="A9240" t="str">
        <f>HYPERLINK("https://www.773grp.com/globalSearch/SN74V3670-7PEU/page-1", "SN74V3670-7PEU")</f>
        <v>SN74V3670-7PEU</v>
      </c>
      <c r="B9240" s="3" t="s">
        <v>90</v>
      </c>
      <c r="C9240" s="5">
        <v>1998</v>
      </c>
      <c r="D9240" s="6">
        <v>44.35</v>
      </c>
      <c r="E9240" t="s">
        <v>77</v>
      </c>
    </row>
    <row r="9241" spans="1:5" x14ac:dyDescent="0.25">
      <c r="A9241" t="str">
        <f>HYPERLINK("https://www.773grp.com/globalSearch/SN74ABT7819-20PH/page-1", "SN74ABT7819-20PH")</f>
        <v>SN74ABT7819-20PH</v>
      </c>
      <c r="B9241" s="3" t="s">
        <v>90</v>
      </c>
      <c r="C9241" s="5">
        <v>264</v>
      </c>
      <c r="D9241" s="6">
        <v>44.44</v>
      </c>
      <c r="E9241" t="s">
        <v>77</v>
      </c>
    </row>
    <row r="9242" spans="1:5" x14ac:dyDescent="0.25">
      <c r="A9242" t="str">
        <f>HYPERLINK("https://www.773grp.com/globalSearch/SN74ABT7819-20PN/page-1", "SN74ABT7819-20PN")</f>
        <v>SN74ABT7819-20PN</v>
      </c>
      <c r="B9242" s="3" t="s">
        <v>90</v>
      </c>
      <c r="C9242" s="5">
        <v>2970</v>
      </c>
      <c r="D9242" s="6">
        <v>44.44</v>
      </c>
      <c r="E9242" t="s">
        <v>77</v>
      </c>
    </row>
    <row r="9243" spans="1:5" x14ac:dyDescent="0.25">
      <c r="A9243" t="str">
        <f>HYPERLINK("https://www.773grp.com/globalSearch/SN74ABT7819A-15PN/page-1", "SN74ABT7819A-15PN")</f>
        <v>SN74ABT7819A-15PN</v>
      </c>
      <c r="B9243" s="3" t="s">
        <v>90</v>
      </c>
      <c r="C9243" s="5">
        <v>1858</v>
      </c>
      <c r="D9243" s="6">
        <v>44.44</v>
      </c>
      <c r="E9243" t="s">
        <v>77</v>
      </c>
    </row>
    <row r="9244" spans="1:5" x14ac:dyDescent="0.25">
      <c r="A9244" t="str">
        <f>HYPERLINK("https://www.773grp.com/globalSearch/SN74ABT7819A-20PN/page-1", "SN74ABT7819A-20PN")</f>
        <v>SN74ABT7819A-20PN</v>
      </c>
      <c r="B9244" s="3" t="s">
        <v>90</v>
      </c>
      <c r="C9244" s="5">
        <v>2610</v>
      </c>
      <c r="D9244" s="6">
        <v>44.44</v>
      </c>
      <c r="E9244" t="s">
        <v>77</v>
      </c>
    </row>
    <row r="9245" spans="1:5" x14ac:dyDescent="0.25">
      <c r="A9245" t="str">
        <f>HYPERLINK("https://www.773grp.com/globalSearch/SN74ABT7820-15PH/page-1", "SN74ABT7820-15PH")</f>
        <v>SN74ABT7820-15PH</v>
      </c>
      <c r="B9245" s="3" t="s">
        <v>90</v>
      </c>
      <c r="C9245" s="5">
        <v>424</v>
      </c>
      <c r="D9245" s="6">
        <v>44.44</v>
      </c>
      <c r="E9245" t="s">
        <v>77</v>
      </c>
    </row>
    <row r="9246" spans="1:5" x14ac:dyDescent="0.25">
      <c r="A9246" t="str">
        <f>HYPERLINK("https://www.773grp.com/globalSearch/SN74ABT7820-15PN/page-1", "SN74ABT7820-15PN")</f>
        <v>SN74ABT7820-15PN</v>
      </c>
      <c r="B9246" s="3" t="s">
        <v>90</v>
      </c>
      <c r="C9246" s="5">
        <v>9819</v>
      </c>
      <c r="D9246" s="6">
        <v>44.44</v>
      </c>
      <c r="E9246" t="s">
        <v>77</v>
      </c>
    </row>
    <row r="9247" spans="1:5" x14ac:dyDescent="0.25">
      <c r="A9247" t="str">
        <f>HYPERLINK("https://www.773grp.com/globalSearch/SN74ABT7820-20PH/page-1", "SN74ABT7820-20PH")</f>
        <v>SN74ABT7820-20PH</v>
      </c>
      <c r="B9247" s="3" t="s">
        <v>90</v>
      </c>
      <c r="C9247" s="5">
        <v>932</v>
      </c>
      <c r="D9247" s="6">
        <v>44.44</v>
      </c>
      <c r="E9247" t="s">
        <v>77</v>
      </c>
    </row>
    <row r="9248" spans="1:5" x14ac:dyDescent="0.25">
      <c r="A9248" t="str">
        <f>HYPERLINK("https://www.773grp.com/globalSearch/SN74ABT7820-20PN/page-1", "SN74ABT7820-20PN")</f>
        <v>SN74ABT7820-20PN</v>
      </c>
      <c r="B9248" s="3" t="s">
        <v>90</v>
      </c>
      <c r="C9248" s="5">
        <v>2740</v>
      </c>
      <c r="D9248" s="6">
        <v>44.44</v>
      </c>
      <c r="E9248" t="s">
        <v>77</v>
      </c>
    </row>
    <row r="9249" spans="1:5" x14ac:dyDescent="0.25">
      <c r="A9249" t="str">
        <f>HYPERLINK("https://www.773grp.com/globalSearch/SN74ACT3622-15PCB/page-1", "SN74ACT3622-15PCB")</f>
        <v>SN74ACT3622-15PCB</v>
      </c>
      <c r="B9249" s="3" t="s">
        <v>90</v>
      </c>
      <c r="C9249" s="5">
        <v>5941</v>
      </c>
      <c r="D9249" s="6">
        <v>44.44</v>
      </c>
      <c r="E9249" t="s">
        <v>77</v>
      </c>
    </row>
    <row r="9250" spans="1:5" x14ac:dyDescent="0.25">
      <c r="A9250" t="str">
        <f>HYPERLINK("https://www.773grp.com/globalSearch/SN74ACT3622-15PQ/page-1", "SN74ACT3622-15PQ")</f>
        <v>SN74ACT3622-15PQ</v>
      </c>
      <c r="B9250" s="3" t="s">
        <v>90</v>
      </c>
      <c r="C9250" s="5">
        <v>1108</v>
      </c>
      <c r="D9250" s="6">
        <v>44.44</v>
      </c>
      <c r="E9250" t="s">
        <v>77</v>
      </c>
    </row>
    <row r="9251" spans="1:5" x14ac:dyDescent="0.25">
      <c r="A9251" t="str">
        <f>HYPERLINK("https://www.773grp.com/globalSearch/SN74ACT3622-15PQG4/page-1", "SN74ACT3622-15PQG4")</f>
        <v>SN74ACT3622-15PQG4</v>
      </c>
      <c r="B9251" s="3" t="s">
        <v>90</v>
      </c>
      <c r="C9251" s="5">
        <v>2304</v>
      </c>
      <c r="D9251" s="6">
        <v>44.44</v>
      </c>
      <c r="E9251" t="s">
        <v>77</v>
      </c>
    </row>
    <row r="9252" spans="1:5" x14ac:dyDescent="0.25">
      <c r="A9252" t="str">
        <f>HYPERLINK("https://www.773grp.com/globalSearch/SN74ACT3622-20PCB/page-1", "SN74ACT3622-20PCB")</f>
        <v>SN74ACT3622-20PCB</v>
      </c>
      <c r="B9252" s="3" t="s">
        <v>90</v>
      </c>
      <c r="C9252" s="5">
        <v>1432</v>
      </c>
      <c r="D9252" s="6">
        <v>44.44</v>
      </c>
      <c r="E9252" t="s">
        <v>77</v>
      </c>
    </row>
    <row r="9253" spans="1:5" x14ac:dyDescent="0.25">
      <c r="A9253" t="str">
        <f>HYPERLINK("https://www.773grp.com/globalSearch/SN74ACT3622-20PQ/page-1", "SN74ACT3622-20PQ")</f>
        <v>SN74ACT3622-20PQ</v>
      </c>
      <c r="B9253" s="3" t="s">
        <v>90</v>
      </c>
      <c r="C9253" s="5">
        <v>212</v>
      </c>
      <c r="D9253" s="6">
        <v>44.44</v>
      </c>
      <c r="E9253" t="s">
        <v>77</v>
      </c>
    </row>
    <row r="9254" spans="1:5" x14ac:dyDescent="0.25">
      <c r="A9254" t="str">
        <f>HYPERLINK("https://www.773grp.com/globalSearch/SN74ACT3631-15PCB/page-1", "SN74ACT3631-15PCB")</f>
        <v>SN74ACT3631-15PCB</v>
      </c>
      <c r="B9254" s="3" t="s">
        <v>90</v>
      </c>
      <c r="C9254" s="5">
        <v>358</v>
      </c>
      <c r="D9254" s="6">
        <v>44.44</v>
      </c>
      <c r="E9254" t="s">
        <v>77</v>
      </c>
    </row>
    <row r="9255" spans="1:5" x14ac:dyDescent="0.25">
      <c r="A9255" t="str">
        <f>HYPERLINK("https://www.773grp.com/globalSearch/SN74ACT3631-15PQ/page-1", "SN74ACT3631-15PQ")</f>
        <v>SN74ACT3631-15PQ</v>
      </c>
      <c r="B9255" s="3" t="s">
        <v>90</v>
      </c>
      <c r="C9255" s="5">
        <v>4587</v>
      </c>
      <c r="D9255" s="6">
        <v>44.44</v>
      </c>
      <c r="E9255" t="s">
        <v>77</v>
      </c>
    </row>
    <row r="9256" spans="1:5" x14ac:dyDescent="0.25">
      <c r="A9256" t="str">
        <f>HYPERLINK("https://www.773grp.com/globalSearch/SN74ACT3631-20PCB/page-1", "SN74ACT3631-20PCB")</f>
        <v>SN74ACT3631-20PCB</v>
      </c>
      <c r="B9256" s="3" t="s">
        <v>90</v>
      </c>
      <c r="C9256" s="5">
        <v>643</v>
      </c>
      <c r="D9256" s="6">
        <v>44.44</v>
      </c>
      <c r="E9256" t="s">
        <v>77</v>
      </c>
    </row>
    <row r="9257" spans="1:5" x14ac:dyDescent="0.25">
      <c r="A9257" t="str">
        <f>HYPERLINK("https://www.773grp.com/globalSearch/SN74ACT3631-20PQ/page-1", "SN74ACT3631-20PQ")</f>
        <v>SN74ACT3631-20PQ</v>
      </c>
      <c r="B9257" s="3" t="s">
        <v>90</v>
      </c>
      <c r="C9257" s="5">
        <v>1512</v>
      </c>
      <c r="D9257" s="6">
        <v>44.44</v>
      </c>
      <c r="E9257" t="s">
        <v>77</v>
      </c>
    </row>
    <row r="9258" spans="1:5" x14ac:dyDescent="0.25">
      <c r="A9258" t="str">
        <f>HYPERLINK("https://www.773grp.com/globalSearch/SN74ACT7807-15FN/page-1", "SN74ACT7807-15FN")</f>
        <v>SN74ACT7807-15FN</v>
      </c>
      <c r="B9258" s="3" t="s">
        <v>90</v>
      </c>
      <c r="C9258" s="5">
        <v>2498</v>
      </c>
      <c r="D9258" s="6">
        <v>44.44</v>
      </c>
      <c r="E9258" t="s">
        <v>77</v>
      </c>
    </row>
    <row r="9259" spans="1:5" x14ac:dyDescent="0.25">
      <c r="A9259" t="str">
        <f>HYPERLINK("https://www.773grp.com/globalSearch/SN74ACT7807-15PAG/page-1", "SN74ACT7807-15PAG")</f>
        <v>SN74ACT7807-15PAG</v>
      </c>
      <c r="B9259" s="3" t="s">
        <v>90</v>
      </c>
      <c r="C9259" s="5">
        <v>1211</v>
      </c>
      <c r="D9259" s="6">
        <v>44.44</v>
      </c>
      <c r="E9259" t="s">
        <v>77</v>
      </c>
    </row>
    <row r="9260" spans="1:5" x14ac:dyDescent="0.25">
      <c r="A9260" t="str">
        <f>HYPERLINK("https://www.773grp.com/globalSearch/SN74ACT7807-20FN/page-1", "SN74ACT7807-20FN")</f>
        <v>SN74ACT7807-20FN</v>
      </c>
      <c r="B9260" s="3" t="s">
        <v>90</v>
      </c>
      <c r="C9260" s="5">
        <v>208</v>
      </c>
      <c r="D9260" s="6">
        <v>44.44</v>
      </c>
      <c r="E9260" t="s">
        <v>77</v>
      </c>
    </row>
    <row r="9261" spans="1:5" x14ac:dyDescent="0.25">
      <c r="A9261" t="str">
        <f>HYPERLINK("https://www.773grp.com/globalSearch/SN74ACT7807-20FN/page-1", "SN74ACT7807-20FN")</f>
        <v>SN74ACT7807-20FN</v>
      </c>
      <c r="B9261" s="3" t="s">
        <v>90</v>
      </c>
      <c r="C9261" s="5">
        <v>675</v>
      </c>
      <c r="D9261" s="6">
        <v>44.44</v>
      </c>
      <c r="E9261" t="s">
        <v>77</v>
      </c>
    </row>
    <row r="9262" spans="1:5" x14ac:dyDescent="0.25">
      <c r="A9262" t="str">
        <f>HYPERLINK("https://www.773grp.com/globalSearch/SN74ACT7807-20PAG/page-1", "SN74ACT7807-20PAG")</f>
        <v>SN74ACT7807-20PAG</v>
      </c>
      <c r="B9262" s="3" t="s">
        <v>90</v>
      </c>
      <c r="C9262" s="5">
        <v>2936</v>
      </c>
      <c r="D9262" s="6">
        <v>44.44</v>
      </c>
      <c r="E9262" t="s">
        <v>77</v>
      </c>
    </row>
    <row r="9263" spans="1:5" x14ac:dyDescent="0.25">
      <c r="A9263" t="str">
        <f>HYPERLINK("https://www.773grp.com/globalSearch/SN74ACT7808-20FN/page-1", "SN74ACT7808-20FN")</f>
        <v>SN74ACT7808-20FN</v>
      </c>
      <c r="B9263" s="3" t="s">
        <v>90</v>
      </c>
      <c r="C9263" s="5">
        <v>932</v>
      </c>
      <c r="D9263" s="6">
        <v>44.44</v>
      </c>
      <c r="E9263" t="s">
        <v>77</v>
      </c>
    </row>
    <row r="9264" spans="1:5" x14ac:dyDescent="0.25">
      <c r="A9264" t="str">
        <f>HYPERLINK("https://www.773grp.com/globalSearch/SN74ACT7808-20PAG/page-1", "SN74ACT7808-20PAG")</f>
        <v>SN74ACT7808-20PAG</v>
      </c>
      <c r="B9264" s="3" t="s">
        <v>90</v>
      </c>
      <c r="C9264" s="5">
        <v>2805</v>
      </c>
      <c r="D9264" s="6">
        <v>44.44</v>
      </c>
      <c r="E9264" t="s">
        <v>77</v>
      </c>
    </row>
    <row r="9265" spans="1:5" x14ac:dyDescent="0.25">
      <c r="A9265" t="str">
        <f>HYPERLINK("https://www.773grp.com/globalSearch/SN74ACT7811-18FN/page-1", "SN74ACT7811-18FN")</f>
        <v>SN74ACT7811-18FN</v>
      </c>
      <c r="B9265" s="3" t="s">
        <v>90</v>
      </c>
      <c r="C9265" s="5">
        <v>3396</v>
      </c>
      <c r="D9265" s="6">
        <v>44.44</v>
      </c>
      <c r="E9265" t="s">
        <v>77</v>
      </c>
    </row>
    <row r="9266" spans="1:5" x14ac:dyDescent="0.25">
      <c r="A9266" t="str">
        <f>HYPERLINK("https://www.773grp.com/globalSearch/SN74ACT7811-18FNR/page-1", "SN74ACT7811-18FNR")</f>
        <v>SN74ACT7811-18FNR</v>
      </c>
      <c r="B9266" s="3" t="s">
        <v>90</v>
      </c>
      <c r="C9266" s="5">
        <v>1500</v>
      </c>
      <c r="D9266" s="6">
        <v>44.44</v>
      </c>
      <c r="E9266" t="s">
        <v>77</v>
      </c>
    </row>
    <row r="9267" spans="1:5" x14ac:dyDescent="0.25">
      <c r="A9267" t="str">
        <f>HYPERLINK("https://www.773grp.com/globalSearch/SN74ACT7811-18PN/page-1", "SN74ACT7811-18PN")</f>
        <v>SN74ACT7811-18PN</v>
      </c>
      <c r="B9267" s="3" t="s">
        <v>90</v>
      </c>
      <c r="C9267" s="5">
        <v>1250</v>
      </c>
      <c r="D9267" s="6">
        <v>44.44</v>
      </c>
      <c r="E9267" t="s">
        <v>77</v>
      </c>
    </row>
    <row r="9268" spans="1:5" x14ac:dyDescent="0.25">
      <c r="A9268" t="str">
        <f>HYPERLINK("https://www.773grp.com/globalSearch/SN74ACT7881-15FN/page-1", "SN74ACT7881-15FN")</f>
        <v>SN74ACT7881-15FN</v>
      </c>
      <c r="B9268" s="3" t="s">
        <v>90</v>
      </c>
      <c r="C9268" s="5">
        <v>2841</v>
      </c>
      <c r="D9268" s="6">
        <v>44.44</v>
      </c>
      <c r="E9268" t="s">
        <v>77</v>
      </c>
    </row>
    <row r="9269" spans="1:5" x14ac:dyDescent="0.25">
      <c r="A9269" t="str">
        <f>HYPERLINK("https://www.773grp.com/globalSearch/SN74ACT7881-15PN/page-1", "SN74ACT7881-15PN")</f>
        <v>SN74ACT7881-15PN</v>
      </c>
      <c r="B9269" s="3" t="s">
        <v>90</v>
      </c>
      <c r="C9269" s="5">
        <v>14983</v>
      </c>
      <c r="D9269" s="6">
        <v>44.44</v>
      </c>
      <c r="E9269" t="s">
        <v>77</v>
      </c>
    </row>
    <row r="9270" spans="1:5" x14ac:dyDescent="0.25">
      <c r="A9270" t="str">
        <f>HYPERLINK("https://www.773grp.com/globalSearch/SN74ACT7881-20FN/page-1", "SN74ACT7881-20FN")</f>
        <v>SN74ACT7881-20FN</v>
      </c>
      <c r="B9270" s="3" t="s">
        <v>90</v>
      </c>
      <c r="C9270" s="5">
        <v>1895</v>
      </c>
      <c r="D9270" s="6">
        <v>44.44</v>
      </c>
      <c r="E9270" t="s">
        <v>77</v>
      </c>
    </row>
    <row r="9271" spans="1:5" x14ac:dyDescent="0.25">
      <c r="A9271" t="str">
        <f>HYPERLINK("https://www.773grp.com/globalSearch/SN74ACT7881-20PN/page-1", "SN74ACT7881-20PN")</f>
        <v>SN74ACT7881-20PN</v>
      </c>
      <c r="B9271" s="3" t="s">
        <v>90</v>
      </c>
      <c r="C9271" s="5">
        <v>316</v>
      </c>
      <c r="D9271" s="6">
        <v>44.44</v>
      </c>
      <c r="E9271" t="s">
        <v>77</v>
      </c>
    </row>
    <row r="9272" spans="1:5" x14ac:dyDescent="0.25">
      <c r="A9272" t="str">
        <f>HYPERLINK("https://www.773grp.com/globalSearch/SN74ALVC3631-15PCB/page-1", "SN74ALVC3631-15PCB")</f>
        <v>SN74ALVC3631-15PCB</v>
      </c>
      <c r="B9272" s="3" t="s">
        <v>90</v>
      </c>
      <c r="C9272" s="5">
        <v>40</v>
      </c>
      <c r="D9272" s="6">
        <v>44.44</v>
      </c>
      <c r="E9272" t="s">
        <v>77</v>
      </c>
    </row>
    <row r="9273" spans="1:5" x14ac:dyDescent="0.25">
      <c r="A9273" t="str">
        <f>HYPERLINK("https://www.773grp.com/globalSearch/SN74ALVC3631-15PQ/page-1", "SN74ALVC3631-15PQ")</f>
        <v>SN74ALVC3631-15PQ</v>
      </c>
      <c r="B9273" s="3" t="s">
        <v>90</v>
      </c>
      <c r="C9273" s="5">
        <v>242</v>
      </c>
      <c r="D9273" s="6">
        <v>44.44</v>
      </c>
      <c r="E9273" t="s">
        <v>77</v>
      </c>
    </row>
    <row r="9274" spans="1:5" x14ac:dyDescent="0.25">
      <c r="A9274" t="str">
        <f>HYPERLINK("https://www.773grp.com/globalSearch/SN74ALVC3631-20PCB/page-1", "SN74ALVC3631-20PCB")</f>
        <v>SN74ALVC3631-20PCB</v>
      </c>
      <c r="B9274" s="3" t="s">
        <v>90</v>
      </c>
      <c r="C9274" s="5">
        <v>249</v>
      </c>
      <c r="D9274" s="6">
        <v>44.44</v>
      </c>
      <c r="E9274" t="s">
        <v>77</v>
      </c>
    </row>
    <row r="9275" spans="1:5" x14ac:dyDescent="0.25">
      <c r="A9275" t="str">
        <f>HYPERLINK("https://www.773grp.com/globalSearch/SN74ALVC3631-20PQ/page-1", "SN74ALVC3631-20PQ")</f>
        <v>SN74ALVC3631-20PQ</v>
      </c>
      <c r="B9275" s="3" t="s">
        <v>90</v>
      </c>
      <c r="C9275" s="5">
        <v>428</v>
      </c>
      <c r="D9275" s="6">
        <v>44.44</v>
      </c>
      <c r="E9275" t="s">
        <v>77</v>
      </c>
    </row>
    <row r="9276" spans="1:5" x14ac:dyDescent="0.25">
      <c r="A9276" t="str">
        <f>HYPERLINK("https://www.773grp.com/globalSearch/SN74ALS233BFN/page-1", "SN74ALS233BFN")</f>
        <v>SN74ALS233BFN</v>
      </c>
      <c r="B9276" s="3" t="s">
        <v>90</v>
      </c>
      <c r="C9276" s="5">
        <v>820</v>
      </c>
      <c r="D9276" s="6">
        <v>44.89</v>
      </c>
      <c r="E9276" t="s">
        <v>77</v>
      </c>
    </row>
    <row r="9277" spans="1:5" x14ac:dyDescent="0.25">
      <c r="A9277" t="str">
        <f>HYPERLINK("https://www.773grp.com/globalSearch/SN74V273-6PZA/page-1", "SN74V273-6PZA")</f>
        <v>SN74V273-6PZA</v>
      </c>
      <c r="B9277" s="3" t="s">
        <v>90</v>
      </c>
      <c r="C9277" s="5">
        <v>215</v>
      </c>
      <c r="D9277" s="6">
        <v>45.56</v>
      </c>
      <c r="E9277" t="s">
        <v>77</v>
      </c>
    </row>
    <row r="9278" spans="1:5" x14ac:dyDescent="0.25">
      <c r="A9278" t="str">
        <f>HYPERLINK("https://www.773grp.com/globalSearch/SN74V283-15PZA/page-1", "SN74V283-15PZA")</f>
        <v>SN74V283-15PZA</v>
      </c>
      <c r="B9278" s="3" t="s">
        <v>90</v>
      </c>
      <c r="C9278" s="5">
        <v>799</v>
      </c>
      <c r="D9278" s="6">
        <v>45.56</v>
      </c>
      <c r="E9278" t="s">
        <v>77</v>
      </c>
    </row>
    <row r="9279" spans="1:5" x14ac:dyDescent="0.25">
      <c r="A9279" t="str">
        <f>HYPERLINK("https://www.773grp.com/globalSearch/SN74V3680-15PEU/page-1", "SN74V3680-15PEU")</f>
        <v>SN74V3680-15PEU</v>
      </c>
      <c r="B9279" s="3" t="s">
        <v>90</v>
      </c>
      <c r="C9279" s="5">
        <v>640</v>
      </c>
      <c r="D9279" s="6">
        <v>45.56</v>
      </c>
      <c r="E9279" t="s">
        <v>77</v>
      </c>
    </row>
    <row r="9280" spans="1:5" x14ac:dyDescent="0.25">
      <c r="A9280" t="str">
        <f>HYPERLINK("https://www.773grp.com/globalSearch/SN74V283-10PZA/page-1", "SN74V283-10PZA")</f>
        <v>SN74V283-10PZA</v>
      </c>
      <c r="B9280" s="3" t="s">
        <v>90</v>
      </c>
      <c r="C9280" s="5">
        <v>563</v>
      </c>
      <c r="D9280" s="6">
        <v>46.78</v>
      </c>
      <c r="E9280" t="s">
        <v>77</v>
      </c>
    </row>
    <row r="9281" spans="1:5" x14ac:dyDescent="0.25">
      <c r="A9281" t="str">
        <f>HYPERLINK("https://www.773grp.com/globalSearch/SN74ABT7819-12PH/page-1", "SN74ABT7819-12PH")</f>
        <v>SN74ABT7819-12PH</v>
      </c>
      <c r="B9281" s="3" t="s">
        <v>90</v>
      </c>
      <c r="C9281" s="5">
        <v>2232</v>
      </c>
      <c r="D9281" s="6">
        <v>46.91</v>
      </c>
      <c r="E9281" t="s">
        <v>77</v>
      </c>
    </row>
    <row r="9282" spans="1:5" x14ac:dyDescent="0.25">
      <c r="A9282" t="str">
        <f>HYPERLINK("https://www.773grp.com/globalSearch/SN74ABT7819-12PN/page-1", "SN74ABT7819-12PN")</f>
        <v>SN74ABT7819-12PN</v>
      </c>
      <c r="B9282" s="3" t="s">
        <v>90</v>
      </c>
      <c r="C9282" s="5">
        <v>1911</v>
      </c>
      <c r="D9282" s="6">
        <v>46.91</v>
      </c>
      <c r="E9282" t="s">
        <v>77</v>
      </c>
    </row>
    <row r="9283" spans="1:5" x14ac:dyDescent="0.25">
      <c r="A9283" t="str">
        <f>HYPERLINK("https://www.773grp.com/globalSearch/SN74ABT7819A-12PN/page-1", "SN74ABT7819A-12PN")</f>
        <v>SN74ABT7819A-12PN</v>
      </c>
      <c r="B9283" s="3" t="s">
        <v>90</v>
      </c>
      <c r="C9283" s="5">
        <v>268</v>
      </c>
      <c r="D9283" s="6">
        <v>46.91</v>
      </c>
      <c r="E9283" t="s">
        <v>77</v>
      </c>
    </row>
    <row r="9284" spans="1:5" x14ac:dyDescent="0.25">
      <c r="A9284" t="str">
        <f>HYPERLINK("https://www.773grp.com/globalSearch/SN74V3670-15PEU/page-1", "SN74V3670-15PEU")</f>
        <v>SN74V3670-15PEU</v>
      </c>
      <c r="B9284" s="3" t="s">
        <v>90</v>
      </c>
      <c r="C9284" s="5">
        <v>648</v>
      </c>
      <c r="D9284" s="6">
        <v>47.64</v>
      </c>
      <c r="E9284" t="s">
        <v>77</v>
      </c>
    </row>
    <row r="9285" spans="1:5" x14ac:dyDescent="0.25">
      <c r="A9285" t="str">
        <f>HYPERLINK("https://www.773grp.com/globalSearch/SN74V3680-7PEU/page-1", "SN74V3680-7PEU")</f>
        <v>SN74V3680-7PEU</v>
      </c>
      <c r="B9285" s="3" t="s">
        <v>90</v>
      </c>
      <c r="C9285" s="5">
        <v>367</v>
      </c>
      <c r="D9285" s="6">
        <v>47.96</v>
      </c>
      <c r="E9285" t="s">
        <v>77</v>
      </c>
    </row>
    <row r="9286" spans="1:5" x14ac:dyDescent="0.25">
      <c r="A9286" t="str">
        <f>HYPERLINK("https://www.773grp.com/globalSearch/SN74V3670-10PEU/page-1", "SN74V3670-10PEU")</f>
        <v>SN74V3670-10PEU</v>
      </c>
      <c r="B9286" s="3" t="s">
        <v>90</v>
      </c>
      <c r="C9286" s="5">
        <v>648</v>
      </c>
      <c r="D9286" s="6">
        <v>49.03</v>
      </c>
      <c r="E9286" t="s">
        <v>77</v>
      </c>
    </row>
    <row r="9287" spans="1:5" x14ac:dyDescent="0.25">
      <c r="A9287" t="str">
        <f>HYPERLINK("https://www.773grp.com/globalSearch/SN74V283-6PZA/page-1", "SN74V283-6PZA")</f>
        <v>SN74V283-6PZA</v>
      </c>
      <c r="B9287" s="3" t="s">
        <v>90</v>
      </c>
      <c r="C9287" s="5">
        <v>103</v>
      </c>
      <c r="D9287" s="6">
        <v>49.16</v>
      </c>
      <c r="E9287" t="s">
        <v>77</v>
      </c>
    </row>
    <row r="9288" spans="1:5" x14ac:dyDescent="0.25">
      <c r="A9288" t="str">
        <f>HYPERLINK("https://www.773grp.com/globalSearch/SN74V293-15PZA/page-1", "SN74V293-15PZA")</f>
        <v>SN74V293-15PZA</v>
      </c>
      <c r="B9288" s="3" t="s">
        <v>90</v>
      </c>
      <c r="C9288" s="5">
        <v>1736</v>
      </c>
      <c r="D9288" s="6">
        <v>49.16</v>
      </c>
      <c r="E9288" t="s">
        <v>77</v>
      </c>
    </row>
    <row r="9289" spans="1:5" x14ac:dyDescent="0.25">
      <c r="A9289" t="str">
        <f>HYPERLINK("https://www.773grp.com/globalSearch/SN74V3680-6PEU/page-1", "SN74V3680-6PEU")</f>
        <v>SN74V3680-6PEU</v>
      </c>
      <c r="B9289" s="3" t="s">
        <v>90</v>
      </c>
      <c r="C9289" s="5">
        <v>497</v>
      </c>
      <c r="D9289" s="6">
        <v>49.16</v>
      </c>
      <c r="E9289" t="s">
        <v>77</v>
      </c>
    </row>
    <row r="9290" spans="1:5" x14ac:dyDescent="0.25">
      <c r="A9290" t="str">
        <f>HYPERLINK("https://www.773grp.com/globalSearch/SN74ACT3638-30PCB/page-1", "SN74ACT3638-30PCB")</f>
        <v>SN74ACT3638-30PCB</v>
      </c>
      <c r="B9290" s="3" t="s">
        <v>90</v>
      </c>
      <c r="C9290" s="5">
        <v>969</v>
      </c>
      <c r="D9290" s="6">
        <v>49.39</v>
      </c>
      <c r="E9290" t="s">
        <v>77</v>
      </c>
    </row>
    <row r="9291" spans="1:5" x14ac:dyDescent="0.25">
      <c r="A9291" t="str">
        <f>HYPERLINK("https://www.773grp.com/globalSearch/SN74ACT72211L35RJ/page-1", "SN74ACT72211L35RJ")</f>
        <v>SN74ACT72211L35RJ</v>
      </c>
      <c r="B9291" s="3" t="s">
        <v>90</v>
      </c>
      <c r="C9291" s="5">
        <v>444</v>
      </c>
      <c r="D9291" s="6">
        <v>49.91</v>
      </c>
      <c r="E9291" t="s">
        <v>77</v>
      </c>
    </row>
    <row r="9292" spans="1:5" x14ac:dyDescent="0.25">
      <c r="A9292" t="str">
        <f>HYPERLINK("https://www.773grp.com/globalSearch/SN74ACT72221L50RJ/page-1", "SN74ACT72221L50RJ")</f>
        <v>SN74ACT72221L50RJ</v>
      </c>
      <c r="B9292" s="3" t="s">
        <v>90</v>
      </c>
      <c r="C9292" s="5">
        <v>3244</v>
      </c>
      <c r="D9292" s="6">
        <v>50.25</v>
      </c>
      <c r="E9292" t="s">
        <v>77</v>
      </c>
    </row>
    <row r="9293" spans="1:5" x14ac:dyDescent="0.25">
      <c r="A9293" t="str">
        <f>HYPERLINK("https://www.773grp.com/globalSearch/SN74V293-10PZA/page-1", "SN74V293-10PZA")</f>
        <v>SN74V293-10PZA</v>
      </c>
      <c r="B9293" s="3" t="s">
        <v>90</v>
      </c>
      <c r="C9293" s="5">
        <v>335</v>
      </c>
      <c r="D9293" s="6">
        <v>50.34</v>
      </c>
      <c r="E9293" t="s">
        <v>77</v>
      </c>
    </row>
    <row r="9294" spans="1:5" x14ac:dyDescent="0.25">
      <c r="A9294" t="str">
        <f>HYPERLINK("https://www.773grp.com/globalSearch/SN74V3690-10PEU/page-1", "SN74V3690-10PEU")</f>
        <v>SN74V3690-10PEU</v>
      </c>
      <c r="B9294" s="3" t="s">
        <v>90</v>
      </c>
      <c r="C9294" s="5">
        <v>842</v>
      </c>
      <c r="D9294" s="6">
        <v>50.34</v>
      </c>
      <c r="E9294" t="s">
        <v>77</v>
      </c>
    </row>
    <row r="9295" spans="1:5" x14ac:dyDescent="0.25">
      <c r="A9295" t="str">
        <f>HYPERLINK("https://www.773grp.com/globalSearch/SN74V293-7PZA/page-1", "SN74V293-7PZA")</f>
        <v>SN74V293-7PZA</v>
      </c>
      <c r="B9295" s="3" t="s">
        <v>90</v>
      </c>
      <c r="C9295" s="5">
        <v>765</v>
      </c>
      <c r="D9295" s="6">
        <v>51.55</v>
      </c>
      <c r="E9295" t="s">
        <v>77</v>
      </c>
    </row>
    <row r="9296" spans="1:5" x14ac:dyDescent="0.25">
      <c r="A9296" t="str">
        <f>HYPERLINK("https://www.773grp.com/globalSearch/SN74V3690-7PEU/page-1", "SN74V3690-7PEU")</f>
        <v>SN74V3690-7PEU</v>
      </c>
      <c r="B9296" s="3" t="s">
        <v>90</v>
      </c>
      <c r="C9296" s="5">
        <v>774</v>
      </c>
      <c r="D9296" s="6">
        <v>51.55</v>
      </c>
      <c r="E9296" t="s">
        <v>77</v>
      </c>
    </row>
    <row r="9297" spans="1:5" x14ac:dyDescent="0.25">
      <c r="A9297" t="str">
        <f>HYPERLINK("https://www.773grp.com/globalSearch/SN74ACT7882-30FN/page-1", "SN74ACT7882-30FN")</f>
        <v>SN74ACT7882-30FN</v>
      </c>
      <c r="B9297" s="3" t="s">
        <v>90</v>
      </c>
      <c r="C9297" s="5">
        <v>741</v>
      </c>
      <c r="D9297" s="6">
        <v>51.84</v>
      </c>
      <c r="E9297" t="s">
        <v>77</v>
      </c>
    </row>
    <row r="9298" spans="1:5" x14ac:dyDescent="0.25">
      <c r="A9298" t="str">
        <f>HYPERLINK("https://www.773grp.com/globalSearch/SN74ACT7882-30PN/page-1", "SN74ACT7882-30PN")</f>
        <v>SN74ACT7882-30PN</v>
      </c>
      <c r="B9298" s="3" t="s">
        <v>90</v>
      </c>
      <c r="C9298" s="5">
        <v>2014</v>
      </c>
      <c r="D9298" s="6">
        <v>51.84</v>
      </c>
      <c r="E9298" t="s">
        <v>77</v>
      </c>
    </row>
    <row r="9299" spans="1:5" x14ac:dyDescent="0.25">
      <c r="A9299" t="str">
        <f>HYPERLINK("https://www.773grp.com/globalSearch/SN74V293-6PZA/page-1", "SN74V293-6PZA")</f>
        <v>SN74V293-6PZA</v>
      </c>
      <c r="B9299" s="3" t="s">
        <v>90</v>
      </c>
      <c r="C9299" s="5">
        <v>1507</v>
      </c>
      <c r="D9299" s="6">
        <v>52.74</v>
      </c>
      <c r="E9299" t="s">
        <v>77</v>
      </c>
    </row>
    <row r="9300" spans="1:5" x14ac:dyDescent="0.25">
      <c r="A9300" t="str">
        <f>HYPERLINK("https://www.773grp.com/globalSearch/SN74V3690-6PEU/page-1", "SN74V3690-6PEU")</f>
        <v>SN74V3690-6PEU</v>
      </c>
      <c r="B9300" s="3" t="s">
        <v>90</v>
      </c>
      <c r="C9300" s="5">
        <v>349</v>
      </c>
      <c r="D9300" s="6">
        <v>52.74</v>
      </c>
      <c r="E9300" t="s">
        <v>77</v>
      </c>
    </row>
    <row r="9301" spans="1:5" x14ac:dyDescent="0.25">
      <c r="A9301" t="str">
        <f>HYPERLINK("https://www.773grp.com/globalSearch/SN74ACT7801-18FNR/page-1", "SN74ACT7801-18FNR")</f>
        <v>SN74ACT7801-18FNR</v>
      </c>
      <c r="B9301" s="3" t="s">
        <v>90</v>
      </c>
      <c r="C9301" s="5">
        <v>1000</v>
      </c>
      <c r="D9301" s="6">
        <v>53.08</v>
      </c>
      <c r="E9301" t="s">
        <v>77</v>
      </c>
    </row>
    <row r="9302" spans="1:5" x14ac:dyDescent="0.25">
      <c r="A9302" t="str">
        <f>HYPERLINK("https://www.773grp.com/globalSearch/SN74V3680-10PEU/page-1", "SN74V3680-10PEU")</f>
        <v>SN74V3680-10PEU</v>
      </c>
      <c r="B9302" s="3" t="s">
        <v>90</v>
      </c>
      <c r="C9302" s="5">
        <v>1152</v>
      </c>
      <c r="D9302" s="6">
        <v>53.16</v>
      </c>
      <c r="E9302" t="s">
        <v>77</v>
      </c>
    </row>
    <row r="9303" spans="1:5" x14ac:dyDescent="0.25">
      <c r="A9303" t="str">
        <f>HYPERLINK("https://www.773grp.com/globalSearch/SN74ACT7204L15NP/page-1", "SN74ACT7204L15NP")</f>
        <v>SN74ACT7204L15NP</v>
      </c>
      <c r="B9303" s="3" t="s">
        <v>90</v>
      </c>
      <c r="C9303" s="5">
        <v>552</v>
      </c>
      <c r="D9303" s="6">
        <v>53.5</v>
      </c>
      <c r="E9303" t="s">
        <v>77</v>
      </c>
    </row>
    <row r="9304" spans="1:5" x14ac:dyDescent="0.25">
      <c r="A9304" t="str">
        <f>HYPERLINK("https://www.773grp.com/globalSearch/SN74ACT7204L15RJ/page-1", "SN74ACT7204L15RJ")</f>
        <v>SN74ACT7204L15RJ</v>
      </c>
      <c r="B9304" s="3" t="s">
        <v>90</v>
      </c>
      <c r="C9304" s="5">
        <v>32</v>
      </c>
      <c r="D9304" s="6">
        <v>53.5</v>
      </c>
      <c r="E9304" t="s">
        <v>77</v>
      </c>
    </row>
    <row r="9305" spans="1:5" x14ac:dyDescent="0.25">
      <c r="A9305" t="str">
        <f>HYPERLINK("https://www.773grp.com/globalSearch/SN74ACT3638-15PCB/page-1", "SN74ACT3638-15PCB")</f>
        <v>SN74ACT3638-15PCB</v>
      </c>
      <c r="B9305" s="3" t="s">
        <v>90</v>
      </c>
      <c r="C9305" s="5">
        <v>879</v>
      </c>
      <c r="D9305" s="6">
        <v>54.3</v>
      </c>
      <c r="E9305" t="s">
        <v>77</v>
      </c>
    </row>
    <row r="9306" spans="1:5" x14ac:dyDescent="0.25">
      <c r="A9306" t="str">
        <f>HYPERLINK("https://www.773grp.com/globalSearch/SN74ACT3638-20PCB/page-1", "SN74ACT3638-20PCB")</f>
        <v>SN74ACT3638-20PCB</v>
      </c>
      <c r="B9306" s="3" t="s">
        <v>90</v>
      </c>
      <c r="C9306" s="5">
        <v>281</v>
      </c>
      <c r="D9306" s="6">
        <v>54.3</v>
      </c>
      <c r="E9306" t="s">
        <v>77</v>
      </c>
    </row>
    <row r="9307" spans="1:5" x14ac:dyDescent="0.25">
      <c r="A9307" t="str">
        <f>HYPERLINK("https://www.773grp.com/globalSearch/SN74ACT3641-20PCB/page-1", "SN74ACT3641-20PCB")</f>
        <v>SN74ACT3641-20PCB</v>
      </c>
      <c r="B9307" s="3" t="s">
        <v>90</v>
      </c>
      <c r="C9307" s="5">
        <v>1969</v>
      </c>
      <c r="D9307" s="6">
        <v>54.3</v>
      </c>
      <c r="E9307" t="s">
        <v>77</v>
      </c>
    </row>
    <row r="9308" spans="1:5" x14ac:dyDescent="0.25">
      <c r="A9308" t="str">
        <f>HYPERLINK("https://www.773grp.com/globalSearch/SN74ACT3641-20PQ/page-1", "SN74ACT3641-20PQ")</f>
        <v>SN74ACT3641-20PQ</v>
      </c>
      <c r="B9308" s="3" t="s">
        <v>90</v>
      </c>
      <c r="C9308" s="5">
        <v>228</v>
      </c>
      <c r="D9308" s="6">
        <v>54.3</v>
      </c>
      <c r="E9308" t="s">
        <v>77</v>
      </c>
    </row>
    <row r="9309" spans="1:5" x14ac:dyDescent="0.25">
      <c r="A9309" t="str">
        <f>HYPERLINK("https://www.773grp.com/globalSearch/SN74ACT3641-30PCB/page-1", "SN74ACT3641-30PCB")</f>
        <v>SN74ACT3641-30PCB</v>
      </c>
      <c r="B9309" s="3" t="s">
        <v>90</v>
      </c>
      <c r="C9309" s="5">
        <v>829</v>
      </c>
      <c r="D9309" s="6">
        <v>54.3</v>
      </c>
      <c r="E9309" t="s">
        <v>77</v>
      </c>
    </row>
    <row r="9310" spans="1:5" x14ac:dyDescent="0.25">
      <c r="A9310" t="str">
        <f>HYPERLINK("https://www.773grp.com/globalSearch/SN74ACT3641-30PQ/page-1", "SN74ACT3641-30PQ")</f>
        <v>SN74ACT3641-30PQ</v>
      </c>
      <c r="B9310" s="3" t="s">
        <v>90</v>
      </c>
      <c r="C9310" s="5">
        <v>278</v>
      </c>
      <c r="D9310" s="6">
        <v>54.3</v>
      </c>
      <c r="E9310" t="s">
        <v>77</v>
      </c>
    </row>
    <row r="9311" spans="1:5" x14ac:dyDescent="0.25">
      <c r="A9311" t="str">
        <f>HYPERLINK("https://www.773grp.com/globalSearch/SN74ABT7819-10PH/page-1", "SN74ABT7819-10PH")</f>
        <v>SN74ABT7819-10PH</v>
      </c>
      <c r="B9311" s="3" t="s">
        <v>90</v>
      </c>
      <c r="C9311" s="5">
        <v>2792</v>
      </c>
      <c r="D9311" s="6">
        <v>55.55</v>
      </c>
      <c r="E9311" t="s">
        <v>77</v>
      </c>
    </row>
    <row r="9312" spans="1:5" x14ac:dyDescent="0.25">
      <c r="A9312" t="str">
        <f>HYPERLINK("https://www.773grp.com/globalSearch/SN74ABT7819-10PN/page-1", "SN74ABT7819-10PN")</f>
        <v>SN74ABT7819-10PN</v>
      </c>
      <c r="B9312" s="3" t="s">
        <v>90</v>
      </c>
      <c r="C9312" s="5">
        <v>6</v>
      </c>
      <c r="D9312" s="6">
        <v>55.55</v>
      </c>
      <c r="E9312" t="s">
        <v>77</v>
      </c>
    </row>
    <row r="9313" spans="1:5" x14ac:dyDescent="0.25">
      <c r="A9313" t="str">
        <f>HYPERLINK("https://www.773grp.com/globalSearch/SN74ABT7819A-10PN/page-1", "SN74ABT7819A-10PN")</f>
        <v>SN74ABT7819A-10PN</v>
      </c>
      <c r="B9313" s="3" t="s">
        <v>90</v>
      </c>
      <c r="C9313" s="5">
        <v>597</v>
      </c>
      <c r="D9313" s="6">
        <v>55.55</v>
      </c>
      <c r="E9313" t="s">
        <v>77</v>
      </c>
    </row>
    <row r="9314" spans="1:5" x14ac:dyDescent="0.25">
      <c r="A9314" t="str">
        <f>HYPERLINK("https://www.773grp.com/globalSearch/SN74ACT3641-15PCB/page-1", "SN74ACT3641-15PCB")</f>
        <v>SN74ACT3641-15PCB</v>
      </c>
      <c r="B9314" s="3" t="s">
        <v>90</v>
      </c>
      <c r="C9314" s="5">
        <v>2310</v>
      </c>
      <c r="D9314" s="6">
        <v>55.55</v>
      </c>
      <c r="E9314" t="s">
        <v>77</v>
      </c>
    </row>
    <row r="9315" spans="1:5" x14ac:dyDescent="0.25">
      <c r="A9315" t="str">
        <f>HYPERLINK("https://www.773grp.com/globalSearch/SN74ACT3641-15PQ/page-1", "SN74ACT3641-15PQ")</f>
        <v>SN74ACT3641-15PQ</v>
      </c>
      <c r="B9315" s="3" t="s">
        <v>90</v>
      </c>
      <c r="C9315" s="5">
        <v>792</v>
      </c>
      <c r="D9315" s="6">
        <v>55.55</v>
      </c>
      <c r="E9315" t="s">
        <v>77</v>
      </c>
    </row>
    <row r="9316" spans="1:5" x14ac:dyDescent="0.25">
      <c r="A9316" t="str">
        <f>HYPERLINK("https://www.773grp.com/globalSearch/SN74ACT3651-30PCB/page-1", "SN74ACT3651-30PCB")</f>
        <v>SN74ACT3651-30PCB</v>
      </c>
      <c r="B9316" s="3" t="s">
        <v>90</v>
      </c>
      <c r="C9316" s="5">
        <v>49</v>
      </c>
      <c r="D9316" s="6">
        <v>55.55</v>
      </c>
      <c r="E9316" t="s">
        <v>77</v>
      </c>
    </row>
    <row r="9317" spans="1:5" x14ac:dyDescent="0.25">
      <c r="A9317" t="str">
        <f>HYPERLINK("https://www.773grp.com/globalSearch/SN74ACT3651-30PQ/page-1", "SN74ACT3651-30PQ")</f>
        <v>SN74ACT3651-30PQ</v>
      </c>
      <c r="B9317" s="3" t="s">
        <v>90</v>
      </c>
      <c r="C9317" s="5">
        <v>3</v>
      </c>
      <c r="D9317" s="6">
        <v>55.55</v>
      </c>
      <c r="E9317" t="s">
        <v>77</v>
      </c>
    </row>
    <row r="9318" spans="1:5" x14ac:dyDescent="0.25">
      <c r="A9318" t="str">
        <f>HYPERLINK("https://www.773grp.com/globalSearch/SN74ACT7882-20PN/page-1", "SN74ACT7882-20PN")</f>
        <v>SN74ACT7882-20PN</v>
      </c>
      <c r="B9318" s="3" t="s">
        <v>90</v>
      </c>
      <c r="C9318" s="5">
        <v>264</v>
      </c>
      <c r="D9318" s="6">
        <v>55.55</v>
      </c>
      <c r="E9318" t="s">
        <v>77</v>
      </c>
    </row>
    <row r="9319" spans="1:5" x14ac:dyDescent="0.25">
      <c r="A9319" t="str">
        <f>HYPERLINK("https://www.773grp.com/globalSearch/SN74ALVC3631-10PCB/page-1", "SN74ALVC3631-10PCB")</f>
        <v>SN74ALVC3631-10PCB</v>
      </c>
      <c r="B9319" s="3" t="s">
        <v>90</v>
      </c>
      <c r="C9319" s="5">
        <v>572</v>
      </c>
      <c r="D9319" s="6">
        <v>55.55</v>
      </c>
      <c r="E9319" t="s">
        <v>77</v>
      </c>
    </row>
    <row r="9320" spans="1:5" x14ac:dyDescent="0.25">
      <c r="A9320" t="str">
        <f>HYPERLINK("https://www.773grp.com/globalSearch/SN74ALVC3631-10PQ/page-1", "SN74ALVC3631-10PQ")</f>
        <v>SN74ALVC3631-10PQ</v>
      </c>
      <c r="B9320" s="3" t="s">
        <v>90</v>
      </c>
      <c r="C9320" s="5">
        <v>1</v>
      </c>
      <c r="D9320" s="6">
        <v>55.55</v>
      </c>
      <c r="E9320" t="s">
        <v>77</v>
      </c>
    </row>
    <row r="9321" spans="1:5" x14ac:dyDescent="0.25">
      <c r="A9321" t="str">
        <f>HYPERLINK("https://www.773grp.com/globalSearch/SN74ALVC3641-10PCB/page-1", "SN74ALVC3641-10PCB")</f>
        <v>SN74ALVC3641-10PCB</v>
      </c>
      <c r="B9321" s="3" t="s">
        <v>90</v>
      </c>
      <c r="C9321" s="5">
        <v>419</v>
      </c>
      <c r="D9321" s="6">
        <v>55.55</v>
      </c>
      <c r="E9321" t="s">
        <v>77</v>
      </c>
    </row>
    <row r="9322" spans="1:5" x14ac:dyDescent="0.25">
      <c r="A9322" t="str">
        <f>HYPERLINK("https://www.773grp.com/globalSearch/SN74ALVC3641-10PQ/page-1", "SN74ALVC3641-10PQ")</f>
        <v>SN74ALVC3641-10PQ</v>
      </c>
      <c r="B9322" s="3" t="s">
        <v>90</v>
      </c>
      <c r="C9322" s="5">
        <v>350</v>
      </c>
      <c r="D9322" s="6">
        <v>55.55</v>
      </c>
      <c r="E9322" t="s">
        <v>77</v>
      </c>
    </row>
    <row r="9323" spans="1:5" x14ac:dyDescent="0.25">
      <c r="A9323" t="str">
        <f>HYPERLINK("https://www.773grp.com/globalSearch/SN74ALVC3641-15PCB/page-1", "SN74ALVC3641-15PCB")</f>
        <v>SN74ALVC3641-15PCB</v>
      </c>
      <c r="B9323" s="3" t="s">
        <v>90</v>
      </c>
      <c r="C9323" s="5">
        <v>268</v>
      </c>
      <c r="D9323" s="6">
        <v>55.55</v>
      </c>
      <c r="E9323" t="s">
        <v>77</v>
      </c>
    </row>
    <row r="9324" spans="1:5" x14ac:dyDescent="0.25">
      <c r="A9324" t="str">
        <f>HYPERLINK("https://www.773grp.com/globalSearch/SN74ALVC3641-15PQ/page-1", "SN74ALVC3641-15PQ")</f>
        <v>SN74ALVC3641-15PQ</v>
      </c>
      <c r="B9324" s="3" t="s">
        <v>90</v>
      </c>
      <c r="C9324" s="5">
        <v>233</v>
      </c>
      <c r="D9324" s="6">
        <v>55.55</v>
      </c>
      <c r="E9324" t="s">
        <v>77</v>
      </c>
    </row>
    <row r="9325" spans="1:5" x14ac:dyDescent="0.25">
      <c r="A9325" t="str">
        <f>HYPERLINK("https://www.773grp.com/globalSearch/SN74ALVC3641-20PCB/page-1", "SN74ALVC3641-20PCB")</f>
        <v>SN74ALVC3641-20PCB</v>
      </c>
      <c r="B9325" s="3" t="s">
        <v>90</v>
      </c>
      <c r="C9325" s="5">
        <v>251</v>
      </c>
      <c r="D9325" s="6">
        <v>55.55</v>
      </c>
      <c r="E9325" t="s">
        <v>77</v>
      </c>
    </row>
    <row r="9326" spans="1:5" x14ac:dyDescent="0.25">
      <c r="A9326" t="str">
        <f>HYPERLINK("https://www.773grp.com/globalSearch/SN74ALVC3641-20PQ/page-1", "SN74ALVC3641-20PQ")</f>
        <v>SN74ALVC3641-20PQ</v>
      </c>
      <c r="B9326" s="3" t="s">
        <v>90</v>
      </c>
      <c r="C9326" s="5">
        <v>122</v>
      </c>
      <c r="D9326" s="6">
        <v>55.55</v>
      </c>
      <c r="E9326" t="s">
        <v>77</v>
      </c>
    </row>
    <row r="9327" spans="1:5" x14ac:dyDescent="0.25">
      <c r="A9327" t="str">
        <f>HYPERLINK("https://www.773grp.com/globalSearch/SN74V3690-15PEU/page-1", "SN74V3690-15PEU")</f>
        <v>SN74V3690-15PEU</v>
      </c>
      <c r="B9327" s="3" t="s">
        <v>90</v>
      </c>
      <c r="C9327" s="5">
        <v>432</v>
      </c>
      <c r="D9327" s="6">
        <v>55.86</v>
      </c>
      <c r="E9327" t="s">
        <v>77</v>
      </c>
    </row>
    <row r="9328" spans="1:5" x14ac:dyDescent="0.25">
      <c r="A9328" t="str">
        <f>HYPERLINK("https://www.773grp.com/globalSearch/SN74ACT7205L15NP/page-1", "SN74ACT7205L15NP")</f>
        <v>SN74ACT7205L15NP</v>
      </c>
      <c r="B9328" s="3" t="s">
        <v>90</v>
      </c>
      <c r="C9328" s="5">
        <v>2086</v>
      </c>
      <c r="D9328" s="6">
        <v>56.25</v>
      </c>
      <c r="E9328" t="s">
        <v>77</v>
      </c>
    </row>
    <row r="9329" spans="1:5" x14ac:dyDescent="0.25">
      <c r="A9329" t="str">
        <f>HYPERLINK("https://www.773grp.com/globalSearch/SN74ACT7205L15RJ/page-1", "SN74ACT7205L15RJ")</f>
        <v>SN74ACT7205L15RJ</v>
      </c>
      <c r="B9329" s="3" t="s">
        <v>90</v>
      </c>
      <c r="C9329" s="5">
        <v>6464</v>
      </c>
      <c r="D9329" s="6">
        <v>56.25</v>
      </c>
      <c r="E9329" t="s">
        <v>77</v>
      </c>
    </row>
    <row r="9330" spans="1:5" x14ac:dyDescent="0.25">
      <c r="A9330" t="str">
        <f>HYPERLINK("https://www.773grp.com/globalSearch/SN74ACT72241L15RJ/page-1", "SN74ACT72241L15RJ")</f>
        <v>SN74ACT72241L15RJ</v>
      </c>
      <c r="B9330" s="3" t="s">
        <v>90</v>
      </c>
      <c r="C9330" s="5">
        <v>29298</v>
      </c>
      <c r="D9330" s="6">
        <v>56.54</v>
      </c>
      <c r="E9330" t="s">
        <v>77</v>
      </c>
    </row>
    <row r="9331" spans="1:5" x14ac:dyDescent="0.25">
      <c r="A9331" t="str">
        <f>HYPERLINK("https://www.773grp.com/globalSearch/SN74ACT72221L35RJ/page-1", "SN74ACT72221L35RJ")</f>
        <v>SN74ACT72221L35RJ</v>
      </c>
      <c r="B9331" s="3" t="s">
        <v>90</v>
      </c>
      <c r="C9331" s="5">
        <v>1632</v>
      </c>
      <c r="D9331" s="6">
        <v>56.95</v>
      </c>
      <c r="E9331" t="s">
        <v>77</v>
      </c>
    </row>
    <row r="9332" spans="1:5" x14ac:dyDescent="0.25">
      <c r="A9332" t="str">
        <f>HYPERLINK("https://www.773grp.com/globalSearch/SN74ACT7206L50NP/page-1", "SN74ACT7206L50NP")</f>
        <v>SN74ACT7206L50NP</v>
      </c>
      <c r="B9332" s="3" t="s">
        <v>90</v>
      </c>
      <c r="C9332" s="5">
        <v>3086</v>
      </c>
      <c r="D9332" s="6">
        <v>57.66</v>
      </c>
      <c r="E9332" t="s">
        <v>77</v>
      </c>
    </row>
    <row r="9333" spans="1:5" x14ac:dyDescent="0.25">
      <c r="A9333" t="str">
        <f>HYPERLINK("https://www.773grp.com/globalSearch/SN74ACT7206L50RJ/page-1", "SN74ACT7206L50RJ")</f>
        <v>SN74ACT7206L50RJ</v>
      </c>
      <c r="B9333" s="3" t="s">
        <v>90</v>
      </c>
      <c r="C9333" s="5">
        <v>3284</v>
      </c>
      <c r="D9333" s="6">
        <v>57.66</v>
      </c>
      <c r="E9333" t="s">
        <v>77</v>
      </c>
    </row>
    <row r="9334" spans="1:5" x14ac:dyDescent="0.25">
      <c r="A9334" t="str">
        <f>HYPERLINK("https://www.773grp.com/globalSearch/SN74ACT72231L25RJ/page-1", "SN74ACT72231L25RJ")</f>
        <v>SN74ACT72231L25RJ</v>
      </c>
      <c r="B9334" s="3" t="s">
        <v>90</v>
      </c>
      <c r="C9334" s="5">
        <v>2447</v>
      </c>
      <c r="D9334" s="6">
        <v>57.94</v>
      </c>
      <c r="E9334" t="s">
        <v>77</v>
      </c>
    </row>
    <row r="9335" spans="1:5" x14ac:dyDescent="0.25">
      <c r="A9335" t="str">
        <f>HYPERLINK("https://www.773grp.com/globalSearch/SN54LS224AJ/page-1", "SN54LS224AJ")</f>
        <v>SN54LS224AJ</v>
      </c>
      <c r="B9335" s="3" t="s">
        <v>90</v>
      </c>
      <c r="C9335" s="5">
        <v>2</v>
      </c>
      <c r="D9335" s="6">
        <v>58.44</v>
      </c>
      <c r="E9335" t="s">
        <v>77</v>
      </c>
    </row>
    <row r="9336" spans="1:5" x14ac:dyDescent="0.25">
      <c r="A9336" t="str">
        <f>HYPERLINK("https://www.773grp.com/globalSearch/SN74ACT72221L20RJ/page-1", "SN74ACT72221L20RJ")</f>
        <v>SN74ACT72221L20RJ</v>
      </c>
      <c r="B9336" s="3" t="s">
        <v>90</v>
      </c>
      <c r="C9336" s="5">
        <v>1448</v>
      </c>
      <c r="D9336" s="6">
        <v>58.78</v>
      </c>
      <c r="E9336" t="s">
        <v>77</v>
      </c>
    </row>
    <row r="9337" spans="1:5" x14ac:dyDescent="0.25">
      <c r="A9337" t="str">
        <f>HYPERLINK("https://www.773grp.com/globalSearch/SN74ACT72211L15RJ/page-1", "SN74ACT72211L15RJ")</f>
        <v>SN74ACT72211L15RJ</v>
      </c>
      <c r="B9337" s="3" t="s">
        <v>90</v>
      </c>
      <c r="C9337" s="5">
        <v>9600</v>
      </c>
      <c r="D9337" s="6">
        <v>60.46</v>
      </c>
      <c r="E9337" t="s">
        <v>77</v>
      </c>
    </row>
    <row r="9338" spans="1:5" x14ac:dyDescent="0.25">
      <c r="A9338" t="str">
        <f>HYPERLINK("https://www.773grp.com/globalSearch/SN74ACT3651-20PCB/page-1", "SN74ACT3651-20PCB")</f>
        <v>SN74ACT3651-20PCB</v>
      </c>
      <c r="B9338" s="3" t="s">
        <v>90</v>
      </c>
      <c r="C9338" s="5">
        <v>41</v>
      </c>
      <c r="D9338" s="6">
        <v>61.73</v>
      </c>
      <c r="E9338" t="s">
        <v>77</v>
      </c>
    </row>
    <row r="9339" spans="1:5" x14ac:dyDescent="0.25">
      <c r="A9339" t="str">
        <f>HYPERLINK("https://www.773grp.com/globalSearch/SN74ACT3651-20PQ/page-1", "SN74ACT3651-20PQ")</f>
        <v>SN74ACT3651-20PQ</v>
      </c>
      <c r="B9339" s="3" t="s">
        <v>90</v>
      </c>
      <c r="C9339" s="5">
        <v>374</v>
      </c>
      <c r="D9339" s="6">
        <v>61.73</v>
      </c>
      <c r="E9339" t="s">
        <v>77</v>
      </c>
    </row>
    <row r="9340" spans="1:5" x14ac:dyDescent="0.25">
      <c r="A9340" t="str">
        <f>HYPERLINK("https://www.773grp.com/globalSearch/SN74ALVC3651-20PCB/page-1", "SN74ALVC3651-20PCB")</f>
        <v>SN74ALVC3651-20PCB</v>
      </c>
      <c r="B9340" s="3" t="s">
        <v>90</v>
      </c>
      <c r="C9340" s="5">
        <v>810</v>
      </c>
      <c r="D9340" s="6">
        <v>61.73</v>
      </c>
      <c r="E9340" t="s">
        <v>77</v>
      </c>
    </row>
    <row r="9341" spans="1:5" x14ac:dyDescent="0.25">
      <c r="A9341" t="str">
        <f>HYPERLINK("https://www.773grp.com/globalSearch/SN74ALVC3651-20PQ/page-1", "SN74ALVC3651-20PQ")</f>
        <v>SN74ALVC3651-20PQ</v>
      </c>
      <c r="B9341" s="3" t="s">
        <v>90</v>
      </c>
      <c r="C9341" s="5">
        <v>828</v>
      </c>
      <c r="D9341" s="6">
        <v>61.73</v>
      </c>
      <c r="E9341" t="s">
        <v>77</v>
      </c>
    </row>
    <row r="9342" spans="1:5" x14ac:dyDescent="0.25">
      <c r="A9342" t="str">
        <f>HYPERLINK("https://www.773grp.com/globalSearch/SN74ACT7206L25RJ/page-1", "SN74ACT7206L25RJ")</f>
        <v>SN74ACT7206L25RJ</v>
      </c>
      <c r="B9342" s="3" t="s">
        <v>90</v>
      </c>
      <c r="C9342" s="5">
        <v>2608</v>
      </c>
      <c r="D9342" s="6">
        <v>62.44</v>
      </c>
      <c r="E9342" t="s">
        <v>77</v>
      </c>
    </row>
    <row r="9343" spans="1:5" x14ac:dyDescent="0.25">
      <c r="A9343" t="str">
        <f>HYPERLINK("https://www.773grp.com/globalSearch/SN74ACT2236-20FN/page-1", "SN74ACT2236-20FN")</f>
        <v>SN74ACT2236-20FN</v>
      </c>
      <c r="B9343" s="3" t="s">
        <v>90</v>
      </c>
      <c r="C9343" s="5">
        <v>381</v>
      </c>
      <c r="D9343" s="6">
        <v>64.3</v>
      </c>
      <c r="E9343" t="s">
        <v>77</v>
      </c>
    </row>
    <row r="9344" spans="1:5" x14ac:dyDescent="0.25">
      <c r="A9344" t="str">
        <f>HYPERLINK("https://www.773grp.com/globalSearch/SN74ACT72211L20RJ/page-1", "SN74ACT72211L20RJ")</f>
        <v>SN74ACT72211L20RJ</v>
      </c>
      <c r="B9344" s="3" t="s">
        <v>90</v>
      </c>
      <c r="C9344" s="5">
        <v>56</v>
      </c>
      <c r="D9344" s="6">
        <v>64.69</v>
      </c>
      <c r="E9344" t="s">
        <v>77</v>
      </c>
    </row>
    <row r="9345" spans="1:5" x14ac:dyDescent="0.25">
      <c r="A9345" t="str">
        <f>HYPERLINK("https://www.773grp.com/globalSearch/SN74ACT72211L20RJR/page-1", "SN74ACT72211L20RJR")</f>
        <v>SN74ACT72211L20RJR</v>
      </c>
      <c r="B9345" s="3" t="s">
        <v>90</v>
      </c>
      <c r="C9345" s="5">
        <v>12000</v>
      </c>
      <c r="D9345" s="6">
        <v>64.69</v>
      </c>
      <c r="E9345" t="s">
        <v>77</v>
      </c>
    </row>
    <row r="9346" spans="1:5" x14ac:dyDescent="0.25">
      <c r="A9346" t="str">
        <f>HYPERLINK("https://www.773grp.com/globalSearch/SN74ACT72221L25RJ/page-1", "SN74ACT72221L25RJ")</f>
        <v>SN74ACT72221L25RJ</v>
      </c>
      <c r="B9346" s="3" t="s">
        <v>90</v>
      </c>
      <c r="C9346" s="5">
        <v>5968</v>
      </c>
      <c r="D9346" s="6">
        <v>64.69</v>
      </c>
      <c r="E9346" t="s">
        <v>77</v>
      </c>
    </row>
    <row r="9347" spans="1:5" x14ac:dyDescent="0.25">
      <c r="A9347" t="str">
        <f>HYPERLINK("https://www.773grp.com/globalSearch/SN74ACT72231L35RJ/page-1", "SN74ACT72231L35RJ")</f>
        <v>SN74ACT72231L35RJ</v>
      </c>
      <c r="B9347" s="3" t="s">
        <v>90</v>
      </c>
      <c r="C9347" s="5">
        <v>1568</v>
      </c>
      <c r="D9347" s="6">
        <v>66.099999999999994</v>
      </c>
      <c r="E9347" t="s">
        <v>77</v>
      </c>
    </row>
    <row r="9348" spans="1:5" x14ac:dyDescent="0.25">
      <c r="A9348" t="str">
        <f>HYPERLINK("https://www.773grp.com/globalSearch/SN74ACT72221L15RJ/page-1", "SN74ACT72221L15RJ")</f>
        <v>SN74ACT72221L15RJ</v>
      </c>
      <c r="B9348" s="3" t="s">
        <v>90</v>
      </c>
      <c r="C9348" s="5">
        <v>12916</v>
      </c>
      <c r="D9348" s="6">
        <v>67.209999999999994</v>
      </c>
      <c r="E9348" t="s">
        <v>77</v>
      </c>
    </row>
    <row r="9349" spans="1:5" x14ac:dyDescent="0.25">
      <c r="A9349" t="str">
        <f>HYPERLINK("https://www.773grp.com/globalSearch/SN74ACT72231L20RJ/page-1", "SN74ACT72231L20RJ")</f>
        <v>SN74ACT72231L20RJ</v>
      </c>
      <c r="B9349" s="3" t="s">
        <v>90</v>
      </c>
      <c r="C9349" s="5">
        <v>2269</v>
      </c>
      <c r="D9349" s="6">
        <v>67.209999999999994</v>
      </c>
      <c r="E9349" t="s">
        <v>77</v>
      </c>
    </row>
    <row r="9350" spans="1:5" x14ac:dyDescent="0.25">
      <c r="A9350" t="str">
        <f>HYPERLINK("https://www.773grp.com/globalSearch/SN74ACT72231L20RJR/page-1", "SN74ACT72231L20RJR")</f>
        <v>SN74ACT72231L20RJR</v>
      </c>
      <c r="B9350" s="3" t="s">
        <v>90</v>
      </c>
      <c r="C9350" s="5">
        <v>8250</v>
      </c>
      <c r="D9350" s="6">
        <v>67.209999999999994</v>
      </c>
      <c r="E9350" t="s">
        <v>77</v>
      </c>
    </row>
    <row r="9351" spans="1:5" x14ac:dyDescent="0.25">
      <c r="A9351" t="str">
        <f>HYPERLINK("https://www.773grp.com/globalSearch/SN74ACT72231L50RJ/page-1", "SN74ACT72231L50RJ")</f>
        <v>SN74ACT72231L50RJ</v>
      </c>
      <c r="B9351" s="3" t="s">
        <v>90</v>
      </c>
      <c r="C9351" s="5">
        <v>43890</v>
      </c>
      <c r="D9351" s="6">
        <v>73.41</v>
      </c>
      <c r="E9351" t="s">
        <v>77</v>
      </c>
    </row>
    <row r="9352" spans="1:5" x14ac:dyDescent="0.25">
      <c r="A9352" t="str">
        <f>HYPERLINK("https://www.773grp.com/globalSearch/SN74ACT72241L50RJ/page-1", "SN74ACT72241L50RJ")</f>
        <v>SN74ACT72241L50RJ</v>
      </c>
      <c r="B9352" s="3" t="s">
        <v>90</v>
      </c>
      <c r="C9352" s="5">
        <v>5739</v>
      </c>
      <c r="D9352" s="6">
        <v>73.41</v>
      </c>
      <c r="E9352" t="s">
        <v>77</v>
      </c>
    </row>
    <row r="9353" spans="1:5" x14ac:dyDescent="0.25">
      <c r="A9353" t="str">
        <f>HYPERLINK("https://www.773grp.com/globalSearch/SN74V263-6GGM/page-1", "SN74V263-6GGM")</f>
        <v>SN74V263-6GGM</v>
      </c>
      <c r="B9353" s="3" t="s">
        <v>90</v>
      </c>
      <c r="C9353" s="5">
        <v>2037</v>
      </c>
      <c r="D9353" s="6">
        <v>74.36</v>
      </c>
      <c r="E9353" t="s">
        <v>77</v>
      </c>
    </row>
    <row r="9354" spans="1:5" x14ac:dyDescent="0.25">
      <c r="A9354" t="str">
        <f>HYPERLINK("https://www.773grp.com/globalSearch/SN74V293-6GGM/page-1", "SN74V293-6GGM")</f>
        <v>SN74V293-6GGM</v>
      </c>
      <c r="B9354" s="3" t="s">
        <v>90</v>
      </c>
      <c r="C9354" s="5">
        <v>617</v>
      </c>
      <c r="D9354" s="6">
        <v>76.45</v>
      </c>
      <c r="E9354" t="s">
        <v>77</v>
      </c>
    </row>
    <row r="9355" spans="1:5" x14ac:dyDescent="0.25">
      <c r="A9355" t="str">
        <f>HYPERLINK("https://www.773grp.com/globalSearch/SN74ACT72231L15RJ/page-1", "SN74ACT72231L15RJ")</f>
        <v>SN74ACT72231L15RJ</v>
      </c>
      <c r="B9355" s="3" t="s">
        <v>90</v>
      </c>
      <c r="C9355" s="5">
        <v>1856</v>
      </c>
      <c r="D9355" s="6">
        <v>76.5</v>
      </c>
      <c r="E9355" t="s">
        <v>77</v>
      </c>
    </row>
    <row r="9356" spans="1:5" x14ac:dyDescent="0.25">
      <c r="A9356" t="str">
        <f>HYPERLINK("https://www.773grp.com/globalSearch/SN74ACT3651-15PCB/page-1", "SN74ACT3651-15PCB")</f>
        <v>SN74ACT3651-15PCB</v>
      </c>
      <c r="B9356" s="3" t="s">
        <v>90</v>
      </c>
      <c r="C9356" s="5">
        <v>506</v>
      </c>
      <c r="D9356" s="6">
        <v>76.53</v>
      </c>
      <c r="E9356" t="s">
        <v>77</v>
      </c>
    </row>
    <row r="9357" spans="1:5" x14ac:dyDescent="0.25">
      <c r="A9357" t="str">
        <f>HYPERLINK("https://www.773grp.com/globalSearch/SN74ACT3651-15PQ/page-1", "SN74ACT3651-15PQ")</f>
        <v>SN74ACT3651-15PQ</v>
      </c>
      <c r="B9357" s="3" t="s">
        <v>90</v>
      </c>
      <c r="C9357" s="5">
        <v>768</v>
      </c>
      <c r="D9357" s="6">
        <v>76.53</v>
      </c>
      <c r="E9357" t="s">
        <v>77</v>
      </c>
    </row>
    <row r="9358" spans="1:5" x14ac:dyDescent="0.25">
      <c r="A9358" t="str">
        <f>HYPERLINK("https://www.773grp.com/globalSearch/SN74ACT72241L35RJ/page-1", "SN74ACT72241L35RJ")</f>
        <v>SN74ACT72241L35RJ</v>
      </c>
      <c r="B9358" s="3" t="s">
        <v>90</v>
      </c>
      <c r="C9358" s="5">
        <v>2374</v>
      </c>
      <c r="D9358" s="6">
        <v>79.31</v>
      </c>
      <c r="E9358" t="s">
        <v>77</v>
      </c>
    </row>
    <row r="9359" spans="1:5" x14ac:dyDescent="0.25">
      <c r="A9359" t="str">
        <f>HYPERLINK("https://www.773grp.com/globalSearch/SN74ACT72241L20RJ/page-1", "SN74ACT72241L20RJ")</f>
        <v>SN74ACT72241L20RJ</v>
      </c>
      <c r="B9359" s="3" t="s">
        <v>90</v>
      </c>
      <c r="C9359" s="5">
        <v>367</v>
      </c>
      <c r="D9359" s="6">
        <v>80.16</v>
      </c>
      <c r="E9359" t="s">
        <v>77</v>
      </c>
    </row>
    <row r="9360" spans="1:5" x14ac:dyDescent="0.25">
      <c r="A9360" t="str">
        <f>HYPERLINK("https://www.773grp.com/globalSearch/SN74ACT72241L25RJ/page-1", "SN74ACT72241L25RJ")</f>
        <v>SN74ACT72241L25RJ</v>
      </c>
      <c r="B9360" s="3" t="s">
        <v>90</v>
      </c>
      <c r="C9360" s="5">
        <v>4921</v>
      </c>
      <c r="D9360" s="6">
        <v>86.35</v>
      </c>
      <c r="E9360" t="s">
        <v>77</v>
      </c>
    </row>
    <row r="9361" spans="1:5" x14ac:dyDescent="0.25">
      <c r="A9361" t="str">
        <f>HYPERLINK("https://www.773grp.com/globalSearch/SN74ACT7206L15RJ/page-1", "SN74ACT7206L15RJ")</f>
        <v>SN74ACT7206L15RJ</v>
      </c>
      <c r="B9361" s="3" t="s">
        <v>90</v>
      </c>
      <c r="C9361" s="5">
        <v>3184</v>
      </c>
      <c r="D9361" s="6">
        <v>93.74</v>
      </c>
      <c r="E9361" t="s">
        <v>77</v>
      </c>
    </row>
    <row r="9362" spans="1:5" x14ac:dyDescent="0.25">
      <c r="A9362" t="str">
        <f>HYPERLINK("https://www.773grp.com/globalSearch/SN74ACT72241L20RJR/page-1", "SN74ACT72241L20RJR")</f>
        <v>SN74ACT72241L20RJR</v>
      </c>
      <c r="B9362" s="3" t="s">
        <v>90</v>
      </c>
      <c r="C9362" s="5">
        <v>6750</v>
      </c>
      <c r="D9362" s="6">
        <v>96.19</v>
      </c>
      <c r="E9362" t="s">
        <v>77</v>
      </c>
    </row>
    <row r="9363" spans="1:5" x14ac:dyDescent="0.25">
      <c r="A9363" t="str">
        <f>HYPERLINK("https://www.773grp.com/globalSearch/SNJ54ALS234J/page-1", "SNJ54ALS234J")</f>
        <v>SNJ54ALS234J</v>
      </c>
      <c r="B9363" s="3" t="s">
        <v>90</v>
      </c>
      <c r="C9363" s="5">
        <v>915</v>
      </c>
      <c r="D9363" s="6">
        <v>131.24</v>
      </c>
      <c r="E9363" t="s">
        <v>77</v>
      </c>
    </row>
    <row r="9364" spans="1:5" x14ac:dyDescent="0.25">
      <c r="A9364" t="str">
        <f>HYPERLINK("https://www.773grp.com/globalSearch/SN74ALVC3651-10PCB/page-1", "SN74ALVC3651-10PCB")</f>
        <v>SN74ALVC3651-10PCB</v>
      </c>
      <c r="B9364" s="3" t="s">
        <v>90</v>
      </c>
      <c r="C9364" s="5">
        <v>18</v>
      </c>
      <c r="D9364" s="6">
        <v>281.25</v>
      </c>
      <c r="E9364" t="s">
        <v>77</v>
      </c>
    </row>
    <row r="9365" spans="1:5" x14ac:dyDescent="0.25">
      <c r="A9365" t="str">
        <f>HYPERLINK("https://www.773grp.com/globalSearch/SN74ALVC3651-10PQ/page-1", "SN74ALVC3651-10PQ")</f>
        <v>SN74ALVC3651-10PQ</v>
      </c>
      <c r="B9365" s="3" t="s">
        <v>90</v>
      </c>
      <c r="C9365" s="5">
        <v>180</v>
      </c>
      <c r="D9365" s="6">
        <v>281.25</v>
      </c>
      <c r="E9365" t="s">
        <v>77</v>
      </c>
    </row>
    <row r="9366" spans="1:5" x14ac:dyDescent="0.25">
      <c r="A9366" t="str">
        <f>HYPERLINK("https://www.773grp.com/globalSearch/SN74ALVC3651-15PCB/page-1", "SN74ALVC3651-15PCB")</f>
        <v>SN74ALVC3651-15PCB</v>
      </c>
      <c r="B9366" s="3" t="s">
        <v>90</v>
      </c>
      <c r="C9366" s="5">
        <v>795</v>
      </c>
      <c r="D9366" s="6">
        <v>290.64</v>
      </c>
      <c r="E9366" t="s">
        <v>77</v>
      </c>
    </row>
    <row r="9367" spans="1:5" x14ac:dyDescent="0.25">
      <c r="A9367" t="str">
        <f>HYPERLINK("https://www.773grp.com/globalSearch/5962-9470401QXA/page-1", "5962-9470401QXA")</f>
        <v>5962-9470401QXA</v>
      </c>
      <c r="B9367" s="3" t="s">
        <v>90</v>
      </c>
      <c r="C9367" s="5">
        <v>18</v>
      </c>
      <c r="D9367" s="6">
        <v>520.44000000000005</v>
      </c>
      <c r="E9367" t="s">
        <v>77</v>
      </c>
    </row>
    <row r="9368" spans="1:5" x14ac:dyDescent="0.25">
      <c r="A9368" t="str">
        <f>HYPERLINK("https://www.773grp.com/globalSearch/SNJ54ABT7819GB/page-1", "SNJ54ABT7819GB")</f>
        <v>SNJ54ABT7819GB</v>
      </c>
      <c r="B9368" s="3" t="s">
        <v>90</v>
      </c>
      <c r="C9368" s="5">
        <v>7</v>
      </c>
      <c r="D9368" s="6">
        <v>520.44000000000005</v>
      </c>
      <c r="E9368" t="s">
        <v>77</v>
      </c>
    </row>
    <row r="9369" spans="1:5" x14ac:dyDescent="0.25">
      <c r="A9369" t="str">
        <f>HYPERLINK("https://www.773grp.com/globalSearch/UCC384DPTR-5/page-1", "UCC384DPTR-5")</f>
        <v>UCC384DPTR-5</v>
      </c>
      <c r="B9369" s="3" t="s">
        <v>90</v>
      </c>
      <c r="C9369" s="5">
        <v>7411</v>
      </c>
      <c r="D9369" s="6">
        <v>5.78</v>
      </c>
      <c r="E9369" t="s">
        <v>42</v>
      </c>
    </row>
    <row r="9370" spans="1:5" x14ac:dyDescent="0.25">
      <c r="A9370" t="str">
        <f>HYPERLINK("https://www.773grp.com/globalSearch/UCC384DP-12/page-1", "UCC384DP-12")</f>
        <v>UCC384DP-12</v>
      </c>
      <c r="B9370" s="3" t="str">
        <f>HYPERLINK("https://www.773grp.com/manufacturer/texas-instruments?pageNo=632", "Texas Instruments")</f>
        <v>Texas Instruments</v>
      </c>
      <c r="C9370" s="5">
        <v>7325</v>
      </c>
      <c r="D9370" s="6">
        <v>6.86</v>
      </c>
      <c r="E9370" t="s">
        <v>42</v>
      </c>
    </row>
    <row r="9371" spans="1:5" x14ac:dyDescent="0.25">
      <c r="A9371" t="str">
        <f>HYPERLINK("https://www.773grp.com/globalSearch/UCC384DP-5/page-1", "UCC384DP-5")</f>
        <v>UCC384DP-5</v>
      </c>
      <c r="B9371" s="3" t="str">
        <f>HYPERLINK("https://www.773grp.com/manufacturer/texas-instruments?pageNo=633", "Texas Instruments")</f>
        <v>Texas Instruments</v>
      </c>
      <c r="C9371" s="5">
        <v>11346</v>
      </c>
      <c r="D9371" s="6">
        <v>6.86</v>
      </c>
      <c r="E9371" t="s">
        <v>42</v>
      </c>
    </row>
    <row r="9372" spans="1:5" x14ac:dyDescent="0.25">
      <c r="A9372" t="str">
        <f>HYPERLINK("https://www.773grp.com/globalSearch/UCC284DP-12/page-1", "UCC284DP-12")</f>
        <v>UCC284DP-12</v>
      </c>
      <c r="B9372" s="3" t="s">
        <v>90</v>
      </c>
      <c r="C9372" s="5">
        <v>144</v>
      </c>
      <c r="D9372" s="6">
        <v>8.15</v>
      </c>
      <c r="E9372" t="s">
        <v>42</v>
      </c>
    </row>
    <row r="9373" spans="1:5" x14ac:dyDescent="0.25">
      <c r="A9373" t="str">
        <f>HYPERLINK("https://www.773grp.com/globalSearch/UCC284DP-12/page-1", "UCC284DP-12")</f>
        <v>UCC284DP-12</v>
      </c>
      <c r="B9373" s="3" t="s">
        <v>90</v>
      </c>
      <c r="C9373" s="5">
        <v>2005</v>
      </c>
      <c r="D9373" s="6">
        <v>8.15</v>
      </c>
      <c r="E9373" t="s">
        <v>42</v>
      </c>
    </row>
    <row r="9374" spans="1:5" x14ac:dyDescent="0.25">
      <c r="A9374" t="str">
        <f>HYPERLINK("https://www.773grp.com/globalSearch/UCC284DP-5/page-1", "UCC284DP-5")</f>
        <v>UCC284DP-5</v>
      </c>
      <c r="B9374" s="3" t="s">
        <v>90</v>
      </c>
      <c r="C9374" s="5">
        <v>9130</v>
      </c>
      <c r="D9374" s="6">
        <v>9.25</v>
      </c>
      <c r="E9374" t="s">
        <v>42</v>
      </c>
    </row>
    <row r="9375" spans="1:5" x14ac:dyDescent="0.25">
      <c r="A9375" t="str">
        <f>HYPERLINK("https://www.773grp.com/globalSearch/UCC284SDR-5EP/page-1", "UCC284SDR-5EP")</f>
        <v>UCC284SDR-5EP</v>
      </c>
      <c r="B9375" s="3" t="s">
        <v>90</v>
      </c>
      <c r="C9375" s="5">
        <v>2150</v>
      </c>
      <c r="D9375" s="6">
        <v>15.75</v>
      </c>
      <c r="E9375" t="s">
        <v>42</v>
      </c>
    </row>
    <row r="9376" spans="1:5" x14ac:dyDescent="0.25">
      <c r="A9376" t="str">
        <f>HYPERLINK("https://www.773grp.com/globalSearch/UCC284DP-12/page-1", "UCC284DP-12")</f>
        <v>UCC284DP-12</v>
      </c>
      <c r="B9376" s="3" t="s">
        <v>112</v>
      </c>
      <c r="C9376" s="5">
        <v>20</v>
      </c>
      <c r="D9376" s="6">
        <v>8.15</v>
      </c>
      <c r="E9376" t="s">
        <v>42</v>
      </c>
    </row>
    <row r="9377" spans="1:5" x14ac:dyDescent="0.25">
      <c r="A9377" t="str">
        <f>HYPERLINK("https://www.773grp.com/globalSearch/UA7908CKCS/page-1", "UA7908CKCS")</f>
        <v>UA7908CKCS</v>
      </c>
      <c r="B9377" s="3" t="str">
        <f>HYPERLINK("https://www.773grp.com/manufacturer/texas-instruments?pageNo=814", "Texas Instruments")</f>
        <v>Texas Instruments</v>
      </c>
      <c r="C9377" s="5">
        <v>14400</v>
      </c>
      <c r="D9377" s="6">
        <v>4.38</v>
      </c>
      <c r="E9377" t="s">
        <v>54</v>
      </c>
    </row>
    <row r="9378" spans="1:5" x14ac:dyDescent="0.25">
      <c r="A9378" t="str">
        <f>HYPERLINK("https://www.773grp.com/globalSearch/UA7908CKCSE3/page-1", "UA7908CKCSE3")</f>
        <v>UA7908CKCSE3</v>
      </c>
      <c r="B9378" s="3" t="str">
        <f>HYPERLINK("https://www.773grp.com/manufacturer/texas-instruments?pageNo=815", "Texas Instruments")</f>
        <v>Texas Instruments</v>
      </c>
      <c r="C9378" s="5">
        <v>950</v>
      </c>
      <c r="D9378" s="6">
        <v>4.38</v>
      </c>
      <c r="E9378" t="s">
        <v>54</v>
      </c>
    </row>
    <row r="9379" spans="1:5" x14ac:dyDescent="0.25">
      <c r="A9379" t="str">
        <f>HYPERLINK("https://www.773grp.com/globalSearch/TPS71247DRCR/page-1", "TPS71247DRCR")</f>
        <v>TPS71247DRCR</v>
      </c>
      <c r="B9379" s="3" t="str">
        <f>HYPERLINK("https://www.773grp.com/manufacturer/texas-instruments?pageNo=198", "Texas Instruments")</f>
        <v>Texas Instruments</v>
      </c>
      <c r="C9379" s="5">
        <v>51000</v>
      </c>
      <c r="D9379" s="6">
        <v>4.2300000000000004</v>
      </c>
      <c r="E9379" t="s">
        <v>39</v>
      </c>
    </row>
    <row r="9380" spans="1:5" x14ac:dyDescent="0.25">
      <c r="A9380" t="str">
        <f>HYPERLINK("https://www.773grp.com/globalSearch/TPS71256DRCR/page-1", "TPS71256DRCR")</f>
        <v>TPS71256DRCR</v>
      </c>
      <c r="B9380" s="3" t="str">
        <f>HYPERLINK("https://www.773grp.com/manufacturer/texas-instruments?pageNo=199", "Texas Instruments")</f>
        <v>Texas Instruments</v>
      </c>
      <c r="C9380" s="5">
        <v>6000</v>
      </c>
      <c r="D9380" s="6">
        <v>4.2300000000000004</v>
      </c>
      <c r="E9380" t="s">
        <v>39</v>
      </c>
    </row>
    <row r="9381" spans="1:5" x14ac:dyDescent="0.25">
      <c r="A9381" t="str">
        <f>HYPERLINK("https://www.773grp.com/globalSearch/TPS70845PWP/page-1", "TPS70845PWP")</f>
        <v>TPS70845PWP</v>
      </c>
      <c r="B9381" s="3" t="s">
        <v>90</v>
      </c>
      <c r="C9381" s="5">
        <v>13332</v>
      </c>
      <c r="D9381" s="6">
        <v>4.09</v>
      </c>
      <c r="E9381" t="s">
        <v>39</v>
      </c>
    </row>
    <row r="9382" spans="1:5" x14ac:dyDescent="0.25">
      <c r="A9382" t="str">
        <f>HYPERLINK("https://www.773grp.com/globalSearch/TPS70848PWP/page-1", "TPS70848PWP")</f>
        <v>TPS70848PWP</v>
      </c>
      <c r="B9382" s="3" t="s">
        <v>90</v>
      </c>
      <c r="C9382" s="5">
        <v>13150</v>
      </c>
      <c r="D9382" s="6">
        <v>4.09</v>
      </c>
      <c r="E9382" t="s">
        <v>39</v>
      </c>
    </row>
    <row r="9383" spans="1:5" x14ac:dyDescent="0.25">
      <c r="A9383" t="str">
        <f>HYPERLINK("https://www.773grp.com/globalSearch/TPS70858PWP/page-1", "TPS70858PWP")</f>
        <v>TPS70858PWP</v>
      </c>
      <c r="B9383" s="3" t="s">
        <v>90</v>
      </c>
      <c r="C9383" s="5">
        <v>14415</v>
      </c>
      <c r="D9383" s="6">
        <v>4.09</v>
      </c>
      <c r="E9383" t="s">
        <v>39</v>
      </c>
    </row>
    <row r="9384" spans="1:5" x14ac:dyDescent="0.25">
      <c r="A9384" t="str">
        <f>HYPERLINK("https://www.773grp.com/globalSearch/TPS2158IDGN/page-1", "TPS2158IDGN")</f>
        <v>TPS2158IDGN</v>
      </c>
      <c r="B9384" s="3" t="s">
        <v>90</v>
      </c>
      <c r="C9384" s="5">
        <v>10797</v>
      </c>
      <c r="D9384" s="6">
        <v>4.2300000000000004</v>
      </c>
      <c r="E9384" t="s">
        <v>39</v>
      </c>
    </row>
    <row r="9385" spans="1:5" x14ac:dyDescent="0.25">
      <c r="A9385" t="str">
        <f>HYPERLINK("https://www.773grp.com/globalSearch/TPS70102PWPR/page-1", "TPS70102PWPR")</f>
        <v>TPS70102PWPR</v>
      </c>
      <c r="B9385" s="3" t="s">
        <v>90</v>
      </c>
      <c r="C9385" s="5">
        <v>4000</v>
      </c>
      <c r="D9385" s="6">
        <v>4.2300000000000004</v>
      </c>
      <c r="E9385" t="s">
        <v>39</v>
      </c>
    </row>
    <row r="9386" spans="1:5" x14ac:dyDescent="0.25">
      <c r="A9386" t="str">
        <f>HYPERLINK("https://www.773grp.com/globalSearch/TPS2147IDGQ/page-1", "TPS2147IDGQ")</f>
        <v>TPS2147IDGQ</v>
      </c>
      <c r="B9386" s="3" t="str">
        <f>HYPERLINK("https://www.773grp.com/manufacturer/texas-instruments?pageNo=389", "Texas Instruments")</f>
        <v>Texas Instruments</v>
      </c>
      <c r="C9386" s="5">
        <v>7726</v>
      </c>
      <c r="D9386" s="6">
        <v>4.5</v>
      </c>
      <c r="E9386" t="s">
        <v>39</v>
      </c>
    </row>
    <row r="9387" spans="1:5" x14ac:dyDescent="0.25">
      <c r="A9387" t="str">
        <f>HYPERLINK("https://www.773grp.com/globalSearch/TPS71247DRCT/page-1", "TPS71247DRCT")</f>
        <v>TPS71247DRCT</v>
      </c>
      <c r="B9387" s="3" t="str">
        <f>HYPERLINK("https://www.773grp.com/manufacturer/texas-instruments?pageNo=718", "Texas Instruments")</f>
        <v>Texas Instruments</v>
      </c>
      <c r="C9387" s="5">
        <v>8580</v>
      </c>
      <c r="D9387" s="6">
        <v>5.01</v>
      </c>
      <c r="E9387" t="s">
        <v>39</v>
      </c>
    </row>
    <row r="9388" spans="1:5" x14ac:dyDescent="0.25">
      <c r="A9388" t="str">
        <f>HYPERLINK("https://www.773grp.com/globalSearch/TPS71256DRCT/page-1", "TPS71256DRCT")</f>
        <v>TPS71256DRCT</v>
      </c>
      <c r="B9388" s="3" t="str">
        <f>HYPERLINK("https://www.773grp.com/manufacturer/texas-instruments?pageNo=719", "Texas Instruments")</f>
        <v>Texas Instruments</v>
      </c>
      <c r="C9388" s="5">
        <v>15235</v>
      </c>
      <c r="D9388" s="6">
        <v>5.01</v>
      </c>
      <c r="E9388" t="s">
        <v>39</v>
      </c>
    </row>
    <row r="9389" spans="1:5" x14ac:dyDescent="0.25">
      <c r="A9389" t="str">
        <f>HYPERLINK("https://www.773grp.com/globalSearch/TPS71257DRCT/page-1", "TPS71257DRCT")</f>
        <v>TPS71257DRCT</v>
      </c>
      <c r="B9389" s="3" t="str">
        <f>HYPERLINK("https://www.773grp.com/manufacturer/texas-instruments?pageNo=720", "Texas Instruments")</f>
        <v>Texas Instruments</v>
      </c>
      <c r="C9389" s="5">
        <v>8500</v>
      </c>
      <c r="D9389" s="6">
        <v>5.01</v>
      </c>
      <c r="E9389" t="s">
        <v>39</v>
      </c>
    </row>
    <row r="9390" spans="1:5" x14ac:dyDescent="0.25">
      <c r="A9390" t="str">
        <f>HYPERLINK("https://www.773grp.com/globalSearch/TPS2158IDGNR/page-1", "TPS2158IDGNR")</f>
        <v>TPS2158IDGNR</v>
      </c>
      <c r="B9390" s="3" t="s">
        <v>90</v>
      </c>
      <c r="C9390" s="5">
        <v>2500</v>
      </c>
      <c r="D9390" s="6">
        <v>5.21</v>
      </c>
      <c r="E9390" t="s">
        <v>39</v>
      </c>
    </row>
    <row r="9391" spans="1:5" x14ac:dyDescent="0.25">
      <c r="A9391" t="str">
        <f>HYPERLINK("https://www.773grp.com/globalSearch/TPS70851PWP/page-1", "TPS70851PWP")</f>
        <v>TPS70851PWP</v>
      </c>
      <c r="B9391" s="3" t="s">
        <v>90</v>
      </c>
      <c r="C9391" s="5">
        <v>132</v>
      </c>
      <c r="D9391" s="6">
        <v>4.93</v>
      </c>
      <c r="E9391" t="s">
        <v>39</v>
      </c>
    </row>
    <row r="9392" spans="1:5" x14ac:dyDescent="0.25">
      <c r="A9392" t="str">
        <f>HYPERLINK("https://www.773grp.com/globalSearch/TPS70102PWP/page-1", "TPS70102PWP")</f>
        <v>TPS70102PWP</v>
      </c>
      <c r="B9392" s="3" t="s">
        <v>90</v>
      </c>
      <c r="C9392" s="5">
        <v>2520</v>
      </c>
      <c r="D9392" s="6">
        <v>5.0599999999999996</v>
      </c>
      <c r="E9392" t="s">
        <v>39</v>
      </c>
    </row>
    <row r="9393" spans="1:5" x14ac:dyDescent="0.25">
      <c r="A9393" t="str">
        <f>HYPERLINK("https://www.773grp.com/globalSearch/TPS70151PWP/page-1", "TPS70151PWP")</f>
        <v>TPS70151PWP</v>
      </c>
      <c r="B9393" s="3" t="s">
        <v>90</v>
      </c>
      <c r="C9393" s="5">
        <v>350</v>
      </c>
      <c r="D9393" s="6">
        <v>5.0599999999999996</v>
      </c>
      <c r="E9393" t="s">
        <v>39</v>
      </c>
    </row>
    <row r="9394" spans="1:5" x14ac:dyDescent="0.25">
      <c r="A9394" t="str">
        <f>HYPERLINK("https://www.773grp.com/globalSearch/TPS70158PWPR/page-1", "TPS70158PWPR")</f>
        <v>TPS70158PWPR</v>
      </c>
      <c r="B9394" s="3" t="s">
        <v>90</v>
      </c>
      <c r="C9394" s="5">
        <v>12000</v>
      </c>
      <c r="D9394" s="6">
        <v>5.2</v>
      </c>
      <c r="E9394" t="s">
        <v>39</v>
      </c>
    </row>
    <row r="9395" spans="1:5" x14ac:dyDescent="0.25">
      <c r="A9395" t="str">
        <f>HYPERLINK("https://www.773grp.com/globalSearch/TPPM0110DWPR/page-1", "TPPM0110DWPR")</f>
        <v>TPPM0110DWPR</v>
      </c>
      <c r="B9395" s="3" t="s">
        <v>90</v>
      </c>
      <c r="C9395" s="5">
        <v>21857</v>
      </c>
      <c r="D9395" s="6">
        <v>5.63</v>
      </c>
      <c r="E9395" t="s">
        <v>39</v>
      </c>
    </row>
    <row r="9396" spans="1:5" x14ac:dyDescent="0.25">
      <c r="A9396" t="str">
        <f>HYPERLINK("https://www.773grp.com/globalSearch/TPS767D325PWPRG4/page-1", "TPS767D325PWPRG4")</f>
        <v>TPS767D325PWPRG4</v>
      </c>
      <c r="B9396" s="3" t="s">
        <v>90</v>
      </c>
      <c r="C9396" s="5">
        <v>1998</v>
      </c>
      <c r="D9396" s="6">
        <v>5.63</v>
      </c>
      <c r="E9396" t="s">
        <v>39</v>
      </c>
    </row>
    <row r="9397" spans="1:5" x14ac:dyDescent="0.25">
      <c r="A9397" t="str">
        <f>HYPERLINK("https://www.773grp.com/globalSearch/TPS73HD318PWPR/page-1", "TPS73HD318PWPR")</f>
        <v>TPS73HD318PWPR</v>
      </c>
      <c r="B9397" s="3" t="s">
        <v>90</v>
      </c>
      <c r="C9397" s="5">
        <v>12000</v>
      </c>
      <c r="D9397" s="6">
        <v>6.21</v>
      </c>
      <c r="E9397" t="s">
        <v>39</v>
      </c>
    </row>
    <row r="9398" spans="1:5" x14ac:dyDescent="0.25">
      <c r="A9398" t="str">
        <f>HYPERLINK("https://www.773grp.com/globalSearch/TPS73HD325PWPR/page-1", "TPS73HD325PWPR")</f>
        <v>TPS73HD325PWPR</v>
      </c>
      <c r="B9398" s="3" t="s">
        <v>90</v>
      </c>
      <c r="C9398" s="5">
        <v>2000</v>
      </c>
      <c r="D9398" s="6">
        <v>6.21</v>
      </c>
      <c r="E9398" t="s">
        <v>39</v>
      </c>
    </row>
    <row r="9399" spans="1:5" x14ac:dyDescent="0.25">
      <c r="A9399" t="str">
        <f>HYPERLINK("https://www.773grp.com/globalSearch/TPS70145PWP/page-1", "TPS70145PWP")</f>
        <v>TPS70145PWP</v>
      </c>
      <c r="B9399" s="3" t="s">
        <v>90</v>
      </c>
      <c r="C9399" s="5">
        <v>2155</v>
      </c>
      <c r="D9399" s="6">
        <v>6.33</v>
      </c>
      <c r="E9399" t="s">
        <v>39</v>
      </c>
    </row>
    <row r="9400" spans="1:5" x14ac:dyDescent="0.25">
      <c r="A9400" t="str">
        <f>HYPERLINK("https://www.773grp.com/globalSearch/TPS70145PWPG4/page-1", "TPS70145PWPG4")</f>
        <v>TPS70145PWPG4</v>
      </c>
      <c r="B9400" s="3" t="s">
        <v>90</v>
      </c>
      <c r="C9400" s="5">
        <v>50</v>
      </c>
      <c r="D9400" s="6">
        <v>6.33</v>
      </c>
      <c r="E9400" t="s">
        <v>39</v>
      </c>
    </row>
    <row r="9401" spans="1:5" x14ac:dyDescent="0.25">
      <c r="A9401" t="str">
        <f>HYPERLINK("https://www.773grp.com/globalSearch/TPS70158PWP/page-1", "TPS70158PWP")</f>
        <v>TPS70158PWP</v>
      </c>
      <c r="B9401" s="3" t="s">
        <v>90</v>
      </c>
      <c r="C9401" s="5">
        <v>17638</v>
      </c>
      <c r="D9401" s="6">
        <v>6.33</v>
      </c>
      <c r="E9401" t="s">
        <v>39</v>
      </c>
    </row>
    <row r="9402" spans="1:5" x14ac:dyDescent="0.25">
      <c r="A9402" t="str">
        <f>HYPERLINK("https://www.773grp.com/globalSearch/TPS70158PWPG4/page-1", "TPS70158PWPG4")</f>
        <v>TPS70158PWPG4</v>
      </c>
      <c r="B9402" s="3" t="s">
        <v>90</v>
      </c>
      <c r="C9402" s="5">
        <v>985</v>
      </c>
      <c r="D9402" s="6">
        <v>6.33</v>
      </c>
      <c r="E9402" t="s">
        <v>39</v>
      </c>
    </row>
    <row r="9403" spans="1:5" x14ac:dyDescent="0.25">
      <c r="A9403" t="str">
        <f>HYPERLINK("https://www.773grp.com/globalSearch/TPS70245PWP/page-1", "TPS70245PWP")</f>
        <v>TPS70245PWP</v>
      </c>
      <c r="B9403" s="3" t="s">
        <v>90</v>
      </c>
      <c r="C9403" s="5">
        <v>8257</v>
      </c>
      <c r="D9403" s="6">
        <v>6.33</v>
      </c>
      <c r="E9403" t="s">
        <v>39</v>
      </c>
    </row>
    <row r="9404" spans="1:5" x14ac:dyDescent="0.25">
      <c r="A9404" t="str">
        <f>HYPERLINK("https://www.773grp.com/globalSearch/TPS70248PWP/page-1", "TPS70248PWP")</f>
        <v>TPS70248PWP</v>
      </c>
      <c r="B9404" s="3" t="s">
        <v>90</v>
      </c>
      <c r="C9404" s="5">
        <v>9976</v>
      </c>
      <c r="D9404" s="6">
        <v>6.33</v>
      </c>
      <c r="E9404" t="s">
        <v>39</v>
      </c>
    </row>
    <row r="9405" spans="1:5" x14ac:dyDescent="0.25">
      <c r="A9405" t="str">
        <f>HYPERLINK("https://www.773grp.com/globalSearch/TPS70251PWP/page-1", "TPS70251PWP")</f>
        <v>TPS70251PWP</v>
      </c>
      <c r="B9405" s="3" t="s">
        <v>90</v>
      </c>
      <c r="C9405" s="5">
        <v>24012</v>
      </c>
      <c r="D9405" s="6">
        <v>6.33</v>
      </c>
      <c r="E9405" t="s">
        <v>39</v>
      </c>
    </row>
    <row r="9406" spans="1:5" x14ac:dyDescent="0.25">
      <c r="A9406" t="str">
        <f>HYPERLINK("https://www.773grp.com/globalSearch/TPS70258PWP/page-1", "TPS70258PWP")</f>
        <v>TPS70258PWP</v>
      </c>
      <c r="B9406" s="3" t="s">
        <v>90</v>
      </c>
      <c r="C9406" s="5">
        <v>1001</v>
      </c>
      <c r="D9406" s="6">
        <v>6.33</v>
      </c>
      <c r="E9406" t="s">
        <v>39</v>
      </c>
    </row>
    <row r="9407" spans="1:5" x14ac:dyDescent="0.25">
      <c r="A9407" t="str">
        <f>HYPERLINK("https://www.773grp.com/globalSearch/TPS767D325QPWPRQ1/page-1", "TPS767D325QPWPRQ1")</f>
        <v>TPS767D325QPWPRQ1</v>
      </c>
      <c r="B9407" s="3" t="str">
        <f>HYPERLINK("https://www.773grp.com/manufacturer/texas-instruments?pageNo=141", "Texas Instruments")</f>
        <v>Texas Instruments</v>
      </c>
      <c r="C9407" s="5">
        <v>1920</v>
      </c>
      <c r="D9407" s="6">
        <v>6.46</v>
      </c>
      <c r="E9407" t="s">
        <v>39</v>
      </c>
    </row>
    <row r="9408" spans="1:5" x14ac:dyDescent="0.25">
      <c r="A9408" t="str">
        <f>HYPERLINK("https://www.773grp.com/globalSearch/TPS70345PWPR/page-1", "TPS70345PWPR")</f>
        <v>TPS70345PWPR</v>
      </c>
      <c r="B9408" s="3" t="str">
        <f>HYPERLINK("https://www.773grp.com/manufacturer/texas-instruments?pageNo=331", "Texas Instruments")</f>
        <v>Texas Instruments</v>
      </c>
      <c r="C9408" s="5">
        <v>18000</v>
      </c>
      <c r="D9408" s="6">
        <v>6.61</v>
      </c>
      <c r="E9408" t="s">
        <v>39</v>
      </c>
    </row>
    <row r="9409" spans="1:5" x14ac:dyDescent="0.25">
      <c r="A9409" t="str">
        <f>HYPERLINK("https://www.773grp.com/globalSearch/TPS70445PWPR/page-1", "TPS70445PWPR")</f>
        <v>TPS70445PWPR</v>
      </c>
      <c r="B9409" s="3" t="str">
        <f>HYPERLINK("https://www.773grp.com/manufacturer/texas-instruments?pageNo=334", "Texas Instruments")</f>
        <v>Texas Instruments</v>
      </c>
      <c r="C9409" s="5">
        <v>1760</v>
      </c>
      <c r="D9409" s="6">
        <v>6.61</v>
      </c>
      <c r="E9409" t="s">
        <v>39</v>
      </c>
    </row>
    <row r="9410" spans="1:5" x14ac:dyDescent="0.25">
      <c r="A9410" t="str">
        <f>HYPERLINK("https://www.773grp.com/globalSearch/TPPM0110DWP/page-1", "TPPM0110DWP")</f>
        <v>TPPM0110DWP</v>
      </c>
      <c r="B9410" s="3" t="str">
        <f>HYPERLINK("https://www.773grp.com/manufacturer/texas-instruments?pageNo=525", "Texas Instruments")</f>
        <v>Texas Instruments</v>
      </c>
      <c r="C9410" s="5">
        <v>22286</v>
      </c>
      <c r="D9410" s="6">
        <v>6.75</v>
      </c>
      <c r="E9410" t="s">
        <v>39</v>
      </c>
    </row>
    <row r="9411" spans="1:5" x14ac:dyDescent="0.25">
      <c r="A9411" t="str">
        <f>HYPERLINK("https://www.773grp.com/globalSearch/TPPM0111DWP/page-1", "TPPM0111DWP")</f>
        <v>TPPM0111DWP</v>
      </c>
      <c r="B9411" s="3" t="str">
        <f>HYPERLINK("https://www.773grp.com/manufacturer/texas-instruments?pageNo=526", "Texas Instruments")</f>
        <v>Texas Instruments</v>
      </c>
      <c r="C9411" s="5">
        <v>12435</v>
      </c>
      <c r="D9411" s="6">
        <v>6.75</v>
      </c>
      <c r="E9411" t="s">
        <v>39</v>
      </c>
    </row>
    <row r="9412" spans="1:5" x14ac:dyDescent="0.25">
      <c r="A9412" t="str">
        <f>HYPERLINK("https://www.773grp.com/globalSearch/TPS767D318PWP/page-1", "TPS767D318PWP")</f>
        <v>TPS767D318PWP</v>
      </c>
      <c r="B9412" s="3" t="str">
        <f>HYPERLINK("https://www.773grp.com/manufacturer/texas-instruments?pageNo=892", "Texas Instruments")</f>
        <v>Texas Instruments</v>
      </c>
      <c r="C9412" s="5">
        <v>88</v>
      </c>
      <c r="D9412" s="6">
        <v>7.04</v>
      </c>
      <c r="E9412" t="s">
        <v>39</v>
      </c>
    </row>
    <row r="9413" spans="1:5" x14ac:dyDescent="0.25">
      <c r="A9413" t="str">
        <f>HYPERLINK("https://www.773grp.com/globalSearch/TPS767D318PWPG4/page-1", "TPS767D318PWPG4")</f>
        <v>TPS767D318PWPG4</v>
      </c>
      <c r="B9413" s="3" t="str">
        <f>HYPERLINK("https://www.773grp.com/manufacturer/texas-instruments?pageNo=893", "Texas Instruments")</f>
        <v>Texas Instruments</v>
      </c>
      <c r="C9413" s="5">
        <v>183</v>
      </c>
      <c r="D9413" s="6">
        <v>7.04</v>
      </c>
      <c r="E9413" t="s">
        <v>39</v>
      </c>
    </row>
    <row r="9414" spans="1:5" x14ac:dyDescent="0.25">
      <c r="A9414" t="str">
        <f>HYPERLINK("https://www.773grp.com/globalSearch/TPS767D325PWP/page-1", "TPS767D325PWP")</f>
        <v>TPS767D325PWP</v>
      </c>
      <c r="B9414" s="3" t="str">
        <f>HYPERLINK("https://www.773grp.com/manufacturer/texas-instruments?pageNo=894", "Texas Instruments")</f>
        <v>Texas Instruments</v>
      </c>
      <c r="C9414" s="5">
        <v>4075</v>
      </c>
      <c r="D9414" s="6">
        <v>7.04</v>
      </c>
      <c r="E9414" t="s">
        <v>39</v>
      </c>
    </row>
    <row r="9415" spans="1:5" x14ac:dyDescent="0.25">
      <c r="A9415" t="str">
        <f>HYPERLINK("https://www.773grp.com/globalSearch/TPS73HD318PWP/page-1", "TPS73HD318PWP")</f>
        <v>TPS73HD318PWP</v>
      </c>
      <c r="B9415" s="3" t="s">
        <v>90</v>
      </c>
      <c r="C9415" s="5">
        <v>3970</v>
      </c>
      <c r="D9415" s="6">
        <v>7.39</v>
      </c>
      <c r="E9415" t="s">
        <v>39</v>
      </c>
    </row>
    <row r="9416" spans="1:5" x14ac:dyDescent="0.25">
      <c r="A9416" t="str">
        <f>HYPERLINK("https://www.773grp.com/globalSearch/TPS73HD325PWP/page-1", "TPS73HD325PWP")</f>
        <v>TPS73HD325PWP</v>
      </c>
      <c r="B9416" s="3" t="s">
        <v>90</v>
      </c>
      <c r="C9416" s="5">
        <v>2156</v>
      </c>
      <c r="D9416" s="6">
        <v>7.39</v>
      </c>
      <c r="E9416" t="s">
        <v>39</v>
      </c>
    </row>
    <row r="9417" spans="1:5" x14ac:dyDescent="0.25">
      <c r="A9417" t="str">
        <f>HYPERLINK("https://www.773grp.com/globalSearch/TPS70345PWP/page-1", "TPS70345PWP")</f>
        <v>TPS70345PWP</v>
      </c>
      <c r="B9417" s="3" t="s">
        <v>90</v>
      </c>
      <c r="C9417" s="5">
        <v>4552</v>
      </c>
      <c r="D9417" s="6">
        <v>7.88</v>
      </c>
      <c r="E9417" t="s">
        <v>39</v>
      </c>
    </row>
    <row r="9418" spans="1:5" x14ac:dyDescent="0.25">
      <c r="A9418" t="str">
        <f>HYPERLINK("https://www.773grp.com/globalSearch/TPS70348PWP/page-1", "TPS70348PWP")</f>
        <v>TPS70348PWP</v>
      </c>
      <c r="B9418" s="3" t="s">
        <v>90</v>
      </c>
      <c r="C9418" s="5">
        <v>8802</v>
      </c>
      <c r="D9418" s="6">
        <v>7.88</v>
      </c>
      <c r="E9418" t="s">
        <v>39</v>
      </c>
    </row>
    <row r="9419" spans="1:5" x14ac:dyDescent="0.25">
      <c r="A9419" t="str">
        <f>HYPERLINK("https://www.773grp.com/globalSearch/TPS70358PWP/page-1", "TPS70358PWP")</f>
        <v>TPS70358PWP</v>
      </c>
      <c r="B9419" s="3" t="s">
        <v>90</v>
      </c>
      <c r="C9419" s="5">
        <v>4480</v>
      </c>
      <c r="D9419" s="6">
        <v>7.88</v>
      </c>
      <c r="E9419" t="s">
        <v>39</v>
      </c>
    </row>
    <row r="9420" spans="1:5" x14ac:dyDescent="0.25">
      <c r="A9420" t="str">
        <f>HYPERLINK("https://www.773grp.com/globalSearch/TPS70445PWP/page-1", "TPS70445PWP")</f>
        <v>TPS70445PWP</v>
      </c>
      <c r="B9420" s="3" t="s">
        <v>90</v>
      </c>
      <c r="C9420" s="5">
        <v>3</v>
      </c>
      <c r="D9420" s="6">
        <v>7.88</v>
      </c>
      <c r="E9420" t="s">
        <v>39</v>
      </c>
    </row>
    <row r="9421" spans="1:5" x14ac:dyDescent="0.25">
      <c r="A9421" t="str">
        <f>HYPERLINK("https://www.773grp.com/globalSearch/TPS70448PWP/page-1", "TPS70448PWP")</f>
        <v>TPS70448PWP</v>
      </c>
      <c r="B9421" s="3" t="s">
        <v>90</v>
      </c>
      <c r="C9421" s="5">
        <v>14032</v>
      </c>
      <c r="D9421" s="6">
        <v>7.88</v>
      </c>
      <c r="E9421" t="s">
        <v>39</v>
      </c>
    </row>
    <row r="9422" spans="1:5" x14ac:dyDescent="0.25">
      <c r="A9422" t="str">
        <f>HYPERLINK("https://www.773grp.com/globalSearch/TPS70451PWP/page-1", "TPS70451PWP")</f>
        <v>TPS70451PWP</v>
      </c>
      <c r="B9422" s="3" t="s">
        <v>90</v>
      </c>
      <c r="C9422" s="5">
        <v>2984</v>
      </c>
      <c r="D9422" s="6">
        <v>7.88</v>
      </c>
      <c r="E9422" t="s">
        <v>39</v>
      </c>
    </row>
    <row r="9423" spans="1:5" x14ac:dyDescent="0.25">
      <c r="A9423" t="str">
        <f>HYPERLINK("https://www.773grp.com/globalSearch/TPS70458PWP/page-1", "TPS70458PWP")</f>
        <v>TPS70458PWP</v>
      </c>
      <c r="B9423" s="3" t="s">
        <v>90</v>
      </c>
      <c r="C9423" s="5">
        <v>11741</v>
      </c>
      <c r="D9423" s="6">
        <v>7.88</v>
      </c>
      <c r="E9423" t="s">
        <v>39</v>
      </c>
    </row>
    <row r="9424" spans="1:5" x14ac:dyDescent="0.25">
      <c r="A9424" t="str">
        <f>HYPERLINK("https://www.773grp.com/globalSearch/TL750M05CKTE/page-1", "TL750M05CKTE")</f>
        <v>TL750M05CKTE</v>
      </c>
      <c r="B9424" s="3" t="str">
        <f>HYPERLINK("https://www.773grp.com/manufacturer/texas-instruments?pageNo=29", "Texas Instruments")</f>
        <v>Texas Instruments</v>
      </c>
      <c r="C9424" s="5">
        <v>21000</v>
      </c>
      <c r="D9424" s="6">
        <v>3.95</v>
      </c>
      <c r="E9424" t="s">
        <v>16</v>
      </c>
    </row>
    <row r="9425" spans="1:5" x14ac:dyDescent="0.25">
      <c r="A9425" t="str">
        <f>HYPERLINK("https://www.773grp.com/globalSearch/TPS73230DCQ/page-1", "TPS73230DCQ")</f>
        <v>TPS73230DCQ</v>
      </c>
      <c r="B9425" s="3" t="str">
        <f>HYPERLINK("https://www.773grp.com/manufacturer/texas-instruments?pageNo=181", "Texas Instruments")</f>
        <v>Texas Instruments</v>
      </c>
      <c r="C9425" s="5">
        <v>1092</v>
      </c>
      <c r="D9425" s="6">
        <v>3.95</v>
      </c>
      <c r="E9425" t="s">
        <v>16</v>
      </c>
    </row>
    <row r="9426" spans="1:5" x14ac:dyDescent="0.25">
      <c r="A9426" t="str">
        <f>HYPERLINK("https://www.773grp.com/globalSearch/TPS73615DBVR/page-1", "TPS73615DBVR")</f>
        <v>TPS73615DBVR</v>
      </c>
      <c r="B9426" s="3" t="str">
        <f>HYPERLINK("https://www.773grp.com/manufacturer/texas-instruments?pageNo=183", "Texas Instruments")</f>
        <v>Texas Instruments</v>
      </c>
      <c r="C9426" s="5">
        <v>11972</v>
      </c>
      <c r="D9426" s="6">
        <v>3.95</v>
      </c>
      <c r="E9426" t="s">
        <v>16</v>
      </c>
    </row>
    <row r="9427" spans="1:5" x14ac:dyDescent="0.25">
      <c r="A9427" t="str">
        <f>HYPERLINK("https://www.773grp.com/globalSearch/TPS73616DBVR/page-1", "TPS73616DBVR")</f>
        <v>TPS73616DBVR</v>
      </c>
      <c r="B9427" s="3" t="str">
        <f>HYPERLINK("https://www.773grp.com/manufacturer/texas-instruments?pageNo=184", "Texas Instruments")</f>
        <v>Texas Instruments</v>
      </c>
      <c r="C9427" s="5">
        <v>2800</v>
      </c>
      <c r="D9427" s="6">
        <v>3.95</v>
      </c>
      <c r="E9427" t="s">
        <v>16</v>
      </c>
    </row>
    <row r="9428" spans="1:5" x14ac:dyDescent="0.25">
      <c r="A9428" t="str">
        <f>HYPERLINK("https://www.773grp.com/globalSearch/TPS73625DBVR/page-1", "TPS73625DBVR")</f>
        <v>TPS73625DBVR</v>
      </c>
      <c r="B9428" s="3" t="str">
        <f>HYPERLINK("https://www.773grp.com/manufacturer/texas-instruments?pageNo=186", "Texas Instruments")</f>
        <v>Texas Instruments</v>
      </c>
      <c r="C9428" s="5">
        <v>152785</v>
      </c>
      <c r="D9428" s="6">
        <v>3.95</v>
      </c>
      <c r="E9428" t="s">
        <v>16</v>
      </c>
    </row>
    <row r="9429" spans="1:5" x14ac:dyDescent="0.25">
      <c r="A9429" t="str">
        <f>HYPERLINK("https://www.773grp.com/globalSearch/TPS73632DBVR/page-1", "TPS73632DBVR")</f>
        <v>TPS73632DBVR</v>
      </c>
      <c r="B9429" s="3" t="str">
        <f>HYPERLINK("https://www.773grp.com/manufacturer/texas-instruments?pageNo=187", "Texas Instruments")</f>
        <v>Texas Instruments</v>
      </c>
      <c r="C9429" s="5">
        <v>347400</v>
      </c>
      <c r="D9429" s="6">
        <v>3.95</v>
      </c>
      <c r="E9429" t="s">
        <v>16</v>
      </c>
    </row>
    <row r="9430" spans="1:5" x14ac:dyDescent="0.25">
      <c r="A9430" t="str">
        <f>HYPERLINK("https://www.773grp.com/globalSearch/TPS73633DBVR/page-1", "TPS73633DBVR")</f>
        <v>TPS73633DBVR</v>
      </c>
      <c r="B9430" s="3" t="str">
        <f>HYPERLINK("https://www.773grp.com/manufacturer/texas-instruments?pageNo=188", "Texas Instruments")</f>
        <v>Texas Instruments</v>
      </c>
      <c r="C9430" s="5">
        <v>56500</v>
      </c>
      <c r="D9430" s="6">
        <v>3.95</v>
      </c>
      <c r="E9430" t="s">
        <v>16</v>
      </c>
    </row>
    <row r="9431" spans="1:5" x14ac:dyDescent="0.25">
      <c r="A9431" t="str">
        <f>HYPERLINK("https://www.773grp.com/globalSearch/TPS73643DBVR/page-1", "TPS73643DBVR")</f>
        <v>TPS73643DBVR</v>
      </c>
      <c r="B9431" s="3" t="str">
        <f>HYPERLINK("https://www.773grp.com/manufacturer/texas-instruments?pageNo=189", "Texas Instruments")</f>
        <v>Texas Instruments</v>
      </c>
      <c r="C9431" s="5">
        <v>216000</v>
      </c>
      <c r="D9431" s="6">
        <v>3.95</v>
      </c>
      <c r="E9431" t="s">
        <v>16</v>
      </c>
    </row>
    <row r="9432" spans="1:5" x14ac:dyDescent="0.25">
      <c r="A9432" t="str">
        <f>HYPERLINK("https://www.773grp.com/globalSearch/TPS7418D/page-1", "TPS7418D")</f>
        <v>TPS7418D</v>
      </c>
      <c r="B9432" s="3" t="str">
        <f>HYPERLINK("https://www.773grp.com/manufacturer/texas-instruments?pageNo=190", "Texas Instruments")</f>
        <v>Texas Instruments</v>
      </c>
      <c r="C9432" s="5">
        <v>16486</v>
      </c>
      <c r="D9432" s="6">
        <v>3.95</v>
      </c>
      <c r="E9432" t="s">
        <v>16</v>
      </c>
    </row>
    <row r="9433" spans="1:5" x14ac:dyDescent="0.25">
      <c r="A9433" t="str">
        <f>HYPERLINK("https://www.773grp.com/globalSearch/TPS7425DR/page-1", "TPS7425DR")</f>
        <v>TPS7425DR</v>
      </c>
      <c r="B9433" s="3" t="str">
        <f>HYPERLINK("https://www.773grp.com/manufacturer/texas-instruments?pageNo=191", "Texas Instruments")</f>
        <v>Texas Instruments</v>
      </c>
      <c r="C9433" s="5">
        <v>15000</v>
      </c>
      <c r="D9433" s="6">
        <v>3.95</v>
      </c>
      <c r="E9433" t="s">
        <v>16</v>
      </c>
    </row>
    <row r="9434" spans="1:5" x14ac:dyDescent="0.25">
      <c r="A9434" t="str">
        <f>HYPERLINK("https://www.773grp.com/globalSearch/TPS7430D/page-1", "TPS7430D")</f>
        <v>TPS7430D</v>
      </c>
      <c r="B9434" s="3" t="str">
        <f>HYPERLINK("https://www.773grp.com/manufacturer/texas-instruments?pageNo=192", "Texas Instruments")</f>
        <v>Texas Instruments</v>
      </c>
      <c r="C9434" s="5">
        <v>9250</v>
      </c>
      <c r="D9434" s="6">
        <v>3.95</v>
      </c>
      <c r="E9434" t="s">
        <v>16</v>
      </c>
    </row>
    <row r="9435" spans="1:5" x14ac:dyDescent="0.25">
      <c r="A9435" t="str">
        <f>HYPERLINK("https://www.773grp.com/globalSearch/TPS77127DGK/page-1", "TPS77127DGK")</f>
        <v>TPS77127DGK</v>
      </c>
      <c r="B9435" s="3" t="str">
        <f>HYPERLINK("https://www.773grp.com/manufacturer/texas-instruments?pageNo=198", "Texas Instruments")</f>
        <v>Texas Instruments</v>
      </c>
      <c r="C9435" s="5">
        <v>16896</v>
      </c>
      <c r="D9435" s="6">
        <v>3.95</v>
      </c>
      <c r="E9435" t="s">
        <v>16</v>
      </c>
    </row>
    <row r="9436" spans="1:5" x14ac:dyDescent="0.25">
      <c r="A9436" t="str">
        <f>HYPERLINK("https://www.773grp.com/globalSearch/TPS77133DGK/page-1", "TPS77133DGK")</f>
        <v>TPS77133DGK</v>
      </c>
      <c r="B9436" s="3" t="str">
        <f>HYPERLINK("https://www.773grp.com/manufacturer/texas-instruments?pageNo=199", "Texas Instruments")</f>
        <v>Texas Instruments</v>
      </c>
      <c r="C9436" s="5">
        <v>184</v>
      </c>
      <c r="D9436" s="6">
        <v>3.95</v>
      </c>
      <c r="E9436" t="s">
        <v>16</v>
      </c>
    </row>
    <row r="9437" spans="1:5" x14ac:dyDescent="0.25">
      <c r="A9437" t="str">
        <f>HYPERLINK("https://www.773grp.com/globalSearch/TPS77150DGKR/page-1", "TPS77150DGKR")</f>
        <v>TPS77150DGKR</v>
      </c>
      <c r="B9437" s="3" t="str">
        <f>HYPERLINK("https://www.773grp.com/manufacturer/texas-instruments?pageNo=200", "Texas Instruments")</f>
        <v>Texas Instruments</v>
      </c>
      <c r="C9437" s="5">
        <v>5000</v>
      </c>
      <c r="D9437" s="6">
        <v>3.95</v>
      </c>
      <c r="E9437" t="s">
        <v>16</v>
      </c>
    </row>
    <row r="9438" spans="1:5" x14ac:dyDescent="0.25">
      <c r="A9438" t="str">
        <f>HYPERLINK("https://www.773grp.com/globalSearch/TPS77215DGK/page-1", "TPS77215DGK")</f>
        <v>TPS77215DGK</v>
      </c>
      <c r="B9438" s="3" t="str">
        <f>HYPERLINK("https://www.773grp.com/manufacturer/texas-instruments?pageNo=201", "Texas Instruments")</f>
        <v>Texas Instruments</v>
      </c>
      <c r="C9438" s="5">
        <v>16408</v>
      </c>
      <c r="D9438" s="6">
        <v>3.95</v>
      </c>
      <c r="E9438" t="s">
        <v>16</v>
      </c>
    </row>
    <row r="9439" spans="1:5" x14ac:dyDescent="0.25">
      <c r="A9439" t="str">
        <f>HYPERLINK("https://www.773grp.com/globalSearch/TPS77218DGK/page-1", "TPS77218DGK")</f>
        <v>TPS77218DGK</v>
      </c>
      <c r="B9439" s="3" t="str">
        <f>HYPERLINK("https://www.773grp.com/manufacturer/texas-instruments?pageNo=202", "Texas Instruments")</f>
        <v>Texas Instruments</v>
      </c>
      <c r="C9439" s="5">
        <v>10767</v>
      </c>
      <c r="D9439" s="6">
        <v>3.95</v>
      </c>
      <c r="E9439" t="s">
        <v>16</v>
      </c>
    </row>
    <row r="9440" spans="1:5" x14ac:dyDescent="0.25">
      <c r="A9440" t="str">
        <f>HYPERLINK("https://www.773grp.com/globalSearch/TPS77227DGK/page-1", "TPS77227DGK")</f>
        <v>TPS77227DGK</v>
      </c>
      <c r="B9440" s="3" t="str">
        <f>HYPERLINK("https://www.773grp.com/manufacturer/texas-instruments?pageNo=203", "Texas Instruments")</f>
        <v>Texas Instruments</v>
      </c>
      <c r="C9440" s="5">
        <v>17531</v>
      </c>
      <c r="D9440" s="6">
        <v>3.95</v>
      </c>
      <c r="E9440" t="s">
        <v>16</v>
      </c>
    </row>
    <row r="9441" spans="1:5" x14ac:dyDescent="0.25">
      <c r="A9441" t="str">
        <f>HYPERLINK("https://www.773grp.com/globalSearch/TPS77233DGK/page-1", "TPS77233DGK")</f>
        <v>TPS77233DGK</v>
      </c>
      <c r="B9441" s="3" t="str">
        <f>HYPERLINK("https://www.773grp.com/manufacturer/texas-instruments?pageNo=204", "Texas Instruments")</f>
        <v>Texas Instruments</v>
      </c>
      <c r="C9441" s="5">
        <v>12484</v>
      </c>
      <c r="D9441" s="6">
        <v>3.95</v>
      </c>
      <c r="E9441" t="s">
        <v>16</v>
      </c>
    </row>
    <row r="9442" spans="1:5" x14ac:dyDescent="0.25">
      <c r="A9442" t="str">
        <f>HYPERLINK("https://www.773grp.com/globalSearch/TPS79418DGNT/page-1", "TPS79418DGNT")</f>
        <v>TPS79418DGNT</v>
      </c>
      <c r="B9442" s="3" t="str">
        <f>HYPERLINK("https://www.773grp.com/manufacturer/texas-instruments?pageNo=205", "Texas Instruments")</f>
        <v>Texas Instruments</v>
      </c>
      <c r="C9442" s="5">
        <v>2890</v>
      </c>
      <c r="D9442" s="6">
        <v>3.95</v>
      </c>
      <c r="E9442" t="s">
        <v>16</v>
      </c>
    </row>
    <row r="9443" spans="1:5" x14ac:dyDescent="0.25">
      <c r="A9443" t="str">
        <f>HYPERLINK("https://www.773grp.com/globalSearch/TPS79425DGNT/page-1", "TPS79425DGNT")</f>
        <v>TPS79425DGNT</v>
      </c>
      <c r="B9443" s="3" t="str">
        <f>HYPERLINK("https://www.773grp.com/manufacturer/texas-instruments?pageNo=206", "Texas Instruments")</f>
        <v>Texas Instruments</v>
      </c>
      <c r="C9443" s="5">
        <v>550</v>
      </c>
      <c r="D9443" s="6">
        <v>3.95</v>
      </c>
      <c r="E9443" t="s">
        <v>16</v>
      </c>
    </row>
    <row r="9444" spans="1:5" x14ac:dyDescent="0.25">
      <c r="A9444" t="str">
        <f>HYPERLINK("https://www.773grp.com/globalSearch/TPS79425DGNTG4/page-1", "TPS79425DGNTG4")</f>
        <v>TPS79425DGNTG4</v>
      </c>
      <c r="B9444" s="3" t="str">
        <f>HYPERLINK("https://www.773grp.com/manufacturer/texas-instruments?pageNo=207", "Texas Instruments")</f>
        <v>Texas Instruments</v>
      </c>
      <c r="C9444" s="5">
        <v>1000</v>
      </c>
      <c r="D9444" s="6">
        <v>3.95</v>
      </c>
      <c r="E9444" t="s">
        <v>16</v>
      </c>
    </row>
    <row r="9445" spans="1:5" x14ac:dyDescent="0.25">
      <c r="A9445" t="str">
        <f>HYPERLINK("https://www.773grp.com/globalSearch/TPS79428DGNT/page-1", "TPS79428DGNT")</f>
        <v>TPS79428DGNT</v>
      </c>
      <c r="B9445" s="3" t="str">
        <f>HYPERLINK("https://www.773grp.com/manufacturer/texas-instruments?pageNo=208", "Texas Instruments")</f>
        <v>Texas Instruments</v>
      </c>
      <c r="C9445" s="5">
        <v>31250</v>
      </c>
      <c r="D9445" s="6">
        <v>3.95</v>
      </c>
      <c r="E9445" t="s">
        <v>16</v>
      </c>
    </row>
    <row r="9446" spans="1:5" x14ac:dyDescent="0.25">
      <c r="A9446" t="str">
        <f>HYPERLINK("https://www.773grp.com/globalSearch/TPS79430DGNT/page-1", "TPS79430DGNT")</f>
        <v>TPS79430DGNT</v>
      </c>
      <c r="B9446" s="3" t="str">
        <f>HYPERLINK("https://www.773grp.com/manufacturer/texas-instruments?pageNo=209", "Texas Instruments")</f>
        <v>Texas Instruments</v>
      </c>
      <c r="C9446" s="5">
        <v>5250</v>
      </c>
      <c r="D9446" s="6">
        <v>3.95</v>
      </c>
      <c r="E9446" t="s">
        <v>16</v>
      </c>
    </row>
    <row r="9447" spans="1:5" x14ac:dyDescent="0.25">
      <c r="A9447" t="str">
        <f>HYPERLINK("https://www.773grp.com/globalSearch/TPS79433DGNT/page-1", "TPS79433DGNT")</f>
        <v>TPS79433DGNT</v>
      </c>
      <c r="B9447" s="3" t="str">
        <f>HYPERLINK("https://www.773grp.com/manufacturer/texas-instruments?pageNo=210", "Texas Instruments")</f>
        <v>Texas Instruments</v>
      </c>
      <c r="C9447" s="5">
        <v>24750</v>
      </c>
      <c r="D9447" s="6">
        <v>3.95</v>
      </c>
      <c r="E9447" t="s">
        <v>16</v>
      </c>
    </row>
    <row r="9448" spans="1:5" x14ac:dyDescent="0.25">
      <c r="A9448" t="str">
        <f>HYPERLINK("https://www.773grp.com/globalSearch/TPS76533D/page-1", "TPS76533D")</f>
        <v>TPS76533D</v>
      </c>
      <c r="B9448" s="3" t="str">
        <f>HYPERLINK("https://www.773grp.com/manufacturer/texas-instruments?pageNo=462", "Texas Instruments")</f>
        <v>Texas Instruments</v>
      </c>
      <c r="C9448" s="5">
        <v>14</v>
      </c>
      <c r="D9448" s="6">
        <v>4.01</v>
      </c>
      <c r="E9448" t="s">
        <v>16</v>
      </c>
    </row>
    <row r="9449" spans="1:5" x14ac:dyDescent="0.25">
      <c r="A9449" t="str">
        <f>HYPERLINK("https://www.773grp.com/globalSearch/TPS72516KTTR/page-1", "TPS72516KTTR")</f>
        <v>TPS72516KTTR</v>
      </c>
      <c r="B9449" s="3" t="str">
        <f>HYPERLINK("https://www.773grp.com/manufacturer/texas-instruments?pageNo=647", "Texas Instruments")</f>
        <v>Texas Instruments</v>
      </c>
      <c r="C9449" s="5">
        <v>4500</v>
      </c>
      <c r="D9449" s="6">
        <v>3.66</v>
      </c>
      <c r="E9449" t="s">
        <v>16</v>
      </c>
    </row>
    <row r="9450" spans="1:5" x14ac:dyDescent="0.25">
      <c r="A9450" t="str">
        <f>HYPERLINK("https://www.773grp.com/globalSearch/TPS731125MDBVREP/page-1", "TPS731125MDBVREP")</f>
        <v>TPS731125MDBVREP</v>
      </c>
      <c r="B9450" s="3" t="str">
        <f>HYPERLINK("https://www.773grp.com/manufacturer/texas-instruments?pageNo=648", "Texas Instruments")</f>
        <v>Texas Instruments</v>
      </c>
      <c r="C9450" s="5">
        <v>3000</v>
      </c>
      <c r="D9450" s="6">
        <v>3.66</v>
      </c>
      <c r="E9450" t="s">
        <v>16</v>
      </c>
    </row>
    <row r="9451" spans="1:5" x14ac:dyDescent="0.25">
      <c r="A9451" t="str">
        <f>HYPERLINK("https://www.773grp.com/globalSearch/TPS76718QPWPRQ1/page-1", "TPS76718QPWPRQ1")</f>
        <v>TPS76718QPWPRQ1</v>
      </c>
      <c r="B9451" s="3" t="str">
        <f>HYPERLINK("https://www.773grp.com/manufacturer/texas-instruments?pageNo=649", "Texas Instruments")</f>
        <v>Texas Instruments</v>
      </c>
      <c r="C9451" s="5">
        <v>9800</v>
      </c>
      <c r="D9451" s="6">
        <v>3.66</v>
      </c>
      <c r="E9451" t="s">
        <v>16</v>
      </c>
    </row>
    <row r="9452" spans="1:5" x14ac:dyDescent="0.25">
      <c r="A9452" t="str">
        <f>HYPERLINK("https://www.773grp.com/globalSearch/TPS79325YEQR/page-1", "TPS79325YEQR")</f>
        <v>TPS79325YEQR</v>
      </c>
      <c r="B9452" s="3" t="str">
        <f>HYPERLINK("https://www.773grp.com/manufacturer/texas-instruments?pageNo=650", "Texas Instruments")</f>
        <v>Texas Instruments</v>
      </c>
      <c r="C9452" s="5">
        <v>24000</v>
      </c>
      <c r="D9452" s="6">
        <v>3.66</v>
      </c>
      <c r="E9452" t="s">
        <v>16</v>
      </c>
    </row>
    <row r="9453" spans="1:5" x14ac:dyDescent="0.25">
      <c r="A9453" t="str">
        <f>HYPERLINK("https://www.773grp.com/globalSearch/TPS79328YEQR/page-1", "TPS79328YEQR")</f>
        <v>TPS79328YEQR</v>
      </c>
      <c r="B9453" s="3" t="str">
        <f>HYPERLINK("https://www.773grp.com/manufacturer/texas-instruments?pageNo=651", "Texas Instruments")</f>
        <v>Texas Instruments</v>
      </c>
      <c r="C9453" s="5">
        <v>201000</v>
      </c>
      <c r="D9453" s="6">
        <v>3.66</v>
      </c>
      <c r="E9453" t="s">
        <v>16</v>
      </c>
    </row>
    <row r="9454" spans="1:5" x14ac:dyDescent="0.25">
      <c r="A9454" t="str">
        <f>HYPERLINK("https://www.773grp.com/globalSearch/TPS7A4515DCQR/page-1", "TPS7A4515DCQR")</f>
        <v>TPS7A4515DCQR</v>
      </c>
      <c r="B9454" s="3" t="str">
        <f>HYPERLINK("https://www.773grp.com/manufacturer/texas-instruments?pageNo=653", "Texas Instruments")</f>
        <v>Texas Instruments</v>
      </c>
      <c r="C9454" s="5">
        <v>1103</v>
      </c>
      <c r="D9454" s="6">
        <v>3.66</v>
      </c>
      <c r="E9454" t="s">
        <v>16</v>
      </c>
    </row>
    <row r="9455" spans="1:5" x14ac:dyDescent="0.25">
      <c r="A9455" t="str">
        <f>HYPERLINK("https://www.773grp.com/globalSearch/TPS7A4518DCQR/page-1", "TPS7A4518DCQR")</f>
        <v>TPS7A4518DCQR</v>
      </c>
      <c r="B9455" s="3" t="str">
        <f>HYPERLINK("https://www.773grp.com/manufacturer/texas-instruments?pageNo=654", "Texas Instruments")</f>
        <v>Texas Instruments</v>
      </c>
      <c r="C9455" s="5">
        <v>547</v>
      </c>
      <c r="D9455" s="6">
        <v>3.66</v>
      </c>
      <c r="E9455" t="s">
        <v>16</v>
      </c>
    </row>
    <row r="9456" spans="1:5" x14ac:dyDescent="0.25">
      <c r="A9456" t="str">
        <f>HYPERLINK("https://www.773grp.com/globalSearch/TPS7A4533DCQR/page-1", "TPS7A4533DCQR")</f>
        <v>TPS7A4533DCQR</v>
      </c>
      <c r="B9456" s="3" t="str">
        <f>HYPERLINK("https://www.773grp.com/manufacturer/texas-instruments?pageNo=656", "Texas Instruments")</f>
        <v>Texas Instruments</v>
      </c>
      <c r="C9456" s="5">
        <v>1885</v>
      </c>
      <c r="D9456" s="6">
        <v>3.66</v>
      </c>
      <c r="E9456" t="s">
        <v>16</v>
      </c>
    </row>
    <row r="9457" spans="1:5" x14ac:dyDescent="0.25">
      <c r="A9457" t="str">
        <f>HYPERLINK("https://www.773grp.com/globalSearch/REG1117-3.3-2K5/page-1", "REG1117-3.3-2K5")</f>
        <v>REG1117-3.3-2K5</v>
      </c>
      <c r="B9457" s="3" t="str">
        <f>HYPERLINK("https://www.773grp.com/manufacturer/texas-instruments?pageNo=697", "Texas Instruments")</f>
        <v>Texas Instruments</v>
      </c>
      <c r="C9457" s="5">
        <v>1083</v>
      </c>
      <c r="D9457" s="6">
        <v>4.0599999999999996</v>
      </c>
      <c r="E9457" t="s">
        <v>16</v>
      </c>
    </row>
    <row r="9458" spans="1:5" x14ac:dyDescent="0.25">
      <c r="A9458" t="str">
        <f>HYPERLINK("https://www.773grp.com/globalSearch/REG102UA-3.3/page-1", "REG102UA-3.3")</f>
        <v>REG102UA-3.3</v>
      </c>
      <c r="B9458" s="3" t="str">
        <f>HYPERLINK("https://www.773grp.com/manufacturer/texas-instruments?pageNo=724", "Texas Instruments")</f>
        <v>Texas Instruments</v>
      </c>
      <c r="C9458" s="5">
        <v>2144</v>
      </c>
      <c r="D9458" s="6">
        <v>3.68</v>
      </c>
      <c r="E9458" t="s">
        <v>16</v>
      </c>
    </row>
    <row r="9459" spans="1:5" x14ac:dyDescent="0.25">
      <c r="A9459" t="str">
        <f>HYPERLINK("https://www.773grp.com/globalSearch/REG102UA-5/page-1", "REG102UA-5")</f>
        <v>REG102UA-5</v>
      </c>
      <c r="B9459" s="3" t="str">
        <f>HYPERLINK("https://www.773grp.com/manufacturer/texas-instruments?pageNo=725", "Texas Instruments")</f>
        <v>Texas Instruments</v>
      </c>
      <c r="C9459" s="5">
        <v>3000</v>
      </c>
      <c r="D9459" s="6">
        <v>3.68</v>
      </c>
      <c r="E9459" t="s">
        <v>16</v>
      </c>
    </row>
    <row r="9460" spans="1:5" x14ac:dyDescent="0.25">
      <c r="A9460" t="str">
        <f>HYPERLINK("https://www.773grp.com/globalSearch/REG102UA-5/page-1", "REG102UA-5")</f>
        <v>REG102UA-5</v>
      </c>
      <c r="B9460" s="3" t="str">
        <f>HYPERLINK("https://www.773grp.com/manufacturer/texas-instruments?pageNo=726", "Texas Instruments")</f>
        <v>Texas Instruments</v>
      </c>
      <c r="C9460" s="5">
        <v>1200</v>
      </c>
      <c r="D9460" s="6">
        <v>3.68</v>
      </c>
      <c r="E9460" t="s">
        <v>16</v>
      </c>
    </row>
    <row r="9461" spans="1:5" x14ac:dyDescent="0.25">
      <c r="A9461" t="str">
        <f>HYPERLINK("https://www.773grp.com/globalSearch/TPS71025DR/page-1", "TPS71025DR")</f>
        <v>TPS71025DR</v>
      </c>
      <c r="B9461" s="3" t="str">
        <f>HYPERLINK("https://www.773grp.com/manufacturer/texas-instruments?pageNo=777", "Texas Instruments")</f>
        <v>Texas Instruments</v>
      </c>
      <c r="C9461" s="5">
        <v>7500</v>
      </c>
      <c r="D9461" s="6">
        <v>3.68</v>
      </c>
      <c r="E9461" t="s">
        <v>16</v>
      </c>
    </row>
    <row r="9462" spans="1:5" x14ac:dyDescent="0.25">
      <c r="A9462" t="str">
        <f>HYPERLINK("https://www.773grp.com/globalSearch/TPS71025P/page-1", "TPS71025P")</f>
        <v>TPS71025P</v>
      </c>
      <c r="B9462" s="3" t="str">
        <f>HYPERLINK("https://www.773grp.com/manufacturer/texas-instruments?pageNo=778", "Texas Instruments")</f>
        <v>Texas Instruments</v>
      </c>
      <c r="C9462" s="5">
        <v>14350</v>
      </c>
      <c r="D9462" s="6">
        <v>3.68</v>
      </c>
      <c r="E9462" t="s">
        <v>16</v>
      </c>
    </row>
    <row r="9463" spans="1:5" x14ac:dyDescent="0.25">
      <c r="A9463" t="str">
        <f>HYPERLINK("https://www.773grp.com/globalSearch/TPS71025PWR/page-1", "TPS71025PWR")</f>
        <v>TPS71025PWR</v>
      </c>
      <c r="B9463" s="3" t="str">
        <f>HYPERLINK("https://www.773grp.com/manufacturer/texas-instruments?pageNo=779", "Texas Instruments")</f>
        <v>Texas Instruments</v>
      </c>
      <c r="C9463" s="5">
        <v>4100</v>
      </c>
      <c r="D9463" s="6">
        <v>3.68</v>
      </c>
      <c r="E9463" t="s">
        <v>16</v>
      </c>
    </row>
    <row r="9464" spans="1:5" x14ac:dyDescent="0.25">
      <c r="A9464" t="str">
        <f>HYPERLINK("https://www.773grp.com/globalSearch/TPS77715D/page-1", "TPS77715D")</f>
        <v>TPS77715D</v>
      </c>
      <c r="B9464" s="3" t="str">
        <f>HYPERLINK("https://www.773grp.com/manufacturer/texas-instruments?pageNo=782", "Texas Instruments")</f>
        <v>Texas Instruments</v>
      </c>
      <c r="C9464" s="5">
        <v>7349</v>
      </c>
      <c r="D9464" s="6">
        <v>3.68</v>
      </c>
      <c r="E9464" t="s">
        <v>16</v>
      </c>
    </row>
    <row r="9465" spans="1:5" x14ac:dyDescent="0.25">
      <c r="A9465" t="str">
        <f>HYPERLINK("https://www.773grp.com/globalSearch/TPS77718D/page-1", "TPS77718D")</f>
        <v>TPS77718D</v>
      </c>
      <c r="B9465" s="3" t="str">
        <f>HYPERLINK("https://www.773grp.com/manufacturer/texas-instruments?pageNo=783", "Texas Instruments")</f>
        <v>Texas Instruments</v>
      </c>
      <c r="C9465" s="5">
        <v>35774</v>
      </c>
      <c r="D9465" s="6">
        <v>3.68</v>
      </c>
      <c r="E9465" t="s">
        <v>16</v>
      </c>
    </row>
    <row r="9466" spans="1:5" x14ac:dyDescent="0.25">
      <c r="A9466" t="str">
        <f>HYPERLINK("https://www.773grp.com/globalSearch/TPS77718PWP/page-1", "TPS77718PWP")</f>
        <v>TPS77718PWP</v>
      </c>
      <c r="B9466" s="3" t="str">
        <f>HYPERLINK("https://www.773grp.com/manufacturer/texas-instruments?pageNo=784", "Texas Instruments")</f>
        <v>Texas Instruments</v>
      </c>
      <c r="C9466" s="5">
        <v>6882</v>
      </c>
      <c r="D9466" s="6">
        <v>3.68</v>
      </c>
      <c r="E9466" t="s">
        <v>16</v>
      </c>
    </row>
    <row r="9467" spans="1:5" x14ac:dyDescent="0.25">
      <c r="A9467" t="str">
        <f>HYPERLINK("https://www.773grp.com/globalSearch/TPS77718PWP/page-1", "TPS77718PWP")</f>
        <v>TPS77718PWP</v>
      </c>
      <c r="B9467" s="3" t="str">
        <f>HYPERLINK("https://www.773grp.com/manufacturer/texas-instruments?pageNo=785", "Texas Instruments")</f>
        <v>Texas Instruments</v>
      </c>
      <c r="C9467" s="5">
        <v>1191</v>
      </c>
      <c r="D9467" s="6">
        <v>3.68</v>
      </c>
      <c r="E9467" t="s">
        <v>16</v>
      </c>
    </row>
    <row r="9468" spans="1:5" x14ac:dyDescent="0.25">
      <c r="A9468" t="str">
        <f>HYPERLINK("https://www.773grp.com/globalSearch/TPS77725D/page-1", "TPS77725D")</f>
        <v>TPS77725D</v>
      </c>
      <c r="B9468" s="3" t="str">
        <f>HYPERLINK("https://www.773grp.com/manufacturer/texas-instruments?pageNo=786", "Texas Instruments")</f>
        <v>Texas Instruments</v>
      </c>
      <c r="C9468" s="5">
        <v>14142</v>
      </c>
      <c r="D9468" s="6">
        <v>3.68</v>
      </c>
      <c r="E9468" t="s">
        <v>16</v>
      </c>
    </row>
    <row r="9469" spans="1:5" x14ac:dyDescent="0.25">
      <c r="A9469" t="str">
        <f>HYPERLINK("https://www.773grp.com/globalSearch/TPS77725PWP/page-1", "TPS77725PWP")</f>
        <v>TPS77725PWP</v>
      </c>
      <c r="B9469" s="3" t="str">
        <f>HYPERLINK("https://www.773grp.com/manufacturer/texas-instruments?pageNo=787", "Texas Instruments")</f>
        <v>Texas Instruments</v>
      </c>
      <c r="C9469" s="5">
        <v>5935</v>
      </c>
      <c r="D9469" s="6">
        <v>3.68</v>
      </c>
      <c r="E9469" t="s">
        <v>16</v>
      </c>
    </row>
    <row r="9470" spans="1:5" x14ac:dyDescent="0.25">
      <c r="A9470" t="str">
        <f>HYPERLINK("https://www.773grp.com/globalSearch/TPS77725PWPG4/page-1", "TPS77725PWPG4")</f>
        <v>TPS77725PWPG4</v>
      </c>
      <c r="B9470" s="3" t="str">
        <f>HYPERLINK("https://www.773grp.com/manufacturer/texas-instruments?pageNo=788", "Texas Instruments")</f>
        <v>Texas Instruments</v>
      </c>
      <c r="C9470" s="5">
        <v>130</v>
      </c>
      <c r="D9470" s="6">
        <v>3.68</v>
      </c>
      <c r="E9470" t="s">
        <v>16</v>
      </c>
    </row>
    <row r="9471" spans="1:5" x14ac:dyDescent="0.25">
      <c r="A9471" t="str">
        <f>HYPERLINK("https://www.773grp.com/globalSearch/TPS77733D/page-1", "TPS77733D")</f>
        <v>TPS77733D</v>
      </c>
      <c r="B9471" s="3" t="str">
        <f>HYPERLINK("https://www.773grp.com/manufacturer/texas-instruments?pageNo=789", "Texas Instruments")</f>
        <v>Texas Instruments</v>
      </c>
      <c r="C9471" s="5">
        <v>6000</v>
      </c>
      <c r="D9471" s="6">
        <v>3.68</v>
      </c>
      <c r="E9471" t="s">
        <v>16</v>
      </c>
    </row>
    <row r="9472" spans="1:5" x14ac:dyDescent="0.25">
      <c r="A9472" t="str">
        <f>HYPERLINK("https://www.773grp.com/globalSearch/TPS77733PWP/page-1", "TPS77733PWP")</f>
        <v>TPS77733PWP</v>
      </c>
      <c r="B9472" s="3" t="str">
        <f>HYPERLINK("https://www.773grp.com/manufacturer/texas-instruments?pageNo=790", "Texas Instruments")</f>
        <v>Texas Instruments</v>
      </c>
      <c r="C9472" s="5">
        <v>2</v>
      </c>
      <c r="D9472" s="6">
        <v>3.68</v>
      </c>
      <c r="E9472" t="s">
        <v>16</v>
      </c>
    </row>
    <row r="9473" spans="1:5" x14ac:dyDescent="0.25">
      <c r="A9473" t="str">
        <f>HYPERLINK("https://www.773grp.com/globalSearch/TPS79618DCQ/page-1", "TPS79618DCQ")</f>
        <v>TPS79618DCQ</v>
      </c>
      <c r="B9473" s="3" t="str">
        <f>HYPERLINK("https://www.773grp.com/manufacturer/texas-instruments?pageNo=792", "Texas Instruments")</f>
        <v>Texas Instruments</v>
      </c>
      <c r="C9473" s="5">
        <v>19977</v>
      </c>
      <c r="D9473" s="6">
        <v>3.68</v>
      </c>
      <c r="E9473" t="s">
        <v>16</v>
      </c>
    </row>
    <row r="9474" spans="1:5" x14ac:dyDescent="0.25">
      <c r="A9474" t="str">
        <f>HYPERLINK("https://www.773grp.com/globalSearch/TPS79625DCQ/page-1", "TPS79625DCQ")</f>
        <v>TPS79625DCQ</v>
      </c>
      <c r="B9474" s="3" t="str">
        <f>HYPERLINK("https://www.773grp.com/manufacturer/texas-instruments?pageNo=793", "Texas Instruments")</f>
        <v>Texas Instruments</v>
      </c>
      <c r="C9474" s="5">
        <v>3443</v>
      </c>
      <c r="D9474" s="6">
        <v>3.68</v>
      </c>
      <c r="E9474" t="s">
        <v>16</v>
      </c>
    </row>
    <row r="9475" spans="1:5" x14ac:dyDescent="0.25">
      <c r="A9475" t="str">
        <f>HYPERLINK("https://www.773grp.com/globalSearch/TPS79628DCQ/page-1", "TPS79628DCQ")</f>
        <v>TPS79628DCQ</v>
      </c>
      <c r="B9475" s="3" t="str">
        <f>HYPERLINK("https://www.773grp.com/manufacturer/texas-instruments?pageNo=794", "Texas Instruments")</f>
        <v>Texas Instruments</v>
      </c>
      <c r="C9475" s="5">
        <v>13962</v>
      </c>
      <c r="D9475" s="6">
        <v>3.68</v>
      </c>
      <c r="E9475" t="s">
        <v>16</v>
      </c>
    </row>
    <row r="9476" spans="1:5" x14ac:dyDescent="0.25">
      <c r="A9476" t="str">
        <f>HYPERLINK("https://www.773grp.com/globalSearch/TPS79630DCQ/page-1", "TPS79630DCQ")</f>
        <v>TPS79630DCQ</v>
      </c>
      <c r="B9476" s="3" t="str">
        <f>HYPERLINK("https://www.773grp.com/manufacturer/texas-instruments?pageNo=795", "Texas Instruments")</f>
        <v>Texas Instruments</v>
      </c>
      <c r="C9476" s="5">
        <v>3556</v>
      </c>
      <c r="D9476" s="6">
        <v>3.68</v>
      </c>
      <c r="E9476" t="s">
        <v>16</v>
      </c>
    </row>
    <row r="9477" spans="1:5" x14ac:dyDescent="0.25">
      <c r="A9477" t="str">
        <f>HYPERLINK("https://www.773grp.com/globalSearch/TPS79633DCQ/page-1", "TPS79633DCQ")</f>
        <v>TPS79633DCQ</v>
      </c>
      <c r="B9477" s="3" t="str">
        <f>HYPERLINK("https://www.773grp.com/manufacturer/texas-instruments?pageNo=796", "Texas Instruments")</f>
        <v>Texas Instruments</v>
      </c>
      <c r="C9477" s="5">
        <v>6203</v>
      </c>
      <c r="D9477" s="6">
        <v>3.68</v>
      </c>
      <c r="E9477" t="s">
        <v>16</v>
      </c>
    </row>
    <row r="9478" spans="1:5" x14ac:dyDescent="0.25">
      <c r="A9478" t="str">
        <f>HYPERLINK("https://www.773grp.com/globalSearch/TPS79633DCQG4/page-1", "TPS79633DCQG4")</f>
        <v>TPS79633DCQG4</v>
      </c>
      <c r="B9478" s="3" t="str">
        <f>HYPERLINK("https://www.773grp.com/manufacturer/texas-instruments?pageNo=797", "Texas Instruments")</f>
        <v>Texas Instruments</v>
      </c>
      <c r="C9478" s="5">
        <v>222</v>
      </c>
      <c r="D9478" s="6">
        <v>3.68</v>
      </c>
      <c r="E9478" t="s">
        <v>16</v>
      </c>
    </row>
    <row r="9479" spans="1:5" x14ac:dyDescent="0.25">
      <c r="A9479" t="str">
        <f>HYPERLINK("https://www.773grp.com/globalSearch/TPS79650DCQ/page-1", "TPS79650DCQ")</f>
        <v>TPS79650DCQ</v>
      </c>
      <c r="B9479" s="3" t="str">
        <f>HYPERLINK("https://www.773grp.com/manufacturer/texas-instruments?pageNo=798", "Texas Instruments")</f>
        <v>Texas Instruments</v>
      </c>
      <c r="C9479" s="5">
        <v>10686</v>
      </c>
      <c r="D9479" s="6">
        <v>3.68</v>
      </c>
      <c r="E9479" t="s">
        <v>16</v>
      </c>
    </row>
    <row r="9480" spans="1:5" x14ac:dyDescent="0.25">
      <c r="A9480" t="str">
        <f>HYPERLINK("https://www.773grp.com/globalSearch/REG113NA-2.5-250/page-1", "REG113NA-2.5-250")</f>
        <v>REG113NA-2.5-250</v>
      </c>
      <c r="B9480" s="3" t="str">
        <f>HYPERLINK("https://www.773grp.com/manufacturer/texas-instruments?pageNo=830", "Texas Instruments")</f>
        <v>Texas Instruments</v>
      </c>
      <c r="C9480" s="5">
        <v>1053</v>
      </c>
      <c r="D9480" s="6">
        <v>3.71</v>
      </c>
      <c r="E9480" t="s">
        <v>16</v>
      </c>
    </row>
    <row r="9481" spans="1:5" x14ac:dyDescent="0.25">
      <c r="A9481" t="str">
        <f>HYPERLINK("https://www.773grp.com/globalSearch/REG113NA-2.85-250/page-1", "REG113NA-2.85-250")</f>
        <v>REG113NA-2.85-250</v>
      </c>
      <c r="B9481" s="3" t="str">
        <f>HYPERLINK("https://www.773grp.com/manufacturer/texas-instruments?pageNo=831", "Texas Instruments")</f>
        <v>Texas Instruments</v>
      </c>
      <c r="C9481" s="5">
        <v>13750</v>
      </c>
      <c r="D9481" s="6">
        <v>3.71</v>
      </c>
      <c r="E9481" t="s">
        <v>16</v>
      </c>
    </row>
    <row r="9482" spans="1:5" x14ac:dyDescent="0.25">
      <c r="A9482" t="str">
        <f>HYPERLINK("https://www.773grp.com/globalSearch/REG113NA-3.3-250/page-1", "REG113NA-3.3-250")</f>
        <v>REG113NA-3.3-250</v>
      </c>
      <c r="B9482" s="3" t="str">
        <f>HYPERLINK("https://www.773grp.com/manufacturer/texas-instruments?pageNo=832", "Texas Instruments")</f>
        <v>Texas Instruments</v>
      </c>
      <c r="C9482" s="5">
        <v>2887</v>
      </c>
      <c r="D9482" s="6">
        <v>3.71</v>
      </c>
      <c r="E9482" t="s">
        <v>16</v>
      </c>
    </row>
    <row r="9483" spans="1:5" x14ac:dyDescent="0.25">
      <c r="A9483" t="str">
        <f>HYPERLINK("https://www.773grp.com/globalSearch/REG113NA-3-250/page-1", "REG113NA-3-250")</f>
        <v>REG113NA-3-250</v>
      </c>
      <c r="B9483" s="3" t="str">
        <f>HYPERLINK("https://www.773grp.com/manufacturer/texas-instruments?pageNo=833", "Texas Instruments")</f>
        <v>Texas Instruments</v>
      </c>
      <c r="C9483" s="5">
        <v>914</v>
      </c>
      <c r="D9483" s="6">
        <v>3.71</v>
      </c>
      <c r="E9483" t="s">
        <v>16</v>
      </c>
    </row>
    <row r="9484" spans="1:5" x14ac:dyDescent="0.25">
      <c r="A9484" t="str">
        <f>HYPERLINK("https://www.773grp.com/globalSearch/TPS72515KTTT/page-1", "TPS72515KTTT")</f>
        <v>TPS72515KTTT</v>
      </c>
      <c r="B9484" s="3" t="str">
        <f>HYPERLINK("https://www.773grp.com/manufacturer/texas-instruments?pageNo=844", "Texas Instruments")</f>
        <v>Texas Instruments</v>
      </c>
      <c r="C9484" s="5">
        <v>9900</v>
      </c>
      <c r="D9484" s="6">
        <v>3.71</v>
      </c>
      <c r="E9484" t="s">
        <v>16</v>
      </c>
    </row>
    <row r="9485" spans="1:5" x14ac:dyDescent="0.25">
      <c r="A9485" t="str">
        <f>HYPERLINK("https://www.773grp.com/globalSearch/TPS72516KTTT/page-1", "TPS72516KTTT")</f>
        <v>TPS72516KTTT</v>
      </c>
      <c r="B9485" s="3" t="str">
        <f>HYPERLINK("https://www.773grp.com/manufacturer/texas-instruments?pageNo=845", "Texas Instruments")</f>
        <v>Texas Instruments</v>
      </c>
      <c r="C9485" s="5">
        <v>21850</v>
      </c>
      <c r="D9485" s="6">
        <v>3.71</v>
      </c>
      <c r="E9485" t="s">
        <v>16</v>
      </c>
    </row>
    <row r="9486" spans="1:5" x14ac:dyDescent="0.25">
      <c r="A9486" t="str">
        <f>HYPERLINK("https://www.773grp.com/globalSearch/TPS72518KTTT/page-1", "TPS72518KTTT")</f>
        <v>TPS72518KTTT</v>
      </c>
      <c r="B9486" s="3" t="str">
        <f>HYPERLINK("https://www.773grp.com/manufacturer/texas-instruments?pageNo=846", "Texas Instruments")</f>
        <v>Texas Instruments</v>
      </c>
      <c r="C9486" s="5">
        <v>31450</v>
      </c>
      <c r="D9486" s="6">
        <v>3.71</v>
      </c>
      <c r="E9486" t="s">
        <v>16</v>
      </c>
    </row>
    <row r="9487" spans="1:5" x14ac:dyDescent="0.25">
      <c r="A9487" t="str">
        <f>HYPERLINK("https://www.773grp.com/globalSearch/TPS72525KTTT/page-1", "TPS72525KTTT")</f>
        <v>TPS72525KTTT</v>
      </c>
      <c r="B9487" s="3" t="str">
        <f>HYPERLINK("https://www.773grp.com/manufacturer/texas-instruments?pageNo=847", "Texas Instruments")</f>
        <v>Texas Instruments</v>
      </c>
      <c r="C9487" s="5">
        <v>22550</v>
      </c>
      <c r="D9487" s="6">
        <v>3.71</v>
      </c>
      <c r="E9487" t="s">
        <v>16</v>
      </c>
    </row>
    <row r="9488" spans="1:5" x14ac:dyDescent="0.25">
      <c r="A9488" t="str">
        <f>HYPERLINK("https://www.773grp.com/globalSearch/TPS72615KTTT/page-1", "TPS72615KTTT")</f>
        <v>TPS72615KTTT</v>
      </c>
      <c r="B9488" s="3" t="str">
        <f>HYPERLINK("https://www.773grp.com/manufacturer/texas-instruments?pageNo=848", "Texas Instruments")</f>
        <v>Texas Instruments</v>
      </c>
      <c r="C9488" s="5">
        <v>24150</v>
      </c>
      <c r="D9488" s="6">
        <v>3.71</v>
      </c>
      <c r="E9488" t="s">
        <v>16</v>
      </c>
    </row>
    <row r="9489" spans="1:5" x14ac:dyDescent="0.25">
      <c r="A9489" t="str">
        <f>HYPERLINK("https://www.773grp.com/globalSearch/TPS72616KTTT/page-1", "TPS72616KTTT")</f>
        <v>TPS72616KTTT</v>
      </c>
      <c r="B9489" s="3" t="str">
        <f>HYPERLINK("https://www.773grp.com/manufacturer/texas-instruments?pageNo=849", "Texas Instruments")</f>
        <v>Texas Instruments</v>
      </c>
      <c r="C9489" s="5">
        <v>18650</v>
      </c>
      <c r="D9489" s="6">
        <v>3.71</v>
      </c>
      <c r="E9489" t="s">
        <v>16</v>
      </c>
    </row>
    <row r="9490" spans="1:5" x14ac:dyDescent="0.25">
      <c r="A9490" t="str">
        <f>HYPERLINK("https://www.773grp.com/globalSearch/TPS72618KTTT/page-1", "TPS72618KTTT")</f>
        <v>TPS72618KTTT</v>
      </c>
      <c r="B9490" s="3" t="str">
        <f>HYPERLINK("https://www.773grp.com/manufacturer/texas-instruments?pageNo=850", "Texas Instruments")</f>
        <v>Texas Instruments</v>
      </c>
      <c r="C9490" s="5">
        <v>17400</v>
      </c>
      <c r="D9490" s="6">
        <v>3.71</v>
      </c>
      <c r="E9490" t="s">
        <v>16</v>
      </c>
    </row>
    <row r="9491" spans="1:5" x14ac:dyDescent="0.25">
      <c r="A9491" t="str">
        <f>HYPERLINK("https://www.773grp.com/globalSearch/TPS72625KTTT/page-1", "TPS72625KTTT")</f>
        <v>TPS72625KTTT</v>
      </c>
      <c r="B9491" s="3" t="str">
        <f>HYPERLINK("https://www.773grp.com/manufacturer/texas-instruments?pageNo=851", "Texas Instruments")</f>
        <v>Texas Instruments</v>
      </c>
      <c r="C9491" s="5">
        <v>29300</v>
      </c>
      <c r="D9491" s="6">
        <v>3.71</v>
      </c>
      <c r="E9491" t="s">
        <v>16</v>
      </c>
    </row>
    <row r="9492" spans="1:5" x14ac:dyDescent="0.25">
      <c r="A9492" t="str">
        <f>HYPERLINK("https://www.773grp.com/globalSearch/TPS76733QPWPRQ1/page-1", "TPS76733QPWPRQ1")</f>
        <v>TPS76733QPWPRQ1</v>
      </c>
      <c r="B9492" s="3" t="s">
        <v>90</v>
      </c>
      <c r="C9492" s="5">
        <v>19910</v>
      </c>
      <c r="D9492" s="6">
        <v>3.76</v>
      </c>
      <c r="E9492" t="s">
        <v>16</v>
      </c>
    </row>
    <row r="9493" spans="1:5" x14ac:dyDescent="0.25">
      <c r="A9493" t="str">
        <f>HYPERLINK("https://www.773grp.com/globalSearch/TPS76750QPWPRQ1/page-1", "TPS76750QPWPRQ1")</f>
        <v>TPS76750QPWPRQ1</v>
      </c>
      <c r="B9493" s="3" t="s">
        <v>90</v>
      </c>
      <c r="C9493" s="5">
        <v>8000</v>
      </c>
      <c r="D9493" s="6">
        <v>3.76</v>
      </c>
      <c r="E9493" t="s">
        <v>16</v>
      </c>
    </row>
    <row r="9494" spans="1:5" x14ac:dyDescent="0.25">
      <c r="A9494" t="str">
        <f>HYPERLINK("https://www.773grp.com/globalSearch/REG113EA-2.85-250/page-1", "REG113EA-2.85-250")</f>
        <v>REG113EA-2.85-250</v>
      </c>
      <c r="B9494" s="3" t="s">
        <v>90</v>
      </c>
      <c r="C9494" s="5">
        <v>9250</v>
      </c>
      <c r="D9494" s="6">
        <v>3.8</v>
      </c>
      <c r="E9494" t="s">
        <v>16</v>
      </c>
    </row>
    <row r="9495" spans="1:5" x14ac:dyDescent="0.25">
      <c r="A9495" t="str">
        <f>HYPERLINK("https://www.773grp.com/globalSearch/TPS72515DCQ/page-1", "TPS72515DCQ")</f>
        <v>TPS72515DCQ</v>
      </c>
      <c r="B9495" s="3" t="s">
        <v>90</v>
      </c>
      <c r="C9495" s="5">
        <v>5680</v>
      </c>
      <c r="D9495" s="6">
        <v>3.8</v>
      </c>
      <c r="E9495" t="s">
        <v>16</v>
      </c>
    </row>
    <row r="9496" spans="1:5" x14ac:dyDescent="0.25">
      <c r="A9496" t="str">
        <f>HYPERLINK("https://www.773grp.com/globalSearch/TPS72516DCQ/page-1", "TPS72516DCQ")</f>
        <v>TPS72516DCQ</v>
      </c>
      <c r="B9496" s="3" t="s">
        <v>90</v>
      </c>
      <c r="C9496" s="5">
        <v>1217</v>
      </c>
      <c r="D9496" s="6">
        <v>3.8</v>
      </c>
      <c r="E9496" t="s">
        <v>16</v>
      </c>
    </row>
    <row r="9497" spans="1:5" x14ac:dyDescent="0.25">
      <c r="A9497" t="str">
        <f>HYPERLINK("https://www.773grp.com/globalSearch/TPS726126DCQ/page-1", "TPS726126DCQ")</f>
        <v>TPS726126DCQ</v>
      </c>
      <c r="B9497" s="3" t="s">
        <v>90</v>
      </c>
      <c r="C9497" s="5">
        <v>17083</v>
      </c>
      <c r="D9497" s="6">
        <v>3.8</v>
      </c>
      <c r="E9497" t="s">
        <v>16</v>
      </c>
    </row>
    <row r="9498" spans="1:5" x14ac:dyDescent="0.25">
      <c r="A9498" t="str">
        <f>HYPERLINK("https://www.773grp.com/globalSearch/TPS72616DCQ/page-1", "TPS72616DCQ")</f>
        <v>TPS72616DCQ</v>
      </c>
      <c r="B9498" s="3" t="s">
        <v>90</v>
      </c>
      <c r="C9498" s="5">
        <v>5556</v>
      </c>
      <c r="D9498" s="6">
        <v>3.8</v>
      </c>
      <c r="E9498" t="s">
        <v>16</v>
      </c>
    </row>
    <row r="9499" spans="1:5" x14ac:dyDescent="0.25">
      <c r="A9499" t="str">
        <f>HYPERLINK("https://www.773grp.com/globalSearch/TPS72618DCQ/page-1", "TPS72618DCQ")</f>
        <v>TPS72618DCQ</v>
      </c>
      <c r="B9499" s="3" t="s">
        <v>90</v>
      </c>
      <c r="C9499" s="5">
        <v>246</v>
      </c>
      <c r="D9499" s="6">
        <v>3.8</v>
      </c>
      <c r="E9499" t="s">
        <v>16</v>
      </c>
    </row>
    <row r="9500" spans="1:5" x14ac:dyDescent="0.25">
      <c r="A9500" t="str">
        <f>HYPERLINK("https://www.773grp.com/globalSearch/TPS72625DCQ/page-1", "TPS72625DCQ")</f>
        <v>TPS72625DCQ</v>
      </c>
      <c r="B9500" s="3" t="s">
        <v>90</v>
      </c>
      <c r="C9500" s="5">
        <v>7926</v>
      </c>
      <c r="D9500" s="6">
        <v>3.8</v>
      </c>
      <c r="E9500" t="s">
        <v>16</v>
      </c>
    </row>
    <row r="9501" spans="1:5" x14ac:dyDescent="0.25">
      <c r="A9501" t="str">
        <f>HYPERLINK("https://www.773grp.com/globalSearch/TPS78618DCQR/page-1", "TPS78618DCQR")</f>
        <v>TPS78618DCQR</v>
      </c>
      <c r="B9501" s="3" t="s">
        <v>90</v>
      </c>
      <c r="C9501" s="5">
        <v>5000</v>
      </c>
      <c r="D9501" s="6">
        <v>3.8</v>
      </c>
      <c r="E9501" t="s">
        <v>16</v>
      </c>
    </row>
    <row r="9502" spans="1:5" x14ac:dyDescent="0.25">
      <c r="A9502" t="str">
        <f>HYPERLINK("https://www.773grp.com/globalSearch/TPS78625DCQR/page-1", "TPS78625DCQR")</f>
        <v>TPS78625DCQR</v>
      </c>
      <c r="B9502" s="3" t="s">
        <v>90</v>
      </c>
      <c r="C9502" s="5">
        <v>5016</v>
      </c>
      <c r="D9502" s="6">
        <v>3.8</v>
      </c>
      <c r="E9502" t="s">
        <v>16</v>
      </c>
    </row>
    <row r="9503" spans="1:5" x14ac:dyDescent="0.25">
      <c r="A9503" t="str">
        <f>HYPERLINK("https://www.773grp.com/globalSearch/TPS78628DCQ/page-1", "TPS78628DCQ")</f>
        <v>TPS78628DCQ</v>
      </c>
      <c r="B9503" s="3" t="s">
        <v>90</v>
      </c>
      <c r="C9503" s="5">
        <v>4952</v>
      </c>
      <c r="D9503" s="6">
        <v>3.8</v>
      </c>
      <c r="E9503" t="s">
        <v>16</v>
      </c>
    </row>
    <row r="9504" spans="1:5" x14ac:dyDescent="0.25">
      <c r="A9504" t="str">
        <f>HYPERLINK("https://www.773grp.com/globalSearch/TPS78628DCQR/page-1", "TPS78628DCQR")</f>
        <v>TPS78628DCQR</v>
      </c>
      <c r="B9504" s="3" t="s">
        <v>90</v>
      </c>
      <c r="C9504" s="5">
        <v>10000</v>
      </c>
      <c r="D9504" s="6">
        <v>3.8</v>
      </c>
      <c r="E9504" t="s">
        <v>16</v>
      </c>
    </row>
    <row r="9505" spans="1:5" x14ac:dyDescent="0.25">
      <c r="A9505" t="str">
        <f>HYPERLINK("https://www.773grp.com/globalSearch/TPS78630DCQR/page-1", "TPS78630DCQR")</f>
        <v>TPS78630DCQR</v>
      </c>
      <c r="B9505" s="3" t="s">
        <v>90</v>
      </c>
      <c r="C9505" s="5">
        <v>20000</v>
      </c>
      <c r="D9505" s="6">
        <v>3.8</v>
      </c>
      <c r="E9505" t="s">
        <v>16</v>
      </c>
    </row>
    <row r="9506" spans="1:5" x14ac:dyDescent="0.25">
      <c r="A9506" t="str">
        <f>HYPERLINK("https://www.773grp.com/globalSearch/TPS78633DCQR/page-1", "TPS78633DCQR")</f>
        <v>TPS78633DCQR</v>
      </c>
      <c r="B9506" s="3" t="s">
        <v>90</v>
      </c>
      <c r="C9506" s="5">
        <v>12408</v>
      </c>
      <c r="D9506" s="6">
        <v>3.8</v>
      </c>
      <c r="E9506" t="s">
        <v>16</v>
      </c>
    </row>
    <row r="9507" spans="1:5" x14ac:dyDescent="0.25">
      <c r="A9507" t="str">
        <f>HYPERLINK("https://www.773grp.com/globalSearch/TPS79625DCQG4/page-1", "TPS79625DCQG4")</f>
        <v>TPS79625DCQG4</v>
      </c>
      <c r="B9507" s="3" t="s">
        <v>90</v>
      </c>
      <c r="C9507" s="5">
        <v>225</v>
      </c>
      <c r="D9507" s="6">
        <v>3.8</v>
      </c>
      <c r="E9507" t="s">
        <v>16</v>
      </c>
    </row>
    <row r="9508" spans="1:5" x14ac:dyDescent="0.25">
      <c r="A9508" t="str">
        <f>HYPERLINK("https://www.773grp.com/globalSearch/TL750L05QLP/page-1", "TL750L05QLP")</f>
        <v>TL750L05QLP</v>
      </c>
      <c r="B9508" s="3" t="str">
        <f>HYPERLINK("https://www.773grp.com/manufacturer/texas-instruments?pageNo=30", "Texas Instruments")</f>
        <v>Texas Instruments</v>
      </c>
      <c r="C9508" s="5">
        <v>63</v>
      </c>
      <c r="D9508" s="6">
        <v>4.2300000000000004</v>
      </c>
      <c r="E9508" t="s">
        <v>16</v>
      </c>
    </row>
    <row r="9509" spans="1:5" x14ac:dyDescent="0.25">
      <c r="A9509" t="str">
        <f>HYPERLINK("https://www.773grp.com/globalSearch/TPS736125DRBR/page-1", "TPS736125DRBR")</f>
        <v>TPS736125DRBR</v>
      </c>
      <c r="B9509" s="3" t="str">
        <f>HYPERLINK("https://www.773grp.com/manufacturer/texas-instruments?pageNo=201", "Texas Instruments")</f>
        <v>Texas Instruments</v>
      </c>
      <c r="C9509" s="5">
        <v>80270</v>
      </c>
      <c r="D9509" s="6">
        <v>4.2300000000000004</v>
      </c>
      <c r="E9509" t="s">
        <v>16</v>
      </c>
    </row>
    <row r="9510" spans="1:5" x14ac:dyDescent="0.25">
      <c r="A9510" t="str">
        <f>HYPERLINK("https://www.773grp.com/globalSearch/TPS73615DRBR/page-1", "TPS73615DRBR")</f>
        <v>TPS73615DRBR</v>
      </c>
      <c r="B9510" s="3" t="str">
        <f>HYPERLINK("https://www.773grp.com/manufacturer/texas-instruments?pageNo=202", "Texas Instruments")</f>
        <v>Texas Instruments</v>
      </c>
      <c r="C9510" s="5">
        <v>81000</v>
      </c>
      <c r="D9510" s="6">
        <v>4.2300000000000004</v>
      </c>
      <c r="E9510" t="s">
        <v>16</v>
      </c>
    </row>
    <row r="9511" spans="1:5" x14ac:dyDescent="0.25">
      <c r="A9511" t="str">
        <f>HYPERLINK("https://www.773grp.com/globalSearch/TPS73619DRBR/page-1", "TPS73619DRBR")</f>
        <v>TPS73619DRBR</v>
      </c>
      <c r="B9511" s="3" t="str">
        <f>HYPERLINK("https://www.773grp.com/manufacturer/texas-instruments?pageNo=203", "Texas Instruments")</f>
        <v>Texas Instruments</v>
      </c>
      <c r="C9511" s="5">
        <v>21000</v>
      </c>
      <c r="D9511" s="6">
        <v>4.2300000000000004</v>
      </c>
      <c r="E9511" t="s">
        <v>16</v>
      </c>
    </row>
    <row r="9512" spans="1:5" x14ac:dyDescent="0.25">
      <c r="A9512" t="str">
        <f>HYPERLINK("https://www.773grp.com/globalSearch/TPS73633DRBR/page-1", "TPS73633DRBR")</f>
        <v>TPS73633DRBR</v>
      </c>
      <c r="B9512" s="3" t="str">
        <f>HYPERLINK("https://www.773grp.com/manufacturer/texas-instruments?pageNo=204", "Texas Instruments")</f>
        <v>Texas Instruments</v>
      </c>
      <c r="C9512" s="5">
        <v>59054</v>
      </c>
      <c r="D9512" s="6">
        <v>4.2300000000000004</v>
      </c>
      <c r="E9512" t="s">
        <v>16</v>
      </c>
    </row>
    <row r="9513" spans="1:5" x14ac:dyDescent="0.25">
      <c r="A9513" t="str">
        <f>HYPERLINK("https://www.773grp.com/globalSearch/TPS76515D/page-1", "TPS76515D")</f>
        <v>TPS76515D</v>
      </c>
      <c r="B9513" s="3" t="str">
        <f>HYPERLINK("https://www.773grp.com/manufacturer/texas-instruments?pageNo=208", "Texas Instruments")</f>
        <v>Texas Instruments</v>
      </c>
      <c r="C9513" s="5">
        <v>18455</v>
      </c>
      <c r="D9513" s="6">
        <v>4.2300000000000004</v>
      </c>
      <c r="E9513" t="s">
        <v>16</v>
      </c>
    </row>
    <row r="9514" spans="1:5" x14ac:dyDescent="0.25">
      <c r="A9514" t="str">
        <f>HYPERLINK("https://www.773grp.com/globalSearch/TPS76518D/page-1", "TPS76518D")</f>
        <v>TPS76518D</v>
      </c>
      <c r="B9514" s="3" t="str">
        <f>HYPERLINK("https://www.773grp.com/manufacturer/texas-instruments?pageNo=209", "Texas Instruments")</f>
        <v>Texas Instruments</v>
      </c>
      <c r="C9514" s="5">
        <v>24188</v>
      </c>
      <c r="D9514" s="6">
        <v>4.2300000000000004</v>
      </c>
      <c r="E9514" t="s">
        <v>16</v>
      </c>
    </row>
    <row r="9515" spans="1:5" x14ac:dyDescent="0.25">
      <c r="A9515" t="str">
        <f>HYPERLINK("https://www.773grp.com/globalSearch/TPS76530D/page-1", "TPS76530D")</f>
        <v>TPS76530D</v>
      </c>
      <c r="B9515" s="3" t="str">
        <f>HYPERLINK("https://www.773grp.com/manufacturer/texas-instruments?pageNo=210", "Texas Instruments")</f>
        <v>Texas Instruments</v>
      </c>
      <c r="C9515" s="5">
        <v>18975</v>
      </c>
      <c r="D9515" s="6">
        <v>4.2300000000000004</v>
      </c>
      <c r="E9515" t="s">
        <v>16</v>
      </c>
    </row>
    <row r="9516" spans="1:5" x14ac:dyDescent="0.25">
      <c r="A9516" t="str">
        <f>HYPERLINK("https://www.773grp.com/globalSearch/TPS76550D/page-1", "TPS76550D")</f>
        <v>TPS76550D</v>
      </c>
      <c r="B9516" s="3" t="str">
        <f>HYPERLINK("https://www.773grp.com/manufacturer/texas-instruments?pageNo=211", "Texas Instruments")</f>
        <v>Texas Instruments</v>
      </c>
      <c r="C9516" s="5">
        <v>387</v>
      </c>
      <c r="D9516" s="6">
        <v>4.2300000000000004</v>
      </c>
      <c r="E9516" t="s">
        <v>16</v>
      </c>
    </row>
    <row r="9517" spans="1:5" x14ac:dyDescent="0.25">
      <c r="A9517" t="str">
        <f>HYPERLINK("https://www.773grp.com/globalSearch/TPS79418DCQ/page-1", "TPS79418DCQ")</f>
        <v>TPS79418DCQ</v>
      </c>
      <c r="B9517" s="3" t="str">
        <f>HYPERLINK("https://www.773grp.com/manufacturer/texas-instruments?pageNo=213", "Texas Instruments")</f>
        <v>Texas Instruments</v>
      </c>
      <c r="C9517" s="5">
        <v>26405</v>
      </c>
      <c r="D9517" s="6">
        <v>4.2300000000000004</v>
      </c>
      <c r="E9517" t="s">
        <v>16</v>
      </c>
    </row>
    <row r="9518" spans="1:5" x14ac:dyDescent="0.25">
      <c r="A9518" t="str">
        <f>HYPERLINK("https://www.773grp.com/globalSearch/TPS79425DCQ/page-1", "TPS79425DCQ")</f>
        <v>TPS79425DCQ</v>
      </c>
      <c r="B9518" s="3" t="str">
        <f>HYPERLINK("https://www.773grp.com/manufacturer/texas-instruments?pageNo=214", "Texas Instruments")</f>
        <v>Texas Instruments</v>
      </c>
      <c r="C9518" s="5">
        <v>7861</v>
      </c>
      <c r="D9518" s="6">
        <v>4.2300000000000004</v>
      </c>
      <c r="E9518" t="s">
        <v>16</v>
      </c>
    </row>
    <row r="9519" spans="1:5" x14ac:dyDescent="0.25">
      <c r="A9519" t="str">
        <f>HYPERLINK("https://www.773grp.com/globalSearch/TPS79428DCQ/page-1", "TPS79428DCQ")</f>
        <v>TPS79428DCQ</v>
      </c>
      <c r="B9519" s="3" t="str">
        <f>HYPERLINK("https://www.773grp.com/manufacturer/texas-instruments?pageNo=215", "Texas Instruments")</f>
        <v>Texas Instruments</v>
      </c>
      <c r="C9519" s="5">
        <v>75894</v>
      </c>
      <c r="D9519" s="6">
        <v>4.2300000000000004</v>
      </c>
      <c r="E9519" t="s">
        <v>16</v>
      </c>
    </row>
    <row r="9520" spans="1:5" x14ac:dyDescent="0.25">
      <c r="A9520" t="str">
        <f>HYPERLINK("https://www.773grp.com/globalSearch/TPS79430DCQ/page-1", "TPS79430DCQ")</f>
        <v>TPS79430DCQ</v>
      </c>
      <c r="B9520" s="3" t="str">
        <f>HYPERLINK("https://www.773grp.com/manufacturer/texas-instruments?pageNo=216", "Texas Instruments")</f>
        <v>Texas Instruments</v>
      </c>
      <c r="C9520" s="5">
        <v>37014</v>
      </c>
      <c r="D9520" s="6">
        <v>4.2300000000000004</v>
      </c>
      <c r="E9520" t="s">
        <v>16</v>
      </c>
    </row>
    <row r="9521" spans="1:5" x14ac:dyDescent="0.25">
      <c r="A9521" t="str">
        <f>HYPERLINK("https://www.773grp.com/globalSearch/TPS79433DCQ/page-1", "TPS79433DCQ")</f>
        <v>TPS79433DCQ</v>
      </c>
      <c r="B9521" s="3" t="str">
        <f>HYPERLINK("https://www.773grp.com/manufacturer/texas-instruments?pageNo=217", "Texas Instruments")</f>
        <v>Texas Instruments</v>
      </c>
      <c r="C9521" s="5">
        <v>7420</v>
      </c>
      <c r="D9521" s="6">
        <v>4.2300000000000004</v>
      </c>
      <c r="E9521" t="s">
        <v>16</v>
      </c>
    </row>
    <row r="9522" spans="1:5" x14ac:dyDescent="0.25">
      <c r="A9522" t="str">
        <f>HYPERLINK("https://www.773grp.com/globalSearch/TPS79618KTTT/page-1", "TPS79618KTTT")</f>
        <v>TPS79618KTTT</v>
      </c>
      <c r="B9522" s="3" t="str">
        <f>HYPERLINK("https://www.773grp.com/manufacturer/texas-instruments?pageNo=308", "Texas Instruments")</f>
        <v>Texas Instruments</v>
      </c>
      <c r="C9522" s="5">
        <v>46200</v>
      </c>
      <c r="D9522" s="6">
        <v>3.83</v>
      </c>
      <c r="E9522" t="s">
        <v>16</v>
      </c>
    </row>
    <row r="9523" spans="1:5" x14ac:dyDescent="0.25">
      <c r="A9523" t="str">
        <f>HYPERLINK("https://www.773grp.com/globalSearch/TPS79625KTTT/page-1", "TPS79625KTTT")</f>
        <v>TPS79625KTTT</v>
      </c>
      <c r="B9523" s="3" t="str">
        <f>HYPERLINK("https://www.773grp.com/manufacturer/texas-instruments?pageNo=309", "Texas Instruments")</f>
        <v>Texas Instruments</v>
      </c>
      <c r="C9523" s="5">
        <v>22830</v>
      </c>
      <c r="D9523" s="6">
        <v>3.83</v>
      </c>
      <c r="E9523" t="s">
        <v>16</v>
      </c>
    </row>
    <row r="9524" spans="1:5" x14ac:dyDescent="0.25">
      <c r="A9524" t="str">
        <f>HYPERLINK("https://www.773grp.com/globalSearch/TPS79628KTTT/page-1", "TPS79628KTTT")</f>
        <v>TPS79628KTTT</v>
      </c>
      <c r="B9524" s="3" t="str">
        <f>HYPERLINK("https://www.773grp.com/manufacturer/texas-instruments?pageNo=310", "Texas Instruments")</f>
        <v>Texas Instruments</v>
      </c>
      <c r="C9524" s="5">
        <v>6025</v>
      </c>
      <c r="D9524" s="6">
        <v>3.83</v>
      </c>
      <c r="E9524" t="s">
        <v>16</v>
      </c>
    </row>
    <row r="9525" spans="1:5" x14ac:dyDescent="0.25">
      <c r="A9525" t="str">
        <f>HYPERLINK("https://www.773grp.com/globalSearch/TPS79630KTTT/page-1", "TPS79630KTTT")</f>
        <v>TPS79630KTTT</v>
      </c>
      <c r="B9525" s="3" t="str">
        <f>HYPERLINK("https://www.773grp.com/manufacturer/texas-instruments?pageNo=311", "Texas Instruments")</f>
        <v>Texas Instruments</v>
      </c>
      <c r="C9525" s="5">
        <v>23000</v>
      </c>
      <c r="D9525" s="6">
        <v>3.83</v>
      </c>
      <c r="E9525" t="s">
        <v>16</v>
      </c>
    </row>
    <row r="9526" spans="1:5" x14ac:dyDescent="0.25">
      <c r="A9526" t="str">
        <f>HYPERLINK("https://www.773grp.com/globalSearch/TPS79633KTTT/page-1", "TPS79633KTTT")</f>
        <v>TPS79633KTTT</v>
      </c>
      <c r="B9526" s="3" t="str">
        <f>HYPERLINK("https://www.773grp.com/manufacturer/texas-instruments?pageNo=312", "Texas Instruments")</f>
        <v>Texas Instruments</v>
      </c>
      <c r="C9526" s="5">
        <v>8650</v>
      </c>
      <c r="D9526" s="6">
        <v>3.83</v>
      </c>
      <c r="E9526" t="s">
        <v>16</v>
      </c>
    </row>
    <row r="9527" spans="1:5" x14ac:dyDescent="0.25">
      <c r="A9527" t="str">
        <f>HYPERLINK("https://www.773grp.com/globalSearch/REG113EA-2.5-250/page-1", "REG113EA-2.5-250")</f>
        <v>REG113EA-2.5-250</v>
      </c>
      <c r="B9527" s="3" t="str">
        <f>HYPERLINK("https://www.773grp.com/manufacturer/texas-instruments?pageNo=324", "Texas Instruments")</f>
        <v>Texas Instruments</v>
      </c>
      <c r="C9527" s="5">
        <v>20170</v>
      </c>
      <c r="D9527" s="6">
        <v>3.85</v>
      </c>
      <c r="E9527" t="s">
        <v>16</v>
      </c>
    </row>
    <row r="9528" spans="1:5" x14ac:dyDescent="0.25">
      <c r="A9528" t="str">
        <f>HYPERLINK("https://www.773grp.com/globalSearch/REG113EA-3.3-250/page-1", "REG113EA-3.3-250")</f>
        <v>REG113EA-3.3-250</v>
      </c>
      <c r="B9528" s="3" t="str">
        <f>HYPERLINK("https://www.773grp.com/manufacturer/texas-instruments?pageNo=325", "Texas Instruments")</f>
        <v>Texas Instruments</v>
      </c>
      <c r="C9528" s="5">
        <v>3925</v>
      </c>
      <c r="D9528" s="6">
        <v>3.85</v>
      </c>
      <c r="E9528" t="s">
        <v>16</v>
      </c>
    </row>
    <row r="9529" spans="1:5" x14ac:dyDescent="0.25">
      <c r="A9529" t="str">
        <f>HYPERLINK("https://www.773grp.com/globalSearch/REG113EA-3-250/page-1", "REG113EA-3-250")</f>
        <v>REG113EA-3-250</v>
      </c>
      <c r="B9529" s="3" t="str">
        <f>HYPERLINK("https://www.773grp.com/manufacturer/texas-instruments?pageNo=326", "Texas Instruments")</f>
        <v>Texas Instruments</v>
      </c>
      <c r="C9529" s="5">
        <v>33581</v>
      </c>
      <c r="D9529" s="6">
        <v>3.85</v>
      </c>
      <c r="E9529" t="s">
        <v>16</v>
      </c>
    </row>
    <row r="9530" spans="1:5" x14ac:dyDescent="0.25">
      <c r="A9530" t="str">
        <f>HYPERLINK("https://www.773grp.com/globalSearch/REG113EA-5-250/page-1", "REG113EA-5-250")</f>
        <v>REG113EA-5-250</v>
      </c>
      <c r="B9530" s="3" t="str">
        <f>HYPERLINK("https://www.773grp.com/manufacturer/texas-instruments?pageNo=327", "Texas Instruments")</f>
        <v>Texas Instruments</v>
      </c>
      <c r="C9530" s="5">
        <v>5000</v>
      </c>
      <c r="D9530" s="6">
        <v>3.85</v>
      </c>
      <c r="E9530" t="s">
        <v>16</v>
      </c>
    </row>
    <row r="9531" spans="1:5" x14ac:dyDescent="0.25">
      <c r="A9531" t="str">
        <f>HYPERLINK("https://www.773grp.com/globalSearch/TPS7133QDR/page-1", "TPS7133QDR")</f>
        <v>TPS7133QDR</v>
      </c>
      <c r="B9531" s="3" t="str">
        <f>HYPERLINK("https://www.773grp.com/manufacturer/texas-instruments?pageNo=356", "Texas Instruments")</f>
        <v>Texas Instruments</v>
      </c>
      <c r="C9531" s="5">
        <v>1950</v>
      </c>
      <c r="D9531" s="6">
        <v>3.85</v>
      </c>
      <c r="E9531" t="s">
        <v>16</v>
      </c>
    </row>
    <row r="9532" spans="1:5" x14ac:dyDescent="0.25">
      <c r="A9532" t="str">
        <f>HYPERLINK("https://www.773grp.com/globalSearch/TPS7133QP/page-1", "TPS7133QP")</f>
        <v>TPS7133QP</v>
      </c>
      <c r="B9532" s="3" t="str">
        <f>HYPERLINK("https://www.773grp.com/manufacturer/texas-instruments?pageNo=357", "Texas Instruments")</f>
        <v>Texas Instruments</v>
      </c>
      <c r="C9532" s="5">
        <v>4313</v>
      </c>
      <c r="D9532" s="6">
        <v>3.85</v>
      </c>
      <c r="E9532" t="s">
        <v>16</v>
      </c>
    </row>
    <row r="9533" spans="1:5" x14ac:dyDescent="0.25">
      <c r="A9533" t="str">
        <f>HYPERLINK("https://www.773grp.com/globalSearch/TPS7133QPWR/page-1", "TPS7133QPWR")</f>
        <v>TPS7133QPWR</v>
      </c>
      <c r="B9533" s="3" t="str">
        <f>HYPERLINK("https://www.773grp.com/manufacturer/texas-instruments?pageNo=358", "Texas Instruments")</f>
        <v>Texas Instruments</v>
      </c>
      <c r="C9533" s="5">
        <v>22012</v>
      </c>
      <c r="D9533" s="6">
        <v>3.85</v>
      </c>
      <c r="E9533" t="s">
        <v>16</v>
      </c>
    </row>
    <row r="9534" spans="1:5" x14ac:dyDescent="0.25">
      <c r="A9534" t="str">
        <f>HYPERLINK("https://www.773grp.com/globalSearch/TPS7148QDR/page-1", "TPS7148QDR")</f>
        <v>TPS7148QDR</v>
      </c>
      <c r="B9534" s="3" t="str">
        <f>HYPERLINK("https://www.773grp.com/manufacturer/texas-instruments?pageNo=359", "Texas Instruments")</f>
        <v>Texas Instruments</v>
      </c>
      <c r="C9534" s="5">
        <v>27500</v>
      </c>
      <c r="D9534" s="6">
        <v>3.85</v>
      </c>
      <c r="E9534" t="s">
        <v>16</v>
      </c>
    </row>
    <row r="9535" spans="1:5" x14ac:dyDescent="0.25">
      <c r="A9535" t="str">
        <f>HYPERLINK("https://www.773grp.com/globalSearch/TPS7148QP/page-1", "TPS7148QP")</f>
        <v>TPS7148QP</v>
      </c>
      <c r="B9535" s="3" t="str">
        <f>HYPERLINK("https://www.773grp.com/manufacturer/texas-instruments?pageNo=360", "Texas Instruments")</f>
        <v>Texas Instruments</v>
      </c>
      <c r="C9535" s="5">
        <v>12239</v>
      </c>
      <c r="D9535" s="6">
        <v>3.85</v>
      </c>
      <c r="E9535" t="s">
        <v>16</v>
      </c>
    </row>
    <row r="9536" spans="1:5" x14ac:dyDescent="0.25">
      <c r="A9536" t="str">
        <f>HYPERLINK("https://www.773grp.com/globalSearch/TPS7225QD/page-1", "TPS7225QD")</f>
        <v>TPS7225QD</v>
      </c>
      <c r="B9536" s="3" t="str">
        <f>HYPERLINK("https://www.773grp.com/manufacturer/texas-instruments?pageNo=387", "Texas Instruments")</f>
        <v>Texas Instruments</v>
      </c>
      <c r="C9536" s="5">
        <v>1685</v>
      </c>
      <c r="D9536" s="6">
        <v>4.28</v>
      </c>
      <c r="E9536" t="s">
        <v>16</v>
      </c>
    </row>
    <row r="9537" spans="1:5" x14ac:dyDescent="0.25">
      <c r="A9537" t="str">
        <f>HYPERLINK("https://www.773grp.com/globalSearch/TPS7233QD/page-1", "TPS7233QD")</f>
        <v>TPS7233QD</v>
      </c>
      <c r="B9537" s="3" t="str">
        <f>HYPERLINK("https://www.773grp.com/manufacturer/texas-instruments?pageNo=388", "Texas Instruments")</f>
        <v>Texas Instruments</v>
      </c>
      <c r="C9537" s="5">
        <v>18634</v>
      </c>
      <c r="D9537" s="6">
        <v>4.28</v>
      </c>
      <c r="E9537" t="s">
        <v>16</v>
      </c>
    </row>
    <row r="9538" spans="1:5" x14ac:dyDescent="0.25">
      <c r="A9538" t="str">
        <f>HYPERLINK("https://www.773grp.com/globalSearch/TPS7248QPW/page-1", "TPS7248QPW")</f>
        <v>TPS7248QPW</v>
      </c>
      <c r="B9538" s="3" t="str">
        <f>HYPERLINK("https://www.773grp.com/manufacturer/texas-instruments?pageNo=389", "Texas Instruments")</f>
        <v>Texas Instruments</v>
      </c>
      <c r="C9538" s="5">
        <v>12150</v>
      </c>
      <c r="D9538" s="6">
        <v>4.28</v>
      </c>
      <c r="E9538" t="s">
        <v>16</v>
      </c>
    </row>
    <row r="9539" spans="1:5" x14ac:dyDescent="0.25">
      <c r="A9539" t="str">
        <f>HYPERLINK("https://www.773grp.com/globalSearch/TPS7250QD/page-1", "TPS7250QD")</f>
        <v>TPS7250QD</v>
      </c>
      <c r="B9539" s="3" t="str">
        <f>HYPERLINK("https://www.773grp.com/manufacturer/texas-instruments?pageNo=390", "Texas Instruments")</f>
        <v>Texas Instruments</v>
      </c>
      <c r="C9539" s="5">
        <v>2819</v>
      </c>
      <c r="D9539" s="6">
        <v>4.28</v>
      </c>
      <c r="E9539" t="s">
        <v>16</v>
      </c>
    </row>
    <row r="9540" spans="1:5" x14ac:dyDescent="0.25">
      <c r="A9540" t="str">
        <f>HYPERLINK("https://www.773grp.com/globalSearch/TPS7250QPW/page-1", "TPS7250QPW")</f>
        <v>TPS7250QPW</v>
      </c>
      <c r="B9540" s="3" t="str">
        <f>HYPERLINK("https://www.773grp.com/manufacturer/texas-instruments?pageNo=391", "Texas Instruments")</f>
        <v>Texas Instruments</v>
      </c>
      <c r="C9540" s="5">
        <v>9750</v>
      </c>
      <c r="D9540" s="6">
        <v>4.28</v>
      </c>
      <c r="E9540" t="s">
        <v>16</v>
      </c>
    </row>
    <row r="9541" spans="1:5" x14ac:dyDescent="0.25">
      <c r="A9541" t="str">
        <f>HYPERLINK("https://www.773grp.com/globalSearch/REG1118-2.85/page-1", "REG1118-2.85")</f>
        <v>REG1118-2.85</v>
      </c>
      <c r="B9541" s="3" t="str">
        <f>HYPERLINK("https://www.773grp.com/manufacturer/texas-instruments?pageNo=420", "Texas Instruments")</f>
        <v>Texas Instruments</v>
      </c>
      <c r="C9541" s="5">
        <v>10818</v>
      </c>
      <c r="D9541" s="6">
        <v>3.89</v>
      </c>
      <c r="E9541" t="s">
        <v>16</v>
      </c>
    </row>
    <row r="9542" spans="1:5" x14ac:dyDescent="0.25">
      <c r="A9542" t="str">
        <f>HYPERLINK("https://www.773grp.com/globalSearch/TPS7325QPW/page-1", "TPS7325QPW")</f>
        <v>TPS7325QPW</v>
      </c>
      <c r="B9542" s="3" t="str">
        <f>HYPERLINK("https://www.773grp.com/manufacturer/texas-instruments?pageNo=454", "Texas Instruments")</f>
        <v>Texas Instruments</v>
      </c>
      <c r="C9542" s="5">
        <v>10653</v>
      </c>
      <c r="D9542" s="6">
        <v>3.89</v>
      </c>
      <c r="E9542" t="s">
        <v>16</v>
      </c>
    </row>
    <row r="9543" spans="1:5" x14ac:dyDescent="0.25">
      <c r="A9543" t="str">
        <f>HYPERLINK("https://www.773grp.com/globalSearch/TPS7330QD/page-1", "TPS7330QD")</f>
        <v>TPS7330QD</v>
      </c>
      <c r="B9543" s="3" t="str">
        <f>HYPERLINK("https://www.773grp.com/manufacturer/texas-instruments?pageNo=455", "Texas Instruments")</f>
        <v>Texas Instruments</v>
      </c>
      <c r="C9543" s="5">
        <v>3397</v>
      </c>
      <c r="D9543" s="6">
        <v>3.89</v>
      </c>
      <c r="E9543" t="s">
        <v>16</v>
      </c>
    </row>
    <row r="9544" spans="1:5" x14ac:dyDescent="0.25">
      <c r="A9544" t="str">
        <f>HYPERLINK("https://www.773grp.com/globalSearch/TPS7333QD/page-1", "TPS7333QD")</f>
        <v>TPS7333QD</v>
      </c>
      <c r="B9544" s="3" t="str">
        <f>HYPERLINK("https://www.773grp.com/manufacturer/texas-instruments?pageNo=456", "Texas Instruments")</f>
        <v>Texas Instruments</v>
      </c>
      <c r="C9544" s="5">
        <v>4100</v>
      </c>
      <c r="D9544" s="6">
        <v>3.89</v>
      </c>
      <c r="E9544" t="s">
        <v>16</v>
      </c>
    </row>
    <row r="9545" spans="1:5" x14ac:dyDescent="0.25">
      <c r="A9545" t="str">
        <f>HYPERLINK("https://www.773grp.com/globalSearch/TPS7333QPW/page-1", "TPS7333QPW")</f>
        <v>TPS7333QPW</v>
      </c>
      <c r="B9545" s="3" t="str">
        <f>HYPERLINK("https://www.773grp.com/manufacturer/texas-instruments?pageNo=457", "Texas Instruments")</f>
        <v>Texas Instruments</v>
      </c>
      <c r="C9545" s="5">
        <v>6015</v>
      </c>
      <c r="D9545" s="6">
        <v>3.89</v>
      </c>
      <c r="E9545" t="s">
        <v>16</v>
      </c>
    </row>
    <row r="9546" spans="1:5" x14ac:dyDescent="0.25">
      <c r="A9546" t="str">
        <f>HYPERLINK("https://www.773grp.com/globalSearch/TPS7348QD/page-1", "TPS7348QD")</f>
        <v>TPS7348QD</v>
      </c>
      <c r="B9546" s="3" t="str">
        <f>HYPERLINK("https://www.773grp.com/manufacturer/texas-instruments?pageNo=458", "Texas Instruments")</f>
        <v>Texas Instruments</v>
      </c>
      <c r="C9546" s="5">
        <v>16504</v>
      </c>
      <c r="D9546" s="6">
        <v>3.89</v>
      </c>
      <c r="E9546" t="s">
        <v>16</v>
      </c>
    </row>
    <row r="9547" spans="1:5" x14ac:dyDescent="0.25">
      <c r="A9547" t="str">
        <f>HYPERLINK("https://www.773grp.com/globalSearch/TPS7350QD/page-1", "TPS7350QD")</f>
        <v>TPS7350QD</v>
      </c>
      <c r="B9547" s="3" t="str">
        <f>HYPERLINK("https://www.773grp.com/manufacturer/texas-instruments?pageNo=459", "Texas Instruments")</f>
        <v>Texas Instruments</v>
      </c>
      <c r="C9547" s="5">
        <v>3855</v>
      </c>
      <c r="D9547" s="6">
        <v>3.89</v>
      </c>
      <c r="E9547" t="s">
        <v>16</v>
      </c>
    </row>
    <row r="9548" spans="1:5" x14ac:dyDescent="0.25">
      <c r="A9548" t="str">
        <f>HYPERLINK("https://www.773grp.com/globalSearch/TPS76715QD/page-1", "TPS76715QD")</f>
        <v>TPS76715QD</v>
      </c>
      <c r="B9548" s="3" t="str">
        <f>HYPERLINK("https://www.773grp.com/manufacturer/texas-instruments?pageNo=463", "Texas Instruments")</f>
        <v>Texas Instruments</v>
      </c>
      <c r="C9548" s="5">
        <v>2960</v>
      </c>
      <c r="D9548" s="6">
        <v>3.89</v>
      </c>
      <c r="E9548" t="s">
        <v>16</v>
      </c>
    </row>
    <row r="9549" spans="1:5" x14ac:dyDescent="0.25">
      <c r="A9549" t="str">
        <f>HYPERLINK("https://www.773grp.com/globalSearch/TPS76718QD/page-1", "TPS76718QD")</f>
        <v>TPS76718QD</v>
      </c>
      <c r="B9549" s="3" t="str">
        <f>HYPERLINK("https://www.773grp.com/manufacturer/texas-instruments?pageNo=464", "Texas Instruments")</f>
        <v>Texas Instruments</v>
      </c>
      <c r="C9549" s="5">
        <v>4628</v>
      </c>
      <c r="D9549" s="6">
        <v>3.89</v>
      </c>
      <c r="E9549" t="s">
        <v>16</v>
      </c>
    </row>
    <row r="9550" spans="1:5" x14ac:dyDescent="0.25">
      <c r="A9550" t="str">
        <f>HYPERLINK("https://www.773grp.com/globalSearch/TPS76718QPWP/page-1", "TPS76718QPWP")</f>
        <v>TPS76718QPWP</v>
      </c>
      <c r="B9550" s="3" t="str">
        <f>HYPERLINK("https://www.773grp.com/manufacturer/texas-instruments?pageNo=465", "Texas Instruments")</f>
        <v>Texas Instruments</v>
      </c>
      <c r="C9550" s="5">
        <v>6575</v>
      </c>
      <c r="D9550" s="6">
        <v>3.89</v>
      </c>
      <c r="E9550" t="s">
        <v>16</v>
      </c>
    </row>
    <row r="9551" spans="1:5" x14ac:dyDescent="0.25">
      <c r="A9551" t="str">
        <f>HYPERLINK("https://www.773grp.com/globalSearch/TPS76725QD/page-1", "TPS76725QD")</f>
        <v>TPS76725QD</v>
      </c>
      <c r="B9551" s="3" t="str">
        <f>HYPERLINK("https://www.773grp.com/manufacturer/texas-instruments?pageNo=466", "Texas Instruments")</f>
        <v>Texas Instruments</v>
      </c>
      <c r="C9551" s="5">
        <v>3</v>
      </c>
      <c r="D9551" s="6">
        <v>3.89</v>
      </c>
      <c r="E9551" t="s">
        <v>16</v>
      </c>
    </row>
    <row r="9552" spans="1:5" x14ac:dyDescent="0.25">
      <c r="A9552" t="str">
        <f>HYPERLINK("https://www.773grp.com/globalSearch/TPS76725QPWP/page-1", "TPS76725QPWP")</f>
        <v>TPS76725QPWP</v>
      </c>
      <c r="B9552" s="3" t="str">
        <f>HYPERLINK("https://www.773grp.com/manufacturer/texas-instruments?pageNo=467", "Texas Instruments")</f>
        <v>Texas Instruments</v>
      </c>
      <c r="C9552" s="5">
        <v>27754</v>
      </c>
      <c r="D9552" s="6">
        <v>3.89</v>
      </c>
      <c r="E9552" t="s">
        <v>16</v>
      </c>
    </row>
    <row r="9553" spans="1:5" x14ac:dyDescent="0.25">
      <c r="A9553" t="str">
        <f>HYPERLINK("https://www.773grp.com/globalSearch/TPS76730QPWP/page-1", "TPS76730QPWP")</f>
        <v>TPS76730QPWP</v>
      </c>
      <c r="B9553" s="3" t="str">
        <f>HYPERLINK("https://www.773grp.com/manufacturer/texas-instruments?pageNo=468", "Texas Instruments")</f>
        <v>Texas Instruments</v>
      </c>
      <c r="C9553" s="5">
        <v>15223</v>
      </c>
      <c r="D9553" s="6">
        <v>3.89</v>
      </c>
      <c r="E9553" t="s">
        <v>16</v>
      </c>
    </row>
    <row r="9554" spans="1:5" x14ac:dyDescent="0.25">
      <c r="A9554" t="str">
        <f>HYPERLINK("https://www.773grp.com/globalSearch/TPS76733QPWP/page-1", "TPS76733QPWP")</f>
        <v>TPS76733QPWP</v>
      </c>
      <c r="B9554" s="3" t="str">
        <f>HYPERLINK("https://www.773grp.com/manufacturer/texas-instruments?pageNo=469", "Texas Instruments")</f>
        <v>Texas Instruments</v>
      </c>
      <c r="C9554" s="5">
        <v>10996</v>
      </c>
      <c r="D9554" s="6">
        <v>3.89</v>
      </c>
      <c r="E9554" t="s">
        <v>16</v>
      </c>
    </row>
    <row r="9555" spans="1:5" x14ac:dyDescent="0.25">
      <c r="A9555" t="str">
        <f>HYPERLINK("https://www.773grp.com/globalSearch/TPS76750QD/page-1", "TPS76750QD")</f>
        <v>TPS76750QD</v>
      </c>
      <c r="B9555" s="3" t="str">
        <f>HYPERLINK("https://www.773grp.com/manufacturer/texas-instruments?pageNo=470", "Texas Instruments")</f>
        <v>Texas Instruments</v>
      </c>
      <c r="C9555" s="5">
        <v>750</v>
      </c>
      <c r="D9555" s="6">
        <v>3.89</v>
      </c>
      <c r="E9555" t="s">
        <v>16</v>
      </c>
    </row>
    <row r="9556" spans="1:5" x14ac:dyDescent="0.25">
      <c r="A9556" t="str">
        <f>HYPERLINK("https://www.773grp.com/globalSearch/TPS76750QPWP/page-1", "TPS76750QPWP")</f>
        <v>TPS76750QPWP</v>
      </c>
      <c r="B9556" s="3" t="str">
        <f>HYPERLINK("https://www.773grp.com/manufacturer/texas-instruments?pageNo=471", "Texas Instruments")</f>
        <v>Texas Instruments</v>
      </c>
      <c r="C9556" s="5">
        <v>3010</v>
      </c>
      <c r="D9556" s="6">
        <v>3.89</v>
      </c>
      <c r="E9556" t="s">
        <v>16</v>
      </c>
    </row>
    <row r="9557" spans="1:5" x14ac:dyDescent="0.25">
      <c r="A9557" t="str">
        <f>HYPERLINK("https://www.773grp.com/globalSearch/REG1117F-3.3-500/page-1", "REG1117F-3.3-500")</f>
        <v>REG1117F-3.3-500</v>
      </c>
      <c r="B9557" s="3" t="str">
        <f>HYPERLINK("https://www.773grp.com/manufacturer/texas-instruments?pageNo=496", "Texas Instruments")</f>
        <v>Texas Instruments</v>
      </c>
      <c r="C9557" s="5">
        <v>56345</v>
      </c>
      <c r="D9557" s="6">
        <v>3.91</v>
      </c>
      <c r="E9557" t="s">
        <v>16</v>
      </c>
    </row>
    <row r="9558" spans="1:5" x14ac:dyDescent="0.25">
      <c r="A9558" t="str">
        <f>HYPERLINK("https://www.773grp.com/globalSearch/TPPM0303DR/page-1", "TPPM0303DR")</f>
        <v>TPPM0303DR</v>
      </c>
      <c r="B9558" s="3" t="str">
        <f>HYPERLINK("https://www.773grp.com/manufacturer/texas-instruments?pageNo=646", "Texas Instruments")</f>
        <v>Texas Instruments</v>
      </c>
      <c r="C9558" s="5">
        <v>10000</v>
      </c>
      <c r="D9558" s="6">
        <v>3.94</v>
      </c>
      <c r="E9558" t="s">
        <v>16</v>
      </c>
    </row>
    <row r="9559" spans="1:5" x14ac:dyDescent="0.25">
      <c r="A9559" t="str">
        <f>HYPERLINK("https://www.773grp.com/globalSearch/TPS76850QPWPREP/page-1", "TPS76850QPWPREP")</f>
        <v>TPS76850QPWPREP</v>
      </c>
      <c r="B9559" s="3" t="str">
        <f>HYPERLINK("https://www.773grp.com/manufacturer/texas-instruments?pageNo=677", "Texas Instruments")</f>
        <v>Texas Instruments</v>
      </c>
      <c r="C9559" s="5">
        <v>3310</v>
      </c>
      <c r="D9559" s="6">
        <v>3.94</v>
      </c>
      <c r="E9559" t="s">
        <v>16</v>
      </c>
    </row>
    <row r="9560" spans="1:5" x14ac:dyDescent="0.25">
      <c r="A9560" t="str">
        <f>HYPERLINK("https://www.773grp.com/globalSearch/UCC386PW/page-1", "UCC386PW")</f>
        <v>UCC386PW</v>
      </c>
      <c r="B9560" s="3" t="s">
        <v>90</v>
      </c>
      <c r="C9560" s="5">
        <v>2975</v>
      </c>
      <c r="D9560" s="6">
        <v>4.01</v>
      </c>
      <c r="E9560" t="s">
        <v>16</v>
      </c>
    </row>
    <row r="9561" spans="1:5" x14ac:dyDescent="0.25">
      <c r="A9561" t="str">
        <f>HYPERLINK("https://www.773grp.com/globalSearch/TL2217-285PWR/page-1", "TL2217-285PWR")</f>
        <v>TL2217-285PWR</v>
      </c>
      <c r="B9561" s="3" t="s">
        <v>90</v>
      </c>
      <c r="C9561" s="5">
        <v>8652</v>
      </c>
      <c r="D9561" s="6">
        <v>4.05</v>
      </c>
      <c r="E9561" t="s">
        <v>16</v>
      </c>
    </row>
    <row r="9562" spans="1:5" x14ac:dyDescent="0.25">
      <c r="A9562" t="str">
        <f>HYPERLINK("https://www.773grp.com/globalSearch/TPS78618KTTR/page-1", "TPS78618KTTR")</f>
        <v>TPS78618KTTR</v>
      </c>
      <c r="B9562" s="3" t="s">
        <v>90</v>
      </c>
      <c r="C9562" s="5">
        <v>27500</v>
      </c>
      <c r="D9562" s="6">
        <v>4.05</v>
      </c>
      <c r="E9562" t="s">
        <v>16</v>
      </c>
    </row>
    <row r="9563" spans="1:5" x14ac:dyDescent="0.25">
      <c r="A9563" t="str">
        <f>HYPERLINK("https://www.773grp.com/globalSearch/TPS78618KTTRE3/page-1", "TPS78618KTTRE3")</f>
        <v>TPS78618KTTRE3</v>
      </c>
      <c r="B9563" s="3" t="s">
        <v>90</v>
      </c>
      <c r="C9563" s="5">
        <v>21500</v>
      </c>
      <c r="D9563" s="6">
        <v>4.05</v>
      </c>
      <c r="E9563" t="s">
        <v>16</v>
      </c>
    </row>
    <row r="9564" spans="1:5" x14ac:dyDescent="0.25">
      <c r="A9564" t="str">
        <f>HYPERLINK("https://www.773grp.com/globalSearch/TPS78625KTTR/page-1", "TPS78625KTTR")</f>
        <v>TPS78625KTTR</v>
      </c>
      <c r="B9564" s="3" t="s">
        <v>90</v>
      </c>
      <c r="C9564" s="5">
        <v>55835</v>
      </c>
      <c r="D9564" s="6">
        <v>4.05</v>
      </c>
      <c r="E9564" t="s">
        <v>16</v>
      </c>
    </row>
    <row r="9565" spans="1:5" x14ac:dyDescent="0.25">
      <c r="A9565" t="str">
        <f>HYPERLINK("https://www.773grp.com/globalSearch/TPS78633KTTR/page-1", "TPS78633KTTR")</f>
        <v>TPS78633KTTR</v>
      </c>
      <c r="B9565" s="3" t="s">
        <v>90</v>
      </c>
      <c r="C9565" s="5">
        <v>113755</v>
      </c>
      <c r="D9565" s="6">
        <v>4.05</v>
      </c>
      <c r="E9565" t="s">
        <v>16</v>
      </c>
    </row>
    <row r="9566" spans="1:5" x14ac:dyDescent="0.25">
      <c r="A9566" t="str">
        <f>HYPERLINK("https://www.773grp.com/globalSearch/TPS78633KTTRE3/page-1", "TPS78633KTTRE3")</f>
        <v>TPS78633KTTRE3</v>
      </c>
      <c r="B9566" s="3" t="s">
        <v>90</v>
      </c>
      <c r="C9566" s="5">
        <v>9500</v>
      </c>
      <c r="D9566" s="6">
        <v>4.05</v>
      </c>
      <c r="E9566" t="s">
        <v>16</v>
      </c>
    </row>
    <row r="9567" spans="1:5" x14ac:dyDescent="0.25">
      <c r="A9567" t="str">
        <f>HYPERLINK("https://www.773grp.com/globalSearch/REG1117A-1.8-2K5/page-1", "REG1117A-1.8-2K5")</f>
        <v>REG1117A-1.8-2K5</v>
      </c>
      <c r="B9567" s="3" t="s">
        <v>90</v>
      </c>
      <c r="C9567" s="5">
        <v>12202</v>
      </c>
      <c r="D9567" s="6">
        <v>4.49</v>
      </c>
      <c r="E9567" t="s">
        <v>16</v>
      </c>
    </row>
    <row r="9568" spans="1:5" x14ac:dyDescent="0.25">
      <c r="A9568" t="str">
        <f>HYPERLINK("https://www.773grp.com/globalSearch/TPS73615DCQR/page-1", "TPS73615DCQR")</f>
        <v>TPS73615DCQR</v>
      </c>
      <c r="B9568" s="3" t="s">
        <v>90</v>
      </c>
      <c r="C9568" s="5">
        <v>15000</v>
      </c>
      <c r="D9568" s="6">
        <v>4.49</v>
      </c>
      <c r="E9568" t="s">
        <v>16</v>
      </c>
    </row>
    <row r="9569" spans="1:5" x14ac:dyDescent="0.25">
      <c r="A9569" t="str">
        <f>HYPERLINK("https://www.773grp.com/globalSearch/TPS73618DCQR/page-1", "TPS73618DCQR")</f>
        <v>TPS73618DCQR</v>
      </c>
      <c r="B9569" s="3" t="s">
        <v>90</v>
      </c>
      <c r="C9569" s="5">
        <v>72394</v>
      </c>
      <c r="D9569" s="6">
        <v>4.49</v>
      </c>
      <c r="E9569" t="s">
        <v>16</v>
      </c>
    </row>
    <row r="9570" spans="1:5" x14ac:dyDescent="0.25">
      <c r="A9570" t="str">
        <f>HYPERLINK("https://www.773grp.com/globalSearch/TPS73619DBVR/page-1", "TPS73619DBVR")</f>
        <v>TPS73619DBVR</v>
      </c>
      <c r="B9570" s="3" t="s">
        <v>90</v>
      </c>
      <c r="C9570" s="5">
        <v>8813</v>
      </c>
      <c r="D9570" s="6">
        <v>4.49</v>
      </c>
      <c r="E9570" t="s">
        <v>16</v>
      </c>
    </row>
    <row r="9571" spans="1:5" x14ac:dyDescent="0.25">
      <c r="A9571" t="str">
        <f>HYPERLINK("https://www.773grp.com/globalSearch/TPS73625DCQR/page-1", "TPS73625DCQR")</f>
        <v>TPS73625DCQR</v>
      </c>
      <c r="B9571" s="3" t="s">
        <v>90</v>
      </c>
      <c r="C9571" s="5">
        <v>5000</v>
      </c>
      <c r="D9571" s="6">
        <v>4.49</v>
      </c>
      <c r="E9571" t="s">
        <v>16</v>
      </c>
    </row>
    <row r="9572" spans="1:5" x14ac:dyDescent="0.25">
      <c r="A9572" t="str">
        <f>HYPERLINK("https://www.773grp.com/globalSearch/TPS73625DCQR/page-1", "TPS73625DCQR")</f>
        <v>TPS73625DCQR</v>
      </c>
      <c r="B9572" s="3" t="s">
        <v>90</v>
      </c>
      <c r="C9572" s="5">
        <v>2500</v>
      </c>
      <c r="D9572" s="6">
        <v>4.49</v>
      </c>
      <c r="E9572" t="s">
        <v>16</v>
      </c>
    </row>
    <row r="9573" spans="1:5" x14ac:dyDescent="0.25">
      <c r="A9573" t="str">
        <f>HYPERLINK("https://www.773grp.com/globalSearch/TPS73633DCQR/page-1", "TPS73633DCQR")</f>
        <v>TPS73633DCQR</v>
      </c>
      <c r="B9573" s="3" t="s">
        <v>90</v>
      </c>
      <c r="C9573" s="5">
        <v>1283</v>
      </c>
      <c r="D9573" s="6">
        <v>4.49</v>
      </c>
      <c r="E9573" t="s">
        <v>16</v>
      </c>
    </row>
    <row r="9574" spans="1:5" x14ac:dyDescent="0.25">
      <c r="A9574" t="str">
        <f>HYPERLINK("https://www.773grp.com/globalSearch/TPS77250DGK/page-1", "TPS77250DGK")</f>
        <v>TPS77250DGK</v>
      </c>
      <c r="B9574" s="3" t="s">
        <v>90</v>
      </c>
      <c r="C9574" s="5">
        <v>15743</v>
      </c>
      <c r="D9574" s="6">
        <v>4.49</v>
      </c>
      <c r="E9574" t="s">
        <v>16</v>
      </c>
    </row>
    <row r="9575" spans="1:5" x14ac:dyDescent="0.25">
      <c r="A9575" t="str">
        <f>HYPERLINK("https://www.773grp.com/globalSearch/TPS77315DGK/page-1", "TPS77315DGK")</f>
        <v>TPS77315DGK</v>
      </c>
      <c r="B9575" s="3" t="s">
        <v>90</v>
      </c>
      <c r="C9575" s="5">
        <v>28649</v>
      </c>
      <c r="D9575" s="6">
        <v>4.49</v>
      </c>
      <c r="E9575" t="s">
        <v>16</v>
      </c>
    </row>
    <row r="9576" spans="1:5" x14ac:dyDescent="0.25">
      <c r="A9576" t="str">
        <f>HYPERLINK("https://www.773grp.com/globalSearch/TPS77316DGK/page-1", "TPS77316DGK")</f>
        <v>TPS77316DGK</v>
      </c>
      <c r="B9576" s="3" t="s">
        <v>90</v>
      </c>
      <c r="C9576" s="5">
        <v>33170</v>
      </c>
      <c r="D9576" s="6">
        <v>4.49</v>
      </c>
      <c r="E9576" t="s">
        <v>16</v>
      </c>
    </row>
    <row r="9577" spans="1:5" x14ac:dyDescent="0.25">
      <c r="A9577" t="str">
        <f>HYPERLINK("https://www.773grp.com/globalSearch/TPS77318DGK/page-1", "TPS77318DGK")</f>
        <v>TPS77318DGK</v>
      </c>
      <c r="B9577" s="3" t="s">
        <v>90</v>
      </c>
      <c r="C9577" s="5">
        <v>7550</v>
      </c>
      <c r="D9577" s="6">
        <v>4.49</v>
      </c>
      <c r="E9577" t="s">
        <v>16</v>
      </c>
    </row>
    <row r="9578" spans="1:5" x14ac:dyDescent="0.25">
      <c r="A9578" t="str">
        <f>HYPERLINK("https://www.773grp.com/globalSearch/TPS77350DGK/page-1", "TPS77350DGK")</f>
        <v>TPS77350DGK</v>
      </c>
      <c r="B9578" s="3" t="s">
        <v>90</v>
      </c>
      <c r="C9578" s="5">
        <v>7486</v>
      </c>
      <c r="D9578" s="6">
        <v>4.49</v>
      </c>
      <c r="E9578" t="s">
        <v>16</v>
      </c>
    </row>
    <row r="9579" spans="1:5" x14ac:dyDescent="0.25">
      <c r="A9579" t="str">
        <f>HYPERLINK("https://www.773grp.com/globalSearch/TPS77433DGK/page-1", "TPS77433DGK")</f>
        <v>TPS77433DGK</v>
      </c>
      <c r="B9579" s="3" t="s">
        <v>90</v>
      </c>
      <c r="C9579" s="5">
        <v>17140</v>
      </c>
      <c r="D9579" s="6">
        <v>4.49</v>
      </c>
      <c r="E9579" t="s">
        <v>16</v>
      </c>
    </row>
    <row r="9580" spans="1:5" x14ac:dyDescent="0.25">
      <c r="A9580" t="str">
        <f>HYPERLINK("https://www.773grp.com/globalSearch/TPS77450DGK/page-1", "TPS77450DGK")</f>
        <v>TPS77450DGK</v>
      </c>
      <c r="B9580" s="3" t="s">
        <v>90</v>
      </c>
      <c r="C9580" s="5">
        <v>9709</v>
      </c>
      <c r="D9580" s="6">
        <v>4.49</v>
      </c>
      <c r="E9580" t="s">
        <v>16</v>
      </c>
    </row>
    <row r="9581" spans="1:5" x14ac:dyDescent="0.25">
      <c r="A9581" t="str">
        <f>HYPERLINK("https://www.773grp.com/globalSearch/TPS77618QPWPRQ1/page-1", "TPS77618QPWPRQ1")</f>
        <v>TPS77618QPWPRQ1</v>
      </c>
      <c r="B9581" s="3" t="s">
        <v>90</v>
      </c>
      <c r="C9581" s="5">
        <v>6000</v>
      </c>
      <c r="D9581" s="6">
        <v>4.49</v>
      </c>
      <c r="E9581" t="s">
        <v>16</v>
      </c>
    </row>
    <row r="9582" spans="1:5" x14ac:dyDescent="0.25">
      <c r="A9582" t="str">
        <f>HYPERLINK("https://www.773grp.com/globalSearch/TPS77633QPWPRQ1/page-1", "TPS77633QPWPRQ1")</f>
        <v>TPS77633QPWPRQ1</v>
      </c>
      <c r="B9582" s="3" t="s">
        <v>90</v>
      </c>
      <c r="C9582" s="5">
        <v>54215</v>
      </c>
      <c r="D9582" s="6">
        <v>4.49</v>
      </c>
      <c r="E9582" t="s">
        <v>16</v>
      </c>
    </row>
    <row r="9583" spans="1:5" x14ac:dyDescent="0.25">
      <c r="A9583" t="str">
        <f>HYPERLINK("https://www.773grp.com/globalSearch/TPS77925DGK/page-1", "TPS77925DGK")</f>
        <v>TPS77925DGK</v>
      </c>
      <c r="B9583" s="3" t="s">
        <v>90</v>
      </c>
      <c r="C9583" s="5">
        <v>21819</v>
      </c>
      <c r="D9583" s="6">
        <v>4.49</v>
      </c>
      <c r="E9583" t="s">
        <v>16</v>
      </c>
    </row>
    <row r="9584" spans="1:5" x14ac:dyDescent="0.25">
      <c r="A9584" t="str">
        <f>HYPERLINK("https://www.773grp.com/globalSearch/TPS77930DGKR/page-1", "TPS77930DGKR")</f>
        <v>TPS77930DGKR</v>
      </c>
      <c r="B9584" s="3" t="s">
        <v>90</v>
      </c>
      <c r="C9584" s="5">
        <v>15000</v>
      </c>
      <c r="D9584" s="6">
        <v>4.49</v>
      </c>
      <c r="E9584" t="s">
        <v>16</v>
      </c>
    </row>
    <row r="9585" spans="1:5" x14ac:dyDescent="0.25">
      <c r="A9585" t="str">
        <f>HYPERLINK("https://www.773grp.com/globalSearch/REG101UA-2.8/page-1", "REG101UA-2.8")</f>
        <v>REG101UA-2.8</v>
      </c>
      <c r="B9585" s="3" t="s">
        <v>90</v>
      </c>
      <c r="C9585" s="5">
        <v>15096</v>
      </c>
      <c r="D9585" s="6">
        <v>4.09</v>
      </c>
      <c r="E9585" t="s">
        <v>16</v>
      </c>
    </row>
    <row r="9586" spans="1:5" x14ac:dyDescent="0.25">
      <c r="A9586" t="str">
        <f>HYPERLINK("https://www.773grp.com/globalSearch/REG101UA-3.3/page-1", "REG101UA-3.3")</f>
        <v>REG101UA-3.3</v>
      </c>
      <c r="B9586" s="3" t="s">
        <v>90</v>
      </c>
      <c r="C9586" s="5">
        <v>201</v>
      </c>
      <c r="D9586" s="6">
        <v>4.09</v>
      </c>
      <c r="E9586" t="s">
        <v>16</v>
      </c>
    </row>
    <row r="9587" spans="1:5" x14ac:dyDescent="0.25">
      <c r="A9587" t="str">
        <f>HYPERLINK("https://www.773grp.com/globalSearch/REG101UA-5/page-1", "REG101UA-5")</f>
        <v>REG101UA-5</v>
      </c>
      <c r="B9587" s="3" t="s">
        <v>90</v>
      </c>
      <c r="C9587" s="5">
        <v>5190</v>
      </c>
      <c r="D9587" s="6">
        <v>4.09</v>
      </c>
      <c r="E9587" t="s">
        <v>16</v>
      </c>
    </row>
    <row r="9588" spans="1:5" x14ac:dyDescent="0.25">
      <c r="A9588" t="str">
        <f>HYPERLINK("https://www.773grp.com/globalSearch/TPS7A4515KTTR/page-1", "TPS7A4515KTTR")</f>
        <v>TPS7A4515KTTR</v>
      </c>
      <c r="B9588" s="3" t="s">
        <v>90</v>
      </c>
      <c r="C9588" s="5">
        <v>12432</v>
      </c>
      <c r="D9588" s="6">
        <v>4.09</v>
      </c>
      <c r="E9588" t="s">
        <v>16</v>
      </c>
    </row>
    <row r="9589" spans="1:5" x14ac:dyDescent="0.25">
      <c r="A9589" t="str">
        <f>HYPERLINK("https://www.773grp.com/globalSearch/TPS7A4518KTTR/page-1", "TPS7A4518KTTR")</f>
        <v>TPS7A4518KTTR</v>
      </c>
      <c r="B9589" s="3" t="s">
        <v>90</v>
      </c>
      <c r="C9589" s="5">
        <v>2440</v>
      </c>
      <c r="D9589" s="6">
        <v>4.09</v>
      </c>
      <c r="E9589" t="s">
        <v>16</v>
      </c>
    </row>
    <row r="9590" spans="1:5" x14ac:dyDescent="0.25">
      <c r="A9590" t="str">
        <f>HYPERLINK("https://www.773grp.com/globalSearch/TPS7A4525KTTR/page-1", "TPS7A4525KTTR")</f>
        <v>TPS7A4525KTTR</v>
      </c>
      <c r="B9590" s="3" t="s">
        <v>90</v>
      </c>
      <c r="C9590" s="5">
        <v>2656</v>
      </c>
      <c r="D9590" s="6">
        <v>4.09</v>
      </c>
      <c r="E9590" t="s">
        <v>16</v>
      </c>
    </row>
    <row r="9591" spans="1:5" x14ac:dyDescent="0.25">
      <c r="A9591" t="str">
        <f>HYPERLINK("https://www.773grp.com/globalSearch/TPS7A4533KTTR/page-1", "TPS7A4533KTTR")</f>
        <v>TPS7A4533KTTR</v>
      </c>
      <c r="B9591" s="3" t="s">
        <v>90</v>
      </c>
      <c r="C9591" s="5">
        <v>1355</v>
      </c>
      <c r="D9591" s="6">
        <v>4.09</v>
      </c>
      <c r="E9591" t="s">
        <v>16</v>
      </c>
    </row>
    <row r="9592" spans="1:5" x14ac:dyDescent="0.25">
      <c r="A9592" t="str">
        <f>HYPERLINK("https://www.773grp.com/globalSearch/TL-SCSI285KC/page-1", "TL-SCSI285KC")</f>
        <v>TL-SCSI285KC</v>
      </c>
      <c r="B9592" s="3" t="s">
        <v>90</v>
      </c>
      <c r="C9592" s="5">
        <v>4727</v>
      </c>
      <c r="D9592" s="6">
        <v>4.54</v>
      </c>
      <c r="E9592" t="s">
        <v>16</v>
      </c>
    </row>
    <row r="9593" spans="1:5" x14ac:dyDescent="0.25">
      <c r="A9593" t="str">
        <f>HYPERLINK("https://www.773grp.com/globalSearch/TL-SCSI285KCSE3/page-1", "TL-SCSI285KCSE3")</f>
        <v>TL-SCSI285KCSE3</v>
      </c>
      <c r="B9593" s="3" t="s">
        <v>90</v>
      </c>
      <c r="C9593" s="5">
        <v>1000</v>
      </c>
      <c r="D9593" s="6">
        <v>4.54</v>
      </c>
      <c r="E9593" t="s">
        <v>16</v>
      </c>
    </row>
    <row r="9594" spans="1:5" x14ac:dyDescent="0.25">
      <c r="A9594" t="str">
        <f>HYPERLINK("https://www.773grp.com/globalSearch/TL-SCSI285PWR/page-1", "TL-SCSI285PWR")</f>
        <v>TL-SCSI285PWR</v>
      </c>
      <c r="B9594" s="3" t="s">
        <v>90</v>
      </c>
      <c r="C9594" s="5">
        <v>2000</v>
      </c>
      <c r="D9594" s="6">
        <v>4.54</v>
      </c>
      <c r="E9594" t="s">
        <v>16</v>
      </c>
    </row>
    <row r="9595" spans="1:5" x14ac:dyDescent="0.25">
      <c r="A9595" t="str">
        <f>HYPERLINK("https://www.773grp.com/globalSearch/REG102GA-2.5/page-1", "REG102GA-2.5")</f>
        <v>REG102GA-2.5</v>
      </c>
      <c r="B9595" s="3" t="s">
        <v>90</v>
      </c>
      <c r="C9595" s="5">
        <v>18637</v>
      </c>
      <c r="D9595" s="6">
        <v>4.16</v>
      </c>
      <c r="E9595" t="s">
        <v>16</v>
      </c>
    </row>
    <row r="9596" spans="1:5" x14ac:dyDescent="0.25">
      <c r="A9596" t="str">
        <f>HYPERLINK("https://www.773grp.com/globalSearch/REG102GA-3.3/page-1", "REG102GA-3.3")</f>
        <v>REG102GA-3.3</v>
      </c>
      <c r="B9596" s="3" t="s">
        <v>90</v>
      </c>
      <c r="C9596" s="5">
        <v>10333</v>
      </c>
      <c r="D9596" s="6">
        <v>4.16</v>
      </c>
      <c r="E9596" t="s">
        <v>16</v>
      </c>
    </row>
    <row r="9597" spans="1:5" x14ac:dyDescent="0.25">
      <c r="A9597" t="str">
        <f>HYPERLINK("https://www.773grp.com/globalSearch/REG102GA-5/page-1", "REG102GA-5")</f>
        <v>REG102GA-5</v>
      </c>
      <c r="B9597" s="3" t="s">
        <v>90</v>
      </c>
      <c r="C9597" s="5">
        <v>1260</v>
      </c>
      <c r="D9597" s="6">
        <v>4.16</v>
      </c>
      <c r="E9597" t="s">
        <v>16</v>
      </c>
    </row>
    <row r="9598" spans="1:5" x14ac:dyDescent="0.25">
      <c r="A9598" t="str">
        <f>HYPERLINK("https://www.773grp.com/globalSearch/TPS51100DGQ/page-1", "TPS51100DGQ")</f>
        <v>TPS51100DGQ</v>
      </c>
      <c r="B9598" s="3" t="s">
        <v>90</v>
      </c>
      <c r="C9598" s="5">
        <v>9270</v>
      </c>
      <c r="D9598" s="6">
        <v>4.6399999999999997</v>
      </c>
      <c r="E9598" t="s">
        <v>16</v>
      </c>
    </row>
    <row r="9599" spans="1:5" x14ac:dyDescent="0.25">
      <c r="A9599" t="str">
        <f>HYPERLINK("https://www.773grp.com/globalSearch/TPS51100DGQG4/page-1", "TPS51100DGQG4")</f>
        <v>TPS51100DGQG4</v>
      </c>
      <c r="B9599" s="3" t="s">
        <v>90</v>
      </c>
      <c r="C9599" s="5">
        <v>162</v>
      </c>
      <c r="D9599" s="6">
        <v>4.6399999999999997</v>
      </c>
      <c r="E9599" t="s">
        <v>16</v>
      </c>
    </row>
    <row r="9600" spans="1:5" x14ac:dyDescent="0.25">
      <c r="A9600" t="str">
        <f>HYPERLINK("https://www.773grp.com/globalSearch/TPS77615D/page-1", "TPS77615D")</f>
        <v>TPS77615D</v>
      </c>
      <c r="B9600" s="3" t="s">
        <v>90</v>
      </c>
      <c r="C9600" s="5">
        <v>9</v>
      </c>
      <c r="D9600" s="6">
        <v>4.6399999999999997</v>
      </c>
      <c r="E9600" t="s">
        <v>16</v>
      </c>
    </row>
    <row r="9601" spans="1:5" x14ac:dyDescent="0.25">
      <c r="A9601" t="str">
        <f>HYPERLINK("https://www.773grp.com/globalSearch/TPS77615PWP/page-1", "TPS77615PWP")</f>
        <v>TPS77615PWP</v>
      </c>
      <c r="B9601" s="3" t="s">
        <v>90</v>
      </c>
      <c r="C9601" s="5">
        <v>14216</v>
      </c>
      <c r="D9601" s="6">
        <v>4.6399999999999997</v>
      </c>
      <c r="E9601" t="s">
        <v>16</v>
      </c>
    </row>
    <row r="9602" spans="1:5" x14ac:dyDescent="0.25">
      <c r="A9602" t="str">
        <f>HYPERLINK("https://www.773grp.com/globalSearch/TPS77618PWP/page-1", "TPS77618PWP")</f>
        <v>TPS77618PWP</v>
      </c>
      <c r="B9602" s="3" t="s">
        <v>90</v>
      </c>
      <c r="C9602" s="5">
        <v>15111</v>
      </c>
      <c r="D9602" s="6">
        <v>4.6399999999999997</v>
      </c>
      <c r="E9602" t="s">
        <v>16</v>
      </c>
    </row>
    <row r="9603" spans="1:5" x14ac:dyDescent="0.25">
      <c r="A9603" t="str">
        <f>HYPERLINK("https://www.773grp.com/globalSearch/TPS77625PWP/page-1", "TPS77625PWP")</f>
        <v>TPS77625PWP</v>
      </c>
      <c r="B9603" s="3" t="s">
        <v>90</v>
      </c>
      <c r="C9603" s="5">
        <v>386</v>
      </c>
      <c r="D9603" s="6">
        <v>4.6399999999999997</v>
      </c>
      <c r="E9603" t="s">
        <v>16</v>
      </c>
    </row>
    <row r="9604" spans="1:5" x14ac:dyDescent="0.25">
      <c r="A9604" t="str">
        <f>HYPERLINK("https://www.773grp.com/globalSearch/TPS77633D/page-1", "TPS77633D")</f>
        <v>TPS77633D</v>
      </c>
      <c r="B9604" s="3" t="s">
        <v>90</v>
      </c>
      <c r="C9604" s="5">
        <v>547</v>
      </c>
      <c r="D9604" s="6">
        <v>4.6399999999999997</v>
      </c>
      <c r="E9604" t="s">
        <v>16</v>
      </c>
    </row>
    <row r="9605" spans="1:5" x14ac:dyDescent="0.25">
      <c r="A9605" t="str">
        <f>HYPERLINK("https://www.773grp.com/globalSearch/TPS77633PWP/page-1", "TPS77633PWP")</f>
        <v>TPS77633PWP</v>
      </c>
      <c r="B9605" s="3" t="s">
        <v>90</v>
      </c>
      <c r="C9605" s="5">
        <v>2541</v>
      </c>
      <c r="D9605" s="6">
        <v>4.6399999999999997</v>
      </c>
      <c r="E9605" t="s">
        <v>16</v>
      </c>
    </row>
    <row r="9606" spans="1:5" x14ac:dyDescent="0.25">
      <c r="A9606" t="str">
        <f>HYPERLINK("https://www.773grp.com/globalSearch/REG102GA-2.5-2K5/page-1", "REG102GA-2.5-2K5")</f>
        <v>REG102GA-2.5-2K5</v>
      </c>
      <c r="B9606" s="3" t="s">
        <v>90</v>
      </c>
      <c r="C9606" s="5">
        <v>17500</v>
      </c>
      <c r="D9606" s="6">
        <v>4.2300000000000004</v>
      </c>
      <c r="E9606" t="s">
        <v>16</v>
      </c>
    </row>
    <row r="9607" spans="1:5" x14ac:dyDescent="0.25">
      <c r="A9607" t="str">
        <f>HYPERLINK("https://www.773grp.com/globalSearch/TL2217-285KC/page-1", "TL2217-285KC")</f>
        <v>TL2217-285KC</v>
      </c>
      <c r="B9607" s="3" t="s">
        <v>90</v>
      </c>
      <c r="C9607" s="5">
        <v>35</v>
      </c>
      <c r="D9607" s="6">
        <v>4.2300000000000004</v>
      </c>
      <c r="E9607" t="s">
        <v>16</v>
      </c>
    </row>
    <row r="9608" spans="1:5" x14ac:dyDescent="0.25">
      <c r="A9608" t="str">
        <f>HYPERLINK("https://www.773grp.com/globalSearch/TPS76718QPWPREP/page-1", "TPS76718QPWPREP")</f>
        <v>TPS76718QPWPREP</v>
      </c>
      <c r="B9608" s="3" t="s">
        <v>90</v>
      </c>
      <c r="C9608" s="5">
        <v>1646</v>
      </c>
      <c r="D9608" s="6">
        <v>4.2300000000000004</v>
      </c>
      <c r="E9608" t="s">
        <v>16</v>
      </c>
    </row>
    <row r="9609" spans="1:5" x14ac:dyDescent="0.25">
      <c r="A9609" t="str">
        <f>HYPERLINK("https://www.773grp.com/globalSearch/TPS76733QPWPREP/page-1", "TPS76733QPWPREP")</f>
        <v>TPS76733QPWPREP</v>
      </c>
      <c r="B9609" s="3" t="s">
        <v>90</v>
      </c>
      <c r="C9609" s="5">
        <v>1590</v>
      </c>
      <c r="D9609" s="6">
        <v>4.2300000000000004</v>
      </c>
      <c r="E9609" t="s">
        <v>16</v>
      </c>
    </row>
    <row r="9610" spans="1:5" x14ac:dyDescent="0.25">
      <c r="A9610" t="str">
        <f>HYPERLINK("https://www.773grp.com/globalSearch/TL750L12QD/page-1", "TL750L12QD")</f>
        <v>TL750L12QD</v>
      </c>
      <c r="B9610" s="3" t="s">
        <v>90</v>
      </c>
      <c r="C9610" s="5">
        <v>633</v>
      </c>
      <c r="D9610" s="6">
        <v>4.6900000000000004</v>
      </c>
      <c r="E9610" t="s">
        <v>16</v>
      </c>
    </row>
    <row r="9611" spans="1:5" x14ac:dyDescent="0.25">
      <c r="A9611" t="str">
        <f>HYPERLINK("https://www.773grp.com/globalSearch/TL751L05QDR/page-1", "TL751L05QDR")</f>
        <v>TL751L05QDR</v>
      </c>
      <c r="B9611" s="3" t="s">
        <v>90</v>
      </c>
      <c r="C9611" s="5">
        <v>10000</v>
      </c>
      <c r="D9611" s="6">
        <v>4.74</v>
      </c>
      <c r="E9611" t="s">
        <v>16</v>
      </c>
    </row>
    <row r="9612" spans="1:5" x14ac:dyDescent="0.25">
      <c r="A9612" t="str">
        <f>HYPERLINK("https://www.773grp.com/globalSearch/TL751L08CP/page-1", "TL751L08CP")</f>
        <v>TL751L08CP</v>
      </c>
      <c r="B9612" s="3" t="s">
        <v>90</v>
      </c>
      <c r="C9612" s="5">
        <v>800</v>
      </c>
      <c r="D9612" s="6">
        <v>4.74</v>
      </c>
      <c r="E9612" t="s">
        <v>16</v>
      </c>
    </row>
    <row r="9613" spans="1:5" x14ac:dyDescent="0.25">
      <c r="A9613" t="str">
        <f>HYPERLINK("https://www.773grp.com/globalSearch/TL751L08QD/page-1", "TL751L08QD")</f>
        <v>TL751L08QD</v>
      </c>
      <c r="B9613" s="3" t="s">
        <v>90</v>
      </c>
      <c r="C9613" s="5">
        <v>300</v>
      </c>
      <c r="D9613" s="6">
        <v>4.74</v>
      </c>
      <c r="E9613" t="s">
        <v>16</v>
      </c>
    </row>
    <row r="9614" spans="1:5" x14ac:dyDescent="0.25">
      <c r="A9614" t="str">
        <f>HYPERLINK("https://www.773grp.com/globalSearch/TL751L10QD/page-1", "TL751L10QD")</f>
        <v>TL751L10QD</v>
      </c>
      <c r="B9614" s="3" t="s">
        <v>90</v>
      </c>
      <c r="C9614" s="5">
        <v>1930</v>
      </c>
      <c r="D9614" s="6">
        <v>4.74</v>
      </c>
      <c r="E9614" t="s">
        <v>16</v>
      </c>
    </row>
    <row r="9615" spans="1:5" x14ac:dyDescent="0.25">
      <c r="A9615" t="str">
        <f>HYPERLINK("https://www.773grp.com/globalSearch/TL751L12CP/page-1", "TL751L12CP")</f>
        <v>TL751L12CP</v>
      </c>
      <c r="B9615" s="3" t="s">
        <v>90</v>
      </c>
      <c r="C9615" s="5">
        <v>2904</v>
      </c>
      <c r="D9615" s="6">
        <v>4.74</v>
      </c>
      <c r="E9615" t="s">
        <v>16</v>
      </c>
    </row>
    <row r="9616" spans="1:5" x14ac:dyDescent="0.25">
      <c r="A9616" t="str">
        <f>HYPERLINK("https://www.773grp.com/globalSearch/TL751L12QD/page-1", "TL751L12QD")</f>
        <v>TL751L12QD</v>
      </c>
      <c r="B9616" s="3" t="s">
        <v>90</v>
      </c>
      <c r="C9616" s="5">
        <v>1529</v>
      </c>
      <c r="D9616" s="6">
        <v>4.74</v>
      </c>
      <c r="E9616" t="s">
        <v>16</v>
      </c>
    </row>
    <row r="9617" spans="1:5" x14ac:dyDescent="0.25">
      <c r="A9617" t="str">
        <f>HYPERLINK("https://www.773grp.com/globalSearch/TLV2217-33KTPR/page-1", "TLV2217-33KTPR")</f>
        <v>TLV2217-33KTPR</v>
      </c>
      <c r="B9617" s="3" t="s">
        <v>90</v>
      </c>
      <c r="C9617" s="5">
        <v>3000</v>
      </c>
      <c r="D9617" s="6">
        <v>4.74</v>
      </c>
      <c r="E9617" t="s">
        <v>16</v>
      </c>
    </row>
    <row r="9618" spans="1:5" x14ac:dyDescent="0.25">
      <c r="A9618" t="str">
        <f>HYPERLINK("https://www.773grp.com/globalSearch/TPS73615DBVT/page-1", "TPS73615DBVT")</f>
        <v>TPS73615DBVT</v>
      </c>
      <c r="B9618" s="3" t="s">
        <v>90</v>
      </c>
      <c r="C9618" s="5">
        <v>6725</v>
      </c>
      <c r="D9618" s="6">
        <v>4.74</v>
      </c>
      <c r="E9618" t="s">
        <v>16</v>
      </c>
    </row>
    <row r="9619" spans="1:5" x14ac:dyDescent="0.25">
      <c r="A9619" t="str">
        <f>HYPERLINK("https://www.773grp.com/globalSearch/TPS73618DBVT/page-1", "TPS73618DBVT")</f>
        <v>TPS73618DBVT</v>
      </c>
      <c r="B9619" s="3" t="s">
        <v>90</v>
      </c>
      <c r="C9619" s="5">
        <v>4750</v>
      </c>
      <c r="D9619" s="6">
        <v>4.74</v>
      </c>
      <c r="E9619" t="s">
        <v>16</v>
      </c>
    </row>
    <row r="9620" spans="1:5" x14ac:dyDescent="0.25">
      <c r="A9620" t="str">
        <f>HYPERLINK("https://www.773grp.com/globalSearch/TPS73632DBVT/page-1", "TPS73632DBVT")</f>
        <v>TPS73632DBVT</v>
      </c>
      <c r="B9620" s="3" t="s">
        <v>90</v>
      </c>
      <c r="C9620" s="5">
        <v>250</v>
      </c>
      <c r="D9620" s="6">
        <v>4.74</v>
      </c>
      <c r="E9620" t="s">
        <v>16</v>
      </c>
    </row>
    <row r="9621" spans="1:5" x14ac:dyDescent="0.25">
      <c r="A9621" t="str">
        <f>HYPERLINK("https://www.773grp.com/globalSearch/TPS73633DBVT/page-1", "TPS73633DBVT")</f>
        <v>TPS73633DBVT</v>
      </c>
      <c r="B9621" s="3" t="s">
        <v>90</v>
      </c>
      <c r="C9621" s="5">
        <v>1250</v>
      </c>
      <c r="D9621" s="6">
        <v>4.74</v>
      </c>
      <c r="E9621" t="s">
        <v>16</v>
      </c>
    </row>
    <row r="9622" spans="1:5" x14ac:dyDescent="0.25">
      <c r="A9622" t="str">
        <f>HYPERLINK("https://www.773grp.com/globalSearch/TPS73643DBVT/page-1", "TPS73643DBVT")</f>
        <v>TPS73643DBVT</v>
      </c>
      <c r="B9622" s="3" t="s">
        <v>90</v>
      </c>
      <c r="C9622" s="5">
        <v>2750</v>
      </c>
      <c r="D9622" s="6">
        <v>4.74</v>
      </c>
      <c r="E9622" t="s">
        <v>16</v>
      </c>
    </row>
    <row r="9623" spans="1:5" x14ac:dyDescent="0.25">
      <c r="A9623" t="str">
        <f>HYPERLINK("https://www.773grp.com/globalSearch/TPS7415D/page-1", "TPS7415D")</f>
        <v>TPS7415D</v>
      </c>
      <c r="B9623" s="3" t="s">
        <v>90</v>
      </c>
      <c r="C9623" s="5">
        <v>4805</v>
      </c>
      <c r="D9623" s="6">
        <v>4.74</v>
      </c>
      <c r="E9623" t="s">
        <v>16</v>
      </c>
    </row>
    <row r="9624" spans="1:5" x14ac:dyDescent="0.25">
      <c r="A9624" t="str">
        <f>HYPERLINK("https://www.773grp.com/globalSearch/TPS7425D/page-1", "TPS7425D")</f>
        <v>TPS7425D</v>
      </c>
      <c r="B9624" s="3" t="s">
        <v>90</v>
      </c>
      <c r="C9624" s="5">
        <v>17885</v>
      </c>
      <c r="D9624" s="6">
        <v>4.74</v>
      </c>
      <c r="E9624" t="s">
        <v>16</v>
      </c>
    </row>
    <row r="9625" spans="1:5" x14ac:dyDescent="0.25">
      <c r="A9625" t="str">
        <f>HYPERLINK("https://www.773grp.com/globalSearch/TPS7433D/page-1", "TPS7433D")</f>
        <v>TPS7433D</v>
      </c>
      <c r="B9625" s="3" t="s">
        <v>90</v>
      </c>
      <c r="C9625" s="5">
        <v>2892</v>
      </c>
      <c r="D9625" s="6">
        <v>4.74</v>
      </c>
      <c r="E9625" t="s">
        <v>16</v>
      </c>
    </row>
    <row r="9626" spans="1:5" x14ac:dyDescent="0.25">
      <c r="A9626" t="str">
        <f>HYPERLINK("https://www.773grp.com/globalSearch/TPS76827QPWP/page-1", "TPS76827QPWP")</f>
        <v>TPS76827QPWP</v>
      </c>
      <c r="B9626" s="3" t="s">
        <v>90</v>
      </c>
      <c r="C9626" s="5">
        <v>5102</v>
      </c>
      <c r="D9626" s="6">
        <v>4.74</v>
      </c>
      <c r="E9626" t="s">
        <v>16</v>
      </c>
    </row>
    <row r="9627" spans="1:5" x14ac:dyDescent="0.25">
      <c r="A9627" t="str">
        <f>HYPERLINK("https://www.773grp.com/globalSearch/TPS76828QPWP/page-1", "TPS76828QPWP")</f>
        <v>TPS76828QPWP</v>
      </c>
      <c r="B9627" s="3" t="s">
        <v>90</v>
      </c>
      <c r="C9627" s="5">
        <v>1749</v>
      </c>
      <c r="D9627" s="6">
        <v>4.74</v>
      </c>
      <c r="E9627" t="s">
        <v>16</v>
      </c>
    </row>
    <row r="9628" spans="1:5" x14ac:dyDescent="0.25">
      <c r="A9628" t="str">
        <f>HYPERLINK("https://www.773grp.com/globalSearch/TPS77115DGK/page-1", "TPS77115DGK")</f>
        <v>TPS77115DGK</v>
      </c>
      <c r="B9628" s="3" t="s">
        <v>90</v>
      </c>
      <c r="C9628" s="5">
        <v>16229</v>
      </c>
      <c r="D9628" s="6">
        <v>4.74</v>
      </c>
      <c r="E9628" t="s">
        <v>16</v>
      </c>
    </row>
    <row r="9629" spans="1:5" x14ac:dyDescent="0.25">
      <c r="A9629" t="str">
        <f>HYPERLINK("https://www.773grp.com/globalSearch/TPS77118DGK/page-1", "TPS77118DGK")</f>
        <v>TPS77118DGK</v>
      </c>
      <c r="B9629" s="3" t="s">
        <v>90</v>
      </c>
      <c r="C9629" s="5">
        <v>6189</v>
      </c>
      <c r="D9629" s="6">
        <v>4.74</v>
      </c>
      <c r="E9629" t="s">
        <v>16</v>
      </c>
    </row>
    <row r="9630" spans="1:5" x14ac:dyDescent="0.25">
      <c r="A9630" t="str">
        <f>HYPERLINK("https://www.773grp.com/globalSearch/TPS77128DGK/page-1", "TPS77128DGK")</f>
        <v>TPS77128DGK</v>
      </c>
      <c r="B9630" s="3" t="s">
        <v>90</v>
      </c>
      <c r="C9630" s="5">
        <v>17048</v>
      </c>
      <c r="D9630" s="6">
        <v>4.74</v>
      </c>
      <c r="E9630" t="s">
        <v>16</v>
      </c>
    </row>
    <row r="9631" spans="1:5" x14ac:dyDescent="0.25">
      <c r="A9631" t="str">
        <f>HYPERLINK("https://www.773grp.com/globalSearch/TPS77128DGKR/page-1", "TPS77128DGKR")</f>
        <v>TPS77128DGKR</v>
      </c>
      <c r="B9631" s="3" t="s">
        <v>90</v>
      </c>
      <c r="C9631" s="5">
        <v>37500</v>
      </c>
      <c r="D9631" s="6">
        <v>4.74</v>
      </c>
      <c r="E9631" t="s">
        <v>16</v>
      </c>
    </row>
    <row r="9632" spans="1:5" x14ac:dyDescent="0.25">
      <c r="A9632" t="str">
        <f>HYPERLINK("https://www.773grp.com/globalSearch/TPS77150DGK/page-1", "TPS77150DGK")</f>
        <v>TPS77150DGK</v>
      </c>
      <c r="B9632" s="3" t="s">
        <v>90</v>
      </c>
      <c r="C9632" s="5">
        <v>5030</v>
      </c>
      <c r="D9632" s="6">
        <v>4.74</v>
      </c>
      <c r="E9632" t="s">
        <v>16</v>
      </c>
    </row>
    <row r="9633" spans="1:5" x14ac:dyDescent="0.25">
      <c r="A9633" t="str">
        <f>HYPERLINK("https://www.773grp.com/globalSearch/REG1117FA-1.8KTTT/page-1", "REG1117FA-1.8KTTT")</f>
        <v>REG1117FA-1.8KTTT</v>
      </c>
      <c r="B9633" s="3" t="s">
        <v>90</v>
      </c>
      <c r="C9633" s="5">
        <v>11722</v>
      </c>
      <c r="D9633" s="6">
        <v>4.3</v>
      </c>
      <c r="E9633" t="s">
        <v>16</v>
      </c>
    </row>
    <row r="9634" spans="1:5" x14ac:dyDescent="0.25">
      <c r="A9634" t="str">
        <f>HYPERLINK("https://www.773grp.com/globalSearch/REG1117FA-1.8KTTT/page-1", "REG1117FA-1.8KTTT")</f>
        <v>REG1117FA-1.8KTTT</v>
      </c>
      <c r="B9634" s="3" t="s">
        <v>90</v>
      </c>
      <c r="C9634" s="5">
        <v>620</v>
      </c>
      <c r="D9634" s="6">
        <v>4.3</v>
      </c>
      <c r="E9634" t="s">
        <v>16</v>
      </c>
    </row>
    <row r="9635" spans="1:5" x14ac:dyDescent="0.25">
      <c r="A9635" t="str">
        <f>HYPERLINK("https://www.773grp.com/globalSearch/REG1117FA-2.5-500/page-1", "REG1117FA-2.5-500")</f>
        <v>REG1117FA-2.5-500</v>
      </c>
      <c r="B9635" s="3" t="s">
        <v>90</v>
      </c>
      <c r="C9635" s="5">
        <v>47185</v>
      </c>
      <c r="D9635" s="6">
        <v>4.3</v>
      </c>
      <c r="E9635" t="s">
        <v>16</v>
      </c>
    </row>
    <row r="9636" spans="1:5" x14ac:dyDescent="0.25">
      <c r="A9636" t="str">
        <f>HYPERLINK("https://www.773grp.com/globalSearch/REG1117FA-5.0-500/page-1", "REG1117FA-5.0-500")</f>
        <v>REG1117FA-5.0-500</v>
      </c>
      <c r="B9636" s="3" t="s">
        <v>90</v>
      </c>
      <c r="C9636" s="5">
        <v>10500</v>
      </c>
      <c r="D9636" s="6">
        <v>4.3</v>
      </c>
      <c r="E9636" t="s">
        <v>16</v>
      </c>
    </row>
    <row r="9637" spans="1:5" x14ac:dyDescent="0.25">
      <c r="A9637" t="str">
        <f>HYPERLINK("https://www.773grp.com/globalSearch/TL750L10QLP/page-1", "TL750L10QLP")</f>
        <v>TL750L10QLP</v>
      </c>
      <c r="B9637" s="3" t="s">
        <v>90</v>
      </c>
      <c r="C9637" s="5">
        <v>464</v>
      </c>
      <c r="D9637" s="6">
        <v>4.79</v>
      </c>
      <c r="E9637" t="s">
        <v>16</v>
      </c>
    </row>
    <row r="9638" spans="1:5" x14ac:dyDescent="0.25">
      <c r="A9638" t="str">
        <f>HYPERLINK("https://www.773grp.com/globalSearch/TPS71025D/page-1", "TPS71025D")</f>
        <v>TPS71025D</v>
      </c>
      <c r="B9638" s="3" t="s">
        <v>90</v>
      </c>
      <c r="C9638" s="5">
        <v>4223</v>
      </c>
      <c r="D9638" s="6">
        <v>4.3899999999999997</v>
      </c>
      <c r="E9638" t="s">
        <v>16</v>
      </c>
    </row>
    <row r="9639" spans="1:5" x14ac:dyDescent="0.25">
      <c r="A9639" t="str">
        <f>HYPERLINK("https://www.773grp.com/globalSearch/REG101NA-2.5-3K/page-1", "REG101NA-2.5-3K")</f>
        <v>REG101NA-2.5-3K</v>
      </c>
      <c r="B9639" s="3" t="s">
        <v>90</v>
      </c>
      <c r="C9639" s="5">
        <v>3000</v>
      </c>
      <c r="D9639" s="6">
        <v>4.8600000000000003</v>
      </c>
      <c r="E9639" t="s">
        <v>16</v>
      </c>
    </row>
    <row r="9640" spans="1:5" x14ac:dyDescent="0.25">
      <c r="A9640" t="str">
        <f>HYPERLINK("https://www.773grp.com/globalSearch/REG101NA-2.85-3K/page-1", "REG101NA-2.85-3K")</f>
        <v>REG101NA-2.85-3K</v>
      </c>
      <c r="B9640" s="3" t="s">
        <v>90</v>
      </c>
      <c r="C9640" s="5">
        <v>3000</v>
      </c>
      <c r="D9640" s="6">
        <v>4.8600000000000003</v>
      </c>
      <c r="E9640" t="s">
        <v>16</v>
      </c>
    </row>
    <row r="9641" spans="1:5" x14ac:dyDescent="0.25">
      <c r="A9641" t="str">
        <f>HYPERLINK("https://www.773grp.com/globalSearch/REG101NA-3.3-3K/page-1", "REG101NA-3.3-3K")</f>
        <v>REG101NA-3.3-3K</v>
      </c>
      <c r="B9641" s="3" t="s">
        <v>90</v>
      </c>
      <c r="C9641" s="5">
        <v>4172</v>
      </c>
      <c r="D9641" s="6">
        <v>4.8600000000000003</v>
      </c>
      <c r="E9641" t="s">
        <v>16</v>
      </c>
    </row>
    <row r="9642" spans="1:5" x14ac:dyDescent="0.25">
      <c r="A9642" t="str">
        <f>HYPERLINK("https://www.773grp.com/globalSearch/REG1117-2.85/page-1", "REG1117-2.85")</f>
        <v>REG1117-2.85</v>
      </c>
      <c r="B9642" s="3" t="s">
        <v>90</v>
      </c>
      <c r="C9642" s="5">
        <v>27910</v>
      </c>
      <c r="D9642" s="6">
        <v>4.8600000000000003</v>
      </c>
      <c r="E9642" t="s">
        <v>16</v>
      </c>
    </row>
    <row r="9643" spans="1:5" x14ac:dyDescent="0.25">
      <c r="A9643" t="str">
        <f>HYPERLINK("https://www.773grp.com/globalSearch/REG1117-3.3/page-1", "REG1117-3.3")</f>
        <v>REG1117-3.3</v>
      </c>
      <c r="B9643" s="3" t="s">
        <v>90</v>
      </c>
      <c r="C9643" s="5">
        <v>443</v>
      </c>
      <c r="D9643" s="6">
        <v>4.8600000000000003</v>
      </c>
      <c r="E9643" t="s">
        <v>16</v>
      </c>
    </row>
    <row r="9644" spans="1:5" x14ac:dyDescent="0.25">
      <c r="A9644" t="str">
        <f>HYPERLINK("https://www.773grp.com/globalSearch/TL750L08QD/page-1", "TL750L08QD")</f>
        <v>TL750L08QD</v>
      </c>
      <c r="B9644" s="3" t="str">
        <f>HYPERLINK("https://www.773grp.com/manufacturer/texas-instruments?pageNo=192", "Texas Instruments")</f>
        <v>Texas Instruments</v>
      </c>
      <c r="C9644" s="5">
        <v>1082</v>
      </c>
      <c r="D9644" s="6">
        <v>4.91</v>
      </c>
      <c r="E9644" t="s">
        <v>16</v>
      </c>
    </row>
    <row r="9645" spans="1:5" x14ac:dyDescent="0.25">
      <c r="A9645" t="str">
        <f>HYPERLINK("https://www.773grp.com/globalSearch/TL750L10QD/page-1", "TL750L10QD")</f>
        <v>TL750L10QD</v>
      </c>
      <c r="B9645" s="3" t="str">
        <f>HYPERLINK("https://www.773grp.com/manufacturer/texas-instruments?pageNo=193", "Texas Instruments")</f>
        <v>Texas Instruments</v>
      </c>
      <c r="C9645" s="5">
        <v>595</v>
      </c>
      <c r="D9645" s="6">
        <v>4.91</v>
      </c>
      <c r="E9645" t="s">
        <v>16</v>
      </c>
    </row>
    <row r="9646" spans="1:5" x14ac:dyDescent="0.25">
      <c r="A9646" t="str">
        <f>HYPERLINK("https://www.773grp.com/globalSearch/TL750L10QDR/page-1", "TL750L10QDR")</f>
        <v>TL750L10QDR</v>
      </c>
      <c r="B9646" s="3" t="str">
        <f>HYPERLINK("https://www.773grp.com/manufacturer/texas-instruments?pageNo=194", "Texas Instruments")</f>
        <v>Texas Instruments</v>
      </c>
      <c r="C9646" s="5">
        <v>5000</v>
      </c>
      <c r="D9646" s="6">
        <v>4.91</v>
      </c>
      <c r="E9646" t="s">
        <v>16</v>
      </c>
    </row>
    <row r="9647" spans="1:5" x14ac:dyDescent="0.25">
      <c r="A9647" t="str">
        <f>HYPERLINK("https://www.773grp.com/globalSearch/TL750M05QKTTRQ1/page-1", "TL750M05QKTTRQ1")</f>
        <v>TL750M05QKTTRQ1</v>
      </c>
      <c r="B9647" s="3" t="str">
        <f>HYPERLINK("https://www.773grp.com/manufacturer/texas-instruments?pageNo=195", "Texas Instruments")</f>
        <v>Texas Instruments</v>
      </c>
      <c r="C9647" s="5">
        <v>3000</v>
      </c>
      <c r="D9647" s="6">
        <v>4.91</v>
      </c>
      <c r="E9647" t="s">
        <v>16</v>
      </c>
    </row>
    <row r="9648" spans="1:5" x14ac:dyDescent="0.25">
      <c r="A9648" t="str">
        <f>HYPERLINK("https://www.773grp.com/globalSearch/UCC387PW/page-1", "UCC387PW")</f>
        <v>UCC387PW</v>
      </c>
      <c r="B9648" s="3" t="str">
        <f>HYPERLINK("https://www.773grp.com/manufacturer/texas-instruments?pageNo=244", "Texas Instruments")</f>
        <v>Texas Instruments</v>
      </c>
      <c r="C9648" s="5">
        <v>3049</v>
      </c>
      <c r="D9648" s="6">
        <v>4.4400000000000004</v>
      </c>
      <c r="E9648" t="s">
        <v>16</v>
      </c>
    </row>
    <row r="9649" spans="1:5" x14ac:dyDescent="0.25">
      <c r="A9649" t="str">
        <f>HYPERLINK("https://www.773grp.com/globalSearch/REG1117F-3.3KTTT/page-1", "REG1117F-3.3KTTT")</f>
        <v>REG1117F-3.3KTTT</v>
      </c>
      <c r="B9649" s="3" t="str">
        <f>HYPERLINK("https://www.773grp.com/manufacturer/texas-instruments?pageNo=330", "Texas Instruments")</f>
        <v>Texas Instruments</v>
      </c>
      <c r="C9649" s="5">
        <v>24600</v>
      </c>
      <c r="D9649" s="6">
        <v>4.5</v>
      </c>
      <c r="E9649" t="s">
        <v>16</v>
      </c>
    </row>
    <row r="9650" spans="1:5" x14ac:dyDescent="0.25">
      <c r="A9650" t="str">
        <f>HYPERLINK("https://www.773grp.com/globalSearch/TL750L08QLP/page-1", "TL750L08QLP")</f>
        <v>TL750L08QLP</v>
      </c>
      <c r="B9650" s="3" t="str">
        <f>HYPERLINK("https://www.773grp.com/manufacturer/texas-instruments?pageNo=371", "Texas Instruments")</f>
        <v>Texas Instruments</v>
      </c>
      <c r="C9650" s="5">
        <v>6</v>
      </c>
      <c r="D9650" s="6">
        <v>4.5</v>
      </c>
      <c r="E9650" t="s">
        <v>16</v>
      </c>
    </row>
    <row r="9651" spans="1:5" x14ac:dyDescent="0.25">
      <c r="A9651" t="str">
        <f>HYPERLINK("https://www.773grp.com/globalSearch/TPS78628KTTR/page-1", "TPS78628KTTR")</f>
        <v>TPS78628KTTR</v>
      </c>
      <c r="B9651" s="3" t="str">
        <f>HYPERLINK("https://www.773grp.com/manufacturer/texas-instruments?pageNo=410", "Texas Instruments")</f>
        <v>Texas Instruments</v>
      </c>
      <c r="C9651" s="5">
        <v>7000</v>
      </c>
      <c r="D9651" s="6">
        <v>4.5</v>
      </c>
      <c r="E9651" t="s">
        <v>16</v>
      </c>
    </row>
    <row r="9652" spans="1:5" x14ac:dyDescent="0.25">
      <c r="A9652" t="str">
        <f>HYPERLINK("https://www.773grp.com/globalSearch/REG101UA-3-2K5/page-1", "REG101UA-3-2K5")</f>
        <v>REG101UA-3-2K5</v>
      </c>
      <c r="B9652" s="3" t="str">
        <f>HYPERLINK("https://www.773grp.com/manufacturer/texas-instruments?pageNo=557", "Texas Instruments")</f>
        <v>Texas Instruments</v>
      </c>
      <c r="C9652" s="5">
        <v>10000</v>
      </c>
      <c r="D9652" s="6">
        <v>5.01</v>
      </c>
      <c r="E9652" t="s">
        <v>16</v>
      </c>
    </row>
    <row r="9653" spans="1:5" x14ac:dyDescent="0.25">
      <c r="A9653" t="str">
        <f>HYPERLINK("https://www.773grp.com/globalSearch/TPS736125DRBT/page-1", "TPS736125DRBT")</f>
        <v>TPS736125DRBT</v>
      </c>
      <c r="B9653" s="3" t="str">
        <f>HYPERLINK("https://www.773grp.com/manufacturer/texas-instruments?pageNo=722", "Texas Instruments")</f>
        <v>Texas Instruments</v>
      </c>
      <c r="C9653" s="5">
        <v>5750</v>
      </c>
      <c r="D9653" s="6">
        <v>5.01</v>
      </c>
      <c r="E9653" t="s">
        <v>16</v>
      </c>
    </row>
    <row r="9654" spans="1:5" x14ac:dyDescent="0.25">
      <c r="A9654" t="str">
        <f>HYPERLINK("https://www.773grp.com/globalSearch/TPS73615DRBT/page-1", "TPS73615DRBT")</f>
        <v>TPS73615DRBT</v>
      </c>
      <c r="B9654" s="3" t="str">
        <f>HYPERLINK("https://www.773grp.com/manufacturer/texas-instruments?pageNo=723", "Texas Instruments")</f>
        <v>Texas Instruments</v>
      </c>
      <c r="C9654" s="5">
        <v>15484</v>
      </c>
      <c r="D9654" s="6">
        <v>5.01</v>
      </c>
      <c r="E9654" t="s">
        <v>16</v>
      </c>
    </row>
    <row r="9655" spans="1:5" x14ac:dyDescent="0.25">
      <c r="A9655" t="str">
        <f>HYPERLINK("https://www.773grp.com/globalSearch/TPS73633DRBT/page-1", "TPS73633DRBT")</f>
        <v>TPS73633DRBT</v>
      </c>
      <c r="B9655" s="3" t="str">
        <f>HYPERLINK("https://www.773grp.com/manufacturer/texas-instruments?pageNo=725", "Texas Instruments")</f>
        <v>Texas Instruments</v>
      </c>
      <c r="C9655" s="5">
        <v>500</v>
      </c>
      <c r="D9655" s="6">
        <v>5.01</v>
      </c>
      <c r="E9655" t="s">
        <v>16</v>
      </c>
    </row>
    <row r="9656" spans="1:5" x14ac:dyDescent="0.25">
      <c r="A9656" t="str">
        <f>HYPERLINK("https://www.773grp.com/globalSearch/TPS76815QDR/page-1", "TPS76815QDR")</f>
        <v>TPS76815QDR</v>
      </c>
      <c r="B9656" s="3" t="str">
        <f>HYPERLINK("https://www.773grp.com/manufacturer/texas-instruments?pageNo=727", "Texas Instruments")</f>
        <v>Texas Instruments</v>
      </c>
      <c r="C9656" s="5">
        <v>2500</v>
      </c>
      <c r="D9656" s="6">
        <v>5.01</v>
      </c>
      <c r="E9656" t="s">
        <v>16</v>
      </c>
    </row>
    <row r="9657" spans="1:5" x14ac:dyDescent="0.25">
      <c r="A9657" t="str">
        <f>HYPERLINK("https://www.773grp.com/globalSearch/TPS76815QPWPR/page-1", "TPS76815QPWPR")</f>
        <v>TPS76815QPWPR</v>
      </c>
      <c r="B9657" s="3" t="str">
        <f>HYPERLINK("https://www.773grp.com/manufacturer/texas-instruments?pageNo=728", "Texas Instruments")</f>
        <v>Texas Instruments</v>
      </c>
      <c r="C9657" s="5">
        <v>6000</v>
      </c>
      <c r="D9657" s="6">
        <v>5.01</v>
      </c>
      <c r="E9657" t="s">
        <v>16</v>
      </c>
    </row>
    <row r="9658" spans="1:5" x14ac:dyDescent="0.25">
      <c r="A9658" t="str">
        <f>HYPERLINK("https://www.773grp.com/globalSearch/TPS76818QDR/page-1", "TPS76818QDR")</f>
        <v>TPS76818QDR</v>
      </c>
      <c r="B9658" s="3" t="str">
        <f>HYPERLINK("https://www.773grp.com/manufacturer/texas-instruments?pageNo=729", "Texas Instruments")</f>
        <v>Texas Instruments</v>
      </c>
      <c r="C9658" s="5">
        <v>7500</v>
      </c>
      <c r="D9658" s="6">
        <v>5.01</v>
      </c>
      <c r="E9658" t="s">
        <v>16</v>
      </c>
    </row>
    <row r="9659" spans="1:5" x14ac:dyDescent="0.25">
      <c r="A9659" t="str">
        <f>HYPERLINK("https://www.773grp.com/globalSearch/TPS76818QPWPR/page-1", "TPS76818QPWPR")</f>
        <v>TPS76818QPWPR</v>
      </c>
      <c r="B9659" s="3" t="str">
        <f>HYPERLINK("https://www.773grp.com/manufacturer/texas-instruments?pageNo=730", "Texas Instruments")</f>
        <v>Texas Instruments</v>
      </c>
      <c r="C9659" s="5">
        <v>1950</v>
      </c>
      <c r="D9659" s="6">
        <v>5.01</v>
      </c>
      <c r="E9659" t="s">
        <v>16</v>
      </c>
    </row>
    <row r="9660" spans="1:5" x14ac:dyDescent="0.25">
      <c r="A9660" t="str">
        <f>HYPERLINK("https://www.773grp.com/globalSearch/TPS76825QDR/page-1", "TPS76825QDR")</f>
        <v>TPS76825QDR</v>
      </c>
      <c r="B9660" s="3" t="str">
        <f>HYPERLINK("https://www.773grp.com/manufacturer/texas-instruments?pageNo=731", "Texas Instruments")</f>
        <v>Texas Instruments</v>
      </c>
      <c r="C9660" s="5">
        <v>2500</v>
      </c>
      <c r="D9660" s="6">
        <v>5.01</v>
      </c>
      <c r="E9660" t="s">
        <v>16</v>
      </c>
    </row>
    <row r="9661" spans="1:5" x14ac:dyDescent="0.25">
      <c r="A9661" t="str">
        <f>HYPERLINK("https://www.773grp.com/globalSearch/TPS76825QPWPR/page-1", "TPS76825QPWPR")</f>
        <v>TPS76825QPWPR</v>
      </c>
      <c r="B9661" s="3" t="str">
        <f>HYPERLINK("https://www.773grp.com/manufacturer/texas-instruments?pageNo=732", "Texas Instruments")</f>
        <v>Texas Instruments</v>
      </c>
      <c r="C9661" s="5">
        <v>2000</v>
      </c>
      <c r="D9661" s="6">
        <v>5.01</v>
      </c>
      <c r="E9661" t="s">
        <v>16</v>
      </c>
    </row>
    <row r="9662" spans="1:5" x14ac:dyDescent="0.25">
      <c r="A9662" t="str">
        <f>HYPERLINK("https://www.773grp.com/globalSearch/TPS76827QD/page-1", "TPS76827QD")</f>
        <v>TPS76827QD</v>
      </c>
      <c r="B9662" s="3" t="str">
        <f>HYPERLINK("https://www.773grp.com/manufacturer/texas-instruments?pageNo=733", "Texas Instruments")</f>
        <v>Texas Instruments</v>
      </c>
      <c r="C9662" s="5">
        <v>6735</v>
      </c>
      <c r="D9662" s="6">
        <v>5.01</v>
      </c>
      <c r="E9662" t="s">
        <v>16</v>
      </c>
    </row>
    <row r="9663" spans="1:5" x14ac:dyDescent="0.25">
      <c r="A9663" t="str">
        <f>HYPERLINK("https://www.773grp.com/globalSearch/TPS76828QD/page-1", "TPS76828QD")</f>
        <v>TPS76828QD</v>
      </c>
      <c r="B9663" s="3" t="str">
        <f>HYPERLINK("https://www.773grp.com/manufacturer/texas-instruments?pageNo=734", "Texas Instruments")</f>
        <v>Texas Instruments</v>
      </c>
      <c r="C9663" s="5">
        <v>7296</v>
      </c>
      <c r="D9663" s="6">
        <v>5.01</v>
      </c>
      <c r="E9663" t="s">
        <v>16</v>
      </c>
    </row>
    <row r="9664" spans="1:5" x14ac:dyDescent="0.25">
      <c r="A9664" t="str">
        <f>HYPERLINK("https://www.773grp.com/globalSearch/TPS76830QD/page-1", "TPS76830QD")</f>
        <v>TPS76830QD</v>
      </c>
      <c r="B9664" s="3" t="str">
        <f>HYPERLINK("https://www.773grp.com/manufacturer/texas-instruments?pageNo=735", "Texas Instruments")</f>
        <v>Texas Instruments</v>
      </c>
      <c r="C9664" s="5">
        <v>6570</v>
      </c>
      <c r="D9664" s="6">
        <v>5.01</v>
      </c>
      <c r="E9664" t="s">
        <v>16</v>
      </c>
    </row>
    <row r="9665" spans="1:5" x14ac:dyDescent="0.25">
      <c r="A9665" t="str">
        <f>HYPERLINK("https://www.773grp.com/globalSearch/TPS76830QPWP/page-1", "TPS76830QPWP")</f>
        <v>TPS76830QPWP</v>
      </c>
      <c r="B9665" s="3" t="str">
        <f>HYPERLINK("https://www.773grp.com/manufacturer/texas-instruments?pageNo=736", "Texas Instruments")</f>
        <v>Texas Instruments</v>
      </c>
      <c r="C9665" s="5">
        <v>6089</v>
      </c>
      <c r="D9665" s="6">
        <v>5.01</v>
      </c>
      <c r="E9665" t="s">
        <v>16</v>
      </c>
    </row>
    <row r="9666" spans="1:5" x14ac:dyDescent="0.25">
      <c r="A9666" t="str">
        <f>HYPERLINK("https://www.773grp.com/globalSearch/TPS76833QPWPR/page-1", "TPS76833QPWPR")</f>
        <v>TPS76833QPWPR</v>
      </c>
      <c r="B9666" s="3" t="str">
        <f>HYPERLINK("https://www.773grp.com/manufacturer/texas-instruments?pageNo=737", "Texas Instruments")</f>
        <v>Texas Instruments</v>
      </c>
      <c r="C9666" s="5">
        <v>2000</v>
      </c>
      <c r="D9666" s="6">
        <v>5.01</v>
      </c>
      <c r="E9666" t="s">
        <v>16</v>
      </c>
    </row>
    <row r="9667" spans="1:5" x14ac:dyDescent="0.25">
      <c r="A9667" t="str">
        <f>HYPERLINK("https://www.773grp.com/globalSearch/TPS76850QPWPR/page-1", "TPS76850QPWPR")</f>
        <v>TPS76850QPWPR</v>
      </c>
      <c r="B9667" s="3" t="str">
        <f>HYPERLINK("https://www.773grp.com/manufacturer/texas-instruments?pageNo=739", "Texas Instruments")</f>
        <v>Texas Instruments</v>
      </c>
      <c r="C9667" s="5">
        <v>26000</v>
      </c>
      <c r="D9667" s="6">
        <v>5.01</v>
      </c>
      <c r="E9667" t="s">
        <v>16</v>
      </c>
    </row>
    <row r="9668" spans="1:5" x14ac:dyDescent="0.25">
      <c r="A9668" t="str">
        <f>HYPERLINK("https://www.773grp.com/globalSearch/TPS77525PWPR/page-1", "TPS77525PWPR")</f>
        <v>TPS77525PWPR</v>
      </c>
      <c r="B9668" s="3" t="str">
        <f>HYPERLINK("https://www.773grp.com/manufacturer/texas-instruments?pageNo=740", "Texas Instruments")</f>
        <v>Texas Instruments</v>
      </c>
      <c r="C9668" s="5">
        <v>2000</v>
      </c>
      <c r="D9668" s="6">
        <v>5.01</v>
      </c>
      <c r="E9668" t="s">
        <v>16</v>
      </c>
    </row>
    <row r="9669" spans="1:5" x14ac:dyDescent="0.25">
      <c r="A9669" t="str">
        <f>HYPERLINK("https://www.773grp.com/globalSearch/TPS77625QPWPREP/page-1", "TPS77625QPWPREP")</f>
        <v>TPS77625QPWPREP</v>
      </c>
      <c r="B9669" s="3" t="str">
        <f>HYPERLINK("https://www.773grp.com/manufacturer/texas-instruments?pageNo=742", "Texas Instruments")</f>
        <v>Texas Instruments</v>
      </c>
      <c r="C9669" s="5">
        <v>1963</v>
      </c>
      <c r="D9669" s="6">
        <v>5.01</v>
      </c>
      <c r="E9669" t="s">
        <v>16</v>
      </c>
    </row>
    <row r="9670" spans="1:5" x14ac:dyDescent="0.25">
      <c r="A9670" t="str">
        <f>HYPERLINK("https://www.773grp.com/globalSearch/TPS7133QD/page-1", "TPS7133QD")</f>
        <v>TPS7133QD</v>
      </c>
      <c r="B9670" s="3" t="str">
        <f>HYPERLINK("https://www.773grp.com/manufacturer/texas-instruments?pageNo=859", "Texas Instruments")</f>
        <v>Texas Instruments</v>
      </c>
      <c r="C9670" s="5">
        <v>4097</v>
      </c>
      <c r="D9670" s="6">
        <v>4.59</v>
      </c>
      <c r="E9670" t="s">
        <v>16</v>
      </c>
    </row>
    <row r="9671" spans="1:5" x14ac:dyDescent="0.25">
      <c r="A9671" t="str">
        <f>HYPERLINK("https://www.773grp.com/globalSearch/TPS7133QDG4/page-1", "TPS7133QDG4")</f>
        <v>TPS7133QDG4</v>
      </c>
      <c r="B9671" s="3" t="str">
        <f>HYPERLINK("https://www.773grp.com/manufacturer/texas-instruments?pageNo=860", "Texas Instruments")</f>
        <v>Texas Instruments</v>
      </c>
      <c r="C9671" s="5">
        <v>385</v>
      </c>
      <c r="D9671" s="6">
        <v>4.59</v>
      </c>
      <c r="E9671" t="s">
        <v>16</v>
      </c>
    </row>
    <row r="9672" spans="1:5" x14ac:dyDescent="0.25">
      <c r="A9672" t="str">
        <f>HYPERLINK("https://www.773grp.com/globalSearch/TPS7133QPW/page-1", "TPS7133QPW")</f>
        <v>TPS7133QPW</v>
      </c>
      <c r="B9672" s="3" t="str">
        <f>HYPERLINK("https://www.773grp.com/manufacturer/texas-instruments?pageNo=861", "Texas Instruments")</f>
        <v>Texas Instruments</v>
      </c>
      <c r="C9672" s="5">
        <v>13090</v>
      </c>
      <c r="D9672" s="6">
        <v>4.59</v>
      </c>
      <c r="E9672" t="s">
        <v>16</v>
      </c>
    </row>
    <row r="9673" spans="1:5" x14ac:dyDescent="0.25">
      <c r="A9673" t="str">
        <f>HYPERLINK("https://www.773grp.com/globalSearch/TPS7148QD/page-1", "TPS7148QD")</f>
        <v>TPS7148QD</v>
      </c>
      <c r="B9673" s="3" t="str">
        <f>HYPERLINK("https://www.773grp.com/manufacturer/texas-instruments?pageNo=862", "Texas Instruments")</f>
        <v>Texas Instruments</v>
      </c>
      <c r="C9673" s="5">
        <v>24790</v>
      </c>
      <c r="D9673" s="6">
        <v>4.59</v>
      </c>
      <c r="E9673" t="s">
        <v>16</v>
      </c>
    </row>
    <row r="9674" spans="1:5" x14ac:dyDescent="0.25">
      <c r="A9674" t="str">
        <f>HYPERLINK("https://www.773grp.com/globalSearch/TL750L05QKC/page-1", "TL750L05QKC")</f>
        <v>TL750L05QKC</v>
      </c>
      <c r="B9674" s="3" t="str">
        <f>HYPERLINK("https://www.773grp.com/manufacturer/texas-instruments?pageNo=984", "Texas Instruments")</f>
        <v>Texas Instruments</v>
      </c>
      <c r="C9674" s="5">
        <v>5835</v>
      </c>
      <c r="D9674" s="6">
        <v>5.1100000000000003</v>
      </c>
      <c r="E9674" t="s">
        <v>16</v>
      </c>
    </row>
    <row r="9675" spans="1:5" x14ac:dyDescent="0.25">
      <c r="A9675" t="str">
        <f>HYPERLINK("https://www.773grp.com/globalSearch/TPS78618DCQ/page-1", "TPS78618DCQ")</f>
        <v>TPS78618DCQ</v>
      </c>
      <c r="B9675" s="3" t="s">
        <v>90</v>
      </c>
      <c r="C9675" s="5">
        <v>8802</v>
      </c>
      <c r="D9675" s="6">
        <v>4.6399999999999997</v>
      </c>
      <c r="E9675" t="s">
        <v>16</v>
      </c>
    </row>
    <row r="9676" spans="1:5" x14ac:dyDescent="0.25">
      <c r="A9676" t="str">
        <f>HYPERLINK("https://www.773grp.com/globalSearch/TPS78625DCQ/page-1", "TPS78625DCQ")</f>
        <v>TPS78625DCQ</v>
      </c>
      <c r="B9676" s="3" t="s">
        <v>90</v>
      </c>
      <c r="C9676" s="5">
        <v>10368</v>
      </c>
      <c r="D9676" s="6">
        <v>4.6399999999999997</v>
      </c>
      <c r="E9676" t="s">
        <v>16</v>
      </c>
    </row>
    <row r="9677" spans="1:5" x14ac:dyDescent="0.25">
      <c r="A9677" t="str">
        <f>HYPERLINK("https://www.773grp.com/globalSearch/TPS78625DCQG4/page-1", "TPS78625DCQG4")</f>
        <v>TPS78625DCQG4</v>
      </c>
      <c r="B9677" s="3" t="s">
        <v>90</v>
      </c>
      <c r="C9677" s="5">
        <v>163</v>
      </c>
      <c r="D9677" s="6">
        <v>4.6399999999999997</v>
      </c>
      <c r="E9677" t="s">
        <v>16</v>
      </c>
    </row>
    <row r="9678" spans="1:5" x14ac:dyDescent="0.25">
      <c r="A9678" t="str">
        <f>HYPERLINK("https://www.773grp.com/globalSearch/TPS78630DCQ/page-1", "TPS78630DCQ")</f>
        <v>TPS78630DCQ</v>
      </c>
      <c r="B9678" s="3" t="s">
        <v>90</v>
      </c>
      <c r="C9678" s="5">
        <v>10253</v>
      </c>
      <c r="D9678" s="6">
        <v>4.6399999999999997</v>
      </c>
      <c r="E9678" t="s">
        <v>16</v>
      </c>
    </row>
    <row r="9679" spans="1:5" x14ac:dyDescent="0.25">
      <c r="A9679" t="str">
        <f>HYPERLINK("https://www.773grp.com/globalSearch/TPS78633DCQG4/page-1", "TPS78633DCQG4")</f>
        <v>TPS78633DCQG4</v>
      </c>
      <c r="B9679" s="3" t="s">
        <v>90</v>
      </c>
      <c r="C9679" s="5">
        <v>5</v>
      </c>
      <c r="D9679" s="6">
        <v>4.6399999999999997</v>
      </c>
      <c r="E9679" t="s">
        <v>16</v>
      </c>
    </row>
    <row r="9680" spans="1:5" x14ac:dyDescent="0.25">
      <c r="A9680" t="str">
        <f>HYPERLINK("https://www.773grp.com/globalSearch/TPS78618KTTT/page-1", "TPS78618KTTT")</f>
        <v>TPS78618KTTT</v>
      </c>
      <c r="B9680" s="3" t="s">
        <v>90</v>
      </c>
      <c r="C9680" s="5">
        <v>16150</v>
      </c>
      <c r="D9680" s="6">
        <v>4.68</v>
      </c>
      <c r="E9680" t="s">
        <v>16</v>
      </c>
    </row>
    <row r="9681" spans="1:5" x14ac:dyDescent="0.25">
      <c r="A9681" t="str">
        <f>HYPERLINK("https://www.773grp.com/globalSearch/TPS78625KTTT/page-1", "TPS78625KTTT")</f>
        <v>TPS78625KTTT</v>
      </c>
      <c r="B9681" s="3" t="s">
        <v>90</v>
      </c>
      <c r="C9681" s="5">
        <v>96764</v>
      </c>
      <c r="D9681" s="6">
        <v>4.68</v>
      </c>
      <c r="E9681" t="s">
        <v>16</v>
      </c>
    </row>
    <row r="9682" spans="1:5" x14ac:dyDescent="0.25">
      <c r="A9682" t="str">
        <f>HYPERLINK("https://www.773grp.com/globalSearch/TPS78628KTTT/page-1", "TPS78628KTTT")</f>
        <v>TPS78628KTTT</v>
      </c>
      <c r="B9682" s="3" t="s">
        <v>90</v>
      </c>
      <c r="C9682" s="5">
        <v>18850</v>
      </c>
      <c r="D9682" s="6">
        <v>4.68</v>
      </c>
      <c r="E9682" t="s">
        <v>16</v>
      </c>
    </row>
    <row r="9683" spans="1:5" x14ac:dyDescent="0.25">
      <c r="A9683" t="str">
        <f>HYPERLINK("https://www.773grp.com/globalSearch/TPS78630KTTT/page-1", "TPS78630KTTT")</f>
        <v>TPS78630KTTT</v>
      </c>
      <c r="B9683" s="3" t="s">
        <v>90</v>
      </c>
      <c r="C9683" s="5">
        <v>21900</v>
      </c>
      <c r="D9683" s="6">
        <v>4.68</v>
      </c>
      <c r="E9683" t="s">
        <v>16</v>
      </c>
    </row>
    <row r="9684" spans="1:5" x14ac:dyDescent="0.25">
      <c r="A9684" t="str">
        <f>HYPERLINK("https://www.773grp.com/globalSearch/TPS78633KTTT/page-1", "TPS78633KTTT")</f>
        <v>TPS78633KTTT</v>
      </c>
      <c r="B9684" s="3" t="s">
        <v>90</v>
      </c>
      <c r="C9684" s="5">
        <v>14351</v>
      </c>
      <c r="D9684" s="6">
        <v>4.68</v>
      </c>
      <c r="E9684" t="s">
        <v>16</v>
      </c>
    </row>
    <row r="9685" spans="1:5" x14ac:dyDescent="0.25">
      <c r="A9685" t="str">
        <f>HYPERLINK("https://www.773grp.com/globalSearch/TPPM0301DR/page-1", "TPPM0301DR")</f>
        <v>TPPM0301DR</v>
      </c>
      <c r="B9685" s="3" t="s">
        <v>90</v>
      </c>
      <c r="C9685" s="5">
        <v>7500</v>
      </c>
      <c r="D9685" s="6">
        <v>4.6900000000000004</v>
      </c>
      <c r="E9685" t="s">
        <v>16</v>
      </c>
    </row>
    <row r="9686" spans="1:5" x14ac:dyDescent="0.25">
      <c r="A9686" t="str">
        <f>HYPERLINK("https://www.773grp.com/globalSearch/TPPM0303D/page-1", "TPPM0303D")</f>
        <v>TPPM0303D</v>
      </c>
      <c r="B9686" s="3" t="s">
        <v>90</v>
      </c>
      <c r="C9686" s="5">
        <v>8521</v>
      </c>
      <c r="D9686" s="6">
        <v>4.7300000000000004</v>
      </c>
      <c r="E9686" t="s">
        <v>16</v>
      </c>
    </row>
    <row r="9687" spans="1:5" x14ac:dyDescent="0.25">
      <c r="A9687" t="str">
        <f>HYPERLINK("https://www.773grp.com/globalSearch/TPS7330QPW/page-1", "TPS7330QPW")</f>
        <v>TPS7330QPW</v>
      </c>
      <c r="B9687" s="3" t="s">
        <v>90</v>
      </c>
      <c r="C9687" s="5">
        <v>840</v>
      </c>
      <c r="D9687" s="6">
        <v>5.21</v>
      </c>
      <c r="E9687" t="s">
        <v>16</v>
      </c>
    </row>
    <row r="9688" spans="1:5" x14ac:dyDescent="0.25">
      <c r="A9688" t="str">
        <f>HYPERLINK("https://www.773grp.com/globalSearch/TPS7333QPWLE/page-1", "TPS7333QPWLE")</f>
        <v>TPS7333QPWLE</v>
      </c>
      <c r="B9688" s="3" t="s">
        <v>90</v>
      </c>
      <c r="C9688" s="5">
        <v>3000</v>
      </c>
      <c r="D9688" s="6">
        <v>5.21</v>
      </c>
      <c r="E9688" t="s">
        <v>16</v>
      </c>
    </row>
    <row r="9689" spans="1:5" x14ac:dyDescent="0.25">
      <c r="A9689" t="str">
        <f>HYPERLINK("https://www.773grp.com/globalSearch/TPS7348QPWLE/page-1", "TPS7348QPWLE")</f>
        <v>TPS7348QPWLE</v>
      </c>
      <c r="B9689" s="3" t="s">
        <v>90</v>
      </c>
      <c r="C9689" s="5">
        <v>2400</v>
      </c>
      <c r="D9689" s="6">
        <v>5.21</v>
      </c>
      <c r="E9689" t="s">
        <v>16</v>
      </c>
    </row>
    <row r="9690" spans="1:5" x14ac:dyDescent="0.25">
      <c r="A9690" t="str">
        <f>HYPERLINK("https://www.773grp.com/globalSearch/TPS7348QPWR/page-1", "TPS7348QPWR")</f>
        <v>TPS7348QPWR</v>
      </c>
      <c r="B9690" s="3" t="s">
        <v>90</v>
      </c>
      <c r="C9690" s="5">
        <v>4000</v>
      </c>
      <c r="D9690" s="6">
        <v>5.21</v>
      </c>
      <c r="E9690" t="s">
        <v>16</v>
      </c>
    </row>
    <row r="9691" spans="1:5" x14ac:dyDescent="0.25">
      <c r="A9691" t="str">
        <f>HYPERLINK("https://www.773grp.com/globalSearch/TPS7350QPW/page-1", "TPS7350QPW")</f>
        <v>TPS7350QPW</v>
      </c>
      <c r="B9691" s="3" t="s">
        <v>90</v>
      </c>
      <c r="C9691" s="5">
        <v>1323</v>
      </c>
      <c r="D9691" s="6">
        <v>5.21</v>
      </c>
      <c r="E9691" t="s">
        <v>16</v>
      </c>
    </row>
    <row r="9692" spans="1:5" x14ac:dyDescent="0.25">
      <c r="A9692" t="str">
        <f>HYPERLINK("https://www.773grp.com/globalSearch/TPS7350QPWLE/page-1", "TPS7350QPWLE")</f>
        <v>TPS7350QPWLE</v>
      </c>
      <c r="B9692" s="3" t="s">
        <v>90</v>
      </c>
      <c r="C9692" s="5">
        <v>2680</v>
      </c>
      <c r="D9692" s="6">
        <v>5.21</v>
      </c>
      <c r="E9692" t="s">
        <v>16</v>
      </c>
    </row>
    <row r="9693" spans="1:5" x14ac:dyDescent="0.25">
      <c r="A9693" t="str">
        <f>HYPERLINK("https://www.773grp.com/globalSearch/TL750M10QKC/page-1", "TL750M10QKC")</f>
        <v>TL750M10QKC</v>
      </c>
      <c r="B9693" s="3" t="s">
        <v>90</v>
      </c>
      <c r="C9693" s="5">
        <v>3</v>
      </c>
      <c r="D9693" s="6">
        <v>4.8099999999999996</v>
      </c>
      <c r="E9693" t="s">
        <v>16</v>
      </c>
    </row>
    <row r="9694" spans="1:5" x14ac:dyDescent="0.25">
      <c r="A9694" t="str">
        <f>HYPERLINK("https://www.773grp.com/globalSearch/TPS75318QPWPR/page-1", "TPS75318QPWPR")</f>
        <v>TPS75318QPWPR</v>
      </c>
      <c r="B9694" s="3" t="s">
        <v>90</v>
      </c>
      <c r="C9694" s="5">
        <v>18000</v>
      </c>
      <c r="D9694" s="6">
        <v>4.93</v>
      </c>
      <c r="E9694" t="s">
        <v>16</v>
      </c>
    </row>
    <row r="9695" spans="1:5" x14ac:dyDescent="0.25">
      <c r="A9695" t="str">
        <f>HYPERLINK("https://www.773grp.com/globalSearch/TPS75333QPWPR/page-1", "TPS75333QPWPR")</f>
        <v>TPS75333QPWPR</v>
      </c>
      <c r="B9695" s="3" t="s">
        <v>90</v>
      </c>
      <c r="C9695" s="5">
        <v>2000</v>
      </c>
      <c r="D9695" s="6">
        <v>4.93</v>
      </c>
      <c r="E9695" t="s">
        <v>16</v>
      </c>
    </row>
    <row r="9696" spans="1:5" x14ac:dyDescent="0.25">
      <c r="A9696" t="str">
        <f>HYPERLINK("https://www.773grp.com/globalSearch/TPS75415QPWPR/page-1", "TPS75415QPWPR")</f>
        <v>TPS75415QPWPR</v>
      </c>
      <c r="B9696" s="3" t="s">
        <v>90</v>
      </c>
      <c r="C9696" s="5">
        <v>52000</v>
      </c>
      <c r="D9696" s="6">
        <v>4.93</v>
      </c>
      <c r="E9696" t="s">
        <v>16</v>
      </c>
    </row>
    <row r="9697" spans="1:5" x14ac:dyDescent="0.25">
      <c r="A9697" t="str">
        <f>HYPERLINK("https://www.773grp.com/globalSearch/TPS75425QPWPR/page-1", "TPS75425QPWPR")</f>
        <v>TPS75425QPWPR</v>
      </c>
      <c r="B9697" s="3" t="s">
        <v>90</v>
      </c>
      <c r="C9697" s="5">
        <v>12000</v>
      </c>
      <c r="D9697" s="6">
        <v>4.93</v>
      </c>
      <c r="E9697" t="s">
        <v>16</v>
      </c>
    </row>
    <row r="9698" spans="1:5" x14ac:dyDescent="0.25">
      <c r="A9698" t="str">
        <f>HYPERLINK("https://www.773grp.com/globalSearch/TPS75433QPWPR/page-1", "TPS75433QPWPR")</f>
        <v>TPS75433QPWPR</v>
      </c>
      <c r="B9698" s="3" t="s">
        <v>90</v>
      </c>
      <c r="C9698" s="5">
        <v>13958</v>
      </c>
      <c r="D9698" s="6">
        <v>4.93</v>
      </c>
      <c r="E9698" t="s">
        <v>16</v>
      </c>
    </row>
    <row r="9699" spans="1:5" x14ac:dyDescent="0.25">
      <c r="A9699" t="str">
        <f>HYPERLINK("https://www.773grp.com/globalSearch/REG1117FA-2.5KTTT/page-1", "REG1117FA-2.5KTTT")</f>
        <v>REG1117FA-2.5KTTT</v>
      </c>
      <c r="B9699" s="3" t="s">
        <v>90</v>
      </c>
      <c r="C9699" s="5">
        <v>26878</v>
      </c>
      <c r="D9699" s="6">
        <v>4.95</v>
      </c>
      <c r="E9699" t="s">
        <v>16</v>
      </c>
    </row>
    <row r="9700" spans="1:5" x14ac:dyDescent="0.25">
      <c r="A9700" t="str">
        <f>HYPERLINK("https://www.773grp.com/globalSearch/REG1117FA-5.0KTTT/page-1", "REG1117FA-5.0KTTT")</f>
        <v>REG1117FA-5.0KTTT</v>
      </c>
      <c r="B9700" s="3" t="s">
        <v>90</v>
      </c>
      <c r="C9700" s="5">
        <v>50260</v>
      </c>
      <c r="D9700" s="6">
        <v>4.95</v>
      </c>
      <c r="E9700" t="s">
        <v>16</v>
      </c>
    </row>
    <row r="9701" spans="1:5" x14ac:dyDescent="0.25">
      <c r="A9701" t="str">
        <f>HYPERLINK("https://www.773grp.com/globalSearch/TPS75225QPWPR/page-1", "TPS75225QPWPR")</f>
        <v>TPS75225QPWPR</v>
      </c>
      <c r="B9701" s="3" t="s">
        <v>90</v>
      </c>
      <c r="C9701" s="5">
        <v>7100</v>
      </c>
      <c r="D9701" s="6">
        <v>5.0599999999999996</v>
      </c>
      <c r="E9701" t="s">
        <v>16</v>
      </c>
    </row>
    <row r="9702" spans="1:5" x14ac:dyDescent="0.25">
      <c r="A9702" t="str">
        <f>HYPERLINK("https://www.773grp.com/globalSearch/UCC281DPTR-5/page-1", "UCC281DPTR-5")</f>
        <v>UCC281DPTR-5</v>
      </c>
      <c r="B9702" s="3" t="s">
        <v>90</v>
      </c>
      <c r="C9702" s="5">
        <v>1071</v>
      </c>
      <c r="D9702" s="6">
        <v>5.45</v>
      </c>
      <c r="E9702" t="s">
        <v>16</v>
      </c>
    </row>
    <row r="9703" spans="1:5" x14ac:dyDescent="0.25">
      <c r="A9703" t="str">
        <f>HYPERLINK("https://www.773grp.com/globalSearch/UCC381DPTR-3/page-1", "UCC381DPTR-3")</f>
        <v>UCC381DPTR-3</v>
      </c>
      <c r="B9703" s="3" t="s">
        <v>90</v>
      </c>
      <c r="C9703" s="5">
        <v>20000</v>
      </c>
      <c r="D9703" s="6">
        <v>5.45</v>
      </c>
      <c r="E9703" t="s">
        <v>16</v>
      </c>
    </row>
    <row r="9704" spans="1:5" x14ac:dyDescent="0.25">
      <c r="A9704" t="str">
        <f>HYPERLINK("https://www.773grp.com/globalSearch/UCC381DPTR-5/page-1", "UCC381DPTR-5")</f>
        <v>UCC381DPTR-5</v>
      </c>
      <c r="B9704" s="3" t="s">
        <v>90</v>
      </c>
      <c r="C9704" s="5">
        <v>7500</v>
      </c>
      <c r="D9704" s="6">
        <v>5.45</v>
      </c>
      <c r="E9704" t="s">
        <v>16</v>
      </c>
    </row>
    <row r="9705" spans="1:5" x14ac:dyDescent="0.25">
      <c r="A9705" t="str">
        <f>HYPERLINK("https://www.773grp.com/globalSearch/TL750M08QKC/page-1", "TL750M08QKC")</f>
        <v>TL750M08QKC</v>
      </c>
      <c r="B9705" s="3" t="s">
        <v>90</v>
      </c>
      <c r="C9705" s="5">
        <v>130</v>
      </c>
      <c r="D9705" s="6">
        <v>5.63</v>
      </c>
      <c r="E9705" t="s">
        <v>16</v>
      </c>
    </row>
    <row r="9706" spans="1:5" x14ac:dyDescent="0.25">
      <c r="A9706" t="str">
        <f>HYPERLINK("https://www.773grp.com/globalSearch/TPS75115QPWPRG4/page-1", "TPS75115QPWPRG4")</f>
        <v>TPS75115QPWPRG4</v>
      </c>
      <c r="B9706" s="3" t="s">
        <v>90</v>
      </c>
      <c r="C9706" s="5">
        <v>1300</v>
      </c>
      <c r="D9706" s="6">
        <v>5.63</v>
      </c>
      <c r="E9706" t="s">
        <v>16</v>
      </c>
    </row>
    <row r="9707" spans="1:5" x14ac:dyDescent="0.25">
      <c r="A9707" t="str">
        <f>HYPERLINK("https://www.773grp.com/globalSearch/TPS75118QPWPR/page-1", "TPS75118QPWPR")</f>
        <v>TPS75118QPWPR</v>
      </c>
      <c r="B9707" s="3" t="s">
        <v>90</v>
      </c>
      <c r="C9707" s="5">
        <v>20000</v>
      </c>
      <c r="D9707" s="6">
        <v>5.63</v>
      </c>
      <c r="E9707" t="s">
        <v>16</v>
      </c>
    </row>
    <row r="9708" spans="1:5" x14ac:dyDescent="0.25">
      <c r="A9708" t="str">
        <f>HYPERLINK("https://www.773grp.com/globalSearch/TPS75125QPWPR/page-1", "TPS75125QPWPR")</f>
        <v>TPS75125QPWPR</v>
      </c>
      <c r="B9708" s="3" t="s">
        <v>90</v>
      </c>
      <c r="C9708" s="5">
        <v>42000</v>
      </c>
      <c r="D9708" s="6">
        <v>5.63</v>
      </c>
      <c r="E9708" t="s">
        <v>16</v>
      </c>
    </row>
    <row r="9709" spans="1:5" x14ac:dyDescent="0.25">
      <c r="A9709" t="str">
        <f>HYPERLINK("https://www.773grp.com/globalSearch/TPS75133QPWPR/page-1", "TPS75133QPWPR")</f>
        <v>TPS75133QPWPR</v>
      </c>
      <c r="B9709" s="3" t="s">
        <v>90</v>
      </c>
      <c r="C9709" s="5">
        <v>112596</v>
      </c>
      <c r="D9709" s="6">
        <v>5.63</v>
      </c>
      <c r="E9709" t="s">
        <v>16</v>
      </c>
    </row>
    <row r="9710" spans="1:5" x14ac:dyDescent="0.25">
      <c r="A9710" t="str">
        <f>HYPERLINK("https://www.773grp.com/globalSearch/TPS75318QPWPRQ1/page-1", "TPS75318QPWPRQ1")</f>
        <v>TPS75318QPWPRQ1</v>
      </c>
      <c r="B9710" s="3" t="s">
        <v>90</v>
      </c>
      <c r="C9710" s="5">
        <v>12000</v>
      </c>
      <c r="D9710" s="6">
        <v>5.78</v>
      </c>
      <c r="E9710" t="s">
        <v>16</v>
      </c>
    </row>
    <row r="9711" spans="1:5" x14ac:dyDescent="0.25">
      <c r="A9711" t="str">
        <f>HYPERLINK("https://www.773grp.com/globalSearch/TPPM0302DGNR/page-1", "TPPM0302DGNR")</f>
        <v>TPPM0302DGNR</v>
      </c>
      <c r="B9711" s="3" t="s">
        <v>90</v>
      </c>
      <c r="C9711" s="5">
        <v>60625</v>
      </c>
      <c r="D9711" s="6">
        <v>5.91</v>
      </c>
      <c r="E9711" t="s">
        <v>16</v>
      </c>
    </row>
    <row r="9712" spans="1:5" x14ac:dyDescent="0.25">
      <c r="A9712" t="str">
        <f>HYPERLINK("https://www.773grp.com/globalSearch/TPS73618MDBVREP/page-1", "TPS73618MDBVREP")</f>
        <v>TPS73618MDBVREP</v>
      </c>
      <c r="B9712" s="3" t="s">
        <v>90</v>
      </c>
      <c r="C9712" s="5">
        <v>1646</v>
      </c>
      <c r="D9712" s="6">
        <v>5.91</v>
      </c>
      <c r="E9712" t="s">
        <v>16</v>
      </c>
    </row>
    <row r="9713" spans="1:5" x14ac:dyDescent="0.25">
      <c r="A9713" t="str">
        <f>HYPERLINK("https://www.773grp.com/globalSearch/TPS73632MDBVREP/page-1", "TPS73632MDBVREP")</f>
        <v>TPS73632MDBVREP</v>
      </c>
      <c r="B9713" s="3" t="s">
        <v>90</v>
      </c>
      <c r="C9713" s="5">
        <v>3000</v>
      </c>
      <c r="D9713" s="6">
        <v>5.91</v>
      </c>
      <c r="E9713" t="s">
        <v>16</v>
      </c>
    </row>
    <row r="9714" spans="1:5" x14ac:dyDescent="0.25">
      <c r="A9714" t="str">
        <f>HYPERLINK("https://www.773grp.com/globalSearch/TPS73633MDBVREP/page-1", "TPS73633MDBVREP")</f>
        <v>TPS73633MDBVREP</v>
      </c>
      <c r="B9714" s="3" t="s">
        <v>90</v>
      </c>
      <c r="C9714" s="5">
        <v>4690</v>
      </c>
      <c r="D9714" s="6">
        <v>5.91</v>
      </c>
      <c r="E9714" t="s">
        <v>16</v>
      </c>
    </row>
    <row r="9715" spans="1:5" x14ac:dyDescent="0.25">
      <c r="A9715" t="str">
        <f>HYPERLINK("https://www.773grp.com/globalSearch/TPS75218QPWPRQ1/page-1", "TPS75218QPWPRQ1")</f>
        <v>TPS75218QPWPRQ1</v>
      </c>
      <c r="B9715" s="3" t="s">
        <v>90</v>
      </c>
      <c r="C9715" s="5">
        <v>8000</v>
      </c>
      <c r="D9715" s="6">
        <v>5.91</v>
      </c>
      <c r="E9715" t="s">
        <v>16</v>
      </c>
    </row>
    <row r="9716" spans="1:5" x14ac:dyDescent="0.25">
      <c r="A9716" t="str">
        <f>HYPERLINK("https://www.773grp.com/globalSearch/TPS75315QPWP/page-1", "TPS75315QPWP")</f>
        <v>TPS75315QPWP</v>
      </c>
      <c r="B9716" s="3" t="s">
        <v>90</v>
      </c>
      <c r="C9716" s="5">
        <v>2758</v>
      </c>
      <c r="D9716" s="6">
        <v>5.91</v>
      </c>
      <c r="E9716" t="s">
        <v>16</v>
      </c>
    </row>
    <row r="9717" spans="1:5" x14ac:dyDescent="0.25">
      <c r="A9717" t="str">
        <f>HYPERLINK("https://www.773grp.com/globalSearch/TPS75315QPWPG4/page-1", "TPS75315QPWPG4")</f>
        <v>TPS75315QPWPG4</v>
      </c>
      <c r="B9717" s="3" t="s">
        <v>90</v>
      </c>
      <c r="C9717" s="5">
        <v>120</v>
      </c>
      <c r="D9717" s="6">
        <v>5.91</v>
      </c>
      <c r="E9717" t="s">
        <v>16</v>
      </c>
    </row>
    <row r="9718" spans="1:5" x14ac:dyDescent="0.25">
      <c r="A9718" t="str">
        <f>HYPERLINK("https://www.773grp.com/globalSearch/TPS75318QPWP/page-1", "TPS75318QPWP")</f>
        <v>TPS75318QPWP</v>
      </c>
      <c r="B9718" s="3" t="s">
        <v>90</v>
      </c>
      <c r="C9718" s="5">
        <v>13612</v>
      </c>
      <c r="D9718" s="6">
        <v>5.91</v>
      </c>
      <c r="E9718" t="s">
        <v>16</v>
      </c>
    </row>
    <row r="9719" spans="1:5" x14ac:dyDescent="0.25">
      <c r="A9719" t="str">
        <f>HYPERLINK("https://www.773grp.com/globalSearch/TPS75325QPWP/page-1", "TPS75325QPWP")</f>
        <v>TPS75325QPWP</v>
      </c>
      <c r="B9719" s="3" t="s">
        <v>90</v>
      </c>
      <c r="C9719" s="5">
        <v>8617</v>
      </c>
      <c r="D9719" s="6">
        <v>5.91</v>
      </c>
      <c r="E9719" t="s">
        <v>16</v>
      </c>
    </row>
    <row r="9720" spans="1:5" x14ac:dyDescent="0.25">
      <c r="A9720" t="str">
        <f>HYPERLINK("https://www.773grp.com/globalSearch/TPS75333QPWP/page-1", "TPS75333QPWP")</f>
        <v>TPS75333QPWP</v>
      </c>
      <c r="B9720" s="3" t="s">
        <v>90</v>
      </c>
      <c r="C9720" s="5">
        <v>364</v>
      </c>
      <c r="D9720" s="6">
        <v>5.91</v>
      </c>
      <c r="E9720" t="s">
        <v>16</v>
      </c>
    </row>
    <row r="9721" spans="1:5" x14ac:dyDescent="0.25">
      <c r="A9721" t="str">
        <f>HYPERLINK("https://www.773grp.com/globalSearch/TPS75415QPWP/page-1", "TPS75415QPWP")</f>
        <v>TPS75415QPWP</v>
      </c>
      <c r="B9721" s="3" t="s">
        <v>90</v>
      </c>
      <c r="C9721" s="5">
        <v>6872</v>
      </c>
      <c r="D9721" s="6">
        <v>5.91</v>
      </c>
      <c r="E9721" t="s">
        <v>16</v>
      </c>
    </row>
    <row r="9722" spans="1:5" x14ac:dyDescent="0.25">
      <c r="A9722" t="str">
        <f>HYPERLINK("https://www.773grp.com/globalSearch/TPS75418QPWP/page-1", "TPS75418QPWP")</f>
        <v>TPS75418QPWP</v>
      </c>
      <c r="B9722" s="3" t="s">
        <v>90</v>
      </c>
      <c r="C9722" s="5">
        <v>17681</v>
      </c>
      <c r="D9722" s="6">
        <v>5.91</v>
      </c>
      <c r="E9722" t="s">
        <v>16</v>
      </c>
    </row>
    <row r="9723" spans="1:5" x14ac:dyDescent="0.25">
      <c r="A9723" t="str">
        <f>HYPERLINK("https://www.773grp.com/globalSearch/TPS75425QPWP/page-1", "TPS75425QPWP")</f>
        <v>TPS75425QPWP</v>
      </c>
      <c r="B9723" s="3" t="s">
        <v>90</v>
      </c>
      <c r="C9723" s="5">
        <v>6169</v>
      </c>
      <c r="D9723" s="6">
        <v>5.91</v>
      </c>
      <c r="E9723" t="s">
        <v>16</v>
      </c>
    </row>
    <row r="9724" spans="1:5" x14ac:dyDescent="0.25">
      <c r="A9724" t="str">
        <f>HYPERLINK("https://www.773grp.com/globalSearch/TPS75433QPWP/page-1", "TPS75433QPWP")</f>
        <v>TPS75433QPWP</v>
      </c>
      <c r="B9724" s="3" t="s">
        <v>90</v>
      </c>
      <c r="C9724" s="5">
        <v>1614</v>
      </c>
      <c r="D9724" s="6">
        <v>5.91</v>
      </c>
      <c r="E9724" t="s">
        <v>16</v>
      </c>
    </row>
    <row r="9725" spans="1:5" x14ac:dyDescent="0.25">
      <c r="A9725" t="str">
        <f>HYPERLINK("https://www.773grp.com/globalSearch/V62-06626-03XE/page-1", "V62-06626-03XE")</f>
        <v>V62-06626-03XE</v>
      </c>
      <c r="B9725" s="3" t="s">
        <v>90</v>
      </c>
      <c r="C9725" s="5">
        <v>2756</v>
      </c>
      <c r="D9725" s="6">
        <v>5.91</v>
      </c>
      <c r="E9725" t="s">
        <v>16</v>
      </c>
    </row>
    <row r="9726" spans="1:5" x14ac:dyDescent="0.25">
      <c r="A9726" t="str">
        <f>HYPERLINK("https://www.773grp.com/globalSearch/REG103UA-2.7-2K5/page-1", "REG103UA-2.7-2K5")</f>
        <v>REG103UA-2.7-2K5</v>
      </c>
      <c r="B9726" s="3" t="s">
        <v>90</v>
      </c>
      <c r="C9726" s="5">
        <v>2500</v>
      </c>
      <c r="D9726" s="6">
        <v>5.99</v>
      </c>
      <c r="E9726" t="s">
        <v>16</v>
      </c>
    </row>
    <row r="9727" spans="1:5" x14ac:dyDescent="0.25">
      <c r="A9727" t="str">
        <f>HYPERLINK("https://www.773grp.com/globalSearch/TPS75218QPWP/page-1", "TPS75218QPWP")</f>
        <v>TPS75218QPWP</v>
      </c>
      <c r="B9727" s="3" t="s">
        <v>90</v>
      </c>
      <c r="C9727" s="5">
        <v>1838</v>
      </c>
      <c r="D9727" s="6">
        <v>6.04</v>
      </c>
      <c r="E9727" t="s">
        <v>16</v>
      </c>
    </row>
    <row r="9728" spans="1:5" x14ac:dyDescent="0.25">
      <c r="A9728" t="str">
        <f>HYPERLINK("https://www.773grp.com/globalSearch/TPS75225QPWP/page-1", "TPS75225QPWP")</f>
        <v>TPS75225QPWP</v>
      </c>
      <c r="B9728" s="3" t="s">
        <v>90</v>
      </c>
      <c r="C9728" s="5">
        <v>242</v>
      </c>
      <c r="D9728" s="6">
        <v>6.04</v>
      </c>
      <c r="E9728" t="s">
        <v>16</v>
      </c>
    </row>
    <row r="9729" spans="1:5" x14ac:dyDescent="0.25">
      <c r="A9729" t="str">
        <f>HYPERLINK("https://www.773grp.com/globalSearch/TPS75233QPWP/page-1", "TPS75233QPWP")</f>
        <v>TPS75233QPWP</v>
      </c>
      <c r="B9729" s="3" t="s">
        <v>90</v>
      </c>
      <c r="C9729" s="5">
        <v>164</v>
      </c>
      <c r="D9729" s="6">
        <v>6.04</v>
      </c>
      <c r="E9729" t="s">
        <v>16</v>
      </c>
    </row>
    <row r="9730" spans="1:5" x14ac:dyDescent="0.25">
      <c r="A9730" t="str">
        <f>HYPERLINK("https://www.773grp.com/globalSearch/TPS75815KC/page-1", "TPS75815KC")</f>
        <v>TPS75815KC</v>
      </c>
      <c r="B9730" s="3" t="s">
        <v>90</v>
      </c>
      <c r="C9730" s="5">
        <v>9799</v>
      </c>
      <c r="D9730" s="6">
        <v>6.19</v>
      </c>
      <c r="E9730" t="s">
        <v>16</v>
      </c>
    </row>
    <row r="9731" spans="1:5" x14ac:dyDescent="0.25">
      <c r="A9731" t="str">
        <f>HYPERLINK("https://www.773grp.com/globalSearch/TPS75815KTTR/page-1", "TPS75815KTTR")</f>
        <v>TPS75815KTTR</v>
      </c>
      <c r="B9731" s="3" t="s">
        <v>90</v>
      </c>
      <c r="C9731" s="5">
        <v>12484</v>
      </c>
      <c r="D9731" s="6">
        <v>6.19</v>
      </c>
      <c r="E9731" t="s">
        <v>16</v>
      </c>
    </row>
    <row r="9732" spans="1:5" x14ac:dyDescent="0.25">
      <c r="A9732" t="str">
        <f>HYPERLINK("https://www.773grp.com/globalSearch/TPS75818KC/page-1", "TPS75818KC")</f>
        <v>TPS75818KC</v>
      </c>
      <c r="B9732" s="3" t="s">
        <v>90</v>
      </c>
      <c r="C9732" s="5">
        <v>4949</v>
      </c>
      <c r="D9732" s="6">
        <v>6.19</v>
      </c>
      <c r="E9732" t="s">
        <v>16</v>
      </c>
    </row>
    <row r="9733" spans="1:5" x14ac:dyDescent="0.25">
      <c r="A9733" t="str">
        <f>HYPERLINK("https://www.773grp.com/globalSearch/TPS75818KTTR/page-1", "TPS75818KTTR")</f>
        <v>TPS75818KTTR</v>
      </c>
      <c r="B9733" s="3" t="s">
        <v>90</v>
      </c>
      <c r="C9733" s="5">
        <v>5500</v>
      </c>
      <c r="D9733" s="6">
        <v>6.19</v>
      </c>
      <c r="E9733" t="s">
        <v>16</v>
      </c>
    </row>
    <row r="9734" spans="1:5" x14ac:dyDescent="0.25">
      <c r="A9734" t="str">
        <f>HYPERLINK("https://www.773grp.com/globalSearch/TPS75825KC/page-1", "TPS75825KC")</f>
        <v>TPS75825KC</v>
      </c>
      <c r="B9734" s="3" t="s">
        <v>90</v>
      </c>
      <c r="C9734" s="5">
        <v>5924</v>
      </c>
      <c r="D9734" s="6">
        <v>6.19</v>
      </c>
      <c r="E9734" t="s">
        <v>16</v>
      </c>
    </row>
    <row r="9735" spans="1:5" x14ac:dyDescent="0.25">
      <c r="A9735" t="str">
        <f>HYPERLINK("https://www.773grp.com/globalSearch/TPS75825KTTR/page-1", "TPS75825KTTR")</f>
        <v>TPS75825KTTR</v>
      </c>
      <c r="B9735" s="3" t="s">
        <v>90</v>
      </c>
      <c r="C9735" s="5">
        <v>7000</v>
      </c>
      <c r="D9735" s="6">
        <v>6.19</v>
      </c>
      <c r="E9735" t="s">
        <v>16</v>
      </c>
    </row>
    <row r="9736" spans="1:5" x14ac:dyDescent="0.25">
      <c r="A9736" t="str">
        <f>HYPERLINK("https://www.773grp.com/globalSearch/TPS75833KC/page-1", "TPS75833KC")</f>
        <v>TPS75833KC</v>
      </c>
      <c r="B9736" s="3" t="s">
        <v>90</v>
      </c>
      <c r="C9736" s="5">
        <v>8855</v>
      </c>
      <c r="D9736" s="6">
        <v>6.19</v>
      </c>
      <c r="E9736" t="s">
        <v>16</v>
      </c>
    </row>
    <row r="9737" spans="1:5" x14ac:dyDescent="0.25">
      <c r="A9737" t="str">
        <f>HYPERLINK("https://www.773grp.com/globalSearch/TPS75833KTTR/page-1", "TPS75833KTTR")</f>
        <v>TPS75833KTTR</v>
      </c>
      <c r="B9737" s="3" t="s">
        <v>90</v>
      </c>
      <c r="C9737" s="5">
        <v>12500</v>
      </c>
      <c r="D9737" s="6">
        <v>6.19</v>
      </c>
      <c r="E9737" t="s">
        <v>16</v>
      </c>
    </row>
    <row r="9738" spans="1:5" x14ac:dyDescent="0.25">
      <c r="A9738" t="str">
        <f>HYPERLINK("https://www.773grp.com/globalSearch/TPS758A01KTTR/page-1", "TPS758A01KTTR")</f>
        <v>TPS758A01KTTR</v>
      </c>
      <c r="B9738" s="3" t="s">
        <v>90</v>
      </c>
      <c r="C9738" s="5">
        <v>185290</v>
      </c>
      <c r="D9738" s="6">
        <v>6.19</v>
      </c>
      <c r="E9738" t="s">
        <v>16</v>
      </c>
    </row>
    <row r="9739" spans="1:5" x14ac:dyDescent="0.25">
      <c r="A9739" t="str">
        <f>HYPERLINK("https://www.773grp.com/globalSearch/REG103UA-2.5-2K5/page-1", "REG103UA-2.5-2K5")</f>
        <v>REG103UA-2.5-2K5</v>
      </c>
      <c r="B9739" s="3" t="s">
        <v>90</v>
      </c>
      <c r="C9739" s="5">
        <v>19500</v>
      </c>
      <c r="D9739" s="6">
        <v>6.3</v>
      </c>
      <c r="E9739" t="s">
        <v>16</v>
      </c>
    </row>
    <row r="9740" spans="1:5" x14ac:dyDescent="0.25">
      <c r="A9740" t="str">
        <f>HYPERLINK("https://www.773grp.com/globalSearch/REG103UA-3.3-2K5/page-1", "REG103UA-3.3-2K5")</f>
        <v>REG103UA-3.3-2K5</v>
      </c>
      <c r="B9740" s="3" t="s">
        <v>90</v>
      </c>
      <c r="C9740" s="5">
        <v>5000</v>
      </c>
      <c r="D9740" s="6">
        <v>6.3</v>
      </c>
      <c r="E9740" t="s">
        <v>16</v>
      </c>
    </row>
    <row r="9741" spans="1:5" x14ac:dyDescent="0.25">
      <c r="A9741" t="str">
        <f>HYPERLINK("https://www.773grp.com/globalSearch/REG103UA-5-2K5/page-1", "REG103UA-5-2K5")</f>
        <v>REG103UA-5-2K5</v>
      </c>
      <c r="B9741" s="3" t="s">
        <v>90</v>
      </c>
      <c r="C9741" s="5">
        <v>12500</v>
      </c>
      <c r="D9741" s="6">
        <v>6.3</v>
      </c>
      <c r="E9741" t="s">
        <v>16</v>
      </c>
    </row>
    <row r="9742" spans="1:5" x14ac:dyDescent="0.25">
      <c r="A9742" t="str">
        <f>HYPERLINK("https://www.773grp.com/globalSearch/UCC281DP-5/page-1", "UCC281DP-5")</f>
        <v>UCC281DP-5</v>
      </c>
      <c r="B9742" s="3" t="str">
        <f>HYPERLINK("https://www.773grp.com/manufacturer/texas-instruments?pageNo=193", "Texas Instruments")</f>
        <v>Texas Instruments</v>
      </c>
      <c r="C9742" s="5">
        <v>8877</v>
      </c>
      <c r="D9742" s="6">
        <v>6.5</v>
      </c>
      <c r="E9742" t="s">
        <v>16</v>
      </c>
    </row>
    <row r="9743" spans="1:5" x14ac:dyDescent="0.25">
      <c r="A9743" t="str">
        <f>HYPERLINK("https://www.773grp.com/globalSearch/UCC281DP-5/page-1", "UCC281DP-5")</f>
        <v>UCC281DP-5</v>
      </c>
      <c r="B9743" s="3" t="str">
        <f>HYPERLINK("https://www.773grp.com/manufacturer/texas-instruments?pageNo=194", "Texas Instruments")</f>
        <v>Texas Instruments</v>
      </c>
      <c r="C9743" s="5">
        <v>9513</v>
      </c>
      <c r="D9743" s="6">
        <v>6.5</v>
      </c>
      <c r="E9743" t="s">
        <v>16</v>
      </c>
    </row>
    <row r="9744" spans="1:5" x14ac:dyDescent="0.25">
      <c r="A9744" t="str">
        <f>HYPERLINK("https://www.773grp.com/globalSearch/UCC381DP-3/page-1", "UCC381DP-3")</f>
        <v>UCC381DP-3</v>
      </c>
      <c r="B9744" s="3" t="str">
        <f>HYPERLINK("https://www.773grp.com/manufacturer/texas-instruments?pageNo=199", "Texas Instruments")</f>
        <v>Texas Instruments</v>
      </c>
      <c r="C9744" s="5">
        <v>225</v>
      </c>
      <c r="D9744" s="6">
        <v>6.5</v>
      </c>
      <c r="E9744" t="s">
        <v>16</v>
      </c>
    </row>
    <row r="9745" spans="1:5" x14ac:dyDescent="0.25">
      <c r="A9745" t="str">
        <f>HYPERLINK("https://www.773grp.com/globalSearch/UCC381DP-3/page-1", "UCC381DP-3")</f>
        <v>UCC381DP-3</v>
      </c>
      <c r="B9745" s="3" t="str">
        <f>HYPERLINK("https://www.773grp.com/manufacturer/texas-instruments?pageNo=200", "Texas Instruments")</f>
        <v>Texas Instruments</v>
      </c>
      <c r="C9745" s="5">
        <v>4575</v>
      </c>
      <c r="D9745" s="6">
        <v>6.5</v>
      </c>
      <c r="E9745" t="s">
        <v>16</v>
      </c>
    </row>
    <row r="9746" spans="1:5" x14ac:dyDescent="0.25">
      <c r="A9746" t="str">
        <f>HYPERLINK("https://www.773grp.com/globalSearch/UCC381DP-3/page-1", "UCC381DP-3")</f>
        <v>UCC381DP-3</v>
      </c>
      <c r="B9746" s="3" t="str">
        <f>HYPERLINK("https://www.773grp.com/manufacturer/texas-instruments?pageNo=201", "Texas Instruments")</f>
        <v>Texas Instruments</v>
      </c>
      <c r="C9746" s="5">
        <v>312</v>
      </c>
      <c r="D9746" s="6">
        <v>6.5</v>
      </c>
      <c r="E9746" t="s">
        <v>16</v>
      </c>
    </row>
    <row r="9747" spans="1:5" x14ac:dyDescent="0.25">
      <c r="A9747" t="str">
        <f>HYPERLINK("https://www.773grp.com/globalSearch/UCC381DP-5/page-1", "UCC381DP-5")</f>
        <v>UCC381DP-5</v>
      </c>
      <c r="B9747" s="3" t="str">
        <f>HYPERLINK("https://www.773grp.com/manufacturer/texas-instruments?pageNo=202", "Texas Instruments")</f>
        <v>Texas Instruments</v>
      </c>
      <c r="C9747" s="5">
        <v>13169</v>
      </c>
      <c r="D9747" s="6">
        <v>6.5</v>
      </c>
      <c r="E9747" t="s">
        <v>16</v>
      </c>
    </row>
    <row r="9748" spans="1:5" x14ac:dyDescent="0.25">
      <c r="A9748" t="str">
        <f>HYPERLINK("https://www.773grp.com/globalSearch/UCC381DP-5/page-1", "UCC381DP-5")</f>
        <v>UCC381DP-5</v>
      </c>
      <c r="B9748" s="3" t="str">
        <f>HYPERLINK("https://www.773grp.com/manufacturer/texas-instruments?pageNo=203", "Texas Instruments")</f>
        <v>Texas Instruments</v>
      </c>
      <c r="C9748" s="5">
        <v>5775</v>
      </c>
      <c r="D9748" s="6">
        <v>6.5</v>
      </c>
      <c r="E9748" t="s">
        <v>16</v>
      </c>
    </row>
    <row r="9749" spans="1:5" x14ac:dyDescent="0.25">
      <c r="A9749" t="str">
        <f>HYPERLINK("https://www.773grp.com/globalSearch/REG103GA-2.5-2K5/page-1", "REG103GA-2.5-2K5")</f>
        <v>REG103GA-2.5-2K5</v>
      </c>
      <c r="B9749" s="3" t="str">
        <f>HYPERLINK("https://www.773grp.com/manufacturer/texas-instruments?pageNo=208", "Texas Instruments")</f>
        <v>Texas Instruments</v>
      </c>
      <c r="C9749" s="5">
        <v>10886</v>
      </c>
      <c r="D9749" s="6">
        <v>6.53</v>
      </c>
      <c r="E9749" t="s">
        <v>16</v>
      </c>
    </row>
    <row r="9750" spans="1:5" x14ac:dyDescent="0.25">
      <c r="A9750" t="str">
        <f>HYPERLINK("https://www.773grp.com/globalSearch/REG103GA-3.3-2K5/page-1", "REG103GA-3.3-2K5")</f>
        <v>REG103GA-3.3-2K5</v>
      </c>
      <c r="B9750" s="3" t="str">
        <f>HYPERLINK("https://www.773grp.com/manufacturer/texas-instruments?pageNo=209", "Texas Instruments")</f>
        <v>Texas Instruments</v>
      </c>
      <c r="C9750" s="5">
        <v>22400</v>
      </c>
      <c r="D9750" s="6">
        <v>6.53</v>
      </c>
      <c r="E9750" t="s">
        <v>16</v>
      </c>
    </row>
    <row r="9751" spans="1:5" x14ac:dyDescent="0.25">
      <c r="A9751" t="str">
        <f>HYPERLINK("https://www.773grp.com/globalSearch/REG103GA-5-2K5/page-1", "REG103GA-5-2K5")</f>
        <v>REG103GA-5-2K5</v>
      </c>
      <c r="B9751" s="3" t="str">
        <f>HYPERLINK("https://www.773grp.com/manufacturer/texas-instruments?pageNo=210", "Texas Instruments")</f>
        <v>Texas Instruments</v>
      </c>
      <c r="C9751" s="5">
        <v>1</v>
      </c>
      <c r="D9751" s="6">
        <v>6.53</v>
      </c>
      <c r="E9751" t="s">
        <v>16</v>
      </c>
    </row>
    <row r="9752" spans="1:5" x14ac:dyDescent="0.25">
      <c r="A9752" t="str">
        <f>HYPERLINK("https://www.773grp.com/globalSearch/REG103GA-5-2K5G4/page-1", "REG103GA-5-2K5G4")</f>
        <v>REG103GA-5-2K5G4</v>
      </c>
      <c r="B9752" s="3" t="str">
        <f>HYPERLINK("https://www.773grp.com/manufacturer/texas-instruments?pageNo=211", "Texas Instruments")</f>
        <v>Texas Instruments</v>
      </c>
      <c r="C9752" s="5">
        <v>72</v>
      </c>
      <c r="D9752" s="6">
        <v>6.53</v>
      </c>
      <c r="E9752" t="s">
        <v>16</v>
      </c>
    </row>
    <row r="9753" spans="1:5" x14ac:dyDescent="0.25">
      <c r="A9753" t="str">
        <f>HYPERLINK("https://www.773grp.com/globalSearch/REG104GA-2.5-2K5/page-1", "REG104GA-2.5-2K5")</f>
        <v>REG104GA-2.5-2K5</v>
      </c>
      <c r="B9753" s="3" t="str">
        <f>HYPERLINK("https://www.773grp.com/manufacturer/texas-instruments?pageNo=229", "Texas Instruments")</f>
        <v>Texas Instruments</v>
      </c>
      <c r="C9753" s="5">
        <v>27500</v>
      </c>
      <c r="D9753" s="6">
        <v>6.55</v>
      </c>
      <c r="E9753" t="s">
        <v>16</v>
      </c>
    </row>
    <row r="9754" spans="1:5" x14ac:dyDescent="0.25">
      <c r="A9754" t="str">
        <f>HYPERLINK("https://www.773grp.com/globalSearch/REG104GA-3.3-2K5/page-1", "REG104GA-3.3-2K5")</f>
        <v>REG104GA-3.3-2K5</v>
      </c>
      <c r="B9754" s="3" t="str">
        <f>HYPERLINK("https://www.773grp.com/manufacturer/texas-instruments?pageNo=230", "Texas Instruments")</f>
        <v>Texas Instruments</v>
      </c>
      <c r="C9754" s="5">
        <v>51478</v>
      </c>
      <c r="D9754" s="6">
        <v>6.55</v>
      </c>
      <c r="E9754" t="s">
        <v>16</v>
      </c>
    </row>
    <row r="9755" spans="1:5" x14ac:dyDescent="0.25">
      <c r="A9755" t="str">
        <f>HYPERLINK("https://www.773grp.com/globalSearch/REG104GA-5-2K5/page-1", "REG104GA-5-2K5")</f>
        <v>REG104GA-5-2K5</v>
      </c>
      <c r="B9755" s="3" t="str">
        <f>HYPERLINK("https://www.773grp.com/manufacturer/texas-instruments?pageNo=231", "Texas Instruments")</f>
        <v>Texas Instruments</v>
      </c>
      <c r="C9755" s="5">
        <v>24727</v>
      </c>
      <c r="D9755" s="6">
        <v>6.55</v>
      </c>
      <c r="E9755" t="s">
        <v>16</v>
      </c>
    </row>
    <row r="9756" spans="1:5" x14ac:dyDescent="0.25">
      <c r="A9756" t="str">
        <f>HYPERLINK("https://www.773grp.com/globalSearch/REG104GA-2.7/page-1", "REG104GA-2.7")</f>
        <v>REG104GA-2.7</v>
      </c>
      <c r="B9756" s="3" t="str">
        <f>HYPERLINK("https://www.773grp.com/manufacturer/texas-instruments?pageNo=293", "Texas Instruments")</f>
        <v>Texas Instruments</v>
      </c>
      <c r="C9756" s="5">
        <v>19216</v>
      </c>
      <c r="D9756" s="6">
        <v>6.61</v>
      </c>
      <c r="E9756" t="s">
        <v>16</v>
      </c>
    </row>
    <row r="9757" spans="1:5" x14ac:dyDescent="0.25">
      <c r="A9757" t="str">
        <f>HYPERLINK("https://www.773grp.com/globalSearch/REG104GA-2.7-2K5/page-1", "REG104GA-2.7-2K5")</f>
        <v>REG104GA-2.7-2K5</v>
      </c>
      <c r="B9757" s="3" t="str">
        <f>HYPERLINK("https://www.773grp.com/manufacturer/texas-instruments?pageNo=294", "Texas Instruments")</f>
        <v>Texas Instruments</v>
      </c>
      <c r="C9757" s="5">
        <v>2500</v>
      </c>
      <c r="D9757" s="6">
        <v>6.61</v>
      </c>
      <c r="E9757" t="s">
        <v>16</v>
      </c>
    </row>
    <row r="9758" spans="1:5" x14ac:dyDescent="0.25">
      <c r="A9758" t="str">
        <f>HYPERLINK("https://www.773grp.com/globalSearch/REG104GA-3-2K5/page-1", "REG104GA-3-2K5")</f>
        <v>REG104GA-3-2K5</v>
      </c>
      <c r="B9758" s="3" t="str">
        <f>HYPERLINK("https://www.773grp.com/manufacturer/texas-instruments?pageNo=295", "Texas Instruments")</f>
        <v>Texas Instruments</v>
      </c>
      <c r="C9758" s="5">
        <v>2300</v>
      </c>
      <c r="D9758" s="6">
        <v>6.61</v>
      </c>
      <c r="E9758" t="s">
        <v>16</v>
      </c>
    </row>
    <row r="9759" spans="1:5" x14ac:dyDescent="0.25">
      <c r="A9759" t="str">
        <f>HYPERLINK("https://www.773grp.com/globalSearch/TPS75115QPWP/page-1", "TPS75115QPWP")</f>
        <v>TPS75115QPWP</v>
      </c>
      <c r="B9759" s="3" t="str">
        <f>HYPERLINK("https://www.773grp.com/manufacturer/texas-instruments?pageNo=536", "Texas Instruments")</f>
        <v>Texas Instruments</v>
      </c>
      <c r="C9759" s="5">
        <v>12263</v>
      </c>
      <c r="D9759" s="6">
        <v>6.75</v>
      </c>
      <c r="E9759" t="s">
        <v>16</v>
      </c>
    </row>
    <row r="9760" spans="1:5" x14ac:dyDescent="0.25">
      <c r="A9760" t="str">
        <f>HYPERLINK("https://www.773grp.com/globalSearch/TPS75118QPWP/page-1", "TPS75118QPWP")</f>
        <v>TPS75118QPWP</v>
      </c>
      <c r="B9760" s="3" t="str">
        <f>HYPERLINK("https://www.773grp.com/manufacturer/texas-instruments?pageNo=537", "Texas Instruments")</f>
        <v>Texas Instruments</v>
      </c>
      <c r="C9760" s="5">
        <v>6924</v>
      </c>
      <c r="D9760" s="6">
        <v>6.75</v>
      </c>
      <c r="E9760" t="s">
        <v>16</v>
      </c>
    </row>
    <row r="9761" spans="1:5" x14ac:dyDescent="0.25">
      <c r="A9761" t="str">
        <f>HYPERLINK("https://www.773grp.com/globalSearch/TPS75125QPWP/page-1", "TPS75125QPWP")</f>
        <v>TPS75125QPWP</v>
      </c>
      <c r="B9761" s="3" t="str">
        <f>HYPERLINK("https://www.773grp.com/manufacturer/texas-instruments?pageNo=538", "Texas Instruments")</f>
        <v>Texas Instruments</v>
      </c>
      <c r="C9761" s="5">
        <v>7293</v>
      </c>
      <c r="D9761" s="6">
        <v>6.75</v>
      </c>
      <c r="E9761" t="s">
        <v>16</v>
      </c>
    </row>
    <row r="9762" spans="1:5" x14ac:dyDescent="0.25">
      <c r="A9762" t="str">
        <f>HYPERLINK("https://www.773grp.com/globalSearch/TPS75133QPWP/page-1", "TPS75133QPWP")</f>
        <v>TPS75133QPWP</v>
      </c>
      <c r="B9762" s="3" t="str">
        <f>HYPERLINK("https://www.773grp.com/manufacturer/texas-instruments?pageNo=539", "Texas Instruments")</f>
        <v>Texas Instruments</v>
      </c>
      <c r="C9762" s="5">
        <v>5089</v>
      </c>
      <c r="D9762" s="6">
        <v>6.75</v>
      </c>
      <c r="E9762" t="s">
        <v>16</v>
      </c>
    </row>
    <row r="9763" spans="1:5" x14ac:dyDescent="0.25">
      <c r="A9763" t="str">
        <f>HYPERLINK("https://www.773grp.com/globalSearch/TPS75225QPWPREP/page-1", "TPS75225QPWPREP")</f>
        <v>TPS75225QPWPREP</v>
      </c>
      <c r="B9763" s="3" t="str">
        <f>HYPERLINK("https://www.773grp.com/manufacturer/texas-instruments?pageNo=685", "Texas Instruments")</f>
        <v>Texas Instruments</v>
      </c>
      <c r="C9763" s="5">
        <v>1800</v>
      </c>
      <c r="D9763" s="6">
        <v>6.89</v>
      </c>
      <c r="E9763" t="s">
        <v>16</v>
      </c>
    </row>
    <row r="9764" spans="1:5" x14ac:dyDescent="0.25">
      <c r="A9764" t="str">
        <f>HYPERLINK("https://www.773grp.com/globalSearch/TPS75233QPWPREP/page-1", "TPS75233QPWPREP")</f>
        <v>TPS75233QPWPREP</v>
      </c>
      <c r="B9764" s="3" t="str">
        <f>HYPERLINK("https://www.773grp.com/manufacturer/texas-instruments?pageNo=686", "Texas Instruments")</f>
        <v>Texas Instruments</v>
      </c>
      <c r="C9764" s="5">
        <v>3599</v>
      </c>
      <c r="D9764" s="6">
        <v>6.89</v>
      </c>
      <c r="E9764" t="s">
        <v>16</v>
      </c>
    </row>
    <row r="9765" spans="1:5" x14ac:dyDescent="0.25">
      <c r="A9765" t="str">
        <f>HYPERLINK("https://www.773grp.com/globalSearch/TPS77515MPWPREP/page-1", "TPS77515MPWPREP")</f>
        <v>TPS77515MPWPREP</v>
      </c>
      <c r="B9765" s="3" t="str">
        <f>HYPERLINK("https://www.773grp.com/manufacturer/texas-instruments?pageNo=687", "Texas Instruments")</f>
        <v>Texas Instruments</v>
      </c>
      <c r="C9765" s="5">
        <v>2436</v>
      </c>
      <c r="D9765" s="6">
        <v>6.89</v>
      </c>
      <c r="E9765" t="s">
        <v>16</v>
      </c>
    </row>
    <row r="9766" spans="1:5" x14ac:dyDescent="0.25">
      <c r="A9766" t="str">
        <f>HYPERLINK("https://www.773grp.com/globalSearch/TPS77518MPWPREP/page-1", "TPS77518MPWPREP")</f>
        <v>TPS77518MPWPREP</v>
      </c>
      <c r="B9766" s="3" t="str">
        <f>HYPERLINK("https://www.773grp.com/manufacturer/texas-instruments?pageNo=688", "Texas Instruments")</f>
        <v>Texas Instruments</v>
      </c>
      <c r="C9766" s="5">
        <v>4439</v>
      </c>
      <c r="D9766" s="6">
        <v>6.89</v>
      </c>
      <c r="E9766" t="s">
        <v>16</v>
      </c>
    </row>
    <row r="9767" spans="1:5" x14ac:dyDescent="0.25">
      <c r="A9767" t="str">
        <f>HYPERLINK("https://www.773grp.com/globalSearch/TPS77525MPWPREP/page-1", "TPS77525MPWPREP")</f>
        <v>TPS77525MPWPREP</v>
      </c>
      <c r="B9767" s="3" t="str">
        <f>HYPERLINK("https://www.773grp.com/manufacturer/texas-instruments?pageNo=689", "Texas Instruments")</f>
        <v>Texas Instruments</v>
      </c>
      <c r="C9767" s="5">
        <v>410</v>
      </c>
      <c r="D9767" s="6">
        <v>6.89</v>
      </c>
      <c r="E9767" t="s">
        <v>16</v>
      </c>
    </row>
    <row r="9768" spans="1:5" x14ac:dyDescent="0.25">
      <c r="A9768" t="str">
        <f>HYPERLINK("https://www.773grp.com/globalSearch/TPS77533MPWPREP/page-1", "TPS77533MPWPREP")</f>
        <v>TPS77533MPWPREP</v>
      </c>
      <c r="B9768" s="3" t="str">
        <f>HYPERLINK("https://www.773grp.com/manufacturer/texas-instruments?pageNo=690", "Texas Instruments")</f>
        <v>Texas Instruments</v>
      </c>
      <c r="C9768" s="5">
        <v>2718</v>
      </c>
      <c r="D9768" s="6">
        <v>6.89</v>
      </c>
      <c r="E9768" t="s">
        <v>16</v>
      </c>
    </row>
    <row r="9769" spans="1:5" x14ac:dyDescent="0.25">
      <c r="A9769" t="str">
        <f>HYPERLINK("https://www.773grp.com/globalSearch/LM2930-5KC/page-1", "LM2930-5KC")</f>
        <v>LM2930-5KC</v>
      </c>
      <c r="B9769" s="3" t="str">
        <f>HYPERLINK("https://www.773grp.com/manufacturer/texas-instruments?pageNo=781", "Texas Instruments")</f>
        <v>Texas Instruments</v>
      </c>
      <c r="C9769" s="5">
        <v>5437</v>
      </c>
      <c r="D9769" s="6">
        <v>7.04</v>
      </c>
      <c r="E9769" t="s">
        <v>16</v>
      </c>
    </row>
    <row r="9770" spans="1:5" x14ac:dyDescent="0.25">
      <c r="A9770" t="str">
        <f>HYPERLINK("https://www.773grp.com/globalSearch/TPS75515KC/page-1", "TPS75515KC")</f>
        <v>TPS75515KC</v>
      </c>
      <c r="B9770" s="3" t="str">
        <f>HYPERLINK("https://www.773grp.com/manufacturer/texas-instruments?pageNo=876", "Texas Instruments")</f>
        <v>Texas Instruments</v>
      </c>
      <c r="C9770" s="5">
        <v>6496</v>
      </c>
      <c r="D9770" s="6">
        <v>7.04</v>
      </c>
      <c r="E9770" t="s">
        <v>16</v>
      </c>
    </row>
    <row r="9771" spans="1:5" x14ac:dyDescent="0.25">
      <c r="A9771" t="str">
        <f>HYPERLINK("https://www.773grp.com/globalSearch/TPS75515KTTR/page-1", "TPS75515KTTR")</f>
        <v>TPS75515KTTR</v>
      </c>
      <c r="B9771" s="3" t="str">
        <f>HYPERLINK("https://www.773grp.com/manufacturer/texas-instruments?pageNo=877", "Texas Instruments")</f>
        <v>Texas Instruments</v>
      </c>
      <c r="C9771" s="5">
        <v>24500</v>
      </c>
      <c r="D9771" s="6">
        <v>7.04</v>
      </c>
      <c r="E9771" t="s">
        <v>16</v>
      </c>
    </row>
    <row r="9772" spans="1:5" x14ac:dyDescent="0.25">
      <c r="A9772" t="str">
        <f>HYPERLINK("https://www.773grp.com/globalSearch/TPS75518KC/page-1", "TPS75518KC")</f>
        <v>TPS75518KC</v>
      </c>
      <c r="B9772" s="3" t="str">
        <f>HYPERLINK("https://www.773grp.com/manufacturer/texas-instruments?pageNo=878", "Texas Instruments")</f>
        <v>Texas Instruments</v>
      </c>
      <c r="C9772" s="5">
        <v>9165</v>
      </c>
      <c r="D9772" s="6">
        <v>7.04</v>
      </c>
      <c r="E9772" t="s">
        <v>16</v>
      </c>
    </row>
    <row r="9773" spans="1:5" x14ac:dyDescent="0.25">
      <c r="A9773" t="str">
        <f>HYPERLINK("https://www.773grp.com/globalSearch/TPS75518KTTR/page-1", "TPS75518KTTR")</f>
        <v>TPS75518KTTR</v>
      </c>
      <c r="B9773" s="3" t="str">
        <f>HYPERLINK("https://www.773grp.com/manufacturer/texas-instruments?pageNo=879", "Texas Instruments")</f>
        <v>Texas Instruments</v>
      </c>
      <c r="C9773" s="5">
        <v>13000</v>
      </c>
      <c r="D9773" s="6">
        <v>7.04</v>
      </c>
      <c r="E9773" t="s">
        <v>16</v>
      </c>
    </row>
    <row r="9774" spans="1:5" x14ac:dyDescent="0.25">
      <c r="A9774" t="str">
        <f>HYPERLINK("https://www.773grp.com/globalSearch/TPS75525KC/page-1", "TPS75525KC")</f>
        <v>TPS75525KC</v>
      </c>
      <c r="B9774" s="3" t="str">
        <f>HYPERLINK("https://www.773grp.com/manufacturer/texas-instruments?pageNo=880", "Texas Instruments")</f>
        <v>Texas Instruments</v>
      </c>
      <c r="C9774" s="5">
        <v>8367</v>
      </c>
      <c r="D9774" s="6">
        <v>7.04</v>
      </c>
      <c r="E9774" t="s">
        <v>16</v>
      </c>
    </row>
    <row r="9775" spans="1:5" x14ac:dyDescent="0.25">
      <c r="A9775" t="str">
        <f>HYPERLINK("https://www.773grp.com/globalSearch/TPS75525KTTR/page-1", "TPS75525KTTR")</f>
        <v>TPS75525KTTR</v>
      </c>
      <c r="B9775" s="3" t="str">
        <f>HYPERLINK("https://www.773grp.com/manufacturer/texas-instruments?pageNo=881", "Texas Instruments")</f>
        <v>Texas Instruments</v>
      </c>
      <c r="C9775" s="5">
        <v>14951</v>
      </c>
      <c r="D9775" s="6">
        <v>7.04</v>
      </c>
      <c r="E9775" t="s">
        <v>16</v>
      </c>
    </row>
    <row r="9776" spans="1:5" x14ac:dyDescent="0.25">
      <c r="A9776" t="str">
        <f>HYPERLINK("https://www.773grp.com/globalSearch/TPS75533KC/page-1", "TPS75533KC")</f>
        <v>TPS75533KC</v>
      </c>
      <c r="B9776" s="3" t="str">
        <f>HYPERLINK("https://www.773grp.com/manufacturer/texas-instruments?pageNo=882", "Texas Instruments")</f>
        <v>Texas Instruments</v>
      </c>
      <c r="C9776" s="5">
        <v>6882</v>
      </c>
      <c r="D9776" s="6">
        <v>7.04</v>
      </c>
      <c r="E9776" t="s">
        <v>16</v>
      </c>
    </row>
    <row r="9777" spans="1:5" x14ac:dyDescent="0.25">
      <c r="A9777" t="str">
        <f>HYPERLINK("https://www.773grp.com/globalSearch/TPS75533KTTR/page-1", "TPS75533KTTR")</f>
        <v>TPS75533KTTR</v>
      </c>
      <c r="B9777" s="3" t="str">
        <f>HYPERLINK("https://www.773grp.com/manufacturer/texas-instruments?pageNo=883", "Texas Instruments")</f>
        <v>Texas Instruments</v>
      </c>
      <c r="C9777" s="5">
        <v>2300</v>
      </c>
      <c r="D9777" s="6">
        <v>7.04</v>
      </c>
      <c r="E9777" t="s">
        <v>16</v>
      </c>
    </row>
    <row r="9778" spans="1:5" x14ac:dyDescent="0.25">
      <c r="A9778" t="str">
        <f>HYPERLINK("https://www.773grp.com/globalSearch/TPS75615KC/page-1", "TPS75615KC")</f>
        <v>TPS75615KC</v>
      </c>
      <c r="B9778" s="3" t="str">
        <f>HYPERLINK("https://www.773grp.com/manufacturer/texas-instruments?pageNo=886", "Texas Instruments")</f>
        <v>Texas Instruments</v>
      </c>
      <c r="C9778" s="5">
        <v>7673</v>
      </c>
      <c r="D9778" s="6">
        <v>7.04</v>
      </c>
      <c r="E9778" t="s">
        <v>16</v>
      </c>
    </row>
    <row r="9779" spans="1:5" x14ac:dyDescent="0.25">
      <c r="A9779" t="str">
        <f>HYPERLINK("https://www.773grp.com/globalSearch/TPS75618KC/page-1", "TPS75618KC")</f>
        <v>TPS75618KC</v>
      </c>
      <c r="B9779" s="3" t="str">
        <f>HYPERLINK("https://www.773grp.com/manufacturer/texas-instruments?pageNo=887", "Texas Instruments")</f>
        <v>Texas Instruments</v>
      </c>
      <c r="C9779" s="5">
        <v>12607</v>
      </c>
      <c r="D9779" s="6">
        <v>7.04</v>
      </c>
      <c r="E9779" t="s">
        <v>16</v>
      </c>
    </row>
    <row r="9780" spans="1:5" x14ac:dyDescent="0.25">
      <c r="A9780" t="str">
        <f>HYPERLINK("https://www.773grp.com/globalSearch/TPS75625KC/page-1", "TPS75625KC")</f>
        <v>TPS75625KC</v>
      </c>
      <c r="B9780" s="3" t="str">
        <f>HYPERLINK("https://www.773grp.com/manufacturer/texas-instruments?pageNo=888", "Texas Instruments")</f>
        <v>Texas Instruments</v>
      </c>
      <c r="C9780" s="5">
        <v>11934</v>
      </c>
      <c r="D9780" s="6">
        <v>7.04</v>
      </c>
      <c r="E9780" t="s">
        <v>16</v>
      </c>
    </row>
    <row r="9781" spans="1:5" x14ac:dyDescent="0.25">
      <c r="A9781" t="str">
        <f>HYPERLINK("https://www.773grp.com/globalSearch/TPS75625KTTR/page-1", "TPS75625KTTR")</f>
        <v>TPS75625KTTR</v>
      </c>
      <c r="B9781" s="3" t="str">
        <f>HYPERLINK("https://www.773grp.com/manufacturer/texas-instruments?pageNo=889", "Texas Instruments")</f>
        <v>Texas Instruments</v>
      </c>
      <c r="C9781" s="5">
        <v>9000</v>
      </c>
      <c r="D9781" s="6">
        <v>7.04</v>
      </c>
      <c r="E9781" t="s">
        <v>16</v>
      </c>
    </row>
    <row r="9782" spans="1:5" x14ac:dyDescent="0.25">
      <c r="A9782" t="str">
        <f>HYPERLINK("https://www.773grp.com/globalSearch/TPS75633KC/page-1", "TPS75633KC")</f>
        <v>TPS75633KC</v>
      </c>
      <c r="B9782" s="3" t="str">
        <f>HYPERLINK("https://www.773grp.com/manufacturer/texas-instruments?pageNo=890", "Texas Instruments")</f>
        <v>Texas Instruments</v>
      </c>
      <c r="C9782" s="5">
        <v>3538</v>
      </c>
      <c r="D9782" s="6">
        <v>7.04</v>
      </c>
      <c r="E9782" t="s">
        <v>16</v>
      </c>
    </row>
    <row r="9783" spans="1:5" x14ac:dyDescent="0.25">
      <c r="A9783" t="str">
        <f>HYPERLINK("https://www.773grp.com/globalSearch/TPPM0302DGN/page-1", "TPPM0302DGN")</f>
        <v>TPPM0302DGN</v>
      </c>
      <c r="B9783" s="3" t="str">
        <f>HYPERLINK("https://www.773grp.com/manufacturer/texas-instruments?pageNo=918", "Texas Instruments")</f>
        <v>Texas Instruments</v>
      </c>
      <c r="C9783" s="5">
        <v>31</v>
      </c>
      <c r="D9783" s="6">
        <v>7.05</v>
      </c>
      <c r="E9783" t="s">
        <v>16</v>
      </c>
    </row>
    <row r="9784" spans="1:5" x14ac:dyDescent="0.25">
      <c r="A9784" t="str">
        <f>HYPERLINK("https://www.773grp.com/globalSearch/TPS71H33QPWPRQ1/page-1", "TPS71H33QPWPRQ1")</f>
        <v>TPS71H33QPWPRQ1</v>
      </c>
      <c r="B9784" s="3" t="s">
        <v>90</v>
      </c>
      <c r="C9784" s="5">
        <v>21904</v>
      </c>
      <c r="D9784" s="6">
        <v>7.18</v>
      </c>
      <c r="E9784" t="s">
        <v>16</v>
      </c>
    </row>
    <row r="9785" spans="1:5" x14ac:dyDescent="0.25">
      <c r="A9785" t="str">
        <f>HYPERLINK("https://www.773grp.com/globalSearch/TPS75815KTTT/page-1", "TPS75815KTTT")</f>
        <v>TPS75815KTTT</v>
      </c>
      <c r="B9785" s="3" t="s">
        <v>90</v>
      </c>
      <c r="C9785" s="5">
        <v>6400</v>
      </c>
      <c r="D9785" s="6">
        <v>7.18</v>
      </c>
      <c r="E9785" t="s">
        <v>16</v>
      </c>
    </row>
    <row r="9786" spans="1:5" x14ac:dyDescent="0.25">
      <c r="A9786" t="str">
        <f>HYPERLINK("https://www.773grp.com/globalSearch/TPS75818KTTT/page-1", "TPS75818KTTT")</f>
        <v>TPS75818KTTT</v>
      </c>
      <c r="B9786" s="3" t="s">
        <v>90</v>
      </c>
      <c r="C9786" s="5">
        <v>26850</v>
      </c>
      <c r="D9786" s="6">
        <v>7.18</v>
      </c>
      <c r="E9786" t="s">
        <v>16</v>
      </c>
    </row>
    <row r="9787" spans="1:5" x14ac:dyDescent="0.25">
      <c r="A9787" t="str">
        <f>HYPERLINK("https://www.773grp.com/globalSearch/TPS75825KTTT/page-1", "TPS75825KTTT")</f>
        <v>TPS75825KTTT</v>
      </c>
      <c r="B9787" s="3" t="s">
        <v>90</v>
      </c>
      <c r="C9787" s="5">
        <v>9430</v>
      </c>
      <c r="D9787" s="6">
        <v>7.18</v>
      </c>
      <c r="E9787" t="s">
        <v>16</v>
      </c>
    </row>
    <row r="9788" spans="1:5" x14ac:dyDescent="0.25">
      <c r="A9788" t="str">
        <f>HYPERLINK("https://www.773grp.com/globalSearch/TPS75833KTTT/page-1", "TPS75833KTTT")</f>
        <v>TPS75833KTTT</v>
      </c>
      <c r="B9788" s="3" t="s">
        <v>90</v>
      </c>
      <c r="C9788" s="5">
        <v>5450</v>
      </c>
      <c r="D9788" s="6">
        <v>7.18</v>
      </c>
      <c r="E9788" t="s">
        <v>16</v>
      </c>
    </row>
    <row r="9789" spans="1:5" x14ac:dyDescent="0.25">
      <c r="A9789" t="str">
        <f>HYPERLINK("https://www.773grp.com/globalSearch/TPS758A01KTTT/page-1", "TPS758A01KTTT")</f>
        <v>TPS758A01KTTT</v>
      </c>
      <c r="B9789" s="3" t="s">
        <v>90</v>
      </c>
      <c r="C9789" s="5">
        <v>6900</v>
      </c>
      <c r="D9789" s="6">
        <v>7.18</v>
      </c>
      <c r="E9789" t="s">
        <v>16</v>
      </c>
    </row>
    <row r="9790" spans="1:5" x14ac:dyDescent="0.25">
      <c r="A9790" t="str">
        <f>HYPERLINK("https://www.773grp.com/globalSearch/TPS75715KTT/page-1", "TPS75715KTT")</f>
        <v>TPS75715KTT</v>
      </c>
      <c r="B9790" s="3" t="s">
        <v>90</v>
      </c>
      <c r="C9790" s="5">
        <v>120</v>
      </c>
      <c r="D9790" s="6">
        <v>7.23</v>
      </c>
      <c r="E9790" t="s">
        <v>16</v>
      </c>
    </row>
    <row r="9791" spans="1:5" x14ac:dyDescent="0.25">
      <c r="A9791" t="str">
        <f>HYPERLINK("https://www.773grp.com/globalSearch/TPS75725KTT/page-1", "TPS75725KTT")</f>
        <v>TPS75725KTT</v>
      </c>
      <c r="B9791" s="3" t="s">
        <v>90</v>
      </c>
      <c r="C9791" s="5">
        <v>4000</v>
      </c>
      <c r="D9791" s="6">
        <v>7.23</v>
      </c>
      <c r="E9791" t="s">
        <v>16</v>
      </c>
    </row>
    <row r="9792" spans="1:5" x14ac:dyDescent="0.25">
      <c r="A9792" t="str">
        <f>HYPERLINK("https://www.773grp.com/globalSearch/UC382TD-2/page-1", "UC382TD-2")</f>
        <v>UC382TD-2</v>
      </c>
      <c r="B9792" s="3" t="s">
        <v>90</v>
      </c>
      <c r="C9792" s="5">
        <v>909</v>
      </c>
      <c r="D9792" s="6">
        <v>7.23</v>
      </c>
      <c r="E9792" t="s">
        <v>16</v>
      </c>
    </row>
    <row r="9793" spans="1:5" x14ac:dyDescent="0.25">
      <c r="A9793" t="str">
        <f>HYPERLINK("https://www.773grp.com/globalSearch/TPS75915KC/page-1", "TPS75915KC")</f>
        <v>TPS75915KC</v>
      </c>
      <c r="B9793" s="3" t="s">
        <v>90</v>
      </c>
      <c r="C9793" s="5">
        <v>8669</v>
      </c>
      <c r="D9793" s="6">
        <v>7.31</v>
      </c>
      <c r="E9793" t="s">
        <v>16</v>
      </c>
    </row>
    <row r="9794" spans="1:5" x14ac:dyDescent="0.25">
      <c r="A9794" t="str">
        <f>HYPERLINK("https://www.773grp.com/globalSearch/TPS75915KTTR/page-1", "TPS75915KTTR")</f>
        <v>TPS75915KTTR</v>
      </c>
      <c r="B9794" s="3" t="s">
        <v>90</v>
      </c>
      <c r="C9794" s="5">
        <v>8300</v>
      </c>
      <c r="D9794" s="6">
        <v>7.31</v>
      </c>
      <c r="E9794" t="s">
        <v>16</v>
      </c>
    </row>
    <row r="9795" spans="1:5" x14ac:dyDescent="0.25">
      <c r="A9795" t="str">
        <f>HYPERLINK("https://www.773grp.com/globalSearch/TPS75918KC/page-1", "TPS75918KC")</f>
        <v>TPS75918KC</v>
      </c>
      <c r="B9795" s="3" t="s">
        <v>90</v>
      </c>
      <c r="C9795" s="5">
        <v>10080</v>
      </c>
      <c r="D9795" s="6">
        <v>7.31</v>
      </c>
      <c r="E9795" t="s">
        <v>16</v>
      </c>
    </row>
    <row r="9796" spans="1:5" x14ac:dyDescent="0.25">
      <c r="A9796" t="str">
        <f>HYPERLINK("https://www.773grp.com/globalSearch/TPS75925KC/page-1", "TPS75925KC")</f>
        <v>TPS75925KC</v>
      </c>
      <c r="B9796" s="3" t="s">
        <v>90</v>
      </c>
      <c r="C9796" s="5">
        <v>4457</v>
      </c>
      <c r="D9796" s="6">
        <v>7.31</v>
      </c>
      <c r="E9796" t="s">
        <v>16</v>
      </c>
    </row>
    <row r="9797" spans="1:5" x14ac:dyDescent="0.25">
      <c r="A9797" t="str">
        <f>HYPERLINK("https://www.773grp.com/globalSearch/TPS75925KTTR/page-1", "TPS75925KTTR")</f>
        <v>TPS75925KTTR</v>
      </c>
      <c r="B9797" s="3" t="s">
        <v>90</v>
      </c>
      <c r="C9797" s="5">
        <v>6418</v>
      </c>
      <c r="D9797" s="6">
        <v>7.31</v>
      </c>
      <c r="E9797" t="s">
        <v>16</v>
      </c>
    </row>
    <row r="9798" spans="1:5" x14ac:dyDescent="0.25">
      <c r="A9798" t="str">
        <f>HYPERLINK("https://www.773grp.com/globalSearch/TPS75933KC/page-1", "TPS75933KC")</f>
        <v>TPS75933KC</v>
      </c>
      <c r="B9798" s="3" t="s">
        <v>90</v>
      </c>
      <c r="C9798" s="5">
        <v>8512</v>
      </c>
      <c r="D9798" s="6">
        <v>7.31</v>
      </c>
      <c r="E9798" t="s">
        <v>16</v>
      </c>
    </row>
    <row r="9799" spans="1:5" x14ac:dyDescent="0.25">
      <c r="A9799" t="str">
        <f>HYPERLINK("https://www.773grp.com/globalSearch/TPS75933KTTR/page-1", "TPS75933KTTR")</f>
        <v>TPS75933KTTR</v>
      </c>
      <c r="B9799" s="3" t="s">
        <v>90</v>
      </c>
      <c r="C9799" s="5">
        <v>22500</v>
      </c>
      <c r="D9799" s="6">
        <v>7.31</v>
      </c>
      <c r="E9799" t="s">
        <v>16</v>
      </c>
    </row>
    <row r="9800" spans="1:5" x14ac:dyDescent="0.25">
      <c r="A9800" t="str">
        <f>HYPERLINK("https://www.773grp.com/globalSearch/UC282TDKTTT-2/page-1", "UC282TDKTTT-2")</f>
        <v>UC282TDKTTT-2</v>
      </c>
      <c r="B9800" s="3" t="s">
        <v>90</v>
      </c>
      <c r="C9800" s="5">
        <v>11300</v>
      </c>
      <c r="D9800" s="6">
        <v>7.46</v>
      </c>
      <c r="E9800" t="s">
        <v>16</v>
      </c>
    </row>
    <row r="9801" spans="1:5" x14ac:dyDescent="0.25">
      <c r="A9801" t="str">
        <f>HYPERLINK("https://www.773grp.com/globalSearch/REG103UA-2.5/page-1", "REG103UA-2.5")</f>
        <v>REG103UA-2.5</v>
      </c>
      <c r="B9801" s="3" t="s">
        <v>90</v>
      </c>
      <c r="C9801" s="5">
        <v>16730</v>
      </c>
      <c r="D9801" s="6">
        <v>7.56</v>
      </c>
      <c r="E9801" t="s">
        <v>16</v>
      </c>
    </row>
    <row r="9802" spans="1:5" x14ac:dyDescent="0.25">
      <c r="A9802" t="str">
        <f>HYPERLINK("https://www.773grp.com/globalSearch/REG103UA-3.3/page-1", "REG103UA-3.3")</f>
        <v>REG103UA-3.3</v>
      </c>
      <c r="B9802" s="3" t="s">
        <v>90</v>
      </c>
      <c r="C9802" s="5">
        <v>26</v>
      </c>
      <c r="D9802" s="6">
        <v>7.56</v>
      </c>
      <c r="E9802" t="s">
        <v>16</v>
      </c>
    </row>
    <row r="9803" spans="1:5" x14ac:dyDescent="0.25">
      <c r="A9803" t="str">
        <f>HYPERLINK("https://www.773grp.com/globalSearch/UC382TDTR-2/page-1", "UC382TDTR-2")</f>
        <v>UC382TDTR-2</v>
      </c>
      <c r="B9803" s="3" t="s">
        <v>90</v>
      </c>
      <c r="C9803" s="5">
        <v>7500</v>
      </c>
      <c r="D9803" s="6">
        <v>7.6</v>
      </c>
      <c r="E9803" t="s">
        <v>16</v>
      </c>
    </row>
    <row r="9804" spans="1:5" x14ac:dyDescent="0.25">
      <c r="A9804" t="str">
        <f>HYPERLINK("https://www.773grp.com/globalSearch/REG104FA-3/page-1", "REG104FA-3")</f>
        <v>REG104FA-3</v>
      </c>
      <c r="B9804" s="3" t="s">
        <v>90</v>
      </c>
      <c r="C9804" s="5">
        <v>294</v>
      </c>
      <c r="D9804" s="6">
        <v>7.71</v>
      </c>
      <c r="E9804" t="s">
        <v>16</v>
      </c>
    </row>
    <row r="9805" spans="1:5" x14ac:dyDescent="0.25">
      <c r="A9805" t="str">
        <f>HYPERLINK("https://www.773grp.com/globalSearch/REG103GA-2.5/page-1", "REG103GA-2.5")</f>
        <v>REG103GA-2.5</v>
      </c>
      <c r="B9805" s="3" t="s">
        <v>90</v>
      </c>
      <c r="C9805" s="5">
        <v>18300</v>
      </c>
      <c r="D9805" s="6">
        <v>7.81</v>
      </c>
      <c r="E9805" t="s">
        <v>16</v>
      </c>
    </row>
    <row r="9806" spans="1:5" x14ac:dyDescent="0.25">
      <c r="A9806" t="str">
        <f>HYPERLINK("https://www.773grp.com/globalSearch/REG103GA-3.3/page-1", "REG103GA-3.3")</f>
        <v>REG103GA-3.3</v>
      </c>
      <c r="B9806" s="3" t="s">
        <v>90</v>
      </c>
      <c r="C9806" s="5">
        <v>16666</v>
      </c>
      <c r="D9806" s="6">
        <v>7.81</v>
      </c>
      <c r="E9806" t="s">
        <v>16</v>
      </c>
    </row>
    <row r="9807" spans="1:5" x14ac:dyDescent="0.25">
      <c r="A9807" t="str">
        <f>HYPERLINK("https://www.773grp.com/globalSearch/REG103GA-3.3/page-1", "REG103GA-3.3")</f>
        <v>REG103GA-3.3</v>
      </c>
      <c r="B9807" s="3" t="s">
        <v>90</v>
      </c>
      <c r="C9807" s="5">
        <v>1248</v>
      </c>
      <c r="D9807" s="6">
        <v>7.81</v>
      </c>
      <c r="E9807" t="s">
        <v>16</v>
      </c>
    </row>
    <row r="9808" spans="1:5" x14ac:dyDescent="0.25">
      <c r="A9808" t="str">
        <f>HYPERLINK("https://www.773grp.com/globalSearch/REG103GA-5/page-1", "REG103GA-5")</f>
        <v>REG103GA-5</v>
      </c>
      <c r="B9808" s="3" t="s">
        <v>90</v>
      </c>
      <c r="C9808" s="5">
        <v>599</v>
      </c>
      <c r="D9808" s="6">
        <v>7.81</v>
      </c>
      <c r="E9808" t="s">
        <v>16</v>
      </c>
    </row>
    <row r="9809" spans="1:5" x14ac:dyDescent="0.25">
      <c r="A9809" t="str">
        <f>HYPERLINK("https://www.773grp.com/globalSearch/UC282TDKTTT-1/page-1", "UC282TDKTTT-1")</f>
        <v>UC282TDKTTT-1</v>
      </c>
      <c r="B9809" s="3" t="s">
        <v>90</v>
      </c>
      <c r="C9809" s="5">
        <v>12460</v>
      </c>
      <c r="D9809" s="6">
        <v>7.81</v>
      </c>
      <c r="E9809" t="s">
        <v>16</v>
      </c>
    </row>
    <row r="9810" spans="1:5" x14ac:dyDescent="0.25">
      <c r="A9810" t="str">
        <f>HYPERLINK("https://www.773grp.com/globalSearch/UC282TDKTTT-3/page-1", "UC282TDKTTT-3")</f>
        <v>UC282TDKTTT-3</v>
      </c>
      <c r="B9810" s="3" t="s">
        <v>90</v>
      </c>
      <c r="C9810" s="5">
        <v>7850</v>
      </c>
      <c r="D9810" s="6">
        <v>7.81</v>
      </c>
      <c r="E9810" t="s">
        <v>16</v>
      </c>
    </row>
    <row r="9811" spans="1:5" x14ac:dyDescent="0.25">
      <c r="A9811" t="str">
        <f>HYPERLINK("https://www.773grp.com/globalSearch/UC282TDTR-1/page-1", "UC282TDTR-1")</f>
        <v>UC282TDTR-1</v>
      </c>
      <c r="B9811" s="3" t="s">
        <v>90</v>
      </c>
      <c r="C9811" s="5">
        <v>11000</v>
      </c>
      <c r="D9811" s="6">
        <v>7.81</v>
      </c>
      <c r="E9811" t="s">
        <v>16</v>
      </c>
    </row>
    <row r="9812" spans="1:5" x14ac:dyDescent="0.25">
      <c r="A9812" t="str">
        <f>HYPERLINK("https://www.773grp.com/globalSearch/UC282TDTR-1/page-1", "UC282TDTR-1")</f>
        <v>UC282TDTR-1</v>
      </c>
      <c r="B9812" s="3" t="s">
        <v>90</v>
      </c>
      <c r="C9812" s="5">
        <v>500</v>
      </c>
      <c r="D9812" s="6">
        <v>7.81</v>
      </c>
      <c r="E9812" t="s">
        <v>16</v>
      </c>
    </row>
    <row r="9813" spans="1:5" x14ac:dyDescent="0.25">
      <c r="A9813" t="str">
        <f>HYPERLINK("https://www.773grp.com/globalSearch/UC282TDTR-3/page-1", "UC282TDTR-3")</f>
        <v>UC282TDTR-3</v>
      </c>
      <c r="B9813" s="3" t="s">
        <v>90</v>
      </c>
      <c r="C9813" s="5">
        <v>11190</v>
      </c>
      <c r="D9813" s="6">
        <v>7.81</v>
      </c>
      <c r="E9813" t="s">
        <v>16</v>
      </c>
    </row>
    <row r="9814" spans="1:5" x14ac:dyDescent="0.25">
      <c r="A9814" t="str">
        <f>HYPERLINK("https://www.773grp.com/globalSearch/UC382TDKTTT-1/page-1", "UC382TDKTTT-1")</f>
        <v>UC382TDKTTT-1</v>
      </c>
      <c r="B9814" s="3" t="s">
        <v>90</v>
      </c>
      <c r="C9814" s="5">
        <v>12550</v>
      </c>
      <c r="D9814" s="6">
        <v>7.81</v>
      </c>
      <c r="E9814" t="s">
        <v>16</v>
      </c>
    </row>
    <row r="9815" spans="1:5" x14ac:dyDescent="0.25">
      <c r="A9815" t="str">
        <f>HYPERLINK("https://www.773grp.com/globalSearch/UC382TDKTTT-2/page-1", "UC382TDKTTT-2")</f>
        <v>UC382TDKTTT-2</v>
      </c>
      <c r="B9815" s="3" t="s">
        <v>90</v>
      </c>
      <c r="C9815" s="5">
        <v>5700</v>
      </c>
      <c r="D9815" s="6">
        <v>7.81</v>
      </c>
      <c r="E9815" t="s">
        <v>16</v>
      </c>
    </row>
    <row r="9816" spans="1:5" x14ac:dyDescent="0.25">
      <c r="A9816" t="str">
        <f>HYPERLINK("https://www.773grp.com/globalSearch/UC382TDKTTT-3/page-1", "UC382TDKTTT-3")</f>
        <v>UC382TDKTTT-3</v>
      </c>
      <c r="B9816" s="3" t="s">
        <v>90</v>
      </c>
      <c r="C9816" s="5">
        <v>7130</v>
      </c>
      <c r="D9816" s="6">
        <v>7.81</v>
      </c>
      <c r="E9816" t="s">
        <v>16</v>
      </c>
    </row>
    <row r="9817" spans="1:5" x14ac:dyDescent="0.25">
      <c r="A9817" t="str">
        <f>HYPERLINK("https://www.773grp.com/globalSearch/UC382TDTR-1/page-1", "UC382TDTR-1")</f>
        <v>UC382TDTR-1</v>
      </c>
      <c r="B9817" s="3" t="s">
        <v>90</v>
      </c>
      <c r="C9817" s="5">
        <v>13000</v>
      </c>
      <c r="D9817" s="6">
        <v>7.81</v>
      </c>
      <c r="E9817" t="s">
        <v>16</v>
      </c>
    </row>
    <row r="9818" spans="1:5" x14ac:dyDescent="0.25">
      <c r="A9818" t="str">
        <f>HYPERLINK("https://www.773grp.com/globalSearch/UC382TDTR-3/page-1", "UC382TDTR-3")</f>
        <v>UC382TDTR-3</v>
      </c>
      <c r="B9818" s="3" t="s">
        <v>90</v>
      </c>
      <c r="C9818" s="5">
        <v>16500</v>
      </c>
      <c r="D9818" s="6">
        <v>7.81</v>
      </c>
      <c r="E9818" t="s">
        <v>16</v>
      </c>
    </row>
    <row r="9819" spans="1:5" x14ac:dyDescent="0.25">
      <c r="A9819" t="str">
        <f>HYPERLINK("https://www.773grp.com/globalSearch/UCC283TDKTTT-3/page-1", "UCC283TDKTTT-3")</f>
        <v>UCC283TDKTTT-3</v>
      </c>
      <c r="B9819" s="3" t="s">
        <v>90</v>
      </c>
      <c r="C9819" s="5">
        <v>8278</v>
      </c>
      <c r="D9819" s="6">
        <v>7.81</v>
      </c>
      <c r="E9819" t="s">
        <v>16</v>
      </c>
    </row>
    <row r="9820" spans="1:5" x14ac:dyDescent="0.25">
      <c r="A9820" t="str">
        <f>HYPERLINK("https://www.773grp.com/globalSearch/UCC283TDKTTT-5/page-1", "UCC283TDKTTT-5")</f>
        <v>UCC283TDKTTT-5</v>
      </c>
      <c r="B9820" s="3" t="s">
        <v>90</v>
      </c>
      <c r="C9820" s="5">
        <v>7767</v>
      </c>
      <c r="D9820" s="6">
        <v>7.81</v>
      </c>
      <c r="E9820" t="s">
        <v>16</v>
      </c>
    </row>
    <row r="9821" spans="1:5" x14ac:dyDescent="0.25">
      <c r="A9821" t="str">
        <f>HYPERLINK("https://www.773grp.com/globalSearch/UCC283TDTR-3/page-1", "UCC283TDTR-3")</f>
        <v>UCC283TDTR-3</v>
      </c>
      <c r="B9821" s="3" t="s">
        <v>90</v>
      </c>
      <c r="C9821" s="5">
        <v>11650</v>
      </c>
      <c r="D9821" s="6">
        <v>7.81</v>
      </c>
      <c r="E9821" t="s">
        <v>16</v>
      </c>
    </row>
    <row r="9822" spans="1:5" x14ac:dyDescent="0.25">
      <c r="A9822" t="str">
        <f>HYPERLINK("https://www.773grp.com/globalSearch/UCC383TDKTTT-3/page-1", "UCC383TDKTTT-3")</f>
        <v>UCC383TDKTTT-3</v>
      </c>
      <c r="B9822" s="3" t="s">
        <v>90</v>
      </c>
      <c r="C9822" s="5">
        <v>18295</v>
      </c>
      <c r="D9822" s="6">
        <v>7.81</v>
      </c>
      <c r="E9822" t="s">
        <v>16</v>
      </c>
    </row>
    <row r="9823" spans="1:5" x14ac:dyDescent="0.25">
      <c r="A9823" t="str">
        <f>HYPERLINK("https://www.773grp.com/globalSearch/UCC383TDKTTT-5/page-1", "UCC383TDKTTT-5")</f>
        <v>UCC383TDKTTT-5</v>
      </c>
      <c r="B9823" s="3" t="s">
        <v>90</v>
      </c>
      <c r="C9823" s="5">
        <v>16850</v>
      </c>
      <c r="D9823" s="6">
        <v>7.81</v>
      </c>
      <c r="E9823" t="s">
        <v>16</v>
      </c>
    </row>
    <row r="9824" spans="1:5" x14ac:dyDescent="0.25">
      <c r="A9824" t="str">
        <f>HYPERLINK("https://www.773grp.com/globalSearch/UCC383TDTR-3/page-1", "UCC383TDTR-3")</f>
        <v>UCC383TDTR-3</v>
      </c>
      <c r="B9824" s="3" t="s">
        <v>90</v>
      </c>
      <c r="C9824" s="5">
        <v>6226</v>
      </c>
      <c r="D9824" s="6">
        <v>7.81</v>
      </c>
      <c r="E9824" t="s">
        <v>16</v>
      </c>
    </row>
    <row r="9825" spans="1:5" x14ac:dyDescent="0.25">
      <c r="A9825" t="str">
        <f>HYPERLINK("https://www.773grp.com/globalSearch/UCC383TDTR-5/page-1", "UCC383TDTR-5")</f>
        <v>UCC383TDTR-5</v>
      </c>
      <c r="B9825" s="3" t="s">
        <v>90</v>
      </c>
      <c r="C9825" s="5">
        <v>8000</v>
      </c>
      <c r="D9825" s="6">
        <v>7.81</v>
      </c>
      <c r="E9825" t="s">
        <v>16</v>
      </c>
    </row>
    <row r="9826" spans="1:5" x14ac:dyDescent="0.25">
      <c r="A9826" t="str">
        <f>HYPERLINK("https://www.773grp.com/globalSearch/REG103FA-2.5/page-1", "REG103FA-2.5")</f>
        <v>REG103FA-2.5</v>
      </c>
      <c r="B9826" s="3" t="s">
        <v>90</v>
      </c>
      <c r="C9826" s="5">
        <v>196</v>
      </c>
      <c r="D9826" s="6">
        <v>7.88</v>
      </c>
      <c r="E9826" t="s">
        <v>16</v>
      </c>
    </row>
    <row r="9827" spans="1:5" x14ac:dyDescent="0.25">
      <c r="A9827" t="str">
        <f>HYPERLINK("https://www.773grp.com/globalSearch/REG104GA-2.5/page-1", "REG104GA-2.5")</f>
        <v>REG104GA-2.5</v>
      </c>
      <c r="B9827" s="3" t="s">
        <v>90</v>
      </c>
      <c r="C9827" s="5">
        <v>23589</v>
      </c>
      <c r="D9827" s="6">
        <v>7.88</v>
      </c>
      <c r="E9827" t="s">
        <v>16</v>
      </c>
    </row>
    <row r="9828" spans="1:5" x14ac:dyDescent="0.25">
      <c r="A9828" t="str">
        <f>HYPERLINK("https://www.773grp.com/globalSearch/REG104GA-3.3/page-1", "REG104GA-3.3")</f>
        <v>REG104GA-3.3</v>
      </c>
      <c r="B9828" s="3" t="s">
        <v>90</v>
      </c>
      <c r="C9828" s="5">
        <v>851</v>
      </c>
      <c r="D9828" s="6">
        <v>7.88</v>
      </c>
      <c r="E9828" t="s">
        <v>16</v>
      </c>
    </row>
    <row r="9829" spans="1:5" x14ac:dyDescent="0.25">
      <c r="A9829" t="str">
        <f>HYPERLINK("https://www.773grp.com/globalSearch/REG104GA-5/page-1", "REG104GA-5")</f>
        <v>REG104GA-5</v>
      </c>
      <c r="B9829" s="3" t="s">
        <v>90</v>
      </c>
      <c r="C9829" s="5">
        <v>14196</v>
      </c>
      <c r="D9829" s="6">
        <v>7.88</v>
      </c>
      <c r="E9829" t="s">
        <v>16</v>
      </c>
    </row>
    <row r="9830" spans="1:5" x14ac:dyDescent="0.25">
      <c r="A9830" t="str">
        <f>HYPERLINK("https://www.773grp.com/globalSearch/TPS75515KTT/page-1", "TPS75515KTT")</f>
        <v>TPS75515KTT</v>
      </c>
      <c r="B9830" s="3" t="s">
        <v>90</v>
      </c>
      <c r="C9830" s="5">
        <v>1234</v>
      </c>
      <c r="D9830" s="6">
        <v>7.96</v>
      </c>
      <c r="E9830" t="s">
        <v>16</v>
      </c>
    </row>
    <row r="9831" spans="1:5" x14ac:dyDescent="0.25">
      <c r="A9831" t="str">
        <f>HYPERLINK("https://www.773grp.com/globalSearch/TPS75525KTT/page-1", "TPS75525KTT")</f>
        <v>TPS75525KTT</v>
      </c>
      <c r="B9831" s="3" t="s">
        <v>90</v>
      </c>
      <c r="C9831" s="5">
        <v>915</v>
      </c>
      <c r="D9831" s="6">
        <v>7.96</v>
      </c>
      <c r="E9831" t="s">
        <v>16</v>
      </c>
    </row>
    <row r="9832" spans="1:5" x14ac:dyDescent="0.25">
      <c r="A9832" t="str">
        <f>HYPERLINK("https://www.773grp.com/globalSearch/TPS75618KTT/page-1", "TPS75618KTT")</f>
        <v>TPS75618KTT</v>
      </c>
      <c r="B9832" s="3" t="s">
        <v>90</v>
      </c>
      <c r="C9832" s="5">
        <v>50</v>
      </c>
      <c r="D9832" s="6">
        <v>7.96</v>
      </c>
      <c r="E9832" t="s">
        <v>16</v>
      </c>
    </row>
    <row r="9833" spans="1:5" x14ac:dyDescent="0.25">
      <c r="A9833" t="str">
        <f>HYPERLINK("https://www.773grp.com/globalSearch/TPS75515KTTT/page-1", "TPS75515KTTT")</f>
        <v>TPS75515KTTT</v>
      </c>
      <c r="B9833" s="3" t="s">
        <v>90</v>
      </c>
      <c r="C9833" s="5">
        <v>6350</v>
      </c>
      <c r="D9833" s="6">
        <v>8.01</v>
      </c>
      <c r="E9833" t="s">
        <v>16</v>
      </c>
    </row>
    <row r="9834" spans="1:5" x14ac:dyDescent="0.25">
      <c r="A9834" t="str">
        <f>HYPERLINK("https://www.773grp.com/globalSearch/TPS75518KTTT/page-1", "TPS75518KTTT")</f>
        <v>TPS75518KTTT</v>
      </c>
      <c r="B9834" s="3" t="s">
        <v>90</v>
      </c>
      <c r="C9834" s="5">
        <v>20750</v>
      </c>
      <c r="D9834" s="6">
        <v>8.01</v>
      </c>
      <c r="E9834" t="s">
        <v>16</v>
      </c>
    </row>
    <row r="9835" spans="1:5" x14ac:dyDescent="0.25">
      <c r="A9835" t="str">
        <f>HYPERLINK("https://www.773grp.com/globalSearch/TPS75525KTTT/page-1", "TPS75525KTTT")</f>
        <v>TPS75525KTTT</v>
      </c>
      <c r="B9835" s="3" t="s">
        <v>90</v>
      </c>
      <c r="C9835" s="5">
        <v>11275</v>
      </c>
      <c r="D9835" s="6">
        <v>8.01</v>
      </c>
      <c r="E9835" t="s">
        <v>16</v>
      </c>
    </row>
    <row r="9836" spans="1:5" x14ac:dyDescent="0.25">
      <c r="A9836" t="str">
        <f>HYPERLINK("https://www.773grp.com/globalSearch/TPS75533KTTT/page-1", "TPS75533KTTT")</f>
        <v>TPS75533KTTT</v>
      </c>
      <c r="B9836" s="3" t="s">
        <v>90</v>
      </c>
      <c r="C9836" s="5">
        <v>100675</v>
      </c>
      <c r="D9836" s="6">
        <v>8.01</v>
      </c>
      <c r="E9836" t="s">
        <v>16</v>
      </c>
    </row>
    <row r="9837" spans="1:5" x14ac:dyDescent="0.25">
      <c r="A9837" t="str">
        <f>HYPERLINK("https://www.773grp.com/globalSearch/TPS75615KTTT/page-1", "TPS75615KTTT")</f>
        <v>TPS75615KTTT</v>
      </c>
      <c r="B9837" s="3" t="s">
        <v>90</v>
      </c>
      <c r="C9837" s="5">
        <v>2050</v>
      </c>
      <c r="D9837" s="6">
        <v>8.01</v>
      </c>
      <c r="E9837" t="s">
        <v>16</v>
      </c>
    </row>
    <row r="9838" spans="1:5" x14ac:dyDescent="0.25">
      <c r="A9838" t="str">
        <f>HYPERLINK("https://www.773grp.com/globalSearch/TPS75618KTTT/page-1", "TPS75618KTTT")</f>
        <v>TPS75618KTTT</v>
      </c>
      <c r="B9838" s="3" t="s">
        <v>90</v>
      </c>
      <c r="C9838" s="5">
        <v>7650</v>
      </c>
      <c r="D9838" s="6">
        <v>8.01</v>
      </c>
      <c r="E9838" t="s">
        <v>16</v>
      </c>
    </row>
    <row r="9839" spans="1:5" x14ac:dyDescent="0.25">
      <c r="A9839" t="str">
        <f>HYPERLINK("https://www.773grp.com/globalSearch/TPS75625KTTT/page-1", "TPS75625KTTT")</f>
        <v>TPS75625KTTT</v>
      </c>
      <c r="B9839" s="3" t="s">
        <v>90</v>
      </c>
      <c r="C9839" s="5">
        <v>2650</v>
      </c>
      <c r="D9839" s="6">
        <v>8.01</v>
      </c>
      <c r="E9839" t="s">
        <v>16</v>
      </c>
    </row>
    <row r="9840" spans="1:5" x14ac:dyDescent="0.25">
      <c r="A9840" t="str">
        <f>HYPERLINK("https://www.773grp.com/globalSearch/TPS75633KTTT/page-1", "TPS75633KTTT")</f>
        <v>TPS75633KTTT</v>
      </c>
      <c r="B9840" s="3" t="s">
        <v>90</v>
      </c>
      <c r="C9840" s="5">
        <v>9215</v>
      </c>
      <c r="D9840" s="6">
        <v>8.01</v>
      </c>
      <c r="E9840" t="s">
        <v>16</v>
      </c>
    </row>
    <row r="9841" spans="1:5" x14ac:dyDescent="0.25">
      <c r="A9841" t="str">
        <f>HYPERLINK("https://www.773grp.com/globalSearch/REG104FA-2.5-500/page-1", "REG104FA-2.5-500")</f>
        <v>REG104FA-2.5-500</v>
      </c>
      <c r="B9841" s="3" t="s">
        <v>90</v>
      </c>
      <c r="C9841" s="5">
        <v>4000</v>
      </c>
      <c r="D9841" s="6">
        <v>8.1</v>
      </c>
      <c r="E9841" t="s">
        <v>16</v>
      </c>
    </row>
    <row r="9842" spans="1:5" x14ac:dyDescent="0.25">
      <c r="A9842" t="str">
        <f>HYPERLINK("https://www.773grp.com/globalSearch/REG104FA-3.3-500/page-1", "REG104FA-3.3-500")</f>
        <v>REG104FA-3.3-500</v>
      </c>
      <c r="B9842" s="3" t="s">
        <v>90</v>
      </c>
      <c r="C9842" s="5">
        <v>6875</v>
      </c>
      <c r="D9842" s="6">
        <v>8.1</v>
      </c>
      <c r="E9842" t="s">
        <v>16</v>
      </c>
    </row>
    <row r="9843" spans="1:5" x14ac:dyDescent="0.25">
      <c r="A9843" t="str">
        <f>HYPERLINK("https://www.773grp.com/globalSearch/REG104FA-5-500/page-1", "REG104FA-5-500")</f>
        <v>REG104FA-5-500</v>
      </c>
      <c r="B9843" s="3" t="s">
        <v>90</v>
      </c>
      <c r="C9843" s="5">
        <v>13190</v>
      </c>
      <c r="D9843" s="6">
        <v>8.1</v>
      </c>
      <c r="E9843" t="s">
        <v>16</v>
      </c>
    </row>
    <row r="9844" spans="1:5" x14ac:dyDescent="0.25">
      <c r="A9844" t="str">
        <f>HYPERLINK("https://www.773grp.com/globalSearch/REG104FA-2.5/page-1", "REG104FA-2.5")</f>
        <v>REG104FA-2.5</v>
      </c>
      <c r="B9844" s="3" t="s">
        <v>90</v>
      </c>
      <c r="C9844" s="5">
        <v>452</v>
      </c>
      <c r="D9844" s="6">
        <v>8.15</v>
      </c>
      <c r="E9844" t="s">
        <v>16</v>
      </c>
    </row>
    <row r="9845" spans="1:5" x14ac:dyDescent="0.25">
      <c r="A9845" t="str">
        <f>HYPERLINK("https://www.773grp.com/globalSearch/REG104FA-2.7KTTT/page-1", "REG104FA-2.7KTTT")</f>
        <v>REG104FA-2.7KTTT</v>
      </c>
      <c r="B9845" s="3" t="s">
        <v>90</v>
      </c>
      <c r="C9845" s="5">
        <v>6050</v>
      </c>
      <c r="D9845" s="6">
        <v>8.15</v>
      </c>
      <c r="E9845" t="s">
        <v>16</v>
      </c>
    </row>
    <row r="9846" spans="1:5" x14ac:dyDescent="0.25">
      <c r="A9846" t="str">
        <f>HYPERLINK("https://www.773grp.com/globalSearch/REG104FA-3.3/page-1", "REG104FA-3.3")</f>
        <v>REG104FA-3.3</v>
      </c>
      <c r="B9846" s="3" t="s">
        <v>90</v>
      </c>
      <c r="C9846" s="5">
        <v>63</v>
      </c>
      <c r="D9846" s="6">
        <v>8.15</v>
      </c>
      <c r="E9846" t="s">
        <v>16</v>
      </c>
    </row>
    <row r="9847" spans="1:5" x14ac:dyDescent="0.25">
      <c r="A9847" t="str">
        <f>HYPERLINK("https://www.773grp.com/globalSearch/TPS75715KC/page-1", "TPS75715KC")</f>
        <v>TPS75715KC</v>
      </c>
      <c r="B9847" s="3" t="s">
        <v>90</v>
      </c>
      <c r="C9847" s="5">
        <v>7255</v>
      </c>
      <c r="D9847" s="6">
        <v>8.15</v>
      </c>
      <c r="E9847" t="s">
        <v>16</v>
      </c>
    </row>
    <row r="9848" spans="1:5" x14ac:dyDescent="0.25">
      <c r="A9848" t="str">
        <f>HYPERLINK("https://www.773grp.com/globalSearch/TPS75715KTTR/page-1", "TPS75715KTTR")</f>
        <v>TPS75715KTTR</v>
      </c>
      <c r="B9848" s="3" t="s">
        <v>90</v>
      </c>
      <c r="C9848" s="5">
        <v>18000</v>
      </c>
      <c r="D9848" s="6">
        <v>8.15</v>
      </c>
      <c r="E9848" t="s">
        <v>16</v>
      </c>
    </row>
    <row r="9849" spans="1:5" x14ac:dyDescent="0.25">
      <c r="A9849" t="str">
        <f>HYPERLINK("https://www.773grp.com/globalSearch/TPS75718KC/page-1", "TPS75718KC")</f>
        <v>TPS75718KC</v>
      </c>
      <c r="B9849" s="3" t="s">
        <v>90</v>
      </c>
      <c r="C9849" s="5">
        <v>19459</v>
      </c>
      <c r="D9849" s="6">
        <v>8.15</v>
      </c>
      <c r="E9849" t="s">
        <v>16</v>
      </c>
    </row>
    <row r="9850" spans="1:5" x14ac:dyDescent="0.25">
      <c r="A9850" t="str">
        <f>HYPERLINK("https://www.773grp.com/globalSearch/TPS75718KTTR/page-1", "TPS75718KTTR")</f>
        <v>TPS75718KTTR</v>
      </c>
      <c r="B9850" s="3" t="s">
        <v>90</v>
      </c>
      <c r="C9850" s="5">
        <v>9300</v>
      </c>
      <c r="D9850" s="6">
        <v>8.15</v>
      </c>
      <c r="E9850" t="s">
        <v>16</v>
      </c>
    </row>
    <row r="9851" spans="1:5" x14ac:dyDescent="0.25">
      <c r="A9851" t="str">
        <f>HYPERLINK("https://www.773grp.com/globalSearch/TPS75725KC/page-1", "TPS75725KC")</f>
        <v>TPS75725KC</v>
      </c>
      <c r="B9851" s="3" t="s">
        <v>90</v>
      </c>
      <c r="C9851" s="5">
        <v>6962</v>
      </c>
      <c r="D9851" s="6">
        <v>8.15</v>
      </c>
      <c r="E9851" t="s">
        <v>16</v>
      </c>
    </row>
    <row r="9852" spans="1:5" x14ac:dyDescent="0.25">
      <c r="A9852" t="str">
        <f>HYPERLINK("https://www.773grp.com/globalSearch/TPS75725KTTR/page-1", "TPS75725KTTR")</f>
        <v>TPS75725KTTR</v>
      </c>
      <c r="B9852" s="3" t="s">
        <v>90</v>
      </c>
      <c r="C9852" s="5">
        <v>37500</v>
      </c>
      <c r="D9852" s="6">
        <v>8.15</v>
      </c>
      <c r="E9852" t="s">
        <v>16</v>
      </c>
    </row>
    <row r="9853" spans="1:5" x14ac:dyDescent="0.25">
      <c r="A9853" t="str">
        <f>HYPERLINK("https://www.773grp.com/globalSearch/TPS75733KC/page-1", "TPS75733KC")</f>
        <v>TPS75733KC</v>
      </c>
      <c r="B9853" s="3" t="s">
        <v>90</v>
      </c>
      <c r="C9853" s="5">
        <v>8900</v>
      </c>
      <c r="D9853" s="6">
        <v>8.15</v>
      </c>
      <c r="E9853" t="s">
        <v>16</v>
      </c>
    </row>
    <row r="9854" spans="1:5" x14ac:dyDescent="0.25">
      <c r="A9854" t="str">
        <f>HYPERLINK("https://www.773grp.com/globalSearch/TPS75615KTTR/page-1", "TPS75615KTTR")</f>
        <v>TPS75615KTTR</v>
      </c>
      <c r="B9854" s="3" t="s">
        <v>90</v>
      </c>
      <c r="C9854" s="5">
        <v>34880</v>
      </c>
      <c r="D9854" s="6">
        <v>8.44</v>
      </c>
      <c r="E9854" t="s">
        <v>16</v>
      </c>
    </row>
    <row r="9855" spans="1:5" x14ac:dyDescent="0.25">
      <c r="A9855" t="str">
        <f>HYPERLINK("https://www.773grp.com/globalSearch/TPS75633KTTR/page-1", "TPS75633KTTR")</f>
        <v>TPS75633KTTR</v>
      </c>
      <c r="B9855" s="3" t="s">
        <v>90</v>
      </c>
      <c r="C9855" s="5">
        <v>3398</v>
      </c>
      <c r="D9855" s="6">
        <v>8.44</v>
      </c>
      <c r="E9855" t="s">
        <v>16</v>
      </c>
    </row>
    <row r="9856" spans="1:5" x14ac:dyDescent="0.25">
      <c r="A9856" t="str">
        <f>HYPERLINK("https://www.773grp.com/globalSearch/TPS75915KTTT/page-1", "TPS75915KTTT")</f>
        <v>TPS75915KTTT</v>
      </c>
      <c r="B9856" s="3" t="s">
        <v>90</v>
      </c>
      <c r="C9856" s="5">
        <v>8190</v>
      </c>
      <c r="D9856" s="6">
        <v>8.44</v>
      </c>
      <c r="E9856" t="s">
        <v>16</v>
      </c>
    </row>
    <row r="9857" spans="1:5" x14ac:dyDescent="0.25">
      <c r="A9857" t="str">
        <f>HYPERLINK("https://www.773grp.com/globalSearch/TPS75918KTTT/page-1", "TPS75918KTTT")</f>
        <v>TPS75918KTTT</v>
      </c>
      <c r="B9857" s="3" t="s">
        <v>90</v>
      </c>
      <c r="C9857" s="5">
        <v>28500</v>
      </c>
      <c r="D9857" s="6">
        <v>8.44</v>
      </c>
      <c r="E9857" t="s">
        <v>16</v>
      </c>
    </row>
    <row r="9858" spans="1:5" x14ac:dyDescent="0.25">
      <c r="A9858" t="str">
        <f>HYPERLINK("https://www.773grp.com/globalSearch/TPS75925KTTT/page-1", "TPS75925KTTT")</f>
        <v>TPS75925KTTT</v>
      </c>
      <c r="B9858" s="3" t="s">
        <v>90</v>
      </c>
      <c r="C9858" s="5">
        <v>14450</v>
      </c>
      <c r="D9858" s="6">
        <v>8.44</v>
      </c>
      <c r="E9858" t="s">
        <v>16</v>
      </c>
    </row>
    <row r="9859" spans="1:5" x14ac:dyDescent="0.25">
      <c r="A9859" t="str">
        <f>HYPERLINK("https://www.773grp.com/globalSearch/TPS75933KTTT/page-1", "TPS75933KTTT")</f>
        <v>TPS75933KTTT</v>
      </c>
      <c r="B9859" s="3" t="s">
        <v>90</v>
      </c>
      <c r="C9859" s="5">
        <v>59950</v>
      </c>
      <c r="D9859" s="6">
        <v>8.44</v>
      </c>
      <c r="E9859" t="s">
        <v>16</v>
      </c>
    </row>
    <row r="9860" spans="1:5" x14ac:dyDescent="0.25">
      <c r="A9860" t="str">
        <f>HYPERLINK("https://www.773grp.com/globalSearch/TPS75925KTT/page-1", "TPS75925KTT")</f>
        <v>TPS75925KTT</v>
      </c>
      <c r="B9860" s="3" t="s">
        <v>90</v>
      </c>
      <c r="C9860" s="5">
        <v>44</v>
      </c>
      <c r="D9860" s="6">
        <v>8.5500000000000007</v>
      </c>
      <c r="E9860" t="s">
        <v>16</v>
      </c>
    </row>
    <row r="9861" spans="1:5" x14ac:dyDescent="0.25">
      <c r="A9861" t="str">
        <f>HYPERLINK("https://www.773grp.com/globalSearch/TPS75933KTT/page-1", "TPS75933KTT")</f>
        <v>TPS75933KTT</v>
      </c>
      <c r="B9861" s="3" t="s">
        <v>90</v>
      </c>
      <c r="C9861" s="5">
        <v>347</v>
      </c>
      <c r="D9861" s="6">
        <v>8.5500000000000007</v>
      </c>
      <c r="E9861" t="s">
        <v>16</v>
      </c>
    </row>
    <row r="9862" spans="1:5" x14ac:dyDescent="0.25">
      <c r="A9862" t="str">
        <f>HYPERLINK("https://www.773grp.com/globalSearch/TPS75125MPWPREP/page-1", "TPS75125MPWPREP")</f>
        <v>TPS75125MPWPREP</v>
      </c>
      <c r="B9862" s="3" t="s">
        <v>90</v>
      </c>
      <c r="C9862" s="5">
        <v>2000</v>
      </c>
      <c r="D9862" s="6">
        <v>8.73</v>
      </c>
      <c r="E9862" t="s">
        <v>16</v>
      </c>
    </row>
    <row r="9863" spans="1:5" x14ac:dyDescent="0.25">
      <c r="A9863" t="str">
        <f>HYPERLINK("https://www.773grp.com/globalSearch/UC282TDTR-2/page-1", "UC282TDTR-2")</f>
        <v>UC282TDTR-2</v>
      </c>
      <c r="B9863" s="3" t="s">
        <v>90</v>
      </c>
      <c r="C9863" s="5">
        <v>1500</v>
      </c>
      <c r="D9863" s="6">
        <v>8.73</v>
      </c>
      <c r="E9863" t="s">
        <v>16</v>
      </c>
    </row>
    <row r="9864" spans="1:5" x14ac:dyDescent="0.25">
      <c r="A9864" t="str">
        <f>HYPERLINK("https://www.773grp.com/globalSearch/UCC283TDTR-5/page-1", "UCC283TDTR-5")</f>
        <v>UCC283TDTR-5</v>
      </c>
      <c r="B9864" s="3" t="s">
        <v>90</v>
      </c>
      <c r="C9864" s="5">
        <v>500</v>
      </c>
      <c r="D9864" s="6">
        <v>8.73</v>
      </c>
      <c r="E9864" t="s">
        <v>16</v>
      </c>
    </row>
    <row r="9865" spans="1:5" x14ac:dyDescent="0.25">
      <c r="A9865" t="str">
        <f>HYPERLINK("https://www.773grp.com/globalSearch/UC385TDKTTT-2/page-1", "UC385TDKTTT-2")</f>
        <v>UC385TDKTTT-2</v>
      </c>
      <c r="B9865" s="3" t="s">
        <v>90</v>
      </c>
      <c r="C9865" s="5">
        <v>450</v>
      </c>
      <c r="D9865" s="6">
        <v>8.86</v>
      </c>
      <c r="E9865" t="s">
        <v>16</v>
      </c>
    </row>
    <row r="9866" spans="1:5" x14ac:dyDescent="0.25">
      <c r="A9866" t="str">
        <f>HYPERLINK("https://www.773grp.com/globalSearch/UC385TDTR-2/page-1", "UC385TDTR-2")</f>
        <v>UC385TDTR-2</v>
      </c>
      <c r="B9866" s="3" t="s">
        <v>90</v>
      </c>
      <c r="C9866" s="5">
        <v>2000</v>
      </c>
      <c r="D9866" s="6">
        <v>8.86</v>
      </c>
      <c r="E9866" t="s">
        <v>16</v>
      </c>
    </row>
    <row r="9867" spans="1:5" x14ac:dyDescent="0.25">
      <c r="A9867" t="str">
        <f>HYPERLINK("https://www.773grp.com/globalSearch/TPS75918KTTR/page-1", "TPS75918KTTR")</f>
        <v>TPS75918KTTR</v>
      </c>
      <c r="B9867" s="3" t="s">
        <v>90</v>
      </c>
      <c r="C9867" s="5">
        <v>14740</v>
      </c>
      <c r="D9867" s="6">
        <v>9</v>
      </c>
      <c r="E9867" t="s">
        <v>16</v>
      </c>
    </row>
    <row r="9868" spans="1:5" x14ac:dyDescent="0.25">
      <c r="A9868" t="str">
        <f>HYPERLINK("https://www.773grp.com/globalSearch/REG103FA-2.7KTTT/page-1", "REG103FA-2.7KTTT")</f>
        <v>REG103FA-2.7KTTT</v>
      </c>
      <c r="B9868" s="3" t="s">
        <v>90</v>
      </c>
      <c r="C9868" s="5">
        <v>3500</v>
      </c>
      <c r="D9868" s="6">
        <v>9.2899999999999991</v>
      </c>
      <c r="E9868" t="s">
        <v>16</v>
      </c>
    </row>
    <row r="9869" spans="1:5" x14ac:dyDescent="0.25">
      <c r="A9869" t="str">
        <f>HYPERLINK("https://www.773grp.com/globalSearch/REG104FA-2.5KTTT/page-1", "REG104FA-2.5KTTT")</f>
        <v>REG104FA-2.5KTTT</v>
      </c>
      <c r="B9869" s="3" t="s">
        <v>90</v>
      </c>
      <c r="C9869" s="5">
        <v>34450</v>
      </c>
      <c r="D9869" s="6">
        <v>9.31</v>
      </c>
      <c r="E9869" t="s">
        <v>16</v>
      </c>
    </row>
    <row r="9870" spans="1:5" x14ac:dyDescent="0.25">
      <c r="A9870" t="str">
        <f>HYPERLINK("https://www.773grp.com/globalSearch/REG104FA-3.3KTTT/page-1", "REG104FA-3.3KTTT")</f>
        <v>REG104FA-3.3KTTT</v>
      </c>
      <c r="B9870" s="3" t="s">
        <v>90</v>
      </c>
      <c r="C9870" s="5">
        <v>15880</v>
      </c>
      <c r="D9870" s="6">
        <v>9.31</v>
      </c>
      <c r="E9870" t="s">
        <v>16</v>
      </c>
    </row>
    <row r="9871" spans="1:5" x14ac:dyDescent="0.25">
      <c r="A9871" t="str">
        <f>HYPERLINK("https://www.773grp.com/globalSearch/REG104FA-5KTTT/page-1", "REG104FA-5KTTT")</f>
        <v>REG104FA-5KTTT</v>
      </c>
      <c r="B9871" s="3" t="s">
        <v>90</v>
      </c>
      <c r="C9871" s="5">
        <v>13250</v>
      </c>
      <c r="D9871" s="6">
        <v>9.31</v>
      </c>
      <c r="E9871" t="s">
        <v>16</v>
      </c>
    </row>
    <row r="9872" spans="1:5" x14ac:dyDescent="0.25">
      <c r="A9872" t="str">
        <f>HYPERLINK("https://www.773grp.com/globalSearch/UC282T-1/page-1", "UC282T-1")</f>
        <v>UC282T-1</v>
      </c>
      <c r="B9872" s="3" t="s">
        <v>90</v>
      </c>
      <c r="C9872" s="5">
        <v>14750</v>
      </c>
      <c r="D9872" s="6">
        <v>9.31</v>
      </c>
      <c r="E9872" t="s">
        <v>16</v>
      </c>
    </row>
    <row r="9873" spans="1:5" x14ac:dyDescent="0.25">
      <c r="A9873" t="str">
        <f>HYPERLINK("https://www.773grp.com/globalSearch/UC282T-2/page-1", "UC282T-2")</f>
        <v>UC282T-2</v>
      </c>
      <c r="B9873" s="3" t="s">
        <v>90</v>
      </c>
      <c r="C9873" s="5">
        <v>1800</v>
      </c>
      <c r="D9873" s="6">
        <v>9.31</v>
      </c>
      <c r="E9873" t="s">
        <v>16</v>
      </c>
    </row>
    <row r="9874" spans="1:5" x14ac:dyDescent="0.25">
      <c r="A9874" t="str">
        <f>HYPERLINK("https://www.773grp.com/globalSearch/UC282T-3/page-1", "UC282T-3")</f>
        <v>UC282T-3</v>
      </c>
      <c r="B9874" s="3" t="s">
        <v>90</v>
      </c>
      <c r="C9874" s="5">
        <v>10000</v>
      </c>
      <c r="D9874" s="6">
        <v>9.31</v>
      </c>
      <c r="E9874" t="s">
        <v>16</v>
      </c>
    </row>
    <row r="9875" spans="1:5" x14ac:dyDescent="0.25">
      <c r="A9875" t="str">
        <f>HYPERLINK("https://www.773grp.com/globalSearch/UC382T-1/page-1", "UC382T-1")</f>
        <v>UC382T-1</v>
      </c>
      <c r="B9875" s="3" t="s">
        <v>90</v>
      </c>
      <c r="C9875" s="5">
        <v>4750</v>
      </c>
      <c r="D9875" s="6">
        <v>9.31</v>
      </c>
      <c r="E9875" t="s">
        <v>16</v>
      </c>
    </row>
    <row r="9876" spans="1:5" x14ac:dyDescent="0.25">
      <c r="A9876" t="str">
        <f>HYPERLINK("https://www.773grp.com/globalSearch/UC382T-1/page-1", "UC382T-1")</f>
        <v>UC382T-1</v>
      </c>
      <c r="B9876" s="3" t="s">
        <v>90</v>
      </c>
      <c r="C9876" s="5">
        <v>3350</v>
      </c>
      <c r="D9876" s="6">
        <v>9.31</v>
      </c>
      <c r="E9876" t="s">
        <v>16</v>
      </c>
    </row>
    <row r="9877" spans="1:5" x14ac:dyDescent="0.25">
      <c r="A9877" t="str">
        <f>HYPERLINK("https://www.773grp.com/globalSearch/UC382T-2/page-1", "UC382T-2")</f>
        <v>UC382T-2</v>
      </c>
      <c r="B9877" s="3" t="s">
        <v>90</v>
      </c>
      <c r="C9877" s="5">
        <v>5396</v>
      </c>
      <c r="D9877" s="6">
        <v>9.31</v>
      </c>
      <c r="E9877" t="s">
        <v>16</v>
      </c>
    </row>
    <row r="9878" spans="1:5" x14ac:dyDescent="0.25">
      <c r="A9878" t="str">
        <f>HYPERLINK("https://www.773grp.com/globalSearch/UC382T-3/page-1", "UC382T-3")</f>
        <v>UC382T-3</v>
      </c>
      <c r="B9878" s="3" t="s">
        <v>90</v>
      </c>
      <c r="C9878" s="5">
        <v>1800</v>
      </c>
      <c r="D9878" s="6">
        <v>9.31</v>
      </c>
      <c r="E9878" t="s">
        <v>16</v>
      </c>
    </row>
    <row r="9879" spans="1:5" x14ac:dyDescent="0.25">
      <c r="A9879" t="str">
        <f>HYPERLINK("https://www.773grp.com/globalSearch/UC382T-3/page-1", "UC382T-3")</f>
        <v>UC382T-3</v>
      </c>
      <c r="B9879" s="3" t="s">
        <v>90</v>
      </c>
      <c r="C9879" s="5">
        <v>3632</v>
      </c>
      <c r="D9879" s="6">
        <v>9.31</v>
      </c>
      <c r="E9879" t="s">
        <v>16</v>
      </c>
    </row>
    <row r="9880" spans="1:5" x14ac:dyDescent="0.25">
      <c r="A9880" t="str">
        <f>HYPERLINK("https://www.773grp.com/globalSearch/UCC283T-3/page-1", "UCC283T-3")</f>
        <v>UCC283T-3</v>
      </c>
      <c r="B9880" s="3" t="s">
        <v>90</v>
      </c>
      <c r="C9880" s="5">
        <v>7231</v>
      </c>
      <c r="D9880" s="6">
        <v>9.31</v>
      </c>
      <c r="E9880" t="s">
        <v>16</v>
      </c>
    </row>
    <row r="9881" spans="1:5" x14ac:dyDescent="0.25">
      <c r="A9881" t="str">
        <f>HYPERLINK("https://www.773grp.com/globalSearch/UCC283T-5/page-1", "UCC283T-5")</f>
        <v>UCC283T-5</v>
      </c>
      <c r="B9881" s="3" t="s">
        <v>90</v>
      </c>
      <c r="C9881" s="5">
        <v>3775</v>
      </c>
      <c r="D9881" s="6">
        <v>9.31</v>
      </c>
      <c r="E9881" t="s">
        <v>16</v>
      </c>
    </row>
    <row r="9882" spans="1:5" x14ac:dyDescent="0.25">
      <c r="A9882" t="str">
        <f>HYPERLINK("https://www.773grp.com/globalSearch/UCC283T-5G3/page-1", "UCC283T-5G3")</f>
        <v>UCC283T-5G3</v>
      </c>
      <c r="B9882" s="3" t="s">
        <v>90</v>
      </c>
      <c r="C9882" s="5">
        <v>70</v>
      </c>
      <c r="D9882" s="6">
        <v>9.31</v>
      </c>
      <c r="E9882" t="s">
        <v>16</v>
      </c>
    </row>
    <row r="9883" spans="1:5" x14ac:dyDescent="0.25">
      <c r="A9883" t="str">
        <f>HYPERLINK("https://www.773grp.com/globalSearch/UCC383T-3/page-1", "UCC383T-3")</f>
        <v>UCC383T-3</v>
      </c>
      <c r="B9883" s="3" t="s">
        <v>90</v>
      </c>
      <c r="C9883" s="5">
        <v>4600</v>
      </c>
      <c r="D9883" s="6">
        <v>9.31</v>
      </c>
      <c r="E9883" t="s">
        <v>16</v>
      </c>
    </row>
    <row r="9884" spans="1:5" x14ac:dyDescent="0.25">
      <c r="A9884" t="str">
        <f>HYPERLINK("https://www.773grp.com/globalSearch/UCC383T-3/page-1", "UCC383T-3")</f>
        <v>UCC383T-3</v>
      </c>
      <c r="B9884" s="3" t="s">
        <v>90</v>
      </c>
      <c r="C9884" s="5">
        <v>4925</v>
      </c>
      <c r="D9884" s="6">
        <v>9.31</v>
      </c>
      <c r="E9884" t="s">
        <v>16</v>
      </c>
    </row>
    <row r="9885" spans="1:5" x14ac:dyDescent="0.25">
      <c r="A9885" t="str">
        <f>HYPERLINK("https://www.773grp.com/globalSearch/UCC383T-5/page-1", "UCC383T-5")</f>
        <v>UCC383T-5</v>
      </c>
      <c r="B9885" s="3" t="s">
        <v>90</v>
      </c>
      <c r="C9885" s="5">
        <v>15873</v>
      </c>
      <c r="D9885" s="6">
        <v>9.31</v>
      </c>
      <c r="E9885" t="s">
        <v>16</v>
      </c>
    </row>
    <row r="9886" spans="1:5" x14ac:dyDescent="0.25">
      <c r="A9886" t="str">
        <f>HYPERLINK("https://www.773grp.com/globalSearch/TPS75715KTTT/page-1", "TPS75715KTTT")</f>
        <v>TPS75715KTTT</v>
      </c>
      <c r="B9886" s="3" t="s">
        <v>90</v>
      </c>
      <c r="C9886" s="5">
        <v>10550</v>
      </c>
      <c r="D9886" s="6">
        <v>9.41</v>
      </c>
      <c r="E9886" t="s">
        <v>16</v>
      </c>
    </row>
    <row r="9887" spans="1:5" x14ac:dyDescent="0.25">
      <c r="A9887" t="str">
        <f>HYPERLINK("https://www.773grp.com/globalSearch/TPS75718KTTT/page-1", "TPS75718KTTT")</f>
        <v>TPS75718KTTT</v>
      </c>
      <c r="B9887" s="3" t="s">
        <v>90</v>
      </c>
      <c r="C9887" s="5">
        <v>39790</v>
      </c>
      <c r="D9887" s="6">
        <v>9.41</v>
      </c>
      <c r="E9887" t="s">
        <v>16</v>
      </c>
    </row>
    <row r="9888" spans="1:5" x14ac:dyDescent="0.25">
      <c r="A9888" t="str">
        <f>HYPERLINK("https://www.773grp.com/globalSearch/TPS75725KTTT/page-1", "TPS75725KTTT")</f>
        <v>TPS75725KTTT</v>
      </c>
      <c r="B9888" s="3" t="s">
        <v>90</v>
      </c>
      <c r="C9888" s="5">
        <v>9830</v>
      </c>
      <c r="D9888" s="6">
        <v>9.41</v>
      </c>
      <c r="E9888" t="s">
        <v>16</v>
      </c>
    </row>
    <row r="9889" spans="1:5" x14ac:dyDescent="0.25">
      <c r="A9889" t="str">
        <f>HYPERLINK("https://www.773grp.com/globalSearch/TPS75733KTTT/page-1", "TPS75733KTTT")</f>
        <v>TPS75733KTTT</v>
      </c>
      <c r="B9889" s="3" t="s">
        <v>90</v>
      </c>
      <c r="C9889" s="5">
        <v>44300</v>
      </c>
      <c r="D9889" s="6">
        <v>9.41</v>
      </c>
      <c r="E9889" t="s">
        <v>16</v>
      </c>
    </row>
    <row r="9890" spans="1:5" x14ac:dyDescent="0.25">
      <c r="A9890" t="str">
        <f>HYPERLINK("https://www.773grp.com/globalSearch/TPS75733KTTT/page-1", "TPS75733KTTT")</f>
        <v>TPS75733KTTT</v>
      </c>
      <c r="B9890" s="3" t="s">
        <v>90</v>
      </c>
      <c r="C9890" s="5">
        <v>50</v>
      </c>
      <c r="D9890" s="6">
        <v>9.41</v>
      </c>
      <c r="E9890" t="s">
        <v>16</v>
      </c>
    </row>
    <row r="9891" spans="1:5" x14ac:dyDescent="0.25">
      <c r="A9891" t="str">
        <f>HYPERLINK("https://www.773grp.com/globalSearch/UC285TDKTTT-2/page-1", "UC285TDKTTT-2")</f>
        <v>UC285TDKTTT-2</v>
      </c>
      <c r="B9891" s="3" t="s">
        <v>90</v>
      </c>
      <c r="C9891" s="5">
        <v>300</v>
      </c>
      <c r="D9891" s="6">
        <v>10.26</v>
      </c>
      <c r="E9891" t="s">
        <v>16</v>
      </c>
    </row>
    <row r="9892" spans="1:5" x14ac:dyDescent="0.25">
      <c r="A9892" t="str">
        <f>HYPERLINK("https://www.773grp.com/globalSearch/REG103FA-2.5-500/page-1", "REG103FA-2.5-500")</f>
        <v>REG103FA-2.5-500</v>
      </c>
      <c r="B9892" s="3" t="s">
        <v>90</v>
      </c>
      <c r="C9892" s="5">
        <v>25000</v>
      </c>
      <c r="D9892" s="6">
        <v>10.38</v>
      </c>
      <c r="E9892" t="s">
        <v>16</v>
      </c>
    </row>
    <row r="9893" spans="1:5" x14ac:dyDescent="0.25">
      <c r="A9893" t="str">
        <f>HYPERLINK("https://www.773grp.com/globalSearch/REG103FA-3.3-500/page-1", "REG103FA-3.3-500")</f>
        <v>REG103FA-3.3-500</v>
      </c>
      <c r="B9893" s="3" t="s">
        <v>90</v>
      </c>
      <c r="C9893" s="5">
        <v>13500</v>
      </c>
      <c r="D9893" s="6">
        <v>10.38</v>
      </c>
      <c r="E9893" t="s">
        <v>16</v>
      </c>
    </row>
    <row r="9894" spans="1:5" x14ac:dyDescent="0.25">
      <c r="A9894" t="str">
        <f>HYPERLINK("https://www.773grp.com/globalSearch/REG103FA-5-500/page-1", "REG103FA-5-500")</f>
        <v>REG103FA-5-500</v>
      </c>
      <c r="B9894" s="3" t="s">
        <v>90</v>
      </c>
      <c r="C9894" s="5">
        <v>3500</v>
      </c>
      <c r="D9894" s="6">
        <v>10.41</v>
      </c>
      <c r="E9894" t="s">
        <v>16</v>
      </c>
    </row>
    <row r="9895" spans="1:5" x14ac:dyDescent="0.25">
      <c r="A9895" t="str">
        <f>HYPERLINK("https://www.773grp.com/globalSearch/UC285TDKTTT-1/page-1", "UC285TDKTTT-1")</f>
        <v>UC285TDKTTT-1</v>
      </c>
      <c r="B9895" s="3" t="s">
        <v>90</v>
      </c>
      <c r="C9895" s="5">
        <v>15300</v>
      </c>
      <c r="D9895" s="6">
        <v>10.76</v>
      </c>
      <c r="E9895" t="s">
        <v>16</v>
      </c>
    </row>
    <row r="9896" spans="1:5" x14ac:dyDescent="0.25">
      <c r="A9896" t="str">
        <f>HYPERLINK("https://www.773grp.com/globalSearch/UC285TDKTTT-3/page-1", "UC285TDKTTT-3")</f>
        <v>UC285TDKTTT-3</v>
      </c>
      <c r="B9896" s="3" t="s">
        <v>90</v>
      </c>
      <c r="C9896" s="5">
        <v>11350</v>
      </c>
      <c r="D9896" s="6">
        <v>10.76</v>
      </c>
      <c r="E9896" t="s">
        <v>16</v>
      </c>
    </row>
    <row r="9897" spans="1:5" x14ac:dyDescent="0.25">
      <c r="A9897" t="str">
        <f>HYPERLINK("https://www.773grp.com/globalSearch/UC385TDKTTT-1/page-1", "UC385TDKTTT-1")</f>
        <v>UC385TDKTTT-1</v>
      </c>
      <c r="B9897" s="3" t="s">
        <v>90</v>
      </c>
      <c r="C9897" s="5">
        <v>24700</v>
      </c>
      <c r="D9897" s="6">
        <v>10.76</v>
      </c>
      <c r="E9897" t="s">
        <v>16</v>
      </c>
    </row>
    <row r="9898" spans="1:5" x14ac:dyDescent="0.25">
      <c r="A9898" t="str">
        <f>HYPERLINK("https://www.773grp.com/globalSearch/UC385TDKTTT-3/page-1", "UC385TDKTTT-3")</f>
        <v>UC385TDKTTT-3</v>
      </c>
      <c r="B9898" s="3" t="s">
        <v>90</v>
      </c>
      <c r="C9898" s="5">
        <v>17217</v>
      </c>
      <c r="D9898" s="6">
        <v>10.76</v>
      </c>
      <c r="E9898" t="s">
        <v>16</v>
      </c>
    </row>
    <row r="9899" spans="1:5" x14ac:dyDescent="0.25">
      <c r="A9899" t="str">
        <f>HYPERLINK("https://www.773grp.com/globalSearch/UC385TDTR-1/page-1", "UC385TDTR-1")</f>
        <v>UC385TDTR-1</v>
      </c>
      <c r="B9899" s="3" t="s">
        <v>90</v>
      </c>
      <c r="C9899" s="5">
        <v>3500</v>
      </c>
      <c r="D9899" s="6">
        <v>10.76</v>
      </c>
      <c r="E9899" t="s">
        <v>16</v>
      </c>
    </row>
    <row r="9900" spans="1:5" x14ac:dyDescent="0.25">
      <c r="A9900" t="str">
        <f>HYPERLINK("https://www.773grp.com/globalSearch/UC385TDTR-3/page-1", "UC385TDTR-3")</f>
        <v>UC385TDTR-3</v>
      </c>
      <c r="B9900" s="3" t="s">
        <v>90</v>
      </c>
      <c r="C9900" s="5">
        <v>5000</v>
      </c>
      <c r="D9900" s="6">
        <v>10.76</v>
      </c>
      <c r="E9900" t="s">
        <v>16</v>
      </c>
    </row>
    <row r="9901" spans="1:5" x14ac:dyDescent="0.25">
      <c r="A9901" t="str">
        <f>HYPERLINK("https://www.773grp.com/globalSearch/REG103FA-2.5KTTT/page-1", "REG103FA-2.5KTTT")</f>
        <v>REG103FA-2.5KTTT</v>
      </c>
      <c r="B9901" s="3" t="s">
        <v>90</v>
      </c>
      <c r="C9901" s="5">
        <v>19900</v>
      </c>
      <c r="D9901" s="6">
        <v>11.93</v>
      </c>
      <c r="E9901" t="s">
        <v>16</v>
      </c>
    </row>
    <row r="9902" spans="1:5" x14ac:dyDescent="0.25">
      <c r="A9902" t="str">
        <f>HYPERLINK("https://www.773grp.com/globalSearch/REG103FA-3.3KTTT/page-1", "REG103FA-3.3KTTT")</f>
        <v>REG103FA-3.3KTTT</v>
      </c>
      <c r="B9902" s="3" t="s">
        <v>90</v>
      </c>
      <c r="C9902" s="5">
        <v>22123</v>
      </c>
      <c r="D9902" s="6">
        <v>11.93</v>
      </c>
      <c r="E9902" t="s">
        <v>16</v>
      </c>
    </row>
    <row r="9903" spans="1:5" x14ac:dyDescent="0.25">
      <c r="A9903" t="str">
        <f>HYPERLINK("https://www.773grp.com/globalSearch/REG103FA-5KTTT/page-1", "REG103FA-5KTTT")</f>
        <v>REG103FA-5KTTT</v>
      </c>
      <c r="B9903" s="3" t="s">
        <v>90</v>
      </c>
      <c r="C9903" s="5">
        <v>17649</v>
      </c>
      <c r="D9903" s="6">
        <v>11.93</v>
      </c>
      <c r="E9903" t="s">
        <v>16</v>
      </c>
    </row>
    <row r="9904" spans="1:5" x14ac:dyDescent="0.25">
      <c r="A9904" t="str">
        <f>HYPERLINK("https://www.773grp.com/globalSearch/UC285T-1/page-1", "UC285T-1")</f>
        <v>UC285T-1</v>
      </c>
      <c r="B9904" s="3" t="str">
        <f>HYPERLINK("https://www.773grp.com/manufacturer/texas-instruments?pageNo=66", "Texas Instruments")</f>
        <v>Texas Instruments</v>
      </c>
      <c r="C9904" s="5">
        <v>10680</v>
      </c>
      <c r="D9904" s="6">
        <v>12.24</v>
      </c>
      <c r="E9904" t="s">
        <v>16</v>
      </c>
    </row>
    <row r="9905" spans="1:5" x14ac:dyDescent="0.25">
      <c r="A9905" t="str">
        <f>HYPERLINK("https://www.773grp.com/globalSearch/UC285T-3/page-1", "UC285T-3")</f>
        <v>UC285T-3</v>
      </c>
      <c r="B9905" s="3" t="str">
        <f>HYPERLINK("https://www.773grp.com/manufacturer/texas-instruments?pageNo=393", "Texas Instruments")</f>
        <v>Texas Instruments</v>
      </c>
      <c r="C9905" s="5">
        <v>2430</v>
      </c>
      <c r="D9905" s="6">
        <v>12.83</v>
      </c>
      <c r="E9905" t="s">
        <v>16</v>
      </c>
    </row>
    <row r="9906" spans="1:5" x14ac:dyDescent="0.25">
      <c r="A9906" t="str">
        <f>HYPERLINK("https://www.773grp.com/globalSearch/UC385T-1/page-1", "UC385T-1")</f>
        <v>UC385T-1</v>
      </c>
      <c r="B9906" s="3" t="str">
        <f>HYPERLINK("https://www.773grp.com/manufacturer/texas-instruments?pageNo=396", "Texas Instruments")</f>
        <v>Texas Instruments</v>
      </c>
      <c r="C9906" s="5">
        <v>4162</v>
      </c>
      <c r="D9906" s="6">
        <v>12.83</v>
      </c>
      <c r="E9906" t="s">
        <v>16</v>
      </c>
    </row>
    <row r="9907" spans="1:5" x14ac:dyDescent="0.25">
      <c r="A9907" t="str">
        <f>HYPERLINK("https://www.773grp.com/globalSearch/UC385T-1/page-1", "UC385T-1")</f>
        <v>UC385T-1</v>
      </c>
      <c r="B9907" s="3" t="str">
        <f>HYPERLINK("https://www.773grp.com/manufacturer/texas-instruments?pageNo=397", "Texas Instruments")</f>
        <v>Texas Instruments</v>
      </c>
      <c r="C9907" s="5">
        <v>600</v>
      </c>
      <c r="D9907" s="6">
        <v>12.83</v>
      </c>
      <c r="E9907" t="s">
        <v>16</v>
      </c>
    </row>
    <row r="9908" spans="1:5" x14ac:dyDescent="0.25">
      <c r="A9908" t="str">
        <f>HYPERLINK("https://www.773grp.com/globalSearch/UC385T-2/page-1", "UC385T-2")</f>
        <v>UC385T-2</v>
      </c>
      <c r="B9908" s="3" t="str">
        <f>HYPERLINK("https://www.773grp.com/manufacturer/texas-instruments?pageNo=398", "Texas Instruments")</f>
        <v>Texas Instruments</v>
      </c>
      <c r="C9908" s="5">
        <v>3250</v>
      </c>
      <c r="D9908" s="6">
        <v>12.83</v>
      </c>
      <c r="E9908" t="s">
        <v>16</v>
      </c>
    </row>
    <row r="9909" spans="1:5" x14ac:dyDescent="0.25">
      <c r="A9909" t="str">
        <f>HYPERLINK("https://www.773grp.com/globalSearch/UC385T-2/page-1", "UC385T-2")</f>
        <v>UC385T-2</v>
      </c>
      <c r="B9909" s="3" t="str">
        <f>HYPERLINK("https://www.773grp.com/manufacturer/texas-instruments?pageNo=399", "Texas Instruments")</f>
        <v>Texas Instruments</v>
      </c>
      <c r="C9909" s="5">
        <v>400</v>
      </c>
      <c r="D9909" s="6">
        <v>12.83</v>
      </c>
      <c r="E9909" t="s">
        <v>16</v>
      </c>
    </row>
    <row r="9910" spans="1:5" x14ac:dyDescent="0.25">
      <c r="A9910" t="str">
        <f>HYPERLINK("https://www.773grp.com/globalSearch/UC385T-3/page-1", "UC385T-3")</f>
        <v>UC385T-3</v>
      </c>
      <c r="B9910" s="3" t="str">
        <f>HYPERLINK("https://www.773grp.com/manufacturer/texas-instruments?pageNo=400", "Texas Instruments")</f>
        <v>Texas Instruments</v>
      </c>
      <c r="C9910" s="5">
        <v>9087</v>
      </c>
      <c r="D9910" s="6">
        <v>12.83</v>
      </c>
      <c r="E9910" t="s">
        <v>16</v>
      </c>
    </row>
    <row r="9911" spans="1:5" x14ac:dyDescent="0.25">
      <c r="A9911" t="str">
        <f>HYPERLINK("https://www.773grp.com/globalSearch/REG103FA-3KTTT/page-1", "REG103FA-3KTTT")</f>
        <v>REG103FA-3KTTT</v>
      </c>
      <c r="B9911" s="3" t="s">
        <v>90</v>
      </c>
      <c r="C9911" s="5">
        <v>6950</v>
      </c>
      <c r="D9911" s="6">
        <v>14.06</v>
      </c>
      <c r="E9911" t="s">
        <v>16</v>
      </c>
    </row>
    <row r="9912" spans="1:5" x14ac:dyDescent="0.25">
      <c r="A9912" t="str">
        <f>HYPERLINK("https://www.773grp.com/globalSearch/REG103UA-3-2K5/page-1", "REG103UA-3-2K5")</f>
        <v>REG103UA-3-2K5</v>
      </c>
      <c r="B9912" s="3" t="s">
        <v>90</v>
      </c>
      <c r="C9912" s="5">
        <v>2500</v>
      </c>
      <c r="D9912" s="6">
        <v>14.06</v>
      </c>
      <c r="E9912" t="s">
        <v>16</v>
      </c>
    </row>
    <row r="9913" spans="1:5" x14ac:dyDescent="0.25">
      <c r="A9913" t="str">
        <f>HYPERLINK("https://www.773grp.com/globalSearch/REG103GA-2.7/page-1", "REG103GA-2.7")</f>
        <v>REG103GA-2.7</v>
      </c>
      <c r="B9913" s="3" t="s">
        <v>90</v>
      </c>
      <c r="C9913" s="5">
        <v>33344</v>
      </c>
      <c r="D9913" s="6">
        <v>20.11</v>
      </c>
      <c r="E9913" t="s">
        <v>16</v>
      </c>
    </row>
    <row r="9914" spans="1:5" x14ac:dyDescent="0.25">
      <c r="A9914" t="str">
        <f>HYPERLINK("https://www.773grp.com/globalSearch/REG103GA-3/page-1", "REG103GA-3")</f>
        <v>REG103GA-3</v>
      </c>
      <c r="B9914" s="3" t="s">
        <v>90</v>
      </c>
      <c r="C9914" s="5">
        <v>8</v>
      </c>
      <c r="D9914" s="6">
        <v>20.11</v>
      </c>
      <c r="E9914" t="s">
        <v>16</v>
      </c>
    </row>
    <row r="9915" spans="1:5" x14ac:dyDescent="0.25">
      <c r="A9915" t="str">
        <f>HYPERLINK("https://www.773grp.com/globalSearch/REG103GA-3/page-1", "REG103GA-3")</f>
        <v>REG103GA-3</v>
      </c>
      <c r="B9915" s="3" t="s">
        <v>90</v>
      </c>
      <c r="C9915" s="5">
        <v>7020</v>
      </c>
      <c r="D9915" s="6">
        <v>20.11</v>
      </c>
      <c r="E9915" t="s">
        <v>16</v>
      </c>
    </row>
    <row r="9916" spans="1:5" x14ac:dyDescent="0.25">
      <c r="A9916" t="str">
        <f>HYPERLINK("https://www.773grp.com/globalSearch/REG103GA-3/page-1", "REG103GA-3")</f>
        <v>REG103GA-3</v>
      </c>
      <c r="B9916" s="3" t="s">
        <v>90</v>
      </c>
      <c r="C9916" s="5">
        <v>15426</v>
      </c>
      <c r="D9916" s="6">
        <v>20.11</v>
      </c>
      <c r="E9916" t="s">
        <v>16</v>
      </c>
    </row>
    <row r="9917" spans="1:5" x14ac:dyDescent="0.25">
      <c r="A9917" t="str">
        <f>HYPERLINK("https://www.773grp.com/globalSearch/REG103UA-2.7/page-1", "REG103UA-2.7")</f>
        <v>REG103UA-2.7</v>
      </c>
      <c r="B9917" s="3" t="s">
        <v>90</v>
      </c>
      <c r="C9917" s="5">
        <v>8579</v>
      </c>
      <c r="D9917" s="6">
        <v>20.11</v>
      </c>
      <c r="E9917" t="s">
        <v>16</v>
      </c>
    </row>
    <row r="9918" spans="1:5" x14ac:dyDescent="0.25">
      <c r="A9918" t="str">
        <f>HYPERLINK("https://www.773grp.com/globalSearch/REG103UA-3/page-1", "REG103UA-3")</f>
        <v>REG103UA-3</v>
      </c>
      <c r="B9918" s="3" t="s">
        <v>90</v>
      </c>
      <c r="C9918" s="5">
        <v>22826</v>
      </c>
      <c r="D9918" s="6">
        <v>20.11</v>
      </c>
      <c r="E9918" t="s">
        <v>16</v>
      </c>
    </row>
    <row r="9919" spans="1:5" x14ac:dyDescent="0.25">
      <c r="A9919" t="str">
        <f>HYPERLINK("https://www.773grp.com/globalSearch/REG104FA-3-500/page-1", "REG104FA-3-500")</f>
        <v>REG104FA-3-500</v>
      </c>
      <c r="B9919" s="3" t="s">
        <v>90</v>
      </c>
      <c r="C9919" s="5">
        <v>15000</v>
      </c>
      <c r="D9919" s="6">
        <v>20.11</v>
      </c>
      <c r="E9919" t="s">
        <v>16</v>
      </c>
    </row>
    <row r="9920" spans="1:5" x14ac:dyDescent="0.25">
      <c r="A9920" t="str">
        <f>HYPERLINK("https://www.773grp.com/globalSearch/REG104GA-3/page-1", "REG104GA-3")</f>
        <v>REG104GA-3</v>
      </c>
      <c r="B9920" s="3" t="s">
        <v>90</v>
      </c>
      <c r="C9920" s="5">
        <v>14832</v>
      </c>
      <c r="D9920" s="6">
        <v>20.11</v>
      </c>
      <c r="E9920" t="s">
        <v>16</v>
      </c>
    </row>
    <row r="9921" spans="1:5" x14ac:dyDescent="0.25">
      <c r="A9921" t="str">
        <f>HYPERLINK("https://www.773grp.com/globalSearch/REG104FA-3KTTT/page-1", "REG104FA-3KTTT")</f>
        <v>REG104FA-3KTTT</v>
      </c>
      <c r="B9921" s="3" t="s">
        <v>90</v>
      </c>
      <c r="C9921" s="5">
        <v>15734</v>
      </c>
      <c r="D9921" s="6">
        <v>21.23</v>
      </c>
      <c r="E9921" t="s">
        <v>16</v>
      </c>
    </row>
    <row r="9922" spans="1:5" x14ac:dyDescent="0.25">
      <c r="A9922" t="str">
        <f>HYPERLINK("https://www.773grp.com/globalSearch/5962-9583901QPA/page-1", "5962-9583901QPA")</f>
        <v>5962-9583901QPA</v>
      </c>
      <c r="B9922" s="3" t="str">
        <f>HYPERLINK("https://www.773grp.com/manufacturer/texas-instruments?pageNo=7", "Texas Instruments")</f>
        <v>Texas Instruments</v>
      </c>
      <c r="C9922" s="5">
        <v>72</v>
      </c>
      <c r="D9922" s="6">
        <v>27.43</v>
      </c>
      <c r="E9922" t="s">
        <v>16</v>
      </c>
    </row>
    <row r="9923" spans="1:5" x14ac:dyDescent="0.25">
      <c r="A9923" t="str">
        <f>HYPERLINK("https://www.773grp.com/globalSearch/TLV2217-33MJB/page-1", "TLV2217-33MJB")</f>
        <v>TLV2217-33MJB</v>
      </c>
      <c r="B9923" s="3" t="str">
        <f>HYPERLINK("https://www.773grp.com/manufacturer/texas-instruments?pageNo=18", "Texas Instruments")</f>
        <v>Texas Instruments</v>
      </c>
      <c r="C9923" s="5">
        <v>125</v>
      </c>
      <c r="D9923" s="6">
        <v>27.43</v>
      </c>
      <c r="E9923" t="s">
        <v>16</v>
      </c>
    </row>
    <row r="9924" spans="1:5" x14ac:dyDescent="0.25">
      <c r="A9924" t="str">
        <f>HYPERLINK("https://www.773grp.com/globalSearch/5962-9583801Q2A/page-1", "5962-9583801Q2A")</f>
        <v>5962-9583801Q2A</v>
      </c>
      <c r="B9924" s="3" t="s">
        <v>90</v>
      </c>
      <c r="C9924" s="5">
        <v>484</v>
      </c>
      <c r="D9924" s="6">
        <v>37.409999999999997</v>
      </c>
      <c r="E9924" t="s">
        <v>16</v>
      </c>
    </row>
    <row r="9925" spans="1:5" x14ac:dyDescent="0.25">
      <c r="A9925" t="str">
        <f>HYPERLINK("https://www.773grp.com/globalSearch/UCC386PWTR/page-1", "UCC386PWTR")</f>
        <v>UCC386PWTR</v>
      </c>
      <c r="B9925" s="3" t="s">
        <v>112</v>
      </c>
      <c r="C9925" s="5">
        <v>6000</v>
      </c>
      <c r="D9925" s="6">
        <v>4.01</v>
      </c>
      <c r="E9925" t="s">
        <v>16</v>
      </c>
    </row>
    <row r="9926" spans="1:5" x14ac:dyDescent="0.25">
      <c r="A9926" t="str">
        <f>HYPERLINK("https://www.773grp.com/globalSearch/UCC387DP/page-1", "UCC387DP")</f>
        <v>UCC387DP</v>
      </c>
      <c r="B9926" s="3" t="s">
        <v>112</v>
      </c>
      <c r="C9926" s="5">
        <v>978</v>
      </c>
      <c r="D9926" s="6">
        <v>4.4400000000000004</v>
      </c>
      <c r="E9926" t="s">
        <v>16</v>
      </c>
    </row>
    <row r="9927" spans="1:5" x14ac:dyDescent="0.25">
      <c r="A9927" t="str">
        <f>HYPERLINK("https://www.773grp.com/globalSearch/UCC281DP-5/page-1", "UCC281DP-5")</f>
        <v>UCC281DP-5</v>
      </c>
      <c r="B9927" s="3" t="s">
        <v>112</v>
      </c>
      <c r="C9927" s="5">
        <v>1015</v>
      </c>
      <c r="D9927" s="6">
        <v>6.5</v>
      </c>
      <c r="E9927" t="s">
        <v>16</v>
      </c>
    </row>
    <row r="9928" spans="1:5" x14ac:dyDescent="0.25">
      <c r="A9928" t="str">
        <f>HYPERLINK("https://www.773grp.com/globalSearch/UCC381DP-3/page-1", "UCC381DP-3")</f>
        <v>UCC381DP-3</v>
      </c>
      <c r="B9928" s="3" t="s">
        <v>112</v>
      </c>
      <c r="C9928" s="5">
        <v>525</v>
      </c>
      <c r="D9928" s="6">
        <v>6.5</v>
      </c>
      <c r="E9928" t="s">
        <v>16</v>
      </c>
    </row>
    <row r="9929" spans="1:5" x14ac:dyDescent="0.25">
      <c r="A9929" t="str">
        <f>HYPERLINK("https://www.773grp.com/globalSearch/UCC381DP-3/page-1", "UCC381DP-3")</f>
        <v>UCC381DP-3</v>
      </c>
      <c r="B9929" s="3" t="s">
        <v>112</v>
      </c>
      <c r="C9929" s="5">
        <v>60</v>
      </c>
      <c r="D9929" s="6">
        <v>6.5</v>
      </c>
      <c r="E9929" t="s">
        <v>16</v>
      </c>
    </row>
    <row r="9930" spans="1:5" x14ac:dyDescent="0.25">
      <c r="A9930" t="str">
        <f>HYPERLINK("https://www.773grp.com/globalSearch/UCC381DP-5/page-1", "UCC381DP-5")</f>
        <v>UCC381DP-5</v>
      </c>
      <c r="B9930" s="3" t="s">
        <v>112</v>
      </c>
      <c r="C9930" s="5">
        <v>1</v>
      </c>
      <c r="D9930" s="6">
        <v>6.5</v>
      </c>
      <c r="E9930" t="s">
        <v>16</v>
      </c>
    </row>
    <row r="9931" spans="1:5" x14ac:dyDescent="0.25">
      <c r="A9931" t="str">
        <f>HYPERLINK("https://www.773grp.com/globalSearch/UC382TD-1/page-1", "UC382TD-1")</f>
        <v>UC382TD-1</v>
      </c>
      <c r="B9931" s="3" t="s">
        <v>112</v>
      </c>
      <c r="C9931" s="5">
        <v>685</v>
      </c>
      <c r="D9931" s="6">
        <v>7.23</v>
      </c>
      <c r="E9931" t="s">
        <v>16</v>
      </c>
    </row>
    <row r="9932" spans="1:5" x14ac:dyDescent="0.25">
      <c r="A9932" t="str">
        <f>HYPERLINK("https://www.773grp.com/globalSearch/UC382TD-2/page-1", "UC382TD-2")</f>
        <v>UC382TD-2</v>
      </c>
      <c r="B9932" s="3" t="s">
        <v>112</v>
      </c>
      <c r="C9932" s="5">
        <v>31</v>
      </c>
      <c r="D9932" s="6">
        <v>7.23</v>
      </c>
      <c r="E9932" t="s">
        <v>16</v>
      </c>
    </row>
    <row r="9933" spans="1:5" x14ac:dyDescent="0.25">
      <c r="A9933" t="str">
        <f>HYPERLINK("https://www.773grp.com/globalSearch/UC282TDTR-1/page-1", "UC282TDTR-1")</f>
        <v>UC282TDTR-1</v>
      </c>
      <c r="B9933" s="3" t="s">
        <v>112</v>
      </c>
      <c r="C9933" s="5">
        <v>135750</v>
      </c>
      <c r="D9933" s="6">
        <v>7.81</v>
      </c>
      <c r="E9933" t="s">
        <v>16</v>
      </c>
    </row>
    <row r="9934" spans="1:5" x14ac:dyDescent="0.25">
      <c r="A9934" t="str">
        <f>HYPERLINK("https://www.773grp.com/globalSearch/UC282TD-1/page-1", "UC282TD-1")</f>
        <v>UC282TD-1</v>
      </c>
      <c r="B9934" s="3" t="s">
        <v>112</v>
      </c>
      <c r="C9934" s="5">
        <v>61551</v>
      </c>
      <c r="D9934" s="6">
        <v>8.3000000000000007</v>
      </c>
      <c r="E9934" t="s">
        <v>16</v>
      </c>
    </row>
    <row r="9935" spans="1:5" x14ac:dyDescent="0.25">
      <c r="A9935" t="str">
        <f>HYPERLINK("https://www.773grp.com/globalSearch/UC282TD-3/page-1", "UC282TD-3")</f>
        <v>UC282TD-3</v>
      </c>
      <c r="B9935" s="3" t="s">
        <v>112</v>
      </c>
      <c r="C9935" s="5">
        <v>883</v>
      </c>
      <c r="D9935" s="6">
        <v>8.3000000000000007</v>
      </c>
      <c r="E9935" t="s">
        <v>16</v>
      </c>
    </row>
    <row r="9936" spans="1:5" x14ac:dyDescent="0.25">
      <c r="A9936" t="str">
        <f>HYPERLINK("https://www.773grp.com/globalSearch/UC385TD-2/page-1", "UC385TD-2")</f>
        <v>UC385TD-2</v>
      </c>
      <c r="B9936" s="3" t="s">
        <v>112</v>
      </c>
      <c r="C9936" s="5">
        <v>3</v>
      </c>
      <c r="D9936" s="6">
        <v>8.44</v>
      </c>
      <c r="E9936" t="s">
        <v>16</v>
      </c>
    </row>
    <row r="9937" spans="1:5" x14ac:dyDescent="0.25">
      <c r="A9937" t="str">
        <f>HYPERLINK("https://www.773grp.com/globalSearch/UC382T-1/page-1", "UC382T-1")</f>
        <v>UC382T-1</v>
      </c>
      <c r="B9937" s="3" t="s">
        <v>112</v>
      </c>
      <c r="C9937" s="5">
        <v>1479</v>
      </c>
      <c r="D9937" s="6">
        <v>9.31</v>
      </c>
      <c r="E9937" t="s">
        <v>16</v>
      </c>
    </row>
    <row r="9938" spans="1:5" x14ac:dyDescent="0.25">
      <c r="A9938" t="str">
        <f>HYPERLINK("https://www.773grp.com/globalSearch/UC382T-2/page-1", "UC382T-2")</f>
        <v>UC382T-2</v>
      </c>
      <c r="B9938" s="3" t="s">
        <v>112</v>
      </c>
      <c r="C9938" s="5">
        <v>943</v>
      </c>
      <c r="D9938" s="6">
        <v>9.31</v>
      </c>
      <c r="E9938" t="s">
        <v>16</v>
      </c>
    </row>
    <row r="9939" spans="1:5" x14ac:dyDescent="0.25">
      <c r="A9939" t="str">
        <f>HYPERLINK("https://www.773grp.com/globalSearch/UC382T-3/page-1", "UC382T-3")</f>
        <v>UC382T-3</v>
      </c>
      <c r="B9939" s="3" t="s">
        <v>112</v>
      </c>
      <c r="C9939" s="5">
        <v>237</v>
      </c>
      <c r="D9939" s="6">
        <v>9.31</v>
      </c>
      <c r="E9939" t="s">
        <v>16</v>
      </c>
    </row>
    <row r="9940" spans="1:5" x14ac:dyDescent="0.25">
      <c r="A9940" t="str">
        <f>HYPERLINK("https://www.773grp.com/globalSearch/UCC383T-3/page-1", "UCC383T-3")</f>
        <v>UCC383T-3</v>
      </c>
      <c r="B9940" s="3" t="s">
        <v>112</v>
      </c>
      <c r="C9940" s="5">
        <v>750</v>
      </c>
      <c r="D9940" s="6">
        <v>9.31</v>
      </c>
      <c r="E9940" t="s">
        <v>16</v>
      </c>
    </row>
    <row r="9941" spans="1:5" x14ac:dyDescent="0.25">
      <c r="A9941" t="str">
        <f>HYPERLINK("https://www.773grp.com/globalSearch/UC385T-1/page-1", "UC385T-1")</f>
        <v>UC385T-1</v>
      </c>
      <c r="B9941" s="3" t="s">
        <v>112</v>
      </c>
      <c r="C9941" s="5">
        <v>947</v>
      </c>
      <c r="D9941" s="6">
        <v>12.83</v>
      </c>
      <c r="E9941" t="s">
        <v>16</v>
      </c>
    </row>
    <row r="9942" spans="1:5" x14ac:dyDescent="0.25">
      <c r="A9942" t="str">
        <f>HYPERLINK("https://www.773grp.com/globalSearch/UC385T-2/page-1", "UC385T-2")</f>
        <v>UC385T-2</v>
      </c>
      <c r="B9942" s="3" t="s">
        <v>112</v>
      </c>
      <c r="C9942" s="5">
        <v>100</v>
      </c>
      <c r="D9942" s="6">
        <v>12.83</v>
      </c>
      <c r="E9942" t="s">
        <v>16</v>
      </c>
    </row>
    <row r="9943" spans="1:5" x14ac:dyDescent="0.25">
      <c r="A9943" t="str">
        <f>HYPERLINK("https://www.773grp.com/globalSearch/UA7810CKTE/page-1", "UA7810CKTE")</f>
        <v>UA7810CKTE</v>
      </c>
      <c r="B9943" s="3" t="s">
        <v>90</v>
      </c>
      <c r="C9943" s="5">
        <v>4176</v>
      </c>
      <c r="D9943" s="6">
        <v>4.49</v>
      </c>
      <c r="E9943" t="s">
        <v>24</v>
      </c>
    </row>
    <row r="9944" spans="1:5" x14ac:dyDescent="0.25">
      <c r="A9944" t="str">
        <f>HYPERLINK("https://www.773grp.com/globalSearch/UA7810QKTE/page-1", "UA7810QKTE")</f>
        <v>UA7810QKTE</v>
      </c>
      <c r="B9944" s="3" t="s">
        <v>90</v>
      </c>
      <c r="C9944" s="5">
        <v>1000</v>
      </c>
      <c r="D9944" s="6">
        <v>4.74</v>
      </c>
      <c r="E9944" t="s">
        <v>24</v>
      </c>
    </row>
    <row r="9945" spans="1:5" x14ac:dyDescent="0.25">
      <c r="A9945" t="str">
        <f>HYPERLINK("https://www.773grp.com/globalSearch/TL782CKC/page-1", "TL782CKC")</f>
        <v>TL782CKC</v>
      </c>
      <c r="B9945" s="3" t="s">
        <v>90</v>
      </c>
      <c r="C9945" s="5">
        <v>91</v>
      </c>
      <c r="D9945" s="6">
        <v>4.79</v>
      </c>
      <c r="E9945" t="s">
        <v>24</v>
      </c>
    </row>
    <row r="9946" spans="1:5" x14ac:dyDescent="0.25">
      <c r="A9946" t="str">
        <f>HYPERLINK("https://www.773grp.com/globalSearch/TPS71219DRCR/page-1", "TPS71219DRCR")</f>
        <v>TPS71219DRCR</v>
      </c>
      <c r="B9946" s="3" t="str">
        <f>HYPERLINK("https://www.773grp.com/manufacturer/texas-instruments?pageNo=196", "Texas Instruments")</f>
        <v>Texas Instruments</v>
      </c>
      <c r="C9946" s="5">
        <v>3000</v>
      </c>
      <c r="D9946" s="6">
        <v>4.2300000000000004</v>
      </c>
      <c r="E9946" t="s">
        <v>52</v>
      </c>
    </row>
    <row r="9947" spans="1:5" x14ac:dyDescent="0.25">
      <c r="A9947" t="str">
        <f>HYPERLINK("https://www.773grp.com/globalSearch/TPS71229DRCR/page-1", "TPS71229DRCR")</f>
        <v>TPS71229DRCR</v>
      </c>
      <c r="B9947" s="3" t="str">
        <f>HYPERLINK("https://www.773grp.com/manufacturer/texas-instruments?pageNo=197", "Texas Instruments")</f>
        <v>Texas Instruments</v>
      </c>
      <c r="C9947" s="5">
        <v>3000</v>
      </c>
      <c r="D9947" s="6">
        <v>4.2300000000000004</v>
      </c>
      <c r="E9947" t="s">
        <v>52</v>
      </c>
    </row>
    <row r="9948" spans="1:5" x14ac:dyDescent="0.25">
      <c r="A9948" t="str">
        <f>HYPERLINK("https://www.773grp.com/globalSearch/TPS2155IPWP/page-1", "TPS2155IPWP")</f>
        <v>TPS2155IPWP</v>
      </c>
      <c r="B9948" s="3" t="s">
        <v>90</v>
      </c>
      <c r="C9948" s="5">
        <v>10824</v>
      </c>
      <c r="D9948" s="6">
        <v>4.09</v>
      </c>
      <c r="E9948" t="s">
        <v>52</v>
      </c>
    </row>
    <row r="9949" spans="1:5" x14ac:dyDescent="0.25">
      <c r="A9949" t="str">
        <f>HYPERLINK("https://www.773grp.com/globalSearch/TPS71219DRCT/page-1", "TPS71219DRCT")</f>
        <v>TPS71219DRCT</v>
      </c>
      <c r="B9949" s="3" t="str">
        <f>HYPERLINK("https://www.773grp.com/manufacturer/texas-instruments?pageNo=716", "Texas Instruments")</f>
        <v>Texas Instruments</v>
      </c>
      <c r="C9949" s="5">
        <v>1250</v>
      </c>
      <c r="D9949" s="6">
        <v>5.01</v>
      </c>
      <c r="E9949" t="s">
        <v>52</v>
      </c>
    </row>
    <row r="9950" spans="1:5" x14ac:dyDescent="0.25">
      <c r="A9950" t="str">
        <f>HYPERLINK("https://www.773grp.com/globalSearch/TPS71229DRCT/page-1", "TPS71229DRCT")</f>
        <v>TPS71229DRCT</v>
      </c>
      <c r="B9950" s="3" t="str">
        <f>HYPERLINK("https://www.773grp.com/manufacturer/texas-instruments?pageNo=717", "Texas Instruments")</f>
        <v>Texas Instruments</v>
      </c>
      <c r="C9950" s="5">
        <v>7234</v>
      </c>
      <c r="D9950" s="6">
        <v>5.01</v>
      </c>
      <c r="E9950" t="s">
        <v>52</v>
      </c>
    </row>
    <row r="9951" spans="1:5" x14ac:dyDescent="0.25">
      <c r="A9951" t="str">
        <f>HYPERLINK("https://www.773grp.com/globalSearch/TPS2145IPWP/page-1", "TPS2145IPWP")</f>
        <v>TPS2145IPWP</v>
      </c>
      <c r="B9951" s="3" t="s">
        <v>90</v>
      </c>
      <c r="C9951" s="5">
        <v>18570</v>
      </c>
      <c r="D9951" s="6">
        <v>4.93</v>
      </c>
      <c r="E9951" t="s">
        <v>52</v>
      </c>
    </row>
    <row r="9952" spans="1:5" x14ac:dyDescent="0.25">
      <c r="A9952" t="str">
        <f>HYPERLINK("https://www.773grp.com/globalSearch/TPS73HD301PWPR/page-1", "TPS73HD301PWPR")</f>
        <v>TPS73HD301PWPR</v>
      </c>
      <c r="B9952" s="3" t="s">
        <v>90</v>
      </c>
      <c r="C9952" s="5">
        <v>14713</v>
      </c>
      <c r="D9952" s="6">
        <v>6.21</v>
      </c>
      <c r="E9952" t="s">
        <v>52</v>
      </c>
    </row>
    <row r="9953" spans="1:5" x14ac:dyDescent="0.25">
      <c r="A9953" t="str">
        <f>HYPERLINK("https://www.773grp.com/globalSearch/TPS767D301QPWPRQ1/page-1", "TPS767D301QPWPRQ1")</f>
        <v>TPS767D301QPWPRQ1</v>
      </c>
      <c r="B9953" s="3" t="str">
        <f>HYPERLINK("https://www.773grp.com/manufacturer/texas-instruments?pageNo=625", "Texas Instruments")</f>
        <v>Texas Instruments</v>
      </c>
      <c r="C9953" s="5">
        <v>5328</v>
      </c>
      <c r="D9953" s="6">
        <v>6.86</v>
      </c>
      <c r="E9953" t="s">
        <v>52</v>
      </c>
    </row>
    <row r="9954" spans="1:5" x14ac:dyDescent="0.25">
      <c r="A9954" t="str">
        <f>HYPERLINK("https://www.773grp.com/globalSearch/TPS767D301PWP/page-1", "TPS767D301PWP")</f>
        <v>TPS767D301PWP</v>
      </c>
      <c r="B9954" s="3" t="str">
        <f>HYPERLINK("https://www.773grp.com/manufacturer/texas-instruments?pageNo=891", "Texas Instruments")</f>
        <v>Texas Instruments</v>
      </c>
      <c r="C9954" s="5">
        <v>64</v>
      </c>
      <c r="D9954" s="6">
        <v>7.04</v>
      </c>
      <c r="E9954" t="s">
        <v>52</v>
      </c>
    </row>
    <row r="9955" spans="1:5" x14ac:dyDescent="0.25">
      <c r="A9955" t="str">
        <f>HYPERLINK("https://www.773grp.com/globalSearch/TPS73HD301PWP/page-1", "TPS73HD301PWP")</f>
        <v>TPS73HD301PWP</v>
      </c>
      <c r="B9955" s="3" t="s">
        <v>90</v>
      </c>
      <c r="C9955" s="5">
        <v>5020</v>
      </c>
      <c r="D9955" s="6">
        <v>7.39</v>
      </c>
      <c r="E9955" t="s">
        <v>52</v>
      </c>
    </row>
    <row r="9956" spans="1:5" x14ac:dyDescent="0.25">
      <c r="A9956" t="str">
        <f>HYPERLINK("https://www.773grp.com/globalSearch/SN74ALS1003AN/page-1", "SN74ALS1003AN")</f>
        <v>SN74ALS1003AN</v>
      </c>
      <c r="B9956" s="3" t="str">
        <f>HYPERLINK("https://www.773grp.com/manufacturer/texas-instruments?pageNo=20", "Texas Instruments")</f>
        <v>Texas Instruments</v>
      </c>
      <c r="C9956" s="5">
        <v>4338</v>
      </c>
      <c r="D9956" s="6">
        <v>3.95</v>
      </c>
      <c r="E9956" t="s">
        <v>27</v>
      </c>
    </row>
    <row r="9957" spans="1:5" x14ac:dyDescent="0.25">
      <c r="A9957" t="str">
        <f>HYPERLINK("https://www.773grp.com/globalSearch/SN74ALS1008AN/page-1", "SN74ALS1008AN")</f>
        <v>SN74ALS1008AN</v>
      </c>
      <c r="B9957" s="3" t="str">
        <f>HYPERLINK("https://www.773grp.com/manufacturer/texas-instruments?pageNo=21", "Texas Instruments")</f>
        <v>Texas Instruments</v>
      </c>
      <c r="C9957" s="5">
        <v>373</v>
      </c>
      <c r="D9957" s="6">
        <v>3.95</v>
      </c>
      <c r="E9957" t="s">
        <v>27</v>
      </c>
    </row>
    <row r="9958" spans="1:5" x14ac:dyDescent="0.25">
      <c r="A9958" t="str">
        <f>HYPERLINK("https://www.773grp.com/globalSearch/SN74ALS1011AN/page-1", "SN74ALS1011AN")</f>
        <v>SN74ALS1011AN</v>
      </c>
      <c r="B9958" s="3" t="str">
        <f>HYPERLINK("https://www.773grp.com/manufacturer/texas-instruments?pageNo=22", "Texas Instruments")</f>
        <v>Texas Instruments</v>
      </c>
      <c r="C9958" s="5">
        <v>300</v>
      </c>
      <c r="D9958" s="6">
        <v>3.95</v>
      </c>
      <c r="E9958" t="s">
        <v>27</v>
      </c>
    </row>
    <row r="9959" spans="1:5" x14ac:dyDescent="0.25">
      <c r="A9959" t="str">
        <f>HYPERLINK("https://www.773grp.com/globalSearch/SN74ALS136N/page-1", "SN74ALS136N")</f>
        <v>SN74ALS136N</v>
      </c>
      <c r="B9959" s="3" t="str">
        <f>HYPERLINK("https://www.773grp.com/manufacturer/texas-instruments?pageNo=23", "Texas Instruments")</f>
        <v>Texas Instruments</v>
      </c>
      <c r="C9959" s="5">
        <v>5607</v>
      </c>
      <c r="D9959" s="6">
        <v>3.95</v>
      </c>
      <c r="E9959" t="s">
        <v>27</v>
      </c>
    </row>
    <row r="9960" spans="1:5" x14ac:dyDescent="0.25">
      <c r="A9960" t="str">
        <f>HYPERLINK("https://www.773grp.com/globalSearch/74AC11000D/page-1", "74AC11000D")</f>
        <v>74AC11000D</v>
      </c>
      <c r="B9960" s="3" t="str">
        <f>HYPERLINK("https://www.773grp.com/manufacturer/texas-instruments?pageNo=257", "Texas Instruments")</f>
        <v>Texas Instruments</v>
      </c>
      <c r="C9960" s="5">
        <v>59676</v>
      </c>
      <c r="D9960" s="6">
        <v>3.63</v>
      </c>
      <c r="E9960" t="s">
        <v>27</v>
      </c>
    </row>
    <row r="9961" spans="1:5" x14ac:dyDescent="0.25">
      <c r="A9961" t="str">
        <f>HYPERLINK("https://www.773grp.com/globalSearch/74AC11004DW/page-1", "74AC11004DW")</f>
        <v>74AC11004DW</v>
      </c>
      <c r="B9961" s="3" t="str">
        <f>HYPERLINK("https://www.773grp.com/manufacturer/texas-instruments?pageNo=258", "Texas Instruments")</f>
        <v>Texas Instruments</v>
      </c>
      <c r="C9961" s="5">
        <v>19929</v>
      </c>
      <c r="D9961" s="6">
        <v>3.63</v>
      </c>
      <c r="E9961" t="s">
        <v>27</v>
      </c>
    </row>
    <row r="9962" spans="1:5" x14ac:dyDescent="0.25">
      <c r="A9962" t="str">
        <f>HYPERLINK("https://www.773grp.com/globalSearch/74AC11008D/page-1", "74AC11008D")</f>
        <v>74AC11008D</v>
      </c>
      <c r="B9962" s="3" t="str">
        <f>HYPERLINK("https://www.773grp.com/manufacturer/texas-instruments?pageNo=259", "Texas Instruments")</f>
        <v>Texas Instruments</v>
      </c>
      <c r="C9962" s="5">
        <v>54705</v>
      </c>
      <c r="D9962" s="6">
        <v>3.63</v>
      </c>
      <c r="E9962" t="s">
        <v>27</v>
      </c>
    </row>
    <row r="9963" spans="1:5" x14ac:dyDescent="0.25">
      <c r="A9963" t="str">
        <f>HYPERLINK("https://www.773grp.com/globalSearch/74AC11032D/page-1", "74AC11032D")</f>
        <v>74AC11032D</v>
      </c>
      <c r="B9963" s="3" t="str">
        <f>HYPERLINK("https://www.773grp.com/manufacturer/texas-instruments?pageNo=260", "Texas Instruments")</f>
        <v>Texas Instruments</v>
      </c>
      <c r="C9963" s="5">
        <v>16313</v>
      </c>
      <c r="D9963" s="6">
        <v>3.63</v>
      </c>
      <c r="E9963" t="s">
        <v>27</v>
      </c>
    </row>
    <row r="9964" spans="1:5" x14ac:dyDescent="0.25">
      <c r="A9964" t="str">
        <f>HYPERLINK("https://www.773grp.com/globalSearch/74AC11086D/page-1", "74AC11086D")</f>
        <v>74AC11086D</v>
      </c>
      <c r="B9964" s="3" t="str">
        <f>HYPERLINK("https://www.773grp.com/manufacturer/texas-instruments?pageNo=261", "Texas Instruments")</f>
        <v>Texas Instruments</v>
      </c>
      <c r="C9964" s="5">
        <v>54412</v>
      </c>
      <c r="D9964" s="6">
        <v>3.63</v>
      </c>
      <c r="E9964" t="s">
        <v>27</v>
      </c>
    </row>
    <row r="9965" spans="1:5" x14ac:dyDescent="0.25">
      <c r="A9965" t="str">
        <f>HYPERLINK("https://www.773grp.com/globalSearch/74ACT11000D/page-1", "74ACT11000D")</f>
        <v>74ACT11000D</v>
      </c>
      <c r="B9965" s="3" t="str">
        <f>HYPERLINK("https://www.773grp.com/manufacturer/texas-instruments?pageNo=262", "Texas Instruments")</f>
        <v>Texas Instruments</v>
      </c>
      <c r="C9965" s="5">
        <v>19068</v>
      </c>
      <c r="D9965" s="6">
        <v>3.63</v>
      </c>
      <c r="E9965" t="s">
        <v>27</v>
      </c>
    </row>
    <row r="9966" spans="1:5" x14ac:dyDescent="0.25">
      <c r="A9966" t="str">
        <f>HYPERLINK("https://www.773grp.com/globalSearch/74ACT11000DE4/page-1", "74ACT11000DE4")</f>
        <v>74ACT11000DE4</v>
      </c>
      <c r="B9966" s="3" t="str">
        <f>HYPERLINK("https://www.773grp.com/manufacturer/texas-instruments?pageNo=263", "Texas Instruments")</f>
        <v>Texas Instruments</v>
      </c>
      <c r="C9966" s="5">
        <v>236</v>
      </c>
      <c r="D9966" s="6">
        <v>3.63</v>
      </c>
      <c r="E9966" t="s">
        <v>27</v>
      </c>
    </row>
    <row r="9967" spans="1:5" x14ac:dyDescent="0.25">
      <c r="A9967" t="str">
        <f>HYPERLINK("https://www.773grp.com/globalSearch/74ACT11004DW/page-1", "74ACT11004DW")</f>
        <v>74ACT11004DW</v>
      </c>
      <c r="B9967" s="3" t="str">
        <f>HYPERLINK("https://www.773grp.com/manufacturer/texas-instruments?pageNo=264", "Texas Instruments")</f>
        <v>Texas Instruments</v>
      </c>
      <c r="C9967" s="5">
        <v>21620</v>
      </c>
      <c r="D9967" s="6">
        <v>3.63</v>
      </c>
      <c r="E9967" t="s">
        <v>27</v>
      </c>
    </row>
    <row r="9968" spans="1:5" x14ac:dyDescent="0.25">
      <c r="A9968" t="str">
        <f>HYPERLINK("https://www.773grp.com/globalSearch/74ACT11004PW/page-1", "74ACT11004PW")</f>
        <v>74ACT11004PW</v>
      </c>
      <c r="B9968" s="3" t="str">
        <f>HYPERLINK("https://www.773grp.com/manufacturer/texas-instruments?pageNo=265", "Texas Instruments")</f>
        <v>Texas Instruments</v>
      </c>
      <c r="C9968" s="5">
        <v>12650</v>
      </c>
      <c r="D9968" s="6">
        <v>3.63</v>
      </c>
      <c r="E9968" t="s">
        <v>27</v>
      </c>
    </row>
    <row r="9969" spans="1:5" x14ac:dyDescent="0.25">
      <c r="A9969" t="str">
        <f>HYPERLINK("https://www.773grp.com/globalSearch/74ACT11008D/page-1", "74ACT11008D")</f>
        <v>74ACT11008D</v>
      </c>
      <c r="B9969" s="3" t="str">
        <f>HYPERLINK("https://www.773grp.com/manufacturer/texas-instruments?pageNo=266", "Texas Instruments")</f>
        <v>Texas Instruments</v>
      </c>
      <c r="C9969" s="5">
        <v>1303</v>
      </c>
      <c r="D9969" s="6">
        <v>3.63</v>
      </c>
      <c r="E9969" t="s">
        <v>27</v>
      </c>
    </row>
    <row r="9970" spans="1:5" x14ac:dyDescent="0.25">
      <c r="A9970" t="str">
        <f>HYPERLINK("https://www.773grp.com/globalSearch/74ACT11008PW/page-1", "74ACT11008PW")</f>
        <v>74ACT11008PW</v>
      </c>
      <c r="B9970" s="3" t="str">
        <f>HYPERLINK("https://www.773grp.com/manufacturer/texas-instruments?pageNo=267", "Texas Instruments")</f>
        <v>Texas Instruments</v>
      </c>
      <c r="C9970" s="5">
        <v>8118</v>
      </c>
      <c r="D9970" s="6">
        <v>3.63</v>
      </c>
      <c r="E9970" t="s">
        <v>27</v>
      </c>
    </row>
    <row r="9971" spans="1:5" x14ac:dyDescent="0.25">
      <c r="A9971" t="str">
        <f>HYPERLINK("https://www.773grp.com/globalSearch/74ACT11030D/page-1", "74ACT11030D")</f>
        <v>74ACT11030D</v>
      </c>
      <c r="B9971" s="3" t="str">
        <f>HYPERLINK("https://www.773grp.com/manufacturer/texas-instruments?pageNo=268", "Texas Instruments")</f>
        <v>Texas Instruments</v>
      </c>
      <c r="C9971" s="5">
        <v>21173</v>
      </c>
      <c r="D9971" s="6">
        <v>3.63</v>
      </c>
      <c r="E9971" t="s">
        <v>27</v>
      </c>
    </row>
    <row r="9972" spans="1:5" x14ac:dyDescent="0.25">
      <c r="A9972" t="str">
        <f>HYPERLINK("https://www.773grp.com/globalSearch/74ACT11032D/page-1", "74ACT11032D")</f>
        <v>74ACT11032D</v>
      </c>
      <c r="B9972" s="3" t="str">
        <f>HYPERLINK("https://www.773grp.com/manufacturer/texas-instruments?pageNo=269", "Texas Instruments")</f>
        <v>Texas Instruments</v>
      </c>
      <c r="C9972" s="5">
        <v>79988</v>
      </c>
      <c r="D9972" s="6">
        <v>3.63</v>
      </c>
      <c r="E9972" t="s">
        <v>27</v>
      </c>
    </row>
    <row r="9973" spans="1:5" x14ac:dyDescent="0.25">
      <c r="A9973" t="str">
        <f>HYPERLINK("https://www.773grp.com/globalSearch/SN74AS1000ADR/page-1", "SN74AS1000ADR")</f>
        <v>SN74AS1000ADR</v>
      </c>
      <c r="B9973" s="3" t="str">
        <f>HYPERLINK("https://www.773grp.com/manufacturer/texas-instruments?pageNo=325", "Texas Instruments")</f>
        <v>Texas Instruments</v>
      </c>
      <c r="C9973" s="5">
        <v>7500</v>
      </c>
      <c r="D9973" s="6">
        <v>3.63</v>
      </c>
      <c r="E9973" t="s">
        <v>27</v>
      </c>
    </row>
    <row r="9974" spans="1:5" x14ac:dyDescent="0.25">
      <c r="A9974" t="str">
        <f>HYPERLINK("https://www.773grp.com/globalSearch/SN74AS1004ADR/page-1", "SN74AS1004ADR")</f>
        <v>SN74AS1004ADR</v>
      </c>
      <c r="B9974" s="3" t="str">
        <f>HYPERLINK("https://www.773grp.com/manufacturer/texas-instruments?pageNo=326", "Texas Instruments")</f>
        <v>Texas Instruments</v>
      </c>
      <c r="C9974" s="5">
        <v>5000</v>
      </c>
      <c r="D9974" s="6">
        <v>3.63</v>
      </c>
      <c r="E9974" t="s">
        <v>27</v>
      </c>
    </row>
    <row r="9975" spans="1:5" x14ac:dyDescent="0.25">
      <c r="A9975" t="str">
        <f>HYPERLINK("https://www.773grp.com/globalSearch/SN74AS1034ADR/page-1", "SN74AS1034ADR")</f>
        <v>SN74AS1034ADR</v>
      </c>
      <c r="B9975" s="3" t="str">
        <f>HYPERLINK("https://www.773grp.com/manufacturer/texas-instruments?pageNo=327", "Texas Instruments")</f>
        <v>Texas Instruments</v>
      </c>
      <c r="C9975" s="5">
        <v>187500</v>
      </c>
      <c r="D9975" s="6">
        <v>3.63</v>
      </c>
      <c r="E9975" t="s">
        <v>27</v>
      </c>
    </row>
    <row r="9976" spans="1:5" x14ac:dyDescent="0.25">
      <c r="A9976" t="str">
        <f>HYPERLINK("https://www.773grp.com/globalSearch/SN54HC4075J/page-1", "SN54HC4075J")</f>
        <v>SN54HC4075J</v>
      </c>
      <c r="B9976" s="3" t="str">
        <f>HYPERLINK("https://www.773grp.com/manufacturer/texas-instruments?pageNo=698", "Texas Instruments")</f>
        <v>Texas Instruments</v>
      </c>
      <c r="C9976" s="5">
        <v>1</v>
      </c>
      <c r="D9976" s="6">
        <v>4.0599999999999996</v>
      </c>
      <c r="E9976" t="s">
        <v>27</v>
      </c>
    </row>
    <row r="9977" spans="1:5" x14ac:dyDescent="0.25">
      <c r="A9977" t="str">
        <f>HYPERLINK("https://www.773grp.com/globalSearch/SN74265N/page-1", "SN74265N")</f>
        <v>SN74265N</v>
      </c>
      <c r="B9977" s="3" t="str">
        <f>HYPERLINK("https://www.773grp.com/manufacturer/texas-instruments?pageNo=700", "Texas Instruments")</f>
        <v>Texas Instruments</v>
      </c>
      <c r="C9977" s="5">
        <v>15819</v>
      </c>
      <c r="D9977" s="6">
        <v>4.0599999999999996</v>
      </c>
      <c r="E9977" t="s">
        <v>27</v>
      </c>
    </row>
    <row r="9978" spans="1:5" x14ac:dyDescent="0.25">
      <c r="A9978" t="str">
        <f>HYPERLINK("https://www.773grp.com/globalSearch/SN74136N/page-1", "SN74136N")</f>
        <v>SN74136N</v>
      </c>
      <c r="B9978" s="3" t="str">
        <f>HYPERLINK("https://www.773grp.com/manufacturer/texas-instruments?pageNo=892", "Texas Instruments")</f>
        <v>Texas Instruments</v>
      </c>
      <c r="C9978" s="5">
        <v>1281</v>
      </c>
      <c r="D9978" s="6">
        <v>4.1100000000000003</v>
      </c>
      <c r="E9978" t="s">
        <v>27</v>
      </c>
    </row>
    <row r="9979" spans="1:5" x14ac:dyDescent="0.25">
      <c r="A9979" t="str">
        <f>HYPERLINK("https://www.773grp.com/globalSearch/SN74ALS1000AD/page-1", "SN74ALS1000AD")</f>
        <v>SN74ALS1000AD</v>
      </c>
      <c r="B9979" s="3" t="str">
        <f>HYPERLINK("https://www.773grp.com/manufacturer/texas-instruments?pageNo=893", "Texas Instruments")</f>
        <v>Texas Instruments</v>
      </c>
      <c r="C9979" s="5">
        <v>150</v>
      </c>
      <c r="D9979" s="6">
        <v>4.1100000000000003</v>
      </c>
      <c r="E9979" t="s">
        <v>27</v>
      </c>
    </row>
    <row r="9980" spans="1:5" x14ac:dyDescent="0.25">
      <c r="A9980" t="str">
        <f>HYPERLINK("https://www.773grp.com/globalSearch/SN74ALS1000AN/page-1", "SN74ALS1000AN")</f>
        <v>SN74ALS1000AN</v>
      </c>
      <c r="B9980" s="3" t="str">
        <f>HYPERLINK("https://www.773grp.com/manufacturer/texas-instruments?pageNo=894", "Texas Instruments")</f>
        <v>Texas Instruments</v>
      </c>
      <c r="C9980" s="5">
        <v>3801</v>
      </c>
      <c r="D9980" s="6">
        <v>4.1100000000000003</v>
      </c>
      <c r="E9980" t="s">
        <v>27</v>
      </c>
    </row>
    <row r="9981" spans="1:5" x14ac:dyDescent="0.25">
      <c r="A9981" t="str">
        <f>HYPERLINK("https://www.773grp.com/globalSearch/CD4041UBMT/page-1", "CD4041UBMT")</f>
        <v>CD4041UBMT</v>
      </c>
      <c r="B9981" s="3" t="str">
        <f>HYPERLINK("https://www.773grp.com/manufacturer/texas-instruments?pageNo=974", "Texas Instruments")</f>
        <v>Texas Instruments</v>
      </c>
      <c r="C9981" s="5">
        <v>500</v>
      </c>
      <c r="D9981" s="6">
        <v>4.16</v>
      </c>
      <c r="E9981" t="s">
        <v>27</v>
      </c>
    </row>
    <row r="9982" spans="1:5" x14ac:dyDescent="0.25">
      <c r="A9982" t="str">
        <f>HYPERLINK("https://www.773grp.com/globalSearch/CD4572UBMT/page-1", "CD4572UBMT")</f>
        <v>CD4572UBMT</v>
      </c>
      <c r="B9982" s="3" t="str">
        <f>HYPERLINK("https://www.773grp.com/manufacturer/texas-instruments?pageNo=976", "Texas Instruments")</f>
        <v>Texas Instruments</v>
      </c>
      <c r="C9982" s="5">
        <v>8750</v>
      </c>
      <c r="D9982" s="6">
        <v>4.16</v>
      </c>
      <c r="E9982" t="s">
        <v>27</v>
      </c>
    </row>
    <row r="9983" spans="1:5" x14ac:dyDescent="0.25">
      <c r="A9983" t="str">
        <f>HYPERLINK("https://www.773grp.com/globalSearch/CD74HC7266M96/page-1", "CD74HC7266M96")</f>
        <v>CD74HC7266M96</v>
      </c>
      <c r="B9983" s="3" t="str">
        <f>HYPERLINK("https://www.773grp.com/manufacturer/texas-instruments?pageNo=986", "Texas Instruments")</f>
        <v>Texas Instruments</v>
      </c>
      <c r="C9983" s="5">
        <v>2500</v>
      </c>
      <c r="D9983" s="6">
        <v>4.16</v>
      </c>
      <c r="E9983" t="s">
        <v>27</v>
      </c>
    </row>
    <row r="9984" spans="1:5" x14ac:dyDescent="0.25">
      <c r="A9984" t="str">
        <f>HYPERLINK("https://www.773grp.com/globalSearch/SN7416DR/page-1", "SN7416DR")</f>
        <v>SN7416DR</v>
      </c>
      <c r="B9984" s="3" t="s">
        <v>90</v>
      </c>
      <c r="C9984" s="5">
        <v>2500</v>
      </c>
      <c r="D9984" s="6">
        <v>4.16</v>
      </c>
      <c r="E9984" t="s">
        <v>27</v>
      </c>
    </row>
    <row r="9985" spans="1:5" x14ac:dyDescent="0.25">
      <c r="A9985" t="str">
        <f>HYPERLINK("https://www.773grp.com/globalSearch/SN7417N/page-1", "SN7417N")</f>
        <v>SN7417N</v>
      </c>
      <c r="B9985" s="3" t="s">
        <v>90</v>
      </c>
      <c r="C9985" s="5">
        <v>5350</v>
      </c>
      <c r="D9985" s="6">
        <v>4.16</v>
      </c>
      <c r="E9985" t="s">
        <v>27</v>
      </c>
    </row>
    <row r="9986" spans="1:5" x14ac:dyDescent="0.25">
      <c r="A9986" t="str">
        <f>HYPERLINK("https://www.773grp.com/globalSearch/SN7438N/page-1", "SN7438N")</f>
        <v>SN7438N</v>
      </c>
      <c r="B9986" s="3" t="s">
        <v>90</v>
      </c>
      <c r="C9986" s="5">
        <v>23224</v>
      </c>
      <c r="D9986" s="6">
        <v>4.16</v>
      </c>
      <c r="E9986" t="s">
        <v>27</v>
      </c>
    </row>
    <row r="9987" spans="1:5" x14ac:dyDescent="0.25">
      <c r="A9987" t="str">
        <f>HYPERLINK("https://www.773grp.com/globalSearch/SN74HC7001DR/page-1", "SN74HC7001DR")</f>
        <v>SN74HC7001DR</v>
      </c>
      <c r="B9987" s="3" t="s">
        <v>90</v>
      </c>
      <c r="C9987" s="5">
        <v>7000</v>
      </c>
      <c r="D9987" s="6">
        <v>4.16</v>
      </c>
      <c r="E9987" t="s">
        <v>27</v>
      </c>
    </row>
    <row r="9988" spans="1:5" x14ac:dyDescent="0.25">
      <c r="A9988" t="str">
        <f>HYPERLINK("https://www.773grp.com/globalSearch/SN74LS19AN/page-1", "SN74LS19AN")</f>
        <v>SN74LS19AN</v>
      </c>
      <c r="B9988" s="3" t="s">
        <v>90</v>
      </c>
      <c r="C9988" s="5">
        <v>7325</v>
      </c>
      <c r="D9988" s="6">
        <v>4.16</v>
      </c>
      <c r="E9988" t="s">
        <v>27</v>
      </c>
    </row>
    <row r="9989" spans="1:5" x14ac:dyDescent="0.25">
      <c r="A9989" t="str">
        <f>HYPERLINK("https://www.773grp.com/globalSearch/SN74LS19ANSR/page-1", "SN74LS19ANSR")</f>
        <v>SN74LS19ANSR</v>
      </c>
      <c r="B9989" s="3" t="s">
        <v>90</v>
      </c>
      <c r="C9989" s="5">
        <v>2000</v>
      </c>
      <c r="D9989" s="6">
        <v>4.16</v>
      </c>
      <c r="E9989" t="s">
        <v>27</v>
      </c>
    </row>
    <row r="9990" spans="1:5" x14ac:dyDescent="0.25">
      <c r="A9990" t="str">
        <f>HYPERLINK("https://www.773grp.com/globalSearch/SN74LS33D/page-1", "SN74LS33D")</f>
        <v>SN74LS33D</v>
      </c>
      <c r="B9990" s="3" t="s">
        <v>90</v>
      </c>
      <c r="C9990" s="5">
        <v>46655</v>
      </c>
      <c r="D9990" s="6">
        <v>4.16</v>
      </c>
      <c r="E9990" t="s">
        <v>27</v>
      </c>
    </row>
    <row r="9991" spans="1:5" x14ac:dyDescent="0.25">
      <c r="A9991" t="str">
        <f>HYPERLINK("https://www.773grp.com/globalSearch/SN74S51N/page-1", "SN74S51N")</f>
        <v>SN74S51N</v>
      </c>
      <c r="B9991" s="3" t="s">
        <v>90</v>
      </c>
      <c r="C9991" s="5">
        <v>23583</v>
      </c>
      <c r="D9991" s="6">
        <v>4.16</v>
      </c>
      <c r="E9991" t="s">
        <v>27</v>
      </c>
    </row>
    <row r="9992" spans="1:5" x14ac:dyDescent="0.25">
      <c r="A9992" t="str">
        <f>HYPERLINK("https://www.773grp.com/globalSearch/SN74ALS33ADR/page-1", "SN74ALS33ADR")</f>
        <v>SN74ALS33ADR</v>
      </c>
      <c r="B9992" s="3" t="s">
        <v>90</v>
      </c>
      <c r="C9992" s="5">
        <v>5000</v>
      </c>
      <c r="D9992" s="6">
        <v>3.76</v>
      </c>
      <c r="E9992" t="s">
        <v>27</v>
      </c>
    </row>
    <row r="9993" spans="1:5" x14ac:dyDescent="0.25">
      <c r="A9993" t="str">
        <f>HYPERLINK("https://www.773grp.com/globalSearch/SN74LS24AN/page-1", "SN74LS24AN")</f>
        <v>SN74LS24AN</v>
      </c>
      <c r="B9993" s="3" t="s">
        <v>90</v>
      </c>
      <c r="C9993" s="5">
        <v>259</v>
      </c>
      <c r="D9993" s="6">
        <v>3.76</v>
      </c>
      <c r="E9993" t="s">
        <v>27</v>
      </c>
    </row>
    <row r="9994" spans="1:5" x14ac:dyDescent="0.25">
      <c r="A9994" t="str">
        <f>HYPERLINK("https://www.773grp.com/globalSearch/SN74S00D/page-1", "SN74S00D")</f>
        <v>SN74S00D</v>
      </c>
      <c r="B9994" s="3" t="s">
        <v>90</v>
      </c>
      <c r="C9994" s="5">
        <v>17154</v>
      </c>
      <c r="D9994" s="6">
        <v>3.76</v>
      </c>
      <c r="E9994" t="s">
        <v>27</v>
      </c>
    </row>
    <row r="9995" spans="1:5" x14ac:dyDescent="0.25">
      <c r="A9995" t="str">
        <f>HYPERLINK("https://www.773grp.com/globalSearch/SN74S09DR/page-1", "SN74S09DR")</f>
        <v>SN74S09DR</v>
      </c>
      <c r="B9995" s="3" t="s">
        <v>90</v>
      </c>
      <c r="C9995" s="5">
        <v>12500</v>
      </c>
      <c r="D9995" s="6">
        <v>3.76</v>
      </c>
      <c r="E9995" t="s">
        <v>27</v>
      </c>
    </row>
    <row r="9996" spans="1:5" x14ac:dyDescent="0.25">
      <c r="A9996" t="str">
        <f>HYPERLINK("https://www.773grp.com/globalSearch/74AC11021D/page-1", "74AC11021D")</f>
        <v>74AC11021D</v>
      </c>
      <c r="B9996" s="3" t="s">
        <v>90</v>
      </c>
      <c r="C9996" s="5">
        <v>67</v>
      </c>
      <c r="D9996" s="6">
        <v>4.2300000000000004</v>
      </c>
      <c r="E9996" t="s">
        <v>27</v>
      </c>
    </row>
    <row r="9997" spans="1:5" x14ac:dyDescent="0.25">
      <c r="A9997" t="str">
        <f>HYPERLINK("https://www.773grp.com/globalSearch/SN74LS386AN/page-1", "SN74LS386AN")</f>
        <v>SN74LS386AN</v>
      </c>
      <c r="B9997" s="3" t="str">
        <f>HYPERLINK("https://www.773grp.com/manufacturer/texas-instruments?pageNo=19", "Texas Instruments")</f>
        <v>Texas Instruments</v>
      </c>
      <c r="C9997" s="5">
        <v>7178</v>
      </c>
      <c r="D9997" s="6">
        <v>4.2300000000000004</v>
      </c>
      <c r="E9997" t="s">
        <v>27</v>
      </c>
    </row>
    <row r="9998" spans="1:5" x14ac:dyDescent="0.25">
      <c r="A9998" t="str">
        <f>HYPERLINK("https://www.773grp.com/globalSearch/SN74128N/page-1", "SN74128N")</f>
        <v>SN74128N</v>
      </c>
      <c r="B9998" s="3" t="str">
        <f>HYPERLINK("https://www.773grp.com/manufacturer/texas-instruments?pageNo=259", "Texas Instruments")</f>
        <v>Texas Instruments</v>
      </c>
      <c r="C9998" s="5">
        <v>7100</v>
      </c>
      <c r="D9998" s="6">
        <v>3.83</v>
      </c>
      <c r="E9998" t="s">
        <v>27</v>
      </c>
    </row>
    <row r="9999" spans="1:5" x14ac:dyDescent="0.25">
      <c r="A9999" t="str">
        <f>HYPERLINK("https://www.773grp.com/globalSearch/SN74ALS1005D/page-1", "SN74ALS1005D")</f>
        <v>SN74ALS1005D</v>
      </c>
      <c r="B9999" s="3" t="str">
        <f>HYPERLINK("https://www.773grp.com/manufacturer/texas-instruments?pageNo=265", "Texas Instruments")</f>
        <v>Texas Instruments</v>
      </c>
      <c r="C9999" s="5">
        <v>9666</v>
      </c>
      <c r="D9999" s="6">
        <v>3.83</v>
      </c>
      <c r="E9999" t="s">
        <v>27</v>
      </c>
    </row>
    <row r="10000" spans="1:5" x14ac:dyDescent="0.25">
      <c r="A10000" t="str">
        <f>HYPERLINK("https://www.773grp.com/globalSearch/SN74AS1008AD/page-1", "SN74AS1008AD")</f>
        <v>SN74AS1008AD</v>
      </c>
      <c r="B10000" s="3" t="str">
        <f>HYPERLINK("https://www.773grp.com/manufacturer/texas-instruments?pageNo=274", "Texas Instruments")</f>
        <v>Texas Instruments</v>
      </c>
      <c r="C10000" s="5">
        <v>43590</v>
      </c>
      <c r="D10000" s="6">
        <v>3.83</v>
      </c>
      <c r="E10000" t="s">
        <v>27</v>
      </c>
    </row>
    <row r="10001" spans="1:5" x14ac:dyDescent="0.25">
      <c r="A10001" t="str">
        <f>HYPERLINK("https://www.773grp.com/globalSearch/SN74AS808BN3/page-1", "SN74AS808BN3")</f>
        <v>SN74AS808BN3</v>
      </c>
      <c r="B10001" s="3" t="str">
        <f>HYPERLINK("https://www.773grp.com/manufacturer/texas-instruments?pageNo=276", "Texas Instruments")</f>
        <v>Texas Instruments</v>
      </c>
      <c r="C10001" s="5">
        <v>1870</v>
      </c>
      <c r="D10001" s="6">
        <v>3.83</v>
      </c>
      <c r="E10001" t="s">
        <v>27</v>
      </c>
    </row>
    <row r="10002" spans="1:5" x14ac:dyDescent="0.25">
      <c r="A10002" t="str">
        <f>HYPERLINK("https://www.773grp.com/globalSearch/SN74S140N/page-1", "SN74S140N")</f>
        <v>SN74S140N</v>
      </c>
      <c r="B10002" s="3" t="str">
        <f>HYPERLINK("https://www.773grp.com/manufacturer/texas-instruments?pageNo=288", "Texas Instruments")</f>
        <v>Texas Instruments</v>
      </c>
      <c r="C10002" s="5">
        <v>83358</v>
      </c>
      <c r="D10002" s="6">
        <v>3.83</v>
      </c>
      <c r="E10002" t="s">
        <v>27</v>
      </c>
    </row>
    <row r="10003" spans="1:5" x14ac:dyDescent="0.25">
      <c r="A10003" t="str">
        <f>HYPERLINK("https://www.773grp.com/globalSearch/SN74S260D/page-1", "SN74S260D")</f>
        <v>SN74S260D</v>
      </c>
      <c r="B10003" s="3" t="str">
        <f>HYPERLINK("https://www.773grp.com/manufacturer/texas-instruments?pageNo=290", "Texas Instruments")</f>
        <v>Texas Instruments</v>
      </c>
      <c r="C10003" s="5">
        <v>8380</v>
      </c>
      <c r="D10003" s="6">
        <v>3.83</v>
      </c>
      <c r="E10003" t="s">
        <v>27</v>
      </c>
    </row>
    <row r="10004" spans="1:5" x14ac:dyDescent="0.25">
      <c r="A10004" t="str">
        <f>HYPERLINK("https://www.773grp.com/globalSearch/SN74S37D/page-1", "SN74S37D")</f>
        <v>SN74S37D</v>
      </c>
      <c r="B10004" s="3" t="str">
        <f>HYPERLINK("https://www.773grp.com/manufacturer/texas-instruments?pageNo=291", "Texas Instruments")</f>
        <v>Texas Instruments</v>
      </c>
      <c r="C10004" s="5">
        <v>10604</v>
      </c>
      <c r="D10004" s="6">
        <v>3.83</v>
      </c>
      <c r="E10004" t="s">
        <v>27</v>
      </c>
    </row>
    <row r="10005" spans="1:5" x14ac:dyDescent="0.25">
      <c r="A10005" t="str">
        <f>HYPERLINK("https://www.773grp.com/globalSearch/SN74S134N/page-1", "SN74S134N")</f>
        <v>SN74S134N</v>
      </c>
      <c r="B10005" s="3" t="str">
        <f>HYPERLINK("https://www.773grp.com/manufacturer/texas-instruments?pageNo=483", "Texas Instruments")</f>
        <v>Texas Instruments</v>
      </c>
      <c r="C10005" s="5">
        <v>25</v>
      </c>
      <c r="D10005" s="6">
        <v>4.33</v>
      </c>
      <c r="E10005" t="s">
        <v>27</v>
      </c>
    </row>
    <row r="10006" spans="1:5" x14ac:dyDescent="0.25">
      <c r="A10006" t="str">
        <f>HYPERLINK("https://www.773grp.com/globalSearch/SN74S00N/page-1", "SN74S00N")</f>
        <v>SN74S00N</v>
      </c>
      <c r="B10006" s="3" t="str">
        <f>HYPERLINK("https://www.773grp.com/manufacturer/texas-instruments?pageNo=594", "Texas Instruments")</f>
        <v>Texas Instruments</v>
      </c>
      <c r="C10006" s="5">
        <v>5241</v>
      </c>
      <c r="D10006" s="6">
        <v>3.94</v>
      </c>
      <c r="E10006" t="s">
        <v>27</v>
      </c>
    </row>
    <row r="10007" spans="1:5" x14ac:dyDescent="0.25">
      <c r="A10007" t="str">
        <f>HYPERLINK("https://www.773grp.com/globalSearch/SN74S86D/page-1", "SN74S86D")</f>
        <v>SN74S86D</v>
      </c>
      <c r="B10007" s="3" t="str">
        <f>HYPERLINK("https://www.773grp.com/manufacturer/texas-instruments?pageNo=595", "Texas Instruments")</f>
        <v>Texas Instruments</v>
      </c>
      <c r="C10007" s="5">
        <v>6725</v>
      </c>
      <c r="D10007" s="6">
        <v>3.94</v>
      </c>
      <c r="E10007" t="s">
        <v>27</v>
      </c>
    </row>
    <row r="10008" spans="1:5" x14ac:dyDescent="0.25">
      <c r="A10008" t="str">
        <f>HYPERLINK("https://www.773grp.com/globalSearch/SNJ54F09J/page-1", "SNJ54F09J")</f>
        <v>SNJ54F09J</v>
      </c>
      <c r="B10008" s="3" t="str">
        <f>HYPERLINK("https://www.773grp.com/manufacturer/texas-instruments?pageNo=606", "Texas Instruments")</f>
        <v>Texas Instruments</v>
      </c>
      <c r="C10008" s="5">
        <v>655</v>
      </c>
      <c r="D10008" s="6">
        <v>3.94</v>
      </c>
      <c r="E10008" t="s">
        <v>27</v>
      </c>
    </row>
    <row r="10009" spans="1:5" x14ac:dyDescent="0.25">
      <c r="A10009" t="str">
        <f>HYPERLINK("https://www.773grp.com/globalSearch/SN74S260N3/page-1", "SN74S260N3")</f>
        <v>SN74S260N3</v>
      </c>
      <c r="B10009" s="3" t="str">
        <f>HYPERLINK("https://www.773grp.com/manufacturer/texas-instruments?pageNo=793", "Texas Instruments")</f>
        <v>Texas Instruments</v>
      </c>
      <c r="C10009" s="5">
        <v>451</v>
      </c>
      <c r="D10009" s="6">
        <v>4.38</v>
      </c>
      <c r="E10009" t="s">
        <v>27</v>
      </c>
    </row>
    <row r="10010" spans="1:5" x14ac:dyDescent="0.25">
      <c r="A10010" t="str">
        <f>HYPERLINK("https://www.773grp.com/globalSearch/SNJ54ALS37AJ/page-1", "SNJ54ALS37AJ")</f>
        <v>SNJ54ALS37AJ</v>
      </c>
      <c r="B10010" s="3" t="str">
        <f>HYPERLINK("https://www.773grp.com/manufacturer/texas-instruments?pageNo=828", "Texas Instruments")</f>
        <v>Texas Instruments</v>
      </c>
      <c r="C10010" s="5">
        <v>352</v>
      </c>
      <c r="D10010" s="6">
        <v>4</v>
      </c>
      <c r="E10010" t="s">
        <v>27</v>
      </c>
    </row>
    <row r="10011" spans="1:5" x14ac:dyDescent="0.25">
      <c r="A10011" t="str">
        <f>HYPERLINK("https://www.773grp.com/globalSearch/SN74ALS1034DR/page-1", "SN74ALS1034DR")</f>
        <v>SN74ALS1034DR</v>
      </c>
      <c r="B10011" s="3" t="str">
        <f>HYPERLINK("https://www.773grp.com/manufacturer/texas-instruments?pageNo=942", "Texas Instruments")</f>
        <v>Texas Instruments</v>
      </c>
      <c r="C10011" s="5">
        <v>17500</v>
      </c>
      <c r="D10011" s="6">
        <v>4.01</v>
      </c>
      <c r="E10011" t="s">
        <v>27</v>
      </c>
    </row>
    <row r="10012" spans="1:5" x14ac:dyDescent="0.25">
      <c r="A10012" t="str">
        <f>HYPERLINK("https://www.773grp.com/globalSearch/SN74AS1000AN/page-1", "SN74AS1000AN")</f>
        <v>SN74AS1000AN</v>
      </c>
      <c r="B10012" s="3" t="str">
        <f>HYPERLINK("https://www.773grp.com/manufacturer/texas-instruments?pageNo=946", "Texas Instruments")</f>
        <v>Texas Instruments</v>
      </c>
      <c r="C10012" s="5">
        <v>22742</v>
      </c>
      <c r="D10012" s="6">
        <v>4.01</v>
      </c>
      <c r="E10012" t="s">
        <v>27</v>
      </c>
    </row>
    <row r="10013" spans="1:5" x14ac:dyDescent="0.25">
      <c r="A10013" t="str">
        <f>HYPERLINK("https://www.773grp.com/globalSearch/SN74AS1004AN/page-1", "SN74AS1004AN")</f>
        <v>SN74AS1004AN</v>
      </c>
      <c r="B10013" s="3" t="str">
        <f>HYPERLINK("https://www.773grp.com/manufacturer/texas-instruments?pageNo=947", "Texas Instruments")</f>
        <v>Texas Instruments</v>
      </c>
      <c r="C10013" s="5">
        <v>16449</v>
      </c>
      <c r="D10013" s="6">
        <v>4.01</v>
      </c>
      <c r="E10013" t="s">
        <v>27</v>
      </c>
    </row>
    <row r="10014" spans="1:5" x14ac:dyDescent="0.25">
      <c r="A10014" t="str">
        <f>HYPERLINK("https://www.773grp.com/globalSearch/SN74AS1004ANSR/page-1", "SN74AS1004ANSR")</f>
        <v>SN74AS1004ANSR</v>
      </c>
      <c r="B10014" s="3" t="str">
        <f>HYPERLINK("https://www.773grp.com/manufacturer/texas-instruments?pageNo=948", "Texas Instruments")</f>
        <v>Texas Instruments</v>
      </c>
      <c r="C10014" s="5">
        <v>8000</v>
      </c>
      <c r="D10014" s="6">
        <v>4.01</v>
      </c>
      <c r="E10014" t="s">
        <v>27</v>
      </c>
    </row>
    <row r="10015" spans="1:5" x14ac:dyDescent="0.25">
      <c r="A10015" t="str">
        <f>HYPERLINK("https://www.773grp.com/globalSearch/SN74AS1032AN/page-1", "SN74AS1032AN")</f>
        <v>SN74AS1032AN</v>
      </c>
      <c r="B10015" s="3" t="str">
        <f>HYPERLINK("https://www.773grp.com/manufacturer/texas-instruments?pageNo=949", "Texas Instruments")</f>
        <v>Texas Instruments</v>
      </c>
      <c r="C10015" s="5">
        <v>24180</v>
      </c>
      <c r="D10015" s="6">
        <v>4.01</v>
      </c>
      <c r="E10015" t="s">
        <v>27</v>
      </c>
    </row>
    <row r="10016" spans="1:5" x14ac:dyDescent="0.25">
      <c r="A10016" t="str">
        <f>HYPERLINK("https://www.773grp.com/globalSearch/SN74AS1034AN/page-1", "SN74AS1034AN")</f>
        <v>SN74AS1034AN</v>
      </c>
      <c r="B10016" s="3" t="str">
        <f>HYPERLINK("https://www.773grp.com/manufacturer/texas-instruments?pageNo=950", "Texas Instruments")</f>
        <v>Texas Instruments</v>
      </c>
      <c r="C10016" s="5">
        <v>46621</v>
      </c>
      <c r="D10016" s="6">
        <v>4.01</v>
      </c>
      <c r="E10016" t="s">
        <v>27</v>
      </c>
    </row>
    <row r="10017" spans="1:5" x14ac:dyDescent="0.25">
      <c r="A10017" t="str">
        <f>HYPERLINK("https://www.773grp.com/globalSearch/SN74AS1034ANE4/page-1", "SN74AS1034ANE4")</f>
        <v>SN74AS1034ANE4</v>
      </c>
      <c r="B10017" s="3" t="str">
        <f>HYPERLINK("https://www.773grp.com/manufacturer/texas-instruments?pageNo=951", "Texas Instruments")</f>
        <v>Texas Instruments</v>
      </c>
      <c r="C10017" s="5">
        <v>350</v>
      </c>
      <c r="D10017" s="6">
        <v>4.01</v>
      </c>
      <c r="E10017" t="s">
        <v>27</v>
      </c>
    </row>
    <row r="10018" spans="1:5" x14ac:dyDescent="0.25">
      <c r="A10018" t="str">
        <f>HYPERLINK("https://www.773grp.com/globalSearch/SN74HC7032DR/page-1", "SN74HC7032DR")</f>
        <v>SN74HC7032DR</v>
      </c>
      <c r="B10018" s="3" t="str">
        <f>HYPERLINK("https://www.773grp.com/manufacturer/texas-instruments?pageNo=971", "Texas Instruments")</f>
        <v>Texas Instruments</v>
      </c>
      <c r="C10018" s="5">
        <v>7500</v>
      </c>
      <c r="D10018" s="6">
        <v>4.01</v>
      </c>
      <c r="E10018" t="s">
        <v>27</v>
      </c>
    </row>
    <row r="10019" spans="1:5" x14ac:dyDescent="0.25">
      <c r="A10019" t="str">
        <f>HYPERLINK("https://www.773grp.com/globalSearch/CD74ACT86MDREP/page-1", "CD74ACT86MDREP")</f>
        <v>CD74ACT86MDREP</v>
      </c>
      <c r="B10019" s="3" t="s">
        <v>90</v>
      </c>
      <c r="C10019" s="5">
        <v>3164</v>
      </c>
      <c r="D10019" s="6">
        <v>4.49</v>
      </c>
      <c r="E10019" t="s">
        <v>27</v>
      </c>
    </row>
    <row r="10020" spans="1:5" x14ac:dyDescent="0.25">
      <c r="A10020" t="str">
        <f>HYPERLINK("https://www.773grp.com/globalSearch/SN7404DR/page-1", "SN7404DR")</f>
        <v>SN7404DR</v>
      </c>
      <c r="B10020" s="3" t="s">
        <v>90</v>
      </c>
      <c r="C10020" s="5">
        <v>7500</v>
      </c>
      <c r="D10020" s="6">
        <v>4.54</v>
      </c>
      <c r="E10020" t="s">
        <v>27</v>
      </c>
    </row>
    <row r="10021" spans="1:5" x14ac:dyDescent="0.25">
      <c r="A10021" t="str">
        <f>HYPERLINK("https://www.773grp.com/globalSearch/SN7404NSR/page-1", "SN7404NSR")</f>
        <v>SN7404NSR</v>
      </c>
      <c r="B10021" s="3" t="s">
        <v>90</v>
      </c>
      <c r="C10021" s="5">
        <v>6000</v>
      </c>
      <c r="D10021" s="6">
        <v>4.54</v>
      </c>
      <c r="E10021" t="s">
        <v>27</v>
      </c>
    </row>
    <row r="10022" spans="1:5" x14ac:dyDescent="0.25">
      <c r="A10022" t="str">
        <f>HYPERLINK("https://www.773grp.com/globalSearch/SN7416N/page-1", "SN7416N")</f>
        <v>SN7416N</v>
      </c>
      <c r="B10022" s="3" t="s">
        <v>90</v>
      </c>
      <c r="C10022" s="5">
        <v>1304</v>
      </c>
      <c r="D10022" s="6">
        <v>4.54</v>
      </c>
      <c r="E10022" t="s">
        <v>27</v>
      </c>
    </row>
    <row r="10023" spans="1:5" x14ac:dyDescent="0.25">
      <c r="A10023" t="str">
        <f>HYPERLINK("https://www.773grp.com/globalSearch/SN7417D/page-1", "SN7417D")</f>
        <v>SN7417D</v>
      </c>
      <c r="B10023" s="3" t="s">
        <v>90</v>
      </c>
      <c r="C10023" s="5">
        <v>10149</v>
      </c>
      <c r="D10023" s="6">
        <v>4.54</v>
      </c>
      <c r="E10023" t="s">
        <v>27</v>
      </c>
    </row>
    <row r="10024" spans="1:5" x14ac:dyDescent="0.25">
      <c r="A10024" t="str">
        <f>HYPERLINK("https://www.773grp.com/globalSearch/SN7438D/page-1", "SN7438D")</f>
        <v>SN7438D</v>
      </c>
      <c r="B10024" s="3" t="s">
        <v>90</v>
      </c>
      <c r="C10024" s="5">
        <v>14009</v>
      </c>
      <c r="D10024" s="6">
        <v>4.54</v>
      </c>
      <c r="E10024" t="s">
        <v>27</v>
      </c>
    </row>
    <row r="10025" spans="1:5" x14ac:dyDescent="0.25">
      <c r="A10025" t="str">
        <f>HYPERLINK("https://www.773grp.com/globalSearch/SN7438DE4/page-1", "SN7438DE4")</f>
        <v>SN7438DE4</v>
      </c>
      <c r="B10025" s="3" t="s">
        <v>90</v>
      </c>
      <c r="C10025" s="5">
        <v>150</v>
      </c>
      <c r="D10025" s="6">
        <v>4.54</v>
      </c>
      <c r="E10025" t="s">
        <v>27</v>
      </c>
    </row>
    <row r="10026" spans="1:5" x14ac:dyDescent="0.25">
      <c r="A10026" t="str">
        <f>HYPERLINK("https://www.773grp.com/globalSearch/SN74AS21DR/page-1", "SN74AS21DR")</f>
        <v>SN74AS21DR</v>
      </c>
      <c r="B10026" s="3" t="s">
        <v>90</v>
      </c>
      <c r="C10026" s="5">
        <v>47000</v>
      </c>
      <c r="D10026" s="6">
        <v>4.54</v>
      </c>
      <c r="E10026" t="s">
        <v>27</v>
      </c>
    </row>
    <row r="10027" spans="1:5" x14ac:dyDescent="0.25">
      <c r="A10027" t="str">
        <f>HYPERLINK("https://www.773grp.com/globalSearch/SN74HC7001N/page-1", "SN74HC7001N")</f>
        <v>SN74HC7001N</v>
      </c>
      <c r="B10027" s="3" t="s">
        <v>90</v>
      </c>
      <c r="C10027" s="5">
        <v>11405</v>
      </c>
      <c r="D10027" s="6">
        <v>4.54</v>
      </c>
      <c r="E10027" t="s">
        <v>27</v>
      </c>
    </row>
    <row r="10028" spans="1:5" x14ac:dyDescent="0.25">
      <c r="A10028" t="str">
        <f>HYPERLINK("https://www.773grp.com/globalSearch/SN74HCU7204PWT/page-1", "SN74HCU7204PWT")</f>
        <v>SN74HCU7204PWT</v>
      </c>
      <c r="B10028" s="3" t="s">
        <v>90</v>
      </c>
      <c r="C10028" s="5">
        <v>250</v>
      </c>
      <c r="D10028" s="6">
        <v>4.54</v>
      </c>
      <c r="E10028" t="s">
        <v>27</v>
      </c>
    </row>
    <row r="10029" spans="1:5" x14ac:dyDescent="0.25">
      <c r="A10029" t="str">
        <f>HYPERLINK("https://www.773grp.com/globalSearch/SN7425N/page-1", "SN7425N")</f>
        <v>SN7425N</v>
      </c>
      <c r="B10029" s="3" t="s">
        <v>90</v>
      </c>
      <c r="C10029" s="5">
        <v>11541</v>
      </c>
      <c r="D10029" s="6">
        <v>4.2300000000000004</v>
      </c>
      <c r="E10029" t="s">
        <v>27</v>
      </c>
    </row>
    <row r="10030" spans="1:5" x14ac:dyDescent="0.25">
      <c r="A10030" t="str">
        <f>HYPERLINK("https://www.773grp.com/globalSearch/SN74ALS1034N/page-1", "SN74ALS1034N")</f>
        <v>SN74ALS1034N</v>
      </c>
      <c r="B10030" s="3" t="s">
        <v>90</v>
      </c>
      <c r="C10030" s="5">
        <v>12483</v>
      </c>
      <c r="D10030" s="6">
        <v>4.2300000000000004</v>
      </c>
      <c r="E10030" t="s">
        <v>27</v>
      </c>
    </row>
    <row r="10031" spans="1:5" x14ac:dyDescent="0.25">
      <c r="A10031" t="str">
        <f>HYPERLINK("https://www.773grp.com/globalSearch/SN74AS1000AD/page-1", "SN74AS1000AD")</f>
        <v>SN74AS1000AD</v>
      </c>
      <c r="B10031" s="3" t="s">
        <v>90</v>
      </c>
      <c r="C10031" s="5">
        <v>21986</v>
      </c>
      <c r="D10031" s="6">
        <v>4.2300000000000004</v>
      </c>
      <c r="E10031" t="s">
        <v>27</v>
      </c>
    </row>
    <row r="10032" spans="1:5" x14ac:dyDescent="0.25">
      <c r="A10032" t="str">
        <f>HYPERLINK("https://www.773grp.com/globalSearch/SN74AS1004AD/page-1", "SN74AS1004AD")</f>
        <v>SN74AS1004AD</v>
      </c>
      <c r="B10032" s="3" t="s">
        <v>90</v>
      </c>
      <c r="C10032" s="5">
        <v>62193</v>
      </c>
      <c r="D10032" s="6">
        <v>4.2300000000000004</v>
      </c>
      <c r="E10032" t="s">
        <v>27</v>
      </c>
    </row>
    <row r="10033" spans="1:5" x14ac:dyDescent="0.25">
      <c r="A10033" t="str">
        <f>HYPERLINK("https://www.773grp.com/globalSearch/SN74AS1008AN/page-1", "SN74AS1008AN")</f>
        <v>SN74AS1008AN</v>
      </c>
      <c r="B10033" s="3" t="s">
        <v>90</v>
      </c>
      <c r="C10033" s="5">
        <v>26581</v>
      </c>
      <c r="D10033" s="6">
        <v>4.2300000000000004</v>
      </c>
      <c r="E10033" t="s">
        <v>27</v>
      </c>
    </row>
    <row r="10034" spans="1:5" x14ac:dyDescent="0.25">
      <c r="A10034" t="str">
        <f>HYPERLINK("https://www.773grp.com/globalSearch/SN74AS1032AD/page-1", "SN74AS1032AD")</f>
        <v>SN74AS1032AD</v>
      </c>
      <c r="B10034" s="3" t="s">
        <v>90</v>
      </c>
      <c r="C10034" s="5">
        <v>60430</v>
      </c>
      <c r="D10034" s="6">
        <v>4.2300000000000004</v>
      </c>
      <c r="E10034" t="s">
        <v>27</v>
      </c>
    </row>
    <row r="10035" spans="1:5" x14ac:dyDescent="0.25">
      <c r="A10035" t="str">
        <f>HYPERLINK("https://www.773grp.com/globalSearch/SN74AS1032ADE4/page-1", "SN74AS1032ADE4")</f>
        <v>SN74AS1032ADE4</v>
      </c>
      <c r="B10035" s="3" t="s">
        <v>90</v>
      </c>
      <c r="C10035" s="5">
        <v>20</v>
      </c>
      <c r="D10035" s="6">
        <v>4.2300000000000004</v>
      </c>
      <c r="E10035" t="s">
        <v>27</v>
      </c>
    </row>
    <row r="10036" spans="1:5" x14ac:dyDescent="0.25">
      <c r="A10036" t="str">
        <f>HYPERLINK("https://www.773grp.com/globalSearch/SN74AS1034AD/page-1", "SN74AS1034AD")</f>
        <v>SN74AS1034AD</v>
      </c>
      <c r="B10036" s="3" t="s">
        <v>90</v>
      </c>
      <c r="C10036" s="5">
        <v>5174</v>
      </c>
      <c r="D10036" s="6">
        <v>4.2300000000000004</v>
      </c>
      <c r="E10036" t="s">
        <v>27</v>
      </c>
    </row>
    <row r="10037" spans="1:5" x14ac:dyDescent="0.25">
      <c r="A10037" t="str">
        <f>HYPERLINK("https://www.773grp.com/globalSearch/SN74AS30DR/page-1", "SN74AS30DR")</f>
        <v>SN74AS30DR</v>
      </c>
      <c r="B10037" s="3" t="s">
        <v>90</v>
      </c>
      <c r="C10037" s="5">
        <v>7500</v>
      </c>
      <c r="D10037" s="6">
        <v>4.2300000000000004</v>
      </c>
      <c r="E10037" t="s">
        <v>27</v>
      </c>
    </row>
    <row r="10038" spans="1:5" x14ac:dyDescent="0.25">
      <c r="A10038" t="str">
        <f>HYPERLINK("https://www.773grp.com/globalSearch/SN74S140D/page-1", "SN74S140D")</f>
        <v>SN74S140D</v>
      </c>
      <c r="B10038" s="3" t="s">
        <v>90</v>
      </c>
      <c r="C10038" s="5">
        <v>4925</v>
      </c>
      <c r="D10038" s="6">
        <v>4.2300000000000004</v>
      </c>
      <c r="E10038" t="s">
        <v>27</v>
      </c>
    </row>
    <row r="10039" spans="1:5" x14ac:dyDescent="0.25">
      <c r="A10039" t="str">
        <f>HYPERLINK("https://www.773grp.com/globalSearch/SN7405N/page-1", "SN7405N")</f>
        <v>SN7405N</v>
      </c>
      <c r="B10039" s="3" t="s">
        <v>90</v>
      </c>
      <c r="C10039" s="5">
        <v>611</v>
      </c>
      <c r="D10039" s="6">
        <v>4.6900000000000004</v>
      </c>
      <c r="E10039" t="s">
        <v>27</v>
      </c>
    </row>
    <row r="10040" spans="1:5" x14ac:dyDescent="0.25">
      <c r="A10040" t="str">
        <f>HYPERLINK("https://www.773grp.com/globalSearch/SN7405NE4/page-1", "SN7405NE4")</f>
        <v>SN7405NE4</v>
      </c>
      <c r="B10040" s="3" t="s">
        <v>90</v>
      </c>
      <c r="C10040" s="5">
        <v>1785</v>
      </c>
      <c r="D10040" s="6">
        <v>4.6900000000000004</v>
      </c>
      <c r="E10040" t="s">
        <v>27</v>
      </c>
    </row>
    <row r="10041" spans="1:5" x14ac:dyDescent="0.25">
      <c r="A10041" t="str">
        <f>HYPERLINK("https://www.773grp.com/globalSearch/SN7412J/page-1", "SN7412J")</f>
        <v>SN7412J</v>
      </c>
      <c r="B10041" s="3" t="s">
        <v>90</v>
      </c>
      <c r="C10041" s="5">
        <v>38</v>
      </c>
      <c r="D10041" s="6">
        <v>4.6900000000000004</v>
      </c>
      <c r="E10041" t="s">
        <v>27</v>
      </c>
    </row>
    <row r="10042" spans="1:5" x14ac:dyDescent="0.25">
      <c r="A10042" t="str">
        <f>HYPERLINK("https://www.773grp.com/globalSearch/SN74ALS810N/page-1", "SN74ALS810N")</f>
        <v>SN74ALS810N</v>
      </c>
      <c r="B10042" s="3" t="s">
        <v>90</v>
      </c>
      <c r="C10042" s="5">
        <v>1361</v>
      </c>
      <c r="D10042" s="6">
        <v>4.25</v>
      </c>
      <c r="E10042" t="s">
        <v>27</v>
      </c>
    </row>
    <row r="10043" spans="1:5" x14ac:dyDescent="0.25">
      <c r="A10043" t="str">
        <f>HYPERLINK("https://www.773grp.com/globalSearch/SNJ54ALS02J/page-1", "SNJ54ALS02J")</f>
        <v>SNJ54ALS02J</v>
      </c>
      <c r="B10043" s="3" t="s">
        <v>90</v>
      </c>
      <c r="C10043" s="5">
        <v>1049</v>
      </c>
      <c r="D10043" s="6">
        <v>4.3</v>
      </c>
      <c r="E10043" t="s">
        <v>27</v>
      </c>
    </row>
    <row r="10044" spans="1:5" x14ac:dyDescent="0.25">
      <c r="A10044" t="str">
        <f>HYPERLINK("https://www.773grp.com/globalSearch/SNJ54ALS12AJ/page-1", "SNJ54ALS12AJ")</f>
        <v>SNJ54ALS12AJ</v>
      </c>
      <c r="B10044" s="3" t="s">
        <v>90</v>
      </c>
      <c r="C10044" s="5">
        <v>109</v>
      </c>
      <c r="D10044" s="6">
        <v>4.3</v>
      </c>
      <c r="E10044" t="s">
        <v>27</v>
      </c>
    </row>
    <row r="10045" spans="1:5" x14ac:dyDescent="0.25">
      <c r="A10045" t="str">
        <f>HYPERLINK("https://www.773grp.com/globalSearch/SN74ALS1004N/page-1", "SN74ALS1004N")</f>
        <v>SN74ALS1004N</v>
      </c>
      <c r="B10045" s="3" t="s">
        <v>90</v>
      </c>
      <c r="C10045" s="5">
        <v>46907</v>
      </c>
      <c r="D10045" s="6">
        <v>4.43</v>
      </c>
      <c r="E10045" t="s">
        <v>27</v>
      </c>
    </row>
    <row r="10046" spans="1:5" x14ac:dyDescent="0.25">
      <c r="A10046" t="str">
        <f>HYPERLINK("https://www.773grp.com/globalSearch/SN74HC7032N/page-1", "SN74HC7032N")</f>
        <v>SN74HC7032N</v>
      </c>
      <c r="B10046" s="3" t="s">
        <v>90</v>
      </c>
      <c r="C10046" s="5">
        <v>14746</v>
      </c>
      <c r="D10046" s="6">
        <v>4.43</v>
      </c>
      <c r="E10046" t="s">
        <v>27</v>
      </c>
    </row>
    <row r="10047" spans="1:5" x14ac:dyDescent="0.25">
      <c r="A10047" t="str">
        <f>HYPERLINK("https://www.773grp.com/globalSearch/CD74HC7266M/page-1", "CD74HC7266M")</f>
        <v>CD74HC7266M</v>
      </c>
      <c r="B10047" s="3" t="str">
        <f>HYPERLINK("https://www.773grp.com/manufacturer/texas-instruments?pageNo=23", "Texas Instruments")</f>
        <v>Texas Instruments</v>
      </c>
      <c r="C10047" s="5">
        <v>28685</v>
      </c>
      <c r="D10047" s="6">
        <v>4.91</v>
      </c>
      <c r="E10047" t="s">
        <v>27</v>
      </c>
    </row>
    <row r="10048" spans="1:5" x14ac:dyDescent="0.25">
      <c r="A10048" t="str">
        <f>HYPERLINK("https://www.773grp.com/globalSearch/SN7404N/page-1", "SN7404N")</f>
        <v>SN7404N</v>
      </c>
      <c r="B10048" s="3" t="str">
        <f>HYPERLINK("https://www.773grp.com/manufacturer/texas-instruments?pageNo=55", "Texas Instruments")</f>
        <v>Texas Instruments</v>
      </c>
      <c r="C10048" s="5">
        <v>38717</v>
      </c>
      <c r="D10048" s="6">
        <v>4.91</v>
      </c>
      <c r="E10048" t="s">
        <v>27</v>
      </c>
    </row>
    <row r="10049" spans="1:5" x14ac:dyDescent="0.25">
      <c r="A10049" t="str">
        <f>HYPERLINK("https://www.773grp.com/globalSearch/SN7416D/page-1", "SN7416D")</f>
        <v>SN7416D</v>
      </c>
      <c r="B10049" s="3" t="str">
        <f>HYPERLINK("https://www.773grp.com/manufacturer/texas-instruments?pageNo=57", "Texas Instruments")</f>
        <v>Texas Instruments</v>
      </c>
      <c r="C10049" s="5">
        <v>21011</v>
      </c>
      <c r="D10049" s="6">
        <v>4.91</v>
      </c>
      <c r="E10049" t="s">
        <v>27</v>
      </c>
    </row>
    <row r="10050" spans="1:5" x14ac:dyDescent="0.25">
      <c r="A10050" t="str">
        <f>HYPERLINK("https://www.773grp.com/globalSearch/SN74ALS1035NSR/page-1", "SN74ALS1035NSR")</f>
        <v>SN74ALS1035NSR</v>
      </c>
      <c r="B10050" s="3" t="str">
        <f>HYPERLINK("https://www.773grp.com/manufacturer/texas-instruments?pageNo=72", "Texas Instruments")</f>
        <v>Texas Instruments</v>
      </c>
      <c r="C10050" s="5">
        <v>6000</v>
      </c>
      <c r="D10050" s="6">
        <v>4.91</v>
      </c>
      <c r="E10050" t="s">
        <v>27</v>
      </c>
    </row>
    <row r="10051" spans="1:5" x14ac:dyDescent="0.25">
      <c r="A10051" t="str">
        <f>HYPERLINK("https://www.773grp.com/globalSearch/SN74AS21N/page-1", "SN74AS21N")</f>
        <v>SN74AS21N</v>
      </c>
      <c r="B10051" s="3" t="str">
        <f>HYPERLINK("https://www.773grp.com/manufacturer/texas-instruments?pageNo=99", "Texas Instruments")</f>
        <v>Texas Instruments</v>
      </c>
      <c r="C10051" s="5">
        <v>45347</v>
      </c>
      <c r="D10051" s="6">
        <v>4.91</v>
      </c>
      <c r="E10051" t="s">
        <v>27</v>
      </c>
    </row>
    <row r="10052" spans="1:5" x14ac:dyDescent="0.25">
      <c r="A10052" t="str">
        <f>HYPERLINK("https://www.773grp.com/globalSearch/SN74AS21NSR/page-1", "SN74AS21NSR")</f>
        <v>SN74AS21NSR</v>
      </c>
      <c r="B10052" s="3" t="str">
        <f>HYPERLINK("https://www.773grp.com/manufacturer/texas-instruments?pageNo=100", "Texas Instruments")</f>
        <v>Texas Instruments</v>
      </c>
      <c r="C10052" s="5">
        <v>12000</v>
      </c>
      <c r="D10052" s="6">
        <v>4.91</v>
      </c>
      <c r="E10052" t="s">
        <v>27</v>
      </c>
    </row>
    <row r="10053" spans="1:5" x14ac:dyDescent="0.25">
      <c r="A10053" t="str">
        <f>HYPERLINK("https://www.773grp.com/globalSearch/SN74S38DR/page-1", "SN74S38DR")</f>
        <v>SN74S38DR</v>
      </c>
      <c r="B10053" s="3" t="str">
        <f>HYPERLINK("https://www.773grp.com/manufacturer/texas-instruments?pageNo=161", "Texas Instruments")</f>
        <v>Texas Instruments</v>
      </c>
      <c r="C10053" s="5">
        <v>12500</v>
      </c>
      <c r="D10053" s="6">
        <v>4.91</v>
      </c>
      <c r="E10053" t="s">
        <v>27</v>
      </c>
    </row>
    <row r="10054" spans="1:5" x14ac:dyDescent="0.25">
      <c r="A10054" t="str">
        <f>HYPERLINK("https://www.773grp.com/globalSearch/SN74AS1032ADR/page-1", "SN74AS1032ADR")</f>
        <v>SN74AS1032ADR</v>
      </c>
      <c r="B10054" s="3" t="str">
        <f>HYPERLINK("https://www.773grp.com/manufacturer/texas-instruments?pageNo=274", "Texas Instruments")</f>
        <v>Texas Instruments</v>
      </c>
      <c r="C10054" s="5">
        <v>2500</v>
      </c>
      <c r="D10054" s="6">
        <v>4.96</v>
      </c>
      <c r="E10054" t="s">
        <v>27</v>
      </c>
    </row>
    <row r="10055" spans="1:5" x14ac:dyDescent="0.25">
      <c r="A10055" t="str">
        <f>HYPERLINK("https://www.773grp.com/globalSearch/SN74AS1034ANSR/page-1", "SN74AS1034ANSR")</f>
        <v>SN74AS1034ANSR</v>
      </c>
      <c r="B10055" s="3" t="str">
        <f>HYPERLINK("https://www.773grp.com/manufacturer/texas-instruments?pageNo=275", "Texas Instruments")</f>
        <v>Texas Instruments</v>
      </c>
      <c r="C10055" s="5">
        <v>8000</v>
      </c>
      <c r="D10055" s="6">
        <v>4.96</v>
      </c>
      <c r="E10055" t="s">
        <v>27</v>
      </c>
    </row>
    <row r="10056" spans="1:5" x14ac:dyDescent="0.25">
      <c r="A10056" t="str">
        <f>HYPERLINK("https://www.773grp.com/globalSearch/SN7453N/page-1", "SN7453N")</f>
        <v>SN7453N</v>
      </c>
      <c r="B10056" s="3" t="str">
        <f>HYPERLINK("https://www.773grp.com/manufacturer/texas-instruments?pageNo=795", "Texas Instruments")</f>
        <v>Texas Instruments</v>
      </c>
      <c r="C10056" s="5">
        <v>254</v>
      </c>
      <c r="D10056" s="6">
        <v>5.0599999999999996</v>
      </c>
      <c r="E10056" t="s">
        <v>27</v>
      </c>
    </row>
    <row r="10057" spans="1:5" x14ac:dyDescent="0.25">
      <c r="A10057" t="str">
        <f>HYPERLINK("https://www.773grp.com/globalSearch/74AC11800DW/page-1", "74AC11800DW")</f>
        <v>74AC11800DW</v>
      </c>
      <c r="B10057" s="3" t="str">
        <f>HYPERLINK("https://www.773grp.com/manufacturer/texas-instruments?pageNo=826", "Texas Instruments")</f>
        <v>Texas Instruments</v>
      </c>
      <c r="C10057" s="5">
        <v>2400</v>
      </c>
      <c r="D10057" s="6">
        <v>4.59</v>
      </c>
      <c r="E10057" t="s">
        <v>27</v>
      </c>
    </row>
    <row r="10058" spans="1:5" x14ac:dyDescent="0.25">
      <c r="A10058" t="str">
        <f>HYPERLINK("https://www.773grp.com/globalSearch/SN74ALS1034D/page-1", "SN74ALS1034D")</f>
        <v>SN74ALS1034D</v>
      </c>
      <c r="B10058" s="3" t="str">
        <f>HYPERLINK("https://www.773grp.com/manufacturer/texas-instruments?pageNo=887", "Texas Instruments")</f>
        <v>Texas Instruments</v>
      </c>
      <c r="C10058" s="5">
        <v>12064</v>
      </c>
      <c r="D10058" s="6">
        <v>4.6100000000000003</v>
      </c>
      <c r="E10058" t="s">
        <v>27</v>
      </c>
    </row>
    <row r="10059" spans="1:5" x14ac:dyDescent="0.25">
      <c r="A10059" t="str">
        <f>HYPERLINK("https://www.773grp.com/globalSearch/SN74AS30DBR/page-1", "SN74AS30DBR")</f>
        <v>SN74AS30DBR</v>
      </c>
      <c r="B10059" s="3" t="str">
        <f>HYPERLINK("https://www.773grp.com/manufacturer/texas-instruments?pageNo=905", "Texas Instruments")</f>
        <v>Texas Instruments</v>
      </c>
      <c r="C10059" s="5">
        <v>6000</v>
      </c>
      <c r="D10059" s="6">
        <v>4.6100000000000003</v>
      </c>
      <c r="E10059" t="s">
        <v>27</v>
      </c>
    </row>
    <row r="10060" spans="1:5" x14ac:dyDescent="0.25">
      <c r="A10060" t="str">
        <f>HYPERLINK("https://www.773grp.com/globalSearch/SN74AS30N/page-1", "SN74AS30N")</f>
        <v>SN74AS30N</v>
      </c>
      <c r="B10060" s="3" t="str">
        <f>HYPERLINK("https://www.773grp.com/manufacturer/texas-instruments?pageNo=906", "Texas Instruments")</f>
        <v>Texas Instruments</v>
      </c>
      <c r="C10060" s="5">
        <v>16509</v>
      </c>
      <c r="D10060" s="6">
        <v>4.6100000000000003</v>
      </c>
      <c r="E10060" t="s">
        <v>27</v>
      </c>
    </row>
    <row r="10061" spans="1:5" x14ac:dyDescent="0.25">
      <c r="A10061" t="str">
        <f>HYPERLINK("https://www.773grp.com/globalSearch/SN74AS30NSR/page-1", "SN74AS30NSR")</f>
        <v>SN74AS30NSR</v>
      </c>
      <c r="B10061" s="3" t="str">
        <f>HYPERLINK("https://www.773grp.com/manufacturer/texas-instruments?pageNo=908", "Texas Instruments")</f>
        <v>Texas Instruments</v>
      </c>
      <c r="C10061" s="5">
        <v>8000</v>
      </c>
      <c r="D10061" s="6">
        <v>4.6100000000000003</v>
      </c>
      <c r="E10061" t="s">
        <v>27</v>
      </c>
    </row>
    <row r="10062" spans="1:5" x14ac:dyDescent="0.25">
      <c r="A10062" t="str">
        <f>HYPERLINK("https://www.773grp.com/globalSearch/SN74HC7032DT/page-1", "SN74HC7032DT")</f>
        <v>SN74HC7032DT</v>
      </c>
      <c r="B10062" s="3" t="str">
        <f>HYPERLINK("https://www.773grp.com/manufacturer/texas-instruments?pageNo=920", "Texas Instruments")</f>
        <v>Texas Instruments</v>
      </c>
      <c r="C10062" s="5">
        <v>1000</v>
      </c>
      <c r="D10062" s="6">
        <v>4.6100000000000003</v>
      </c>
      <c r="E10062" t="s">
        <v>27</v>
      </c>
    </row>
    <row r="10063" spans="1:5" x14ac:dyDescent="0.25">
      <c r="A10063" t="str">
        <f>HYPERLINK("https://www.773grp.com/globalSearch/SN74S09D/page-1", "SN74S09D")</f>
        <v>SN74S09D</v>
      </c>
      <c r="B10063" s="3" t="str">
        <f>HYPERLINK("https://www.773grp.com/manufacturer/texas-instruments?pageNo=928", "Texas Instruments")</f>
        <v>Texas Instruments</v>
      </c>
      <c r="C10063" s="5">
        <v>12190</v>
      </c>
      <c r="D10063" s="6">
        <v>4.6100000000000003</v>
      </c>
      <c r="E10063" t="s">
        <v>27</v>
      </c>
    </row>
    <row r="10064" spans="1:5" x14ac:dyDescent="0.25">
      <c r="A10064" t="str">
        <f>HYPERLINK("https://www.773grp.com/globalSearch/SN74HC7266N/page-1", "SN74HC7266N")</f>
        <v>SN74HC7266N</v>
      </c>
      <c r="B10064" s="3" t="s">
        <v>90</v>
      </c>
      <c r="C10064" s="5">
        <v>1942</v>
      </c>
      <c r="D10064" s="6">
        <v>5.16</v>
      </c>
      <c r="E10064" t="s">
        <v>27</v>
      </c>
    </row>
    <row r="10065" spans="1:5" x14ac:dyDescent="0.25">
      <c r="A10065" t="str">
        <f>HYPERLINK("https://www.773grp.com/globalSearch/SN74S135N/page-1", "SN74S135N")</f>
        <v>SN74S135N</v>
      </c>
      <c r="B10065" s="3" t="s">
        <v>90</v>
      </c>
      <c r="C10065" s="5">
        <v>11533</v>
      </c>
      <c r="D10065" s="6">
        <v>4.6900000000000004</v>
      </c>
      <c r="E10065" t="s">
        <v>27</v>
      </c>
    </row>
    <row r="10066" spans="1:5" x14ac:dyDescent="0.25">
      <c r="A10066" t="str">
        <f>HYPERLINK("https://www.773grp.com/globalSearch/SN74ALS1004D/page-1", "SN74ALS1004D")</f>
        <v>SN74ALS1004D</v>
      </c>
      <c r="B10066" s="3" t="s">
        <v>90</v>
      </c>
      <c r="C10066" s="5">
        <v>16018</v>
      </c>
      <c r="D10066" s="6">
        <v>4.8099999999999996</v>
      </c>
      <c r="E10066" t="s">
        <v>27</v>
      </c>
    </row>
    <row r="10067" spans="1:5" x14ac:dyDescent="0.25">
      <c r="A10067" t="str">
        <f>HYPERLINK("https://www.773grp.com/globalSearch/SN74ALS35ADR/page-1", "SN74ALS35ADR")</f>
        <v>SN74ALS35ADR</v>
      </c>
      <c r="B10067" s="3" t="s">
        <v>90</v>
      </c>
      <c r="C10067" s="5">
        <v>40000</v>
      </c>
      <c r="D10067" s="6">
        <v>4.8099999999999996</v>
      </c>
      <c r="E10067" t="s">
        <v>27</v>
      </c>
    </row>
    <row r="10068" spans="1:5" x14ac:dyDescent="0.25">
      <c r="A10068" t="str">
        <f>HYPERLINK("https://www.773grp.com/globalSearch/SN74HC7032D/page-1", "SN74HC7032D")</f>
        <v>SN74HC7032D</v>
      </c>
      <c r="B10068" s="3" t="s">
        <v>90</v>
      </c>
      <c r="C10068" s="5">
        <v>16900</v>
      </c>
      <c r="D10068" s="6">
        <v>4.8099999999999996</v>
      </c>
      <c r="E10068" t="s">
        <v>27</v>
      </c>
    </row>
    <row r="10069" spans="1:5" x14ac:dyDescent="0.25">
      <c r="A10069" t="str">
        <f>HYPERLINK("https://www.773grp.com/globalSearch/SN74LS24AD/page-1", "SN74LS24AD")</f>
        <v>SN74LS24AD</v>
      </c>
      <c r="B10069" s="3" t="s">
        <v>90</v>
      </c>
      <c r="C10069" s="5">
        <v>500</v>
      </c>
      <c r="D10069" s="6">
        <v>4.8099999999999996</v>
      </c>
      <c r="E10069" t="s">
        <v>27</v>
      </c>
    </row>
    <row r="10070" spans="1:5" x14ac:dyDescent="0.25">
      <c r="A10070" t="str">
        <f>HYPERLINK("https://www.773grp.com/globalSearch/SN7410N/page-1", "SN7410N")</f>
        <v>SN7410N</v>
      </c>
      <c r="B10070" s="3" t="s">
        <v>90</v>
      </c>
      <c r="C10070" s="5">
        <v>22889</v>
      </c>
      <c r="D10070" s="6">
        <v>4.9000000000000004</v>
      </c>
      <c r="E10070" t="s">
        <v>27</v>
      </c>
    </row>
    <row r="10071" spans="1:5" x14ac:dyDescent="0.25">
      <c r="A10071" t="str">
        <f>HYPERLINK("https://www.773grp.com/globalSearch/SN74ALS805AN3/page-1", "SN74ALS805AN3")</f>
        <v>SN74ALS805AN3</v>
      </c>
      <c r="B10071" s="3" t="s">
        <v>90</v>
      </c>
      <c r="C10071" s="5">
        <v>1490</v>
      </c>
      <c r="D10071" s="6">
        <v>4.93</v>
      </c>
      <c r="E10071" t="s">
        <v>27</v>
      </c>
    </row>
    <row r="10072" spans="1:5" x14ac:dyDescent="0.25">
      <c r="A10072" t="str">
        <f>HYPERLINK("https://www.773grp.com/globalSearch/SN74AS30D/page-1", "SN74AS30D")</f>
        <v>SN74AS30D</v>
      </c>
      <c r="B10072" s="3" t="s">
        <v>90</v>
      </c>
      <c r="C10072" s="5">
        <v>9288</v>
      </c>
      <c r="D10072" s="6">
        <v>5.03</v>
      </c>
      <c r="E10072" t="s">
        <v>27</v>
      </c>
    </row>
    <row r="10073" spans="1:5" x14ac:dyDescent="0.25">
      <c r="A10073" t="str">
        <f>HYPERLINK("https://www.773grp.com/globalSearch/SN74S86N/page-1", "SN74S86N")</f>
        <v>SN74S86N</v>
      </c>
      <c r="B10073" s="3" t="s">
        <v>90</v>
      </c>
      <c r="C10073" s="5">
        <v>22155</v>
      </c>
      <c r="D10073" s="6">
        <v>5.03</v>
      </c>
      <c r="E10073" t="s">
        <v>27</v>
      </c>
    </row>
    <row r="10074" spans="1:5" x14ac:dyDescent="0.25">
      <c r="A10074" t="str">
        <f>HYPERLINK("https://www.773grp.com/globalSearch/SNJ54F36J/page-1", "SNJ54F36J")</f>
        <v>SNJ54F36J</v>
      </c>
      <c r="B10074" s="3" t="s">
        <v>90</v>
      </c>
      <c r="C10074" s="5">
        <v>1828</v>
      </c>
      <c r="D10074" s="6">
        <v>5.03</v>
      </c>
      <c r="E10074" t="s">
        <v>27</v>
      </c>
    </row>
    <row r="10075" spans="1:5" x14ac:dyDescent="0.25">
      <c r="A10075" t="str">
        <f>HYPERLINK("https://www.773grp.com/globalSearch/SNJ54F37J/page-1", "SNJ54F37J")</f>
        <v>SNJ54F37J</v>
      </c>
      <c r="B10075" s="3" t="s">
        <v>90</v>
      </c>
      <c r="C10075" s="5">
        <v>269</v>
      </c>
      <c r="D10075" s="6">
        <v>5.03</v>
      </c>
      <c r="E10075" t="s">
        <v>27</v>
      </c>
    </row>
    <row r="10076" spans="1:5" x14ac:dyDescent="0.25">
      <c r="A10076" t="str">
        <f>HYPERLINK("https://www.773grp.com/globalSearch/SNJ54F40J/page-1", "SNJ54F40J")</f>
        <v>SNJ54F40J</v>
      </c>
      <c r="B10076" s="3" t="s">
        <v>90</v>
      </c>
      <c r="C10076" s="5">
        <v>197</v>
      </c>
      <c r="D10076" s="6">
        <v>5.03</v>
      </c>
      <c r="E10076" t="s">
        <v>27</v>
      </c>
    </row>
    <row r="10077" spans="1:5" x14ac:dyDescent="0.25">
      <c r="A10077" t="str">
        <f>HYPERLINK("https://www.773grp.com/globalSearch/SNJ54F64J/page-1", "SNJ54F64J")</f>
        <v>SNJ54F64J</v>
      </c>
      <c r="B10077" s="3" t="s">
        <v>90</v>
      </c>
      <c r="C10077" s="5">
        <v>28</v>
      </c>
      <c r="D10077" s="6">
        <v>5.03</v>
      </c>
      <c r="E10077" t="s">
        <v>27</v>
      </c>
    </row>
    <row r="10078" spans="1:5" x14ac:dyDescent="0.25">
      <c r="A10078" t="str">
        <f>HYPERLINK("https://www.773grp.com/globalSearch/SN74AS805BDWR/page-1", "SN74AS805BDWR")</f>
        <v>SN74AS805BDWR</v>
      </c>
      <c r="B10078" s="3" t="s">
        <v>90</v>
      </c>
      <c r="C10078" s="5">
        <v>6000</v>
      </c>
      <c r="D10078" s="6">
        <v>5.0599999999999996</v>
      </c>
      <c r="E10078" t="s">
        <v>27</v>
      </c>
    </row>
    <row r="10079" spans="1:5" x14ac:dyDescent="0.25">
      <c r="A10079" t="str">
        <f>HYPERLINK("https://www.773grp.com/globalSearch/SNJ54AC11010J/page-1", "SNJ54AC11010J")</f>
        <v>SNJ54AC11010J</v>
      </c>
      <c r="B10079" s="3" t="s">
        <v>90</v>
      </c>
      <c r="C10079" s="5">
        <v>150</v>
      </c>
      <c r="D10079" s="6">
        <v>5.2</v>
      </c>
      <c r="E10079" t="s">
        <v>27</v>
      </c>
    </row>
    <row r="10080" spans="1:5" x14ac:dyDescent="0.25">
      <c r="A10080" t="str">
        <f>HYPERLINK("https://www.773grp.com/globalSearch/SN74ALS133DR/page-1", "SN74ALS133DR")</f>
        <v>SN74ALS133DR</v>
      </c>
      <c r="B10080" s="3" t="s">
        <v>90</v>
      </c>
      <c r="C10080" s="5">
        <v>17500</v>
      </c>
      <c r="D10080" s="6">
        <v>5.24</v>
      </c>
      <c r="E10080" t="s">
        <v>27</v>
      </c>
    </row>
    <row r="10081" spans="1:5" x14ac:dyDescent="0.25">
      <c r="A10081" t="str">
        <f>HYPERLINK("https://www.773grp.com/globalSearch/SN74AS1804N/page-1", "SN74AS1804N")</f>
        <v>SN74AS1804N</v>
      </c>
      <c r="B10081" s="3" t="s">
        <v>90</v>
      </c>
      <c r="C10081" s="5">
        <v>3127</v>
      </c>
      <c r="D10081" s="6">
        <v>5.24</v>
      </c>
      <c r="E10081" t="s">
        <v>27</v>
      </c>
    </row>
    <row r="10082" spans="1:5" x14ac:dyDescent="0.25">
      <c r="A10082" t="str">
        <f>HYPERLINK("https://www.773grp.com/globalSearch/SN74ALS1808AN/page-1", "SN74ALS1808AN")</f>
        <v>SN74ALS1808AN</v>
      </c>
      <c r="B10082" s="3" t="s">
        <v>90</v>
      </c>
      <c r="C10082" s="5">
        <v>125</v>
      </c>
      <c r="D10082" s="6">
        <v>5.31</v>
      </c>
      <c r="E10082" t="s">
        <v>27</v>
      </c>
    </row>
    <row r="10083" spans="1:5" x14ac:dyDescent="0.25">
      <c r="A10083" t="str">
        <f>HYPERLINK("https://www.773grp.com/globalSearch/SN74ALS1832AN/page-1", "SN74ALS1832AN")</f>
        <v>SN74ALS1832AN</v>
      </c>
      <c r="B10083" s="3" t="s">
        <v>90</v>
      </c>
      <c r="C10083" s="5">
        <v>4820</v>
      </c>
      <c r="D10083" s="6">
        <v>5.31</v>
      </c>
      <c r="E10083" t="s">
        <v>27</v>
      </c>
    </row>
    <row r="10084" spans="1:5" x14ac:dyDescent="0.25">
      <c r="A10084" t="str">
        <f>HYPERLINK("https://www.773grp.com/globalSearch/SN74S132D/page-1", "SN74S132D")</f>
        <v>SN74S132D</v>
      </c>
      <c r="B10084" s="3" t="s">
        <v>90</v>
      </c>
      <c r="C10084" s="5">
        <v>400</v>
      </c>
      <c r="D10084" s="6">
        <v>5.35</v>
      </c>
      <c r="E10084" t="s">
        <v>27</v>
      </c>
    </row>
    <row r="10085" spans="1:5" x14ac:dyDescent="0.25">
      <c r="A10085" t="str">
        <f>HYPERLINK("https://www.773grp.com/globalSearch/SN74ALS133N/page-1", "SN74ALS133N")</f>
        <v>SN74ALS133N</v>
      </c>
      <c r="B10085" s="3" t="s">
        <v>90</v>
      </c>
      <c r="C10085" s="5">
        <v>38962</v>
      </c>
      <c r="D10085" s="6">
        <v>5.63</v>
      </c>
      <c r="E10085" t="s">
        <v>27</v>
      </c>
    </row>
    <row r="10086" spans="1:5" x14ac:dyDescent="0.25">
      <c r="A10086" t="str">
        <f>HYPERLINK("https://www.773grp.com/globalSearch/SN74S09N/page-1", "SN74S09N")</f>
        <v>SN74S09N</v>
      </c>
      <c r="B10086" s="3" t="s">
        <v>90</v>
      </c>
      <c r="C10086" s="5">
        <v>2825</v>
      </c>
      <c r="D10086" s="6">
        <v>5.63</v>
      </c>
      <c r="E10086" t="s">
        <v>27</v>
      </c>
    </row>
    <row r="10087" spans="1:5" x14ac:dyDescent="0.25">
      <c r="A10087" t="str">
        <f>HYPERLINK("https://www.773grp.com/globalSearch/SN54F20J/page-1", "SN54F20J")</f>
        <v>SN54F20J</v>
      </c>
      <c r="B10087" s="3" t="s">
        <v>90</v>
      </c>
      <c r="C10087" s="5">
        <v>53</v>
      </c>
      <c r="D10087" s="6">
        <v>5.79</v>
      </c>
      <c r="E10087" t="s">
        <v>27</v>
      </c>
    </row>
    <row r="10088" spans="1:5" x14ac:dyDescent="0.25">
      <c r="A10088" t="str">
        <f>HYPERLINK("https://www.773grp.com/globalSearch/SN74ALS35AN/page-1", "SN74ALS35AN")</f>
        <v>SN74ALS35AN</v>
      </c>
      <c r="B10088" s="3" t="s">
        <v>90</v>
      </c>
      <c r="C10088" s="5">
        <v>75837</v>
      </c>
      <c r="D10088" s="6">
        <v>5.83</v>
      </c>
      <c r="E10088" t="s">
        <v>27</v>
      </c>
    </row>
    <row r="10089" spans="1:5" x14ac:dyDescent="0.25">
      <c r="A10089" t="str">
        <f>HYPERLINK("https://www.773grp.com/globalSearch/CD54HC08F/page-1", "CD54HC08F")</f>
        <v>CD54HC08F</v>
      </c>
      <c r="B10089" s="3" t="s">
        <v>90</v>
      </c>
      <c r="C10089" s="5">
        <v>169</v>
      </c>
      <c r="D10089" s="6">
        <v>5.91</v>
      </c>
      <c r="E10089" t="s">
        <v>27</v>
      </c>
    </row>
    <row r="10090" spans="1:5" x14ac:dyDescent="0.25">
      <c r="A10090" t="str">
        <f>HYPERLINK("https://www.773grp.com/globalSearch/SN54F00J/page-1", "SN54F00J")</f>
        <v>SN54F00J</v>
      </c>
      <c r="B10090" s="3" t="s">
        <v>90</v>
      </c>
      <c r="C10090" s="5">
        <v>993</v>
      </c>
      <c r="D10090" s="6">
        <v>5.91</v>
      </c>
      <c r="E10090" t="s">
        <v>27</v>
      </c>
    </row>
    <row r="10091" spans="1:5" x14ac:dyDescent="0.25">
      <c r="A10091" t="str">
        <f>HYPERLINK("https://www.773grp.com/globalSearch/5962-9682201QCA/page-1", "5962-9682201QCA")</f>
        <v>5962-9682201QCA</v>
      </c>
      <c r="B10091" s="3" t="s">
        <v>90</v>
      </c>
      <c r="C10091" s="5">
        <v>451</v>
      </c>
      <c r="D10091" s="6">
        <v>5.96</v>
      </c>
      <c r="E10091" t="s">
        <v>27</v>
      </c>
    </row>
    <row r="10092" spans="1:5" x14ac:dyDescent="0.25">
      <c r="A10092" t="str">
        <f>HYPERLINK("https://www.773grp.com/globalSearch/CD54HC00F/page-1", "CD54HC00F")</f>
        <v>CD54HC00F</v>
      </c>
      <c r="B10092" s="3" t="s">
        <v>90</v>
      </c>
      <c r="C10092" s="5">
        <v>343</v>
      </c>
      <c r="D10092" s="6">
        <v>5.96</v>
      </c>
      <c r="E10092" t="s">
        <v>27</v>
      </c>
    </row>
    <row r="10093" spans="1:5" x14ac:dyDescent="0.25">
      <c r="A10093" t="str">
        <f>HYPERLINK("https://www.773grp.com/globalSearch/CD54HC03F/page-1", "CD54HC03F")</f>
        <v>CD54HC03F</v>
      </c>
      <c r="B10093" s="3" t="s">
        <v>90</v>
      </c>
      <c r="C10093" s="5">
        <v>359</v>
      </c>
      <c r="D10093" s="6">
        <v>5.96</v>
      </c>
      <c r="E10093" t="s">
        <v>27</v>
      </c>
    </row>
    <row r="10094" spans="1:5" x14ac:dyDescent="0.25">
      <c r="A10094" t="str">
        <f>HYPERLINK("https://www.773grp.com/globalSearch/SNJ54AHC00J/page-1", "SNJ54AHC00J")</f>
        <v>SNJ54AHC00J</v>
      </c>
      <c r="B10094" s="3" t="s">
        <v>90</v>
      </c>
      <c r="C10094" s="5">
        <v>107</v>
      </c>
      <c r="D10094" s="6">
        <v>5.96</v>
      </c>
      <c r="E10094" t="s">
        <v>27</v>
      </c>
    </row>
    <row r="10095" spans="1:5" x14ac:dyDescent="0.25">
      <c r="A10095" t="str">
        <f>HYPERLINK("https://www.773grp.com/globalSearch/5962-9680201QCA/page-1", "5962-9680201QCA")</f>
        <v>5962-9680201QCA</v>
      </c>
      <c r="B10095" s="3" t="s">
        <v>90</v>
      </c>
      <c r="C10095" s="5">
        <v>318</v>
      </c>
      <c r="D10095" s="6">
        <v>5.99</v>
      </c>
      <c r="E10095" t="s">
        <v>27</v>
      </c>
    </row>
    <row r="10096" spans="1:5" x14ac:dyDescent="0.25">
      <c r="A10096" t="str">
        <f>HYPERLINK("https://www.773grp.com/globalSearch/SN54HC00J/page-1", "SN54HC00J")</f>
        <v>SN54HC00J</v>
      </c>
      <c r="B10096" s="3" t="s">
        <v>90</v>
      </c>
      <c r="C10096" s="5">
        <v>3551</v>
      </c>
      <c r="D10096" s="6">
        <v>5.99</v>
      </c>
      <c r="E10096" t="s">
        <v>27</v>
      </c>
    </row>
    <row r="10097" spans="1:5" x14ac:dyDescent="0.25">
      <c r="A10097" t="str">
        <f>HYPERLINK("https://www.773grp.com/globalSearch/SN54HC02J/page-1", "SN54HC02J")</f>
        <v>SN54HC02J</v>
      </c>
      <c r="B10097" s="3" t="s">
        <v>90</v>
      </c>
      <c r="C10097" s="5">
        <v>121</v>
      </c>
      <c r="D10097" s="6">
        <v>5.99</v>
      </c>
      <c r="E10097" t="s">
        <v>27</v>
      </c>
    </row>
    <row r="10098" spans="1:5" x14ac:dyDescent="0.25">
      <c r="A10098" t="str">
        <f>HYPERLINK("https://www.773grp.com/globalSearch/SN54HC14J/page-1", "SN54HC14J")</f>
        <v>SN54HC14J</v>
      </c>
      <c r="B10098" s="3" t="s">
        <v>90</v>
      </c>
      <c r="C10098" s="5">
        <v>66</v>
      </c>
      <c r="D10098" s="6">
        <v>5.99</v>
      </c>
      <c r="E10098" t="s">
        <v>27</v>
      </c>
    </row>
    <row r="10099" spans="1:5" x14ac:dyDescent="0.25">
      <c r="A10099" t="str">
        <f>HYPERLINK("https://www.773grp.com/globalSearch/SN54HC20J/page-1", "SN54HC20J")</f>
        <v>SN54HC20J</v>
      </c>
      <c r="B10099" s="3" t="s">
        <v>90</v>
      </c>
      <c r="C10099" s="5">
        <v>1316</v>
      </c>
      <c r="D10099" s="6">
        <v>5.99</v>
      </c>
      <c r="E10099" t="s">
        <v>27</v>
      </c>
    </row>
    <row r="10100" spans="1:5" x14ac:dyDescent="0.25">
      <c r="A10100" t="str">
        <f>HYPERLINK("https://www.773grp.com/globalSearch/SN54HC03J/page-1", "SN54HC03J")</f>
        <v>SN54HC03J</v>
      </c>
      <c r="B10100" s="3" t="s">
        <v>90</v>
      </c>
      <c r="C10100" s="5">
        <v>201</v>
      </c>
      <c r="D10100" s="6">
        <v>6.03</v>
      </c>
      <c r="E10100" t="s">
        <v>27</v>
      </c>
    </row>
    <row r="10101" spans="1:5" x14ac:dyDescent="0.25">
      <c r="A10101" t="str">
        <f>HYPERLINK("https://www.773grp.com/globalSearch/SN54HC10J/page-1", "SN54HC10J")</f>
        <v>SN54HC10J</v>
      </c>
      <c r="B10101" s="3" t="s">
        <v>90</v>
      </c>
      <c r="C10101" s="5">
        <v>62</v>
      </c>
      <c r="D10101" s="6">
        <v>6.03</v>
      </c>
      <c r="E10101" t="s">
        <v>27</v>
      </c>
    </row>
    <row r="10102" spans="1:5" x14ac:dyDescent="0.25">
      <c r="A10102" t="str">
        <f>HYPERLINK("https://www.773grp.com/globalSearch/SN54HC11J/page-1", "SN54HC11J")</f>
        <v>SN54HC11J</v>
      </c>
      <c r="B10102" s="3" t="s">
        <v>90</v>
      </c>
      <c r="C10102" s="5">
        <v>1839</v>
      </c>
      <c r="D10102" s="6">
        <v>6.03</v>
      </c>
      <c r="E10102" t="s">
        <v>27</v>
      </c>
    </row>
    <row r="10103" spans="1:5" x14ac:dyDescent="0.25">
      <c r="A10103" t="str">
        <f>HYPERLINK("https://www.773grp.com/globalSearch/SN74AS832BDWR/page-1", "SN74AS832BDWR")</f>
        <v>SN74AS832BDWR</v>
      </c>
      <c r="B10103" s="3" t="s">
        <v>90</v>
      </c>
      <c r="C10103" s="5">
        <v>2000</v>
      </c>
      <c r="D10103" s="6">
        <v>6.03</v>
      </c>
      <c r="E10103" t="s">
        <v>27</v>
      </c>
    </row>
    <row r="10104" spans="1:5" x14ac:dyDescent="0.25">
      <c r="A10104" t="str">
        <f>HYPERLINK("https://www.773grp.com/globalSearch/SNJ54AHC04J/page-1", "SNJ54AHC04J")</f>
        <v>SNJ54AHC04J</v>
      </c>
      <c r="B10104" s="3" t="s">
        <v>90</v>
      </c>
      <c r="C10104" s="5">
        <v>87</v>
      </c>
      <c r="D10104" s="6">
        <v>6.03</v>
      </c>
      <c r="E10104" t="s">
        <v>27</v>
      </c>
    </row>
    <row r="10105" spans="1:5" x14ac:dyDescent="0.25">
      <c r="A10105" t="str">
        <f>HYPERLINK("https://www.773grp.com/globalSearch/SN54F11J/page-1", "SN54F11J")</f>
        <v>SN54F11J</v>
      </c>
      <c r="B10105" s="3" t="s">
        <v>90</v>
      </c>
      <c r="C10105" s="5">
        <v>119</v>
      </c>
      <c r="D10105" s="6">
        <v>6.08</v>
      </c>
      <c r="E10105" t="s">
        <v>27</v>
      </c>
    </row>
    <row r="10106" spans="1:5" x14ac:dyDescent="0.25">
      <c r="A10106" t="str">
        <f>HYPERLINK("https://www.773grp.com/globalSearch/SN54HC04J/page-1", "SN54HC04J")</f>
        <v>SN54HC04J</v>
      </c>
      <c r="B10106" s="3" t="s">
        <v>90</v>
      </c>
      <c r="C10106" s="5">
        <v>30</v>
      </c>
      <c r="D10106" s="6">
        <v>6.08</v>
      </c>
      <c r="E10106" t="s">
        <v>27</v>
      </c>
    </row>
    <row r="10107" spans="1:5" x14ac:dyDescent="0.25">
      <c r="A10107" t="str">
        <f>HYPERLINK("https://www.773grp.com/globalSearch/SNJ54HC266J/page-1", "SNJ54HC266J")</f>
        <v>SNJ54HC266J</v>
      </c>
      <c r="B10107" s="3" t="s">
        <v>90</v>
      </c>
      <c r="C10107" s="5">
        <v>177</v>
      </c>
      <c r="D10107" s="6">
        <v>6.08</v>
      </c>
      <c r="E10107" t="s">
        <v>27</v>
      </c>
    </row>
    <row r="10108" spans="1:5" x14ac:dyDescent="0.25">
      <c r="A10108" t="str">
        <f>HYPERLINK("https://www.773grp.com/globalSearch/SNJ54S65J/page-1", "SNJ54S65J")</f>
        <v>SNJ54S65J</v>
      </c>
      <c r="B10108" s="3" t="s">
        <v>90</v>
      </c>
      <c r="C10108" s="5">
        <v>126</v>
      </c>
      <c r="D10108" s="6">
        <v>6.08</v>
      </c>
      <c r="E10108" t="s">
        <v>27</v>
      </c>
    </row>
    <row r="10109" spans="1:5" x14ac:dyDescent="0.25">
      <c r="A10109" t="str">
        <f>HYPERLINK("https://www.773grp.com/globalSearch/SN54F02J/page-1", "SN54F02J")</f>
        <v>SN54F02J</v>
      </c>
      <c r="B10109" s="3" t="s">
        <v>90</v>
      </c>
      <c r="C10109" s="5">
        <v>197</v>
      </c>
      <c r="D10109" s="6">
        <v>6.21</v>
      </c>
      <c r="E10109" t="s">
        <v>27</v>
      </c>
    </row>
    <row r="10110" spans="1:5" x14ac:dyDescent="0.25">
      <c r="A10110" t="str">
        <f>HYPERLINK("https://www.773grp.com/globalSearch/SN54F10J/page-1", "SN54F10J")</f>
        <v>SN54F10J</v>
      </c>
      <c r="B10110" s="3" t="s">
        <v>90</v>
      </c>
      <c r="C10110" s="5">
        <v>238</v>
      </c>
      <c r="D10110" s="6">
        <v>6.21</v>
      </c>
      <c r="E10110" t="s">
        <v>27</v>
      </c>
    </row>
    <row r="10111" spans="1:5" x14ac:dyDescent="0.25">
      <c r="A10111" t="str">
        <f>HYPERLINK("https://www.773grp.com/globalSearch/SN74ALS133D/page-1", "SN74ALS133D")</f>
        <v>SN74ALS133D</v>
      </c>
      <c r="B10111" s="3" t="s">
        <v>90</v>
      </c>
      <c r="C10111" s="5">
        <v>31185</v>
      </c>
      <c r="D10111" s="6">
        <v>6.21</v>
      </c>
      <c r="E10111" t="s">
        <v>27</v>
      </c>
    </row>
    <row r="10112" spans="1:5" x14ac:dyDescent="0.25">
      <c r="A10112" t="str">
        <f>HYPERLINK("https://www.773grp.com/globalSearch/SN74AS86AD/page-1", "SN74AS86AD")</f>
        <v>SN74AS86AD</v>
      </c>
      <c r="B10112" s="3" t="s">
        <v>90</v>
      </c>
      <c r="C10112" s="5">
        <v>15782</v>
      </c>
      <c r="D10112" s="6">
        <v>6.21</v>
      </c>
      <c r="E10112" t="s">
        <v>27</v>
      </c>
    </row>
    <row r="10113" spans="1:5" x14ac:dyDescent="0.25">
      <c r="A10113" t="str">
        <f>HYPERLINK("https://www.773grp.com/globalSearch/SN74ALS1804AN/page-1", "SN74ALS1804AN")</f>
        <v>SN74ALS1804AN</v>
      </c>
      <c r="B10113" s="3" t="s">
        <v>90</v>
      </c>
      <c r="C10113" s="5">
        <v>2170</v>
      </c>
      <c r="D10113" s="6">
        <v>6.25</v>
      </c>
      <c r="E10113" t="s">
        <v>27</v>
      </c>
    </row>
    <row r="10114" spans="1:5" x14ac:dyDescent="0.25">
      <c r="A10114" t="str">
        <f>HYPERLINK("https://www.773grp.com/globalSearch/SN74ALS1805AN/page-1", "SN74ALS1805AN")</f>
        <v>SN74ALS1805AN</v>
      </c>
      <c r="B10114" s="3" t="s">
        <v>90</v>
      </c>
      <c r="C10114" s="5">
        <v>4040</v>
      </c>
      <c r="D10114" s="6">
        <v>6.25</v>
      </c>
      <c r="E10114" t="s">
        <v>27</v>
      </c>
    </row>
    <row r="10115" spans="1:5" x14ac:dyDescent="0.25">
      <c r="A10115" t="str">
        <f>HYPERLINK("https://www.773grp.com/globalSearch/SN74ALS37AN/page-1", "SN74ALS37AN")</f>
        <v>SN74ALS37AN</v>
      </c>
      <c r="B10115" s="3" t="s">
        <v>90</v>
      </c>
      <c r="C10115" s="5">
        <v>24172</v>
      </c>
      <c r="D10115" s="6">
        <v>6.28</v>
      </c>
      <c r="E10115" t="s">
        <v>27</v>
      </c>
    </row>
    <row r="10116" spans="1:5" x14ac:dyDescent="0.25">
      <c r="A10116" t="str">
        <f>HYPERLINK("https://www.773grp.com/globalSearch/SN74ALS37ANE4/page-1", "SN74ALS37ANE4")</f>
        <v>SN74ALS37ANE4</v>
      </c>
      <c r="B10116" s="3" t="s">
        <v>90</v>
      </c>
      <c r="C10116" s="5">
        <v>110</v>
      </c>
      <c r="D10116" s="6">
        <v>6.28</v>
      </c>
      <c r="E10116" t="s">
        <v>27</v>
      </c>
    </row>
    <row r="10117" spans="1:5" x14ac:dyDescent="0.25">
      <c r="A10117" t="str">
        <f>HYPERLINK("https://www.773grp.com/globalSearch/SN54F04J/page-1", "SN54F04J")</f>
        <v>SN54F04J</v>
      </c>
      <c r="B10117" s="3" t="s">
        <v>90</v>
      </c>
      <c r="C10117" s="5">
        <v>23</v>
      </c>
      <c r="D10117" s="6">
        <v>6.3</v>
      </c>
      <c r="E10117" t="s">
        <v>27</v>
      </c>
    </row>
    <row r="10118" spans="1:5" x14ac:dyDescent="0.25">
      <c r="A10118" t="str">
        <f>HYPERLINK("https://www.773grp.com/globalSearch/SN54ALS00AJ/page-1", "SN54ALS00AJ")</f>
        <v>SN54ALS00AJ</v>
      </c>
      <c r="B10118" s="3" t="s">
        <v>90</v>
      </c>
      <c r="C10118" s="5">
        <v>260</v>
      </c>
      <c r="D10118" s="6">
        <v>6.33</v>
      </c>
      <c r="E10118" t="s">
        <v>27</v>
      </c>
    </row>
    <row r="10119" spans="1:5" x14ac:dyDescent="0.25">
      <c r="A10119" t="str">
        <f>HYPERLINK("https://www.773grp.com/globalSearch/SN54ALS02AJ/page-1", "SN54ALS02AJ")</f>
        <v>SN54ALS02AJ</v>
      </c>
      <c r="B10119" s="3" t="s">
        <v>90</v>
      </c>
      <c r="C10119" s="5">
        <v>348</v>
      </c>
      <c r="D10119" s="6">
        <v>6.33</v>
      </c>
      <c r="E10119" t="s">
        <v>27</v>
      </c>
    </row>
    <row r="10120" spans="1:5" x14ac:dyDescent="0.25">
      <c r="A10120" t="str">
        <f>HYPERLINK("https://www.773grp.com/globalSearch/SN54ALS04BJ/page-1", "SN54ALS04BJ")</f>
        <v>SN54ALS04BJ</v>
      </c>
      <c r="B10120" s="3" t="s">
        <v>90</v>
      </c>
      <c r="C10120" s="5">
        <v>1</v>
      </c>
      <c r="D10120" s="6">
        <v>6.33</v>
      </c>
      <c r="E10120" t="s">
        <v>27</v>
      </c>
    </row>
    <row r="10121" spans="1:5" x14ac:dyDescent="0.25">
      <c r="A10121" t="str">
        <f>HYPERLINK("https://www.773grp.com/globalSearch/SN54ALS05AJ/page-1", "SN54ALS05AJ")</f>
        <v>SN54ALS05AJ</v>
      </c>
      <c r="B10121" s="3" t="s">
        <v>90</v>
      </c>
      <c r="C10121" s="5">
        <v>5</v>
      </c>
      <c r="D10121" s="6">
        <v>6.33</v>
      </c>
      <c r="E10121" t="s">
        <v>27</v>
      </c>
    </row>
    <row r="10122" spans="1:5" x14ac:dyDescent="0.25">
      <c r="A10122" t="str">
        <f>HYPERLINK("https://www.773grp.com/globalSearch/SN54ALS10AJ/page-1", "SN54ALS10AJ")</f>
        <v>SN54ALS10AJ</v>
      </c>
      <c r="B10122" s="3" t="s">
        <v>90</v>
      </c>
      <c r="C10122" s="5">
        <v>84</v>
      </c>
      <c r="D10122" s="6">
        <v>6.33</v>
      </c>
      <c r="E10122" t="s">
        <v>27</v>
      </c>
    </row>
    <row r="10123" spans="1:5" x14ac:dyDescent="0.25">
      <c r="A10123" t="str">
        <f>HYPERLINK("https://www.773grp.com/globalSearch/SN54ALS21AJ/page-1", "SN54ALS21AJ")</f>
        <v>SN54ALS21AJ</v>
      </c>
      <c r="B10123" s="3" t="s">
        <v>90</v>
      </c>
      <c r="C10123" s="5">
        <v>43</v>
      </c>
      <c r="D10123" s="6">
        <v>6.33</v>
      </c>
      <c r="E10123" t="s">
        <v>27</v>
      </c>
    </row>
    <row r="10124" spans="1:5" x14ac:dyDescent="0.25">
      <c r="A10124" t="str">
        <f>HYPERLINK("https://www.773grp.com/globalSearch/SN54ALS27AJ/page-1", "SN54ALS27AJ")</f>
        <v>SN54ALS27AJ</v>
      </c>
      <c r="B10124" s="3" t="s">
        <v>90</v>
      </c>
      <c r="C10124" s="5">
        <v>400</v>
      </c>
      <c r="D10124" s="6">
        <v>6.33</v>
      </c>
      <c r="E10124" t="s">
        <v>27</v>
      </c>
    </row>
    <row r="10125" spans="1:5" x14ac:dyDescent="0.25">
      <c r="A10125" t="str">
        <f>HYPERLINK("https://www.773grp.com/globalSearch/SN54ALS30AJ/page-1", "SN54ALS30AJ")</f>
        <v>SN54ALS30AJ</v>
      </c>
      <c r="B10125" s="3" t="s">
        <v>90</v>
      </c>
      <c r="C10125" s="5">
        <v>47</v>
      </c>
      <c r="D10125" s="6">
        <v>6.33</v>
      </c>
      <c r="E10125" t="s">
        <v>27</v>
      </c>
    </row>
    <row r="10126" spans="1:5" x14ac:dyDescent="0.25">
      <c r="A10126" t="str">
        <f>HYPERLINK("https://www.773grp.com/globalSearch/SN54HCT04J/page-1", "SN54HCT04J")</f>
        <v>SN54HCT04J</v>
      </c>
      <c r="B10126" s="3" t="s">
        <v>90</v>
      </c>
      <c r="C10126" s="5">
        <v>1571</v>
      </c>
      <c r="D10126" s="6">
        <v>6.36</v>
      </c>
      <c r="E10126" t="s">
        <v>27</v>
      </c>
    </row>
    <row r="10127" spans="1:5" x14ac:dyDescent="0.25">
      <c r="A10127" t="str">
        <f>HYPERLINK("https://www.773grp.com/globalSearch/5962-9757701QCA/page-1", "5962-9757701QCA")</f>
        <v>5962-9757701QCA</v>
      </c>
      <c r="B10127" s="3" t="s">
        <v>90</v>
      </c>
      <c r="C10127" s="5">
        <v>263</v>
      </c>
      <c r="D10127" s="6">
        <v>6.38</v>
      </c>
      <c r="E10127" t="s">
        <v>27</v>
      </c>
    </row>
    <row r="10128" spans="1:5" x14ac:dyDescent="0.25">
      <c r="A10128" t="str">
        <f>HYPERLINK("https://www.773grp.com/globalSearch/5962-9758401QCA/page-1", "5962-9758401QCA")</f>
        <v>5962-9758401QCA</v>
      </c>
      <c r="B10128" s="3" t="s">
        <v>90</v>
      </c>
      <c r="C10128" s="5">
        <v>254</v>
      </c>
      <c r="D10128" s="6">
        <v>6.41</v>
      </c>
      <c r="E10128" t="s">
        <v>27</v>
      </c>
    </row>
    <row r="10129" spans="1:5" x14ac:dyDescent="0.25">
      <c r="A10129" t="str">
        <f>HYPERLINK("https://www.773grp.com/globalSearch/SN74ALS35AD/page-1", "SN74ALS35AD")</f>
        <v>SN74ALS35AD</v>
      </c>
      <c r="B10129" s="3" t="s">
        <v>90</v>
      </c>
      <c r="C10129" s="5">
        <v>68718</v>
      </c>
      <c r="D10129" s="6">
        <v>6.45</v>
      </c>
      <c r="E10129" t="s">
        <v>27</v>
      </c>
    </row>
    <row r="10130" spans="1:5" x14ac:dyDescent="0.25">
      <c r="A10130" t="str">
        <f>HYPERLINK("https://www.773grp.com/globalSearch/SNJ5412J/page-1", "SNJ5412J")</f>
        <v>SNJ5412J</v>
      </c>
      <c r="B10130" s="3" t="str">
        <f>HYPERLINK("https://www.773grp.com/manufacturer/texas-instruments?pageNo=34", "Texas Instruments")</f>
        <v>Texas Instruments</v>
      </c>
      <c r="C10130" s="5">
        <v>502</v>
      </c>
      <c r="D10130" s="6">
        <v>6.45</v>
      </c>
      <c r="E10130" t="s">
        <v>27</v>
      </c>
    </row>
    <row r="10131" spans="1:5" x14ac:dyDescent="0.25">
      <c r="A10131" t="str">
        <f>HYPERLINK("https://www.773grp.com/globalSearch/SNJ54F02J/page-1", "SNJ54F02J")</f>
        <v>SNJ54F02J</v>
      </c>
      <c r="B10131" s="3" t="str">
        <f>HYPERLINK("https://www.773grp.com/manufacturer/texas-instruments?pageNo=35", "Texas Instruments")</f>
        <v>Texas Instruments</v>
      </c>
      <c r="C10131" s="5">
        <v>6</v>
      </c>
      <c r="D10131" s="6">
        <v>6.45</v>
      </c>
      <c r="E10131" t="s">
        <v>27</v>
      </c>
    </row>
    <row r="10132" spans="1:5" x14ac:dyDescent="0.25">
      <c r="A10132" t="str">
        <f>HYPERLINK("https://www.773grp.com/globalSearch/CD54HCT04F/page-1", "CD54HCT04F")</f>
        <v>CD54HCT04F</v>
      </c>
      <c r="B10132" s="3" t="str">
        <f>HYPERLINK("https://www.773grp.com/manufacturer/texas-instruments?pageNo=66", "Texas Instruments")</f>
        <v>Texas Instruments</v>
      </c>
      <c r="C10132" s="5">
        <v>437</v>
      </c>
      <c r="D10132" s="6">
        <v>6.46</v>
      </c>
      <c r="E10132" t="s">
        <v>27</v>
      </c>
    </row>
    <row r="10133" spans="1:5" x14ac:dyDescent="0.25">
      <c r="A10133" t="str">
        <f>HYPERLINK("https://www.773grp.com/globalSearch/SNJ54F10J/page-1", "SNJ54F10J")</f>
        <v>SNJ54F10J</v>
      </c>
      <c r="B10133" s="3" t="str">
        <f>HYPERLINK("https://www.773grp.com/manufacturer/texas-instruments?pageNo=179", "Texas Instruments")</f>
        <v>Texas Instruments</v>
      </c>
      <c r="C10133" s="5">
        <v>156</v>
      </c>
      <c r="D10133" s="6">
        <v>6.5</v>
      </c>
      <c r="E10133" t="s">
        <v>27</v>
      </c>
    </row>
    <row r="10134" spans="1:5" x14ac:dyDescent="0.25">
      <c r="A10134" t="str">
        <f>HYPERLINK("https://www.773grp.com/globalSearch/SN54HC4002J/page-1", "SN54HC4002J")</f>
        <v>SN54HC4002J</v>
      </c>
      <c r="B10134" s="3" t="str">
        <f>HYPERLINK("https://www.773grp.com/manufacturer/texas-instruments?pageNo=213", "Texas Instruments")</f>
        <v>Texas Instruments</v>
      </c>
      <c r="C10134" s="5">
        <v>266</v>
      </c>
      <c r="D10134" s="6">
        <v>6.53</v>
      </c>
      <c r="E10134" t="s">
        <v>27</v>
      </c>
    </row>
    <row r="10135" spans="1:5" x14ac:dyDescent="0.25">
      <c r="A10135" t="str">
        <f>HYPERLINK("https://www.773grp.com/globalSearch/CD54HC04F/page-1", "CD54HC04F")</f>
        <v>CD54HC04F</v>
      </c>
      <c r="B10135" s="3" t="str">
        <f>HYPERLINK("https://www.773grp.com/manufacturer/texas-instruments?pageNo=226", "Texas Instruments")</f>
        <v>Texas Instruments</v>
      </c>
      <c r="C10135" s="5">
        <v>299</v>
      </c>
      <c r="D10135" s="6">
        <v>6.55</v>
      </c>
      <c r="E10135" t="s">
        <v>27</v>
      </c>
    </row>
    <row r="10136" spans="1:5" x14ac:dyDescent="0.25">
      <c r="A10136" t="str">
        <f>HYPERLINK("https://www.773grp.com/globalSearch/SN54HC86J/page-1", "SN54HC86J")</f>
        <v>SN54HC86J</v>
      </c>
      <c r="B10136" s="3" t="str">
        <f>HYPERLINK("https://www.773grp.com/manufacturer/texas-instruments?pageNo=233", "Texas Instruments")</f>
        <v>Texas Instruments</v>
      </c>
      <c r="C10136" s="5">
        <v>117</v>
      </c>
      <c r="D10136" s="6">
        <v>6.55</v>
      </c>
      <c r="E10136" t="s">
        <v>27</v>
      </c>
    </row>
    <row r="10137" spans="1:5" x14ac:dyDescent="0.25">
      <c r="A10137" t="str">
        <f>HYPERLINK("https://www.773grp.com/globalSearch/SN74AS832BN/page-1", "SN74AS832BN")</f>
        <v>SN74AS832BN</v>
      </c>
      <c r="B10137" s="3" t="str">
        <f>HYPERLINK("https://www.773grp.com/manufacturer/texas-instruments?pageNo=383", "Texas Instruments")</f>
        <v>Texas Instruments</v>
      </c>
      <c r="C10137" s="5">
        <v>2335</v>
      </c>
      <c r="D10137" s="6">
        <v>6.64</v>
      </c>
      <c r="E10137" t="s">
        <v>27</v>
      </c>
    </row>
    <row r="10138" spans="1:5" x14ac:dyDescent="0.25">
      <c r="A10138" t="str">
        <f>HYPERLINK("https://www.773grp.com/globalSearch/SNJ54AHC32J/page-1", "SNJ54AHC32J")</f>
        <v>SNJ54AHC32J</v>
      </c>
      <c r="B10138" s="3" t="str">
        <f>HYPERLINK("https://www.773grp.com/manufacturer/texas-instruments?pageNo=396", "Texas Instruments")</f>
        <v>Texas Instruments</v>
      </c>
      <c r="C10138" s="5">
        <v>84</v>
      </c>
      <c r="D10138" s="6">
        <v>6.64</v>
      </c>
      <c r="E10138" t="s">
        <v>27</v>
      </c>
    </row>
    <row r="10139" spans="1:5" x14ac:dyDescent="0.25">
      <c r="A10139" t="str">
        <f>HYPERLINK("https://www.773grp.com/globalSearch/5962-9758101QCA/page-1", "5962-9758101QCA")</f>
        <v>5962-9758101QCA</v>
      </c>
      <c r="B10139" s="3" t="str">
        <f>HYPERLINK("https://www.773grp.com/manufacturer/texas-instruments?pageNo=401", "Texas Instruments")</f>
        <v>Texas Instruments</v>
      </c>
      <c r="C10139" s="5">
        <v>167</v>
      </c>
      <c r="D10139" s="6">
        <v>6.66</v>
      </c>
      <c r="E10139" t="s">
        <v>27</v>
      </c>
    </row>
    <row r="10140" spans="1:5" x14ac:dyDescent="0.25">
      <c r="A10140" t="str">
        <f>HYPERLINK("https://www.773grp.com/globalSearch/SN54HC08J/page-1", "SN54HC08J")</f>
        <v>SN54HC08J</v>
      </c>
      <c r="B10140" s="3" t="str">
        <f>HYPERLINK("https://www.773grp.com/manufacturer/texas-instruments?pageNo=404", "Texas Instruments")</f>
        <v>Texas Instruments</v>
      </c>
      <c r="C10140" s="5">
        <v>8266</v>
      </c>
      <c r="D10140" s="6">
        <v>6.66</v>
      </c>
      <c r="E10140" t="s">
        <v>27</v>
      </c>
    </row>
    <row r="10141" spans="1:5" x14ac:dyDescent="0.25">
      <c r="A10141" t="str">
        <f>HYPERLINK("https://www.773grp.com/globalSearch/SN54HC27J/page-1", "SN54HC27J")</f>
        <v>SN54HC27J</v>
      </c>
      <c r="B10141" s="3" t="str">
        <f>HYPERLINK("https://www.773grp.com/manufacturer/texas-instruments?pageNo=405", "Texas Instruments")</f>
        <v>Texas Instruments</v>
      </c>
      <c r="C10141" s="5">
        <v>185</v>
      </c>
      <c r="D10141" s="6">
        <v>6.66</v>
      </c>
      <c r="E10141" t="s">
        <v>27</v>
      </c>
    </row>
    <row r="10142" spans="1:5" x14ac:dyDescent="0.25">
      <c r="A10142" t="str">
        <f>HYPERLINK("https://www.773grp.com/globalSearch/SNJ54F11J/page-1", "SNJ54F11J")</f>
        <v>SNJ54F11J</v>
      </c>
      <c r="B10142" s="3" t="str">
        <f>HYPERLINK("https://www.773grp.com/manufacturer/texas-instruments?pageNo=408", "Texas Instruments")</f>
        <v>Texas Instruments</v>
      </c>
      <c r="C10142" s="5">
        <v>383</v>
      </c>
      <c r="D10142" s="6">
        <v>6.66</v>
      </c>
      <c r="E10142" t="s">
        <v>27</v>
      </c>
    </row>
    <row r="10143" spans="1:5" x14ac:dyDescent="0.25">
      <c r="A10143" t="str">
        <f>HYPERLINK("https://www.773grp.com/globalSearch/SN54HC32J/page-1", "SN54HC32J")</f>
        <v>SN54HC32J</v>
      </c>
      <c r="B10143" s="3" t="str">
        <f>HYPERLINK("https://www.773grp.com/manufacturer/texas-instruments?pageNo=421", "Texas Instruments")</f>
        <v>Texas Instruments</v>
      </c>
      <c r="C10143" s="5">
        <v>655</v>
      </c>
      <c r="D10143" s="6">
        <v>6.7</v>
      </c>
      <c r="E10143" t="s">
        <v>27</v>
      </c>
    </row>
    <row r="10144" spans="1:5" x14ac:dyDescent="0.25">
      <c r="A10144" t="str">
        <f>HYPERLINK("https://www.773grp.com/globalSearch/SN54HC21J/page-1", "SN54HC21J")</f>
        <v>SN54HC21J</v>
      </c>
      <c r="B10144" s="3" t="str">
        <f>HYPERLINK("https://www.773grp.com/manufacturer/texas-instruments?pageNo=474", "Texas Instruments")</f>
        <v>Texas Instruments</v>
      </c>
      <c r="C10144" s="5">
        <v>1780</v>
      </c>
      <c r="D10144" s="6">
        <v>6.75</v>
      </c>
      <c r="E10144" t="s">
        <v>27</v>
      </c>
    </row>
    <row r="10145" spans="1:5" x14ac:dyDescent="0.25">
      <c r="A10145" t="str">
        <f>HYPERLINK("https://www.773grp.com/globalSearch/5962-9680301QCA/page-1", "5962-9680301QCA")</f>
        <v>5962-9680301QCA</v>
      </c>
      <c r="B10145" s="3" t="str">
        <f>HYPERLINK("https://www.773grp.com/manufacturer/texas-instruments?pageNo=565", "Texas Instruments")</f>
        <v>Texas Instruments</v>
      </c>
      <c r="C10145" s="5">
        <v>307</v>
      </c>
      <c r="D10145" s="6">
        <v>6.79</v>
      </c>
      <c r="E10145" t="s">
        <v>27</v>
      </c>
    </row>
    <row r="10146" spans="1:5" x14ac:dyDescent="0.25">
      <c r="A10146" t="str">
        <f>HYPERLINK("https://www.773grp.com/globalSearch/SN74AS1805N/page-1", "SN74AS1805N")</f>
        <v>SN74AS1805N</v>
      </c>
      <c r="B10146" s="3" t="str">
        <f>HYPERLINK("https://www.773grp.com/manufacturer/texas-instruments?pageNo=566", "Texas Instruments")</f>
        <v>Texas Instruments</v>
      </c>
      <c r="C10146" s="5">
        <v>477</v>
      </c>
      <c r="D10146" s="6">
        <v>6.79</v>
      </c>
      <c r="E10146" t="s">
        <v>27</v>
      </c>
    </row>
    <row r="10147" spans="1:5" x14ac:dyDescent="0.25">
      <c r="A10147" t="str">
        <f>HYPERLINK("https://www.773grp.com/globalSearch/SN74AS86AN/page-1", "SN74AS86AN")</f>
        <v>SN74AS86AN</v>
      </c>
      <c r="B10147" s="3" t="str">
        <f>HYPERLINK("https://www.773grp.com/manufacturer/texas-instruments?pageNo=607", "Texas Instruments")</f>
        <v>Texas Instruments</v>
      </c>
      <c r="C10147" s="5">
        <v>8236</v>
      </c>
      <c r="D10147" s="6">
        <v>6.84</v>
      </c>
      <c r="E10147" t="s">
        <v>27</v>
      </c>
    </row>
    <row r="10148" spans="1:5" x14ac:dyDescent="0.25">
      <c r="A10148" t="str">
        <f>HYPERLINK("https://www.773grp.com/globalSearch/5962-9757101QCA/page-1", "5962-9757101QCA")</f>
        <v>5962-9757101QCA</v>
      </c>
      <c r="B10148" s="3" t="str">
        <f>HYPERLINK("https://www.773grp.com/manufacturer/texas-instruments?pageNo=695", "Texas Instruments")</f>
        <v>Texas Instruments</v>
      </c>
      <c r="C10148" s="5">
        <v>403</v>
      </c>
      <c r="D10148" s="6">
        <v>6.93</v>
      </c>
      <c r="E10148" t="s">
        <v>27</v>
      </c>
    </row>
    <row r="10149" spans="1:5" x14ac:dyDescent="0.25">
      <c r="A10149" t="str">
        <f>HYPERLINK("https://www.773grp.com/globalSearch/SNJ54AHCT02J/page-1", "SNJ54AHCT02J")</f>
        <v>SNJ54AHCT02J</v>
      </c>
      <c r="B10149" s="3" t="str">
        <f>HYPERLINK("https://www.773grp.com/manufacturer/texas-instruments?pageNo=699", "Texas Instruments")</f>
        <v>Texas Instruments</v>
      </c>
      <c r="C10149" s="5">
        <v>83</v>
      </c>
      <c r="D10149" s="6">
        <v>6.93</v>
      </c>
      <c r="E10149" t="s">
        <v>27</v>
      </c>
    </row>
    <row r="10150" spans="1:5" x14ac:dyDescent="0.25">
      <c r="A10150" t="str">
        <f>HYPERLINK("https://www.773grp.com/globalSearch/5962-9680401QCA/page-1", "5962-9680401QCA")</f>
        <v>5962-9680401QCA</v>
      </c>
      <c r="B10150" s="3" t="str">
        <f>HYPERLINK("https://www.773grp.com/manufacturer/texas-instruments?pageNo=710", "Texas Instruments")</f>
        <v>Texas Instruments</v>
      </c>
      <c r="C10150" s="5">
        <v>3</v>
      </c>
      <c r="D10150" s="6">
        <v>6.95</v>
      </c>
      <c r="E10150" t="s">
        <v>27</v>
      </c>
    </row>
    <row r="10151" spans="1:5" x14ac:dyDescent="0.25">
      <c r="A10151" t="str">
        <f>HYPERLINK("https://www.773grp.com/globalSearch/5962-9682301QCA/page-1", "5962-9682301QCA")</f>
        <v>5962-9682301QCA</v>
      </c>
      <c r="B10151" s="3" t="str">
        <f>HYPERLINK("https://www.773grp.com/manufacturer/texas-instruments?pageNo=711", "Texas Instruments")</f>
        <v>Texas Instruments</v>
      </c>
      <c r="C10151" s="5">
        <v>37</v>
      </c>
      <c r="D10151" s="6">
        <v>6.95</v>
      </c>
      <c r="E10151" t="s">
        <v>27</v>
      </c>
    </row>
    <row r="10152" spans="1:5" x14ac:dyDescent="0.25">
      <c r="A10152" t="str">
        <f>HYPERLINK("https://www.773grp.com/globalSearch/5962-9682101QCA/page-1", "5962-9682101QCA")</f>
        <v>5962-9682101QCA</v>
      </c>
      <c r="B10152" s="3" t="str">
        <f>HYPERLINK("https://www.773grp.com/manufacturer/texas-instruments?pageNo=745", "Texas Instruments")</f>
        <v>Texas Instruments</v>
      </c>
      <c r="C10152" s="5">
        <v>99</v>
      </c>
      <c r="D10152" s="6">
        <v>7.04</v>
      </c>
      <c r="E10152" t="s">
        <v>27</v>
      </c>
    </row>
    <row r="10153" spans="1:5" x14ac:dyDescent="0.25">
      <c r="A10153" t="str">
        <f>HYPERLINK("https://www.773grp.com/globalSearch/5962-9682601QCA/page-1", "5962-9682601QCA")</f>
        <v>5962-9682601QCA</v>
      </c>
      <c r="B10153" s="3" t="str">
        <f>HYPERLINK("https://www.773grp.com/manufacturer/texas-instruments?pageNo=746", "Texas Instruments")</f>
        <v>Texas Instruments</v>
      </c>
      <c r="C10153" s="5">
        <v>144</v>
      </c>
      <c r="D10153" s="6">
        <v>7.04</v>
      </c>
      <c r="E10153" t="s">
        <v>27</v>
      </c>
    </row>
    <row r="10154" spans="1:5" x14ac:dyDescent="0.25">
      <c r="A10154" t="str">
        <f>HYPERLINK("https://www.773grp.com/globalSearch/SNJ54AHCT08J/page-1", "SNJ54AHCT08J")</f>
        <v>SNJ54AHCT08J</v>
      </c>
      <c r="B10154" s="3" t="str">
        <f>HYPERLINK("https://www.773grp.com/manufacturer/texas-instruments?pageNo=845", "Texas Instruments")</f>
        <v>Texas Instruments</v>
      </c>
      <c r="C10154" s="5">
        <v>187</v>
      </c>
      <c r="D10154" s="6">
        <v>7.04</v>
      </c>
      <c r="E10154" t="s">
        <v>27</v>
      </c>
    </row>
    <row r="10155" spans="1:5" x14ac:dyDescent="0.25">
      <c r="A10155" t="str">
        <f>HYPERLINK("https://www.773grp.com/globalSearch/CD54HC30F/page-1", "CD54HC30F")</f>
        <v>CD54HC30F</v>
      </c>
      <c r="B10155" s="3" t="str">
        <f>HYPERLINK("https://www.773grp.com/manufacturer/texas-instruments?pageNo=920", "Texas Instruments")</f>
        <v>Texas Instruments</v>
      </c>
      <c r="C10155" s="5">
        <v>93</v>
      </c>
      <c r="D10155" s="6">
        <v>7.09</v>
      </c>
      <c r="E10155" t="s">
        <v>27</v>
      </c>
    </row>
    <row r="10156" spans="1:5" x14ac:dyDescent="0.25">
      <c r="A10156" t="str">
        <f>HYPERLINK("https://www.773grp.com/globalSearch/SN5416J/page-1", "SN5416J")</f>
        <v>SN5416J</v>
      </c>
      <c r="B10156" s="3" t="str">
        <f>HYPERLINK("https://www.773grp.com/manufacturer/texas-instruments?pageNo=984", "Texas Instruments")</f>
        <v>Texas Instruments</v>
      </c>
      <c r="C10156" s="5">
        <v>118</v>
      </c>
      <c r="D10156" s="6">
        <v>7.18</v>
      </c>
      <c r="E10156" t="s">
        <v>27</v>
      </c>
    </row>
    <row r="10157" spans="1:5" x14ac:dyDescent="0.25">
      <c r="A10157" t="str">
        <f>HYPERLINK("https://www.773grp.com/globalSearch/SN5417J/page-1", "SN5417J")</f>
        <v>SN5417J</v>
      </c>
      <c r="B10157" s="3" t="str">
        <f>HYPERLINK("https://www.773grp.com/manufacturer/texas-instruments?pageNo=985", "Texas Instruments")</f>
        <v>Texas Instruments</v>
      </c>
      <c r="C10157" s="5">
        <v>127</v>
      </c>
      <c r="D10157" s="6">
        <v>7.18</v>
      </c>
      <c r="E10157" t="s">
        <v>27</v>
      </c>
    </row>
    <row r="10158" spans="1:5" x14ac:dyDescent="0.25">
      <c r="A10158" t="str">
        <f>HYPERLINK("https://www.773grp.com/globalSearch/SN54F32J/page-1", "SN54F32J")</f>
        <v>SN54F32J</v>
      </c>
      <c r="B10158" s="3" t="s">
        <v>90</v>
      </c>
      <c r="C10158" s="5">
        <v>4795</v>
      </c>
      <c r="D10158" s="6">
        <v>7.23</v>
      </c>
      <c r="E10158" t="s">
        <v>27</v>
      </c>
    </row>
    <row r="10159" spans="1:5" x14ac:dyDescent="0.25">
      <c r="A10159" t="str">
        <f>HYPERLINK("https://www.773grp.com/globalSearch/SN74AS832BDW/page-1", "SN74AS832BDW")</f>
        <v>SN74AS832BDW</v>
      </c>
      <c r="B10159" s="3" t="s">
        <v>90</v>
      </c>
      <c r="C10159" s="5">
        <v>4805</v>
      </c>
      <c r="D10159" s="6">
        <v>7.23</v>
      </c>
      <c r="E10159" t="s">
        <v>27</v>
      </c>
    </row>
    <row r="10160" spans="1:5" x14ac:dyDescent="0.25">
      <c r="A10160" t="str">
        <f>HYPERLINK("https://www.773grp.com/globalSearch/SN74AS808BDWR/page-1", "SN74AS808BDWR")</f>
        <v>SN74AS808BDWR</v>
      </c>
      <c r="B10160" s="3" t="s">
        <v>90</v>
      </c>
      <c r="C10160" s="5">
        <v>8000</v>
      </c>
      <c r="D10160" s="6">
        <v>7.43</v>
      </c>
      <c r="E10160" t="s">
        <v>27</v>
      </c>
    </row>
    <row r="10161" spans="1:5" x14ac:dyDescent="0.25">
      <c r="A10161" t="str">
        <f>HYPERLINK("https://www.773grp.com/globalSearch/SN54HCU04J/page-1", "SN54HCU04J")</f>
        <v>SN54HCU04J</v>
      </c>
      <c r="B10161" s="3" t="s">
        <v>90</v>
      </c>
      <c r="C10161" s="5">
        <v>9</v>
      </c>
      <c r="D10161" s="6">
        <v>7.46</v>
      </c>
      <c r="E10161" t="s">
        <v>27</v>
      </c>
    </row>
    <row r="10162" spans="1:5" x14ac:dyDescent="0.25">
      <c r="A10162" t="str">
        <f>HYPERLINK("https://www.773grp.com/globalSearch/CD54HC10F/page-1", "CD54HC10F")</f>
        <v>CD54HC10F</v>
      </c>
      <c r="B10162" s="3" t="s">
        <v>90</v>
      </c>
      <c r="C10162" s="5">
        <v>160</v>
      </c>
      <c r="D10162" s="6">
        <v>7.48</v>
      </c>
      <c r="E10162" t="s">
        <v>27</v>
      </c>
    </row>
    <row r="10163" spans="1:5" x14ac:dyDescent="0.25">
      <c r="A10163" t="str">
        <f>HYPERLINK("https://www.773grp.com/globalSearch/SNJ54AHC02J/page-1", "SNJ54AHC02J")</f>
        <v>SNJ54AHC02J</v>
      </c>
      <c r="B10163" s="3" t="s">
        <v>90</v>
      </c>
      <c r="C10163" s="5">
        <v>353</v>
      </c>
      <c r="D10163" s="6">
        <v>7.65</v>
      </c>
      <c r="E10163" t="s">
        <v>27</v>
      </c>
    </row>
    <row r="10164" spans="1:5" x14ac:dyDescent="0.25">
      <c r="A10164" t="str">
        <f>HYPERLINK("https://www.773grp.com/globalSearch/SN54AS11J/page-1", "SN54AS11J")</f>
        <v>SN54AS11J</v>
      </c>
      <c r="B10164" s="3" t="s">
        <v>90</v>
      </c>
      <c r="C10164" s="5">
        <v>223</v>
      </c>
      <c r="D10164" s="6">
        <v>7.68</v>
      </c>
      <c r="E10164" t="s">
        <v>27</v>
      </c>
    </row>
    <row r="10165" spans="1:5" x14ac:dyDescent="0.25">
      <c r="A10165" t="str">
        <f>HYPERLINK("https://www.773grp.com/globalSearch/SN54265J/page-1", "SN54265J")</f>
        <v>SN54265J</v>
      </c>
      <c r="B10165" s="3" t="s">
        <v>90</v>
      </c>
      <c r="C10165" s="5">
        <v>62</v>
      </c>
      <c r="D10165" s="6">
        <v>7.8</v>
      </c>
      <c r="E10165" t="s">
        <v>27</v>
      </c>
    </row>
    <row r="10166" spans="1:5" x14ac:dyDescent="0.25">
      <c r="A10166" t="str">
        <f>HYPERLINK("https://www.773grp.com/globalSearch/SN54ALS1010AJ/page-1", "SN54ALS1010AJ")</f>
        <v>SN54ALS1010AJ</v>
      </c>
      <c r="B10166" s="3" t="s">
        <v>90</v>
      </c>
      <c r="C10166" s="5">
        <v>167</v>
      </c>
      <c r="D10166" s="6">
        <v>7.88</v>
      </c>
      <c r="E10166" t="s">
        <v>27</v>
      </c>
    </row>
    <row r="10167" spans="1:5" x14ac:dyDescent="0.25">
      <c r="A10167" t="str">
        <f>HYPERLINK("https://www.773grp.com/globalSearch/SN74AS1808N/page-1", "SN74AS1808N")</f>
        <v>SN74AS1808N</v>
      </c>
      <c r="B10167" s="3" t="s">
        <v>90</v>
      </c>
      <c r="C10167" s="5">
        <v>179</v>
      </c>
      <c r="D10167" s="6">
        <v>7.94</v>
      </c>
      <c r="E10167" t="s">
        <v>27</v>
      </c>
    </row>
    <row r="10168" spans="1:5" x14ac:dyDescent="0.25">
      <c r="A10168" t="str">
        <f>HYPERLINK("https://www.773grp.com/globalSearch/SN74AS1832N/page-1", "SN74AS1832N")</f>
        <v>SN74AS1832N</v>
      </c>
      <c r="B10168" s="3" t="s">
        <v>90</v>
      </c>
      <c r="C10168" s="5">
        <v>1072</v>
      </c>
      <c r="D10168" s="6">
        <v>7.94</v>
      </c>
      <c r="E10168" t="s">
        <v>27</v>
      </c>
    </row>
    <row r="10169" spans="1:5" x14ac:dyDescent="0.25">
      <c r="A10169" t="str">
        <f>HYPERLINK("https://www.773grp.com/globalSearch/SN74ALS805ADW/page-1", "SN74ALS805ADW")</f>
        <v>SN74ALS805ADW</v>
      </c>
      <c r="B10169" s="3" t="s">
        <v>90</v>
      </c>
      <c r="C10169" s="5">
        <v>618</v>
      </c>
      <c r="D10169" s="6">
        <v>7.99</v>
      </c>
      <c r="E10169" t="s">
        <v>27</v>
      </c>
    </row>
    <row r="10170" spans="1:5" x14ac:dyDescent="0.25">
      <c r="A10170" t="str">
        <f>HYPERLINK("https://www.773grp.com/globalSearch/SN74ALS805AN/page-1", "SN74ALS805AN")</f>
        <v>SN74ALS805AN</v>
      </c>
      <c r="B10170" s="3" t="s">
        <v>90</v>
      </c>
      <c r="C10170" s="5">
        <v>2580</v>
      </c>
      <c r="D10170" s="6">
        <v>7.99</v>
      </c>
      <c r="E10170" t="s">
        <v>27</v>
      </c>
    </row>
    <row r="10171" spans="1:5" x14ac:dyDescent="0.25">
      <c r="A10171" t="str">
        <f>HYPERLINK("https://www.773grp.com/globalSearch/SN5430J/page-1", "SN5430J")</f>
        <v>SN5430J</v>
      </c>
      <c r="B10171" s="3" t="s">
        <v>90</v>
      </c>
      <c r="C10171" s="5">
        <v>147</v>
      </c>
      <c r="D10171" s="6">
        <v>8.01</v>
      </c>
      <c r="E10171" t="s">
        <v>27</v>
      </c>
    </row>
    <row r="10172" spans="1:5" x14ac:dyDescent="0.25">
      <c r="A10172" t="str">
        <f>HYPERLINK("https://www.773grp.com/globalSearch/SN5438J/page-1", "SN5438J")</f>
        <v>SN5438J</v>
      </c>
      <c r="B10172" s="3" t="s">
        <v>90</v>
      </c>
      <c r="C10172" s="5">
        <v>103</v>
      </c>
      <c r="D10172" s="6">
        <v>8.01</v>
      </c>
      <c r="E10172" t="s">
        <v>27</v>
      </c>
    </row>
    <row r="10173" spans="1:5" x14ac:dyDescent="0.25">
      <c r="A10173" t="str">
        <f>HYPERLINK("https://www.773grp.com/globalSearch/5962-9758801QCA/page-1", "5962-9758801QCA")</f>
        <v>5962-9758801QCA</v>
      </c>
      <c r="B10173" s="3" t="s">
        <v>90</v>
      </c>
      <c r="C10173" s="5">
        <v>936</v>
      </c>
      <c r="D10173" s="6">
        <v>8.14</v>
      </c>
      <c r="E10173" t="s">
        <v>27</v>
      </c>
    </row>
    <row r="10174" spans="1:5" x14ac:dyDescent="0.25">
      <c r="A10174" t="str">
        <f>HYPERLINK("https://www.773grp.com/globalSearch/SNJ54F32J/page-1", "SNJ54F32J")</f>
        <v>SNJ54F32J</v>
      </c>
      <c r="B10174" s="3" t="s">
        <v>90</v>
      </c>
      <c r="C10174" s="5">
        <v>12</v>
      </c>
      <c r="D10174" s="6">
        <v>8.14</v>
      </c>
      <c r="E10174" t="s">
        <v>27</v>
      </c>
    </row>
    <row r="10175" spans="1:5" x14ac:dyDescent="0.25">
      <c r="A10175" t="str">
        <f>HYPERLINK("https://www.773grp.com/globalSearch/SN74AS808BN/page-1", "SN74AS808BN")</f>
        <v>SN74AS808BN</v>
      </c>
      <c r="B10175" s="3" t="s">
        <v>90</v>
      </c>
      <c r="C10175" s="5">
        <v>10560</v>
      </c>
      <c r="D10175" s="6">
        <v>8.24</v>
      </c>
      <c r="E10175" t="s">
        <v>27</v>
      </c>
    </row>
    <row r="10176" spans="1:5" x14ac:dyDescent="0.25">
      <c r="A10176" t="str">
        <f>HYPERLINK("https://www.773grp.com/globalSearch/CD54HC11F3A/page-1", "CD54HC11F3A")</f>
        <v>CD54HC11F3A</v>
      </c>
      <c r="B10176" s="3" t="s">
        <v>90</v>
      </c>
      <c r="C10176" s="5">
        <v>176</v>
      </c>
      <c r="D10176" s="6">
        <v>8.33</v>
      </c>
      <c r="E10176" t="s">
        <v>27</v>
      </c>
    </row>
    <row r="10177" spans="1:5" x14ac:dyDescent="0.25">
      <c r="A10177" t="str">
        <f>HYPERLINK("https://www.773grp.com/globalSearch/8403801CA/page-1", "8403801CA")</f>
        <v>8403801CA</v>
      </c>
      <c r="B10177" s="3" t="s">
        <v>90</v>
      </c>
      <c r="C10177" s="5">
        <v>3</v>
      </c>
      <c r="D10177" s="6">
        <v>8.35</v>
      </c>
      <c r="E10177" t="s">
        <v>27</v>
      </c>
    </row>
    <row r="10178" spans="1:5" x14ac:dyDescent="0.25">
      <c r="A10178" t="str">
        <f>HYPERLINK("https://www.773grp.com/globalSearch/8404801CA/page-1", "8404801CA")</f>
        <v>8404801CA</v>
      </c>
      <c r="B10178" s="3" t="s">
        <v>90</v>
      </c>
      <c r="C10178" s="5">
        <v>1232</v>
      </c>
      <c r="D10178" s="6">
        <v>8.35</v>
      </c>
      <c r="E10178" t="s">
        <v>27</v>
      </c>
    </row>
    <row r="10179" spans="1:5" x14ac:dyDescent="0.25">
      <c r="A10179" t="str">
        <f>HYPERLINK("https://www.773grp.com/globalSearch/CD54HC04F3A/page-1", "CD54HC04F3A")</f>
        <v>CD54HC04F3A</v>
      </c>
      <c r="B10179" s="3" t="s">
        <v>90</v>
      </c>
      <c r="C10179" s="5">
        <v>136</v>
      </c>
      <c r="D10179" s="6">
        <v>8.35</v>
      </c>
      <c r="E10179" t="s">
        <v>27</v>
      </c>
    </row>
    <row r="10180" spans="1:5" x14ac:dyDescent="0.25">
      <c r="A10180" t="str">
        <f>HYPERLINK("https://www.773grp.com/globalSearch/SN74ALS804ADWR/page-1", "SN74ALS804ADWR")</f>
        <v>SN74ALS804ADWR</v>
      </c>
      <c r="B10180" s="3" t="s">
        <v>90</v>
      </c>
      <c r="C10180" s="5">
        <v>5800</v>
      </c>
      <c r="D10180" s="6">
        <v>8.35</v>
      </c>
      <c r="E10180" t="s">
        <v>27</v>
      </c>
    </row>
    <row r="10181" spans="1:5" x14ac:dyDescent="0.25">
      <c r="A10181" t="str">
        <f>HYPERLINK("https://www.773grp.com/globalSearch/SNJ54HC10J/page-1", "SNJ54HC10J")</f>
        <v>SNJ54HC10J</v>
      </c>
      <c r="B10181" s="3" t="s">
        <v>90</v>
      </c>
      <c r="C10181" s="5">
        <v>698</v>
      </c>
      <c r="D10181" s="6">
        <v>8.35</v>
      </c>
      <c r="E10181" t="s">
        <v>27</v>
      </c>
    </row>
    <row r="10182" spans="1:5" x14ac:dyDescent="0.25">
      <c r="A10182" t="str">
        <f>HYPERLINK("https://www.773grp.com/globalSearch/SNJ54HC11J/page-1", "SNJ54HC11J")</f>
        <v>SNJ54HC11J</v>
      </c>
      <c r="B10182" s="3" t="s">
        <v>90</v>
      </c>
      <c r="C10182" s="5">
        <v>147</v>
      </c>
      <c r="D10182" s="6">
        <v>8.35</v>
      </c>
      <c r="E10182" t="s">
        <v>27</v>
      </c>
    </row>
    <row r="10183" spans="1:5" x14ac:dyDescent="0.25">
      <c r="A10183" t="str">
        <f>HYPERLINK("https://www.773grp.com/globalSearch/CD54HC14F3A/page-1", "CD54HC14F3A")</f>
        <v>CD54HC14F3A</v>
      </c>
      <c r="B10183" s="3" t="s">
        <v>90</v>
      </c>
      <c r="C10183" s="5">
        <v>20</v>
      </c>
      <c r="D10183" s="6">
        <v>8.39</v>
      </c>
      <c r="E10183" t="s">
        <v>27</v>
      </c>
    </row>
    <row r="10184" spans="1:5" x14ac:dyDescent="0.25">
      <c r="A10184" t="str">
        <f>HYPERLINK("https://www.773grp.com/globalSearch/SNJ54LS04J/page-1", "SNJ54LS04J")</f>
        <v>SNJ54LS04J</v>
      </c>
      <c r="B10184" s="3" t="s">
        <v>90</v>
      </c>
      <c r="C10184" s="5">
        <v>47</v>
      </c>
      <c r="D10184" s="6">
        <v>8.48</v>
      </c>
      <c r="E10184" t="s">
        <v>27</v>
      </c>
    </row>
    <row r="10185" spans="1:5" x14ac:dyDescent="0.25">
      <c r="A10185" t="str">
        <f>HYPERLINK("https://www.773grp.com/globalSearch/SNJ54HC04J/page-1", "SNJ54HC04J")</f>
        <v>SNJ54HC04J</v>
      </c>
      <c r="B10185" s="3" t="s">
        <v>90</v>
      </c>
      <c r="C10185" s="5">
        <v>135</v>
      </c>
      <c r="D10185" s="6">
        <v>8.49</v>
      </c>
      <c r="E10185" t="s">
        <v>27</v>
      </c>
    </row>
    <row r="10186" spans="1:5" x14ac:dyDescent="0.25">
      <c r="A10186" t="str">
        <f>HYPERLINK("https://www.773grp.com/globalSearch/SNJ54HC14J/page-1", "SNJ54HC14J")</f>
        <v>SNJ54HC14J</v>
      </c>
      <c r="B10186" s="3" t="s">
        <v>90</v>
      </c>
      <c r="C10186" s="5">
        <v>4</v>
      </c>
      <c r="D10186" s="6">
        <v>8.49</v>
      </c>
      <c r="E10186" t="s">
        <v>27</v>
      </c>
    </row>
    <row r="10187" spans="1:5" x14ac:dyDescent="0.25">
      <c r="A10187" t="str">
        <f>HYPERLINK("https://www.773grp.com/globalSearch/SNJ54HC00J/page-1", "SNJ54HC00J")</f>
        <v>SNJ54HC00J</v>
      </c>
      <c r="B10187" s="3" t="s">
        <v>90</v>
      </c>
      <c r="C10187" s="5">
        <v>454</v>
      </c>
      <c r="D10187" s="6">
        <v>8.5299999999999994</v>
      </c>
      <c r="E10187" t="s">
        <v>27</v>
      </c>
    </row>
    <row r="10188" spans="1:5" x14ac:dyDescent="0.25">
      <c r="A10188" t="str">
        <f>HYPERLINK("https://www.773grp.com/globalSearch/SNJ54HC02J/page-1", "SNJ54HC02J")</f>
        <v>SNJ54HC02J</v>
      </c>
      <c r="B10188" s="3" t="s">
        <v>90</v>
      </c>
      <c r="C10188" s="5">
        <v>142</v>
      </c>
      <c r="D10188" s="6">
        <v>8.5299999999999994</v>
      </c>
      <c r="E10188" t="s">
        <v>27</v>
      </c>
    </row>
    <row r="10189" spans="1:5" x14ac:dyDescent="0.25">
      <c r="A10189" t="str">
        <f>HYPERLINK("https://www.773grp.com/globalSearch/5962-8754901CA/page-1", "5962-8754901CA")</f>
        <v>5962-8754901CA</v>
      </c>
      <c r="B10189" s="3" t="s">
        <v>90</v>
      </c>
      <c r="C10189" s="5">
        <v>1123</v>
      </c>
      <c r="D10189" s="6">
        <v>8.5500000000000007</v>
      </c>
      <c r="E10189" t="s">
        <v>27</v>
      </c>
    </row>
    <row r="10190" spans="1:5" x14ac:dyDescent="0.25">
      <c r="A10190" t="str">
        <f>HYPERLINK("https://www.773grp.com/globalSearch/8404701CA/page-1", "8404701CA")</f>
        <v>8404701CA</v>
      </c>
      <c r="B10190" s="3" t="s">
        <v>90</v>
      </c>
      <c r="C10190" s="5">
        <v>1914</v>
      </c>
      <c r="D10190" s="6">
        <v>8.5500000000000007</v>
      </c>
      <c r="E10190" t="s">
        <v>27</v>
      </c>
    </row>
    <row r="10191" spans="1:5" x14ac:dyDescent="0.25">
      <c r="A10191" t="str">
        <f>HYPERLINK("https://www.773grp.com/globalSearch/SNJ54AC00J/page-1", "SNJ54AC00J")</f>
        <v>SNJ54AC00J</v>
      </c>
      <c r="B10191" s="3" t="s">
        <v>90</v>
      </c>
      <c r="C10191" s="5">
        <v>494</v>
      </c>
      <c r="D10191" s="6">
        <v>8.5500000000000007</v>
      </c>
      <c r="E10191" t="s">
        <v>27</v>
      </c>
    </row>
    <row r="10192" spans="1:5" x14ac:dyDescent="0.25">
      <c r="A10192" t="str">
        <f>HYPERLINK("https://www.773grp.com/globalSearch/SNJ54HC08J/page-1", "SNJ54HC08J")</f>
        <v>SNJ54HC08J</v>
      </c>
      <c r="B10192" s="3" t="s">
        <v>90</v>
      </c>
      <c r="C10192" s="5">
        <v>2485</v>
      </c>
      <c r="D10192" s="6">
        <v>8.5500000000000007</v>
      </c>
      <c r="E10192" t="s">
        <v>27</v>
      </c>
    </row>
    <row r="10193" spans="1:5" x14ac:dyDescent="0.25">
      <c r="A10193" t="str">
        <f>HYPERLINK("https://www.773grp.com/globalSearch/CD54HC02F3A/page-1", "CD54HC02F3A")</f>
        <v>CD54HC02F3A</v>
      </c>
      <c r="B10193" s="3" t="s">
        <v>90</v>
      </c>
      <c r="C10193" s="5">
        <v>558</v>
      </c>
      <c r="D10193" s="6">
        <v>8.58</v>
      </c>
      <c r="E10193" t="s">
        <v>27</v>
      </c>
    </row>
    <row r="10194" spans="1:5" x14ac:dyDescent="0.25">
      <c r="A10194" t="str">
        <f>HYPERLINK("https://www.773grp.com/globalSearch/JM38510-33001BCA/page-1", "JM38510-33001BCA")</f>
        <v>JM38510-33001BCA</v>
      </c>
      <c r="B10194" s="3" t="s">
        <v>90</v>
      </c>
      <c r="C10194" s="5">
        <v>1961</v>
      </c>
      <c r="D10194" s="6">
        <v>8.58</v>
      </c>
      <c r="E10194" t="s">
        <v>27</v>
      </c>
    </row>
    <row r="10195" spans="1:5" x14ac:dyDescent="0.25">
      <c r="A10195" t="str">
        <f>HYPERLINK("https://www.773grp.com/globalSearch/CD54HC10F3A/page-1", "CD54HC10F3A")</f>
        <v>CD54HC10F3A</v>
      </c>
      <c r="B10195" s="3" t="s">
        <v>90</v>
      </c>
      <c r="C10195" s="5">
        <v>620</v>
      </c>
      <c r="D10195" s="6">
        <v>8.61</v>
      </c>
      <c r="E10195" t="s">
        <v>27</v>
      </c>
    </row>
    <row r="10196" spans="1:5" x14ac:dyDescent="0.25">
      <c r="A10196" t="str">
        <f>HYPERLINK("https://www.773grp.com/globalSearch/JM38510-34002BCA/page-1", "JM38510-34002BCA")</f>
        <v>JM38510-34002BCA</v>
      </c>
      <c r="B10196" s="3" t="s">
        <v>90</v>
      </c>
      <c r="C10196" s="5">
        <v>516</v>
      </c>
      <c r="D10196" s="6">
        <v>8.61</v>
      </c>
      <c r="E10196" t="s">
        <v>27</v>
      </c>
    </row>
    <row r="10197" spans="1:5" x14ac:dyDescent="0.25">
      <c r="A10197" t="str">
        <f>HYPERLINK("https://www.773grp.com/globalSearch/JM38510-33004BCA/page-1", "JM38510-33004BCA")</f>
        <v>JM38510-33004BCA</v>
      </c>
      <c r="B10197" s="3" t="s">
        <v>90</v>
      </c>
      <c r="C10197" s="5">
        <v>383</v>
      </c>
      <c r="D10197" s="6">
        <v>8.66</v>
      </c>
      <c r="E10197" t="s">
        <v>27</v>
      </c>
    </row>
    <row r="10198" spans="1:5" x14ac:dyDescent="0.25">
      <c r="A10198" t="str">
        <f>HYPERLINK("https://www.773grp.com/globalSearch/8403901CA/page-1", "8403901CA")</f>
        <v>8403901CA</v>
      </c>
      <c r="B10198" s="3" t="s">
        <v>90</v>
      </c>
      <c r="C10198" s="5">
        <v>688</v>
      </c>
      <c r="D10198" s="6">
        <v>8.69</v>
      </c>
      <c r="E10198" t="s">
        <v>27</v>
      </c>
    </row>
    <row r="10199" spans="1:5" x14ac:dyDescent="0.25">
      <c r="A10199" t="str">
        <f>HYPERLINK("https://www.773grp.com/globalSearch/8404601CA/page-1", "8404601CA")</f>
        <v>8404601CA</v>
      </c>
      <c r="B10199" s="3" t="s">
        <v>90</v>
      </c>
      <c r="C10199" s="5">
        <v>1</v>
      </c>
      <c r="D10199" s="6">
        <v>8.69</v>
      </c>
      <c r="E10199" t="s">
        <v>27</v>
      </c>
    </row>
    <row r="10200" spans="1:5" x14ac:dyDescent="0.25">
      <c r="A10200" t="str">
        <f>HYPERLINK("https://www.773grp.com/globalSearch/SNJ54HC20J/page-1", "SNJ54HC20J")</f>
        <v>SNJ54HC20J</v>
      </c>
      <c r="B10200" s="3" t="s">
        <v>90</v>
      </c>
      <c r="C10200" s="5">
        <v>324</v>
      </c>
      <c r="D10200" s="6">
        <v>8.69</v>
      </c>
      <c r="E10200" t="s">
        <v>27</v>
      </c>
    </row>
    <row r="10201" spans="1:5" x14ac:dyDescent="0.25">
      <c r="A10201" t="str">
        <f>HYPERLINK("https://www.773grp.com/globalSearch/5962-8764701CA/page-1", "5962-8764701CA")</f>
        <v>5962-8764701CA</v>
      </c>
      <c r="B10201" s="3" t="s">
        <v>90</v>
      </c>
      <c r="C10201" s="5">
        <v>208</v>
      </c>
      <c r="D10201" s="6">
        <v>8.74</v>
      </c>
      <c r="E10201" t="s">
        <v>27</v>
      </c>
    </row>
    <row r="10202" spans="1:5" x14ac:dyDescent="0.25">
      <c r="A10202" t="str">
        <f>HYPERLINK("https://www.773grp.com/globalSearch/CD54HCT00F/page-1", "CD54HCT00F")</f>
        <v>CD54HCT00F</v>
      </c>
      <c r="B10202" s="3" t="s">
        <v>90</v>
      </c>
      <c r="C10202" s="5">
        <v>1</v>
      </c>
      <c r="D10202" s="6">
        <v>8.74</v>
      </c>
      <c r="E10202" t="s">
        <v>27</v>
      </c>
    </row>
    <row r="10203" spans="1:5" x14ac:dyDescent="0.25">
      <c r="A10203" t="str">
        <f>HYPERLINK("https://www.773grp.com/globalSearch/JM38510-33003BCA/page-1", "JM38510-33003BCA")</f>
        <v>JM38510-33003BCA</v>
      </c>
      <c r="B10203" s="3" t="s">
        <v>90</v>
      </c>
      <c r="C10203" s="5">
        <v>593</v>
      </c>
      <c r="D10203" s="6">
        <v>8.7799999999999994</v>
      </c>
      <c r="E10203" t="s">
        <v>27</v>
      </c>
    </row>
    <row r="10204" spans="1:5" x14ac:dyDescent="0.25">
      <c r="A10204" t="str">
        <f>HYPERLINK("https://www.773grp.com/globalSearch/8404401CA/page-1", "8404401CA")</f>
        <v>8404401CA</v>
      </c>
      <c r="B10204" s="3" t="s">
        <v>90</v>
      </c>
      <c r="C10204" s="5">
        <v>490</v>
      </c>
      <c r="D10204" s="6">
        <v>8.83</v>
      </c>
      <c r="E10204" t="s">
        <v>27</v>
      </c>
    </row>
    <row r="10205" spans="1:5" x14ac:dyDescent="0.25">
      <c r="A10205" t="str">
        <f>HYPERLINK("https://www.773grp.com/globalSearch/SN74AS808BDW/page-1", "SN74AS808BDW")</f>
        <v>SN74AS808BDW</v>
      </c>
      <c r="B10205" s="3" t="s">
        <v>90</v>
      </c>
      <c r="C10205" s="5">
        <v>8237</v>
      </c>
      <c r="D10205" s="6">
        <v>8.83</v>
      </c>
      <c r="E10205" t="s">
        <v>27</v>
      </c>
    </row>
    <row r="10206" spans="1:5" x14ac:dyDescent="0.25">
      <c r="A10206" t="str">
        <f>HYPERLINK("https://www.773grp.com/globalSearch/8404201CA/page-1", "8404201CA")</f>
        <v>8404201CA</v>
      </c>
      <c r="B10206" s="3" t="s">
        <v>90</v>
      </c>
      <c r="C10206" s="5">
        <v>801</v>
      </c>
      <c r="D10206" s="6">
        <v>8.86</v>
      </c>
      <c r="E10206" t="s">
        <v>27</v>
      </c>
    </row>
    <row r="10207" spans="1:5" x14ac:dyDescent="0.25">
      <c r="A10207" t="str">
        <f>HYPERLINK("https://www.773grp.com/globalSearch/SNJ54HC27J/page-1", "SNJ54HC27J")</f>
        <v>SNJ54HC27J</v>
      </c>
      <c r="B10207" s="3" t="s">
        <v>90</v>
      </c>
      <c r="C10207" s="5">
        <v>38</v>
      </c>
      <c r="D10207" s="6">
        <v>8.86</v>
      </c>
      <c r="E10207" t="s">
        <v>27</v>
      </c>
    </row>
    <row r="10208" spans="1:5" x14ac:dyDescent="0.25">
      <c r="A10208" t="str">
        <f>HYPERLINK("https://www.773grp.com/globalSearch/CD54HC27F3A/page-1", "CD54HC27F3A")</f>
        <v>CD54HC27F3A</v>
      </c>
      <c r="B10208" s="3" t="s">
        <v>90</v>
      </c>
      <c r="C10208" s="5">
        <v>22</v>
      </c>
      <c r="D10208" s="6">
        <v>8.89</v>
      </c>
      <c r="E10208" t="s">
        <v>27</v>
      </c>
    </row>
    <row r="10209" spans="1:5" x14ac:dyDescent="0.25">
      <c r="A10209" t="str">
        <f>HYPERLINK("https://www.773grp.com/globalSearch/8601001CA/page-1", "8601001CA")</f>
        <v>8601001CA</v>
      </c>
      <c r="B10209" s="3" t="s">
        <v>90</v>
      </c>
      <c r="C10209" s="5">
        <v>634</v>
      </c>
      <c r="D10209" s="6">
        <v>8.9499999999999993</v>
      </c>
      <c r="E10209" t="s">
        <v>27</v>
      </c>
    </row>
    <row r="10210" spans="1:5" x14ac:dyDescent="0.25">
      <c r="A10210" t="str">
        <f>HYPERLINK("https://www.773grp.com/globalSearch/SNJ54HCU04J/page-1", "SNJ54HCU04J")</f>
        <v>SNJ54HCU04J</v>
      </c>
      <c r="B10210" s="3" t="s">
        <v>90</v>
      </c>
      <c r="C10210" s="5">
        <v>200</v>
      </c>
      <c r="D10210" s="6">
        <v>8.9499999999999993</v>
      </c>
      <c r="E10210" t="s">
        <v>27</v>
      </c>
    </row>
    <row r="10211" spans="1:5" x14ac:dyDescent="0.25">
      <c r="A10211" t="str">
        <f>HYPERLINK("https://www.773grp.com/globalSearch/CD54HC32F3A/page-1", "CD54HC32F3A")</f>
        <v>CD54HC32F3A</v>
      </c>
      <c r="B10211" s="3" t="s">
        <v>90</v>
      </c>
      <c r="C10211" s="5">
        <v>170</v>
      </c>
      <c r="D10211" s="6">
        <v>8.98</v>
      </c>
      <c r="E10211" t="s">
        <v>27</v>
      </c>
    </row>
    <row r="10212" spans="1:5" x14ac:dyDescent="0.25">
      <c r="A10212" t="str">
        <f>HYPERLINK("https://www.773grp.com/globalSearch/CD54HCT32F/page-1", "CD54HCT32F")</f>
        <v>CD54HCT32F</v>
      </c>
      <c r="B10212" s="3" t="s">
        <v>90</v>
      </c>
      <c r="C10212" s="5">
        <v>1471</v>
      </c>
      <c r="D10212" s="6">
        <v>9</v>
      </c>
      <c r="E10212" t="s">
        <v>27</v>
      </c>
    </row>
    <row r="10213" spans="1:5" x14ac:dyDescent="0.25">
      <c r="A10213" t="str">
        <f>HYPERLINK("https://www.773grp.com/globalSearch/CD4082BF/page-1", "CD4082BF")</f>
        <v>CD4082BF</v>
      </c>
      <c r="B10213" s="3" t="s">
        <v>90</v>
      </c>
      <c r="C10213" s="5">
        <v>727</v>
      </c>
      <c r="D10213" s="6">
        <v>9.0299999999999994</v>
      </c>
      <c r="E10213" t="s">
        <v>27</v>
      </c>
    </row>
    <row r="10214" spans="1:5" x14ac:dyDescent="0.25">
      <c r="A10214" t="str">
        <f>HYPERLINK("https://www.773grp.com/globalSearch/SNJ54HC32J/page-1", "SNJ54HC32J")</f>
        <v>SNJ54HC32J</v>
      </c>
      <c r="B10214" s="3" t="s">
        <v>90</v>
      </c>
      <c r="C10214" s="5">
        <v>90</v>
      </c>
      <c r="D10214" s="6">
        <v>9.06</v>
      </c>
      <c r="E10214" t="s">
        <v>27</v>
      </c>
    </row>
    <row r="10215" spans="1:5" x14ac:dyDescent="0.25">
      <c r="A10215" t="str">
        <f>HYPERLINK("https://www.773grp.com/globalSearch/CD54HCT04F3A/page-1", "CD54HCT04F3A")</f>
        <v>CD54HCT04F3A</v>
      </c>
      <c r="B10215" s="3" t="s">
        <v>90</v>
      </c>
      <c r="C10215" s="5">
        <v>1013</v>
      </c>
      <c r="D10215" s="6">
        <v>9.11</v>
      </c>
      <c r="E10215" t="s">
        <v>27</v>
      </c>
    </row>
    <row r="10216" spans="1:5" x14ac:dyDescent="0.25">
      <c r="A10216" t="str">
        <f>HYPERLINK("https://www.773grp.com/globalSearch/SN5402J/page-1", "SN5402J")</f>
        <v>SN5402J</v>
      </c>
      <c r="B10216" s="3" t="s">
        <v>90</v>
      </c>
      <c r="C10216" s="5">
        <v>780</v>
      </c>
      <c r="D10216" s="6">
        <v>9.15</v>
      </c>
      <c r="E10216" t="s">
        <v>27</v>
      </c>
    </row>
    <row r="10217" spans="1:5" x14ac:dyDescent="0.25">
      <c r="A10217" t="str">
        <f>HYPERLINK("https://www.773grp.com/globalSearch/SN5404J/page-1", "SN5404J")</f>
        <v>SN5404J</v>
      </c>
      <c r="B10217" s="3" t="s">
        <v>90</v>
      </c>
      <c r="C10217" s="5">
        <v>407</v>
      </c>
      <c r="D10217" s="6">
        <v>9.15</v>
      </c>
      <c r="E10217" t="s">
        <v>27</v>
      </c>
    </row>
    <row r="10218" spans="1:5" x14ac:dyDescent="0.25">
      <c r="A10218" t="str">
        <f>HYPERLINK("https://www.773grp.com/globalSearch/SNJ54HC21J/page-1", "SNJ54HC21J")</f>
        <v>SNJ54HC21J</v>
      </c>
      <c r="B10218" s="3" t="s">
        <v>90</v>
      </c>
      <c r="C10218" s="5">
        <v>278</v>
      </c>
      <c r="D10218" s="6">
        <v>9.15</v>
      </c>
      <c r="E10218" t="s">
        <v>27</v>
      </c>
    </row>
    <row r="10219" spans="1:5" x14ac:dyDescent="0.25">
      <c r="A10219" t="str">
        <f>HYPERLINK("https://www.773grp.com/globalSearch/CD54HC4002F3A/page-1", "CD54HC4002F3A")</f>
        <v>CD54HC4002F3A</v>
      </c>
      <c r="B10219" s="3" t="s">
        <v>90</v>
      </c>
      <c r="C10219" s="5">
        <v>22</v>
      </c>
      <c r="D10219" s="6">
        <v>9.23</v>
      </c>
      <c r="E10219" t="s">
        <v>27</v>
      </c>
    </row>
    <row r="10220" spans="1:5" x14ac:dyDescent="0.25">
      <c r="A10220" t="str">
        <f>HYPERLINK("https://www.773grp.com/globalSearch/5962-8974701CA/page-1", "5962-8974701CA")</f>
        <v>5962-8974701CA</v>
      </c>
      <c r="B10220" s="3" t="s">
        <v>90</v>
      </c>
      <c r="C10220" s="5">
        <v>93</v>
      </c>
      <c r="D10220" s="6">
        <v>9.25</v>
      </c>
      <c r="E10220" t="s">
        <v>27</v>
      </c>
    </row>
    <row r="10221" spans="1:5" x14ac:dyDescent="0.25">
      <c r="A10221" t="str">
        <f>HYPERLINK("https://www.773grp.com/globalSearch/SN5432J/page-1", "SN5432J")</f>
        <v>SN5432J</v>
      </c>
      <c r="B10221" s="3" t="s">
        <v>90</v>
      </c>
      <c r="C10221" s="5">
        <v>291</v>
      </c>
      <c r="D10221" s="6">
        <v>9.2899999999999991</v>
      </c>
      <c r="E10221" t="s">
        <v>27</v>
      </c>
    </row>
    <row r="10222" spans="1:5" x14ac:dyDescent="0.25">
      <c r="A10222" t="str">
        <f>HYPERLINK("https://www.773grp.com/globalSearch/SN74H61N/page-1", "SN74H61N")</f>
        <v>SN74H61N</v>
      </c>
      <c r="B10222" s="3" t="s">
        <v>90</v>
      </c>
      <c r="C10222" s="5">
        <v>2866</v>
      </c>
      <c r="D10222" s="6">
        <v>9.36</v>
      </c>
      <c r="E10222" t="s">
        <v>27</v>
      </c>
    </row>
    <row r="10223" spans="1:5" x14ac:dyDescent="0.25">
      <c r="A10223" t="str">
        <f>HYPERLINK("https://www.773grp.com/globalSearch/SN54LS08J/page-1", "SN54LS08J")</f>
        <v>SN54LS08J</v>
      </c>
      <c r="B10223" s="3" t="s">
        <v>90</v>
      </c>
      <c r="C10223" s="5">
        <v>300</v>
      </c>
      <c r="D10223" s="6">
        <v>9.4</v>
      </c>
      <c r="E10223" t="s">
        <v>27</v>
      </c>
    </row>
    <row r="10224" spans="1:5" x14ac:dyDescent="0.25">
      <c r="A10224" t="str">
        <f>HYPERLINK("https://www.773grp.com/globalSearch/SNJ54ALS1005FK/page-1", "SNJ54ALS1005FK")</f>
        <v>SNJ54ALS1005FK</v>
      </c>
      <c r="B10224" s="3" t="s">
        <v>90</v>
      </c>
      <c r="C10224" s="5">
        <v>121</v>
      </c>
      <c r="D10224" s="6">
        <v>9.41</v>
      </c>
      <c r="E10224" t="s">
        <v>27</v>
      </c>
    </row>
    <row r="10225" spans="1:5" x14ac:dyDescent="0.25">
      <c r="A10225" t="str">
        <f>HYPERLINK("https://www.773grp.com/globalSearch/5962-8761401CA/page-1", "5962-8761401CA")</f>
        <v>5962-8761401CA</v>
      </c>
      <c r="B10225" s="3" t="s">
        <v>90</v>
      </c>
      <c r="C10225" s="5">
        <v>4</v>
      </c>
      <c r="D10225" s="6">
        <v>9.4499999999999993</v>
      </c>
      <c r="E10225" t="s">
        <v>27</v>
      </c>
    </row>
    <row r="10226" spans="1:5" x14ac:dyDescent="0.25">
      <c r="A10226" t="str">
        <f>HYPERLINK("https://www.773grp.com/globalSearch/CD54ACT00F3A/page-1", "CD54ACT00F3A")</f>
        <v>CD54ACT00F3A</v>
      </c>
      <c r="B10226" s="3" t="s">
        <v>90</v>
      </c>
      <c r="C10226" s="5">
        <v>103</v>
      </c>
      <c r="D10226" s="6">
        <v>9.4499999999999993</v>
      </c>
      <c r="E10226" t="s">
        <v>27</v>
      </c>
    </row>
    <row r="10227" spans="1:5" x14ac:dyDescent="0.25">
      <c r="A10227" t="str">
        <f>HYPERLINK("https://www.773grp.com/globalSearch/SN74S436N/page-1", "SN74S436N")</f>
        <v>SN74S436N</v>
      </c>
      <c r="B10227" s="3" t="s">
        <v>90</v>
      </c>
      <c r="C10227" s="5">
        <v>404</v>
      </c>
      <c r="D10227" s="6">
        <v>9.4499999999999993</v>
      </c>
      <c r="E10227" t="s">
        <v>27</v>
      </c>
    </row>
    <row r="10228" spans="1:5" x14ac:dyDescent="0.25">
      <c r="A10228" t="str">
        <f>HYPERLINK("https://www.773grp.com/globalSearch/5962-8762401CA/page-1", "5962-8762401CA")</f>
        <v>5962-8762401CA</v>
      </c>
      <c r="B10228" s="3" t="s">
        <v>90</v>
      </c>
      <c r="C10228" s="5">
        <v>16</v>
      </c>
      <c r="D10228" s="6">
        <v>9.56</v>
      </c>
      <c r="E10228" t="s">
        <v>27</v>
      </c>
    </row>
    <row r="10229" spans="1:5" x14ac:dyDescent="0.25">
      <c r="A10229" t="str">
        <f>HYPERLINK("https://www.773grp.com/globalSearch/SNJ54AC14J/page-1", "SNJ54AC14J")</f>
        <v>SNJ54AC14J</v>
      </c>
      <c r="B10229" s="3" t="s">
        <v>90</v>
      </c>
      <c r="C10229" s="5">
        <v>354</v>
      </c>
      <c r="D10229" s="6">
        <v>9.56</v>
      </c>
      <c r="E10229" t="s">
        <v>27</v>
      </c>
    </row>
    <row r="10230" spans="1:5" x14ac:dyDescent="0.25">
      <c r="A10230" t="str">
        <f>HYPERLINK("https://www.773grp.com/globalSearch/5962-8769901MCA/page-1", "5962-8769901MCA")</f>
        <v>5962-8769901MCA</v>
      </c>
      <c r="B10230" s="3" t="s">
        <v>90</v>
      </c>
      <c r="C10230" s="5">
        <v>484</v>
      </c>
      <c r="D10230" s="6">
        <v>9.68</v>
      </c>
      <c r="E10230" t="s">
        <v>27</v>
      </c>
    </row>
    <row r="10231" spans="1:5" x14ac:dyDescent="0.25">
      <c r="A10231" t="str">
        <f>HYPERLINK("https://www.773grp.com/globalSearch/SNJ54ACT00J/page-1", "SNJ54ACT00J")</f>
        <v>SNJ54ACT00J</v>
      </c>
      <c r="B10231" s="3" t="s">
        <v>90</v>
      </c>
      <c r="C10231" s="5">
        <v>325</v>
      </c>
      <c r="D10231" s="6">
        <v>9.68</v>
      </c>
      <c r="E10231" t="s">
        <v>27</v>
      </c>
    </row>
    <row r="10232" spans="1:5" x14ac:dyDescent="0.25">
      <c r="A10232" t="str">
        <f>HYPERLINK("https://www.773grp.com/globalSearch/SNJ54LS09J/page-1", "SNJ54LS09J")</f>
        <v>SNJ54LS09J</v>
      </c>
      <c r="B10232" s="3" t="s">
        <v>90</v>
      </c>
      <c r="C10232" s="5">
        <v>221</v>
      </c>
      <c r="D10232" s="6">
        <v>9.68</v>
      </c>
      <c r="E10232" t="s">
        <v>27</v>
      </c>
    </row>
    <row r="10233" spans="1:5" x14ac:dyDescent="0.25">
      <c r="A10233" t="str">
        <f>HYPERLINK("https://www.773grp.com/globalSearch/5962-8760901CA/page-1", "5962-8760901CA")</f>
        <v>5962-8760901CA</v>
      </c>
      <c r="B10233" s="3" t="s">
        <v>90</v>
      </c>
      <c r="C10233" s="5">
        <v>252</v>
      </c>
      <c r="D10233" s="6">
        <v>9.6999999999999993</v>
      </c>
      <c r="E10233" t="s">
        <v>27</v>
      </c>
    </row>
    <row r="10234" spans="1:5" x14ac:dyDescent="0.25">
      <c r="A10234" t="str">
        <f>HYPERLINK("https://www.773grp.com/globalSearch/5962-8761501CA/page-1", "5962-8761501CA")</f>
        <v>5962-8761501CA</v>
      </c>
      <c r="B10234" s="3" t="s">
        <v>90</v>
      </c>
      <c r="C10234" s="5">
        <v>73</v>
      </c>
      <c r="D10234" s="6">
        <v>9.6999999999999993</v>
      </c>
      <c r="E10234" t="s">
        <v>27</v>
      </c>
    </row>
    <row r="10235" spans="1:5" x14ac:dyDescent="0.25">
      <c r="A10235" t="str">
        <f>HYPERLINK("https://www.773grp.com/globalSearch/CD54ACT04F3A/page-1", "CD54ACT04F3A")</f>
        <v>CD54ACT04F3A</v>
      </c>
      <c r="B10235" s="3" t="s">
        <v>90</v>
      </c>
      <c r="C10235" s="5">
        <v>255</v>
      </c>
      <c r="D10235" s="6">
        <v>9.6999999999999993</v>
      </c>
      <c r="E10235" t="s">
        <v>27</v>
      </c>
    </row>
    <row r="10236" spans="1:5" x14ac:dyDescent="0.25">
      <c r="A10236" t="str">
        <f>HYPERLINK("https://www.773grp.com/globalSearch/SNJ54AC04J/page-1", "SNJ54AC04J")</f>
        <v>SNJ54AC04J</v>
      </c>
      <c r="B10236" s="3" t="s">
        <v>90</v>
      </c>
      <c r="C10236" s="5">
        <v>155</v>
      </c>
      <c r="D10236" s="6">
        <v>9.6999999999999993</v>
      </c>
      <c r="E10236" t="s">
        <v>27</v>
      </c>
    </row>
    <row r="10237" spans="1:5" x14ac:dyDescent="0.25">
      <c r="A10237" t="str">
        <f>HYPERLINK("https://www.773grp.com/globalSearch/SNJ54AC08J/page-1", "SNJ54AC08J")</f>
        <v>SNJ54AC08J</v>
      </c>
      <c r="B10237" s="3" t="s">
        <v>90</v>
      </c>
      <c r="C10237" s="5">
        <v>221</v>
      </c>
      <c r="D10237" s="6">
        <v>9.6999999999999993</v>
      </c>
      <c r="E10237" t="s">
        <v>27</v>
      </c>
    </row>
    <row r="10238" spans="1:5" x14ac:dyDescent="0.25">
      <c r="A10238" t="str">
        <f>HYPERLINK("https://www.773grp.com/globalSearch/5962-8973401CA/page-1", "5962-8973401CA")</f>
        <v>5962-8973401CA</v>
      </c>
      <c r="B10238" s="3" t="s">
        <v>90</v>
      </c>
      <c r="C10238" s="5">
        <v>113</v>
      </c>
      <c r="D10238" s="6">
        <v>9.7899999999999991</v>
      </c>
      <c r="E10238" t="s">
        <v>27</v>
      </c>
    </row>
    <row r="10239" spans="1:5" x14ac:dyDescent="0.25">
      <c r="A10239" t="str">
        <f>HYPERLINK("https://www.773grp.com/globalSearch/5962-8761101CA/page-1", "5962-8761101CA")</f>
        <v>5962-8761101CA</v>
      </c>
      <c r="B10239" s="3" t="s">
        <v>90</v>
      </c>
      <c r="C10239" s="5">
        <v>667</v>
      </c>
      <c r="D10239" s="6">
        <v>9.83</v>
      </c>
      <c r="E10239" t="s">
        <v>27</v>
      </c>
    </row>
    <row r="10240" spans="1:5" x14ac:dyDescent="0.25">
      <c r="A10240" t="str">
        <f>HYPERLINK("https://www.773grp.com/globalSearch/SN74ALS33AD/page-1", "SN74ALS33AD")</f>
        <v>SN74ALS33AD</v>
      </c>
      <c r="B10240" s="3" t="s">
        <v>90</v>
      </c>
      <c r="C10240" s="5">
        <v>5583</v>
      </c>
      <c r="D10240" s="6">
        <v>9.84</v>
      </c>
      <c r="E10240" t="s">
        <v>27</v>
      </c>
    </row>
    <row r="10241" spans="1:5" x14ac:dyDescent="0.25">
      <c r="A10241" t="str">
        <f>HYPERLINK("https://www.773grp.com/globalSearch/SN74ALS33ADE4/page-1", "SN74ALS33ADE4")</f>
        <v>SN74ALS33ADE4</v>
      </c>
      <c r="B10241" s="3" t="s">
        <v>90</v>
      </c>
      <c r="C10241" s="5">
        <v>140</v>
      </c>
      <c r="D10241" s="6">
        <v>9.84</v>
      </c>
      <c r="E10241" t="s">
        <v>27</v>
      </c>
    </row>
    <row r="10242" spans="1:5" x14ac:dyDescent="0.25">
      <c r="A10242" t="str">
        <f>HYPERLINK("https://www.773grp.com/globalSearch/SNJ5403W/page-1", "SNJ5403W")</f>
        <v>SNJ5403W</v>
      </c>
      <c r="B10242" s="3" t="s">
        <v>90</v>
      </c>
      <c r="C10242" s="5">
        <v>125</v>
      </c>
      <c r="D10242" s="6">
        <v>9.9</v>
      </c>
      <c r="E10242" t="s">
        <v>27</v>
      </c>
    </row>
    <row r="10243" spans="1:5" x14ac:dyDescent="0.25">
      <c r="A10243" t="str">
        <f>HYPERLINK("https://www.773grp.com/globalSearch/5962-8870801CA/page-1", "5962-8870801CA")</f>
        <v>5962-8870801CA</v>
      </c>
      <c r="B10243" s="3" t="s">
        <v>90</v>
      </c>
      <c r="C10243" s="5">
        <v>213</v>
      </c>
      <c r="D10243" s="6">
        <v>9.93</v>
      </c>
      <c r="E10243" t="s">
        <v>27</v>
      </c>
    </row>
    <row r="10244" spans="1:5" x14ac:dyDescent="0.25">
      <c r="A10244" t="str">
        <f>HYPERLINK("https://www.773grp.com/globalSearch/SNJ54F30J/page-1", "SNJ54F30J")</f>
        <v>SNJ54F30J</v>
      </c>
      <c r="B10244" s="3" t="s">
        <v>90</v>
      </c>
      <c r="C10244" s="5">
        <v>98</v>
      </c>
      <c r="D10244" s="6">
        <v>9.93</v>
      </c>
      <c r="E10244" t="s">
        <v>27</v>
      </c>
    </row>
    <row r="10245" spans="1:5" x14ac:dyDescent="0.25">
      <c r="A10245" t="str">
        <f>HYPERLINK("https://www.773grp.com/globalSearch/5962-8761001CA/page-1", "5962-8761001CA")</f>
        <v>5962-8761001CA</v>
      </c>
      <c r="B10245" s="3" t="s">
        <v>90</v>
      </c>
      <c r="C10245" s="5">
        <v>94</v>
      </c>
      <c r="D10245" s="6">
        <v>9.99</v>
      </c>
      <c r="E10245" t="s">
        <v>27</v>
      </c>
    </row>
    <row r="10246" spans="1:5" x14ac:dyDescent="0.25">
      <c r="A10246" t="str">
        <f>HYPERLINK("https://www.773grp.com/globalSearch/SN74ALS804AN/page-1", "SN74ALS804AN")</f>
        <v>SN74ALS804AN</v>
      </c>
      <c r="B10246" s="3" t="s">
        <v>90</v>
      </c>
      <c r="C10246" s="5">
        <v>14063</v>
      </c>
      <c r="D10246" s="6">
        <v>10.039999999999999</v>
      </c>
      <c r="E10246" t="s">
        <v>27</v>
      </c>
    </row>
    <row r="10247" spans="1:5" x14ac:dyDescent="0.25">
      <c r="A10247" t="str">
        <f>HYPERLINK("https://www.773grp.com/globalSearch/SN74ALS804ANE4/page-1", "SN74ALS804ANE4")</f>
        <v>SN74ALS804ANE4</v>
      </c>
      <c r="B10247" s="3" t="s">
        <v>90</v>
      </c>
      <c r="C10247" s="5">
        <v>120</v>
      </c>
      <c r="D10247" s="6">
        <v>10.039999999999999</v>
      </c>
      <c r="E10247" t="s">
        <v>27</v>
      </c>
    </row>
    <row r="10248" spans="1:5" x14ac:dyDescent="0.25">
      <c r="A10248" t="str">
        <f>HYPERLINK("https://www.773grp.com/globalSearch/JM38510-30502BCA/page-1", "JM38510-30502BCA")</f>
        <v>JM38510-30502BCA</v>
      </c>
      <c r="B10248" s="3" t="s">
        <v>90</v>
      </c>
      <c r="C10248" s="5">
        <v>313</v>
      </c>
      <c r="D10248" s="6">
        <v>10.16</v>
      </c>
      <c r="E10248" t="s">
        <v>27</v>
      </c>
    </row>
    <row r="10249" spans="1:5" x14ac:dyDescent="0.25">
      <c r="A10249" t="str">
        <f>HYPERLINK("https://www.773grp.com/globalSearch/SN74HC804DW/page-1", "SN74HC804DW")</f>
        <v>SN74HC804DW</v>
      </c>
      <c r="B10249" s="3" t="s">
        <v>90</v>
      </c>
      <c r="C10249" s="5">
        <v>372</v>
      </c>
      <c r="D10249" s="6">
        <v>10.18</v>
      </c>
      <c r="E10249" t="s">
        <v>27</v>
      </c>
    </row>
    <row r="10250" spans="1:5" x14ac:dyDescent="0.25">
      <c r="A10250" t="str">
        <f>HYPERLINK("https://www.773grp.com/globalSearch/SN74HC804DWR/page-1", "SN74HC804DWR")</f>
        <v>SN74HC804DWR</v>
      </c>
      <c r="B10250" s="3" t="s">
        <v>90</v>
      </c>
      <c r="C10250" s="5">
        <v>3000</v>
      </c>
      <c r="D10250" s="6">
        <v>10.18</v>
      </c>
      <c r="E10250" t="s">
        <v>27</v>
      </c>
    </row>
    <row r="10251" spans="1:5" x14ac:dyDescent="0.25">
      <c r="A10251" t="str">
        <f>HYPERLINK("https://www.773grp.com/globalSearch/5962-8951001CA/page-1", "5962-8951001CA")</f>
        <v>5962-8951001CA</v>
      </c>
      <c r="B10251" s="3" t="s">
        <v>90</v>
      </c>
      <c r="C10251" s="5">
        <v>412</v>
      </c>
      <c r="D10251" s="6">
        <v>10.26</v>
      </c>
      <c r="E10251" t="s">
        <v>27</v>
      </c>
    </row>
    <row r="10252" spans="1:5" x14ac:dyDescent="0.25">
      <c r="A10252" t="str">
        <f>HYPERLINK("https://www.773grp.com/globalSearch/SN5400J/page-1", "SN5400J")</f>
        <v>SN5400J</v>
      </c>
      <c r="B10252" s="3" t="s">
        <v>90</v>
      </c>
      <c r="C10252" s="5">
        <v>1126</v>
      </c>
      <c r="D10252" s="6">
        <v>10.26</v>
      </c>
      <c r="E10252" t="s">
        <v>27</v>
      </c>
    </row>
    <row r="10253" spans="1:5" x14ac:dyDescent="0.25">
      <c r="A10253" t="str">
        <f>HYPERLINK("https://www.773grp.com/globalSearch/CD4082BF3A/page-1", "CD4082BF3A")</f>
        <v>CD4082BF3A</v>
      </c>
      <c r="B10253" s="3" t="s">
        <v>90</v>
      </c>
      <c r="C10253" s="5">
        <v>164</v>
      </c>
      <c r="D10253" s="6">
        <v>10.35</v>
      </c>
      <c r="E10253" t="s">
        <v>27</v>
      </c>
    </row>
    <row r="10254" spans="1:5" x14ac:dyDescent="0.25">
      <c r="A10254" t="str">
        <f>HYPERLINK("https://www.773grp.com/globalSearch/5962-8984502CA/page-1", "5962-8984502CA")</f>
        <v>5962-8984502CA</v>
      </c>
      <c r="B10254" s="3" t="s">
        <v>90</v>
      </c>
      <c r="C10254" s="5">
        <v>218</v>
      </c>
      <c r="D10254" s="6">
        <v>10.38</v>
      </c>
      <c r="E10254" t="s">
        <v>27</v>
      </c>
    </row>
    <row r="10255" spans="1:5" x14ac:dyDescent="0.25">
      <c r="A10255" t="str">
        <f>HYPERLINK("https://www.773grp.com/globalSearch/SN54LS32J/page-1", "SN54LS32J")</f>
        <v>SN54LS32J</v>
      </c>
      <c r="B10255" s="3" t="s">
        <v>90</v>
      </c>
      <c r="C10255" s="5">
        <v>76</v>
      </c>
      <c r="D10255" s="6">
        <v>10.38</v>
      </c>
      <c r="E10255" t="s">
        <v>27</v>
      </c>
    </row>
    <row r="10256" spans="1:5" x14ac:dyDescent="0.25">
      <c r="A10256" t="str">
        <f>HYPERLINK("https://www.773grp.com/globalSearch/SNJ54HC132J/page-1", "SNJ54HC132J")</f>
        <v>SNJ54HC132J</v>
      </c>
      <c r="B10256" s="3" t="s">
        <v>90</v>
      </c>
      <c r="C10256" s="5">
        <v>266</v>
      </c>
      <c r="D10256" s="6">
        <v>10.38</v>
      </c>
      <c r="E10256" t="s">
        <v>27</v>
      </c>
    </row>
    <row r="10257" spans="1:5" x14ac:dyDescent="0.25">
      <c r="A10257" t="str">
        <f>HYPERLINK("https://www.773grp.com/globalSearch/CDC204DWR/page-1", "CDC204DWR")</f>
        <v>CDC204DWR</v>
      </c>
      <c r="B10257" s="3" t="s">
        <v>90</v>
      </c>
      <c r="C10257" s="5">
        <v>14000</v>
      </c>
      <c r="D10257" s="6">
        <v>10.41</v>
      </c>
      <c r="E10257" t="s">
        <v>27</v>
      </c>
    </row>
    <row r="10258" spans="1:5" x14ac:dyDescent="0.25">
      <c r="A10258" t="str">
        <f>HYPERLINK("https://www.773grp.com/globalSearch/SNJ54S135J/page-1", "SNJ54S135J")</f>
        <v>SNJ54S135J</v>
      </c>
      <c r="B10258" s="3" t="s">
        <v>90</v>
      </c>
      <c r="C10258" s="5">
        <v>120</v>
      </c>
      <c r="D10258" s="6">
        <v>10.41</v>
      </c>
      <c r="E10258" t="s">
        <v>27</v>
      </c>
    </row>
    <row r="10259" spans="1:5" x14ac:dyDescent="0.25">
      <c r="A10259" t="str">
        <f>HYPERLINK("https://www.773grp.com/globalSearch/SN54LS04J/page-1", "SN54LS04J")</f>
        <v>SN54LS04J</v>
      </c>
      <c r="B10259" s="3" t="s">
        <v>90</v>
      </c>
      <c r="C10259" s="5">
        <v>854</v>
      </c>
      <c r="D10259" s="6">
        <v>10.51</v>
      </c>
      <c r="E10259" t="s">
        <v>27</v>
      </c>
    </row>
    <row r="10260" spans="1:5" x14ac:dyDescent="0.25">
      <c r="A10260" t="str">
        <f>HYPERLINK("https://www.773grp.com/globalSearch/CD54HC132F3A/page-1", "CD54HC132F3A")</f>
        <v>CD54HC132F3A</v>
      </c>
      <c r="B10260" s="3" t="s">
        <v>90</v>
      </c>
      <c r="C10260" s="5">
        <v>229</v>
      </c>
      <c r="D10260" s="6">
        <v>10.55</v>
      </c>
      <c r="E10260" t="s">
        <v>27</v>
      </c>
    </row>
    <row r="10261" spans="1:5" x14ac:dyDescent="0.25">
      <c r="A10261" t="str">
        <f>HYPERLINK("https://www.773grp.com/globalSearch/SN54ALS86J/page-1", "SN54ALS86J")</f>
        <v>SN54ALS86J</v>
      </c>
      <c r="B10261" s="3" t="s">
        <v>90</v>
      </c>
      <c r="C10261" s="5">
        <v>100</v>
      </c>
      <c r="D10261" s="6">
        <v>10.55</v>
      </c>
      <c r="E10261" t="s">
        <v>27</v>
      </c>
    </row>
    <row r="10262" spans="1:5" x14ac:dyDescent="0.25">
      <c r="A10262" t="str">
        <f>HYPERLINK("https://www.773grp.com/globalSearch/SN74ALS832ADW/page-1", "SN74ALS832ADW")</f>
        <v>SN74ALS832ADW</v>
      </c>
      <c r="B10262" s="3" t="s">
        <v>90</v>
      </c>
      <c r="C10262" s="5">
        <v>7931</v>
      </c>
      <c r="D10262" s="6">
        <v>10.66</v>
      </c>
      <c r="E10262" t="s">
        <v>27</v>
      </c>
    </row>
    <row r="10263" spans="1:5" x14ac:dyDescent="0.25">
      <c r="A10263" t="str">
        <f>HYPERLINK("https://www.773grp.com/globalSearch/5962-9218201MCA/page-1", "5962-9218201MCA")</f>
        <v>5962-9218201MCA</v>
      </c>
      <c r="B10263" s="3" t="s">
        <v>90</v>
      </c>
      <c r="C10263" s="5">
        <v>46</v>
      </c>
      <c r="D10263" s="6">
        <v>10.8</v>
      </c>
      <c r="E10263" t="s">
        <v>27</v>
      </c>
    </row>
    <row r="10264" spans="1:5" x14ac:dyDescent="0.25">
      <c r="A10264" t="str">
        <f>HYPERLINK("https://www.773grp.com/globalSearch/5962-9665801QCA/page-1", "5962-9665801QCA")</f>
        <v>5962-9665801QCA</v>
      </c>
      <c r="B10264" s="3" t="s">
        <v>90</v>
      </c>
      <c r="C10264" s="5">
        <v>100</v>
      </c>
      <c r="D10264" s="6">
        <v>10.84</v>
      </c>
      <c r="E10264" t="s">
        <v>27</v>
      </c>
    </row>
    <row r="10265" spans="1:5" x14ac:dyDescent="0.25">
      <c r="A10265" t="str">
        <f>HYPERLINK("https://www.773grp.com/globalSearch/SN54LS09J/page-1", "SN54LS09J")</f>
        <v>SN54LS09J</v>
      </c>
      <c r="B10265" s="3" t="s">
        <v>90</v>
      </c>
      <c r="C10265" s="5">
        <v>816</v>
      </c>
      <c r="D10265" s="6">
        <v>10.84</v>
      </c>
      <c r="E10265" t="s">
        <v>27</v>
      </c>
    </row>
    <row r="10266" spans="1:5" x14ac:dyDescent="0.25">
      <c r="A10266" t="str">
        <f>HYPERLINK("https://www.773grp.com/globalSearch/SNJ54ALS1005J/page-1", "SNJ54ALS1005J")</f>
        <v>SNJ54ALS1005J</v>
      </c>
      <c r="B10266" s="3" t="s">
        <v>90</v>
      </c>
      <c r="C10266" s="5">
        <v>276</v>
      </c>
      <c r="D10266" s="6">
        <v>10.84</v>
      </c>
      <c r="E10266" t="s">
        <v>27</v>
      </c>
    </row>
    <row r="10267" spans="1:5" x14ac:dyDescent="0.25">
      <c r="A10267" t="str">
        <f>HYPERLINK("https://www.773grp.com/globalSearch/SNJ54LS14J/page-1", "SNJ54LS14J")</f>
        <v>SNJ54LS14J</v>
      </c>
      <c r="B10267" s="3" t="s">
        <v>90</v>
      </c>
      <c r="C10267" s="5">
        <v>9</v>
      </c>
      <c r="D10267" s="6">
        <v>10.84</v>
      </c>
      <c r="E10267" t="s">
        <v>27</v>
      </c>
    </row>
    <row r="10268" spans="1:5" x14ac:dyDescent="0.25">
      <c r="A10268" t="str">
        <f>HYPERLINK("https://www.773grp.com/globalSearch/SN74ALS33AN/page-1", "SN74ALS33AN")</f>
        <v>SN74ALS33AN</v>
      </c>
      <c r="B10268" s="3" t="s">
        <v>90</v>
      </c>
      <c r="C10268" s="5">
        <v>5630</v>
      </c>
      <c r="D10268" s="6">
        <v>10.85</v>
      </c>
      <c r="E10268" t="s">
        <v>27</v>
      </c>
    </row>
    <row r="10269" spans="1:5" x14ac:dyDescent="0.25">
      <c r="A10269" t="str">
        <f>HYPERLINK("https://www.773grp.com/globalSearch/SN74ALS804ADW/page-1", "SN74ALS804ADW")</f>
        <v>SN74ALS804ADW</v>
      </c>
      <c r="B10269" s="3" t="s">
        <v>90</v>
      </c>
      <c r="C10269" s="5">
        <v>11038</v>
      </c>
      <c r="D10269" s="6">
        <v>11.05</v>
      </c>
      <c r="E10269" t="s">
        <v>27</v>
      </c>
    </row>
    <row r="10270" spans="1:5" x14ac:dyDescent="0.25">
      <c r="A10270" t="str">
        <f>HYPERLINK("https://www.773grp.com/globalSearch/SN74H11N/page-1", "SN74H11N")</f>
        <v>SN74H11N</v>
      </c>
      <c r="B10270" s="3" t="s">
        <v>90</v>
      </c>
      <c r="C10270" s="5">
        <v>418</v>
      </c>
      <c r="D10270" s="6">
        <v>11.25</v>
      </c>
      <c r="E10270" t="s">
        <v>27</v>
      </c>
    </row>
    <row r="10271" spans="1:5" x14ac:dyDescent="0.25">
      <c r="A10271" t="str">
        <f>HYPERLINK("https://www.773grp.com/globalSearch/SN74H20N/page-1", "SN74H20N")</f>
        <v>SN74H20N</v>
      </c>
      <c r="B10271" s="3" t="s">
        <v>90</v>
      </c>
      <c r="C10271" s="5">
        <v>856</v>
      </c>
      <c r="D10271" s="6">
        <v>11.25</v>
      </c>
      <c r="E10271" t="s">
        <v>27</v>
      </c>
    </row>
    <row r="10272" spans="1:5" x14ac:dyDescent="0.25">
      <c r="A10272" t="str">
        <f>HYPERLINK("https://www.773grp.com/globalSearch/SN74H21N/page-1", "SN74H21N")</f>
        <v>SN74H21N</v>
      </c>
      <c r="B10272" s="3" t="s">
        <v>90</v>
      </c>
      <c r="C10272" s="5">
        <v>74</v>
      </c>
      <c r="D10272" s="6">
        <v>11.25</v>
      </c>
      <c r="E10272" t="s">
        <v>27</v>
      </c>
    </row>
    <row r="10273" spans="1:5" x14ac:dyDescent="0.25">
      <c r="A10273" t="str">
        <f>HYPERLINK("https://www.773grp.com/globalSearch/SN74H22N/page-1", "SN74H22N")</f>
        <v>SN74H22N</v>
      </c>
      <c r="B10273" s="3" t="s">
        <v>90</v>
      </c>
      <c r="C10273" s="5">
        <v>1340</v>
      </c>
      <c r="D10273" s="6">
        <v>11.25</v>
      </c>
      <c r="E10273" t="s">
        <v>27</v>
      </c>
    </row>
    <row r="10274" spans="1:5" x14ac:dyDescent="0.25">
      <c r="A10274" t="str">
        <f>HYPERLINK("https://www.773grp.com/globalSearch/SN74H51N/page-1", "SN74H51N")</f>
        <v>SN74H51N</v>
      </c>
      <c r="B10274" s="3" t="s">
        <v>90</v>
      </c>
      <c r="C10274" s="5">
        <v>5431</v>
      </c>
      <c r="D10274" s="6">
        <v>11.25</v>
      </c>
      <c r="E10274" t="s">
        <v>27</v>
      </c>
    </row>
    <row r="10275" spans="1:5" x14ac:dyDescent="0.25">
      <c r="A10275" t="str">
        <f>HYPERLINK("https://www.773grp.com/globalSearch/SN74H53N/page-1", "SN74H53N")</f>
        <v>SN74H53N</v>
      </c>
      <c r="B10275" s="3" t="s">
        <v>90</v>
      </c>
      <c r="C10275" s="5">
        <v>220</v>
      </c>
      <c r="D10275" s="6">
        <v>11.25</v>
      </c>
      <c r="E10275" t="s">
        <v>27</v>
      </c>
    </row>
    <row r="10276" spans="1:5" x14ac:dyDescent="0.25">
      <c r="A10276" t="str">
        <f>HYPERLINK("https://www.773grp.com/globalSearch/SN74H54N/page-1", "SN74H54N")</f>
        <v>SN74H54N</v>
      </c>
      <c r="B10276" s="3" t="s">
        <v>90</v>
      </c>
      <c r="C10276" s="5">
        <v>6995</v>
      </c>
      <c r="D10276" s="6">
        <v>11.25</v>
      </c>
      <c r="E10276" t="s">
        <v>27</v>
      </c>
    </row>
    <row r="10277" spans="1:5" x14ac:dyDescent="0.25">
      <c r="A10277" t="str">
        <f>HYPERLINK("https://www.773grp.com/globalSearch/SN74H55N/page-1", "SN74H55N")</f>
        <v>SN74H55N</v>
      </c>
      <c r="B10277" s="3" t="s">
        <v>90</v>
      </c>
      <c r="C10277" s="5">
        <v>1194</v>
      </c>
      <c r="D10277" s="6">
        <v>11.25</v>
      </c>
      <c r="E10277" t="s">
        <v>27</v>
      </c>
    </row>
    <row r="10278" spans="1:5" x14ac:dyDescent="0.25">
      <c r="A10278" t="str">
        <f>HYPERLINK("https://www.773grp.com/globalSearch/SN74H60N/page-1", "SN74H60N")</f>
        <v>SN74H60N</v>
      </c>
      <c r="B10278" s="3" t="s">
        <v>90</v>
      </c>
      <c r="C10278" s="5">
        <v>2880</v>
      </c>
      <c r="D10278" s="6">
        <v>11.25</v>
      </c>
      <c r="E10278" t="s">
        <v>27</v>
      </c>
    </row>
    <row r="10279" spans="1:5" x14ac:dyDescent="0.25">
      <c r="A10279" t="str">
        <f>HYPERLINK("https://www.773grp.com/globalSearch/SN54L51J/page-1", "SN54L51J")</f>
        <v>SN54L51J</v>
      </c>
      <c r="B10279" s="3" t="s">
        <v>90</v>
      </c>
      <c r="C10279" s="5">
        <v>4</v>
      </c>
      <c r="D10279" s="6">
        <v>11.39</v>
      </c>
      <c r="E10279" t="s">
        <v>27</v>
      </c>
    </row>
    <row r="10280" spans="1:5" x14ac:dyDescent="0.25">
      <c r="A10280" t="str">
        <f>HYPERLINK("https://www.773grp.com/globalSearch/SN54S32W/page-1", "SN54S32W")</f>
        <v>SN54S32W</v>
      </c>
      <c r="B10280" s="3" t="s">
        <v>90</v>
      </c>
      <c r="C10280" s="5">
        <v>250</v>
      </c>
      <c r="D10280" s="6">
        <v>11.48</v>
      </c>
      <c r="E10280" t="s">
        <v>27</v>
      </c>
    </row>
    <row r="10281" spans="1:5" x14ac:dyDescent="0.25">
      <c r="A10281" t="str">
        <f>HYPERLINK("https://www.773grp.com/globalSearch/SNJ54AS11J/page-1", "SNJ54AS11J")</f>
        <v>SNJ54AS11J</v>
      </c>
      <c r="B10281" s="3" t="s">
        <v>90</v>
      </c>
      <c r="C10281" s="5">
        <v>79</v>
      </c>
      <c r="D10281" s="6">
        <v>11.48</v>
      </c>
      <c r="E10281" t="s">
        <v>27</v>
      </c>
    </row>
    <row r="10282" spans="1:5" x14ac:dyDescent="0.25">
      <c r="A10282" t="str">
        <f>HYPERLINK("https://www.773grp.com/globalSearch/5962-9680101QCA/page-1", "5962-9680101QCA")</f>
        <v>5962-9680101QCA</v>
      </c>
      <c r="B10282" s="3" t="s">
        <v>90</v>
      </c>
      <c r="C10282" s="5">
        <v>1309</v>
      </c>
      <c r="D10282" s="6">
        <v>11.61</v>
      </c>
      <c r="E10282" t="s">
        <v>27</v>
      </c>
    </row>
    <row r="10283" spans="1:5" x14ac:dyDescent="0.25">
      <c r="A10283" t="str">
        <f>HYPERLINK("https://www.773grp.com/globalSearch/SNJ54AHCT14J/page-1", "SNJ54AHCT14J")</f>
        <v>SNJ54AHCT14J</v>
      </c>
      <c r="B10283" s="3" t="s">
        <v>90</v>
      </c>
      <c r="C10283" s="5">
        <v>442</v>
      </c>
      <c r="D10283" s="6">
        <v>11.61</v>
      </c>
      <c r="E10283" t="s">
        <v>27</v>
      </c>
    </row>
    <row r="10284" spans="1:5" x14ac:dyDescent="0.25">
      <c r="A10284" t="str">
        <f>HYPERLINK("https://www.773grp.com/globalSearch/CD4001BF/page-1", "CD4001BF")</f>
        <v>CD4001BF</v>
      </c>
      <c r="B10284" s="3" t="s">
        <v>90</v>
      </c>
      <c r="C10284" s="5">
        <v>3956</v>
      </c>
      <c r="D10284" s="6">
        <v>11.65</v>
      </c>
      <c r="E10284" t="s">
        <v>27</v>
      </c>
    </row>
    <row r="10285" spans="1:5" x14ac:dyDescent="0.25">
      <c r="A10285" t="str">
        <f>HYPERLINK("https://www.773grp.com/globalSearch/SN74ALS832AN/page-1", "SN74ALS832AN")</f>
        <v>SN74ALS832AN</v>
      </c>
      <c r="B10285" s="3" t="s">
        <v>90</v>
      </c>
      <c r="C10285" s="5">
        <v>11807</v>
      </c>
      <c r="D10285" s="6">
        <v>11.65</v>
      </c>
      <c r="E10285" t="s">
        <v>27</v>
      </c>
    </row>
    <row r="10286" spans="1:5" x14ac:dyDescent="0.25">
      <c r="A10286" t="str">
        <f>HYPERLINK("https://www.773grp.com/globalSearch/CD4070BF/page-1", "CD4070BF")</f>
        <v>CD4070BF</v>
      </c>
      <c r="B10286" s="3" t="s">
        <v>90</v>
      </c>
      <c r="C10286" s="5">
        <v>488</v>
      </c>
      <c r="D10286" s="6">
        <v>11.76</v>
      </c>
      <c r="E10286" t="s">
        <v>27</v>
      </c>
    </row>
    <row r="10287" spans="1:5" x14ac:dyDescent="0.25">
      <c r="A10287" t="str">
        <f>HYPERLINK("https://www.773grp.com/globalSearch/JM38510-30009BCA/page-1", "JM38510-30009BCA")</f>
        <v>JM38510-30009BCA</v>
      </c>
      <c r="B10287" s="3" t="s">
        <v>90</v>
      </c>
      <c r="C10287" s="5">
        <v>206</v>
      </c>
      <c r="D10287" s="6">
        <v>11.76</v>
      </c>
      <c r="E10287" t="s">
        <v>27</v>
      </c>
    </row>
    <row r="10288" spans="1:5" x14ac:dyDescent="0.25">
      <c r="A10288" t="str">
        <f>HYPERLINK("https://www.773grp.com/globalSearch/SN54LS86AJ/page-1", "SN54LS86AJ")</f>
        <v>SN54LS86AJ</v>
      </c>
      <c r="B10288" s="3" t="s">
        <v>90</v>
      </c>
      <c r="C10288" s="5">
        <v>1632</v>
      </c>
      <c r="D10288" s="6">
        <v>11.76</v>
      </c>
      <c r="E10288" t="s">
        <v>27</v>
      </c>
    </row>
    <row r="10289" spans="1:5" x14ac:dyDescent="0.25">
      <c r="A10289" t="str">
        <f>HYPERLINK("https://www.773grp.com/globalSearch/SN54AS08J/page-1", "SN54AS08J")</f>
        <v>SN54AS08J</v>
      </c>
      <c r="B10289" s="3" t="s">
        <v>90</v>
      </c>
      <c r="C10289" s="5">
        <v>9</v>
      </c>
      <c r="D10289" s="6">
        <v>11.99</v>
      </c>
      <c r="E10289" t="s">
        <v>27</v>
      </c>
    </row>
    <row r="10290" spans="1:5" x14ac:dyDescent="0.25">
      <c r="A10290" t="str">
        <f>HYPERLINK("https://www.773grp.com/globalSearch/SN74AS805BDW/page-1", "SN74AS805BDW")</f>
        <v>SN74AS805BDW</v>
      </c>
      <c r="B10290" s="3" t="s">
        <v>90</v>
      </c>
      <c r="C10290" s="5">
        <v>4377</v>
      </c>
      <c r="D10290" s="6">
        <v>11.99</v>
      </c>
      <c r="E10290" t="s">
        <v>27</v>
      </c>
    </row>
    <row r="10291" spans="1:5" x14ac:dyDescent="0.25">
      <c r="A10291" t="str">
        <f>HYPERLINK("https://www.773grp.com/globalSearch/SN54S10J/page-1", "SN54S10J")</f>
        <v>SN54S10J</v>
      </c>
      <c r="B10291" s="3" t="s">
        <v>90</v>
      </c>
      <c r="C10291" s="5">
        <v>619</v>
      </c>
      <c r="D10291" s="6">
        <v>12.01</v>
      </c>
      <c r="E10291" t="s">
        <v>27</v>
      </c>
    </row>
    <row r="10292" spans="1:5" x14ac:dyDescent="0.25">
      <c r="A10292" t="str">
        <f>HYPERLINK("https://www.773grp.com/globalSearch/CDC203DWR/page-1", "CDC203DWR")</f>
        <v>CDC203DWR</v>
      </c>
      <c r="B10292" s="3" t="s">
        <v>90</v>
      </c>
      <c r="C10292" s="5">
        <v>18000</v>
      </c>
      <c r="D10292" s="6">
        <v>12.1</v>
      </c>
      <c r="E10292" t="s">
        <v>27</v>
      </c>
    </row>
    <row r="10293" spans="1:5" x14ac:dyDescent="0.25">
      <c r="A10293" t="str">
        <f>HYPERLINK("https://www.773grp.com/globalSearch/SN54AS32J/page-1", "SN54AS32J")</f>
        <v>SN54AS32J</v>
      </c>
      <c r="B10293" s="3" t="s">
        <v>90</v>
      </c>
      <c r="C10293" s="5">
        <v>157</v>
      </c>
      <c r="D10293" s="6">
        <v>12.1</v>
      </c>
      <c r="E10293" t="s">
        <v>27</v>
      </c>
    </row>
    <row r="10294" spans="1:5" x14ac:dyDescent="0.25">
      <c r="A10294" t="str">
        <f>HYPERLINK("https://www.773grp.com/globalSearch/SN54S04J/page-1", "SN54S04J")</f>
        <v>SN54S04J</v>
      </c>
      <c r="B10294" s="3" t="s">
        <v>90</v>
      </c>
      <c r="C10294" s="5">
        <v>5</v>
      </c>
      <c r="D10294" s="6">
        <v>12.1</v>
      </c>
      <c r="E10294" t="s">
        <v>27</v>
      </c>
    </row>
    <row r="10295" spans="1:5" x14ac:dyDescent="0.25">
      <c r="A10295" t="str">
        <f>HYPERLINK("https://www.773grp.com/globalSearch/SN54S32J/page-1", "SN54S32J")</f>
        <v>SN54S32J</v>
      </c>
      <c r="B10295" s="3" t="str">
        <f>HYPERLINK("https://www.773grp.com/manufacturer/texas-instruments?pageNo=2", "Texas Instruments")</f>
        <v>Texas Instruments</v>
      </c>
      <c r="C10295" s="5">
        <v>500</v>
      </c>
      <c r="D10295" s="6">
        <v>12.11</v>
      </c>
      <c r="E10295" t="s">
        <v>27</v>
      </c>
    </row>
    <row r="10296" spans="1:5" x14ac:dyDescent="0.25">
      <c r="A10296" t="str">
        <f>HYPERLINK("https://www.773grp.com/globalSearch/CD4086BF3A/page-1", "CD4086BF3A")</f>
        <v>CD4086BF3A</v>
      </c>
      <c r="B10296" s="3" t="str">
        <f>HYPERLINK("https://www.773grp.com/manufacturer/texas-instruments?pageNo=17", "Texas Instruments")</f>
        <v>Texas Instruments</v>
      </c>
      <c r="C10296" s="5">
        <v>2</v>
      </c>
      <c r="D10296" s="6">
        <v>12.15</v>
      </c>
      <c r="E10296" t="s">
        <v>27</v>
      </c>
    </row>
    <row r="10297" spans="1:5" x14ac:dyDescent="0.25">
      <c r="A10297" t="str">
        <f>HYPERLINK("https://www.773grp.com/globalSearch/SN54S00J/page-1", "SN54S00J")</f>
        <v>SN54S00J</v>
      </c>
      <c r="B10297" s="3" t="str">
        <f>HYPERLINK("https://www.773grp.com/manufacturer/texas-instruments?pageNo=20", "Texas Instruments")</f>
        <v>Texas Instruments</v>
      </c>
      <c r="C10297" s="5">
        <v>1445</v>
      </c>
      <c r="D10297" s="6">
        <v>12.15</v>
      </c>
      <c r="E10297" t="s">
        <v>27</v>
      </c>
    </row>
    <row r="10298" spans="1:5" x14ac:dyDescent="0.25">
      <c r="A10298" t="str">
        <f>HYPERLINK("https://www.773grp.com/globalSearch/SN54S05J/page-1", "SN54S05J")</f>
        <v>SN54S05J</v>
      </c>
      <c r="B10298" s="3" t="str">
        <f>HYPERLINK("https://www.773grp.com/manufacturer/texas-instruments?pageNo=21", "Texas Instruments")</f>
        <v>Texas Instruments</v>
      </c>
      <c r="C10298" s="5">
        <v>231</v>
      </c>
      <c r="D10298" s="6">
        <v>12.15</v>
      </c>
      <c r="E10298" t="s">
        <v>27</v>
      </c>
    </row>
    <row r="10299" spans="1:5" x14ac:dyDescent="0.25">
      <c r="A10299" t="str">
        <f>HYPERLINK("https://www.773grp.com/globalSearch/SN54S08J/page-1", "SN54S08J")</f>
        <v>SN54S08J</v>
      </c>
      <c r="B10299" s="3" t="str">
        <f>HYPERLINK("https://www.773grp.com/manufacturer/texas-instruments?pageNo=22", "Texas Instruments")</f>
        <v>Texas Instruments</v>
      </c>
      <c r="C10299" s="5">
        <v>261</v>
      </c>
      <c r="D10299" s="6">
        <v>12.15</v>
      </c>
      <c r="E10299" t="s">
        <v>27</v>
      </c>
    </row>
    <row r="10300" spans="1:5" x14ac:dyDescent="0.25">
      <c r="A10300" t="str">
        <f>HYPERLINK("https://www.773grp.com/globalSearch/SN54S03J/page-1", "SN54S03J")</f>
        <v>SN54S03J</v>
      </c>
      <c r="B10300" s="3" t="str">
        <f>HYPERLINK("https://www.773grp.com/manufacturer/texas-instruments?pageNo=29", "Texas Instruments")</f>
        <v>Texas Instruments</v>
      </c>
      <c r="C10300" s="5">
        <v>100</v>
      </c>
      <c r="D10300" s="6">
        <v>12.19</v>
      </c>
      <c r="E10300" t="s">
        <v>27</v>
      </c>
    </row>
    <row r="10301" spans="1:5" x14ac:dyDescent="0.25">
      <c r="A10301" t="str">
        <f>HYPERLINK("https://www.773grp.com/globalSearch/SN54S20J/page-1", "SN54S20J")</f>
        <v>SN54S20J</v>
      </c>
      <c r="B10301" s="3" t="str">
        <f>HYPERLINK("https://www.773grp.com/manufacturer/texas-instruments?pageNo=30", "Texas Instruments")</f>
        <v>Texas Instruments</v>
      </c>
      <c r="C10301" s="5">
        <v>307</v>
      </c>
      <c r="D10301" s="6">
        <v>12.19</v>
      </c>
      <c r="E10301" t="s">
        <v>27</v>
      </c>
    </row>
    <row r="10302" spans="1:5" x14ac:dyDescent="0.25">
      <c r="A10302" t="str">
        <f>HYPERLINK("https://www.773grp.com/globalSearch/SN54S11J/page-1", "SN54S11J")</f>
        <v>SN54S11J</v>
      </c>
      <c r="B10302" s="3" t="str">
        <f>HYPERLINK("https://www.773grp.com/manufacturer/texas-instruments?pageNo=37", "Texas Instruments")</f>
        <v>Texas Instruments</v>
      </c>
      <c r="C10302" s="5">
        <v>3</v>
      </c>
      <c r="D10302" s="6">
        <v>12.2</v>
      </c>
      <c r="E10302" t="s">
        <v>27</v>
      </c>
    </row>
    <row r="10303" spans="1:5" x14ac:dyDescent="0.25">
      <c r="A10303" t="str">
        <f>HYPERLINK("https://www.773grp.com/globalSearch/CD4050BF/page-1", "CD4050BF")</f>
        <v>CD4050BF</v>
      </c>
      <c r="B10303" s="3" t="str">
        <f>HYPERLINK("https://www.773grp.com/manufacturer/texas-instruments?pageNo=78", "Texas Instruments")</f>
        <v>Texas Instruments</v>
      </c>
      <c r="C10303" s="5">
        <v>762</v>
      </c>
      <c r="D10303" s="6">
        <v>12.29</v>
      </c>
      <c r="E10303" t="s">
        <v>27</v>
      </c>
    </row>
    <row r="10304" spans="1:5" x14ac:dyDescent="0.25">
      <c r="A10304" t="str">
        <f>HYPERLINK("https://www.773grp.com/globalSearch/SNJ54ALS20AJ/page-1", "SNJ54ALS20AJ")</f>
        <v>SNJ54ALS20AJ</v>
      </c>
      <c r="B10304" s="3" t="str">
        <f>HYPERLINK("https://www.773grp.com/manufacturer/texas-instruments?pageNo=83", "Texas Instruments")</f>
        <v>Texas Instruments</v>
      </c>
      <c r="C10304" s="5">
        <v>109</v>
      </c>
      <c r="D10304" s="6">
        <v>12.29</v>
      </c>
      <c r="E10304" t="s">
        <v>27</v>
      </c>
    </row>
    <row r="10305" spans="1:5" x14ac:dyDescent="0.25">
      <c r="A10305" t="str">
        <f>HYPERLINK("https://www.773grp.com/globalSearch/SN54HC05J/page-1", "SN54HC05J")</f>
        <v>SN54HC05J</v>
      </c>
      <c r="B10305" s="3" t="str">
        <f>HYPERLINK("https://www.773grp.com/manufacturer/texas-instruments?pageNo=94", "Texas Instruments")</f>
        <v>Texas Instruments</v>
      </c>
      <c r="C10305" s="5">
        <v>12</v>
      </c>
      <c r="D10305" s="6">
        <v>12.35</v>
      </c>
      <c r="E10305" t="s">
        <v>27</v>
      </c>
    </row>
    <row r="10306" spans="1:5" x14ac:dyDescent="0.25">
      <c r="A10306" t="str">
        <f>HYPERLINK("https://www.773grp.com/globalSearch/SNJ54ALS04BJ/page-1", "SNJ54ALS04BJ")</f>
        <v>SNJ54ALS04BJ</v>
      </c>
      <c r="B10306" s="3" t="str">
        <f>HYPERLINK("https://www.773grp.com/manufacturer/texas-instruments?pageNo=102", "Texas Instruments")</f>
        <v>Texas Instruments</v>
      </c>
      <c r="C10306" s="5">
        <v>124</v>
      </c>
      <c r="D10306" s="6">
        <v>12.35</v>
      </c>
      <c r="E10306" t="s">
        <v>27</v>
      </c>
    </row>
    <row r="10307" spans="1:5" x14ac:dyDescent="0.25">
      <c r="A10307" t="str">
        <f>HYPERLINK("https://www.773grp.com/globalSearch/5962-8869401RA/page-1", "5962-8869401RA")</f>
        <v>5962-8869401RA</v>
      </c>
      <c r="B10307" s="3" t="str">
        <f>HYPERLINK("https://www.773grp.com/manufacturer/texas-instruments?pageNo=112", "Texas Instruments")</f>
        <v>Texas Instruments</v>
      </c>
      <c r="C10307" s="5">
        <v>200</v>
      </c>
      <c r="D10307" s="6">
        <v>12.38</v>
      </c>
      <c r="E10307" t="s">
        <v>27</v>
      </c>
    </row>
    <row r="10308" spans="1:5" x14ac:dyDescent="0.25">
      <c r="A10308" t="str">
        <f>HYPERLINK("https://www.773grp.com/globalSearch/JM38510-00103BCA/page-1", "JM38510-00103BCA")</f>
        <v>JM38510-00103BCA</v>
      </c>
      <c r="B10308" s="3" t="str">
        <f>HYPERLINK("https://www.773grp.com/manufacturer/texas-instruments?pageNo=123", "Texas Instruments")</f>
        <v>Texas Instruments</v>
      </c>
      <c r="C10308" s="5">
        <v>579</v>
      </c>
      <c r="D10308" s="6">
        <v>12.38</v>
      </c>
      <c r="E10308" t="s">
        <v>27</v>
      </c>
    </row>
    <row r="10309" spans="1:5" x14ac:dyDescent="0.25">
      <c r="A10309" t="str">
        <f>HYPERLINK("https://www.773grp.com/globalSearch/SNJ54ALS1010AJ/page-1", "SNJ54ALS1010AJ")</f>
        <v>SNJ54ALS1010AJ</v>
      </c>
      <c r="B10309" s="3" t="str">
        <f>HYPERLINK("https://www.773grp.com/manufacturer/texas-instruments?pageNo=143", "Texas Instruments")</f>
        <v>Texas Instruments</v>
      </c>
      <c r="C10309" s="5">
        <v>169</v>
      </c>
      <c r="D10309" s="6">
        <v>12.38</v>
      </c>
      <c r="E10309" t="s">
        <v>27</v>
      </c>
    </row>
    <row r="10310" spans="1:5" x14ac:dyDescent="0.25">
      <c r="A10310" t="str">
        <f>HYPERLINK("https://www.773grp.com/globalSearch/SNJ54ALS133J/page-1", "SNJ54ALS133J")</f>
        <v>SNJ54ALS133J</v>
      </c>
      <c r="B10310" s="3" t="str">
        <f>HYPERLINK("https://www.773grp.com/manufacturer/texas-instruments?pageNo=144", "Texas Instruments")</f>
        <v>Texas Instruments</v>
      </c>
      <c r="C10310" s="5">
        <v>217</v>
      </c>
      <c r="D10310" s="6">
        <v>12.38</v>
      </c>
      <c r="E10310" t="s">
        <v>27</v>
      </c>
    </row>
    <row r="10311" spans="1:5" x14ac:dyDescent="0.25">
      <c r="A10311" t="str">
        <f>HYPERLINK("https://www.773grp.com/globalSearch/SNJ54ALS32J/page-1", "SNJ54ALS32J")</f>
        <v>SNJ54ALS32J</v>
      </c>
      <c r="B10311" s="3" t="str">
        <f>HYPERLINK("https://www.773grp.com/manufacturer/texas-instruments?pageNo=145", "Texas Instruments")</f>
        <v>Texas Instruments</v>
      </c>
      <c r="C10311" s="5">
        <v>61</v>
      </c>
      <c r="D10311" s="6">
        <v>12.38</v>
      </c>
      <c r="E10311" t="s">
        <v>27</v>
      </c>
    </row>
    <row r="10312" spans="1:5" x14ac:dyDescent="0.25">
      <c r="A10312" t="str">
        <f>HYPERLINK("https://www.773grp.com/globalSearch/CD54ACT08F3A/page-1", "CD54ACT08F3A")</f>
        <v>CD54ACT08F3A</v>
      </c>
      <c r="B10312" s="3" t="str">
        <f>HYPERLINK("https://www.773grp.com/manufacturer/texas-instruments?pageNo=159", "Texas Instruments")</f>
        <v>Texas Instruments</v>
      </c>
      <c r="C10312" s="5">
        <v>440</v>
      </c>
      <c r="D10312" s="6">
        <v>12.4</v>
      </c>
      <c r="E10312" t="s">
        <v>27</v>
      </c>
    </row>
    <row r="10313" spans="1:5" x14ac:dyDescent="0.25">
      <c r="A10313" t="str">
        <f>HYPERLINK("https://www.773grp.com/globalSearch/5962-8854001CA/page-1", "5962-8854001CA")</f>
        <v>5962-8854001CA</v>
      </c>
      <c r="B10313" s="3" t="str">
        <f>HYPERLINK("https://www.773grp.com/manufacturer/texas-instruments?pageNo=168", "Texas Instruments")</f>
        <v>Texas Instruments</v>
      </c>
      <c r="C10313" s="5">
        <v>584</v>
      </c>
      <c r="D10313" s="6">
        <v>12.45</v>
      </c>
      <c r="E10313" t="s">
        <v>27</v>
      </c>
    </row>
    <row r="10314" spans="1:5" x14ac:dyDescent="0.25">
      <c r="A10314" t="str">
        <f>HYPERLINK("https://www.773grp.com/globalSearch/SNJ54ALS30AJ/page-1", "SNJ54ALS30AJ")</f>
        <v>SNJ54ALS30AJ</v>
      </c>
      <c r="B10314" s="3" t="str">
        <f>HYPERLINK("https://www.773grp.com/manufacturer/texas-instruments?pageNo=183", "Texas Instruments")</f>
        <v>Texas Instruments</v>
      </c>
      <c r="C10314" s="5">
        <v>15</v>
      </c>
      <c r="D10314" s="6">
        <v>12.45</v>
      </c>
      <c r="E10314" t="s">
        <v>27</v>
      </c>
    </row>
    <row r="10315" spans="1:5" x14ac:dyDescent="0.25">
      <c r="A10315" t="str">
        <f>HYPERLINK("https://www.773grp.com/globalSearch/SNJ54F09FK/page-1", "SNJ54F09FK")</f>
        <v>SNJ54F09FK</v>
      </c>
      <c r="B10315" s="3" t="str">
        <f>HYPERLINK("https://www.773grp.com/manufacturer/texas-instruments?pageNo=184", "Texas Instruments")</f>
        <v>Texas Instruments</v>
      </c>
      <c r="C10315" s="5">
        <v>416</v>
      </c>
      <c r="D10315" s="6">
        <v>12.45</v>
      </c>
      <c r="E10315" t="s">
        <v>27</v>
      </c>
    </row>
    <row r="10316" spans="1:5" x14ac:dyDescent="0.25">
      <c r="A10316" t="str">
        <f>HYPERLINK("https://www.773grp.com/globalSearch/SNJ54ALS00AJ/page-1", "SNJ54ALS00AJ")</f>
        <v>SNJ54ALS00AJ</v>
      </c>
      <c r="B10316" s="3" t="str">
        <f>HYPERLINK("https://www.773grp.com/manufacturer/texas-instruments?pageNo=219", "Texas Instruments")</f>
        <v>Texas Instruments</v>
      </c>
      <c r="C10316" s="5">
        <v>119</v>
      </c>
      <c r="D10316" s="6">
        <v>12.53</v>
      </c>
      <c r="E10316" t="s">
        <v>27</v>
      </c>
    </row>
    <row r="10317" spans="1:5" x14ac:dyDescent="0.25">
      <c r="A10317" t="str">
        <f>HYPERLINK("https://www.773grp.com/globalSearch/5962-8684201CA/page-1", "5962-8684201CA")</f>
        <v>5962-8684201CA</v>
      </c>
      <c r="B10317" s="3" t="str">
        <f>HYPERLINK("https://www.773grp.com/manufacturer/texas-instruments?pageNo=242", "Texas Instruments")</f>
        <v>Texas Instruments</v>
      </c>
      <c r="C10317" s="5">
        <v>99</v>
      </c>
      <c r="D10317" s="6">
        <v>12.54</v>
      </c>
      <c r="E10317" t="s">
        <v>27</v>
      </c>
    </row>
    <row r="10318" spans="1:5" x14ac:dyDescent="0.25">
      <c r="A10318" t="str">
        <f>HYPERLINK("https://www.773grp.com/globalSearch/SNJ54ALS08J/page-1", "SNJ54ALS08J")</f>
        <v>SNJ54ALS08J</v>
      </c>
      <c r="B10318" s="3" t="str">
        <f>HYPERLINK("https://www.773grp.com/manufacturer/texas-instruments?pageNo=247", "Texas Instruments")</f>
        <v>Texas Instruments</v>
      </c>
      <c r="C10318" s="5">
        <v>19</v>
      </c>
      <c r="D10318" s="6">
        <v>12.54</v>
      </c>
      <c r="E10318" t="s">
        <v>27</v>
      </c>
    </row>
    <row r="10319" spans="1:5" x14ac:dyDescent="0.25">
      <c r="A10319" t="str">
        <f>HYPERLINK("https://www.773grp.com/globalSearch/5962-8954702CA/page-1", "5962-8954702CA")</f>
        <v>5962-8954702CA</v>
      </c>
      <c r="B10319" s="3" t="str">
        <f>HYPERLINK("https://www.773grp.com/manufacturer/texas-instruments?pageNo=251", "Texas Instruments")</f>
        <v>Texas Instruments</v>
      </c>
      <c r="C10319" s="5">
        <v>342</v>
      </c>
      <c r="D10319" s="6">
        <v>12.58</v>
      </c>
      <c r="E10319" t="s">
        <v>27</v>
      </c>
    </row>
    <row r="10320" spans="1:5" x14ac:dyDescent="0.25">
      <c r="A10320" t="str">
        <f>HYPERLINK("https://www.773grp.com/globalSearch/SN54LS10J/page-1", "SN54LS10J")</f>
        <v>SN54LS10J</v>
      </c>
      <c r="B10320" s="3" t="str">
        <f>HYPERLINK("https://www.773grp.com/manufacturer/texas-instruments?pageNo=254", "Texas Instruments")</f>
        <v>Texas Instruments</v>
      </c>
      <c r="C10320" s="5">
        <v>490</v>
      </c>
      <c r="D10320" s="6">
        <v>12.58</v>
      </c>
      <c r="E10320" t="s">
        <v>27</v>
      </c>
    </row>
    <row r="10321" spans="1:5" x14ac:dyDescent="0.25">
      <c r="A10321" t="str">
        <f>HYPERLINK("https://www.773grp.com/globalSearch/SNJ54ALS02AJ/page-1", "SNJ54ALS02AJ")</f>
        <v>SNJ54ALS02AJ</v>
      </c>
      <c r="B10321" s="3" t="str">
        <f>HYPERLINK("https://www.773grp.com/manufacturer/texas-instruments?pageNo=255", "Texas Instruments")</f>
        <v>Texas Instruments</v>
      </c>
      <c r="C10321" s="5">
        <v>196</v>
      </c>
      <c r="D10321" s="6">
        <v>12.58</v>
      </c>
      <c r="E10321" t="s">
        <v>27</v>
      </c>
    </row>
    <row r="10322" spans="1:5" x14ac:dyDescent="0.25">
      <c r="A10322" t="str">
        <f>HYPERLINK("https://www.773grp.com/globalSearch/8414201CA/page-1", "8414201CA")</f>
        <v>8414201CA</v>
      </c>
      <c r="B10322" s="3" t="str">
        <f>HYPERLINK("https://www.773grp.com/manufacturer/texas-instruments?pageNo=260", "Texas Instruments")</f>
        <v>Texas Instruments</v>
      </c>
      <c r="C10322" s="5">
        <v>8</v>
      </c>
      <c r="D10322" s="6">
        <v>12.6</v>
      </c>
      <c r="E10322" t="s">
        <v>27</v>
      </c>
    </row>
    <row r="10323" spans="1:5" x14ac:dyDescent="0.25">
      <c r="A10323" t="str">
        <f>HYPERLINK("https://www.773grp.com/globalSearch/SNJ54ALS09J/page-1", "SNJ54ALS09J")</f>
        <v>SNJ54ALS09J</v>
      </c>
      <c r="B10323" s="3" t="str">
        <f>HYPERLINK("https://www.773grp.com/manufacturer/texas-instruments?pageNo=262", "Texas Instruments")</f>
        <v>Texas Instruments</v>
      </c>
      <c r="C10323" s="5">
        <v>91</v>
      </c>
      <c r="D10323" s="6">
        <v>12.6</v>
      </c>
      <c r="E10323" t="s">
        <v>27</v>
      </c>
    </row>
    <row r="10324" spans="1:5" x14ac:dyDescent="0.25">
      <c r="A10324" t="str">
        <f>HYPERLINK("https://www.773grp.com/globalSearch/SN54LS03J/page-1", "SN54LS03J")</f>
        <v>SN54LS03J</v>
      </c>
      <c r="B10324" s="3" t="str">
        <f>HYPERLINK("https://www.773grp.com/manufacturer/texas-instruments?pageNo=353", "Texas Instruments")</f>
        <v>Texas Instruments</v>
      </c>
      <c r="C10324" s="5">
        <v>4671</v>
      </c>
      <c r="D10324" s="6">
        <v>12.74</v>
      </c>
      <c r="E10324" t="s">
        <v>27</v>
      </c>
    </row>
    <row r="10325" spans="1:5" x14ac:dyDescent="0.25">
      <c r="A10325" t="str">
        <f>HYPERLINK("https://www.773grp.com/globalSearch/SNJ54F21FK/page-1", "SNJ54F21FK")</f>
        <v>SNJ54F21FK</v>
      </c>
      <c r="B10325" s="3" t="str">
        <f>HYPERLINK("https://www.773grp.com/manufacturer/texas-instruments?pageNo=354", "Texas Instruments")</f>
        <v>Texas Instruments</v>
      </c>
      <c r="C10325" s="5">
        <v>354</v>
      </c>
      <c r="D10325" s="6">
        <v>12.74</v>
      </c>
      <c r="E10325" t="s">
        <v>27</v>
      </c>
    </row>
    <row r="10326" spans="1:5" x14ac:dyDescent="0.25">
      <c r="A10326" t="str">
        <f>HYPERLINK("https://www.773grp.com/globalSearch/SN54LS05J/page-1", "SN54LS05J")</f>
        <v>SN54LS05J</v>
      </c>
      <c r="B10326" s="3" t="str">
        <f>HYPERLINK("https://www.773grp.com/manufacturer/texas-instruments?pageNo=379", "Texas Instruments")</f>
        <v>Texas Instruments</v>
      </c>
      <c r="C10326" s="5">
        <v>249</v>
      </c>
      <c r="D10326" s="6">
        <v>12.79</v>
      </c>
      <c r="E10326" t="s">
        <v>27</v>
      </c>
    </row>
    <row r="10327" spans="1:5" x14ac:dyDescent="0.25">
      <c r="A10327" t="str">
        <f>HYPERLINK("https://www.773grp.com/globalSearch/8414301CA/page-1", "8414301CA")</f>
        <v>8414301CA</v>
      </c>
      <c r="B10327" s="3" t="str">
        <f>HYPERLINK("https://www.773grp.com/manufacturer/texas-instruments?pageNo=404", "Texas Instruments")</f>
        <v>Texas Instruments</v>
      </c>
      <c r="C10327" s="5">
        <v>137</v>
      </c>
      <c r="D10327" s="6">
        <v>12.86</v>
      </c>
      <c r="E10327" t="s">
        <v>27</v>
      </c>
    </row>
    <row r="10328" spans="1:5" x14ac:dyDescent="0.25">
      <c r="A10328" t="str">
        <f>HYPERLINK("https://www.773grp.com/globalSearch/SN54LS01J/page-1", "SN54LS01J")</f>
        <v>SN54LS01J</v>
      </c>
      <c r="B10328" s="3" t="str">
        <f>HYPERLINK("https://www.773grp.com/manufacturer/texas-instruments?pageNo=427", "Texas Instruments")</f>
        <v>Texas Instruments</v>
      </c>
      <c r="C10328" s="5">
        <v>88</v>
      </c>
      <c r="D10328" s="6">
        <v>12.91</v>
      </c>
      <c r="E10328" t="s">
        <v>27</v>
      </c>
    </row>
    <row r="10329" spans="1:5" x14ac:dyDescent="0.25">
      <c r="A10329" t="str">
        <f>HYPERLINK("https://www.773grp.com/globalSearch/SN54ALS1034J/page-1", "SN54ALS1034J")</f>
        <v>SN54ALS1034J</v>
      </c>
      <c r="B10329" s="3" t="str">
        <f>HYPERLINK("https://www.773grp.com/manufacturer/texas-instruments?pageNo=447", "Texas Instruments")</f>
        <v>Texas Instruments</v>
      </c>
      <c r="C10329" s="5">
        <v>4</v>
      </c>
      <c r="D10329" s="6">
        <v>12.94</v>
      </c>
      <c r="E10329" t="s">
        <v>27</v>
      </c>
    </row>
    <row r="10330" spans="1:5" x14ac:dyDescent="0.25">
      <c r="A10330" t="str">
        <f>HYPERLINK("https://www.773grp.com/globalSearch/SN54LS38J/page-1", "SN54LS38J")</f>
        <v>SN54LS38J</v>
      </c>
      <c r="B10330" s="3" t="str">
        <f>HYPERLINK("https://www.773grp.com/manufacturer/texas-instruments?pageNo=448", "Texas Instruments")</f>
        <v>Texas Instruments</v>
      </c>
      <c r="C10330" s="5">
        <v>680</v>
      </c>
      <c r="D10330" s="6">
        <v>12.94</v>
      </c>
      <c r="E10330" t="s">
        <v>27</v>
      </c>
    </row>
    <row r="10331" spans="1:5" x14ac:dyDescent="0.25">
      <c r="A10331" t="str">
        <f>HYPERLINK("https://www.773grp.com/globalSearch/SN54LS14J/page-1", "SN54LS14J")</f>
        <v>SN54LS14J</v>
      </c>
      <c r="B10331" s="3" t="str">
        <f>HYPERLINK("https://www.773grp.com/manufacturer/texas-instruments?pageNo=481", "Texas Instruments")</f>
        <v>Texas Instruments</v>
      </c>
      <c r="C10331" s="5">
        <v>2</v>
      </c>
      <c r="D10331" s="6">
        <v>13</v>
      </c>
      <c r="E10331" t="s">
        <v>27</v>
      </c>
    </row>
    <row r="10332" spans="1:5" x14ac:dyDescent="0.25">
      <c r="A10332" t="str">
        <f>HYPERLINK("https://www.773grp.com/globalSearch/CDC204DW/page-1", "CDC204DW")</f>
        <v>CDC204DW</v>
      </c>
      <c r="B10332" s="3" t="str">
        <f>HYPERLINK("https://www.773grp.com/manufacturer/texas-instruments?pageNo=488", "Texas Instruments")</f>
        <v>Texas Instruments</v>
      </c>
      <c r="C10332" s="5">
        <v>13828</v>
      </c>
      <c r="D10332" s="6">
        <v>13.03</v>
      </c>
      <c r="E10332" t="s">
        <v>27</v>
      </c>
    </row>
    <row r="10333" spans="1:5" x14ac:dyDescent="0.25">
      <c r="A10333" t="str">
        <f>HYPERLINK("https://www.773grp.com/globalSearch/SN54LS26J/page-1", "SN54LS26J")</f>
        <v>SN54LS26J</v>
      </c>
      <c r="B10333" s="3" t="str">
        <f>HYPERLINK("https://www.773grp.com/manufacturer/texas-instruments?pageNo=489", "Texas Instruments")</f>
        <v>Texas Instruments</v>
      </c>
      <c r="C10333" s="5">
        <v>61</v>
      </c>
      <c r="D10333" s="6">
        <v>13.03</v>
      </c>
      <c r="E10333" t="s">
        <v>27</v>
      </c>
    </row>
    <row r="10334" spans="1:5" x14ac:dyDescent="0.25">
      <c r="A10334" t="str">
        <f>HYPERLINK("https://www.773grp.com/globalSearch/CD4023BF/page-1", "CD4023BF")</f>
        <v>CD4023BF</v>
      </c>
      <c r="B10334" s="3" t="str">
        <f>HYPERLINK("https://www.773grp.com/manufacturer/texas-instruments?pageNo=500", "Texas Instruments")</f>
        <v>Texas Instruments</v>
      </c>
      <c r="C10334" s="5">
        <v>849</v>
      </c>
      <c r="D10334" s="6">
        <v>13.05</v>
      </c>
      <c r="E10334" t="s">
        <v>27</v>
      </c>
    </row>
    <row r="10335" spans="1:5" x14ac:dyDescent="0.25">
      <c r="A10335" t="str">
        <f>HYPERLINK("https://www.773grp.com/globalSearch/SN54LS27J/page-1", "SN54LS27J")</f>
        <v>SN54LS27J</v>
      </c>
      <c r="B10335" s="3" t="str">
        <f>HYPERLINK("https://www.773grp.com/manufacturer/texas-instruments?pageNo=502", "Texas Instruments")</f>
        <v>Texas Instruments</v>
      </c>
      <c r="C10335" s="5">
        <v>243</v>
      </c>
      <c r="D10335" s="6">
        <v>13.05</v>
      </c>
      <c r="E10335" t="s">
        <v>27</v>
      </c>
    </row>
    <row r="10336" spans="1:5" x14ac:dyDescent="0.25">
      <c r="A10336" t="str">
        <f>HYPERLINK("https://www.773grp.com/globalSearch/SN54LS37J/page-1", "SN54LS37J")</f>
        <v>SN54LS37J</v>
      </c>
      <c r="B10336" s="3" t="str">
        <f>HYPERLINK("https://www.773grp.com/manufacturer/texas-instruments?pageNo=503", "Texas Instruments")</f>
        <v>Texas Instruments</v>
      </c>
      <c r="C10336" s="5">
        <v>399</v>
      </c>
      <c r="D10336" s="6">
        <v>13.05</v>
      </c>
      <c r="E10336" t="s">
        <v>27</v>
      </c>
    </row>
    <row r="10337" spans="1:5" x14ac:dyDescent="0.25">
      <c r="A10337" t="str">
        <f>HYPERLINK("https://www.773grp.com/globalSearch/SN54LS20J/page-1", "SN54LS20J")</f>
        <v>SN54LS20J</v>
      </c>
      <c r="B10337" s="3" t="str">
        <f>HYPERLINK("https://www.773grp.com/manufacturer/texas-instruments?pageNo=529", "Texas Instruments")</f>
        <v>Texas Instruments</v>
      </c>
      <c r="C10337" s="5">
        <v>427</v>
      </c>
      <c r="D10337" s="6">
        <v>13.08</v>
      </c>
      <c r="E10337" t="s">
        <v>27</v>
      </c>
    </row>
    <row r="10338" spans="1:5" x14ac:dyDescent="0.25">
      <c r="A10338" t="str">
        <f>HYPERLINK("https://www.773grp.com/globalSearch/SN54S51J/page-1", "SN54S51J")</f>
        <v>SN54S51J</v>
      </c>
      <c r="B10338" s="3" t="str">
        <f>HYPERLINK("https://www.773grp.com/manufacturer/texas-instruments?pageNo=530", "Texas Instruments")</f>
        <v>Texas Instruments</v>
      </c>
      <c r="C10338" s="5">
        <v>238</v>
      </c>
      <c r="D10338" s="6">
        <v>13.08</v>
      </c>
      <c r="E10338" t="s">
        <v>27</v>
      </c>
    </row>
    <row r="10339" spans="1:5" x14ac:dyDescent="0.25">
      <c r="A10339" t="str">
        <f>HYPERLINK("https://www.773grp.com/globalSearch/5962-8873001CA/page-1", "5962-8873001CA")</f>
        <v>5962-8873001CA</v>
      </c>
      <c r="B10339" s="3" t="str">
        <f>HYPERLINK("https://www.773grp.com/manufacturer/texas-instruments?pageNo=611", "Texas Instruments")</f>
        <v>Texas Instruments</v>
      </c>
      <c r="C10339" s="5">
        <v>253</v>
      </c>
      <c r="D10339" s="6">
        <v>13.28</v>
      </c>
      <c r="E10339" t="s">
        <v>27</v>
      </c>
    </row>
    <row r="10340" spans="1:5" x14ac:dyDescent="0.25">
      <c r="A10340" t="str">
        <f>HYPERLINK("https://www.773grp.com/globalSearch/SNJ54AS1032AJ/page-1", "SNJ54AS1032AJ")</f>
        <v>SNJ54AS1032AJ</v>
      </c>
      <c r="B10340" s="3" t="str">
        <f>HYPERLINK("https://www.773grp.com/manufacturer/texas-instruments?pageNo=622", "Texas Instruments")</f>
        <v>Texas Instruments</v>
      </c>
      <c r="C10340" s="5">
        <v>275</v>
      </c>
      <c r="D10340" s="6">
        <v>13.28</v>
      </c>
      <c r="E10340" t="s">
        <v>27</v>
      </c>
    </row>
    <row r="10341" spans="1:5" x14ac:dyDescent="0.25">
      <c r="A10341" t="str">
        <f>HYPERLINK("https://www.773grp.com/globalSearch/SN74AS804BN/page-1", "SN74AS804BN")</f>
        <v>SN74AS804BN</v>
      </c>
      <c r="B10341" s="3" t="str">
        <f>HYPERLINK("https://www.773grp.com/manufacturer/texas-instruments?pageNo=649", "Texas Instruments")</f>
        <v>Texas Instruments</v>
      </c>
      <c r="C10341" s="5">
        <v>13643</v>
      </c>
      <c r="D10341" s="6">
        <v>13.34</v>
      </c>
      <c r="E10341" t="s">
        <v>27</v>
      </c>
    </row>
    <row r="10342" spans="1:5" x14ac:dyDescent="0.25">
      <c r="A10342" t="str">
        <f>HYPERLINK("https://www.773grp.com/globalSearch/SNJ5413W/page-1", "SNJ5413W")</f>
        <v>SNJ5413W</v>
      </c>
      <c r="B10342" s="3" t="str">
        <f>HYPERLINK("https://www.773grp.com/manufacturer/texas-instruments?pageNo=722", "Texas Instruments")</f>
        <v>Texas Instruments</v>
      </c>
      <c r="C10342" s="5">
        <v>22</v>
      </c>
      <c r="D10342" s="6">
        <v>13.46</v>
      </c>
      <c r="E10342" t="s">
        <v>27</v>
      </c>
    </row>
    <row r="10343" spans="1:5" x14ac:dyDescent="0.25">
      <c r="A10343" t="str">
        <f>HYPERLINK("https://www.773grp.com/globalSearch/SNJ54LS20J/page-1", "SNJ54LS20J")</f>
        <v>SNJ54LS20J</v>
      </c>
      <c r="B10343" s="3" t="str">
        <f>HYPERLINK("https://www.773grp.com/manufacturer/texas-instruments?pageNo=747", "Texas Instruments")</f>
        <v>Texas Instruments</v>
      </c>
      <c r="C10343" s="5">
        <v>109</v>
      </c>
      <c r="D10343" s="6">
        <v>13.5</v>
      </c>
      <c r="E10343" t="s">
        <v>27</v>
      </c>
    </row>
    <row r="10344" spans="1:5" x14ac:dyDescent="0.25">
      <c r="A10344" t="str">
        <f>HYPERLINK("https://www.773grp.com/globalSearch/SNJ54S02J/page-1", "SNJ54S02J")</f>
        <v>SNJ54S02J</v>
      </c>
      <c r="B10344" s="3" t="str">
        <f>HYPERLINK("https://www.773grp.com/manufacturer/texas-instruments?pageNo=788", "Texas Instruments")</f>
        <v>Texas Instruments</v>
      </c>
      <c r="C10344" s="5">
        <v>50</v>
      </c>
      <c r="D10344" s="6">
        <v>13.59</v>
      </c>
      <c r="E10344" t="s">
        <v>27</v>
      </c>
    </row>
    <row r="10345" spans="1:5" x14ac:dyDescent="0.25">
      <c r="A10345" t="str">
        <f>HYPERLINK("https://www.773grp.com/globalSearch/SNJ54S32J/page-1", "SNJ54S32J")</f>
        <v>SNJ54S32J</v>
      </c>
      <c r="B10345" s="3" t="str">
        <f>HYPERLINK("https://www.773grp.com/manufacturer/texas-instruments?pageNo=799", "Texas Instruments")</f>
        <v>Texas Instruments</v>
      </c>
      <c r="C10345" s="5">
        <v>331</v>
      </c>
      <c r="D10345" s="6">
        <v>13.61</v>
      </c>
      <c r="E10345" t="s">
        <v>27</v>
      </c>
    </row>
    <row r="10346" spans="1:5" x14ac:dyDescent="0.25">
      <c r="A10346" t="str">
        <f>HYPERLINK("https://www.773grp.com/globalSearch/SNJ54AS04J/page-1", "SNJ54AS04J")</f>
        <v>SNJ54AS04J</v>
      </c>
      <c r="B10346" s="3" t="str">
        <f>HYPERLINK("https://www.773grp.com/manufacturer/texas-instruments?pageNo=840", "Texas Instruments")</f>
        <v>Texas Instruments</v>
      </c>
      <c r="C10346" s="5">
        <v>102</v>
      </c>
      <c r="D10346" s="6">
        <v>13.68</v>
      </c>
      <c r="E10346" t="s">
        <v>27</v>
      </c>
    </row>
    <row r="10347" spans="1:5" x14ac:dyDescent="0.25">
      <c r="A10347" t="str">
        <f>HYPERLINK("https://www.773grp.com/globalSearch/SNJ54AS08J/page-1", "SNJ54AS08J")</f>
        <v>SNJ54AS08J</v>
      </c>
      <c r="B10347" s="3" t="str">
        <f>HYPERLINK("https://www.773grp.com/manufacturer/texas-instruments?pageNo=841", "Texas Instruments")</f>
        <v>Texas Instruments</v>
      </c>
      <c r="C10347" s="5">
        <v>312</v>
      </c>
      <c r="D10347" s="6">
        <v>13.68</v>
      </c>
      <c r="E10347" t="s">
        <v>27</v>
      </c>
    </row>
    <row r="10348" spans="1:5" x14ac:dyDescent="0.25">
      <c r="A10348" t="str">
        <f>HYPERLINK("https://www.773grp.com/globalSearch/SNJ54S10J/page-1", "SNJ54S10J")</f>
        <v>SNJ54S10J</v>
      </c>
      <c r="B10348" s="3" t="str">
        <f>HYPERLINK("https://www.773grp.com/manufacturer/texas-instruments?pageNo=871", "Texas Instruments")</f>
        <v>Texas Instruments</v>
      </c>
      <c r="C10348" s="5">
        <v>482</v>
      </c>
      <c r="D10348" s="6">
        <v>13.75</v>
      </c>
      <c r="E10348" t="s">
        <v>27</v>
      </c>
    </row>
    <row r="10349" spans="1:5" x14ac:dyDescent="0.25">
      <c r="A10349" t="str">
        <f>HYPERLINK("https://www.773grp.com/globalSearch/SNJ54LS05J/page-1", "SNJ54LS05J")</f>
        <v>SNJ54LS05J</v>
      </c>
      <c r="B10349" s="3" t="str">
        <f>HYPERLINK("https://www.773grp.com/manufacturer/texas-instruments?pageNo=890", "Texas Instruments")</f>
        <v>Texas Instruments</v>
      </c>
      <c r="C10349" s="5">
        <v>268</v>
      </c>
      <c r="D10349" s="6">
        <v>13.79</v>
      </c>
      <c r="E10349" t="s">
        <v>27</v>
      </c>
    </row>
    <row r="10350" spans="1:5" x14ac:dyDescent="0.25">
      <c r="A10350" t="str">
        <f>HYPERLINK("https://www.773grp.com/globalSearch/SN74AS804BDW/page-1", "SN74AS804BDW")</f>
        <v>SN74AS804BDW</v>
      </c>
      <c r="B10350" s="3" t="str">
        <f>HYPERLINK("https://www.773grp.com/manufacturer/texas-instruments?pageNo=910", "Texas Instruments")</f>
        <v>Texas Instruments</v>
      </c>
      <c r="C10350" s="5">
        <v>15404</v>
      </c>
      <c r="D10350" s="6">
        <v>13.8</v>
      </c>
      <c r="E10350" t="s">
        <v>27</v>
      </c>
    </row>
    <row r="10351" spans="1:5" x14ac:dyDescent="0.25">
      <c r="A10351" t="str">
        <f>HYPERLINK("https://www.773grp.com/globalSearch/SN74AS805BN/page-1", "SN74AS805BN")</f>
        <v>SN74AS805BN</v>
      </c>
      <c r="B10351" s="3" t="str">
        <f>HYPERLINK("https://www.773grp.com/manufacturer/texas-instruments?pageNo=911", "Texas Instruments")</f>
        <v>Texas Instruments</v>
      </c>
      <c r="C10351" s="5">
        <v>4057</v>
      </c>
      <c r="D10351" s="6">
        <v>13.8</v>
      </c>
      <c r="E10351" t="s">
        <v>27</v>
      </c>
    </row>
    <row r="10352" spans="1:5" x14ac:dyDescent="0.25">
      <c r="A10352" t="str">
        <f>HYPERLINK("https://www.773grp.com/globalSearch/SNJ5416J/page-1", "SNJ5416J")</f>
        <v>SNJ5416J</v>
      </c>
      <c r="B10352" s="3" t="str">
        <f>HYPERLINK("https://www.773grp.com/manufacturer/texas-instruments?pageNo=912", "Texas Instruments")</f>
        <v>Texas Instruments</v>
      </c>
      <c r="C10352" s="5">
        <v>101</v>
      </c>
      <c r="D10352" s="6">
        <v>13.8</v>
      </c>
      <c r="E10352" t="s">
        <v>27</v>
      </c>
    </row>
    <row r="10353" spans="1:5" x14ac:dyDescent="0.25">
      <c r="A10353" t="str">
        <f>HYPERLINK("https://www.773grp.com/globalSearch/SNJ5417J/page-1", "SNJ5417J")</f>
        <v>SNJ5417J</v>
      </c>
      <c r="B10353" s="3" t="str">
        <f>HYPERLINK("https://www.773grp.com/manufacturer/texas-instruments?pageNo=913", "Texas Instruments")</f>
        <v>Texas Instruments</v>
      </c>
      <c r="C10353" s="5">
        <v>289</v>
      </c>
      <c r="D10353" s="6">
        <v>13.8</v>
      </c>
      <c r="E10353" t="s">
        <v>27</v>
      </c>
    </row>
    <row r="10354" spans="1:5" x14ac:dyDescent="0.25">
      <c r="A10354" t="str">
        <f>HYPERLINK("https://www.773grp.com/globalSearch/SN54LS30J/page-1", "SN54LS30J")</f>
        <v>SN54LS30J</v>
      </c>
      <c r="B10354" s="3" t="str">
        <f>HYPERLINK("https://www.773grp.com/manufacturer/texas-instruments?pageNo=928", "Texas Instruments")</f>
        <v>Texas Instruments</v>
      </c>
      <c r="C10354" s="5">
        <v>421</v>
      </c>
      <c r="D10354" s="6">
        <v>13.88</v>
      </c>
      <c r="E10354" t="s">
        <v>27</v>
      </c>
    </row>
    <row r="10355" spans="1:5" x14ac:dyDescent="0.25">
      <c r="A10355" t="str">
        <f>HYPERLINK("https://www.773grp.com/globalSearch/SNJ54S08J/page-1", "SNJ54S08J")</f>
        <v>SNJ54S08J</v>
      </c>
      <c r="B10355" s="3" t="str">
        <f>HYPERLINK("https://www.773grp.com/manufacturer/texas-instruments?pageNo=939", "Texas Instruments")</f>
        <v>Texas Instruments</v>
      </c>
      <c r="C10355" s="5">
        <v>5</v>
      </c>
      <c r="D10355" s="6">
        <v>13.88</v>
      </c>
      <c r="E10355" t="s">
        <v>27</v>
      </c>
    </row>
    <row r="10356" spans="1:5" x14ac:dyDescent="0.25">
      <c r="A10356" t="str">
        <f>HYPERLINK("https://www.773grp.com/globalSearch/SNJ54AS00J/page-1", "SNJ54AS00J")</f>
        <v>SNJ54AS00J</v>
      </c>
      <c r="B10356" s="3" t="str">
        <f>HYPERLINK("https://www.773grp.com/manufacturer/texas-instruments?pageNo=944", "Texas Instruments")</f>
        <v>Texas Instruments</v>
      </c>
      <c r="C10356" s="5">
        <v>91</v>
      </c>
      <c r="D10356" s="6">
        <v>13.89</v>
      </c>
      <c r="E10356" t="s">
        <v>27</v>
      </c>
    </row>
    <row r="10357" spans="1:5" x14ac:dyDescent="0.25">
      <c r="A10357" t="str">
        <f>HYPERLINK("https://www.773grp.com/globalSearch/SNJ54S04J/page-1", "SNJ54S04J")</f>
        <v>SNJ54S04J</v>
      </c>
      <c r="B10357" s="3" t="str">
        <f>HYPERLINK("https://www.773grp.com/manufacturer/texas-instruments?pageNo=945", "Texas Instruments")</f>
        <v>Texas Instruments</v>
      </c>
      <c r="C10357" s="5">
        <v>29</v>
      </c>
      <c r="D10357" s="6">
        <v>13.89</v>
      </c>
      <c r="E10357" t="s">
        <v>27</v>
      </c>
    </row>
    <row r="10358" spans="1:5" x14ac:dyDescent="0.25">
      <c r="A10358" t="str">
        <f>HYPERLINK("https://www.773grp.com/globalSearch/CD4070BF3A/page-1", "CD4070BF3A")</f>
        <v>CD4070BF3A</v>
      </c>
      <c r="B10358" s="3" t="str">
        <f>HYPERLINK("https://www.773grp.com/manufacturer/texas-instruments?pageNo=950", "Texas Instruments")</f>
        <v>Texas Instruments</v>
      </c>
      <c r="C10358" s="5">
        <v>338</v>
      </c>
      <c r="D10358" s="6">
        <v>13.93</v>
      </c>
      <c r="E10358" t="s">
        <v>27</v>
      </c>
    </row>
    <row r="10359" spans="1:5" x14ac:dyDescent="0.25">
      <c r="A10359" t="str">
        <f>HYPERLINK("https://www.773grp.com/globalSearch/JM38510-00101BCA/page-1", "JM38510-00101BCA")</f>
        <v>JM38510-00101BCA</v>
      </c>
      <c r="B10359" s="3" t="str">
        <f>HYPERLINK("https://www.773grp.com/manufacturer/texas-instruments?pageNo=955", "Texas Instruments")</f>
        <v>Texas Instruments</v>
      </c>
      <c r="C10359" s="5">
        <v>5695</v>
      </c>
      <c r="D10359" s="6">
        <v>13.93</v>
      </c>
      <c r="E10359" t="s">
        <v>27</v>
      </c>
    </row>
    <row r="10360" spans="1:5" x14ac:dyDescent="0.25">
      <c r="A10360" t="str">
        <f>HYPERLINK("https://www.773grp.com/globalSearch/JM38510-00102BCA/page-1", "JM38510-00102BCA")</f>
        <v>JM38510-00102BCA</v>
      </c>
      <c r="B10360" s="3" t="str">
        <f>HYPERLINK("https://www.773grp.com/manufacturer/texas-instruments?pageNo=956", "Texas Instruments")</f>
        <v>Texas Instruments</v>
      </c>
      <c r="C10360" s="5">
        <v>231</v>
      </c>
      <c r="D10360" s="6">
        <v>13.93</v>
      </c>
      <c r="E10360" t="s">
        <v>27</v>
      </c>
    </row>
    <row r="10361" spans="1:5" x14ac:dyDescent="0.25">
      <c r="A10361" t="str">
        <f>HYPERLINK("https://www.773grp.com/globalSearch/CD54HC30F3A/page-1", "CD54HC30F3A")</f>
        <v>CD54HC30F3A</v>
      </c>
      <c r="B10361" s="3" t="str">
        <f>HYPERLINK("https://www.773grp.com/manufacturer/texas-instruments?pageNo=984", "Texas Instruments")</f>
        <v>Texas Instruments</v>
      </c>
      <c r="C10361" s="5">
        <v>81</v>
      </c>
      <c r="D10361" s="6">
        <v>13.95</v>
      </c>
      <c r="E10361" t="s">
        <v>27</v>
      </c>
    </row>
    <row r="10362" spans="1:5" x14ac:dyDescent="0.25">
      <c r="A10362" t="str">
        <f>HYPERLINK("https://www.773grp.com/globalSearch/SNJ54S00J/page-1", "SNJ54S00J")</f>
        <v>SNJ54S00J</v>
      </c>
      <c r="B10362" s="3" t="s">
        <v>90</v>
      </c>
      <c r="C10362" s="5">
        <v>43</v>
      </c>
      <c r="D10362" s="6">
        <v>14.01</v>
      </c>
      <c r="E10362" t="s">
        <v>27</v>
      </c>
    </row>
    <row r="10363" spans="1:5" x14ac:dyDescent="0.25">
      <c r="A10363" t="str">
        <f>HYPERLINK("https://www.773grp.com/globalSearch/SNJ54S11J/page-1", "SNJ54S11J")</f>
        <v>SNJ54S11J</v>
      </c>
      <c r="B10363" s="3" t="s">
        <v>90</v>
      </c>
      <c r="C10363" s="5">
        <v>36</v>
      </c>
      <c r="D10363" s="6">
        <v>14.01</v>
      </c>
      <c r="E10363" t="s">
        <v>27</v>
      </c>
    </row>
    <row r="10364" spans="1:5" x14ac:dyDescent="0.25">
      <c r="A10364" t="str">
        <f>HYPERLINK("https://www.773grp.com/globalSearch/SNJ54LS06J/page-1", "SNJ54LS06J")</f>
        <v>SNJ54LS06J</v>
      </c>
      <c r="B10364" s="3" t="s">
        <v>90</v>
      </c>
      <c r="C10364" s="5">
        <v>89</v>
      </c>
      <c r="D10364" s="6">
        <v>14.04</v>
      </c>
      <c r="E10364" t="s">
        <v>27</v>
      </c>
    </row>
    <row r="10365" spans="1:5" x14ac:dyDescent="0.25">
      <c r="A10365" t="str">
        <f>HYPERLINK("https://www.773grp.com/globalSearch/SNJ5437W/page-1", "SNJ5437W")</f>
        <v>SNJ5437W</v>
      </c>
      <c r="B10365" s="3" t="s">
        <v>90</v>
      </c>
      <c r="C10365" s="5">
        <v>82</v>
      </c>
      <c r="D10365" s="6">
        <v>14.06</v>
      </c>
      <c r="E10365" t="s">
        <v>27</v>
      </c>
    </row>
    <row r="10366" spans="1:5" x14ac:dyDescent="0.25">
      <c r="A10366" t="str">
        <f>HYPERLINK("https://www.773grp.com/globalSearch/SNJ54LS02J/page-1", "SNJ54LS02J")</f>
        <v>SNJ54LS02J</v>
      </c>
      <c r="B10366" s="3" t="s">
        <v>90</v>
      </c>
      <c r="C10366" s="5">
        <v>70</v>
      </c>
      <c r="D10366" s="6">
        <v>14.14</v>
      </c>
      <c r="E10366" t="s">
        <v>27</v>
      </c>
    </row>
    <row r="10367" spans="1:5" x14ac:dyDescent="0.25">
      <c r="A10367" t="str">
        <f>HYPERLINK("https://www.773grp.com/globalSearch/SNJ54H05J/page-1", "SNJ54H05J")</f>
        <v>SNJ54H05J</v>
      </c>
      <c r="B10367" s="3" t="s">
        <v>90</v>
      </c>
      <c r="C10367" s="5">
        <v>239</v>
      </c>
      <c r="D10367" s="6">
        <v>14.21</v>
      </c>
      <c r="E10367" t="s">
        <v>27</v>
      </c>
    </row>
    <row r="10368" spans="1:5" x14ac:dyDescent="0.25">
      <c r="A10368" t="str">
        <f>HYPERLINK("https://www.773grp.com/globalSearch/SNJ54H10J/page-1", "SNJ54H10J")</f>
        <v>SNJ54H10J</v>
      </c>
      <c r="B10368" s="3" t="s">
        <v>90</v>
      </c>
      <c r="C10368" s="5">
        <v>146</v>
      </c>
      <c r="D10368" s="6">
        <v>14.21</v>
      </c>
      <c r="E10368" t="s">
        <v>27</v>
      </c>
    </row>
    <row r="10369" spans="1:5" x14ac:dyDescent="0.25">
      <c r="A10369" t="str">
        <f>HYPERLINK("https://www.773grp.com/globalSearch/SNJ54H20J/page-1", "SNJ54H20J")</f>
        <v>SNJ54H20J</v>
      </c>
      <c r="B10369" s="3" t="s">
        <v>90</v>
      </c>
      <c r="C10369" s="5">
        <v>215</v>
      </c>
      <c r="D10369" s="6">
        <v>14.21</v>
      </c>
      <c r="E10369" t="s">
        <v>27</v>
      </c>
    </row>
    <row r="10370" spans="1:5" x14ac:dyDescent="0.25">
      <c r="A10370" t="str">
        <f>HYPERLINK("https://www.773grp.com/globalSearch/SNJ54H21J/page-1", "SNJ54H21J")</f>
        <v>SNJ54H21J</v>
      </c>
      <c r="B10370" s="3" t="s">
        <v>90</v>
      </c>
      <c r="C10370" s="5">
        <v>25</v>
      </c>
      <c r="D10370" s="6">
        <v>14.21</v>
      </c>
      <c r="E10370" t="s">
        <v>27</v>
      </c>
    </row>
    <row r="10371" spans="1:5" x14ac:dyDescent="0.25">
      <c r="A10371" t="str">
        <f>HYPERLINK("https://www.773grp.com/globalSearch/SNJ54H30J/page-1", "SNJ54H30J")</f>
        <v>SNJ54H30J</v>
      </c>
      <c r="B10371" s="3" t="s">
        <v>90</v>
      </c>
      <c r="C10371" s="5">
        <v>829</v>
      </c>
      <c r="D10371" s="6">
        <v>14.21</v>
      </c>
      <c r="E10371" t="s">
        <v>27</v>
      </c>
    </row>
    <row r="10372" spans="1:5" x14ac:dyDescent="0.25">
      <c r="A10372" t="str">
        <f>HYPERLINK("https://www.773grp.com/globalSearch/SNJ54H50J/page-1", "SNJ54H50J")</f>
        <v>SNJ54H50J</v>
      </c>
      <c r="B10372" s="3" t="s">
        <v>90</v>
      </c>
      <c r="C10372" s="5">
        <v>1</v>
      </c>
      <c r="D10372" s="6">
        <v>14.21</v>
      </c>
      <c r="E10372" t="s">
        <v>27</v>
      </c>
    </row>
    <row r="10373" spans="1:5" x14ac:dyDescent="0.25">
      <c r="A10373" t="str">
        <f>HYPERLINK("https://www.773grp.com/globalSearch/SNJ54H51J/page-1", "SNJ54H51J")</f>
        <v>SNJ54H51J</v>
      </c>
      <c r="B10373" s="3" t="s">
        <v>90</v>
      </c>
      <c r="C10373" s="5">
        <v>215</v>
      </c>
      <c r="D10373" s="6">
        <v>14.21</v>
      </c>
      <c r="E10373" t="s">
        <v>27</v>
      </c>
    </row>
    <row r="10374" spans="1:5" x14ac:dyDescent="0.25">
      <c r="A10374" t="str">
        <f>HYPERLINK("https://www.773grp.com/globalSearch/SNJ54H53J/page-1", "SNJ54H53J")</f>
        <v>SNJ54H53J</v>
      </c>
      <c r="B10374" s="3" t="s">
        <v>90</v>
      </c>
      <c r="C10374" s="5">
        <v>5060</v>
      </c>
      <c r="D10374" s="6">
        <v>14.21</v>
      </c>
      <c r="E10374" t="s">
        <v>27</v>
      </c>
    </row>
    <row r="10375" spans="1:5" x14ac:dyDescent="0.25">
      <c r="A10375" t="str">
        <f>HYPERLINK("https://www.773grp.com/globalSearch/SNJ54H60J/page-1", "SNJ54H60J")</f>
        <v>SNJ54H60J</v>
      </c>
      <c r="B10375" s="3" t="s">
        <v>90</v>
      </c>
      <c r="C10375" s="5">
        <v>1217</v>
      </c>
      <c r="D10375" s="6">
        <v>14.21</v>
      </c>
      <c r="E10375" t="s">
        <v>27</v>
      </c>
    </row>
    <row r="10376" spans="1:5" x14ac:dyDescent="0.25">
      <c r="A10376" t="str">
        <f>HYPERLINK("https://www.773grp.com/globalSearch/SNJ54H62J/page-1", "SNJ54H62J")</f>
        <v>SNJ54H62J</v>
      </c>
      <c r="B10376" s="3" t="s">
        <v>90</v>
      </c>
      <c r="C10376" s="5">
        <v>737</v>
      </c>
      <c r="D10376" s="6">
        <v>14.21</v>
      </c>
      <c r="E10376" t="s">
        <v>27</v>
      </c>
    </row>
    <row r="10377" spans="1:5" x14ac:dyDescent="0.25">
      <c r="A10377" t="str">
        <f>HYPERLINK("https://www.773grp.com/globalSearch/SNJ54H87J/page-1", "SNJ54H87J")</f>
        <v>SNJ54H87J</v>
      </c>
      <c r="B10377" s="3" t="s">
        <v>90</v>
      </c>
      <c r="C10377" s="5">
        <v>3428</v>
      </c>
      <c r="D10377" s="6">
        <v>14.21</v>
      </c>
      <c r="E10377" t="s">
        <v>27</v>
      </c>
    </row>
    <row r="10378" spans="1:5" x14ac:dyDescent="0.25">
      <c r="A10378" t="str">
        <f>HYPERLINK("https://www.773grp.com/globalSearch/SNJ54S20J/page-1", "SNJ54S20J")</f>
        <v>SNJ54S20J</v>
      </c>
      <c r="B10378" s="3" t="s">
        <v>90</v>
      </c>
      <c r="C10378" s="5">
        <v>6</v>
      </c>
      <c r="D10378" s="6">
        <v>14.21</v>
      </c>
      <c r="E10378" t="s">
        <v>27</v>
      </c>
    </row>
    <row r="10379" spans="1:5" x14ac:dyDescent="0.25">
      <c r="A10379" t="str">
        <f>HYPERLINK("https://www.773grp.com/globalSearch/SN54LS132J/page-1", "SN54LS132J")</f>
        <v>SN54LS132J</v>
      </c>
      <c r="B10379" s="3" t="s">
        <v>90</v>
      </c>
      <c r="C10379" s="5">
        <v>370</v>
      </c>
      <c r="D10379" s="6">
        <v>14.23</v>
      </c>
      <c r="E10379" t="s">
        <v>27</v>
      </c>
    </row>
    <row r="10380" spans="1:5" x14ac:dyDescent="0.25">
      <c r="A10380" t="str">
        <f>HYPERLINK("https://www.773grp.com/globalSearch/5962-9679201QCA/page-1", "5962-9679201QCA")</f>
        <v>5962-9679201QCA</v>
      </c>
      <c r="B10380" s="3" t="s">
        <v>90</v>
      </c>
      <c r="C10380" s="5">
        <v>178</v>
      </c>
      <c r="D10380" s="6">
        <v>14.26</v>
      </c>
      <c r="E10380" t="s">
        <v>27</v>
      </c>
    </row>
    <row r="10381" spans="1:5" x14ac:dyDescent="0.25">
      <c r="A10381" t="str">
        <f>HYPERLINK("https://www.773grp.com/globalSearch/5962-8772201CA/page-1", "5962-8772201CA")</f>
        <v>5962-8772201CA</v>
      </c>
      <c r="B10381" s="3" t="s">
        <v>90</v>
      </c>
      <c r="C10381" s="5">
        <v>336</v>
      </c>
      <c r="D10381" s="6">
        <v>14.29</v>
      </c>
      <c r="E10381" t="s">
        <v>27</v>
      </c>
    </row>
    <row r="10382" spans="1:5" x14ac:dyDescent="0.25">
      <c r="A10382" t="str">
        <f>HYPERLINK("https://www.773grp.com/globalSearch/CD54HC4075F3A/page-1", "CD54HC4075F3A")</f>
        <v>CD54HC4075F3A</v>
      </c>
      <c r="B10382" s="3" t="s">
        <v>90</v>
      </c>
      <c r="C10382" s="5">
        <v>58</v>
      </c>
      <c r="D10382" s="6">
        <v>14.29</v>
      </c>
      <c r="E10382" t="s">
        <v>27</v>
      </c>
    </row>
    <row r="10383" spans="1:5" x14ac:dyDescent="0.25">
      <c r="A10383" t="str">
        <f>HYPERLINK("https://www.773grp.com/globalSearch/SNJ54LS08J/page-1", "SNJ54LS08J")</f>
        <v>SNJ54LS08J</v>
      </c>
      <c r="B10383" s="3" t="s">
        <v>90</v>
      </c>
      <c r="C10383" s="5">
        <v>956</v>
      </c>
      <c r="D10383" s="6">
        <v>14.29</v>
      </c>
      <c r="E10383" t="s">
        <v>27</v>
      </c>
    </row>
    <row r="10384" spans="1:5" x14ac:dyDescent="0.25">
      <c r="A10384" t="str">
        <f>HYPERLINK("https://www.773grp.com/globalSearch/JM38510-30007BCA/page-1", "JM38510-30007BCA")</f>
        <v>JM38510-30007BCA</v>
      </c>
      <c r="B10384" s="3" t="s">
        <v>90</v>
      </c>
      <c r="C10384" s="5">
        <v>250</v>
      </c>
      <c r="D10384" s="6">
        <v>14.31</v>
      </c>
      <c r="E10384" t="s">
        <v>27</v>
      </c>
    </row>
    <row r="10385" spans="1:5" x14ac:dyDescent="0.25">
      <c r="A10385" t="str">
        <f>HYPERLINK("https://www.773grp.com/globalSearch/SNJ54F32W/page-1", "SNJ54F32W")</f>
        <v>SNJ54F32W</v>
      </c>
      <c r="B10385" s="3" t="s">
        <v>90</v>
      </c>
      <c r="C10385" s="5">
        <v>59</v>
      </c>
      <c r="D10385" s="6">
        <v>14.38</v>
      </c>
      <c r="E10385" t="s">
        <v>27</v>
      </c>
    </row>
    <row r="10386" spans="1:5" x14ac:dyDescent="0.25">
      <c r="A10386" t="str">
        <f>HYPERLINK("https://www.773grp.com/globalSearch/SN54LS11J/page-1", "SN54LS11J")</f>
        <v>SN54LS11J</v>
      </c>
      <c r="B10386" s="3" t="s">
        <v>90</v>
      </c>
      <c r="C10386" s="5">
        <v>2</v>
      </c>
      <c r="D10386" s="6">
        <v>14.4</v>
      </c>
      <c r="E10386" t="s">
        <v>27</v>
      </c>
    </row>
    <row r="10387" spans="1:5" x14ac:dyDescent="0.25">
      <c r="A10387" t="str">
        <f>HYPERLINK("https://www.773grp.com/globalSearch/JM38510-02306BCA/page-1", "JM38510-02306BCA")</f>
        <v>JM38510-02306BCA</v>
      </c>
      <c r="B10387" s="3" t="s">
        <v>90</v>
      </c>
      <c r="C10387" s="5">
        <v>2059</v>
      </c>
      <c r="D10387" s="6">
        <v>14.43</v>
      </c>
      <c r="E10387" t="s">
        <v>27</v>
      </c>
    </row>
    <row r="10388" spans="1:5" x14ac:dyDescent="0.25">
      <c r="A10388" t="str">
        <f>HYPERLINK("https://www.773grp.com/globalSearch/CD40106BF3A/page-1", "CD40106BF3A")</f>
        <v>CD40106BF3A</v>
      </c>
      <c r="B10388" s="3" t="s">
        <v>90</v>
      </c>
      <c r="C10388" s="5">
        <v>994</v>
      </c>
      <c r="D10388" s="6">
        <v>14.46</v>
      </c>
      <c r="E10388" t="s">
        <v>27</v>
      </c>
    </row>
    <row r="10389" spans="1:5" x14ac:dyDescent="0.25">
      <c r="A10389" t="str">
        <f>HYPERLINK("https://www.773grp.com/globalSearch/5962-8685201CA/page-1", "5962-8685201CA")</f>
        <v>5962-8685201CA</v>
      </c>
      <c r="B10389" s="3" t="s">
        <v>90</v>
      </c>
      <c r="C10389" s="5">
        <v>623</v>
      </c>
      <c r="D10389" s="6">
        <v>14.48</v>
      </c>
      <c r="E10389" t="s">
        <v>27</v>
      </c>
    </row>
    <row r="10390" spans="1:5" x14ac:dyDescent="0.25">
      <c r="A10390" t="str">
        <f>HYPERLINK("https://www.773grp.com/globalSearch/CD54HCT32F3A/page-1", "CD54HCT32F3A")</f>
        <v>CD54HCT32F3A</v>
      </c>
      <c r="B10390" s="3" t="s">
        <v>90</v>
      </c>
      <c r="C10390" s="5">
        <v>5</v>
      </c>
      <c r="D10390" s="6">
        <v>14.48</v>
      </c>
      <c r="E10390" t="s">
        <v>27</v>
      </c>
    </row>
    <row r="10391" spans="1:5" x14ac:dyDescent="0.25">
      <c r="A10391" t="str">
        <f>HYPERLINK("https://www.773grp.com/globalSearch/JM38510-33001BDA/page-1", "JM38510-33001BDA")</f>
        <v>JM38510-33001BDA</v>
      </c>
      <c r="B10391" s="3" t="s">
        <v>90</v>
      </c>
      <c r="C10391" s="5">
        <v>185</v>
      </c>
      <c r="D10391" s="6">
        <v>14.48</v>
      </c>
      <c r="E10391" t="s">
        <v>27</v>
      </c>
    </row>
    <row r="10392" spans="1:5" x14ac:dyDescent="0.25">
      <c r="A10392" t="str">
        <f>HYPERLINK("https://www.773grp.com/globalSearch/SNJ54AS02J/page-1", "SNJ54AS02J")</f>
        <v>SNJ54AS02J</v>
      </c>
      <c r="B10392" s="3" t="s">
        <v>90</v>
      </c>
      <c r="C10392" s="5">
        <v>5</v>
      </c>
      <c r="D10392" s="6">
        <v>14.48</v>
      </c>
      <c r="E10392" t="s">
        <v>27</v>
      </c>
    </row>
    <row r="10393" spans="1:5" x14ac:dyDescent="0.25">
      <c r="A10393" t="str">
        <f>HYPERLINK("https://www.773grp.com/globalSearch/CD4093BF/page-1", "CD4093BF")</f>
        <v>CD4093BF</v>
      </c>
      <c r="B10393" s="3" t="s">
        <v>90</v>
      </c>
      <c r="C10393" s="5">
        <v>1112</v>
      </c>
      <c r="D10393" s="6">
        <v>14.51</v>
      </c>
      <c r="E10393" t="s">
        <v>27</v>
      </c>
    </row>
    <row r="10394" spans="1:5" x14ac:dyDescent="0.25">
      <c r="A10394" t="str">
        <f>HYPERLINK("https://www.773grp.com/globalSearch/SNJ54LS26J/page-1", "SNJ54LS26J")</f>
        <v>SNJ54LS26J</v>
      </c>
      <c r="B10394" s="3" t="s">
        <v>90</v>
      </c>
      <c r="C10394" s="5">
        <v>144</v>
      </c>
      <c r="D10394" s="6">
        <v>14.56</v>
      </c>
      <c r="E10394" t="s">
        <v>27</v>
      </c>
    </row>
    <row r="10395" spans="1:5" x14ac:dyDescent="0.25">
      <c r="A10395" t="str">
        <f>HYPERLINK("https://www.773grp.com/globalSearch/SNJ54LS32J/page-1", "SNJ54LS32J")</f>
        <v>SNJ54LS32J</v>
      </c>
      <c r="B10395" s="3" t="s">
        <v>90</v>
      </c>
      <c r="C10395" s="5">
        <v>270</v>
      </c>
      <c r="D10395" s="6">
        <v>14.56</v>
      </c>
      <c r="E10395" t="s">
        <v>27</v>
      </c>
    </row>
    <row r="10396" spans="1:5" x14ac:dyDescent="0.25">
      <c r="A10396" t="str">
        <f>HYPERLINK("https://www.773grp.com/globalSearch/5962-9756001QCA/page-1", "5962-9756001QCA")</f>
        <v>5962-9756001QCA</v>
      </c>
      <c r="B10396" s="3" t="s">
        <v>90</v>
      </c>
      <c r="C10396" s="5">
        <v>42</v>
      </c>
      <c r="D10396" s="6">
        <v>14.63</v>
      </c>
      <c r="E10396" t="s">
        <v>27</v>
      </c>
    </row>
    <row r="10397" spans="1:5" x14ac:dyDescent="0.25">
      <c r="A10397" t="str">
        <f>HYPERLINK("https://www.773grp.com/globalSearch/CD54HCT03F3A/page-1", "CD54HCT03F3A")</f>
        <v>CD54HCT03F3A</v>
      </c>
      <c r="B10397" s="3" t="s">
        <v>90</v>
      </c>
      <c r="C10397" s="5">
        <v>178</v>
      </c>
      <c r="D10397" s="6">
        <v>14.63</v>
      </c>
      <c r="E10397" t="s">
        <v>27</v>
      </c>
    </row>
    <row r="10398" spans="1:5" x14ac:dyDescent="0.25">
      <c r="A10398" t="str">
        <f>HYPERLINK("https://www.773grp.com/globalSearch/5962-8975101CA/page-1", "5962-8975101CA")</f>
        <v>5962-8975101CA</v>
      </c>
      <c r="B10398" s="3" t="s">
        <v>90</v>
      </c>
      <c r="C10398" s="5">
        <v>9</v>
      </c>
      <c r="D10398" s="6">
        <v>14.65</v>
      </c>
      <c r="E10398" t="s">
        <v>27</v>
      </c>
    </row>
    <row r="10399" spans="1:5" x14ac:dyDescent="0.25">
      <c r="A10399" t="str">
        <f>HYPERLINK("https://www.773grp.com/globalSearch/CD54HCT14F/page-1", "CD54HCT14F")</f>
        <v>CD54HCT14F</v>
      </c>
      <c r="B10399" s="3" t="s">
        <v>90</v>
      </c>
      <c r="C10399" s="5">
        <v>1977</v>
      </c>
      <c r="D10399" s="6">
        <v>14.65</v>
      </c>
      <c r="E10399" t="s">
        <v>27</v>
      </c>
    </row>
    <row r="10400" spans="1:5" x14ac:dyDescent="0.25">
      <c r="A10400" t="str">
        <f>HYPERLINK("https://www.773grp.com/globalSearch/5962-8974601CA/page-1", "5962-8974601CA")</f>
        <v>5962-8974601CA</v>
      </c>
      <c r="B10400" s="3" t="s">
        <v>90</v>
      </c>
      <c r="C10400" s="5">
        <v>29</v>
      </c>
      <c r="D10400" s="6">
        <v>14.69</v>
      </c>
      <c r="E10400" t="s">
        <v>27</v>
      </c>
    </row>
    <row r="10401" spans="1:5" x14ac:dyDescent="0.25">
      <c r="A10401" t="str">
        <f>HYPERLINK("https://www.773grp.com/globalSearch/CD54HCT30F3A/page-1", "CD54HCT30F3A")</f>
        <v>CD54HCT30F3A</v>
      </c>
      <c r="B10401" s="3" t="s">
        <v>90</v>
      </c>
      <c r="C10401" s="5">
        <v>4</v>
      </c>
      <c r="D10401" s="6">
        <v>14.69</v>
      </c>
      <c r="E10401" t="s">
        <v>27</v>
      </c>
    </row>
    <row r="10402" spans="1:5" x14ac:dyDescent="0.25">
      <c r="A10402" t="str">
        <f>HYPERLINK("https://www.773grp.com/globalSearch/JM38510-33004BDA/page-1", "JM38510-33004BDA")</f>
        <v>JM38510-33004BDA</v>
      </c>
      <c r="B10402" s="3" t="s">
        <v>90</v>
      </c>
      <c r="C10402" s="5">
        <v>120</v>
      </c>
      <c r="D10402" s="6">
        <v>14.69</v>
      </c>
      <c r="E10402" t="s">
        <v>27</v>
      </c>
    </row>
    <row r="10403" spans="1:5" x14ac:dyDescent="0.25">
      <c r="A10403" t="str">
        <f>HYPERLINK("https://www.773grp.com/globalSearch/5962-9754101QCA/page-1", "5962-9754101QCA")</f>
        <v>5962-9754101QCA</v>
      </c>
      <c r="B10403" s="3" t="s">
        <v>90</v>
      </c>
      <c r="C10403" s="5">
        <v>70</v>
      </c>
      <c r="D10403" s="6">
        <v>14.71</v>
      </c>
      <c r="E10403" t="s">
        <v>27</v>
      </c>
    </row>
    <row r="10404" spans="1:5" x14ac:dyDescent="0.25">
      <c r="A10404" t="str">
        <f>HYPERLINK("https://www.773grp.com/globalSearch/SN54LS21J/page-1", "SN54LS21J")</f>
        <v>SN54LS21J</v>
      </c>
      <c r="B10404" s="3" t="s">
        <v>90</v>
      </c>
      <c r="C10404" s="5">
        <v>152</v>
      </c>
      <c r="D10404" s="6">
        <v>14.74</v>
      </c>
      <c r="E10404" t="s">
        <v>27</v>
      </c>
    </row>
    <row r="10405" spans="1:5" x14ac:dyDescent="0.25">
      <c r="A10405" t="str">
        <f>HYPERLINK("https://www.773grp.com/globalSearch/SNJ54LS27J/page-1", "SNJ54LS27J")</f>
        <v>SNJ54LS27J</v>
      </c>
      <c r="B10405" s="3" t="s">
        <v>90</v>
      </c>
      <c r="C10405" s="5">
        <v>111</v>
      </c>
      <c r="D10405" s="6">
        <v>14.74</v>
      </c>
      <c r="E10405" t="s">
        <v>27</v>
      </c>
    </row>
    <row r="10406" spans="1:5" x14ac:dyDescent="0.25">
      <c r="A10406" t="str">
        <f>HYPERLINK("https://www.773grp.com/globalSearch/JM38510-00701BCA/page-1", "JM38510-00701BCA")</f>
        <v>JM38510-00701BCA</v>
      </c>
      <c r="B10406" s="3" t="s">
        <v>90</v>
      </c>
      <c r="C10406" s="5">
        <v>1</v>
      </c>
      <c r="D10406" s="6">
        <v>14.76</v>
      </c>
      <c r="E10406" t="s">
        <v>27</v>
      </c>
    </row>
    <row r="10407" spans="1:5" x14ac:dyDescent="0.25">
      <c r="A10407" t="str">
        <f>HYPERLINK("https://www.773grp.com/globalSearch/SN54S38J/page-1", "SN54S38J")</f>
        <v>SN54S38J</v>
      </c>
      <c r="B10407" s="3" t="s">
        <v>90</v>
      </c>
      <c r="C10407" s="5">
        <v>29</v>
      </c>
      <c r="D10407" s="6">
        <v>14.8</v>
      </c>
      <c r="E10407" t="s">
        <v>27</v>
      </c>
    </row>
    <row r="10408" spans="1:5" x14ac:dyDescent="0.25">
      <c r="A10408" t="str">
        <f>HYPERLINK("https://www.773grp.com/globalSearch/5962-8970901CA/page-1", "5962-8970901CA")</f>
        <v>5962-8970901CA</v>
      </c>
      <c r="B10408" s="3" t="s">
        <v>90</v>
      </c>
      <c r="C10408" s="5">
        <v>26</v>
      </c>
      <c r="D10408" s="6">
        <v>14.85</v>
      </c>
      <c r="E10408" t="s">
        <v>27</v>
      </c>
    </row>
    <row r="10409" spans="1:5" x14ac:dyDescent="0.25">
      <c r="A10409" t="str">
        <f>HYPERLINK("https://www.773grp.com/globalSearch/CD54HCT4075F3A/page-1", "CD54HCT4075F3A")</f>
        <v>CD54HCT4075F3A</v>
      </c>
      <c r="B10409" s="3" t="s">
        <v>90</v>
      </c>
      <c r="C10409" s="5">
        <v>159</v>
      </c>
      <c r="D10409" s="6">
        <v>14.94</v>
      </c>
      <c r="E10409" t="s">
        <v>27</v>
      </c>
    </row>
    <row r="10410" spans="1:5" x14ac:dyDescent="0.25">
      <c r="A10410" t="str">
        <f>HYPERLINK("https://www.773grp.com/globalSearch/SNJ54S09J/page-1", "SNJ54S09J")</f>
        <v>SNJ54S09J</v>
      </c>
      <c r="B10410" s="3" t="s">
        <v>90</v>
      </c>
      <c r="C10410" s="5">
        <v>23</v>
      </c>
      <c r="D10410" s="6">
        <v>14.94</v>
      </c>
      <c r="E10410" t="s">
        <v>27</v>
      </c>
    </row>
    <row r="10411" spans="1:5" x14ac:dyDescent="0.25">
      <c r="A10411" t="str">
        <f>HYPERLINK("https://www.773grp.com/globalSearch/CD54HCT27F3A/page-1", "CD54HCT27F3A")</f>
        <v>CD54HCT27F3A</v>
      </c>
      <c r="B10411" s="3" t="s">
        <v>90</v>
      </c>
      <c r="C10411" s="5">
        <v>61</v>
      </c>
      <c r="D10411" s="6">
        <v>14.96</v>
      </c>
      <c r="E10411" t="s">
        <v>27</v>
      </c>
    </row>
    <row r="10412" spans="1:5" x14ac:dyDescent="0.25">
      <c r="A10412" t="str">
        <f>HYPERLINK("https://www.773grp.com/globalSearch/SN74S132N/page-1", "SN74S132N")</f>
        <v>SN74S132N</v>
      </c>
      <c r="B10412" s="3" t="s">
        <v>90</v>
      </c>
      <c r="C10412" s="5">
        <v>3750</v>
      </c>
      <c r="D10412" s="6">
        <v>15.1</v>
      </c>
      <c r="E10412" t="s">
        <v>27</v>
      </c>
    </row>
    <row r="10413" spans="1:5" x14ac:dyDescent="0.25">
      <c r="A10413" t="str">
        <f>HYPERLINK("https://www.773grp.com/globalSearch/CDC203DW/page-1", "CDC203DW")</f>
        <v>CDC203DW</v>
      </c>
      <c r="B10413" s="3" t="s">
        <v>90</v>
      </c>
      <c r="C10413" s="5">
        <v>14735</v>
      </c>
      <c r="D10413" s="6">
        <v>15.14</v>
      </c>
      <c r="E10413" t="s">
        <v>27</v>
      </c>
    </row>
    <row r="10414" spans="1:5" x14ac:dyDescent="0.25">
      <c r="A10414" t="str">
        <f>HYPERLINK("https://www.773grp.com/globalSearch/SN54S37J/page-1", "SN54S37J")</f>
        <v>SN54S37J</v>
      </c>
      <c r="B10414" s="3" t="s">
        <v>90</v>
      </c>
      <c r="C10414" s="5">
        <v>16</v>
      </c>
      <c r="D10414" s="6">
        <v>15.14</v>
      </c>
      <c r="E10414" t="s">
        <v>27</v>
      </c>
    </row>
    <row r="10415" spans="1:5" x14ac:dyDescent="0.25">
      <c r="A10415" t="str">
        <f>HYPERLINK("https://www.773grp.com/globalSearch/5962-8688301CA/page-1", "5962-8688301CA")</f>
        <v>5962-8688301CA</v>
      </c>
      <c r="B10415" s="3" t="s">
        <v>90</v>
      </c>
      <c r="C10415" s="5">
        <v>124</v>
      </c>
      <c r="D10415" s="6">
        <v>15.15</v>
      </c>
      <c r="E10415" t="s">
        <v>27</v>
      </c>
    </row>
    <row r="10416" spans="1:5" x14ac:dyDescent="0.25">
      <c r="A10416" t="str">
        <f>HYPERLINK("https://www.773grp.com/globalSearch/CD54HCT08F3A/page-1", "CD54HCT08F3A")</f>
        <v>CD54HCT08F3A</v>
      </c>
      <c r="B10416" s="3" t="s">
        <v>90</v>
      </c>
      <c r="C10416" s="5">
        <v>976</v>
      </c>
      <c r="D10416" s="6">
        <v>15.15</v>
      </c>
      <c r="E10416" t="s">
        <v>27</v>
      </c>
    </row>
    <row r="10417" spans="1:5" x14ac:dyDescent="0.25">
      <c r="A10417" t="str">
        <f>HYPERLINK("https://www.773grp.com/globalSearch/SNJ54F04FK/page-1", "SNJ54F04FK")</f>
        <v>SNJ54F04FK</v>
      </c>
      <c r="B10417" s="3" t="s">
        <v>90</v>
      </c>
      <c r="C10417" s="5">
        <v>64</v>
      </c>
      <c r="D10417" s="6">
        <v>15.19</v>
      </c>
      <c r="E10417" t="s">
        <v>27</v>
      </c>
    </row>
    <row r="10418" spans="1:5" x14ac:dyDescent="0.25">
      <c r="A10418" t="str">
        <f>HYPERLINK("https://www.773grp.com/globalSearch/5962-8984301CA/page-1", "5962-8984301CA")</f>
        <v>5962-8984301CA</v>
      </c>
      <c r="B10418" s="3" t="s">
        <v>90</v>
      </c>
      <c r="C10418" s="5">
        <v>2</v>
      </c>
      <c r="D10418" s="6">
        <v>15.24</v>
      </c>
      <c r="E10418" t="s">
        <v>27</v>
      </c>
    </row>
    <row r="10419" spans="1:5" x14ac:dyDescent="0.25">
      <c r="A10419" t="str">
        <f>HYPERLINK("https://www.773grp.com/globalSearch/CD54HCT20F3A/page-1", "CD54HCT20F3A")</f>
        <v>CD54HCT20F3A</v>
      </c>
      <c r="B10419" s="3" t="s">
        <v>90</v>
      </c>
      <c r="C10419" s="5">
        <v>56</v>
      </c>
      <c r="D10419" s="6">
        <v>15.24</v>
      </c>
      <c r="E10419" t="s">
        <v>27</v>
      </c>
    </row>
    <row r="10420" spans="1:5" x14ac:dyDescent="0.25">
      <c r="A10420" t="str">
        <f>HYPERLINK("https://www.773grp.com/globalSearch/SN54S86J/page-1", "SN54S86J")</f>
        <v>SN54S86J</v>
      </c>
      <c r="B10420" s="3" t="s">
        <v>90</v>
      </c>
      <c r="C10420" s="5">
        <v>95</v>
      </c>
      <c r="D10420" s="6">
        <v>15.24</v>
      </c>
      <c r="E10420" t="s">
        <v>27</v>
      </c>
    </row>
    <row r="10421" spans="1:5" x14ac:dyDescent="0.25">
      <c r="A10421" t="str">
        <f>HYPERLINK("https://www.773grp.com/globalSearch/JM38510-33301B2A/page-1", "JM38510-33301B2A")</f>
        <v>JM38510-33301B2A</v>
      </c>
      <c r="B10421" s="3" t="s">
        <v>90</v>
      </c>
      <c r="C10421" s="5">
        <v>84</v>
      </c>
      <c r="D10421" s="6">
        <v>15.28</v>
      </c>
      <c r="E10421" t="s">
        <v>27</v>
      </c>
    </row>
    <row r="10422" spans="1:5" x14ac:dyDescent="0.25">
      <c r="A10422" t="str">
        <f>HYPERLINK("https://www.773grp.com/globalSearch/JM38510-33001B2A/page-1", "JM38510-33001B2A")</f>
        <v>JM38510-33001B2A</v>
      </c>
      <c r="B10422" s="3" t="s">
        <v>90</v>
      </c>
      <c r="C10422" s="5">
        <v>182</v>
      </c>
      <c r="D10422" s="6">
        <v>15.3</v>
      </c>
      <c r="E10422" t="s">
        <v>27</v>
      </c>
    </row>
    <row r="10423" spans="1:5" x14ac:dyDescent="0.25">
      <c r="A10423" t="str">
        <f>HYPERLINK("https://www.773grp.com/globalSearch/JM38510-33003B2A/page-1", "JM38510-33003B2A")</f>
        <v>JM38510-33003B2A</v>
      </c>
      <c r="B10423" s="3" t="s">
        <v>90</v>
      </c>
      <c r="C10423" s="5">
        <v>143</v>
      </c>
      <c r="D10423" s="6">
        <v>15.33</v>
      </c>
      <c r="E10423" t="s">
        <v>27</v>
      </c>
    </row>
    <row r="10424" spans="1:5" x14ac:dyDescent="0.25">
      <c r="A10424" t="str">
        <f>HYPERLINK("https://www.773grp.com/globalSearch/JM38510-34002B2A/page-1", "JM38510-34002B2A")</f>
        <v>JM38510-34002B2A</v>
      </c>
      <c r="B10424" s="3" t="s">
        <v>90</v>
      </c>
      <c r="C10424" s="5">
        <v>121</v>
      </c>
      <c r="D10424" s="6">
        <v>15.33</v>
      </c>
      <c r="E10424" t="s">
        <v>27</v>
      </c>
    </row>
    <row r="10425" spans="1:5" x14ac:dyDescent="0.25">
      <c r="A10425" t="str">
        <f>HYPERLINK("https://www.773grp.com/globalSearch/CD54HC4049F3A/page-1", "CD54HC4049F3A")</f>
        <v>CD54HC4049F3A</v>
      </c>
      <c r="B10425" s="3" t="s">
        <v>90</v>
      </c>
      <c r="C10425" s="5">
        <v>7</v>
      </c>
      <c r="D10425" s="6">
        <v>15.36</v>
      </c>
      <c r="E10425" t="s">
        <v>27</v>
      </c>
    </row>
    <row r="10426" spans="1:5" x14ac:dyDescent="0.25">
      <c r="A10426" t="str">
        <f>HYPERLINK("https://www.773grp.com/globalSearch/SNJ54F00FK/page-1", "SNJ54F00FK")</f>
        <v>SNJ54F00FK</v>
      </c>
      <c r="B10426" s="3" t="s">
        <v>90</v>
      </c>
      <c r="C10426" s="5">
        <v>21</v>
      </c>
      <c r="D10426" s="6">
        <v>15.41</v>
      </c>
      <c r="E10426" t="s">
        <v>27</v>
      </c>
    </row>
    <row r="10427" spans="1:5" x14ac:dyDescent="0.25">
      <c r="A10427" t="str">
        <f>HYPERLINK("https://www.773grp.com/globalSearch/SNJ54F11FK/page-1", "SNJ54F11FK")</f>
        <v>SNJ54F11FK</v>
      </c>
      <c r="B10427" s="3" t="s">
        <v>90</v>
      </c>
      <c r="C10427" s="5">
        <v>10</v>
      </c>
      <c r="D10427" s="6">
        <v>15.44</v>
      </c>
      <c r="E10427" t="s">
        <v>27</v>
      </c>
    </row>
    <row r="10428" spans="1:5" x14ac:dyDescent="0.25">
      <c r="A10428" t="str">
        <f>HYPERLINK("https://www.773grp.com/globalSearch/SN54136J/page-1", "SN54136J")</f>
        <v>SN54136J</v>
      </c>
      <c r="B10428" s="3" t="s">
        <v>90</v>
      </c>
      <c r="C10428" s="5">
        <v>197</v>
      </c>
      <c r="D10428" s="6">
        <v>15.48</v>
      </c>
      <c r="E10428" t="s">
        <v>27</v>
      </c>
    </row>
    <row r="10429" spans="1:5" x14ac:dyDescent="0.25">
      <c r="A10429" t="str">
        <f>HYPERLINK("https://www.773grp.com/globalSearch/SN54AS34J/page-1", "SN54AS34J")</f>
        <v>SN54AS34J</v>
      </c>
      <c r="B10429" s="3" t="s">
        <v>90</v>
      </c>
      <c r="C10429" s="5">
        <v>306</v>
      </c>
      <c r="D10429" s="6">
        <v>15.48</v>
      </c>
      <c r="E10429" t="s">
        <v>27</v>
      </c>
    </row>
    <row r="10430" spans="1:5" x14ac:dyDescent="0.25">
      <c r="A10430" t="str">
        <f>HYPERLINK("https://www.773grp.com/globalSearch/SNJ54LS30J/page-1", "SNJ54LS30J")</f>
        <v>SNJ54LS30J</v>
      </c>
      <c r="B10430" s="3" t="s">
        <v>90</v>
      </c>
      <c r="C10430" s="5">
        <v>73</v>
      </c>
      <c r="D10430" s="6">
        <v>15.48</v>
      </c>
      <c r="E10430" t="s">
        <v>27</v>
      </c>
    </row>
    <row r="10431" spans="1:5" x14ac:dyDescent="0.25">
      <c r="A10431" t="str">
        <f>HYPERLINK("https://www.773grp.com/globalSearch/JM38510-32102BCA/page-1", "JM38510-32102BCA")</f>
        <v>JM38510-32102BCA</v>
      </c>
      <c r="B10431" s="3" t="s">
        <v>90</v>
      </c>
      <c r="C10431" s="5">
        <v>345</v>
      </c>
      <c r="D10431" s="6">
        <v>15.56</v>
      </c>
      <c r="E10431" t="s">
        <v>27</v>
      </c>
    </row>
    <row r="10432" spans="1:5" x14ac:dyDescent="0.25">
      <c r="A10432" t="str">
        <f>HYPERLINK("https://www.773grp.com/globalSearch/SNJ54LVC00AJ/page-1", "SNJ54LVC00AJ")</f>
        <v>SNJ54LVC00AJ</v>
      </c>
      <c r="B10432" s="3" t="s">
        <v>90</v>
      </c>
      <c r="C10432" s="5">
        <v>21</v>
      </c>
      <c r="D10432" s="6">
        <v>15.56</v>
      </c>
      <c r="E10432" t="s">
        <v>27</v>
      </c>
    </row>
    <row r="10433" spans="1:5" x14ac:dyDescent="0.25">
      <c r="A10433" t="str">
        <f>HYPERLINK("https://www.773grp.com/globalSearch/JM38510-31001BCA/page-1", "JM38510-31001BCA")</f>
        <v>JM38510-31001BCA</v>
      </c>
      <c r="B10433" s="3" t="s">
        <v>90</v>
      </c>
      <c r="C10433" s="5">
        <v>121</v>
      </c>
      <c r="D10433" s="6">
        <v>15.58</v>
      </c>
      <c r="E10433" t="s">
        <v>27</v>
      </c>
    </row>
    <row r="10434" spans="1:5" x14ac:dyDescent="0.25">
      <c r="A10434" t="str">
        <f>HYPERLINK("https://www.773grp.com/globalSearch/SNJ54S64J/page-1", "SNJ54S64J")</f>
        <v>SNJ54S64J</v>
      </c>
      <c r="B10434" s="3" t="s">
        <v>90</v>
      </c>
      <c r="C10434" s="5">
        <v>8</v>
      </c>
      <c r="D10434" s="6">
        <v>15.58</v>
      </c>
      <c r="E10434" t="s">
        <v>27</v>
      </c>
    </row>
    <row r="10435" spans="1:5" x14ac:dyDescent="0.25">
      <c r="A10435" t="str">
        <f>HYPERLINK("https://www.773grp.com/globalSearch/SNJ54HCT14J/page-1", "SNJ54HCT14J")</f>
        <v>SNJ54HCT14J</v>
      </c>
      <c r="B10435" s="3" t="s">
        <v>90</v>
      </c>
      <c r="C10435" s="5">
        <v>57</v>
      </c>
      <c r="D10435" s="6">
        <v>15.66</v>
      </c>
      <c r="E10435" t="s">
        <v>27</v>
      </c>
    </row>
    <row r="10436" spans="1:5" x14ac:dyDescent="0.25">
      <c r="A10436" t="str">
        <f>HYPERLINK("https://www.773grp.com/globalSearch/SN54LS33J/page-1", "SN54LS33J")</f>
        <v>SN54LS33J</v>
      </c>
      <c r="B10436" s="3" t="s">
        <v>90</v>
      </c>
      <c r="C10436" s="5">
        <v>104</v>
      </c>
      <c r="D10436" s="6">
        <v>15.73</v>
      </c>
      <c r="E10436" t="s">
        <v>27</v>
      </c>
    </row>
    <row r="10437" spans="1:5" x14ac:dyDescent="0.25">
      <c r="A10437" t="str">
        <f>HYPERLINK("https://www.773grp.com/globalSearch/SN54S260J/page-1", "SN54S260J")</f>
        <v>SN54S260J</v>
      </c>
      <c r="B10437" s="3" t="s">
        <v>90</v>
      </c>
      <c r="C10437" s="5">
        <v>34</v>
      </c>
      <c r="D10437" s="6">
        <v>15.73</v>
      </c>
      <c r="E10437" t="s">
        <v>27</v>
      </c>
    </row>
    <row r="10438" spans="1:5" x14ac:dyDescent="0.25">
      <c r="A10438" t="str">
        <f>HYPERLINK("https://www.773grp.com/globalSearch/SNJ5425J/page-1", "SNJ5425J")</f>
        <v>SNJ5425J</v>
      </c>
      <c r="B10438" s="3" t="s">
        <v>90</v>
      </c>
      <c r="C10438" s="5">
        <v>139</v>
      </c>
      <c r="D10438" s="6">
        <v>15.86</v>
      </c>
      <c r="E10438" t="s">
        <v>27</v>
      </c>
    </row>
    <row r="10439" spans="1:5" x14ac:dyDescent="0.25">
      <c r="A10439" t="str">
        <f>HYPERLINK("https://www.773grp.com/globalSearch/5962-87549012A/page-1", "5962-87549012A")</f>
        <v>5962-87549012A</v>
      </c>
      <c r="B10439" s="3" t="s">
        <v>90</v>
      </c>
      <c r="C10439" s="5">
        <v>25</v>
      </c>
      <c r="D10439" s="6">
        <v>16.059999999999999</v>
      </c>
      <c r="E10439" t="s">
        <v>27</v>
      </c>
    </row>
    <row r="10440" spans="1:5" x14ac:dyDescent="0.25">
      <c r="A10440" t="str">
        <f>HYPERLINK("https://www.773grp.com/globalSearch/SNJ54LS12FK/page-1", "SNJ54LS12FK")</f>
        <v>SNJ54LS12FK</v>
      </c>
      <c r="B10440" s="3" t="s">
        <v>90</v>
      </c>
      <c r="C10440" s="5">
        <v>326</v>
      </c>
      <c r="D10440" s="6">
        <v>16.09</v>
      </c>
      <c r="E10440" t="s">
        <v>27</v>
      </c>
    </row>
    <row r="10441" spans="1:5" x14ac:dyDescent="0.25">
      <c r="A10441" t="str">
        <f>HYPERLINK("https://www.773grp.com/globalSearch/SNJ54LS28W/page-1", "SNJ54LS28W")</f>
        <v>SNJ54LS28W</v>
      </c>
      <c r="B10441" s="3" t="s">
        <v>90</v>
      </c>
      <c r="C10441" s="5">
        <v>1293</v>
      </c>
      <c r="D10441" s="6">
        <v>16.09</v>
      </c>
      <c r="E10441" t="s">
        <v>27</v>
      </c>
    </row>
    <row r="10442" spans="1:5" x14ac:dyDescent="0.25">
      <c r="A10442" t="str">
        <f>HYPERLINK("https://www.773grp.com/globalSearch/CD4050BF3A/page-1", "CD4050BF3A")</f>
        <v>CD4050BF3A</v>
      </c>
      <c r="B10442" s="3" t="s">
        <v>90</v>
      </c>
      <c r="C10442" s="5">
        <v>32</v>
      </c>
      <c r="D10442" s="6">
        <v>16.149999999999999</v>
      </c>
      <c r="E10442" t="s">
        <v>27</v>
      </c>
    </row>
    <row r="10443" spans="1:5" x14ac:dyDescent="0.25">
      <c r="A10443" t="str">
        <f>HYPERLINK("https://www.773grp.com/globalSearch/SN54LS136J/page-1", "SN54LS136J")</f>
        <v>SN54LS136J</v>
      </c>
      <c r="B10443" s="3" t="s">
        <v>90</v>
      </c>
      <c r="C10443" s="5">
        <v>68</v>
      </c>
      <c r="D10443" s="6">
        <v>16.149999999999999</v>
      </c>
      <c r="E10443" t="s">
        <v>27</v>
      </c>
    </row>
    <row r="10444" spans="1:5" x14ac:dyDescent="0.25">
      <c r="A10444" t="str">
        <f>HYPERLINK("https://www.773grp.com/globalSearch/SNJ5412W/page-1", "SNJ5412W")</f>
        <v>SNJ5412W</v>
      </c>
      <c r="B10444" s="3" t="s">
        <v>90</v>
      </c>
      <c r="C10444" s="5">
        <v>13</v>
      </c>
      <c r="D10444" s="6">
        <v>16.16</v>
      </c>
      <c r="E10444" t="s">
        <v>27</v>
      </c>
    </row>
    <row r="10445" spans="1:5" x14ac:dyDescent="0.25">
      <c r="A10445" t="str">
        <f>HYPERLINK("https://www.773grp.com/globalSearch/CD54HC7266F3A/page-1", "CD54HC7266F3A")</f>
        <v>CD54HC7266F3A</v>
      </c>
      <c r="B10445" s="3" t="s">
        <v>90</v>
      </c>
      <c r="C10445" s="5">
        <v>114</v>
      </c>
      <c r="D10445" s="6">
        <v>16.2</v>
      </c>
      <c r="E10445" t="s">
        <v>27</v>
      </c>
    </row>
    <row r="10446" spans="1:5" x14ac:dyDescent="0.25">
      <c r="A10446" t="str">
        <f>HYPERLINK("https://www.773grp.com/globalSearch/CD4025BF/page-1", "CD4025BF")</f>
        <v>CD4025BF</v>
      </c>
      <c r="B10446" s="3" t="s">
        <v>90</v>
      </c>
      <c r="C10446" s="5">
        <v>240</v>
      </c>
      <c r="D10446" s="6">
        <v>16.25</v>
      </c>
      <c r="E10446" t="s">
        <v>27</v>
      </c>
    </row>
    <row r="10447" spans="1:5" x14ac:dyDescent="0.25">
      <c r="A10447" t="str">
        <f>HYPERLINK("https://www.773grp.com/globalSearch/7600401CA/page-1", "7600401CA")</f>
        <v>7600401CA</v>
      </c>
      <c r="B10447" s="3" t="s">
        <v>90</v>
      </c>
      <c r="C10447" s="5">
        <v>68</v>
      </c>
      <c r="D10447" s="6">
        <v>16.29</v>
      </c>
      <c r="E10447" t="s">
        <v>27</v>
      </c>
    </row>
    <row r="10448" spans="1:5" x14ac:dyDescent="0.25">
      <c r="A10448" t="str">
        <f>HYPERLINK("https://www.773grp.com/globalSearch/SNJ54LS132J/page-1", "SNJ54LS132J")</f>
        <v>SNJ54LS132J</v>
      </c>
      <c r="B10448" s="3" t="s">
        <v>90</v>
      </c>
      <c r="C10448" s="5">
        <v>22</v>
      </c>
      <c r="D10448" s="6">
        <v>16.29</v>
      </c>
      <c r="E10448" t="s">
        <v>27</v>
      </c>
    </row>
    <row r="10449" spans="1:5" x14ac:dyDescent="0.25">
      <c r="A10449" t="str">
        <f>HYPERLINK("https://www.773grp.com/globalSearch/SN54S140J/page-1", "SN54S140J")</f>
        <v>SN54S140J</v>
      </c>
      <c r="B10449" s="3" t="s">
        <v>90</v>
      </c>
      <c r="C10449" s="5">
        <v>41</v>
      </c>
      <c r="D10449" s="6">
        <v>16.309999999999999</v>
      </c>
      <c r="E10449" t="s">
        <v>27</v>
      </c>
    </row>
    <row r="10450" spans="1:5" x14ac:dyDescent="0.25">
      <c r="A10450" t="str">
        <f>HYPERLINK("https://www.773grp.com/globalSearch/SNJ54LS11J/page-1", "SNJ54LS11J")</f>
        <v>SNJ54LS11J</v>
      </c>
      <c r="B10450" s="3" t="s">
        <v>90</v>
      </c>
      <c r="C10450" s="5">
        <v>464</v>
      </c>
      <c r="D10450" s="6">
        <v>16.309999999999999</v>
      </c>
      <c r="E10450" t="s">
        <v>27</v>
      </c>
    </row>
    <row r="10451" spans="1:5" x14ac:dyDescent="0.25">
      <c r="A10451" t="str">
        <f>HYPERLINK("https://www.773grp.com/globalSearch/SN54LS51J/page-1", "SN54LS51J")</f>
        <v>SN54LS51J</v>
      </c>
      <c r="B10451" s="3" t="s">
        <v>90</v>
      </c>
      <c r="C10451" s="5">
        <v>1010</v>
      </c>
      <c r="D10451" s="6">
        <v>16.34</v>
      </c>
      <c r="E10451" t="s">
        <v>27</v>
      </c>
    </row>
    <row r="10452" spans="1:5" x14ac:dyDescent="0.25">
      <c r="A10452" t="str">
        <f>HYPERLINK("https://www.773grp.com/globalSearch/5962-9218301MCA/page-1", "5962-9218301MCA")</f>
        <v>5962-9218301MCA</v>
      </c>
      <c r="B10452" s="3" t="s">
        <v>90</v>
      </c>
      <c r="C10452" s="5">
        <v>997</v>
      </c>
      <c r="D10452" s="6">
        <v>16.43</v>
      </c>
      <c r="E10452" t="s">
        <v>27</v>
      </c>
    </row>
    <row r="10453" spans="1:5" x14ac:dyDescent="0.25">
      <c r="A10453" t="str">
        <f>HYPERLINK("https://www.773grp.com/globalSearch/SNJ5414J/page-1", "SNJ5414J")</f>
        <v>SNJ5414J</v>
      </c>
      <c r="B10453" s="3" t="s">
        <v>90</v>
      </c>
      <c r="C10453" s="5">
        <v>14</v>
      </c>
      <c r="D10453" s="6">
        <v>16.43</v>
      </c>
      <c r="E10453" t="s">
        <v>27</v>
      </c>
    </row>
    <row r="10454" spans="1:5" x14ac:dyDescent="0.25">
      <c r="A10454" t="str">
        <f>HYPERLINK("https://www.773grp.com/globalSearch/SNJ54LS21J/page-1", "SNJ54LS21J")</f>
        <v>SNJ54LS21J</v>
      </c>
      <c r="B10454" s="3" t="s">
        <v>90</v>
      </c>
      <c r="C10454" s="5">
        <v>60</v>
      </c>
      <c r="D10454" s="6">
        <v>16.63</v>
      </c>
      <c r="E10454" t="s">
        <v>27</v>
      </c>
    </row>
    <row r="10455" spans="1:5" x14ac:dyDescent="0.25">
      <c r="A10455" t="str">
        <f>HYPERLINK("https://www.773grp.com/globalSearch/JM38510-00401BCA/page-1", "JM38510-00401BCA")</f>
        <v>JM38510-00401BCA</v>
      </c>
      <c r="B10455" s="3" t="s">
        <v>90</v>
      </c>
      <c r="C10455" s="5">
        <v>523</v>
      </c>
      <c r="D10455" s="6">
        <v>16.739999999999998</v>
      </c>
      <c r="E10455" t="s">
        <v>27</v>
      </c>
    </row>
    <row r="10456" spans="1:5" x14ac:dyDescent="0.25">
      <c r="A10456" t="str">
        <f>HYPERLINK("https://www.773grp.com/globalSearch/CD4023BF3A/page-1", "CD4023BF3A")</f>
        <v>CD4023BF3A</v>
      </c>
      <c r="B10456" s="3" t="s">
        <v>90</v>
      </c>
      <c r="C10456" s="5">
        <v>655</v>
      </c>
      <c r="D10456" s="6">
        <v>16.829999999999998</v>
      </c>
      <c r="E10456" t="s">
        <v>27</v>
      </c>
    </row>
    <row r="10457" spans="1:5" x14ac:dyDescent="0.25">
      <c r="A10457" t="str">
        <f>HYPERLINK("https://www.773grp.com/globalSearch/JM38510-30203BCA/page-1", "JM38510-30203BCA")</f>
        <v>JM38510-30203BCA</v>
      </c>
      <c r="B10457" s="3" t="s">
        <v>90</v>
      </c>
      <c r="C10457" s="5">
        <v>112</v>
      </c>
      <c r="D10457" s="6">
        <v>16.84</v>
      </c>
      <c r="E10457" t="s">
        <v>27</v>
      </c>
    </row>
    <row r="10458" spans="1:5" x14ac:dyDescent="0.25">
      <c r="A10458" t="str">
        <f>HYPERLINK("https://www.773grp.com/globalSearch/SNJ54LVC04AJ/page-1", "SNJ54LVC04AJ")</f>
        <v>SNJ54LVC04AJ</v>
      </c>
      <c r="B10458" s="3" t="s">
        <v>90</v>
      </c>
      <c r="C10458" s="5">
        <v>57</v>
      </c>
      <c r="D10458" s="6">
        <v>16.96</v>
      </c>
      <c r="E10458" t="s">
        <v>27</v>
      </c>
    </row>
    <row r="10459" spans="1:5" x14ac:dyDescent="0.25">
      <c r="A10459" t="str">
        <f>HYPERLINK("https://www.773grp.com/globalSearch/SNJ54S37J/page-1", "SNJ54S37J")</f>
        <v>SNJ54S37J</v>
      </c>
      <c r="B10459" s="3" t="s">
        <v>90</v>
      </c>
      <c r="C10459" s="5">
        <v>196</v>
      </c>
      <c r="D10459" s="6">
        <v>16.96</v>
      </c>
      <c r="E10459" t="s">
        <v>27</v>
      </c>
    </row>
    <row r="10460" spans="1:5" x14ac:dyDescent="0.25">
      <c r="A10460" t="str">
        <f>HYPERLINK("https://www.773grp.com/globalSearch/JM38510-30302BCA/page-1", "JM38510-30302BCA")</f>
        <v>JM38510-30302BCA</v>
      </c>
      <c r="B10460" s="3" t="s">
        <v>90</v>
      </c>
      <c r="C10460" s="5">
        <v>234</v>
      </c>
      <c r="D10460" s="6">
        <v>17.079999999999998</v>
      </c>
      <c r="E10460" t="s">
        <v>27</v>
      </c>
    </row>
    <row r="10461" spans="1:5" x14ac:dyDescent="0.25">
      <c r="A10461" t="str">
        <f>HYPERLINK("https://www.773grp.com/globalSearch/SNJ54LS15W/page-1", "SNJ54LS15W")</f>
        <v>SNJ54LS15W</v>
      </c>
      <c r="B10461" s="3" t="s">
        <v>90</v>
      </c>
      <c r="C10461" s="5">
        <v>109</v>
      </c>
      <c r="D10461" s="6">
        <v>17.100000000000001</v>
      </c>
      <c r="E10461" t="s">
        <v>27</v>
      </c>
    </row>
    <row r="10462" spans="1:5" x14ac:dyDescent="0.25">
      <c r="A10462" t="str">
        <f>HYPERLINK("https://www.773grp.com/globalSearch/SNJ54S38J/page-1", "SNJ54S38J")</f>
        <v>SNJ54S38J</v>
      </c>
      <c r="B10462" s="3" t="s">
        <v>90</v>
      </c>
      <c r="C10462" s="5">
        <v>4</v>
      </c>
      <c r="D10462" s="6">
        <v>17.21</v>
      </c>
      <c r="E10462" t="s">
        <v>27</v>
      </c>
    </row>
    <row r="10463" spans="1:5" x14ac:dyDescent="0.25">
      <c r="A10463" t="str">
        <f>HYPERLINK("https://www.773grp.com/globalSearch/SNJ5404J/page-1", "SNJ5404J")</f>
        <v>SNJ5404J</v>
      </c>
      <c r="B10463" s="3" t="s">
        <v>90</v>
      </c>
      <c r="C10463" s="5">
        <v>253</v>
      </c>
      <c r="D10463" s="6">
        <v>17.3</v>
      </c>
      <c r="E10463" t="s">
        <v>27</v>
      </c>
    </row>
    <row r="10464" spans="1:5" x14ac:dyDescent="0.25">
      <c r="A10464" t="str">
        <f>HYPERLINK("https://www.773grp.com/globalSearch/CD4011UBF/page-1", "CD4011UBF")</f>
        <v>CD4011UBF</v>
      </c>
      <c r="B10464" s="3" t="s">
        <v>90</v>
      </c>
      <c r="C10464" s="5">
        <v>86</v>
      </c>
      <c r="D10464" s="6">
        <v>17.329999999999998</v>
      </c>
      <c r="E10464" t="s">
        <v>27</v>
      </c>
    </row>
    <row r="10465" spans="1:5" x14ac:dyDescent="0.25">
      <c r="A10465" t="str">
        <f>HYPERLINK("https://www.773grp.com/globalSearch/SN5400W/page-1", "SN5400W")</f>
        <v>SN5400W</v>
      </c>
      <c r="B10465" s="3" t="s">
        <v>90</v>
      </c>
      <c r="C10465" s="5">
        <v>211</v>
      </c>
      <c r="D10465" s="6">
        <v>17.329999999999998</v>
      </c>
      <c r="E10465" t="s">
        <v>27</v>
      </c>
    </row>
    <row r="10466" spans="1:5" x14ac:dyDescent="0.25">
      <c r="A10466" t="str">
        <f>HYPERLINK("https://www.773grp.com/globalSearch/JM38510-30003BDA/page-1", "JM38510-30003BDA")</f>
        <v>JM38510-30003BDA</v>
      </c>
      <c r="B10466" s="3" t="s">
        <v>90</v>
      </c>
      <c r="C10466" s="5">
        <v>460</v>
      </c>
      <c r="D10466" s="6">
        <v>17.440000000000001</v>
      </c>
      <c r="E10466" t="s">
        <v>27</v>
      </c>
    </row>
    <row r="10467" spans="1:5" x14ac:dyDescent="0.25">
      <c r="A10467" t="str">
        <f>HYPERLINK("https://www.773grp.com/globalSearch/SNJ54LS04W/page-1", "SNJ54LS04W")</f>
        <v>SNJ54LS04W</v>
      </c>
      <c r="B10467" s="3" t="s">
        <v>90</v>
      </c>
      <c r="C10467" s="5">
        <v>32</v>
      </c>
      <c r="D10467" s="6">
        <v>17.5</v>
      </c>
      <c r="E10467" t="s">
        <v>27</v>
      </c>
    </row>
    <row r="10468" spans="1:5" x14ac:dyDescent="0.25">
      <c r="A10468" t="str">
        <f>HYPERLINK("https://www.773grp.com/globalSearch/JM38510-31003B2A/page-1", "JM38510-31003B2A")</f>
        <v>JM38510-31003B2A</v>
      </c>
      <c r="B10468" s="3" t="s">
        <v>90</v>
      </c>
      <c r="C10468" s="5">
        <v>122</v>
      </c>
      <c r="D10468" s="6">
        <v>17.55</v>
      </c>
      <c r="E10468" t="s">
        <v>27</v>
      </c>
    </row>
    <row r="10469" spans="1:5" x14ac:dyDescent="0.25">
      <c r="A10469" t="str">
        <f>HYPERLINK("https://www.773grp.com/globalSearch/CD4073BF/page-1", "CD4073BF")</f>
        <v>CD4073BF</v>
      </c>
      <c r="B10469" s="3" t="s">
        <v>90</v>
      </c>
      <c r="C10469" s="5">
        <v>495</v>
      </c>
      <c r="D10469" s="6">
        <v>17.59</v>
      </c>
      <c r="E10469" t="s">
        <v>27</v>
      </c>
    </row>
    <row r="10470" spans="1:5" x14ac:dyDescent="0.25">
      <c r="A10470" t="str">
        <f>HYPERLINK("https://www.773grp.com/globalSearch/JM38510-30303BCA/page-1", "JM38510-30303BCA")</f>
        <v>JM38510-30303BCA</v>
      </c>
      <c r="B10470" s="3" t="s">
        <v>90</v>
      </c>
      <c r="C10470" s="5">
        <v>1785</v>
      </c>
      <c r="D10470" s="6">
        <v>17.59</v>
      </c>
      <c r="E10470" t="s">
        <v>27</v>
      </c>
    </row>
    <row r="10471" spans="1:5" x14ac:dyDescent="0.25">
      <c r="A10471" t="str">
        <f>HYPERLINK("https://www.773grp.com/globalSearch/SNJ54HC05J/page-1", "SNJ54HC05J")</f>
        <v>SNJ54HC05J</v>
      </c>
      <c r="B10471" s="3" t="s">
        <v>90</v>
      </c>
      <c r="C10471" s="5">
        <v>8</v>
      </c>
      <c r="D10471" s="6">
        <v>17.59</v>
      </c>
      <c r="E10471" t="s">
        <v>27</v>
      </c>
    </row>
    <row r="10472" spans="1:5" x14ac:dyDescent="0.25">
      <c r="A10472" t="str">
        <f>HYPERLINK("https://www.773grp.com/globalSearch/5962-9557401QCA/page-1", "5962-9557401QCA")</f>
        <v>5962-9557401QCA</v>
      </c>
      <c r="B10472" s="3" t="s">
        <v>90</v>
      </c>
      <c r="C10472" s="5">
        <v>27</v>
      </c>
      <c r="D10472" s="6">
        <v>17.64</v>
      </c>
      <c r="E10472" t="s">
        <v>27</v>
      </c>
    </row>
    <row r="10473" spans="1:5" x14ac:dyDescent="0.25">
      <c r="A10473" t="str">
        <f>HYPERLINK("https://www.773grp.com/globalSearch/CD4002BF/page-1", "CD4002BF")</f>
        <v>CD4002BF</v>
      </c>
      <c r="B10473" s="3" t="s">
        <v>90</v>
      </c>
      <c r="C10473" s="5">
        <v>31</v>
      </c>
      <c r="D10473" s="6">
        <v>17.64</v>
      </c>
      <c r="E10473" t="s">
        <v>27</v>
      </c>
    </row>
    <row r="10474" spans="1:5" x14ac:dyDescent="0.25">
      <c r="A10474" t="str">
        <f>HYPERLINK("https://www.773grp.com/globalSearch/CD4078BF/page-1", "CD4078BF")</f>
        <v>CD4078BF</v>
      </c>
      <c r="B10474" s="3" t="s">
        <v>90</v>
      </c>
      <c r="C10474" s="5">
        <v>5</v>
      </c>
      <c r="D10474" s="6">
        <v>17.690000000000001</v>
      </c>
      <c r="E10474" t="s">
        <v>27</v>
      </c>
    </row>
    <row r="10475" spans="1:5" x14ac:dyDescent="0.25">
      <c r="A10475" t="str">
        <f>HYPERLINK("https://www.773grp.com/globalSearch/CD4078BF/page-1", "CD4078BF")</f>
        <v>CD4078BF</v>
      </c>
      <c r="B10475" s="3" t="s">
        <v>90</v>
      </c>
      <c r="C10475" s="5">
        <v>1</v>
      </c>
      <c r="D10475" s="6">
        <v>17.690000000000001</v>
      </c>
      <c r="E10475" t="s">
        <v>27</v>
      </c>
    </row>
    <row r="10476" spans="1:5" x14ac:dyDescent="0.25">
      <c r="A10476" t="str">
        <f>HYPERLINK("https://www.773grp.com/globalSearch/CD4001UBF/page-1", "CD4001UBF")</f>
        <v>CD4001UBF</v>
      </c>
      <c r="B10476" s="3" t="s">
        <v>90</v>
      </c>
      <c r="C10476" s="5">
        <v>146</v>
      </c>
      <c r="D10476" s="6">
        <v>17.73</v>
      </c>
      <c r="E10476" t="s">
        <v>27</v>
      </c>
    </row>
    <row r="10477" spans="1:5" x14ac:dyDescent="0.25">
      <c r="A10477" t="str">
        <f>HYPERLINK("https://www.773grp.com/globalSearch/8512601CA/page-1", "8512601CA")</f>
        <v>8512601CA</v>
      </c>
      <c r="B10477" s="3" t="s">
        <v>90</v>
      </c>
      <c r="C10477" s="5">
        <v>333</v>
      </c>
      <c r="D10477" s="6">
        <v>17.84</v>
      </c>
      <c r="E10477" t="s">
        <v>27</v>
      </c>
    </row>
    <row r="10478" spans="1:5" x14ac:dyDescent="0.25">
      <c r="A10478" t="str">
        <f>HYPERLINK("https://www.773grp.com/globalSearch/SNJ54LS33J/page-1", "SNJ54LS33J")</f>
        <v>SNJ54LS33J</v>
      </c>
      <c r="B10478" s="3" t="s">
        <v>90</v>
      </c>
      <c r="C10478" s="5">
        <v>20</v>
      </c>
      <c r="D10478" s="6">
        <v>17.84</v>
      </c>
      <c r="E10478" t="s">
        <v>27</v>
      </c>
    </row>
    <row r="10479" spans="1:5" x14ac:dyDescent="0.25">
      <c r="A10479" t="str">
        <f>HYPERLINK("https://www.773grp.com/globalSearch/5962-8984401CA/page-1", "5962-8984401CA")</f>
        <v>5962-8984401CA</v>
      </c>
      <c r="B10479" s="3" t="s">
        <v>90</v>
      </c>
      <c r="C10479" s="5">
        <v>48</v>
      </c>
      <c r="D10479" s="6">
        <v>17.89</v>
      </c>
      <c r="E10479" t="s">
        <v>27</v>
      </c>
    </row>
    <row r="10480" spans="1:5" x14ac:dyDescent="0.25">
      <c r="A10480" t="str">
        <f>HYPERLINK("https://www.773grp.com/globalSearch/CD54HCT86F3A/page-1", "CD54HCT86F3A")</f>
        <v>CD54HCT86F3A</v>
      </c>
      <c r="B10480" s="3" t="s">
        <v>90</v>
      </c>
      <c r="C10480" s="5">
        <v>5</v>
      </c>
      <c r="D10480" s="6">
        <v>17.89</v>
      </c>
      <c r="E10480" t="s">
        <v>27</v>
      </c>
    </row>
    <row r="10481" spans="1:5" x14ac:dyDescent="0.25">
      <c r="A10481" t="str">
        <f>HYPERLINK("https://www.773grp.com/globalSearch/SNJ54S260J/page-1", "SNJ54S260J")</f>
        <v>SNJ54S260J</v>
      </c>
      <c r="B10481" s="3" t="s">
        <v>90</v>
      </c>
      <c r="C10481" s="5">
        <v>188</v>
      </c>
      <c r="D10481" s="6">
        <v>17.89</v>
      </c>
      <c r="E10481" t="s">
        <v>27</v>
      </c>
    </row>
    <row r="10482" spans="1:5" x14ac:dyDescent="0.25">
      <c r="A10482" t="str">
        <f>HYPERLINK("https://www.773grp.com/globalSearch/SNJ54LS01J/page-1", "SNJ54LS01J")</f>
        <v>SNJ54LS01J</v>
      </c>
      <c r="B10482" s="3" t="s">
        <v>90</v>
      </c>
      <c r="C10482" s="5">
        <v>163</v>
      </c>
      <c r="D10482" s="6">
        <v>17.93</v>
      </c>
      <c r="E10482" t="s">
        <v>27</v>
      </c>
    </row>
    <row r="10483" spans="1:5" x14ac:dyDescent="0.25">
      <c r="A10483" t="str">
        <f>HYPERLINK("https://www.773grp.com/globalSearch/SNJ54S140J/page-1", "SNJ54S140J")</f>
        <v>SNJ54S140J</v>
      </c>
      <c r="B10483" s="3" t="s">
        <v>90</v>
      </c>
      <c r="C10483" s="5">
        <v>10</v>
      </c>
      <c r="D10483" s="6">
        <v>17.940000000000001</v>
      </c>
      <c r="E10483" t="s">
        <v>27</v>
      </c>
    </row>
    <row r="10484" spans="1:5" x14ac:dyDescent="0.25">
      <c r="A10484" t="str">
        <f>HYPERLINK("https://www.773grp.com/globalSearch/JM38510-31004BDA/page-1", "JM38510-31004BDA")</f>
        <v>JM38510-31004BDA</v>
      </c>
      <c r="B10484" s="3" t="s">
        <v>90</v>
      </c>
      <c r="C10484" s="5">
        <v>293</v>
      </c>
      <c r="D10484" s="6">
        <v>18.059999999999999</v>
      </c>
      <c r="E10484" t="s">
        <v>27</v>
      </c>
    </row>
    <row r="10485" spans="1:5" x14ac:dyDescent="0.25">
      <c r="A10485" t="str">
        <f>HYPERLINK("https://www.773grp.com/globalSearch/JM38510-30501BDA/page-1", "JM38510-30501BDA")</f>
        <v>JM38510-30501BDA</v>
      </c>
      <c r="B10485" s="3" t="s">
        <v>90</v>
      </c>
      <c r="C10485" s="5">
        <v>83</v>
      </c>
      <c r="D10485" s="6">
        <v>18.09</v>
      </c>
      <c r="E10485" t="s">
        <v>27</v>
      </c>
    </row>
    <row r="10486" spans="1:5" x14ac:dyDescent="0.25">
      <c r="A10486" t="str">
        <f>HYPERLINK("https://www.773grp.com/globalSearch/SN54LS266J/page-1", "SN54LS266J")</f>
        <v>SN54LS266J</v>
      </c>
      <c r="B10486" s="3" t="s">
        <v>90</v>
      </c>
      <c r="C10486" s="5">
        <v>5864</v>
      </c>
      <c r="D10486" s="6">
        <v>18.28</v>
      </c>
      <c r="E10486" t="s">
        <v>27</v>
      </c>
    </row>
    <row r="10487" spans="1:5" x14ac:dyDescent="0.25">
      <c r="A10487" t="str">
        <f>HYPERLINK("https://www.773grp.com/globalSearch/CD4019BF/page-1", "CD4019BF")</f>
        <v>CD4019BF</v>
      </c>
      <c r="B10487" s="3" t="s">
        <v>90</v>
      </c>
      <c r="C10487" s="5">
        <v>1820</v>
      </c>
      <c r="D10487" s="6">
        <v>18.399999999999999</v>
      </c>
      <c r="E10487" t="s">
        <v>27</v>
      </c>
    </row>
    <row r="10488" spans="1:5" x14ac:dyDescent="0.25">
      <c r="A10488" t="str">
        <f>HYPERLINK("https://www.773grp.com/globalSearch/CD4019BF/page-1", "CD4019BF")</f>
        <v>CD4019BF</v>
      </c>
      <c r="B10488" s="3" t="s">
        <v>90</v>
      </c>
      <c r="C10488" s="5">
        <v>157</v>
      </c>
      <c r="D10488" s="6">
        <v>18.399999999999999</v>
      </c>
      <c r="E10488" t="s">
        <v>27</v>
      </c>
    </row>
    <row r="10489" spans="1:5" x14ac:dyDescent="0.25">
      <c r="A10489" t="str">
        <f>HYPERLINK("https://www.773grp.com/globalSearch/SNJ54AC32FK/page-1", "SNJ54AC32FK")</f>
        <v>SNJ54AC32FK</v>
      </c>
      <c r="B10489" s="3" t="s">
        <v>90</v>
      </c>
      <c r="C10489" s="5">
        <v>100</v>
      </c>
      <c r="D10489" s="6">
        <v>18.45</v>
      </c>
      <c r="E10489" t="s">
        <v>27</v>
      </c>
    </row>
    <row r="10490" spans="1:5" x14ac:dyDescent="0.25">
      <c r="A10490" t="str">
        <f>HYPERLINK("https://www.773grp.com/globalSearch/5962-9231901MCA/page-1", "5962-9231901MCA")</f>
        <v>5962-9231901MCA</v>
      </c>
      <c r="B10490" s="3" t="s">
        <v>90</v>
      </c>
      <c r="C10490" s="5">
        <v>146</v>
      </c>
      <c r="D10490" s="6">
        <v>18.48</v>
      </c>
      <c r="E10490" t="s">
        <v>27</v>
      </c>
    </row>
    <row r="10491" spans="1:5" x14ac:dyDescent="0.25">
      <c r="A10491" t="str">
        <f>HYPERLINK("https://www.773grp.com/globalSearch/SNJ54LS136J/page-1", "SNJ54LS136J")</f>
        <v>SNJ54LS136J</v>
      </c>
      <c r="B10491" s="3" t="s">
        <v>90</v>
      </c>
      <c r="C10491" s="5">
        <v>172</v>
      </c>
      <c r="D10491" s="6">
        <v>18.48</v>
      </c>
      <c r="E10491" t="s">
        <v>27</v>
      </c>
    </row>
    <row r="10492" spans="1:5" x14ac:dyDescent="0.25">
      <c r="A10492" t="str">
        <f>HYPERLINK("https://www.773grp.com/globalSearch/5962-87611012A/page-1", "5962-87611012A")</f>
        <v>5962-87611012A</v>
      </c>
      <c r="B10492" s="3" t="s">
        <v>90</v>
      </c>
      <c r="C10492" s="5">
        <v>114</v>
      </c>
      <c r="D10492" s="6">
        <v>18.510000000000002</v>
      </c>
      <c r="E10492" t="s">
        <v>27</v>
      </c>
    </row>
    <row r="10493" spans="1:5" x14ac:dyDescent="0.25">
      <c r="A10493" t="str">
        <f>HYPERLINK("https://www.773grp.com/globalSearch/SNJ54AC11FK/page-1", "SNJ54AC11FK")</f>
        <v>SNJ54AC11FK</v>
      </c>
      <c r="B10493" s="3" t="s">
        <v>90</v>
      </c>
      <c r="C10493" s="5">
        <v>75</v>
      </c>
      <c r="D10493" s="6">
        <v>18.510000000000002</v>
      </c>
      <c r="E10493" t="s">
        <v>27</v>
      </c>
    </row>
    <row r="10494" spans="1:5" x14ac:dyDescent="0.25">
      <c r="A10494" t="str">
        <f>HYPERLINK("https://www.773grp.com/globalSearch/SNJ54LS51J/page-1", "SNJ54LS51J")</f>
        <v>SNJ54LS51J</v>
      </c>
      <c r="B10494" s="3" t="s">
        <v>90</v>
      </c>
      <c r="C10494" s="5">
        <v>222</v>
      </c>
      <c r="D10494" s="6">
        <v>18.53</v>
      </c>
      <c r="E10494" t="s">
        <v>27</v>
      </c>
    </row>
    <row r="10495" spans="1:5" x14ac:dyDescent="0.25">
      <c r="A10495" t="str">
        <f>HYPERLINK("https://www.773grp.com/globalSearch/CD4072BF3A/page-1", "CD4072BF3A")</f>
        <v>CD4072BF3A</v>
      </c>
      <c r="B10495" s="3" t="s">
        <v>90</v>
      </c>
      <c r="C10495" s="5">
        <v>350</v>
      </c>
      <c r="D10495" s="6">
        <v>18.7</v>
      </c>
      <c r="E10495" t="s">
        <v>27</v>
      </c>
    </row>
    <row r="10496" spans="1:5" x14ac:dyDescent="0.25">
      <c r="A10496" t="str">
        <f>HYPERLINK("https://www.773grp.com/globalSearch/JM38510-38401BCA/page-1", "JM38510-38401BCA")</f>
        <v>JM38510-38401BCA</v>
      </c>
      <c r="B10496" s="3" t="s">
        <v>90</v>
      </c>
      <c r="C10496" s="5">
        <v>485</v>
      </c>
      <c r="D10496" s="6">
        <v>18.7</v>
      </c>
      <c r="E10496" t="s">
        <v>27</v>
      </c>
    </row>
    <row r="10497" spans="1:5" x14ac:dyDescent="0.25">
      <c r="A10497" t="str">
        <f>HYPERLINK("https://www.773grp.com/globalSearch/SNJ5428J/page-1", "SNJ5428J")</f>
        <v>SNJ5428J</v>
      </c>
      <c r="B10497" s="3" t="s">
        <v>90</v>
      </c>
      <c r="C10497" s="5">
        <v>29</v>
      </c>
      <c r="D10497" s="6">
        <v>18.760000000000002</v>
      </c>
      <c r="E10497" t="s">
        <v>27</v>
      </c>
    </row>
    <row r="10498" spans="1:5" x14ac:dyDescent="0.25">
      <c r="A10498" t="str">
        <f>HYPERLINK("https://www.773grp.com/globalSearch/5962-89547022A/page-1", "5962-89547022A")</f>
        <v>5962-89547022A</v>
      </c>
      <c r="B10498" s="3" t="s">
        <v>90</v>
      </c>
      <c r="C10498" s="5">
        <v>1</v>
      </c>
      <c r="D10498" s="6">
        <v>18.95</v>
      </c>
      <c r="E10498" t="s">
        <v>27</v>
      </c>
    </row>
    <row r="10499" spans="1:5" x14ac:dyDescent="0.25">
      <c r="A10499" t="str">
        <f>HYPERLINK("https://www.773grp.com/globalSearch/5962-8760901DA/page-1", "5962-8760901DA")</f>
        <v>5962-8760901DA</v>
      </c>
      <c r="B10499" s="3" t="s">
        <v>90</v>
      </c>
      <c r="C10499" s="5">
        <v>400</v>
      </c>
      <c r="D10499" s="6">
        <v>19.010000000000002</v>
      </c>
      <c r="E10499" t="s">
        <v>27</v>
      </c>
    </row>
    <row r="10500" spans="1:5" x14ac:dyDescent="0.25">
      <c r="A10500" t="str">
        <f>HYPERLINK("https://www.773grp.com/globalSearch/JM38510-00104BDA/page-1", "JM38510-00104BDA")</f>
        <v>JM38510-00104BDA</v>
      </c>
      <c r="B10500" s="3" t="s">
        <v>90</v>
      </c>
      <c r="C10500" s="5">
        <v>390</v>
      </c>
      <c r="D10500" s="6">
        <v>19.010000000000002</v>
      </c>
      <c r="E10500" t="s">
        <v>27</v>
      </c>
    </row>
    <row r="10501" spans="1:5" x14ac:dyDescent="0.25">
      <c r="A10501" t="str">
        <f>HYPERLINK("https://www.773grp.com/globalSearch/5962-8761501DA/page-1", "5962-8761501DA")</f>
        <v>5962-8761501DA</v>
      </c>
      <c r="B10501" s="3" t="s">
        <v>90</v>
      </c>
      <c r="C10501" s="5">
        <v>2</v>
      </c>
      <c r="D10501" s="6">
        <v>19.04</v>
      </c>
      <c r="E10501" t="s">
        <v>27</v>
      </c>
    </row>
    <row r="10502" spans="1:5" x14ac:dyDescent="0.25">
      <c r="A10502" t="str">
        <f>HYPERLINK("https://www.773grp.com/globalSearch/5962-8761401DA/page-1", "5962-8761401DA")</f>
        <v>5962-8761401DA</v>
      </c>
      <c r="B10502" s="3" t="s">
        <v>90</v>
      </c>
      <c r="C10502" s="5">
        <v>1</v>
      </c>
      <c r="D10502" s="6">
        <v>19.079999999999998</v>
      </c>
      <c r="E10502" t="s">
        <v>27</v>
      </c>
    </row>
    <row r="10503" spans="1:5" x14ac:dyDescent="0.25">
      <c r="A10503" t="str">
        <f>HYPERLINK("https://www.773grp.com/globalSearch/JM38510-00105BCA/page-1", "JM38510-00105BCA")</f>
        <v>JM38510-00105BCA</v>
      </c>
      <c r="B10503" s="3" t="s">
        <v>90</v>
      </c>
      <c r="C10503" s="5">
        <v>78</v>
      </c>
      <c r="D10503" s="6">
        <v>19.079999999999998</v>
      </c>
      <c r="E10503" t="s">
        <v>27</v>
      </c>
    </row>
    <row r="10504" spans="1:5" x14ac:dyDescent="0.25">
      <c r="A10504" t="str">
        <f>HYPERLINK("https://www.773grp.com/globalSearch/JM38510-30301BDA/page-1", "JM38510-30301BDA")</f>
        <v>JM38510-30301BDA</v>
      </c>
      <c r="B10504" s="3" t="s">
        <v>90</v>
      </c>
      <c r="C10504" s="5">
        <v>40</v>
      </c>
      <c r="D10504" s="6">
        <v>19.079999999999998</v>
      </c>
      <c r="E10504" t="s">
        <v>27</v>
      </c>
    </row>
    <row r="10505" spans="1:5" x14ac:dyDescent="0.25">
      <c r="A10505" t="str">
        <f>HYPERLINK("https://www.773grp.com/globalSearch/SNJ54AC32W/page-1", "SNJ54AC32W")</f>
        <v>SNJ54AC32W</v>
      </c>
      <c r="B10505" s="3" t="s">
        <v>90</v>
      </c>
      <c r="C10505" s="5">
        <v>3</v>
      </c>
      <c r="D10505" s="6">
        <v>19.079999999999998</v>
      </c>
      <c r="E10505" t="s">
        <v>27</v>
      </c>
    </row>
    <row r="10506" spans="1:5" x14ac:dyDescent="0.25">
      <c r="A10506" t="str">
        <f>HYPERLINK("https://www.773grp.com/globalSearch/SNJ54LS02W/page-1", "SNJ54LS02W")</f>
        <v>SNJ54LS02W</v>
      </c>
      <c r="B10506" s="3" t="s">
        <v>90</v>
      </c>
      <c r="C10506" s="5">
        <v>164</v>
      </c>
      <c r="D10506" s="6">
        <v>19.079999999999998</v>
      </c>
      <c r="E10506" t="s">
        <v>27</v>
      </c>
    </row>
    <row r="10507" spans="1:5" x14ac:dyDescent="0.25">
      <c r="A10507" t="str">
        <f>HYPERLINK("https://www.773grp.com/globalSearch/SNJ54ACT00W/page-1", "SNJ54ACT00W")</f>
        <v>SNJ54ACT00W</v>
      </c>
      <c r="B10507" s="3" t="s">
        <v>90</v>
      </c>
      <c r="C10507" s="5">
        <v>2</v>
      </c>
      <c r="D10507" s="6">
        <v>19.100000000000001</v>
      </c>
      <c r="E10507" t="s">
        <v>27</v>
      </c>
    </row>
    <row r="10508" spans="1:5" x14ac:dyDescent="0.25">
      <c r="A10508" t="str">
        <f>HYPERLINK("https://www.773grp.com/globalSearch/5962-8761101DA/page-1", "5962-8761101DA")</f>
        <v>5962-8761101DA</v>
      </c>
      <c r="B10508" s="3" t="s">
        <v>90</v>
      </c>
      <c r="C10508" s="5">
        <v>6</v>
      </c>
      <c r="D10508" s="6">
        <v>19.13</v>
      </c>
      <c r="E10508" t="s">
        <v>27</v>
      </c>
    </row>
    <row r="10509" spans="1:5" x14ac:dyDescent="0.25">
      <c r="A10509" t="str">
        <f>HYPERLINK("https://www.773grp.com/globalSearch/5962-8954702DA/page-1", "5962-8954702DA")</f>
        <v>5962-8954702DA</v>
      </c>
      <c r="B10509" s="3" t="s">
        <v>90</v>
      </c>
      <c r="C10509" s="5">
        <v>42</v>
      </c>
      <c r="D10509" s="6">
        <v>19.190000000000001</v>
      </c>
      <c r="E10509" t="s">
        <v>27</v>
      </c>
    </row>
    <row r="10510" spans="1:5" x14ac:dyDescent="0.25">
      <c r="A10510" t="str">
        <f>HYPERLINK("https://www.773grp.com/globalSearch/SN54S40W/page-1", "SN54S40W")</f>
        <v>SN54S40W</v>
      </c>
      <c r="B10510" s="3" t="s">
        <v>90</v>
      </c>
      <c r="C10510" s="5">
        <v>478</v>
      </c>
      <c r="D10510" s="6">
        <v>19.38</v>
      </c>
      <c r="E10510" t="s">
        <v>27</v>
      </c>
    </row>
    <row r="10511" spans="1:5" x14ac:dyDescent="0.25">
      <c r="A10511" t="str">
        <f>HYPERLINK("https://www.773grp.com/globalSearch/CD40107BF/page-1", "CD40107BF")</f>
        <v>CD40107BF</v>
      </c>
      <c r="B10511" s="3" t="s">
        <v>90</v>
      </c>
      <c r="C10511" s="5">
        <v>38</v>
      </c>
      <c r="D10511" s="6">
        <v>19.41</v>
      </c>
      <c r="E10511" t="s">
        <v>27</v>
      </c>
    </row>
    <row r="10512" spans="1:5" x14ac:dyDescent="0.25">
      <c r="A10512" t="str">
        <f>HYPERLINK("https://www.773grp.com/globalSearch/SNJ5423J/page-1", "SNJ5423J")</f>
        <v>SNJ5423J</v>
      </c>
      <c r="B10512" s="3" t="s">
        <v>90</v>
      </c>
      <c r="C10512" s="5">
        <v>12</v>
      </c>
      <c r="D10512" s="6">
        <v>19.690000000000001</v>
      </c>
      <c r="E10512" t="s">
        <v>27</v>
      </c>
    </row>
    <row r="10513" spans="1:5" x14ac:dyDescent="0.25">
      <c r="A10513" t="str">
        <f>HYPERLINK("https://www.773grp.com/globalSearch/SNJ5454J/page-1", "SNJ5454J")</f>
        <v>SNJ5454J</v>
      </c>
      <c r="B10513" s="3" t="s">
        <v>90</v>
      </c>
      <c r="C10513" s="5">
        <v>128</v>
      </c>
      <c r="D10513" s="6">
        <v>19.690000000000001</v>
      </c>
      <c r="E10513" t="s">
        <v>27</v>
      </c>
    </row>
    <row r="10514" spans="1:5" x14ac:dyDescent="0.25">
      <c r="A10514" t="str">
        <f>HYPERLINK("https://www.773grp.com/globalSearch/CD54ACT32F3A/page-1", "CD54ACT32F3A")</f>
        <v>CD54ACT32F3A</v>
      </c>
      <c r="B10514" s="3" t="s">
        <v>90</v>
      </c>
      <c r="C10514" s="5">
        <v>224</v>
      </c>
      <c r="D10514" s="6">
        <v>19.75</v>
      </c>
      <c r="E10514" t="s">
        <v>27</v>
      </c>
    </row>
    <row r="10515" spans="1:5" x14ac:dyDescent="0.25">
      <c r="A10515" t="str">
        <f>HYPERLINK("https://www.773grp.com/globalSearch/SN54LS08FK/page-1", "SN54LS08FK")</f>
        <v>SN54LS08FK</v>
      </c>
      <c r="B10515" s="3" t="s">
        <v>90</v>
      </c>
      <c r="C10515" s="5">
        <v>34</v>
      </c>
      <c r="D10515" s="6">
        <v>19.8</v>
      </c>
      <c r="E10515" t="s">
        <v>27</v>
      </c>
    </row>
    <row r="10516" spans="1:5" x14ac:dyDescent="0.25">
      <c r="A10516" t="str">
        <f>HYPERLINK("https://www.773grp.com/globalSearch/SN54LS08W/page-1", "SN54LS08W")</f>
        <v>SN54LS08W</v>
      </c>
      <c r="B10516" s="3" t="s">
        <v>90</v>
      </c>
      <c r="C10516" s="5">
        <v>5</v>
      </c>
      <c r="D10516" s="6">
        <v>19.8</v>
      </c>
      <c r="E10516" t="s">
        <v>27</v>
      </c>
    </row>
    <row r="10517" spans="1:5" x14ac:dyDescent="0.25">
      <c r="A10517" t="str">
        <f>HYPERLINK("https://www.773grp.com/globalSearch/SNJ5400J/page-1", "SNJ5400J")</f>
        <v>SNJ5400J</v>
      </c>
      <c r="B10517" s="3" t="s">
        <v>90</v>
      </c>
      <c r="C10517" s="5">
        <v>269</v>
      </c>
      <c r="D10517" s="6">
        <v>19.88</v>
      </c>
      <c r="E10517" t="s">
        <v>27</v>
      </c>
    </row>
    <row r="10518" spans="1:5" x14ac:dyDescent="0.25">
      <c r="A10518" t="str">
        <f>HYPERLINK("https://www.773grp.com/globalSearch/CD4085BF/page-1", "CD4085BF")</f>
        <v>CD4085BF</v>
      </c>
      <c r="B10518" s="3" t="s">
        <v>90</v>
      </c>
      <c r="C10518" s="5">
        <v>51</v>
      </c>
      <c r="D10518" s="6">
        <v>19.96</v>
      </c>
      <c r="E10518" t="s">
        <v>27</v>
      </c>
    </row>
    <row r="10519" spans="1:5" x14ac:dyDescent="0.25">
      <c r="A10519" t="str">
        <f>HYPERLINK("https://www.773grp.com/globalSearch/JM38510-30401BCA/page-1", "JM38510-30401BCA")</f>
        <v>JM38510-30401BCA</v>
      </c>
      <c r="B10519" s="3" t="s">
        <v>90</v>
      </c>
      <c r="C10519" s="5">
        <v>62</v>
      </c>
      <c r="D10519" s="6">
        <v>19.96</v>
      </c>
      <c r="E10519" t="s">
        <v>27</v>
      </c>
    </row>
    <row r="10520" spans="1:5" x14ac:dyDescent="0.25">
      <c r="A10520" t="str">
        <f>HYPERLINK("https://www.773grp.com/globalSearch/5962-9068601QCA/page-1", "5962-9068601QCA")</f>
        <v>5962-9068601QCA</v>
      </c>
      <c r="B10520" s="3" t="s">
        <v>90</v>
      </c>
      <c r="C10520" s="5">
        <v>205</v>
      </c>
      <c r="D10520" s="6">
        <v>20.09</v>
      </c>
      <c r="E10520" t="s">
        <v>27</v>
      </c>
    </row>
    <row r="10521" spans="1:5" x14ac:dyDescent="0.25">
      <c r="A10521" t="str">
        <f>HYPERLINK("https://www.773grp.com/globalSearch/CD4001UBF3A/page-1", "CD4001UBF3A")</f>
        <v>CD4001UBF3A</v>
      </c>
      <c r="B10521" s="3" t="s">
        <v>90</v>
      </c>
      <c r="C10521" s="5">
        <v>1185</v>
      </c>
      <c r="D10521" s="6">
        <v>20.14</v>
      </c>
      <c r="E10521" t="s">
        <v>27</v>
      </c>
    </row>
    <row r="10522" spans="1:5" x14ac:dyDescent="0.25">
      <c r="A10522" t="str">
        <f>HYPERLINK("https://www.773grp.com/globalSearch/CD4075BF3A/page-1", "CD4075BF3A")</f>
        <v>CD4075BF3A</v>
      </c>
      <c r="B10522" s="3" t="s">
        <v>90</v>
      </c>
      <c r="C10522" s="5">
        <v>20</v>
      </c>
      <c r="D10522" s="6">
        <v>20.14</v>
      </c>
      <c r="E10522" t="s">
        <v>27</v>
      </c>
    </row>
    <row r="10523" spans="1:5" x14ac:dyDescent="0.25">
      <c r="A10523" t="str">
        <f>HYPERLINK("https://www.773grp.com/globalSearch/CD54ACT02F3A/page-1", "CD54ACT02F3A")</f>
        <v>CD54ACT02F3A</v>
      </c>
      <c r="B10523" s="3" t="s">
        <v>90</v>
      </c>
      <c r="C10523" s="5">
        <v>318</v>
      </c>
      <c r="D10523" s="6">
        <v>20.14</v>
      </c>
      <c r="E10523" t="s">
        <v>27</v>
      </c>
    </row>
    <row r="10524" spans="1:5" x14ac:dyDescent="0.25">
      <c r="A10524" t="str">
        <f>HYPERLINK("https://www.773grp.com/globalSearch/JM38510-33003BDA/page-1", "JM38510-33003BDA")</f>
        <v>JM38510-33003BDA</v>
      </c>
      <c r="B10524" s="3" t="s">
        <v>90</v>
      </c>
      <c r="C10524" s="5">
        <v>175</v>
      </c>
      <c r="D10524" s="6">
        <v>20.16</v>
      </c>
      <c r="E10524" t="s">
        <v>27</v>
      </c>
    </row>
    <row r="10525" spans="1:5" x14ac:dyDescent="0.25">
      <c r="A10525" t="str">
        <f>HYPERLINK("https://www.773grp.com/globalSearch/CD4012BF3A/page-1", "CD4012BF3A")</f>
        <v>CD4012BF3A</v>
      </c>
      <c r="B10525" s="3" t="s">
        <v>90</v>
      </c>
      <c r="C10525" s="5">
        <v>569</v>
      </c>
      <c r="D10525" s="6">
        <v>20.34</v>
      </c>
      <c r="E10525" t="s">
        <v>27</v>
      </c>
    </row>
    <row r="10526" spans="1:5" x14ac:dyDescent="0.25">
      <c r="A10526" t="str">
        <f>HYPERLINK("https://www.773grp.com/globalSearch/5962-87624012A/page-1", "5962-87624012A")</f>
        <v>5962-87624012A</v>
      </c>
      <c r="B10526" s="3" t="s">
        <v>90</v>
      </c>
      <c r="C10526" s="5">
        <v>8</v>
      </c>
      <c r="D10526" s="6">
        <v>20.36</v>
      </c>
      <c r="E10526" t="s">
        <v>27</v>
      </c>
    </row>
    <row r="10527" spans="1:5" x14ac:dyDescent="0.25">
      <c r="A10527" t="str">
        <f>HYPERLINK("https://www.773grp.com/globalSearch/7705102CA/page-1", "7705102CA")</f>
        <v>7705102CA</v>
      </c>
      <c r="B10527" s="3" t="s">
        <v>90</v>
      </c>
      <c r="C10527" s="5">
        <v>311</v>
      </c>
      <c r="D10527" s="6">
        <v>20.36</v>
      </c>
      <c r="E10527" t="s">
        <v>27</v>
      </c>
    </row>
    <row r="10528" spans="1:5" x14ac:dyDescent="0.25">
      <c r="A10528" t="str">
        <f>HYPERLINK("https://www.773grp.com/globalSearch/CD4073BF3A/page-1", "CD4073BF3A")</f>
        <v>CD4073BF3A</v>
      </c>
      <c r="B10528" s="3" t="s">
        <v>90</v>
      </c>
      <c r="C10528" s="5">
        <v>107</v>
      </c>
      <c r="D10528" s="6">
        <v>20.36</v>
      </c>
      <c r="E10528" t="s">
        <v>27</v>
      </c>
    </row>
    <row r="10529" spans="1:5" x14ac:dyDescent="0.25">
      <c r="A10529" t="str">
        <f>HYPERLINK("https://www.773grp.com/globalSearch/CD4007UBF3A/page-1", "CD4007UBF3A")</f>
        <v>CD4007UBF3A</v>
      </c>
      <c r="B10529" s="3" t="s">
        <v>90</v>
      </c>
      <c r="C10529" s="5">
        <v>774</v>
      </c>
      <c r="D10529" s="6">
        <v>20.59</v>
      </c>
      <c r="E10529" t="s">
        <v>27</v>
      </c>
    </row>
    <row r="10530" spans="1:5" x14ac:dyDescent="0.25">
      <c r="A10530" t="str">
        <f>HYPERLINK("https://www.773grp.com/globalSearch/CD4068BF3A/page-1", "CD4068BF3A")</f>
        <v>CD4068BF3A</v>
      </c>
      <c r="B10530" s="3" t="s">
        <v>90</v>
      </c>
      <c r="C10530" s="5">
        <v>414</v>
      </c>
      <c r="D10530" s="6">
        <v>20.59</v>
      </c>
      <c r="E10530" t="s">
        <v>27</v>
      </c>
    </row>
    <row r="10531" spans="1:5" x14ac:dyDescent="0.25">
      <c r="A10531" t="str">
        <f>HYPERLINK("https://www.773grp.com/globalSearch/7704403CA/page-1", "7704403CA")</f>
        <v>7704403CA</v>
      </c>
      <c r="B10531" s="3" t="s">
        <v>90</v>
      </c>
      <c r="C10531" s="5">
        <v>8</v>
      </c>
      <c r="D10531" s="6">
        <v>20.79</v>
      </c>
      <c r="E10531" t="s">
        <v>27</v>
      </c>
    </row>
    <row r="10532" spans="1:5" x14ac:dyDescent="0.25">
      <c r="A10532" t="str">
        <f>HYPERLINK("https://www.773grp.com/globalSearch/CD4078BF3A/page-1", "CD4078BF3A")</f>
        <v>CD4078BF3A</v>
      </c>
      <c r="B10532" s="3" t="s">
        <v>90</v>
      </c>
      <c r="C10532" s="5">
        <v>3</v>
      </c>
      <c r="D10532" s="6">
        <v>20.88</v>
      </c>
      <c r="E10532" t="s">
        <v>27</v>
      </c>
    </row>
    <row r="10533" spans="1:5" x14ac:dyDescent="0.25">
      <c r="A10533" t="str">
        <f>HYPERLINK("https://www.773grp.com/globalSearch/5962-8973401DA/page-1", "5962-8973401DA")</f>
        <v>5962-8973401DA</v>
      </c>
      <c r="B10533" s="3" t="s">
        <v>90</v>
      </c>
      <c r="C10533" s="5">
        <v>6</v>
      </c>
      <c r="D10533" s="6">
        <v>20.93</v>
      </c>
      <c r="E10533" t="s">
        <v>27</v>
      </c>
    </row>
    <row r="10534" spans="1:5" x14ac:dyDescent="0.25">
      <c r="A10534" t="str">
        <f>HYPERLINK("https://www.773grp.com/globalSearch/SNJ54ACT04W/page-1", "SNJ54ACT04W")</f>
        <v>SNJ54ACT04W</v>
      </c>
      <c r="B10534" s="3" t="s">
        <v>90</v>
      </c>
      <c r="C10534" s="5">
        <v>103</v>
      </c>
      <c r="D10534" s="6">
        <v>20.93</v>
      </c>
      <c r="E10534" t="s">
        <v>27</v>
      </c>
    </row>
    <row r="10535" spans="1:5" x14ac:dyDescent="0.25">
      <c r="A10535" t="str">
        <f>HYPERLINK("https://www.773grp.com/globalSearch/SNJ54LS54J/page-1", "SNJ54LS54J")</f>
        <v>SNJ54LS54J</v>
      </c>
      <c r="B10535" s="3" t="s">
        <v>90</v>
      </c>
      <c r="C10535" s="5">
        <v>6378</v>
      </c>
      <c r="D10535" s="6">
        <v>20.93</v>
      </c>
      <c r="E10535" t="s">
        <v>27</v>
      </c>
    </row>
    <row r="10536" spans="1:5" x14ac:dyDescent="0.25">
      <c r="A10536" t="str">
        <f>HYPERLINK("https://www.773grp.com/globalSearch/CD4077BF3A/page-1", "CD4077BF3A")</f>
        <v>CD4077BF3A</v>
      </c>
      <c r="B10536" s="3" t="s">
        <v>90</v>
      </c>
      <c r="C10536" s="5">
        <v>70</v>
      </c>
      <c r="D10536" s="6">
        <v>21.18</v>
      </c>
      <c r="E10536" t="s">
        <v>27</v>
      </c>
    </row>
    <row r="10537" spans="1:5" x14ac:dyDescent="0.25">
      <c r="A10537" t="str">
        <f>HYPERLINK("https://www.773grp.com/globalSearch/CD4019BF3A/page-1", "CD4019BF3A")</f>
        <v>CD4019BF3A</v>
      </c>
      <c r="B10537" s="3" t="s">
        <v>90</v>
      </c>
      <c r="C10537" s="5">
        <v>458</v>
      </c>
      <c r="D10537" s="6">
        <v>21.44</v>
      </c>
      <c r="E10537" t="s">
        <v>27</v>
      </c>
    </row>
    <row r="10538" spans="1:5" x14ac:dyDescent="0.25">
      <c r="A10538" t="str">
        <f>HYPERLINK("https://www.773grp.com/globalSearch/JM38510-00401BDA/page-1", "JM38510-00401BDA")</f>
        <v>JM38510-00401BDA</v>
      </c>
      <c r="B10538" s="3" t="s">
        <v>90</v>
      </c>
      <c r="C10538" s="5">
        <v>632</v>
      </c>
      <c r="D10538" s="6">
        <v>21.64</v>
      </c>
      <c r="E10538" t="s">
        <v>27</v>
      </c>
    </row>
    <row r="10539" spans="1:5" x14ac:dyDescent="0.25">
      <c r="A10539" t="str">
        <f>HYPERLINK("https://www.773grp.com/globalSearch/JM38510-34002BDA/page-1", "JM38510-34002BDA")</f>
        <v>JM38510-34002BDA</v>
      </c>
      <c r="B10539" s="3" t="s">
        <v>90</v>
      </c>
      <c r="C10539" s="5">
        <v>121</v>
      </c>
      <c r="D10539" s="6">
        <v>21.78</v>
      </c>
      <c r="E10539" t="s">
        <v>27</v>
      </c>
    </row>
    <row r="10540" spans="1:5" x14ac:dyDescent="0.25">
      <c r="A10540" t="str">
        <f>HYPERLINK("https://www.773grp.com/globalSearch/SNJ54ALS27FK/page-1", "SNJ54ALS27FK")</f>
        <v>SNJ54ALS27FK</v>
      </c>
      <c r="B10540" s="3" t="s">
        <v>90</v>
      </c>
      <c r="C10540" s="5">
        <v>493</v>
      </c>
      <c r="D10540" s="6">
        <v>21.89</v>
      </c>
      <c r="E10540" t="s">
        <v>27</v>
      </c>
    </row>
    <row r="10541" spans="1:5" x14ac:dyDescent="0.25">
      <c r="A10541" t="str">
        <f>HYPERLINK("https://www.773grp.com/globalSearch/JM38510-30502BDA/page-1", "JM38510-30502BDA")</f>
        <v>JM38510-30502BDA</v>
      </c>
      <c r="B10541" s="3" t="s">
        <v>90</v>
      </c>
      <c r="C10541" s="5">
        <v>30</v>
      </c>
      <c r="D10541" s="6">
        <v>22.03</v>
      </c>
      <c r="E10541" t="s">
        <v>27</v>
      </c>
    </row>
    <row r="10542" spans="1:5" x14ac:dyDescent="0.25">
      <c r="A10542" t="str">
        <f>HYPERLINK("https://www.773grp.com/globalSearch/JM38510-00503BCA/page-1", "JM38510-00503BCA")</f>
        <v>JM38510-00503BCA</v>
      </c>
      <c r="B10542" s="3" t="s">
        <v>90</v>
      </c>
      <c r="C10542" s="5">
        <v>36</v>
      </c>
      <c r="D10542" s="6">
        <v>22.28</v>
      </c>
      <c r="E10542" t="s">
        <v>27</v>
      </c>
    </row>
    <row r="10543" spans="1:5" x14ac:dyDescent="0.25">
      <c r="A10543" t="str">
        <f>HYPERLINK("https://www.773grp.com/globalSearch/JM38510-00802BCA/page-1", "JM38510-00802BCA")</f>
        <v>JM38510-00802BCA</v>
      </c>
      <c r="B10543" s="3" t="s">
        <v>90</v>
      </c>
      <c r="C10543" s="5">
        <v>132</v>
      </c>
      <c r="D10543" s="6">
        <v>22.28</v>
      </c>
      <c r="E10543" t="s">
        <v>27</v>
      </c>
    </row>
    <row r="10544" spans="1:5" x14ac:dyDescent="0.25">
      <c r="A10544" t="str">
        <f>HYPERLINK("https://www.773grp.com/globalSearch/SNJ54H00W/page-1", "SNJ54H00W")</f>
        <v>SNJ54H00W</v>
      </c>
      <c r="B10544" s="3" t="s">
        <v>90</v>
      </c>
      <c r="C10544" s="5">
        <v>380</v>
      </c>
      <c r="D10544" s="6">
        <v>22.36</v>
      </c>
      <c r="E10544" t="s">
        <v>27</v>
      </c>
    </row>
    <row r="10545" spans="1:5" x14ac:dyDescent="0.25">
      <c r="A10545" t="str">
        <f>HYPERLINK("https://www.773grp.com/globalSearch/SNJ54H10W/page-1", "SNJ54H10W")</f>
        <v>SNJ54H10W</v>
      </c>
      <c r="B10545" s="3" t="s">
        <v>90</v>
      </c>
      <c r="C10545" s="5">
        <v>64</v>
      </c>
      <c r="D10545" s="6">
        <v>22.36</v>
      </c>
      <c r="E10545" t="s">
        <v>27</v>
      </c>
    </row>
    <row r="10546" spans="1:5" x14ac:dyDescent="0.25">
      <c r="A10546" t="str">
        <f>HYPERLINK("https://www.773grp.com/globalSearch/SNJ54H11W/page-1", "SNJ54H11W")</f>
        <v>SNJ54H11W</v>
      </c>
      <c r="B10546" s="3" t="s">
        <v>90</v>
      </c>
      <c r="C10546" s="5">
        <v>156</v>
      </c>
      <c r="D10546" s="6">
        <v>22.36</v>
      </c>
      <c r="E10546" t="s">
        <v>27</v>
      </c>
    </row>
    <row r="10547" spans="1:5" x14ac:dyDescent="0.25">
      <c r="A10547" t="str">
        <f>HYPERLINK("https://www.773grp.com/globalSearch/SNJ54H21W/page-1", "SNJ54H21W")</f>
        <v>SNJ54H21W</v>
      </c>
      <c r="B10547" s="3" t="s">
        <v>90</v>
      </c>
      <c r="C10547" s="5">
        <v>544</v>
      </c>
      <c r="D10547" s="6">
        <v>22.36</v>
      </c>
      <c r="E10547" t="s">
        <v>27</v>
      </c>
    </row>
    <row r="10548" spans="1:5" x14ac:dyDescent="0.25">
      <c r="A10548" t="str">
        <f>HYPERLINK("https://www.773grp.com/globalSearch/SNJ54H22W/page-1", "SNJ54H22W")</f>
        <v>SNJ54H22W</v>
      </c>
      <c r="B10548" s="3" t="s">
        <v>90</v>
      </c>
      <c r="C10548" s="5">
        <v>354</v>
      </c>
      <c r="D10548" s="6">
        <v>22.36</v>
      </c>
      <c r="E10548" t="s">
        <v>27</v>
      </c>
    </row>
    <row r="10549" spans="1:5" x14ac:dyDescent="0.25">
      <c r="A10549" t="str">
        <f>HYPERLINK("https://www.773grp.com/globalSearch/SNJ54H30W/page-1", "SNJ54H30W")</f>
        <v>SNJ54H30W</v>
      </c>
      <c r="B10549" s="3" t="s">
        <v>90</v>
      </c>
      <c r="C10549" s="5">
        <v>143</v>
      </c>
      <c r="D10549" s="6">
        <v>22.36</v>
      </c>
      <c r="E10549" t="s">
        <v>27</v>
      </c>
    </row>
    <row r="10550" spans="1:5" x14ac:dyDescent="0.25">
      <c r="A10550" t="str">
        <f>HYPERLINK("https://www.773grp.com/globalSearch/SNJ54H40W/page-1", "SNJ54H40W")</f>
        <v>SNJ54H40W</v>
      </c>
      <c r="B10550" s="3" t="s">
        <v>90</v>
      </c>
      <c r="C10550" s="5">
        <v>384</v>
      </c>
      <c r="D10550" s="6">
        <v>22.36</v>
      </c>
      <c r="E10550" t="s">
        <v>27</v>
      </c>
    </row>
    <row r="10551" spans="1:5" x14ac:dyDescent="0.25">
      <c r="A10551" t="str">
        <f>HYPERLINK("https://www.773grp.com/globalSearch/SNJ54H50W/page-1", "SNJ54H50W")</f>
        <v>SNJ54H50W</v>
      </c>
      <c r="B10551" s="3" t="s">
        <v>90</v>
      </c>
      <c r="C10551" s="5">
        <v>253</v>
      </c>
      <c r="D10551" s="6">
        <v>22.36</v>
      </c>
      <c r="E10551" t="s">
        <v>27</v>
      </c>
    </row>
    <row r="10552" spans="1:5" x14ac:dyDescent="0.25">
      <c r="A10552" t="str">
        <f>HYPERLINK("https://www.773grp.com/globalSearch/SNJ54H52W/page-1", "SNJ54H52W")</f>
        <v>SNJ54H52W</v>
      </c>
      <c r="B10552" s="3" t="s">
        <v>90</v>
      </c>
      <c r="C10552" s="5">
        <v>42</v>
      </c>
      <c r="D10552" s="6">
        <v>22.36</v>
      </c>
      <c r="E10552" t="s">
        <v>27</v>
      </c>
    </row>
    <row r="10553" spans="1:5" x14ac:dyDescent="0.25">
      <c r="A10553" t="str">
        <f>HYPERLINK("https://www.773grp.com/globalSearch/SNJ54H55W/page-1", "SNJ54H55W")</f>
        <v>SNJ54H55W</v>
      </c>
      <c r="B10553" s="3" t="s">
        <v>90</v>
      </c>
      <c r="C10553" s="5">
        <v>28</v>
      </c>
      <c r="D10553" s="6">
        <v>22.36</v>
      </c>
      <c r="E10553" t="s">
        <v>27</v>
      </c>
    </row>
    <row r="10554" spans="1:5" x14ac:dyDescent="0.25">
      <c r="A10554" t="str">
        <f>HYPERLINK("https://www.773grp.com/globalSearch/5962-8870801DA/page-1", "5962-8870801DA")</f>
        <v>5962-8870801DA</v>
      </c>
      <c r="B10554" s="3" t="s">
        <v>90</v>
      </c>
      <c r="C10554" s="5">
        <v>111</v>
      </c>
      <c r="D10554" s="6">
        <v>22.48</v>
      </c>
      <c r="E10554" t="s">
        <v>27</v>
      </c>
    </row>
    <row r="10555" spans="1:5" x14ac:dyDescent="0.25">
      <c r="A10555" t="str">
        <f>HYPERLINK("https://www.773grp.com/globalSearch/SNJ54LS20FK/page-1", "SNJ54LS20FK")</f>
        <v>SNJ54LS20FK</v>
      </c>
      <c r="B10555" s="3" t="s">
        <v>90</v>
      </c>
      <c r="C10555" s="5">
        <v>107</v>
      </c>
      <c r="D10555" s="6">
        <v>22.66</v>
      </c>
      <c r="E10555" t="s">
        <v>27</v>
      </c>
    </row>
    <row r="10556" spans="1:5" x14ac:dyDescent="0.25">
      <c r="A10556" t="str">
        <f>HYPERLINK("https://www.773grp.com/globalSearch/CD4030BF3A/page-1", "CD4030BF3A")</f>
        <v>CD4030BF3A</v>
      </c>
      <c r="B10556" s="3" t="s">
        <v>90</v>
      </c>
      <c r="C10556" s="5">
        <v>114</v>
      </c>
      <c r="D10556" s="6">
        <v>22.7</v>
      </c>
      <c r="E10556" t="s">
        <v>27</v>
      </c>
    </row>
    <row r="10557" spans="1:5" x14ac:dyDescent="0.25">
      <c r="A10557" t="str">
        <f>HYPERLINK("https://www.773grp.com/globalSearch/JM38510-30005BDA/page-1", "JM38510-30005BDA")</f>
        <v>JM38510-30005BDA</v>
      </c>
      <c r="B10557" s="3" t="s">
        <v>90</v>
      </c>
      <c r="C10557" s="5">
        <v>46</v>
      </c>
      <c r="D10557" s="6">
        <v>22.99</v>
      </c>
      <c r="E10557" t="s">
        <v>27</v>
      </c>
    </row>
    <row r="10558" spans="1:5" x14ac:dyDescent="0.25">
      <c r="A10558" t="str">
        <f>HYPERLINK("https://www.773grp.com/globalSearch/CD4085BF3A/page-1", "CD4085BF3A")</f>
        <v>CD4085BF3A</v>
      </c>
      <c r="B10558" s="3" t="s">
        <v>90</v>
      </c>
      <c r="C10558" s="5">
        <v>74</v>
      </c>
      <c r="D10558" s="6">
        <v>23.18</v>
      </c>
      <c r="E10558" t="s">
        <v>27</v>
      </c>
    </row>
    <row r="10559" spans="1:5" x14ac:dyDescent="0.25">
      <c r="A10559" t="str">
        <f>HYPERLINK("https://www.773grp.com/globalSearch/SNJ54S65FK/page-1", "SNJ54S65FK")</f>
        <v>SNJ54S65FK</v>
      </c>
      <c r="B10559" s="3" t="s">
        <v>90</v>
      </c>
      <c r="C10559" s="5">
        <v>355</v>
      </c>
      <c r="D10559" s="6">
        <v>23.25</v>
      </c>
      <c r="E10559" t="s">
        <v>27</v>
      </c>
    </row>
    <row r="10560" spans="1:5" x14ac:dyDescent="0.25">
      <c r="A10560" t="str">
        <f>HYPERLINK("https://www.773grp.com/globalSearch/5962-8955001DA/page-1", "5962-8955001DA")</f>
        <v>5962-8955001DA</v>
      </c>
      <c r="B10560" s="3" t="s">
        <v>90</v>
      </c>
      <c r="C10560" s="5">
        <v>12</v>
      </c>
      <c r="D10560" s="6">
        <v>23.43</v>
      </c>
      <c r="E10560" t="s">
        <v>27</v>
      </c>
    </row>
    <row r="10561" spans="1:5" x14ac:dyDescent="0.25">
      <c r="A10561" t="str">
        <f>HYPERLINK("https://www.773grp.com/globalSearch/SNJ54LS37FK/page-1", "SNJ54LS37FK")</f>
        <v>SNJ54LS37FK</v>
      </c>
      <c r="B10561" s="3" t="s">
        <v>90</v>
      </c>
      <c r="C10561" s="5">
        <v>35</v>
      </c>
      <c r="D10561" s="6">
        <v>23.51</v>
      </c>
      <c r="E10561" t="s">
        <v>27</v>
      </c>
    </row>
    <row r="10562" spans="1:5" x14ac:dyDescent="0.25">
      <c r="A10562" t="str">
        <f>HYPERLINK("https://www.773grp.com/globalSearch/SNJ54L00J/page-1", "SNJ54L00J")</f>
        <v>SNJ54L00J</v>
      </c>
      <c r="B10562" s="3" t="s">
        <v>90</v>
      </c>
      <c r="C10562" s="5">
        <v>6228</v>
      </c>
      <c r="D10562" s="6">
        <v>23.91</v>
      </c>
      <c r="E10562" t="s">
        <v>27</v>
      </c>
    </row>
    <row r="10563" spans="1:5" x14ac:dyDescent="0.25">
      <c r="A10563" t="str">
        <f>HYPERLINK("https://www.773grp.com/globalSearch/SNJ54L04J/page-1", "SNJ54L04J")</f>
        <v>SNJ54L04J</v>
      </c>
      <c r="B10563" s="3" t="s">
        <v>90</v>
      </c>
      <c r="C10563" s="5">
        <v>3</v>
      </c>
      <c r="D10563" s="6">
        <v>23.91</v>
      </c>
      <c r="E10563" t="s">
        <v>27</v>
      </c>
    </row>
    <row r="10564" spans="1:5" x14ac:dyDescent="0.25">
      <c r="A10564" t="str">
        <f>HYPERLINK("https://www.773grp.com/globalSearch/SNJ54L10J/page-1", "SNJ54L10J")</f>
        <v>SNJ54L10J</v>
      </c>
      <c r="B10564" s="3" t="s">
        <v>90</v>
      </c>
      <c r="C10564" s="5">
        <v>126</v>
      </c>
      <c r="D10564" s="6">
        <v>23.91</v>
      </c>
      <c r="E10564" t="s">
        <v>27</v>
      </c>
    </row>
    <row r="10565" spans="1:5" x14ac:dyDescent="0.25">
      <c r="A10565" t="str">
        <f>HYPERLINK("https://www.773grp.com/globalSearch/SNJ54L51J/page-1", "SNJ54L51J")</f>
        <v>SNJ54L51J</v>
      </c>
      <c r="B10565" s="3" t="s">
        <v>90</v>
      </c>
      <c r="C10565" s="5">
        <v>2</v>
      </c>
      <c r="D10565" s="6">
        <v>23.91</v>
      </c>
      <c r="E10565" t="s">
        <v>27</v>
      </c>
    </row>
    <row r="10566" spans="1:5" x14ac:dyDescent="0.25">
      <c r="A10566" t="str">
        <f>HYPERLINK("https://www.773grp.com/globalSearch/SNJ54L54J/page-1", "SNJ54L54J")</f>
        <v>SNJ54L54J</v>
      </c>
      <c r="B10566" s="3" t="s">
        <v>90</v>
      </c>
      <c r="C10566" s="5">
        <v>59</v>
      </c>
      <c r="D10566" s="6">
        <v>23.91</v>
      </c>
      <c r="E10566" t="s">
        <v>27</v>
      </c>
    </row>
    <row r="10567" spans="1:5" x14ac:dyDescent="0.25">
      <c r="A10567" t="str">
        <f>HYPERLINK("https://www.773grp.com/globalSearch/JM38510-30005B2A/page-1", "JM38510-30005B2A")</f>
        <v>JM38510-30005B2A</v>
      </c>
      <c r="B10567" s="3" t="s">
        <v>90</v>
      </c>
      <c r="C10567" s="5">
        <v>82</v>
      </c>
      <c r="D10567" s="6">
        <v>24.05</v>
      </c>
      <c r="E10567" t="s">
        <v>27</v>
      </c>
    </row>
    <row r="10568" spans="1:5" x14ac:dyDescent="0.25">
      <c r="A10568" t="str">
        <f>HYPERLINK("https://www.773grp.com/globalSearch/SNJ54S09W/page-1", "SNJ54S09W")</f>
        <v>SNJ54S09W</v>
      </c>
      <c r="B10568" s="3" t="s">
        <v>90</v>
      </c>
      <c r="C10568" s="5">
        <v>102</v>
      </c>
      <c r="D10568" s="6">
        <v>24.59</v>
      </c>
      <c r="E10568" t="s">
        <v>27</v>
      </c>
    </row>
    <row r="10569" spans="1:5" x14ac:dyDescent="0.25">
      <c r="A10569" t="str">
        <f>HYPERLINK("https://www.773grp.com/globalSearch/SN54H00W/page-1", "SN54H00W")</f>
        <v>SN54H00W</v>
      </c>
      <c r="B10569" s="3" t="s">
        <v>90</v>
      </c>
      <c r="C10569" s="5">
        <v>2353</v>
      </c>
      <c r="D10569" s="6">
        <v>24.6</v>
      </c>
      <c r="E10569" t="s">
        <v>27</v>
      </c>
    </row>
    <row r="10570" spans="1:5" x14ac:dyDescent="0.25">
      <c r="A10570" t="str">
        <f>HYPERLINK("https://www.773grp.com/globalSearch/SN54H11W/page-1", "SN54H11W")</f>
        <v>SN54H11W</v>
      </c>
      <c r="B10570" s="3" t="s">
        <v>90</v>
      </c>
      <c r="C10570" s="5">
        <v>486</v>
      </c>
      <c r="D10570" s="6">
        <v>24.6</v>
      </c>
      <c r="E10570" t="s">
        <v>27</v>
      </c>
    </row>
    <row r="10571" spans="1:5" x14ac:dyDescent="0.25">
      <c r="A10571" t="str">
        <f>HYPERLINK("https://www.773grp.com/globalSearch/SNJ54LS04FK/page-1", "SNJ54LS04FK")</f>
        <v>SNJ54LS04FK</v>
      </c>
      <c r="B10571" s="3" t="s">
        <v>90</v>
      </c>
      <c r="C10571" s="5">
        <v>2</v>
      </c>
      <c r="D10571" s="6">
        <v>24.93</v>
      </c>
      <c r="E10571" t="s">
        <v>27</v>
      </c>
    </row>
    <row r="10572" spans="1:5" x14ac:dyDescent="0.25">
      <c r="A10572" t="str">
        <f>HYPERLINK("https://www.773grp.com/globalSearch/5962-8874201CA/page-1", "5962-8874201CA")</f>
        <v>5962-8874201CA</v>
      </c>
      <c r="B10572" s="3" t="s">
        <v>90</v>
      </c>
      <c r="C10572" s="5">
        <v>61</v>
      </c>
      <c r="D10572" s="6">
        <v>25.06</v>
      </c>
      <c r="E10572" t="s">
        <v>27</v>
      </c>
    </row>
    <row r="10573" spans="1:5" x14ac:dyDescent="0.25">
      <c r="A10573" t="str">
        <f>HYPERLINK("https://www.773grp.com/globalSearch/JM38510-31303BCA/page-1", "JM38510-31303BCA")</f>
        <v>JM38510-31303BCA</v>
      </c>
      <c r="B10573" s="3" t="s">
        <v>90</v>
      </c>
      <c r="C10573" s="5">
        <v>75</v>
      </c>
      <c r="D10573" s="6">
        <v>25.09</v>
      </c>
      <c r="E10573" t="s">
        <v>27</v>
      </c>
    </row>
    <row r="10574" spans="1:5" x14ac:dyDescent="0.25">
      <c r="A10574" t="str">
        <f>HYPERLINK("https://www.773grp.com/globalSearch/SN54H04W/page-1", "SN54H04W")</f>
        <v>SN54H04W</v>
      </c>
      <c r="B10574" s="3" t="s">
        <v>90</v>
      </c>
      <c r="C10574" s="5">
        <v>2440</v>
      </c>
      <c r="D10574" s="6">
        <v>25.15</v>
      </c>
      <c r="E10574" t="s">
        <v>27</v>
      </c>
    </row>
    <row r="10575" spans="1:5" x14ac:dyDescent="0.25">
      <c r="A10575" t="str">
        <f>HYPERLINK("https://www.773grp.com/globalSearch/SN54H10W/page-1", "SN54H10W")</f>
        <v>SN54H10W</v>
      </c>
      <c r="B10575" s="3" t="s">
        <v>90</v>
      </c>
      <c r="C10575" s="5">
        <v>660</v>
      </c>
      <c r="D10575" s="6">
        <v>25.15</v>
      </c>
      <c r="E10575" t="s">
        <v>27</v>
      </c>
    </row>
    <row r="10576" spans="1:5" x14ac:dyDescent="0.25">
      <c r="A10576" t="str">
        <f>HYPERLINK("https://www.773grp.com/globalSearch/SN54H20W/page-1", "SN54H20W")</f>
        <v>SN54H20W</v>
      </c>
      <c r="B10576" s="3" t="s">
        <v>90</v>
      </c>
      <c r="C10576" s="5">
        <v>334</v>
      </c>
      <c r="D10576" s="6">
        <v>25.15</v>
      </c>
      <c r="E10576" t="s">
        <v>27</v>
      </c>
    </row>
    <row r="10577" spans="1:5" x14ac:dyDescent="0.25">
      <c r="A10577" t="str">
        <f>HYPERLINK("https://www.773grp.com/globalSearch/SN54H21W/page-1", "SN54H21W")</f>
        <v>SN54H21W</v>
      </c>
      <c r="B10577" s="3" t="s">
        <v>90</v>
      </c>
      <c r="C10577" s="5">
        <v>57</v>
      </c>
      <c r="D10577" s="6">
        <v>25.15</v>
      </c>
      <c r="E10577" t="s">
        <v>27</v>
      </c>
    </row>
    <row r="10578" spans="1:5" x14ac:dyDescent="0.25">
      <c r="A10578" t="str">
        <f>HYPERLINK("https://www.773grp.com/globalSearch/SN54H40W/page-1", "SN54H40W")</f>
        <v>SN54H40W</v>
      </c>
      <c r="B10578" s="3" t="s">
        <v>90</v>
      </c>
      <c r="C10578" s="5">
        <v>60</v>
      </c>
      <c r="D10578" s="6">
        <v>25.15</v>
      </c>
      <c r="E10578" t="s">
        <v>27</v>
      </c>
    </row>
    <row r="10579" spans="1:5" x14ac:dyDescent="0.25">
      <c r="A10579" t="str">
        <f>HYPERLINK("https://www.773grp.com/globalSearch/SN54H54W/page-1", "SN54H54W")</f>
        <v>SN54H54W</v>
      </c>
      <c r="B10579" s="3" t="s">
        <v>90</v>
      </c>
      <c r="C10579" s="5">
        <v>4708</v>
      </c>
      <c r="D10579" s="6">
        <v>25.15</v>
      </c>
      <c r="E10579" t="s">
        <v>27</v>
      </c>
    </row>
    <row r="10580" spans="1:5" x14ac:dyDescent="0.25">
      <c r="A10580" t="str">
        <f>HYPERLINK("https://www.773grp.com/globalSearch/JM38510-30003B2A/page-1", "JM38510-30003B2A")</f>
        <v>JM38510-30003B2A</v>
      </c>
      <c r="B10580" s="3" t="s">
        <v>90</v>
      </c>
      <c r="C10580" s="5">
        <v>205</v>
      </c>
      <c r="D10580" s="6">
        <v>25.26</v>
      </c>
      <c r="E10580" t="s">
        <v>27</v>
      </c>
    </row>
    <row r="10581" spans="1:5" x14ac:dyDescent="0.25">
      <c r="A10581" t="str">
        <f>HYPERLINK("https://www.773grp.com/globalSearch/5962-9682501Q2A/page-1", "5962-9682501Q2A")</f>
        <v>5962-9682501Q2A</v>
      </c>
      <c r="B10581" s="3" t="s">
        <v>90</v>
      </c>
      <c r="C10581" s="5">
        <v>1</v>
      </c>
      <c r="D10581" s="6">
        <v>25.28</v>
      </c>
      <c r="E10581" t="s">
        <v>27</v>
      </c>
    </row>
    <row r="10582" spans="1:5" x14ac:dyDescent="0.25">
      <c r="A10582" t="str">
        <f>HYPERLINK("https://www.773grp.com/globalSearch/SN54S134J/page-1", "SN54S134J")</f>
        <v>SN54S134J</v>
      </c>
      <c r="B10582" s="3" t="s">
        <v>90</v>
      </c>
      <c r="C10582" s="5">
        <v>508</v>
      </c>
      <c r="D10582" s="6">
        <v>25.28</v>
      </c>
      <c r="E10582" t="s">
        <v>27</v>
      </c>
    </row>
    <row r="10583" spans="1:5" x14ac:dyDescent="0.25">
      <c r="A10583" t="str">
        <f>HYPERLINK("https://www.773grp.com/globalSearch/SNJ54AHC32FK/page-1", "SNJ54AHC32FK")</f>
        <v>SNJ54AHC32FK</v>
      </c>
      <c r="B10583" s="3" t="s">
        <v>90</v>
      </c>
      <c r="C10583" s="5">
        <v>24</v>
      </c>
      <c r="D10583" s="6">
        <v>25.28</v>
      </c>
      <c r="E10583" t="s">
        <v>27</v>
      </c>
    </row>
    <row r="10584" spans="1:5" x14ac:dyDescent="0.25">
      <c r="A10584" t="str">
        <f>HYPERLINK("https://www.773grp.com/globalSearch/SNJ54AHC02FK/page-1", "SNJ54AHC02FK")</f>
        <v>SNJ54AHC02FK</v>
      </c>
      <c r="B10584" s="3" t="s">
        <v>90</v>
      </c>
      <c r="C10584" s="5">
        <v>9</v>
      </c>
      <c r="D10584" s="6">
        <v>25.36</v>
      </c>
      <c r="E10584" t="s">
        <v>27</v>
      </c>
    </row>
    <row r="10585" spans="1:5" x14ac:dyDescent="0.25">
      <c r="A10585" t="str">
        <f>HYPERLINK("https://www.773grp.com/globalSearch/5962-9682301Q2A/page-1", "5962-9682301Q2A")</f>
        <v>5962-9682301Q2A</v>
      </c>
      <c r="B10585" s="3" t="s">
        <v>90</v>
      </c>
      <c r="C10585" s="5">
        <v>62</v>
      </c>
      <c r="D10585" s="6">
        <v>25.45</v>
      </c>
      <c r="E10585" t="s">
        <v>27</v>
      </c>
    </row>
    <row r="10586" spans="1:5" x14ac:dyDescent="0.25">
      <c r="A10586" t="str">
        <f>HYPERLINK("https://www.773grp.com/globalSearch/5962-9680301Q2A/page-1", "5962-9680301Q2A")</f>
        <v>5962-9680301Q2A</v>
      </c>
      <c r="B10586" s="3" t="s">
        <v>90</v>
      </c>
      <c r="C10586" s="5">
        <v>26</v>
      </c>
      <c r="D10586" s="6">
        <v>25.49</v>
      </c>
      <c r="E10586" t="s">
        <v>27</v>
      </c>
    </row>
    <row r="10587" spans="1:5" x14ac:dyDescent="0.25">
      <c r="A10587" t="str">
        <f>HYPERLINK("https://www.773grp.com/globalSearch/5962-9680501Q2A/page-1", "5962-9680501Q2A")</f>
        <v>5962-9680501Q2A</v>
      </c>
      <c r="B10587" s="3" t="s">
        <v>90</v>
      </c>
      <c r="C10587" s="5">
        <v>11</v>
      </c>
      <c r="D10587" s="6">
        <v>25.49</v>
      </c>
      <c r="E10587" t="s">
        <v>27</v>
      </c>
    </row>
    <row r="10588" spans="1:5" x14ac:dyDescent="0.25">
      <c r="A10588" t="str">
        <f>HYPERLINK("https://www.773grp.com/globalSearch/5962-9680401Q2A/page-1", "5962-9680401Q2A")</f>
        <v>5962-9680401Q2A</v>
      </c>
      <c r="B10588" s="3" t="s">
        <v>90</v>
      </c>
      <c r="C10588" s="5">
        <v>58</v>
      </c>
      <c r="D10588" s="6">
        <v>25.51</v>
      </c>
      <c r="E10588" t="s">
        <v>27</v>
      </c>
    </row>
    <row r="10589" spans="1:5" x14ac:dyDescent="0.25">
      <c r="A10589" t="str">
        <f>HYPERLINK("https://www.773grp.com/globalSearch/5962-9682001Q2A/page-1", "5962-9682001Q2A")</f>
        <v>5962-9682001Q2A</v>
      </c>
      <c r="B10589" s="3" t="s">
        <v>90</v>
      </c>
      <c r="C10589" s="5">
        <v>15</v>
      </c>
      <c r="D10589" s="6">
        <v>25.54</v>
      </c>
      <c r="E10589" t="s">
        <v>27</v>
      </c>
    </row>
    <row r="10590" spans="1:5" x14ac:dyDescent="0.25">
      <c r="A10590" t="str">
        <f>HYPERLINK("https://www.773grp.com/globalSearch/SNJ54AHC08FK/page-1", "SNJ54AHC08FK")</f>
        <v>SNJ54AHC08FK</v>
      </c>
      <c r="B10590" s="3" t="s">
        <v>90</v>
      </c>
      <c r="C10590" s="5">
        <v>43</v>
      </c>
      <c r="D10590" s="6">
        <v>25.54</v>
      </c>
      <c r="E10590" t="s">
        <v>27</v>
      </c>
    </row>
    <row r="10591" spans="1:5" x14ac:dyDescent="0.25">
      <c r="A10591" t="str">
        <f>HYPERLINK("https://www.773grp.com/globalSearch/5962-9682601Q2A/page-1", "5962-9682601Q2A")</f>
        <v>5962-9682601Q2A</v>
      </c>
      <c r="B10591" s="3" t="s">
        <v>90</v>
      </c>
      <c r="C10591" s="5">
        <v>4</v>
      </c>
      <c r="D10591" s="6">
        <v>25.56</v>
      </c>
      <c r="E10591" t="s">
        <v>27</v>
      </c>
    </row>
    <row r="10592" spans="1:5" x14ac:dyDescent="0.25">
      <c r="A10592" t="str">
        <f>HYPERLINK("https://www.773grp.com/globalSearch/JM38510-00303BCA/page-1", "JM38510-00303BCA")</f>
        <v>JM38510-00303BCA</v>
      </c>
      <c r="B10592" s="3" t="s">
        <v>90</v>
      </c>
      <c r="C10592" s="5">
        <v>36</v>
      </c>
      <c r="D10592" s="6">
        <v>25.56</v>
      </c>
      <c r="E10592" t="s">
        <v>27</v>
      </c>
    </row>
    <row r="10593" spans="1:5" x14ac:dyDescent="0.25">
      <c r="A10593" t="str">
        <f>HYPERLINK("https://www.773grp.com/globalSearch/5962-9665801Q2A/page-1", "5962-9665801Q2A")</f>
        <v>5962-9665801Q2A</v>
      </c>
      <c r="B10593" s="3" t="s">
        <v>90</v>
      </c>
      <c r="C10593" s="5">
        <v>283</v>
      </c>
      <c r="D10593" s="6">
        <v>25.65</v>
      </c>
      <c r="E10593" t="s">
        <v>27</v>
      </c>
    </row>
    <row r="10594" spans="1:5" x14ac:dyDescent="0.25">
      <c r="A10594" t="str">
        <f>HYPERLINK("https://www.773grp.com/globalSearch/SNJ54LS14FK/page-1", "SNJ54LS14FK")</f>
        <v>SNJ54LS14FK</v>
      </c>
      <c r="B10594" s="3" t="s">
        <v>90</v>
      </c>
      <c r="C10594" s="5">
        <v>182</v>
      </c>
      <c r="D10594" s="6">
        <v>25.65</v>
      </c>
      <c r="E10594" t="s">
        <v>27</v>
      </c>
    </row>
    <row r="10595" spans="1:5" x14ac:dyDescent="0.25">
      <c r="A10595" t="str">
        <f>HYPERLINK("https://www.773grp.com/globalSearch/SNJ5407W/page-1", "SNJ5407W")</f>
        <v>SNJ5407W</v>
      </c>
      <c r="B10595" s="3" t="s">
        <v>90</v>
      </c>
      <c r="C10595" s="5">
        <v>236</v>
      </c>
      <c r="D10595" s="6">
        <v>25.85</v>
      </c>
      <c r="E10595" t="s">
        <v>27</v>
      </c>
    </row>
    <row r="10596" spans="1:5" x14ac:dyDescent="0.25">
      <c r="A10596" t="str">
        <f>HYPERLINK("https://www.773grp.com/globalSearch/5962-87610012A/page-1", "5962-87610012A")</f>
        <v>5962-87610012A</v>
      </c>
      <c r="B10596" s="3" t="s">
        <v>90</v>
      </c>
      <c r="C10596" s="5">
        <v>40</v>
      </c>
      <c r="D10596" s="6">
        <v>25.9</v>
      </c>
      <c r="E10596" t="s">
        <v>27</v>
      </c>
    </row>
    <row r="10597" spans="1:5" x14ac:dyDescent="0.25">
      <c r="A10597" t="str">
        <f>HYPERLINK("https://www.773grp.com/globalSearch/SNJ54AC10FK/page-1", "SNJ54AC10FK")</f>
        <v>SNJ54AC10FK</v>
      </c>
      <c r="B10597" s="3" t="s">
        <v>90</v>
      </c>
      <c r="C10597" s="5">
        <v>17</v>
      </c>
      <c r="D10597" s="6">
        <v>25.9</v>
      </c>
      <c r="E10597" t="s">
        <v>27</v>
      </c>
    </row>
    <row r="10598" spans="1:5" x14ac:dyDescent="0.25">
      <c r="A10598" t="str">
        <f>HYPERLINK("https://www.773grp.com/globalSearch/SNJ54LS51FK/page-1", "SNJ54LS51FK")</f>
        <v>SNJ54LS51FK</v>
      </c>
      <c r="B10598" s="3" t="s">
        <v>90</v>
      </c>
      <c r="C10598" s="5">
        <v>67</v>
      </c>
      <c r="D10598" s="6">
        <v>25.9</v>
      </c>
      <c r="E10598" t="s">
        <v>27</v>
      </c>
    </row>
    <row r="10599" spans="1:5" x14ac:dyDescent="0.25">
      <c r="A10599" t="str">
        <f>HYPERLINK("https://www.773grp.com/globalSearch/SNJ54LS21FK/page-1", "SNJ54LS21FK")</f>
        <v>SNJ54LS21FK</v>
      </c>
      <c r="B10599" s="3" t="s">
        <v>90</v>
      </c>
      <c r="C10599" s="5">
        <v>107</v>
      </c>
      <c r="D10599" s="6">
        <v>26.29</v>
      </c>
      <c r="E10599" t="s">
        <v>27</v>
      </c>
    </row>
    <row r="10600" spans="1:5" x14ac:dyDescent="0.25">
      <c r="A10600" t="str">
        <f>HYPERLINK("https://www.773grp.com/globalSearch/SNJ54LS10W/page-1", "SNJ54LS10W")</f>
        <v>SNJ54LS10W</v>
      </c>
      <c r="B10600" s="3" t="s">
        <v>90</v>
      </c>
      <c r="C10600" s="5">
        <v>45</v>
      </c>
      <c r="D10600" s="6">
        <v>26.33</v>
      </c>
      <c r="E10600" t="s">
        <v>27</v>
      </c>
    </row>
    <row r="10601" spans="1:5" x14ac:dyDescent="0.25">
      <c r="A10601" t="str">
        <f>HYPERLINK("https://www.773grp.com/globalSearch/JM38510-33004B2A/page-1", "JM38510-33004B2A")</f>
        <v>JM38510-33004B2A</v>
      </c>
      <c r="B10601" s="3" t="s">
        <v>90</v>
      </c>
      <c r="C10601" s="5">
        <v>39</v>
      </c>
      <c r="D10601" s="6">
        <v>26.41</v>
      </c>
      <c r="E10601" t="s">
        <v>27</v>
      </c>
    </row>
    <row r="10602" spans="1:5" x14ac:dyDescent="0.25">
      <c r="A10602" t="str">
        <f>HYPERLINK("https://www.773grp.com/globalSearch/SNJ54LS10FK/page-1", "SNJ54LS10FK")</f>
        <v>SNJ54LS10FK</v>
      </c>
      <c r="B10602" s="3" t="s">
        <v>90</v>
      </c>
      <c r="C10602" s="5">
        <v>168</v>
      </c>
      <c r="D10602" s="6">
        <v>26.44</v>
      </c>
      <c r="E10602" t="s">
        <v>27</v>
      </c>
    </row>
    <row r="10603" spans="1:5" x14ac:dyDescent="0.25">
      <c r="A10603" t="str">
        <f>HYPERLINK("https://www.773grp.com/globalSearch/5962-9758401Q2A/page-1", "5962-9758401Q2A")</f>
        <v>5962-9758401Q2A</v>
      </c>
      <c r="B10603" s="3" t="s">
        <v>90</v>
      </c>
      <c r="C10603" s="5">
        <v>70</v>
      </c>
      <c r="D10603" s="6">
        <v>26.46</v>
      </c>
      <c r="E10603" t="s">
        <v>27</v>
      </c>
    </row>
    <row r="10604" spans="1:5" x14ac:dyDescent="0.25">
      <c r="A10604" t="str">
        <f>HYPERLINK("https://www.773grp.com/globalSearch/SNJ54F20FK/page-1", "SNJ54F20FK")</f>
        <v>SNJ54F20FK</v>
      </c>
      <c r="B10604" s="3" t="s">
        <v>90</v>
      </c>
      <c r="C10604" s="5">
        <v>47</v>
      </c>
      <c r="D10604" s="6">
        <v>26.46</v>
      </c>
      <c r="E10604" t="s">
        <v>27</v>
      </c>
    </row>
    <row r="10605" spans="1:5" x14ac:dyDescent="0.25">
      <c r="A10605" t="str">
        <f>HYPERLINK("https://www.773grp.com/globalSearch/SN54S05FK/page-1", "SN54S05FK")</f>
        <v>SN54S05FK</v>
      </c>
      <c r="B10605" s="3" t="s">
        <v>90</v>
      </c>
      <c r="C10605" s="5">
        <v>47</v>
      </c>
      <c r="D10605" s="6">
        <v>26.5</v>
      </c>
      <c r="E10605" t="s">
        <v>27</v>
      </c>
    </row>
    <row r="10606" spans="1:5" x14ac:dyDescent="0.25">
      <c r="A10606" t="str">
        <f>HYPERLINK("https://www.773grp.com/globalSearch/SN54AS805BJ/page-1", "SN54AS805BJ")</f>
        <v>SN54AS805BJ</v>
      </c>
      <c r="B10606" s="3" t="s">
        <v>90</v>
      </c>
      <c r="C10606" s="5">
        <v>48</v>
      </c>
      <c r="D10606" s="6">
        <v>27.18</v>
      </c>
      <c r="E10606" t="s">
        <v>27</v>
      </c>
    </row>
    <row r="10607" spans="1:5" x14ac:dyDescent="0.25">
      <c r="A10607" t="str">
        <f>HYPERLINK("https://www.773grp.com/globalSearch/JM38510-00105BDA/page-1", "JM38510-00105BDA")</f>
        <v>JM38510-00105BDA</v>
      </c>
      <c r="B10607" s="3" t="s">
        <v>90</v>
      </c>
      <c r="C10607" s="5">
        <v>785</v>
      </c>
      <c r="D10607" s="6">
        <v>27.2</v>
      </c>
      <c r="E10607" t="s">
        <v>27</v>
      </c>
    </row>
    <row r="10608" spans="1:5" x14ac:dyDescent="0.25">
      <c r="A10608" t="str">
        <f>HYPERLINK("https://www.773grp.com/globalSearch/JM38510-00403BCA/page-1", "JM38510-00403BCA")</f>
        <v>JM38510-00403BCA</v>
      </c>
      <c r="B10608" s="3" t="str">
        <f>HYPERLINK("https://www.773grp.com/manufacturer/texas-instruments?pageNo=41", "Texas Instruments")</f>
        <v>Texas Instruments</v>
      </c>
      <c r="C10608" s="5">
        <v>209</v>
      </c>
      <c r="D10608" s="6">
        <v>27.64</v>
      </c>
      <c r="E10608" t="s">
        <v>27</v>
      </c>
    </row>
    <row r="10609" spans="1:5" x14ac:dyDescent="0.25">
      <c r="A10609" t="str">
        <f>HYPERLINK("https://www.773grp.com/globalSearch/5962-9681601Q2A/page-1", "5962-9681601Q2A")</f>
        <v>5962-9681601Q2A</v>
      </c>
      <c r="B10609" s="3" t="str">
        <f>HYPERLINK("https://www.773grp.com/manufacturer/texas-instruments?pageNo=87", "Texas Instruments")</f>
        <v>Texas Instruments</v>
      </c>
      <c r="C10609" s="5">
        <v>16</v>
      </c>
      <c r="D10609" s="6">
        <v>27.88</v>
      </c>
      <c r="E10609" t="s">
        <v>27</v>
      </c>
    </row>
    <row r="10610" spans="1:5" x14ac:dyDescent="0.25">
      <c r="A10610" t="str">
        <f>HYPERLINK("https://www.773grp.com/globalSearch/SN54H87W/page-1", "SN54H87W")</f>
        <v>SN54H87W</v>
      </c>
      <c r="B10610" s="3" t="str">
        <f>HYPERLINK("https://www.773grp.com/manufacturer/texas-instruments?pageNo=94", "Texas Instruments")</f>
        <v>Texas Instruments</v>
      </c>
      <c r="C10610" s="5">
        <v>481</v>
      </c>
      <c r="D10610" s="6">
        <v>27.96</v>
      </c>
      <c r="E10610" t="s">
        <v>27</v>
      </c>
    </row>
    <row r="10611" spans="1:5" x14ac:dyDescent="0.25">
      <c r="A10611" t="str">
        <f>HYPERLINK("https://www.773grp.com/globalSearch/5962-9681701Q2A/page-1", "5962-9681701Q2A")</f>
        <v>5962-9681701Q2A</v>
      </c>
      <c r="B10611" s="3" t="str">
        <f>HYPERLINK("https://www.773grp.com/manufacturer/texas-instruments?pageNo=98", "Texas Instruments")</f>
        <v>Texas Instruments</v>
      </c>
      <c r="C10611" s="5">
        <v>19</v>
      </c>
      <c r="D10611" s="6">
        <v>27.98</v>
      </c>
      <c r="E10611" t="s">
        <v>27</v>
      </c>
    </row>
    <row r="10612" spans="1:5" x14ac:dyDescent="0.25">
      <c r="A10612" t="str">
        <f>HYPERLINK("https://www.773grp.com/globalSearch/SNJ54AHCT86FK/page-1", "SNJ54AHCT86FK")</f>
        <v>SNJ54AHCT86FK</v>
      </c>
      <c r="B10612" s="3" t="str">
        <f>HYPERLINK("https://www.773grp.com/manufacturer/texas-instruments?pageNo=109", "Texas Instruments")</f>
        <v>Texas Instruments</v>
      </c>
      <c r="C10612" s="5">
        <v>2</v>
      </c>
      <c r="D10612" s="6">
        <v>27.98</v>
      </c>
      <c r="E10612" t="s">
        <v>27</v>
      </c>
    </row>
    <row r="10613" spans="1:5" x14ac:dyDescent="0.25">
      <c r="A10613" t="str">
        <f>HYPERLINK("https://www.773grp.com/globalSearch/JM38510-31001B2A/page-1", "JM38510-31001B2A")</f>
        <v>JM38510-31001B2A</v>
      </c>
      <c r="B10613" s="3" t="str">
        <f>HYPERLINK("https://www.773grp.com/manufacturer/texas-instruments?pageNo=117", "Texas Instruments")</f>
        <v>Texas Instruments</v>
      </c>
      <c r="C10613" s="5">
        <v>10</v>
      </c>
      <c r="D10613" s="6">
        <v>28.06</v>
      </c>
      <c r="E10613" t="s">
        <v>27</v>
      </c>
    </row>
    <row r="10614" spans="1:5" x14ac:dyDescent="0.25">
      <c r="A10614" t="str">
        <f>HYPERLINK("https://www.773grp.com/globalSearch/SNJ54ALS832AJ/page-1", "SNJ54ALS832AJ")</f>
        <v>SNJ54ALS832AJ</v>
      </c>
      <c r="B10614" s="3" t="str">
        <f>HYPERLINK("https://www.773grp.com/manufacturer/texas-instruments?pageNo=120", "Texas Instruments")</f>
        <v>Texas Instruments</v>
      </c>
      <c r="C10614" s="5">
        <v>198</v>
      </c>
      <c r="D10614" s="6">
        <v>28.06</v>
      </c>
      <c r="E10614" t="s">
        <v>27</v>
      </c>
    </row>
    <row r="10615" spans="1:5" x14ac:dyDescent="0.25">
      <c r="A10615" t="str">
        <f>HYPERLINK("https://www.773grp.com/globalSearch/5962-9665801QDA/page-1", "5962-9665801QDA")</f>
        <v>5962-9665801QDA</v>
      </c>
      <c r="B10615" s="3" t="str">
        <f>HYPERLINK("https://www.773grp.com/manufacturer/texas-instruments?pageNo=204", "Texas Instruments")</f>
        <v>Texas Instruments</v>
      </c>
      <c r="C10615" s="5">
        <v>99</v>
      </c>
      <c r="D10615" s="6">
        <v>28.35</v>
      </c>
      <c r="E10615" t="s">
        <v>27</v>
      </c>
    </row>
    <row r="10616" spans="1:5" x14ac:dyDescent="0.25">
      <c r="A10616" t="str">
        <f>HYPERLINK("https://www.773grp.com/globalSearch/SNJ54ALS804AJ/page-1", "SNJ54ALS804AJ")</f>
        <v>SNJ54ALS804AJ</v>
      </c>
      <c r="B10616" s="3" t="str">
        <f>HYPERLINK("https://www.773grp.com/manufacturer/texas-instruments?pageNo=221", "Texas Instruments")</f>
        <v>Texas Instruments</v>
      </c>
      <c r="C10616" s="5">
        <v>42</v>
      </c>
      <c r="D10616" s="6">
        <v>28.4</v>
      </c>
      <c r="E10616" t="s">
        <v>27</v>
      </c>
    </row>
    <row r="10617" spans="1:5" x14ac:dyDescent="0.25">
      <c r="A10617" t="str">
        <f>HYPERLINK("https://www.773grp.com/globalSearch/8001901DA/page-1", "8001901DA")</f>
        <v>8001901DA</v>
      </c>
      <c r="B10617" s="3" t="str">
        <f>HYPERLINK("https://www.773grp.com/manufacturer/texas-instruments?pageNo=251", "Texas Instruments")</f>
        <v>Texas Instruments</v>
      </c>
      <c r="C10617" s="5">
        <v>1</v>
      </c>
      <c r="D10617" s="6">
        <v>28.74</v>
      </c>
      <c r="E10617" t="s">
        <v>27</v>
      </c>
    </row>
    <row r="10618" spans="1:5" x14ac:dyDescent="0.25">
      <c r="A10618" t="str">
        <f>HYPERLINK("https://www.773grp.com/globalSearch/JM38510-00801BDA/page-1", "JM38510-00801BDA")</f>
        <v>JM38510-00801BDA</v>
      </c>
      <c r="B10618" s="3" t="str">
        <f>HYPERLINK("https://www.773grp.com/manufacturer/texas-instruments?pageNo=259", "Texas Instruments")</f>
        <v>Texas Instruments</v>
      </c>
      <c r="C10618" s="5">
        <v>501</v>
      </c>
      <c r="D10618" s="6">
        <v>28.83</v>
      </c>
      <c r="E10618" t="s">
        <v>27</v>
      </c>
    </row>
    <row r="10619" spans="1:5" x14ac:dyDescent="0.25">
      <c r="A10619" t="str">
        <f>HYPERLINK("https://www.773grp.com/globalSearch/JM38510-30302B2A/page-1", "JM38510-30302B2A")</f>
        <v>JM38510-30302B2A</v>
      </c>
      <c r="B10619" s="3" t="str">
        <f>HYPERLINK("https://www.773grp.com/manufacturer/texas-instruments?pageNo=267", "Texas Instruments")</f>
        <v>Texas Instruments</v>
      </c>
      <c r="C10619" s="5">
        <v>61</v>
      </c>
      <c r="D10619" s="6">
        <v>28.86</v>
      </c>
      <c r="E10619" t="s">
        <v>27</v>
      </c>
    </row>
    <row r="10620" spans="1:5" x14ac:dyDescent="0.25">
      <c r="A10620" t="str">
        <f>HYPERLINK("https://www.773grp.com/globalSearch/5962-9231901M2A/page-1", "5962-9231901M2A")</f>
        <v>5962-9231901M2A</v>
      </c>
      <c r="B10620" s="3" t="str">
        <f>HYPERLINK("https://www.773grp.com/manufacturer/texas-instruments?pageNo=274", "Texas Instruments")</f>
        <v>Texas Instruments</v>
      </c>
      <c r="C10620" s="5">
        <v>113</v>
      </c>
      <c r="D10620" s="6">
        <v>28.94</v>
      </c>
      <c r="E10620" t="s">
        <v>27</v>
      </c>
    </row>
    <row r="10621" spans="1:5" x14ac:dyDescent="0.25">
      <c r="A10621" t="str">
        <f>HYPERLINK("https://www.773grp.com/globalSearch/JM38510-00701BDA/page-1", "JM38510-00701BDA")</f>
        <v>JM38510-00701BDA</v>
      </c>
      <c r="B10621" s="3" t="str">
        <f>HYPERLINK("https://www.773grp.com/manufacturer/texas-instruments?pageNo=282", "Texas Instruments")</f>
        <v>Texas Instruments</v>
      </c>
      <c r="C10621" s="5">
        <v>22</v>
      </c>
      <c r="D10621" s="6">
        <v>28.98</v>
      </c>
      <c r="E10621" t="s">
        <v>27</v>
      </c>
    </row>
    <row r="10622" spans="1:5" x14ac:dyDescent="0.25">
      <c r="A10622" t="str">
        <f>HYPERLINK("https://www.773grp.com/globalSearch/SNJ54HCT14W/page-1", "SNJ54HCT14W")</f>
        <v>SNJ54HCT14W</v>
      </c>
      <c r="B10622" s="3" t="str">
        <f>HYPERLINK("https://www.773grp.com/manufacturer/texas-instruments?pageNo=299", "Texas Instruments")</f>
        <v>Texas Instruments</v>
      </c>
      <c r="C10622" s="5">
        <v>7</v>
      </c>
      <c r="D10622" s="6">
        <v>29.08</v>
      </c>
      <c r="E10622" t="s">
        <v>27</v>
      </c>
    </row>
    <row r="10623" spans="1:5" x14ac:dyDescent="0.25">
      <c r="A10623" t="str">
        <f>HYPERLINK("https://www.773grp.com/globalSearch/SNJ54AHCT14FK/page-1", "SNJ54AHCT14FK")</f>
        <v>SNJ54AHCT14FK</v>
      </c>
      <c r="B10623" s="3" t="str">
        <f>HYPERLINK("https://www.773grp.com/manufacturer/texas-instruments?pageNo=366", "Texas Instruments")</f>
        <v>Texas Instruments</v>
      </c>
      <c r="C10623" s="5">
        <v>25</v>
      </c>
      <c r="D10623" s="6">
        <v>29.45</v>
      </c>
      <c r="E10623" t="s">
        <v>27</v>
      </c>
    </row>
    <row r="10624" spans="1:5" x14ac:dyDescent="0.25">
      <c r="A10624" t="str">
        <f>HYPERLINK("https://www.773grp.com/globalSearch/JM38510-31004B2A/page-1", "JM38510-31004B2A")</f>
        <v>JM38510-31004B2A</v>
      </c>
      <c r="B10624" s="3" t="str">
        <f>HYPERLINK("https://www.773grp.com/manufacturer/texas-instruments?pageNo=368", "Texas Instruments")</f>
        <v>Texas Instruments</v>
      </c>
      <c r="C10624" s="5">
        <v>31</v>
      </c>
      <c r="D10624" s="6">
        <v>29.48</v>
      </c>
      <c r="E10624" t="s">
        <v>27</v>
      </c>
    </row>
    <row r="10625" spans="1:5" x14ac:dyDescent="0.25">
      <c r="A10625" t="str">
        <f>HYPERLINK("https://www.773grp.com/globalSearch/SNJ54AHC86W/page-1", "SNJ54AHC86W")</f>
        <v>SNJ54AHC86W</v>
      </c>
      <c r="B10625" s="3" t="str">
        <f>HYPERLINK("https://www.773grp.com/manufacturer/texas-instruments?pageNo=409", "Texas Instruments")</f>
        <v>Texas Instruments</v>
      </c>
      <c r="C10625" s="5">
        <v>30</v>
      </c>
      <c r="D10625" s="6">
        <v>29.75</v>
      </c>
      <c r="E10625" t="s">
        <v>27</v>
      </c>
    </row>
    <row r="10626" spans="1:5" x14ac:dyDescent="0.25">
      <c r="A10626" t="str">
        <f>HYPERLINK("https://www.773grp.com/globalSearch/SNJ54ALS805AFK/page-1", "SNJ54ALS805AFK")</f>
        <v>SNJ54ALS805AFK</v>
      </c>
      <c r="B10626" s="3" t="str">
        <f>HYPERLINK("https://www.773grp.com/manufacturer/texas-instruments?pageNo=421", "Texas Instruments")</f>
        <v>Texas Instruments</v>
      </c>
      <c r="C10626" s="5">
        <v>179</v>
      </c>
      <c r="D10626" s="6">
        <v>29.95</v>
      </c>
      <c r="E10626" t="s">
        <v>27</v>
      </c>
    </row>
    <row r="10627" spans="1:5" x14ac:dyDescent="0.25">
      <c r="A10627" t="str">
        <f>HYPERLINK("https://www.773grp.com/globalSearch/JM38510-05204BCA/page-1", "JM38510-05204BCA")</f>
        <v>JM38510-05204BCA</v>
      </c>
      <c r="B10627" s="3" t="str">
        <f>HYPERLINK("https://www.773grp.com/manufacturer/texas-instruments?pageNo=436", "Texas Instruments")</f>
        <v>Texas Instruments</v>
      </c>
      <c r="C10627" s="5">
        <v>164</v>
      </c>
      <c r="D10627" s="6">
        <v>30</v>
      </c>
      <c r="E10627" t="s">
        <v>27</v>
      </c>
    </row>
    <row r="10628" spans="1:5" x14ac:dyDescent="0.25">
      <c r="A10628" t="str">
        <f>HYPERLINK("https://www.773grp.com/globalSearch/JM38510-05302BEA/page-1", "JM38510-05302BEA")</f>
        <v>JM38510-05302BEA</v>
      </c>
      <c r="B10628" s="3" t="str">
        <f>HYPERLINK("https://www.773grp.com/manufacturer/texas-instruments?pageNo=437", "Texas Instruments")</f>
        <v>Texas Instruments</v>
      </c>
      <c r="C10628" s="5">
        <v>56</v>
      </c>
      <c r="D10628" s="6">
        <v>30</v>
      </c>
      <c r="E10628" t="s">
        <v>27</v>
      </c>
    </row>
    <row r="10629" spans="1:5" x14ac:dyDescent="0.25">
      <c r="A10629" t="str">
        <f>HYPERLINK("https://www.773grp.com/globalSearch/5962-9861101QCA/page-1", "5962-9861101QCA")</f>
        <v>5962-9861101QCA</v>
      </c>
      <c r="B10629" s="3" t="str">
        <f>HYPERLINK("https://www.773grp.com/manufacturer/texas-instruments?pageNo=451", "Texas Instruments")</f>
        <v>Texas Instruments</v>
      </c>
      <c r="C10629" s="5">
        <v>100</v>
      </c>
      <c r="D10629" s="6">
        <v>30.15</v>
      </c>
      <c r="E10629" t="s">
        <v>27</v>
      </c>
    </row>
    <row r="10630" spans="1:5" x14ac:dyDescent="0.25">
      <c r="A10630" t="str">
        <f>HYPERLINK("https://www.773grp.com/globalSearch/5962-9680101QDA/page-1", "5962-9680101QDA")</f>
        <v>5962-9680101QDA</v>
      </c>
      <c r="B10630" s="3" t="str">
        <f>HYPERLINK("https://www.773grp.com/manufacturer/texas-instruments?pageNo=531", "Texas Instruments")</f>
        <v>Texas Instruments</v>
      </c>
      <c r="C10630" s="5">
        <v>314</v>
      </c>
      <c r="D10630" s="6">
        <v>30.66</v>
      </c>
      <c r="E10630" t="s">
        <v>27</v>
      </c>
    </row>
    <row r="10631" spans="1:5" x14ac:dyDescent="0.25">
      <c r="A10631" t="str">
        <f>HYPERLINK("https://www.773grp.com/globalSearch/SNJ5416W/page-1", "SNJ5416W")</f>
        <v>SNJ5416W</v>
      </c>
      <c r="B10631" s="3" t="str">
        <f>HYPERLINK("https://www.773grp.com/manufacturer/texas-instruments?pageNo=573", "Texas Instruments")</f>
        <v>Texas Instruments</v>
      </c>
      <c r="C10631" s="5">
        <v>83</v>
      </c>
      <c r="D10631" s="6">
        <v>30.76</v>
      </c>
      <c r="E10631" t="s">
        <v>27</v>
      </c>
    </row>
    <row r="10632" spans="1:5" x14ac:dyDescent="0.25">
      <c r="A10632" t="str">
        <f>HYPERLINK("https://www.773grp.com/globalSearch/5962-9757101QDA/page-1", "5962-9757101QDA")</f>
        <v>5962-9757101QDA</v>
      </c>
      <c r="B10632" s="3" t="str">
        <f>HYPERLINK("https://www.773grp.com/manufacturer/texas-instruments?pageNo=575", "Texas Instruments")</f>
        <v>Texas Instruments</v>
      </c>
      <c r="C10632" s="5">
        <v>4</v>
      </c>
      <c r="D10632" s="6">
        <v>30.8</v>
      </c>
      <c r="E10632" t="s">
        <v>27</v>
      </c>
    </row>
    <row r="10633" spans="1:5" x14ac:dyDescent="0.25">
      <c r="A10633" t="str">
        <f>HYPERLINK("https://www.773grp.com/globalSearch/JM38510-37003BCA/page-1", "JM38510-37003BCA")</f>
        <v>JM38510-37003BCA</v>
      </c>
      <c r="B10633" s="3" t="str">
        <f>HYPERLINK("https://www.773grp.com/manufacturer/texas-instruments?pageNo=605", "Texas Instruments")</f>
        <v>Texas Instruments</v>
      </c>
      <c r="C10633" s="5">
        <v>37</v>
      </c>
      <c r="D10633" s="6">
        <v>30.83</v>
      </c>
      <c r="E10633" t="s">
        <v>27</v>
      </c>
    </row>
    <row r="10634" spans="1:5" x14ac:dyDescent="0.25">
      <c r="A10634" t="str">
        <f>HYPERLINK("https://www.773grp.com/globalSearch/SNJ5425W/page-1", "SNJ5425W")</f>
        <v>SNJ5425W</v>
      </c>
      <c r="B10634" s="3" t="str">
        <f>HYPERLINK("https://www.773grp.com/manufacturer/texas-instruments?pageNo=611", "Texas Instruments")</f>
        <v>Texas Instruments</v>
      </c>
      <c r="C10634" s="5">
        <v>37</v>
      </c>
      <c r="D10634" s="6">
        <v>30.85</v>
      </c>
      <c r="E10634" t="s">
        <v>27</v>
      </c>
    </row>
    <row r="10635" spans="1:5" x14ac:dyDescent="0.25">
      <c r="A10635" t="str">
        <f>HYPERLINK("https://www.773grp.com/globalSearch/JM38510-65002BCA/page-1", "JM38510-65002BCA")</f>
        <v>JM38510-65002BCA</v>
      </c>
      <c r="B10635" s="3" t="str">
        <f>HYPERLINK("https://www.773grp.com/manufacturer/texas-instruments?pageNo=690", "Texas Instruments")</f>
        <v>Texas Instruments</v>
      </c>
      <c r="C10635" s="5">
        <v>35</v>
      </c>
      <c r="D10635" s="6">
        <v>31.48</v>
      </c>
      <c r="E10635" t="s">
        <v>27</v>
      </c>
    </row>
    <row r="10636" spans="1:5" x14ac:dyDescent="0.25">
      <c r="A10636" t="str">
        <f>HYPERLINK("https://www.773grp.com/globalSearch/JM38510-00302BDA/page-1", "JM38510-00302BDA")</f>
        <v>JM38510-00302BDA</v>
      </c>
      <c r="B10636" s="3" t="str">
        <f>HYPERLINK("https://www.773grp.com/manufacturer/texas-instruments?pageNo=709", "Texas Instruments")</f>
        <v>Texas Instruments</v>
      </c>
      <c r="C10636" s="5">
        <v>576</v>
      </c>
      <c r="D10636" s="6">
        <v>31.64</v>
      </c>
      <c r="E10636" t="s">
        <v>27</v>
      </c>
    </row>
    <row r="10637" spans="1:5" x14ac:dyDescent="0.25">
      <c r="A10637" t="str">
        <f>HYPERLINK("https://www.773grp.com/globalSearch/JM38510-37004BCA/page-1", "JM38510-37004BCA")</f>
        <v>JM38510-37004BCA</v>
      </c>
      <c r="B10637" s="3" t="str">
        <f>HYPERLINK("https://www.773grp.com/manufacturer/texas-instruments?pageNo=716", "Texas Instruments")</f>
        <v>Texas Instruments</v>
      </c>
      <c r="C10637" s="5">
        <v>37</v>
      </c>
      <c r="D10637" s="6">
        <v>31.73</v>
      </c>
      <c r="E10637" t="s">
        <v>27</v>
      </c>
    </row>
    <row r="10638" spans="1:5" x14ac:dyDescent="0.25">
      <c r="A10638" t="str">
        <f>HYPERLINK("https://www.773grp.com/globalSearch/JM38510-37401BCA/page-1", "JM38510-37401BCA")</f>
        <v>JM38510-37401BCA</v>
      </c>
      <c r="B10638" s="3" t="str">
        <f>HYPERLINK("https://www.773grp.com/manufacturer/texas-instruments?pageNo=743", "Texas Instruments")</f>
        <v>Texas Instruments</v>
      </c>
      <c r="C10638" s="5">
        <v>294</v>
      </c>
      <c r="D10638" s="6">
        <v>31.84</v>
      </c>
      <c r="E10638" t="s">
        <v>27</v>
      </c>
    </row>
    <row r="10639" spans="1:5" x14ac:dyDescent="0.25">
      <c r="A10639" t="str">
        <f>HYPERLINK("https://www.773grp.com/globalSearch/5962-86838012A/page-1", "5962-86838012A")</f>
        <v>5962-86838012A</v>
      </c>
      <c r="B10639" s="3" t="str">
        <f>HYPERLINK("https://www.773grp.com/manufacturer/texas-instruments?pageNo=746", "Texas Instruments")</f>
        <v>Texas Instruments</v>
      </c>
      <c r="C10639" s="5">
        <v>39</v>
      </c>
      <c r="D10639" s="6">
        <v>31.86</v>
      </c>
      <c r="E10639" t="s">
        <v>27</v>
      </c>
    </row>
    <row r="10640" spans="1:5" x14ac:dyDescent="0.25">
      <c r="A10640" t="str">
        <f>HYPERLINK("https://www.773grp.com/globalSearch/JM38510-65101BCA/page-1", "JM38510-65101BCA")</f>
        <v>JM38510-65101BCA</v>
      </c>
      <c r="B10640" s="3" t="str">
        <f>HYPERLINK("https://www.773grp.com/manufacturer/texas-instruments?pageNo=765", "Texas Instruments")</f>
        <v>Texas Instruments</v>
      </c>
      <c r="C10640" s="5">
        <v>494</v>
      </c>
      <c r="D10640" s="6">
        <v>31.98</v>
      </c>
      <c r="E10640" t="s">
        <v>27</v>
      </c>
    </row>
    <row r="10641" spans="1:5" x14ac:dyDescent="0.25">
      <c r="A10641" t="str">
        <f>HYPERLINK("https://www.773grp.com/globalSearch/JM38510-37501BCA/page-1", "JM38510-37501BCA")</f>
        <v>JM38510-37501BCA</v>
      </c>
      <c r="B10641" s="3" t="str">
        <f>HYPERLINK("https://www.773grp.com/manufacturer/texas-instruments?pageNo=770", "Texas Instruments")</f>
        <v>Texas Instruments</v>
      </c>
      <c r="C10641" s="5">
        <v>139</v>
      </c>
      <c r="D10641" s="6">
        <v>32.03</v>
      </c>
      <c r="E10641" t="s">
        <v>27</v>
      </c>
    </row>
    <row r="10642" spans="1:5" x14ac:dyDescent="0.25">
      <c r="A10642" t="str">
        <f>HYPERLINK("https://www.773grp.com/globalSearch/SNJ54LS05FK/page-1", "SNJ54LS05FK")</f>
        <v>SNJ54LS05FK</v>
      </c>
      <c r="B10642" s="3" t="str">
        <f>HYPERLINK("https://www.773grp.com/manufacturer/texas-instruments?pageNo=771", "Texas Instruments")</f>
        <v>Texas Instruments</v>
      </c>
      <c r="C10642" s="5">
        <v>8</v>
      </c>
      <c r="D10642" s="6">
        <v>32.03</v>
      </c>
      <c r="E10642" t="s">
        <v>27</v>
      </c>
    </row>
    <row r="10643" spans="1:5" x14ac:dyDescent="0.25">
      <c r="A10643" t="str">
        <f>HYPERLINK("https://www.773grp.com/globalSearch/JM38510-37006BCA/page-1", "JM38510-37006BCA")</f>
        <v>JM38510-37006BCA</v>
      </c>
      <c r="B10643" s="3" t="str">
        <f>HYPERLINK("https://www.773grp.com/manufacturer/texas-instruments?pageNo=774", "Texas Instruments")</f>
        <v>Texas Instruments</v>
      </c>
      <c r="C10643" s="5">
        <v>535</v>
      </c>
      <c r="D10643" s="6">
        <v>32.06</v>
      </c>
      <c r="E10643" t="s">
        <v>27</v>
      </c>
    </row>
    <row r="10644" spans="1:5" x14ac:dyDescent="0.25">
      <c r="A10644" t="str">
        <f>HYPERLINK("https://www.773grp.com/globalSearch/JM38510-65701BDA/page-1", "JM38510-65701BDA")</f>
        <v>JM38510-65701BDA</v>
      </c>
      <c r="B10644" s="3" t="str">
        <f>HYPERLINK("https://www.773grp.com/manufacturer/texas-instruments?pageNo=775", "Texas Instruments")</f>
        <v>Texas Instruments</v>
      </c>
      <c r="C10644" s="5">
        <v>28</v>
      </c>
      <c r="D10644" s="6">
        <v>32.06</v>
      </c>
      <c r="E10644" t="s">
        <v>27</v>
      </c>
    </row>
    <row r="10645" spans="1:5" x14ac:dyDescent="0.25">
      <c r="A10645" t="str">
        <f>HYPERLINK("https://www.773grp.com/globalSearch/JM38510-65701BCA/page-1", "JM38510-65701BCA")</f>
        <v>JM38510-65701BCA</v>
      </c>
      <c r="B10645" s="3" t="str">
        <f>HYPERLINK("https://www.773grp.com/manufacturer/texas-instruments?pageNo=777", "Texas Instruments")</f>
        <v>Texas Instruments</v>
      </c>
      <c r="C10645" s="5">
        <v>6</v>
      </c>
      <c r="D10645" s="6">
        <v>32.11</v>
      </c>
      <c r="E10645" t="s">
        <v>27</v>
      </c>
    </row>
    <row r="10646" spans="1:5" x14ac:dyDescent="0.25">
      <c r="A10646" t="str">
        <f>HYPERLINK("https://www.773grp.com/globalSearch/JM38510-65201BCA/page-1", "JM38510-65201BCA")</f>
        <v>JM38510-65201BCA</v>
      </c>
      <c r="B10646" s="3" t="str">
        <f>HYPERLINK("https://www.773grp.com/manufacturer/texas-instruments?pageNo=797", "Texas Instruments")</f>
        <v>Texas Instruments</v>
      </c>
      <c r="C10646" s="5">
        <v>15</v>
      </c>
      <c r="D10646" s="6">
        <v>32.18</v>
      </c>
      <c r="E10646" t="s">
        <v>27</v>
      </c>
    </row>
    <row r="10647" spans="1:5" x14ac:dyDescent="0.25">
      <c r="A10647" t="str">
        <f>HYPERLINK("https://www.773grp.com/globalSearch/SNJ5404W/page-1", "SNJ5404W")</f>
        <v>SNJ5404W</v>
      </c>
      <c r="B10647" s="3" t="str">
        <f>HYPERLINK("https://www.773grp.com/manufacturer/texas-instruments?pageNo=817", "Texas Instruments")</f>
        <v>Texas Instruments</v>
      </c>
      <c r="C10647" s="5">
        <v>5</v>
      </c>
      <c r="D10647" s="6">
        <v>32.26</v>
      </c>
      <c r="E10647" t="s">
        <v>27</v>
      </c>
    </row>
    <row r="10648" spans="1:5" x14ac:dyDescent="0.25">
      <c r="A10648" t="str">
        <f>HYPERLINK("https://www.773grp.com/globalSearch/5962-9682001QDA/page-1", "5962-9682001QDA")</f>
        <v>5962-9682001QDA</v>
      </c>
      <c r="B10648" s="3" t="str">
        <f>HYPERLINK("https://www.773grp.com/manufacturer/texas-instruments?pageNo=818", "Texas Instruments")</f>
        <v>Texas Instruments</v>
      </c>
      <c r="C10648" s="5">
        <v>11</v>
      </c>
      <c r="D10648" s="6">
        <v>32.31</v>
      </c>
      <c r="E10648" t="s">
        <v>27</v>
      </c>
    </row>
    <row r="10649" spans="1:5" x14ac:dyDescent="0.25">
      <c r="A10649" t="str">
        <f>HYPERLINK("https://www.773grp.com/globalSearch/5962-9682601QDA/page-1", "5962-9682601QDA")</f>
        <v>5962-9682601QDA</v>
      </c>
      <c r="B10649" s="3" t="str">
        <f>HYPERLINK("https://www.773grp.com/manufacturer/texas-instruments?pageNo=824", "Texas Instruments")</f>
        <v>Texas Instruments</v>
      </c>
      <c r="C10649" s="5">
        <v>66</v>
      </c>
      <c r="D10649" s="6">
        <v>32.35</v>
      </c>
      <c r="E10649" t="s">
        <v>27</v>
      </c>
    </row>
    <row r="10650" spans="1:5" x14ac:dyDescent="0.25">
      <c r="A10650" t="str">
        <f>HYPERLINK("https://www.773grp.com/globalSearch/SNJ54AHCT32W/page-1", "SNJ54AHCT32W")</f>
        <v>SNJ54AHCT32W</v>
      </c>
      <c r="B10650" s="3" t="str">
        <f>HYPERLINK("https://www.773grp.com/manufacturer/texas-instruments?pageNo=835", "Texas Instruments")</f>
        <v>Texas Instruments</v>
      </c>
      <c r="C10650" s="5">
        <v>88</v>
      </c>
      <c r="D10650" s="6">
        <v>32.35</v>
      </c>
      <c r="E10650" t="s">
        <v>27</v>
      </c>
    </row>
    <row r="10651" spans="1:5" x14ac:dyDescent="0.25">
      <c r="A10651" t="str">
        <f>HYPERLINK("https://www.773grp.com/globalSearch/JM38510-37302BCA/page-1", "JM38510-37302BCA")</f>
        <v>JM38510-37302BCA</v>
      </c>
      <c r="B10651" s="3" t="str">
        <f>HYPERLINK("https://www.773grp.com/manufacturer/texas-instruments?pageNo=846", "Texas Instruments")</f>
        <v>Texas Instruments</v>
      </c>
      <c r="C10651" s="5">
        <v>234</v>
      </c>
      <c r="D10651" s="6">
        <v>32.4</v>
      </c>
      <c r="E10651" t="s">
        <v>27</v>
      </c>
    </row>
    <row r="10652" spans="1:5" x14ac:dyDescent="0.25">
      <c r="A10652" t="str">
        <f>HYPERLINK("https://www.773grp.com/globalSearch/JM38510-37301BCA/page-1", "JM38510-37301BCA")</f>
        <v>JM38510-37301BCA</v>
      </c>
      <c r="B10652" s="3" t="str">
        <f>HYPERLINK("https://www.773grp.com/manufacturer/texas-instruments?pageNo=862", "Texas Instruments")</f>
        <v>Texas Instruments</v>
      </c>
      <c r="C10652" s="5">
        <v>26</v>
      </c>
      <c r="D10652" s="6">
        <v>32.54</v>
      </c>
      <c r="E10652" t="s">
        <v>27</v>
      </c>
    </row>
    <row r="10653" spans="1:5" x14ac:dyDescent="0.25">
      <c r="A10653" t="str">
        <f>HYPERLINK("https://www.773grp.com/globalSearch/JM38510-37002BCA/page-1", "JM38510-37002BCA")</f>
        <v>JM38510-37002BCA</v>
      </c>
      <c r="B10653" s="3" t="str">
        <f>HYPERLINK("https://www.773grp.com/manufacturer/texas-instruments?pageNo=867", "Texas Instruments")</f>
        <v>Texas Instruments</v>
      </c>
      <c r="C10653" s="5">
        <v>455</v>
      </c>
      <c r="D10653" s="6">
        <v>32.58</v>
      </c>
      <c r="E10653" t="s">
        <v>27</v>
      </c>
    </row>
    <row r="10654" spans="1:5" x14ac:dyDescent="0.25">
      <c r="A10654" t="str">
        <f>HYPERLINK("https://www.773grp.com/globalSearch/JM38510-00803BDA/page-1", "JM38510-00803BDA")</f>
        <v>JM38510-00803BDA</v>
      </c>
      <c r="B10654" s="3" t="str">
        <f>HYPERLINK("https://www.773grp.com/manufacturer/texas-instruments?pageNo=876", "Texas Instruments")</f>
        <v>Texas Instruments</v>
      </c>
      <c r="C10654" s="5">
        <v>187</v>
      </c>
      <c r="D10654" s="6">
        <v>32.74</v>
      </c>
      <c r="E10654" t="s">
        <v>27</v>
      </c>
    </row>
    <row r="10655" spans="1:5" x14ac:dyDescent="0.25">
      <c r="A10655" t="str">
        <f>HYPERLINK("https://www.773grp.com/globalSearch/SNJ54AS832BW/page-1", "SNJ54AS832BW")</f>
        <v>SNJ54AS832BW</v>
      </c>
      <c r="B10655" s="3" t="str">
        <f>HYPERLINK("https://www.773grp.com/manufacturer/texas-instruments?pageNo=889", "Texas Instruments")</f>
        <v>Texas Instruments</v>
      </c>
      <c r="C10655" s="5">
        <v>36</v>
      </c>
      <c r="D10655" s="6">
        <v>32.880000000000003</v>
      </c>
      <c r="E10655" t="s">
        <v>27</v>
      </c>
    </row>
    <row r="10656" spans="1:5" x14ac:dyDescent="0.25">
      <c r="A10656" t="str">
        <f>HYPERLINK("https://www.773grp.com/globalSearch/JM38510-00502BCA/page-1", "JM38510-00502BCA")</f>
        <v>JM38510-00502BCA</v>
      </c>
      <c r="B10656" s="3" t="str">
        <f>HYPERLINK("https://www.773grp.com/manufacturer/texas-instruments?pageNo=903", "Texas Instruments")</f>
        <v>Texas Instruments</v>
      </c>
      <c r="C10656" s="5">
        <v>15</v>
      </c>
      <c r="D10656" s="6">
        <v>33.08</v>
      </c>
      <c r="E10656" t="s">
        <v>27</v>
      </c>
    </row>
    <row r="10657" spans="1:5" x14ac:dyDescent="0.25">
      <c r="A10657" t="str">
        <f>HYPERLINK("https://www.773grp.com/globalSearch/JM38510-07003BCA/page-1", "JM38510-07003BCA")</f>
        <v>JM38510-07003BCA</v>
      </c>
      <c r="B10657" s="3" t="str">
        <f>HYPERLINK("https://www.773grp.com/manufacturer/texas-instruments?pageNo=913", "Texas Instruments")</f>
        <v>Texas Instruments</v>
      </c>
      <c r="C10657" s="5">
        <v>3</v>
      </c>
      <c r="D10657" s="6">
        <v>33.130000000000003</v>
      </c>
      <c r="E10657" t="s">
        <v>27</v>
      </c>
    </row>
    <row r="10658" spans="1:5" x14ac:dyDescent="0.25">
      <c r="A10658" t="str">
        <f>HYPERLINK("https://www.773grp.com/globalSearch/5962-86836012A/page-1", "5962-86836012A")</f>
        <v>5962-86836012A</v>
      </c>
      <c r="B10658" s="3" t="str">
        <f>HYPERLINK("https://www.773grp.com/manufacturer/texas-instruments?pageNo=915", "Texas Instruments")</f>
        <v>Texas Instruments</v>
      </c>
      <c r="C10658" s="5">
        <v>4</v>
      </c>
      <c r="D10658" s="6">
        <v>33.159999999999997</v>
      </c>
      <c r="E10658" t="s">
        <v>27</v>
      </c>
    </row>
    <row r="10659" spans="1:5" x14ac:dyDescent="0.25">
      <c r="A10659" t="str">
        <f>HYPERLINK("https://www.773grp.com/globalSearch/SNJ54ALS32FK/page-1", "SNJ54ALS32FK")</f>
        <v>SNJ54ALS32FK</v>
      </c>
      <c r="B10659" s="3" t="str">
        <f>HYPERLINK("https://www.773grp.com/manufacturer/texas-instruments?pageNo=918", "Texas Instruments")</f>
        <v>Texas Instruments</v>
      </c>
      <c r="C10659" s="5">
        <v>18</v>
      </c>
      <c r="D10659" s="6">
        <v>33.159999999999997</v>
      </c>
      <c r="E10659" t="s">
        <v>27</v>
      </c>
    </row>
    <row r="10660" spans="1:5" x14ac:dyDescent="0.25">
      <c r="A10660" t="str">
        <f>HYPERLINK("https://www.773grp.com/globalSearch/5962-8872901DA/page-1", "5962-8872901DA")</f>
        <v>5962-8872901DA</v>
      </c>
      <c r="B10660" s="3" t="str">
        <f>HYPERLINK("https://www.773grp.com/manufacturer/texas-instruments?pageNo=919", "Texas Instruments")</f>
        <v>Texas Instruments</v>
      </c>
      <c r="C10660" s="5">
        <v>1</v>
      </c>
      <c r="D10660" s="6">
        <v>33.19</v>
      </c>
      <c r="E10660" t="s">
        <v>27</v>
      </c>
    </row>
    <row r="10661" spans="1:5" x14ac:dyDescent="0.25">
      <c r="A10661" t="str">
        <f>HYPERLINK("https://www.773grp.com/globalSearch/JM38510-37402BCA/page-1", "JM38510-37402BCA")</f>
        <v>JM38510-37402BCA</v>
      </c>
      <c r="B10661" s="3" t="str">
        <f>HYPERLINK("https://www.773grp.com/manufacturer/texas-instruments?pageNo=925", "Texas Instruments")</f>
        <v>Texas Instruments</v>
      </c>
      <c r="C10661" s="5">
        <v>5</v>
      </c>
      <c r="D10661" s="6">
        <v>33.19</v>
      </c>
      <c r="E10661" t="s">
        <v>27</v>
      </c>
    </row>
    <row r="10662" spans="1:5" x14ac:dyDescent="0.25">
      <c r="A10662" t="str">
        <f>HYPERLINK("https://www.773grp.com/globalSearch/SNJ54LVC14AW/page-1", "SNJ54LVC14AW")</f>
        <v>SNJ54LVC14AW</v>
      </c>
      <c r="B10662" s="3" t="str">
        <f>HYPERLINK("https://www.773grp.com/manufacturer/texas-instruments?pageNo=926", "Texas Instruments")</f>
        <v>Texas Instruments</v>
      </c>
      <c r="C10662" s="5">
        <v>4</v>
      </c>
      <c r="D10662" s="6">
        <v>33.19</v>
      </c>
      <c r="E10662" t="s">
        <v>27</v>
      </c>
    </row>
    <row r="10663" spans="1:5" x14ac:dyDescent="0.25">
      <c r="A10663" t="str">
        <f>HYPERLINK("https://www.773grp.com/globalSearch/JM38510-07001BCA/page-1", "JM38510-07001BCA")</f>
        <v>JM38510-07001BCA</v>
      </c>
      <c r="B10663" s="3" t="str">
        <f>HYPERLINK("https://www.773grp.com/manufacturer/texas-instruments?pageNo=932", "Texas Instruments")</f>
        <v>Texas Instruments</v>
      </c>
      <c r="C10663" s="5">
        <v>4</v>
      </c>
      <c r="D10663" s="6">
        <v>33.21</v>
      </c>
      <c r="E10663" t="s">
        <v>27</v>
      </c>
    </row>
    <row r="10664" spans="1:5" x14ac:dyDescent="0.25">
      <c r="A10664" t="str">
        <f>HYPERLINK("https://www.773grp.com/globalSearch/5962-8683701DA/page-1", "5962-8683701DA")</f>
        <v>5962-8683701DA</v>
      </c>
      <c r="B10664" s="3" t="str">
        <f>HYPERLINK("https://www.773grp.com/manufacturer/texas-instruments?pageNo=945", "Texas Instruments")</f>
        <v>Texas Instruments</v>
      </c>
      <c r="C10664" s="5">
        <v>19</v>
      </c>
      <c r="D10664" s="6">
        <v>33.33</v>
      </c>
      <c r="E10664" t="s">
        <v>27</v>
      </c>
    </row>
    <row r="10665" spans="1:5" x14ac:dyDescent="0.25">
      <c r="A10665" t="str">
        <f>HYPERLINK("https://www.773grp.com/globalSearch/SNJ54LS33W/page-1", "SNJ54LS33W")</f>
        <v>SNJ54LS33W</v>
      </c>
      <c r="B10665" s="3" t="str">
        <f>HYPERLINK("https://www.773grp.com/manufacturer/texas-instruments?pageNo=947", "Texas Instruments")</f>
        <v>Texas Instruments</v>
      </c>
      <c r="C10665" s="5">
        <v>57</v>
      </c>
      <c r="D10665" s="6">
        <v>33.33</v>
      </c>
      <c r="E10665" t="s">
        <v>27</v>
      </c>
    </row>
    <row r="10666" spans="1:5" x14ac:dyDescent="0.25">
      <c r="A10666" t="str">
        <f>HYPERLINK("https://www.773grp.com/globalSearch/JM38510-07006BCA/page-1", "JM38510-07006BCA")</f>
        <v>JM38510-07006BCA</v>
      </c>
      <c r="B10666" s="3" t="str">
        <f>HYPERLINK("https://www.773grp.com/manufacturer/texas-instruments?pageNo=976", "Texas Instruments")</f>
        <v>Texas Instruments</v>
      </c>
      <c r="C10666" s="5">
        <v>1247</v>
      </c>
      <c r="D10666" s="6">
        <v>33.380000000000003</v>
      </c>
      <c r="E10666" t="s">
        <v>27</v>
      </c>
    </row>
    <row r="10667" spans="1:5" x14ac:dyDescent="0.25">
      <c r="A10667" t="str">
        <f>HYPERLINK("https://www.773grp.com/globalSearch/SNJ54LVC02AFK/page-1", "SNJ54LVC02AFK")</f>
        <v>SNJ54LVC02AFK</v>
      </c>
      <c r="B10667" s="3" t="s">
        <v>90</v>
      </c>
      <c r="C10667" s="5">
        <v>5</v>
      </c>
      <c r="D10667" s="6">
        <v>33.450000000000003</v>
      </c>
      <c r="E10667" t="s">
        <v>27</v>
      </c>
    </row>
    <row r="10668" spans="1:5" x14ac:dyDescent="0.25">
      <c r="A10668" t="str">
        <f>HYPERLINK("https://www.773grp.com/globalSearch/JM38510-08001BCA/page-1", "JM38510-08001BCA")</f>
        <v>JM38510-08001BCA</v>
      </c>
      <c r="B10668" s="3" t="s">
        <v>90</v>
      </c>
      <c r="C10668" s="5">
        <v>12</v>
      </c>
      <c r="D10668" s="6">
        <v>33.64</v>
      </c>
      <c r="E10668" t="s">
        <v>27</v>
      </c>
    </row>
    <row r="10669" spans="1:5" x14ac:dyDescent="0.25">
      <c r="A10669" t="str">
        <f>HYPERLINK("https://www.773grp.com/globalSearch/5962-9068701QDA/page-1", "5962-9068701QDA")</f>
        <v>5962-9068701QDA</v>
      </c>
      <c r="B10669" s="3" t="s">
        <v>90</v>
      </c>
      <c r="C10669" s="5">
        <v>7</v>
      </c>
      <c r="D10669" s="6">
        <v>33.700000000000003</v>
      </c>
      <c r="E10669" t="s">
        <v>27</v>
      </c>
    </row>
    <row r="10670" spans="1:5" x14ac:dyDescent="0.25">
      <c r="A10670" t="str">
        <f>HYPERLINK("https://www.773grp.com/globalSearch/86010012A/page-1", "86010012A")</f>
        <v>86010012A</v>
      </c>
      <c r="B10670" s="3" t="s">
        <v>90</v>
      </c>
      <c r="C10670" s="5">
        <v>24</v>
      </c>
      <c r="D10670" s="6">
        <v>33.799999999999997</v>
      </c>
      <c r="E10670" t="s">
        <v>27</v>
      </c>
    </row>
    <row r="10671" spans="1:5" x14ac:dyDescent="0.25">
      <c r="A10671" t="str">
        <f>HYPERLINK("https://www.773grp.com/globalSearch/5962-86837012A/page-1", "5962-86837012A")</f>
        <v>5962-86837012A</v>
      </c>
      <c r="B10671" s="3" t="s">
        <v>90</v>
      </c>
      <c r="C10671" s="5">
        <v>12</v>
      </c>
      <c r="D10671" s="6">
        <v>33.840000000000003</v>
      </c>
      <c r="E10671" t="s">
        <v>27</v>
      </c>
    </row>
    <row r="10672" spans="1:5" x14ac:dyDescent="0.25">
      <c r="A10672" t="str">
        <f>HYPERLINK("https://www.773grp.com/globalSearch/5962-9753301QDA/page-1", "5962-9753301QDA")</f>
        <v>5962-9753301QDA</v>
      </c>
      <c r="B10672" s="3" t="s">
        <v>90</v>
      </c>
      <c r="C10672" s="5">
        <v>1</v>
      </c>
      <c r="D10672" s="6">
        <v>34.049999999999997</v>
      </c>
      <c r="E10672" t="s">
        <v>27</v>
      </c>
    </row>
    <row r="10673" spans="1:5" x14ac:dyDescent="0.25">
      <c r="A10673" t="str">
        <f>HYPERLINK("https://www.773grp.com/globalSearch/SNJ54LVC00AW/page-1", "SNJ54LVC00AW")</f>
        <v>SNJ54LVC00AW</v>
      </c>
      <c r="B10673" s="3" t="s">
        <v>90</v>
      </c>
      <c r="C10673" s="5">
        <v>6</v>
      </c>
      <c r="D10673" s="6">
        <v>34.049999999999997</v>
      </c>
      <c r="E10673" t="s">
        <v>27</v>
      </c>
    </row>
    <row r="10674" spans="1:5" x14ac:dyDescent="0.25">
      <c r="A10674" t="str">
        <f>HYPERLINK("https://www.773grp.com/globalSearch/SN54ALS808AFK/page-1", "SN54ALS808AFK")</f>
        <v>SN54ALS808AFK</v>
      </c>
      <c r="B10674" s="3" t="s">
        <v>90</v>
      </c>
      <c r="C10674" s="5">
        <v>17</v>
      </c>
      <c r="D10674" s="6">
        <v>34.14</v>
      </c>
      <c r="E10674" t="s">
        <v>27</v>
      </c>
    </row>
    <row r="10675" spans="1:5" x14ac:dyDescent="0.25">
      <c r="A10675" t="str">
        <f>HYPERLINK("https://www.773grp.com/globalSearch/5962-9753401QDA/page-1", "5962-9753401QDA")</f>
        <v>5962-9753401QDA</v>
      </c>
      <c r="B10675" s="3" t="s">
        <v>90</v>
      </c>
      <c r="C10675" s="5">
        <v>30</v>
      </c>
      <c r="D10675" s="6">
        <v>34.46</v>
      </c>
      <c r="E10675" t="s">
        <v>27</v>
      </c>
    </row>
    <row r="10676" spans="1:5" x14ac:dyDescent="0.25">
      <c r="A10676" t="str">
        <f>HYPERLINK("https://www.773grp.com/globalSearch/SNJ54LS54W/page-1", "SNJ54LS54W")</f>
        <v>SNJ54LS54W</v>
      </c>
      <c r="B10676" s="3" t="s">
        <v>90</v>
      </c>
      <c r="C10676" s="5">
        <v>41</v>
      </c>
      <c r="D10676" s="6">
        <v>34.76</v>
      </c>
      <c r="E10676" t="s">
        <v>27</v>
      </c>
    </row>
    <row r="10677" spans="1:5" x14ac:dyDescent="0.25">
      <c r="A10677" t="str">
        <f>HYPERLINK("https://www.773grp.com/globalSearch/5962-86833012A/page-1", "5962-86833012A")</f>
        <v>5962-86833012A</v>
      </c>
      <c r="B10677" s="3" t="s">
        <v>90</v>
      </c>
      <c r="C10677" s="5">
        <v>2</v>
      </c>
      <c r="D10677" s="6">
        <v>34.9</v>
      </c>
      <c r="E10677" t="s">
        <v>27</v>
      </c>
    </row>
    <row r="10678" spans="1:5" x14ac:dyDescent="0.25">
      <c r="A10678" t="str">
        <f>HYPERLINK("https://www.773grp.com/globalSearch/5962-86843012A/page-1", "5962-86843012A")</f>
        <v>5962-86843012A</v>
      </c>
      <c r="B10678" s="3" t="s">
        <v>90</v>
      </c>
      <c r="C10678" s="5">
        <v>11</v>
      </c>
      <c r="D10678" s="6">
        <v>34.9</v>
      </c>
      <c r="E10678" t="s">
        <v>27</v>
      </c>
    </row>
    <row r="10679" spans="1:5" x14ac:dyDescent="0.25">
      <c r="A10679" t="str">
        <f>HYPERLINK("https://www.773grp.com/globalSearch/SNJ5406W/page-1", "SNJ5406W")</f>
        <v>SNJ5406W</v>
      </c>
      <c r="B10679" s="3" t="s">
        <v>90</v>
      </c>
      <c r="C10679" s="5">
        <v>3</v>
      </c>
      <c r="D10679" s="6">
        <v>35.049999999999997</v>
      </c>
      <c r="E10679" t="s">
        <v>27</v>
      </c>
    </row>
    <row r="10680" spans="1:5" x14ac:dyDescent="0.25">
      <c r="A10680" t="str">
        <f>HYPERLINK("https://www.773grp.com/globalSearch/SNJ54AS1034AFK/page-1", "SNJ54AS1034AFK")</f>
        <v>SNJ54AS1034AFK</v>
      </c>
      <c r="B10680" s="3" t="s">
        <v>90</v>
      </c>
      <c r="C10680" s="5">
        <v>59</v>
      </c>
      <c r="D10680" s="6">
        <v>35.28</v>
      </c>
      <c r="E10680" t="s">
        <v>27</v>
      </c>
    </row>
    <row r="10681" spans="1:5" x14ac:dyDescent="0.25">
      <c r="A10681" t="str">
        <f>HYPERLINK("https://www.773grp.com/globalSearch/5962-9218301M2A/page-1", "5962-9218301M2A")</f>
        <v>5962-9218301M2A</v>
      </c>
      <c r="B10681" s="3" t="s">
        <v>90</v>
      </c>
      <c r="C10681" s="5">
        <v>30</v>
      </c>
      <c r="D10681" s="6">
        <v>35.39</v>
      </c>
      <c r="E10681" t="s">
        <v>27</v>
      </c>
    </row>
    <row r="10682" spans="1:5" x14ac:dyDescent="0.25">
      <c r="A10682" t="str">
        <f>HYPERLINK("https://www.773grp.com/globalSearch/5962-86844012A/page-1", "5962-86844012A")</f>
        <v>5962-86844012A</v>
      </c>
      <c r="B10682" s="3" t="s">
        <v>90</v>
      </c>
      <c r="C10682" s="5">
        <v>803</v>
      </c>
      <c r="D10682" s="6">
        <v>35.44</v>
      </c>
      <c r="E10682" t="s">
        <v>27</v>
      </c>
    </row>
    <row r="10683" spans="1:5" x14ac:dyDescent="0.25">
      <c r="A10683" t="str">
        <f>HYPERLINK("https://www.773grp.com/globalSearch/5962-88540012A/page-1", "5962-88540012A")</f>
        <v>5962-88540012A</v>
      </c>
      <c r="B10683" s="3" t="s">
        <v>90</v>
      </c>
      <c r="C10683" s="5">
        <v>137</v>
      </c>
      <c r="D10683" s="6">
        <v>35.61</v>
      </c>
      <c r="E10683" t="s">
        <v>27</v>
      </c>
    </row>
    <row r="10684" spans="1:5" x14ac:dyDescent="0.25">
      <c r="A10684" t="str">
        <f>HYPERLINK("https://www.773grp.com/globalSearch/5962-86871012A/page-1", "5962-86871012A")</f>
        <v>5962-86871012A</v>
      </c>
      <c r="B10684" s="3" t="s">
        <v>90</v>
      </c>
      <c r="C10684" s="5">
        <v>27</v>
      </c>
      <c r="D10684" s="6">
        <v>35.659999999999997</v>
      </c>
      <c r="E10684" t="s">
        <v>27</v>
      </c>
    </row>
    <row r="10685" spans="1:5" x14ac:dyDescent="0.25">
      <c r="A10685" t="str">
        <f>HYPERLINK("https://www.773grp.com/globalSearch/5962-8873101CA/page-1", "5962-8873101CA")</f>
        <v>5962-8873101CA</v>
      </c>
      <c r="B10685" s="3" t="s">
        <v>90</v>
      </c>
      <c r="C10685" s="5">
        <v>7</v>
      </c>
      <c r="D10685" s="6">
        <v>35.74</v>
      </c>
      <c r="E10685" t="s">
        <v>27</v>
      </c>
    </row>
    <row r="10686" spans="1:5" x14ac:dyDescent="0.25">
      <c r="A10686" t="str">
        <f>HYPERLINK("https://www.773grp.com/globalSearch/84142012A/page-1", "84142012A")</f>
        <v>84142012A</v>
      </c>
      <c r="B10686" s="3" t="s">
        <v>90</v>
      </c>
      <c r="C10686" s="5">
        <v>73</v>
      </c>
      <c r="D10686" s="6">
        <v>35.74</v>
      </c>
      <c r="E10686" t="s">
        <v>27</v>
      </c>
    </row>
    <row r="10687" spans="1:5" x14ac:dyDescent="0.25">
      <c r="A10687" t="str">
        <f>HYPERLINK("https://www.773grp.com/globalSearch/5962-89747012A/page-1", "5962-89747012A")</f>
        <v>5962-89747012A</v>
      </c>
      <c r="B10687" s="3" t="s">
        <v>90</v>
      </c>
      <c r="C10687" s="5">
        <v>64</v>
      </c>
      <c r="D10687" s="6">
        <v>35.78</v>
      </c>
      <c r="E10687" t="s">
        <v>27</v>
      </c>
    </row>
    <row r="10688" spans="1:5" x14ac:dyDescent="0.25">
      <c r="A10688" t="str">
        <f>HYPERLINK("https://www.773grp.com/globalSearch/JM38510-00501BDA/page-1", "JM38510-00501BDA")</f>
        <v>JM38510-00501BDA</v>
      </c>
      <c r="B10688" s="3" t="s">
        <v>90</v>
      </c>
      <c r="C10688" s="5">
        <v>212</v>
      </c>
      <c r="D10688" s="6">
        <v>35.86</v>
      </c>
      <c r="E10688" t="s">
        <v>27</v>
      </c>
    </row>
    <row r="10689" spans="1:5" x14ac:dyDescent="0.25">
      <c r="A10689" t="str">
        <f>HYPERLINK("https://www.773grp.com/globalSearch/JM38510-00504BCA/page-1", "JM38510-00504BCA")</f>
        <v>JM38510-00504BCA</v>
      </c>
      <c r="B10689" s="3" t="s">
        <v>90</v>
      </c>
      <c r="C10689" s="5">
        <v>707</v>
      </c>
      <c r="D10689" s="6">
        <v>35.86</v>
      </c>
      <c r="E10689" t="s">
        <v>27</v>
      </c>
    </row>
    <row r="10690" spans="1:5" x14ac:dyDescent="0.25">
      <c r="A10690" t="str">
        <f>HYPERLINK("https://www.773grp.com/globalSearch/JM38510-30401BDA/page-1", "JM38510-30401BDA")</f>
        <v>JM38510-30401BDA</v>
      </c>
      <c r="B10690" s="3" t="s">
        <v>90</v>
      </c>
      <c r="C10690" s="5">
        <v>453</v>
      </c>
      <c r="D10690" s="6">
        <v>35.909999999999997</v>
      </c>
      <c r="E10690" t="s">
        <v>27</v>
      </c>
    </row>
    <row r="10691" spans="1:5" x14ac:dyDescent="0.25">
      <c r="A10691" t="str">
        <f>HYPERLINK("https://www.773grp.com/globalSearch/5962-8872901CA/page-1", "5962-8872901CA")</f>
        <v>5962-8872901CA</v>
      </c>
      <c r="B10691" s="3" t="s">
        <v>90</v>
      </c>
      <c r="C10691" s="5">
        <v>10</v>
      </c>
      <c r="D10691" s="6">
        <v>36.08</v>
      </c>
      <c r="E10691" t="s">
        <v>27</v>
      </c>
    </row>
    <row r="10692" spans="1:5" x14ac:dyDescent="0.25">
      <c r="A10692" t="str">
        <f>HYPERLINK("https://www.773grp.com/globalSearch/SNJ54AS1000AJ/page-1", "SNJ54AS1000AJ")</f>
        <v>SNJ54AS1000AJ</v>
      </c>
      <c r="B10692" s="3" t="s">
        <v>90</v>
      </c>
      <c r="C10692" s="5">
        <v>42</v>
      </c>
      <c r="D10692" s="6">
        <v>36.29</v>
      </c>
      <c r="E10692" t="s">
        <v>27</v>
      </c>
    </row>
    <row r="10693" spans="1:5" x14ac:dyDescent="0.25">
      <c r="A10693" t="str">
        <f>HYPERLINK("https://www.773grp.com/globalSearch/JM38510-07402BDA/page-1", "JM38510-07402BDA")</f>
        <v>JM38510-07402BDA</v>
      </c>
      <c r="B10693" s="3" t="s">
        <v>90</v>
      </c>
      <c r="C10693" s="5">
        <v>154</v>
      </c>
      <c r="D10693" s="6">
        <v>36.450000000000003</v>
      </c>
      <c r="E10693" t="s">
        <v>27</v>
      </c>
    </row>
    <row r="10694" spans="1:5" x14ac:dyDescent="0.25">
      <c r="A10694" t="str">
        <f>HYPERLINK("https://www.773grp.com/globalSearch/JM38510-30203BDA/page-1", "JM38510-30203BDA")</f>
        <v>JM38510-30203BDA</v>
      </c>
      <c r="B10694" s="3" t="s">
        <v>90</v>
      </c>
      <c r="C10694" s="5">
        <v>102</v>
      </c>
      <c r="D10694" s="6">
        <v>36.65</v>
      </c>
      <c r="E10694" t="s">
        <v>27</v>
      </c>
    </row>
    <row r="10695" spans="1:5" x14ac:dyDescent="0.25">
      <c r="A10695" t="str">
        <f>HYPERLINK("https://www.773grp.com/globalSearch/SNJ54LS86AFK/page-1", "SNJ54LS86AFK")</f>
        <v>SNJ54LS86AFK</v>
      </c>
      <c r="B10695" s="3" t="s">
        <v>90</v>
      </c>
      <c r="C10695" s="5">
        <v>5</v>
      </c>
      <c r="D10695" s="6">
        <v>36.840000000000003</v>
      </c>
      <c r="E10695" t="s">
        <v>27</v>
      </c>
    </row>
    <row r="10696" spans="1:5" x14ac:dyDescent="0.25">
      <c r="A10696" t="str">
        <f>HYPERLINK("https://www.773grp.com/globalSearch/5962-8852201RA/page-1", "5962-8852201RA")</f>
        <v>5962-8852201RA</v>
      </c>
      <c r="B10696" s="3" t="s">
        <v>90</v>
      </c>
      <c r="C10696" s="5">
        <v>7</v>
      </c>
      <c r="D10696" s="6">
        <v>37.24</v>
      </c>
      <c r="E10696" t="s">
        <v>27</v>
      </c>
    </row>
    <row r="10697" spans="1:5" x14ac:dyDescent="0.25">
      <c r="A10697" t="str">
        <f>HYPERLINK("https://www.773grp.com/globalSearch/84145012A/page-1", "84145012A")</f>
        <v>84145012A</v>
      </c>
      <c r="B10697" s="3" t="s">
        <v>90</v>
      </c>
      <c r="C10697" s="5">
        <v>80</v>
      </c>
      <c r="D10697" s="6">
        <v>37.549999999999997</v>
      </c>
      <c r="E10697" t="s">
        <v>27</v>
      </c>
    </row>
    <row r="10698" spans="1:5" x14ac:dyDescent="0.25">
      <c r="A10698" t="str">
        <f>HYPERLINK("https://www.773grp.com/globalSearch/5962-8776601RA/page-1", "5962-8776601RA")</f>
        <v>5962-8776601RA</v>
      </c>
      <c r="B10698" s="3" t="s">
        <v>90</v>
      </c>
      <c r="C10698" s="5">
        <v>58</v>
      </c>
      <c r="D10698" s="6">
        <v>37.85</v>
      </c>
      <c r="E10698" t="s">
        <v>27</v>
      </c>
    </row>
    <row r="10699" spans="1:5" x14ac:dyDescent="0.25">
      <c r="A10699" t="str">
        <f>HYPERLINK("https://www.773grp.com/globalSearch/JM38510-31001BDA/page-1", "JM38510-31001BDA")</f>
        <v>JM38510-31001BDA</v>
      </c>
      <c r="B10699" s="3" t="s">
        <v>90</v>
      </c>
      <c r="C10699" s="5">
        <v>327</v>
      </c>
      <c r="D10699" s="6">
        <v>38.51</v>
      </c>
      <c r="E10699" t="s">
        <v>27</v>
      </c>
    </row>
    <row r="10700" spans="1:5" x14ac:dyDescent="0.25">
      <c r="A10700" t="str">
        <f>HYPERLINK("https://www.773grp.com/globalSearch/JM38510-31003BDA/page-1", "JM38510-31003BDA")</f>
        <v>JM38510-31003BDA</v>
      </c>
      <c r="B10700" s="3" t="s">
        <v>90</v>
      </c>
      <c r="C10700" s="5">
        <v>41</v>
      </c>
      <c r="D10700" s="6">
        <v>38.51</v>
      </c>
      <c r="E10700" t="s">
        <v>27</v>
      </c>
    </row>
    <row r="10701" spans="1:5" x14ac:dyDescent="0.25">
      <c r="A10701" t="str">
        <f>HYPERLINK("https://www.773grp.com/globalSearch/SNJ54S00W/page-1", "SNJ54S00W")</f>
        <v>SNJ54S00W</v>
      </c>
      <c r="B10701" s="3" t="s">
        <v>90</v>
      </c>
      <c r="C10701" s="5">
        <v>7</v>
      </c>
      <c r="D10701" s="6">
        <v>38.56</v>
      </c>
      <c r="E10701" t="s">
        <v>27</v>
      </c>
    </row>
    <row r="10702" spans="1:5" x14ac:dyDescent="0.25">
      <c r="A10702" t="str">
        <f>HYPERLINK("https://www.773grp.com/globalSearch/JM38510-65101BDA/page-1", "JM38510-65101BDA")</f>
        <v>JM38510-65101BDA</v>
      </c>
      <c r="B10702" s="3" t="s">
        <v>90</v>
      </c>
      <c r="C10702" s="5">
        <v>81</v>
      </c>
      <c r="D10702" s="6">
        <v>39.1</v>
      </c>
      <c r="E10702" t="s">
        <v>27</v>
      </c>
    </row>
    <row r="10703" spans="1:5" x14ac:dyDescent="0.25">
      <c r="A10703" t="str">
        <f>HYPERLINK("https://www.773grp.com/globalSearch/SNJ5407FK/page-1", "SNJ5407FK")</f>
        <v>SNJ5407FK</v>
      </c>
      <c r="B10703" s="3" t="s">
        <v>90</v>
      </c>
      <c r="C10703" s="5">
        <v>386</v>
      </c>
      <c r="D10703" s="6">
        <v>40.340000000000003</v>
      </c>
      <c r="E10703" t="s">
        <v>27</v>
      </c>
    </row>
    <row r="10704" spans="1:5" x14ac:dyDescent="0.25">
      <c r="A10704" t="str">
        <f>HYPERLINK("https://www.773grp.com/globalSearch/SNJ54LS05W/page-1", "SNJ54LS05W")</f>
        <v>SNJ54LS05W</v>
      </c>
      <c r="B10704" s="3" t="s">
        <v>90</v>
      </c>
      <c r="C10704" s="5">
        <v>21</v>
      </c>
      <c r="D10704" s="6">
        <v>40.340000000000003</v>
      </c>
      <c r="E10704" t="s">
        <v>27</v>
      </c>
    </row>
    <row r="10705" spans="1:5" x14ac:dyDescent="0.25">
      <c r="A10705" t="str">
        <f>HYPERLINK("https://www.773grp.com/globalSearch/JM38510-30009BDA/page-1", "JM38510-30009BDA")</f>
        <v>JM38510-30009BDA</v>
      </c>
      <c r="B10705" s="3" t="s">
        <v>90</v>
      </c>
      <c r="C10705" s="5">
        <v>96</v>
      </c>
      <c r="D10705" s="6">
        <v>40.39</v>
      </c>
      <c r="E10705" t="s">
        <v>27</v>
      </c>
    </row>
    <row r="10706" spans="1:5" x14ac:dyDescent="0.25">
      <c r="A10706" t="str">
        <f>HYPERLINK("https://www.773grp.com/globalSearch/JM38510-07301BDA/page-1", "JM38510-07301BDA")</f>
        <v>JM38510-07301BDA</v>
      </c>
      <c r="B10706" s="3" t="s">
        <v>90</v>
      </c>
      <c r="C10706" s="5">
        <v>153</v>
      </c>
      <c r="D10706" s="6">
        <v>40.409999999999997</v>
      </c>
      <c r="E10706" t="s">
        <v>27</v>
      </c>
    </row>
    <row r="10707" spans="1:5" x14ac:dyDescent="0.25">
      <c r="A10707" t="str">
        <f>HYPERLINK("https://www.773grp.com/globalSearch/SNJ54LS00W/page-1", "SNJ54LS00W")</f>
        <v>SNJ54LS00W</v>
      </c>
      <c r="B10707" s="3" t="s">
        <v>90</v>
      </c>
      <c r="C10707" s="5">
        <v>74</v>
      </c>
      <c r="D10707" s="6">
        <v>40.450000000000003</v>
      </c>
      <c r="E10707" t="s">
        <v>27</v>
      </c>
    </row>
    <row r="10708" spans="1:5" x14ac:dyDescent="0.25">
      <c r="A10708" t="str">
        <f>HYPERLINK("https://www.773grp.com/globalSearch/SNJ54HC04W/page-1", "SNJ54HC04W")</f>
        <v>SNJ54HC04W</v>
      </c>
      <c r="B10708" s="3" t="s">
        <v>90</v>
      </c>
      <c r="C10708" s="5">
        <v>5</v>
      </c>
      <c r="D10708" s="6">
        <v>40.54</v>
      </c>
      <c r="E10708" t="s">
        <v>27</v>
      </c>
    </row>
    <row r="10709" spans="1:5" x14ac:dyDescent="0.25">
      <c r="A10709" t="str">
        <f>HYPERLINK("https://www.773grp.com/globalSearch/SNJ5406FK/page-1", "SNJ5406FK")</f>
        <v>SNJ5406FK</v>
      </c>
      <c r="B10709" s="3" t="s">
        <v>90</v>
      </c>
      <c r="C10709" s="5">
        <v>386</v>
      </c>
      <c r="D10709" s="6">
        <v>40.549999999999997</v>
      </c>
      <c r="E10709" t="s">
        <v>27</v>
      </c>
    </row>
    <row r="10710" spans="1:5" x14ac:dyDescent="0.25">
      <c r="A10710" t="str">
        <f>HYPERLINK("https://www.773grp.com/globalSearch/SNJ54LS01W/page-1", "SNJ54LS01W")</f>
        <v>SNJ54LS01W</v>
      </c>
      <c r="B10710" s="3" t="s">
        <v>90</v>
      </c>
      <c r="C10710" s="5">
        <v>58</v>
      </c>
      <c r="D10710" s="6">
        <v>40.64</v>
      </c>
      <c r="E10710" t="s">
        <v>27</v>
      </c>
    </row>
    <row r="10711" spans="1:5" x14ac:dyDescent="0.25">
      <c r="A10711" t="str">
        <f>HYPERLINK("https://www.773grp.com/globalSearch/JM38510-07001BDA/page-1", "JM38510-07001BDA")</f>
        <v>JM38510-07001BDA</v>
      </c>
      <c r="B10711" s="3" t="s">
        <v>90</v>
      </c>
      <c r="C10711" s="5">
        <v>16</v>
      </c>
      <c r="D10711" s="6">
        <v>40.700000000000003</v>
      </c>
      <c r="E10711" t="s">
        <v>27</v>
      </c>
    </row>
    <row r="10712" spans="1:5" x14ac:dyDescent="0.25">
      <c r="A10712" t="str">
        <f>HYPERLINK("https://www.773grp.com/globalSearch/8409101DA/page-1", "8409101DA")</f>
        <v>8409101DA</v>
      </c>
      <c r="B10712" s="3" t="s">
        <v>90</v>
      </c>
      <c r="C10712" s="5">
        <v>20</v>
      </c>
      <c r="D10712" s="6">
        <v>40.729999999999997</v>
      </c>
      <c r="E10712" t="s">
        <v>27</v>
      </c>
    </row>
    <row r="10713" spans="1:5" x14ac:dyDescent="0.25">
      <c r="A10713" t="str">
        <f>HYPERLINK("https://www.773grp.com/globalSearch/8404701DA/page-1", "8404701DA")</f>
        <v>8404701DA</v>
      </c>
      <c r="B10713" s="3" t="s">
        <v>90</v>
      </c>
      <c r="C10713" s="5">
        <v>2</v>
      </c>
      <c r="D10713" s="6">
        <v>40.75</v>
      </c>
      <c r="E10713" t="s">
        <v>27</v>
      </c>
    </row>
    <row r="10714" spans="1:5" x14ac:dyDescent="0.25">
      <c r="A10714" t="str">
        <f>HYPERLINK("https://www.773grp.com/globalSearch/JM38510-07005BDA/page-1", "JM38510-07005BDA")</f>
        <v>JM38510-07005BDA</v>
      </c>
      <c r="B10714" s="3" t="s">
        <v>90</v>
      </c>
      <c r="C10714" s="5">
        <v>44</v>
      </c>
      <c r="D10714" s="6">
        <v>40.75</v>
      </c>
      <c r="E10714" t="s">
        <v>27</v>
      </c>
    </row>
    <row r="10715" spans="1:5" x14ac:dyDescent="0.25">
      <c r="A10715" t="str">
        <f>HYPERLINK("https://www.773grp.com/globalSearch/5962-8984502DA/page-1", "5962-8984502DA")</f>
        <v>5962-8984502DA</v>
      </c>
      <c r="B10715" s="3" t="s">
        <v>90</v>
      </c>
      <c r="C10715" s="5">
        <v>3</v>
      </c>
      <c r="D10715" s="6">
        <v>40.880000000000003</v>
      </c>
      <c r="E10715" t="s">
        <v>27</v>
      </c>
    </row>
    <row r="10716" spans="1:5" x14ac:dyDescent="0.25">
      <c r="A10716" t="str">
        <f>HYPERLINK("https://www.773grp.com/globalSearch/8403801DA/page-1", "8403801DA")</f>
        <v>8403801DA</v>
      </c>
      <c r="B10716" s="3" t="s">
        <v>90</v>
      </c>
      <c r="C10716" s="5">
        <v>14</v>
      </c>
      <c r="D10716" s="6">
        <v>40.89</v>
      </c>
      <c r="E10716" t="s">
        <v>27</v>
      </c>
    </row>
    <row r="10717" spans="1:5" x14ac:dyDescent="0.25">
      <c r="A10717" t="str">
        <f>HYPERLINK("https://www.773grp.com/globalSearch/84048012A/page-1", "84048012A")</f>
        <v>84048012A</v>
      </c>
      <c r="B10717" s="3" t="s">
        <v>90</v>
      </c>
      <c r="C10717" s="5">
        <v>43</v>
      </c>
      <c r="D10717" s="6">
        <v>40.93</v>
      </c>
      <c r="E10717" t="s">
        <v>27</v>
      </c>
    </row>
    <row r="10718" spans="1:5" x14ac:dyDescent="0.25">
      <c r="A10718" t="str">
        <f>HYPERLINK("https://www.773grp.com/globalSearch/SNJ54HC11FK/page-1", "SNJ54HC11FK")</f>
        <v>SNJ54HC11FK</v>
      </c>
      <c r="B10718" s="3" t="s">
        <v>90</v>
      </c>
      <c r="C10718" s="5">
        <v>8</v>
      </c>
      <c r="D10718" s="6">
        <v>40.93</v>
      </c>
      <c r="E10718" t="s">
        <v>27</v>
      </c>
    </row>
    <row r="10719" spans="1:5" x14ac:dyDescent="0.25">
      <c r="A10719" t="str">
        <f>HYPERLINK("https://www.773grp.com/globalSearch/SNJ54HC10FK/page-1", "SNJ54HC10FK")</f>
        <v>SNJ54HC10FK</v>
      </c>
      <c r="B10719" s="3" t="s">
        <v>90</v>
      </c>
      <c r="C10719" s="5">
        <v>28</v>
      </c>
      <c r="D10719" s="6">
        <v>40.950000000000003</v>
      </c>
      <c r="E10719" t="s">
        <v>27</v>
      </c>
    </row>
    <row r="10720" spans="1:5" x14ac:dyDescent="0.25">
      <c r="A10720" t="str">
        <f>HYPERLINK("https://www.773grp.com/globalSearch/SNJ54HC02FK/page-1", "SNJ54HC02FK")</f>
        <v>SNJ54HC02FK</v>
      </c>
      <c r="B10720" s="3" t="s">
        <v>90</v>
      </c>
      <c r="C10720" s="5">
        <v>61</v>
      </c>
      <c r="D10720" s="6">
        <v>40.98</v>
      </c>
      <c r="E10720" t="s">
        <v>27</v>
      </c>
    </row>
    <row r="10721" spans="1:5" x14ac:dyDescent="0.25">
      <c r="A10721" t="str">
        <f>HYPERLINK("https://www.773grp.com/globalSearch/84042012A/page-1", "84042012A")</f>
        <v>84042012A</v>
      </c>
      <c r="B10721" s="3" t="s">
        <v>90</v>
      </c>
      <c r="C10721" s="5">
        <v>12</v>
      </c>
      <c r="D10721" s="6">
        <v>41.04</v>
      </c>
      <c r="E10721" t="s">
        <v>27</v>
      </c>
    </row>
    <row r="10722" spans="1:5" x14ac:dyDescent="0.25">
      <c r="A10722" t="str">
        <f>HYPERLINK("https://www.773grp.com/globalSearch/SNJ54HC27FK/page-1", "SNJ54HC27FK")</f>
        <v>SNJ54HC27FK</v>
      </c>
      <c r="B10722" s="3" t="s">
        <v>90</v>
      </c>
      <c r="C10722" s="5">
        <v>21</v>
      </c>
      <c r="D10722" s="6">
        <v>41.04</v>
      </c>
      <c r="E10722" t="s">
        <v>27</v>
      </c>
    </row>
    <row r="10723" spans="1:5" x14ac:dyDescent="0.25">
      <c r="A10723" t="str">
        <f>HYPERLINK("https://www.773grp.com/globalSearch/84037012A/page-1", "84037012A")</f>
        <v>84037012A</v>
      </c>
      <c r="B10723" s="3" t="s">
        <v>90</v>
      </c>
      <c r="C10723" s="5">
        <v>17</v>
      </c>
      <c r="D10723" s="6">
        <v>41.06</v>
      </c>
      <c r="E10723" t="s">
        <v>27</v>
      </c>
    </row>
    <row r="10724" spans="1:5" x14ac:dyDescent="0.25">
      <c r="A10724" t="str">
        <f>HYPERLINK("https://www.773grp.com/globalSearch/84047012A/page-1", "84047012A")</f>
        <v>84047012A</v>
      </c>
      <c r="B10724" s="3" t="s">
        <v>90</v>
      </c>
      <c r="C10724" s="5">
        <v>110</v>
      </c>
      <c r="D10724" s="6">
        <v>41.06</v>
      </c>
      <c r="E10724" t="s">
        <v>27</v>
      </c>
    </row>
    <row r="10725" spans="1:5" x14ac:dyDescent="0.25">
      <c r="A10725" t="str">
        <f>HYPERLINK("https://www.773grp.com/globalSearch/SNJ54HC00FK/page-1", "SNJ54HC00FK")</f>
        <v>SNJ54HC00FK</v>
      </c>
      <c r="B10725" s="3" t="s">
        <v>90</v>
      </c>
      <c r="C10725" s="5">
        <v>1</v>
      </c>
      <c r="D10725" s="6">
        <v>41.06</v>
      </c>
      <c r="E10725" t="s">
        <v>27</v>
      </c>
    </row>
    <row r="10726" spans="1:5" x14ac:dyDescent="0.25">
      <c r="A10726" t="str">
        <f>HYPERLINK("https://www.773grp.com/globalSearch/SNJ54HC20FK/page-1", "SNJ54HC20FK")</f>
        <v>SNJ54HC20FK</v>
      </c>
      <c r="B10726" s="3" t="s">
        <v>90</v>
      </c>
      <c r="C10726" s="5">
        <v>3</v>
      </c>
      <c r="D10726" s="6">
        <v>41.06</v>
      </c>
      <c r="E10726" t="s">
        <v>27</v>
      </c>
    </row>
    <row r="10727" spans="1:5" x14ac:dyDescent="0.25">
      <c r="A10727" t="str">
        <f>HYPERLINK("https://www.773grp.com/globalSearch/SNJ54HC32FK/page-1", "SNJ54HC32FK")</f>
        <v>SNJ54HC32FK</v>
      </c>
      <c r="B10727" s="3" t="s">
        <v>90</v>
      </c>
      <c r="C10727" s="5">
        <v>82</v>
      </c>
      <c r="D10727" s="6">
        <v>41.06</v>
      </c>
      <c r="E10727" t="s">
        <v>27</v>
      </c>
    </row>
    <row r="10728" spans="1:5" x14ac:dyDescent="0.25">
      <c r="A10728" t="str">
        <f>HYPERLINK("https://www.773grp.com/globalSearch/5962-87647012A/page-1", "5962-87647012A")</f>
        <v>5962-87647012A</v>
      </c>
      <c r="B10728" s="3" t="s">
        <v>90</v>
      </c>
      <c r="C10728" s="5">
        <v>13</v>
      </c>
      <c r="D10728" s="6">
        <v>41.09</v>
      </c>
      <c r="E10728" t="s">
        <v>27</v>
      </c>
    </row>
    <row r="10729" spans="1:5" x14ac:dyDescent="0.25">
      <c r="A10729" t="str">
        <f>HYPERLINK("https://www.773grp.com/globalSearch/JM38510-07006BDA/page-1", "JM38510-07006BDA")</f>
        <v>JM38510-07006BDA</v>
      </c>
      <c r="B10729" s="3" t="s">
        <v>90</v>
      </c>
      <c r="C10729" s="5">
        <v>218</v>
      </c>
      <c r="D10729" s="6">
        <v>41.09</v>
      </c>
      <c r="E10729" t="s">
        <v>27</v>
      </c>
    </row>
    <row r="10730" spans="1:5" x14ac:dyDescent="0.25">
      <c r="A10730" t="str">
        <f>HYPERLINK("https://www.773grp.com/globalSearch/SNJ54LS37W/page-1", "SNJ54LS37W")</f>
        <v>SNJ54LS37W</v>
      </c>
      <c r="B10730" s="3" t="s">
        <v>90</v>
      </c>
      <c r="C10730" s="5">
        <v>27</v>
      </c>
      <c r="D10730" s="6">
        <v>41.09</v>
      </c>
      <c r="E10730" t="s">
        <v>27</v>
      </c>
    </row>
    <row r="10731" spans="1:5" x14ac:dyDescent="0.25">
      <c r="A10731" t="str">
        <f>HYPERLINK("https://www.773grp.com/globalSearch/5962-88576012A/page-1", "5962-88576012A")</f>
        <v>5962-88576012A</v>
      </c>
      <c r="B10731" s="3" t="s">
        <v>90</v>
      </c>
      <c r="C10731" s="5">
        <v>62</v>
      </c>
      <c r="D10731" s="6">
        <v>41.14</v>
      </c>
      <c r="E10731" t="s">
        <v>27</v>
      </c>
    </row>
    <row r="10732" spans="1:5" x14ac:dyDescent="0.25">
      <c r="A10732" t="str">
        <f>HYPERLINK("https://www.773grp.com/globalSearch/SNJ54HC21FK/page-1", "SNJ54HC21FK")</f>
        <v>SNJ54HC21FK</v>
      </c>
      <c r="B10732" s="3" t="s">
        <v>90</v>
      </c>
      <c r="C10732" s="5">
        <v>495</v>
      </c>
      <c r="D10732" s="6">
        <v>41.14</v>
      </c>
      <c r="E10732" t="s">
        <v>27</v>
      </c>
    </row>
    <row r="10733" spans="1:5" x14ac:dyDescent="0.25">
      <c r="A10733" t="str">
        <f>HYPERLINK("https://www.773grp.com/globalSearch/SNJ54S260W/page-1", "SNJ54S260W")</f>
        <v>SNJ54S260W</v>
      </c>
      <c r="B10733" s="3" t="s">
        <v>90</v>
      </c>
      <c r="C10733" s="5">
        <v>35</v>
      </c>
      <c r="D10733" s="6">
        <v>41.35</v>
      </c>
      <c r="E10733" t="s">
        <v>27</v>
      </c>
    </row>
    <row r="10734" spans="1:5" x14ac:dyDescent="0.25">
      <c r="A10734" t="str">
        <f>HYPERLINK("https://www.773grp.com/globalSearch/JM38510-37001B2A/page-1", "JM38510-37001B2A")</f>
        <v>JM38510-37001B2A</v>
      </c>
      <c r="B10734" s="3" t="s">
        <v>90</v>
      </c>
      <c r="C10734" s="5">
        <v>28</v>
      </c>
      <c r="D10734" s="6">
        <v>41.4</v>
      </c>
      <c r="E10734" t="s">
        <v>27</v>
      </c>
    </row>
    <row r="10735" spans="1:5" x14ac:dyDescent="0.25">
      <c r="A10735" t="str">
        <f>HYPERLINK("https://www.773grp.com/globalSearch/JM38510-37002B2A/page-1", "JM38510-37002B2A")</f>
        <v>JM38510-37002B2A</v>
      </c>
      <c r="B10735" s="3" t="s">
        <v>90</v>
      </c>
      <c r="C10735" s="5">
        <v>12</v>
      </c>
      <c r="D10735" s="6">
        <v>41.4</v>
      </c>
      <c r="E10735" t="s">
        <v>27</v>
      </c>
    </row>
    <row r="10736" spans="1:5" x14ac:dyDescent="0.25">
      <c r="A10736" t="str">
        <f>HYPERLINK("https://www.773grp.com/globalSearch/JM38510-37301B2A/page-1", "JM38510-37301B2A")</f>
        <v>JM38510-37301B2A</v>
      </c>
      <c r="B10736" s="3" t="s">
        <v>90</v>
      </c>
      <c r="C10736" s="5">
        <v>24</v>
      </c>
      <c r="D10736" s="6">
        <v>41.4</v>
      </c>
      <c r="E10736" t="s">
        <v>27</v>
      </c>
    </row>
    <row r="10737" spans="1:5" x14ac:dyDescent="0.25">
      <c r="A10737" t="str">
        <f>HYPERLINK("https://www.773grp.com/globalSearch/JM38510-30302BDA/page-1", "JM38510-30302BDA")</f>
        <v>JM38510-30302BDA</v>
      </c>
      <c r="B10737" s="3" t="s">
        <v>90</v>
      </c>
      <c r="C10737" s="5">
        <v>158</v>
      </c>
      <c r="D10737" s="6">
        <v>42.15</v>
      </c>
      <c r="E10737" t="s">
        <v>27</v>
      </c>
    </row>
    <row r="10738" spans="1:5" x14ac:dyDescent="0.25">
      <c r="A10738" t="str">
        <f>HYPERLINK("https://www.773grp.com/globalSearch/JM38510-65002BDA/page-1", "JM38510-65002BDA")</f>
        <v>JM38510-65002BDA</v>
      </c>
      <c r="B10738" s="3" t="s">
        <v>90</v>
      </c>
      <c r="C10738" s="5">
        <v>183</v>
      </c>
      <c r="D10738" s="6">
        <v>42.39</v>
      </c>
      <c r="E10738" t="s">
        <v>27</v>
      </c>
    </row>
    <row r="10739" spans="1:5" x14ac:dyDescent="0.25">
      <c r="A10739" t="str">
        <f>HYPERLINK("https://www.773grp.com/globalSearch/SNJ54ALS04BW/page-1", "SNJ54ALS04BW")</f>
        <v>SNJ54ALS04BW</v>
      </c>
      <c r="B10739" s="3" t="s">
        <v>90</v>
      </c>
      <c r="C10739" s="5">
        <v>7</v>
      </c>
      <c r="D10739" s="6">
        <v>43.04</v>
      </c>
      <c r="E10739" t="s">
        <v>27</v>
      </c>
    </row>
    <row r="10740" spans="1:5" x14ac:dyDescent="0.25">
      <c r="A10740" t="str">
        <f>HYPERLINK("https://www.773grp.com/globalSearch/SNJ54ALS27AW/page-1", "SNJ54ALS27AW")</f>
        <v>SNJ54ALS27AW</v>
      </c>
      <c r="B10740" s="3" t="s">
        <v>90</v>
      </c>
      <c r="C10740" s="5">
        <v>4</v>
      </c>
      <c r="D10740" s="6">
        <v>43.06</v>
      </c>
      <c r="E10740" t="s">
        <v>27</v>
      </c>
    </row>
    <row r="10741" spans="1:5" x14ac:dyDescent="0.25">
      <c r="A10741" t="str">
        <f>HYPERLINK("https://www.773grp.com/globalSearch/5962-8686501DA/page-1", "5962-8686501DA")</f>
        <v>5962-8686501DA</v>
      </c>
      <c r="B10741" s="3" t="s">
        <v>90</v>
      </c>
      <c r="C10741" s="5">
        <v>25</v>
      </c>
      <c r="D10741" s="6">
        <v>43.16</v>
      </c>
      <c r="E10741" t="s">
        <v>27</v>
      </c>
    </row>
    <row r="10742" spans="1:5" x14ac:dyDescent="0.25">
      <c r="A10742" t="str">
        <f>HYPERLINK("https://www.773grp.com/globalSearch/5962-8862101DA/page-1", "5962-8862101DA")</f>
        <v>5962-8862101DA</v>
      </c>
      <c r="B10742" s="3" t="s">
        <v>90</v>
      </c>
      <c r="C10742" s="5">
        <v>25</v>
      </c>
      <c r="D10742" s="6">
        <v>43.2</v>
      </c>
      <c r="E10742" t="s">
        <v>27</v>
      </c>
    </row>
    <row r="10743" spans="1:5" x14ac:dyDescent="0.25">
      <c r="A10743" t="str">
        <f>HYPERLINK("https://www.773grp.com/globalSearch/JM38510-30001B2A/page-1", "JM38510-30001B2A")</f>
        <v>JM38510-30001B2A</v>
      </c>
      <c r="B10743" s="3" t="s">
        <v>90</v>
      </c>
      <c r="C10743" s="5">
        <v>18</v>
      </c>
      <c r="D10743" s="6">
        <v>43.43</v>
      </c>
      <c r="E10743" t="s">
        <v>27</v>
      </c>
    </row>
    <row r="10744" spans="1:5" x14ac:dyDescent="0.25">
      <c r="A10744" t="str">
        <f>HYPERLINK("https://www.773grp.com/globalSearch/JM38510-37006B2A/page-1", "JM38510-37006B2A")</f>
        <v>JM38510-37006B2A</v>
      </c>
      <c r="B10744" s="3" t="s">
        <v>90</v>
      </c>
      <c r="C10744" s="5">
        <v>22</v>
      </c>
      <c r="D10744" s="6">
        <v>43.63</v>
      </c>
      <c r="E10744" t="s">
        <v>27</v>
      </c>
    </row>
    <row r="10745" spans="1:5" x14ac:dyDescent="0.25">
      <c r="A10745" t="str">
        <f>HYPERLINK("https://www.773grp.com/globalSearch/SNJ5450W/page-1", "SNJ5450W")</f>
        <v>SNJ5450W</v>
      </c>
      <c r="B10745" s="3" t="s">
        <v>90</v>
      </c>
      <c r="C10745" s="5">
        <v>63</v>
      </c>
      <c r="D10745" s="6">
        <v>43.71</v>
      </c>
      <c r="E10745" t="s">
        <v>27</v>
      </c>
    </row>
    <row r="10746" spans="1:5" x14ac:dyDescent="0.25">
      <c r="A10746" t="str">
        <f>HYPERLINK("https://www.773grp.com/globalSearch/SNJ54S37W/page-1", "SNJ54S37W")</f>
        <v>SNJ54S37W</v>
      </c>
      <c r="B10746" s="3" t="s">
        <v>90</v>
      </c>
      <c r="C10746" s="5">
        <v>21</v>
      </c>
      <c r="D10746" s="6">
        <v>43.79</v>
      </c>
      <c r="E10746" t="s">
        <v>27</v>
      </c>
    </row>
    <row r="10747" spans="1:5" x14ac:dyDescent="0.25">
      <c r="A10747" t="str">
        <f>HYPERLINK("https://www.773grp.com/globalSearch/84091012A/page-1", "84091012A")</f>
        <v>84091012A</v>
      </c>
      <c r="B10747" s="3" t="s">
        <v>90</v>
      </c>
      <c r="C10747" s="5">
        <v>8</v>
      </c>
      <c r="D10747" s="6">
        <v>44.59</v>
      </c>
      <c r="E10747" t="s">
        <v>27</v>
      </c>
    </row>
    <row r="10748" spans="1:5" x14ac:dyDescent="0.25">
      <c r="A10748" t="str">
        <f>HYPERLINK("https://www.773grp.com/globalSearch/JM38510-65751BCA/page-1", "JM38510-65751BCA")</f>
        <v>JM38510-65751BCA</v>
      </c>
      <c r="B10748" s="3" t="s">
        <v>90</v>
      </c>
      <c r="C10748" s="5">
        <v>11</v>
      </c>
      <c r="D10748" s="6">
        <v>44.66</v>
      </c>
      <c r="E10748" t="s">
        <v>27</v>
      </c>
    </row>
    <row r="10749" spans="1:5" x14ac:dyDescent="0.25">
      <c r="A10749" t="str">
        <f>HYPERLINK("https://www.773grp.com/globalSearch/JM38510-08101BCA/page-1", "JM38510-08101BCA")</f>
        <v>JM38510-08101BCA</v>
      </c>
      <c r="B10749" s="3" t="s">
        <v>90</v>
      </c>
      <c r="C10749" s="5">
        <v>140</v>
      </c>
      <c r="D10749" s="6">
        <v>44.93</v>
      </c>
      <c r="E10749" t="s">
        <v>27</v>
      </c>
    </row>
    <row r="10750" spans="1:5" x14ac:dyDescent="0.25">
      <c r="A10750" t="str">
        <f>HYPERLINK("https://www.773grp.com/globalSearch/SNJ54S38FK/page-1", "SNJ54S38FK")</f>
        <v>SNJ54S38FK</v>
      </c>
      <c r="B10750" s="3" t="s">
        <v>90</v>
      </c>
      <c r="C10750" s="5">
        <v>2</v>
      </c>
      <c r="D10750" s="6">
        <v>44.94</v>
      </c>
      <c r="E10750" t="s">
        <v>27</v>
      </c>
    </row>
    <row r="10751" spans="1:5" x14ac:dyDescent="0.25">
      <c r="A10751" t="str">
        <f>HYPERLINK("https://www.773grp.com/globalSearch/SNJ54LS132W/page-1", "SNJ54LS132W")</f>
        <v>SNJ54LS132W</v>
      </c>
      <c r="B10751" s="3" t="s">
        <v>90</v>
      </c>
      <c r="C10751" s="5">
        <v>21</v>
      </c>
      <c r="D10751" s="6">
        <v>44.98</v>
      </c>
      <c r="E10751" t="s">
        <v>27</v>
      </c>
    </row>
    <row r="10752" spans="1:5" x14ac:dyDescent="0.25">
      <c r="A10752" t="str">
        <f>HYPERLINK("https://www.773grp.com/globalSearch/JM38510-07501BDA/page-1", "JM38510-07501BDA")</f>
        <v>JM38510-07501BDA</v>
      </c>
      <c r="B10752" s="3" t="s">
        <v>90</v>
      </c>
      <c r="C10752" s="5">
        <v>187</v>
      </c>
      <c r="D10752" s="6">
        <v>45.06</v>
      </c>
      <c r="E10752" t="s">
        <v>27</v>
      </c>
    </row>
    <row r="10753" spans="1:5" x14ac:dyDescent="0.25">
      <c r="A10753" t="str">
        <f>HYPERLINK("https://www.773grp.com/globalSearch/SNJ54AS32FK/page-1", "SNJ54AS32FK")</f>
        <v>SNJ54AS32FK</v>
      </c>
      <c r="B10753" s="3" t="s">
        <v>90</v>
      </c>
      <c r="C10753" s="5">
        <v>84</v>
      </c>
      <c r="D10753" s="6">
        <v>45.19</v>
      </c>
      <c r="E10753" t="s">
        <v>27</v>
      </c>
    </row>
    <row r="10754" spans="1:5" x14ac:dyDescent="0.25">
      <c r="A10754" t="str">
        <f>HYPERLINK("https://www.773grp.com/globalSearch/SNJ54S04FK/page-1", "SNJ54S04FK")</f>
        <v>SNJ54S04FK</v>
      </c>
      <c r="B10754" s="3" t="s">
        <v>90</v>
      </c>
      <c r="C10754" s="5">
        <v>23</v>
      </c>
      <c r="D10754" s="6">
        <v>45.4</v>
      </c>
      <c r="E10754" t="s">
        <v>27</v>
      </c>
    </row>
    <row r="10755" spans="1:5" x14ac:dyDescent="0.25">
      <c r="A10755" t="str">
        <f>HYPERLINK("https://www.773grp.com/globalSearch/SNJ54LS06FK/page-1", "SNJ54LS06FK")</f>
        <v>SNJ54LS06FK</v>
      </c>
      <c r="B10755" s="3" t="s">
        <v>90</v>
      </c>
      <c r="C10755" s="5">
        <v>20</v>
      </c>
      <c r="D10755" s="6">
        <v>45.43</v>
      </c>
      <c r="E10755" t="s">
        <v>27</v>
      </c>
    </row>
    <row r="10756" spans="1:5" x14ac:dyDescent="0.25">
      <c r="A10756" t="str">
        <f>HYPERLINK("https://www.773grp.com/globalSearch/SNJ54S08FK/page-1", "SNJ54S08FK")</f>
        <v>SNJ54S08FK</v>
      </c>
      <c r="B10756" s="3" t="s">
        <v>90</v>
      </c>
      <c r="C10756" s="5">
        <v>1</v>
      </c>
      <c r="D10756" s="6">
        <v>45.6</v>
      </c>
      <c r="E10756" t="s">
        <v>27</v>
      </c>
    </row>
    <row r="10757" spans="1:5" x14ac:dyDescent="0.25">
      <c r="A10757" t="str">
        <f>HYPERLINK("https://www.773grp.com/globalSearch/JM38510-37005BEA/page-1", "JM38510-37005BEA")</f>
        <v>JM38510-37005BEA</v>
      </c>
      <c r="B10757" s="3" t="s">
        <v>90</v>
      </c>
      <c r="C10757" s="5">
        <v>46</v>
      </c>
      <c r="D10757" s="6">
        <v>45.81</v>
      </c>
      <c r="E10757" t="s">
        <v>27</v>
      </c>
    </row>
    <row r="10758" spans="1:5" x14ac:dyDescent="0.25">
      <c r="A10758" t="str">
        <f>HYPERLINK("https://www.773grp.com/globalSearch/JM38510-38411BCA/page-1", "JM38510-38411BCA")</f>
        <v>JM38510-38411BCA</v>
      </c>
      <c r="B10758" s="3" t="s">
        <v>90</v>
      </c>
      <c r="C10758" s="5">
        <v>9</v>
      </c>
      <c r="D10758" s="6">
        <v>46.2</v>
      </c>
      <c r="E10758" t="s">
        <v>27</v>
      </c>
    </row>
    <row r="10759" spans="1:5" x14ac:dyDescent="0.25">
      <c r="A10759" t="str">
        <f>HYPERLINK("https://www.773grp.com/globalSearch/JM38510-65701B2A/page-1", "JM38510-65701B2A")</f>
        <v>JM38510-65701B2A</v>
      </c>
      <c r="B10759" s="3" t="s">
        <v>90</v>
      </c>
      <c r="C10759" s="5">
        <v>142</v>
      </c>
      <c r="D10759" s="6">
        <v>46.54</v>
      </c>
      <c r="E10759" t="s">
        <v>27</v>
      </c>
    </row>
    <row r="10760" spans="1:5" x14ac:dyDescent="0.25">
      <c r="A10760" t="str">
        <f>HYPERLINK("https://www.773grp.com/globalSearch/5962-8776601SA/page-1", "5962-8776601SA")</f>
        <v>5962-8776601SA</v>
      </c>
      <c r="B10760" s="3" t="s">
        <v>90</v>
      </c>
      <c r="C10760" s="5">
        <v>2</v>
      </c>
      <c r="D10760" s="6">
        <v>46.78</v>
      </c>
      <c r="E10760" t="s">
        <v>27</v>
      </c>
    </row>
    <row r="10761" spans="1:5" x14ac:dyDescent="0.25">
      <c r="A10761" t="str">
        <f>HYPERLINK("https://www.773grp.com/globalSearch/JM38510-65002B2A/page-1", "JM38510-65002B2A")</f>
        <v>JM38510-65002B2A</v>
      </c>
      <c r="B10761" s="3" t="s">
        <v>90</v>
      </c>
      <c r="C10761" s="5">
        <v>30</v>
      </c>
      <c r="D10761" s="6">
        <v>46.78</v>
      </c>
      <c r="E10761" t="s">
        <v>27</v>
      </c>
    </row>
    <row r="10762" spans="1:5" x14ac:dyDescent="0.25">
      <c r="A10762" t="str">
        <f>HYPERLINK("https://www.773grp.com/globalSearch/JM38510-65203B2A/page-1", "JM38510-65203B2A")</f>
        <v>JM38510-65203B2A</v>
      </c>
      <c r="B10762" s="3" t="s">
        <v>90</v>
      </c>
      <c r="C10762" s="5">
        <v>122</v>
      </c>
      <c r="D10762" s="6">
        <v>46.8</v>
      </c>
      <c r="E10762" t="s">
        <v>27</v>
      </c>
    </row>
    <row r="10763" spans="1:5" x14ac:dyDescent="0.25">
      <c r="A10763" t="str">
        <f>HYPERLINK("https://www.773grp.com/globalSearch/JM38510-65101B2A/page-1", "JM38510-65101B2A")</f>
        <v>JM38510-65101B2A</v>
      </c>
      <c r="B10763" s="3" t="s">
        <v>90</v>
      </c>
      <c r="C10763" s="5">
        <v>45</v>
      </c>
      <c r="D10763" s="6">
        <v>47</v>
      </c>
      <c r="E10763" t="s">
        <v>27</v>
      </c>
    </row>
    <row r="10764" spans="1:5" x14ac:dyDescent="0.25">
      <c r="A10764" t="str">
        <f>HYPERLINK("https://www.773grp.com/globalSearch/SNJ54S140FK/page-1", "SNJ54S140FK")</f>
        <v>SNJ54S140FK</v>
      </c>
      <c r="B10764" s="3" t="s">
        <v>90</v>
      </c>
      <c r="C10764" s="5">
        <v>10</v>
      </c>
      <c r="D10764" s="6">
        <v>47.55</v>
      </c>
      <c r="E10764" t="s">
        <v>27</v>
      </c>
    </row>
    <row r="10765" spans="1:5" x14ac:dyDescent="0.25">
      <c r="A10765" t="str">
        <f>HYPERLINK("https://www.773grp.com/globalSearch/JM38510-65204BCA/page-1", "JM38510-65204BCA")</f>
        <v>JM38510-65204BCA</v>
      </c>
      <c r="B10765" s="3" t="s">
        <v>90</v>
      </c>
      <c r="C10765" s="5">
        <v>9</v>
      </c>
      <c r="D10765" s="6">
        <v>49.36</v>
      </c>
      <c r="E10765" t="s">
        <v>27</v>
      </c>
    </row>
    <row r="10766" spans="1:5" x14ac:dyDescent="0.25">
      <c r="A10766" t="str">
        <f>HYPERLINK("https://www.773grp.com/globalSearch/JM38510-65104BCA/page-1", "JM38510-65104BCA")</f>
        <v>JM38510-65104BCA</v>
      </c>
      <c r="B10766" s="3" t="s">
        <v>90</v>
      </c>
      <c r="C10766" s="5">
        <v>46</v>
      </c>
      <c r="D10766" s="6">
        <v>49.79</v>
      </c>
      <c r="E10766" t="s">
        <v>27</v>
      </c>
    </row>
    <row r="10767" spans="1:5" x14ac:dyDescent="0.25">
      <c r="A10767" t="str">
        <f>HYPERLINK("https://www.773grp.com/globalSearch/JM38510-65102BCA/page-1", "JM38510-65102BCA")</f>
        <v>JM38510-65102BCA</v>
      </c>
      <c r="B10767" s="3" t="s">
        <v>90</v>
      </c>
      <c r="C10767" s="5">
        <v>312</v>
      </c>
      <c r="D10767" s="6">
        <v>49.86</v>
      </c>
      <c r="E10767" t="s">
        <v>27</v>
      </c>
    </row>
    <row r="10768" spans="1:5" x14ac:dyDescent="0.25">
      <c r="A10768" t="str">
        <f>HYPERLINK("https://www.773grp.com/globalSearch/JM38510-08003BDA/page-1", "JM38510-08003BDA")</f>
        <v>JM38510-08003BDA</v>
      </c>
      <c r="B10768" s="3" t="s">
        <v>90</v>
      </c>
      <c r="C10768" s="5">
        <v>8</v>
      </c>
      <c r="D10768" s="6">
        <v>50.43</v>
      </c>
      <c r="E10768" t="s">
        <v>27</v>
      </c>
    </row>
    <row r="10769" spans="1:5" x14ac:dyDescent="0.25">
      <c r="A10769" t="str">
        <f>HYPERLINK("https://www.773grp.com/globalSearch/5962-89845022A/page-1", "5962-89845022A")</f>
        <v>5962-89845022A</v>
      </c>
      <c r="B10769" s="3" t="s">
        <v>90</v>
      </c>
      <c r="C10769" s="5">
        <v>25</v>
      </c>
      <c r="D10769" s="6">
        <v>50.68</v>
      </c>
      <c r="E10769" t="s">
        <v>27</v>
      </c>
    </row>
    <row r="10770" spans="1:5" x14ac:dyDescent="0.25">
      <c r="A10770" t="str">
        <f>HYPERLINK("https://www.773grp.com/globalSearch/SNJ54HC132FK/page-1", "SNJ54HC132FK")</f>
        <v>SNJ54HC132FK</v>
      </c>
      <c r="B10770" s="3" t="s">
        <v>90</v>
      </c>
      <c r="C10770" s="5">
        <v>19</v>
      </c>
      <c r="D10770" s="6">
        <v>50.68</v>
      </c>
      <c r="E10770" t="s">
        <v>27</v>
      </c>
    </row>
    <row r="10771" spans="1:5" x14ac:dyDescent="0.25">
      <c r="A10771" t="str">
        <f>HYPERLINK("https://www.773grp.com/globalSearch/JM38510-05352BEA/page-1", "JM38510-05352BEA")</f>
        <v>JM38510-05352BEA</v>
      </c>
      <c r="B10771" s="3" t="s">
        <v>90</v>
      </c>
      <c r="C10771" s="5">
        <v>320</v>
      </c>
      <c r="D10771" s="6">
        <v>51.08</v>
      </c>
      <c r="E10771" t="s">
        <v>27</v>
      </c>
    </row>
    <row r="10772" spans="1:5" x14ac:dyDescent="0.25">
      <c r="A10772" t="str">
        <f>HYPERLINK("https://www.773grp.com/globalSearch/JM38510-07401BCA/page-1", "JM38510-07401BCA")</f>
        <v>JM38510-07401BCA</v>
      </c>
      <c r="B10772" s="3" t="s">
        <v>90</v>
      </c>
      <c r="C10772" s="5">
        <v>242</v>
      </c>
      <c r="D10772" s="6">
        <v>51.98</v>
      </c>
      <c r="E10772" t="s">
        <v>27</v>
      </c>
    </row>
    <row r="10773" spans="1:5" x14ac:dyDescent="0.25">
      <c r="A10773" t="str">
        <f>HYPERLINK("https://www.773grp.com/globalSearch/SNJ54LS132FK/page-1", "SNJ54LS132FK")</f>
        <v>SNJ54LS132FK</v>
      </c>
      <c r="B10773" s="3" t="s">
        <v>90</v>
      </c>
      <c r="C10773" s="5">
        <v>81</v>
      </c>
      <c r="D10773" s="6">
        <v>52.69</v>
      </c>
      <c r="E10773" t="s">
        <v>27</v>
      </c>
    </row>
    <row r="10774" spans="1:5" x14ac:dyDescent="0.25">
      <c r="A10774" t="str">
        <f>HYPERLINK("https://www.773grp.com/globalSearch/JM38510-07002BDA/page-1", "JM38510-07002BDA")</f>
        <v>JM38510-07002BDA</v>
      </c>
      <c r="B10774" s="3" t="s">
        <v>90</v>
      </c>
      <c r="C10774" s="5">
        <v>104</v>
      </c>
      <c r="D10774" s="6">
        <v>52.74</v>
      </c>
      <c r="E10774" t="s">
        <v>27</v>
      </c>
    </row>
    <row r="10775" spans="1:5" x14ac:dyDescent="0.25">
      <c r="A10775" t="str">
        <f>HYPERLINK("https://www.773grp.com/globalSearch/JM38510-65203BDA/page-1", "JM38510-65203BDA")</f>
        <v>JM38510-65203BDA</v>
      </c>
      <c r="B10775" s="3" t="s">
        <v>90</v>
      </c>
      <c r="C10775" s="5">
        <v>19</v>
      </c>
      <c r="D10775" s="6">
        <v>53.24</v>
      </c>
      <c r="E10775" t="s">
        <v>27</v>
      </c>
    </row>
    <row r="10776" spans="1:5" x14ac:dyDescent="0.25">
      <c r="A10776" t="str">
        <f>HYPERLINK("https://www.773grp.com/globalSearch/JM38510-07004BDA/page-1", "JM38510-07004BDA")</f>
        <v>JM38510-07004BDA</v>
      </c>
      <c r="B10776" s="3" t="s">
        <v>90</v>
      </c>
      <c r="C10776" s="5">
        <v>3696</v>
      </c>
      <c r="D10776" s="6">
        <v>53.44</v>
      </c>
      <c r="E10776" t="s">
        <v>27</v>
      </c>
    </row>
    <row r="10777" spans="1:5" x14ac:dyDescent="0.25">
      <c r="A10777" t="str">
        <f>HYPERLINK("https://www.773grp.com/globalSearch/SNJ54LS30W/page-1", "SNJ54LS30W")</f>
        <v>SNJ54LS30W</v>
      </c>
      <c r="B10777" s="3" t="s">
        <v>90</v>
      </c>
      <c r="C10777" s="5">
        <v>205</v>
      </c>
      <c r="D10777" s="6">
        <v>53.89</v>
      </c>
      <c r="E10777" t="s">
        <v>27</v>
      </c>
    </row>
    <row r="10778" spans="1:5" x14ac:dyDescent="0.25">
      <c r="A10778" t="str">
        <f>HYPERLINK("https://www.773grp.com/globalSearch/SNJ54S132FK/page-1", "SNJ54S132FK")</f>
        <v>SNJ54S132FK</v>
      </c>
      <c r="B10778" s="3" t="s">
        <v>90</v>
      </c>
      <c r="C10778" s="5">
        <v>7</v>
      </c>
      <c r="D10778" s="6">
        <v>55.69</v>
      </c>
      <c r="E10778" t="s">
        <v>27</v>
      </c>
    </row>
    <row r="10779" spans="1:5" x14ac:dyDescent="0.25">
      <c r="A10779" t="str">
        <f>HYPERLINK("https://www.773grp.com/globalSearch/JM38510-65202BCA/page-1", "JM38510-65202BCA")</f>
        <v>JM38510-65202BCA</v>
      </c>
      <c r="B10779" s="3" t="s">
        <v>90</v>
      </c>
      <c r="C10779" s="5">
        <v>23</v>
      </c>
      <c r="D10779" s="6">
        <v>60.79</v>
      </c>
      <c r="E10779" t="s">
        <v>27</v>
      </c>
    </row>
    <row r="10780" spans="1:5" x14ac:dyDescent="0.25">
      <c r="A10780" t="str">
        <f>HYPERLINK("https://www.773grp.com/globalSearch/5962-88523012A/page-1", "5962-88523012A")</f>
        <v>5962-88523012A</v>
      </c>
      <c r="B10780" s="3" t="s">
        <v>90</v>
      </c>
      <c r="C10780" s="5">
        <v>25</v>
      </c>
      <c r="D10780" s="6">
        <v>61.05</v>
      </c>
      <c r="E10780" t="s">
        <v>27</v>
      </c>
    </row>
    <row r="10781" spans="1:5" x14ac:dyDescent="0.25">
      <c r="A10781" t="str">
        <f>HYPERLINK("https://www.773grp.com/globalSearch/SNJ54AS832BFK/page-1", "SNJ54AS832BFK")</f>
        <v>SNJ54AS832BFK</v>
      </c>
      <c r="B10781" s="3" t="s">
        <v>90</v>
      </c>
      <c r="C10781" s="5">
        <v>13</v>
      </c>
      <c r="D10781" s="6">
        <v>61.05</v>
      </c>
      <c r="E10781" t="s">
        <v>27</v>
      </c>
    </row>
    <row r="10782" spans="1:5" x14ac:dyDescent="0.25">
      <c r="A10782" t="str">
        <f>HYPERLINK("https://www.773grp.com/globalSearch/5962-87766012A/page-1", "5962-87766012A")</f>
        <v>5962-87766012A</v>
      </c>
      <c r="B10782" s="3" t="s">
        <v>90</v>
      </c>
      <c r="C10782" s="5">
        <v>119</v>
      </c>
      <c r="D10782" s="6">
        <v>61.38</v>
      </c>
      <c r="E10782" t="s">
        <v>27</v>
      </c>
    </row>
    <row r="10783" spans="1:5" x14ac:dyDescent="0.25">
      <c r="A10783" t="str">
        <f>HYPERLINK("https://www.773grp.com/globalSearch/SNJ54AS804BFK/page-1", "SNJ54AS804BFK")</f>
        <v>SNJ54AS804BFK</v>
      </c>
      <c r="B10783" s="3" t="s">
        <v>90</v>
      </c>
      <c r="C10783" s="5">
        <v>16</v>
      </c>
      <c r="D10783" s="6">
        <v>61.38</v>
      </c>
      <c r="E10783" t="s">
        <v>27</v>
      </c>
    </row>
    <row r="10784" spans="1:5" x14ac:dyDescent="0.25">
      <c r="A10784" t="str">
        <f>HYPERLINK("https://www.773grp.com/globalSearch/SNJ54AS805BFK/page-1", "SNJ54AS805BFK")</f>
        <v>SNJ54AS805BFK</v>
      </c>
      <c r="B10784" s="3" t="s">
        <v>90</v>
      </c>
      <c r="C10784" s="5">
        <v>27</v>
      </c>
      <c r="D10784" s="6">
        <v>61.38</v>
      </c>
      <c r="E10784" t="s">
        <v>27</v>
      </c>
    </row>
    <row r="10785" spans="1:5" x14ac:dyDescent="0.25">
      <c r="A10785" t="str">
        <f>HYPERLINK("https://www.773grp.com/globalSearch/JM38510-08003BCA/page-1", "JM38510-08003BCA")</f>
        <v>JM38510-08003BCA</v>
      </c>
      <c r="B10785" s="3" t="s">
        <v>90</v>
      </c>
      <c r="C10785" s="5">
        <v>109</v>
      </c>
      <c r="D10785" s="6">
        <v>65.81</v>
      </c>
      <c r="E10785" t="s">
        <v>27</v>
      </c>
    </row>
    <row r="10786" spans="1:5" x14ac:dyDescent="0.25">
      <c r="A10786" t="str">
        <f>HYPERLINK("https://www.773grp.com/globalSearch/JM38510-07004BCA/page-1", "JM38510-07004BCA")</f>
        <v>JM38510-07004BCA</v>
      </c>
      <c r="B10786" s="3" t="s">
        <v>90</v>
      </c>
      <c r="C10786" s="5">
        <v>41</v>
      </c>
      <c r="D10786" s="6">
        <v>81.56</v>
      </c>
      <c r="E10786" t="s">
        <v>27</v>
      </c>
    </row>
    <row r="10787" spans="1:5" x14ac:dyDescent="0.25">
      <c r="A10787" t="str">
        <f>HYPERLINK("https://www.773grp.com/globalSearch/SN54H50W/page-1", "SN54H50W")</f>
        <v>SN54H50W</v>
      </c>
      <c r="B10787" s="3" t="s">
        <v>90</v>
      </c>
      <c r="C10787" s="5">
        <v>1518</v>
      </c>
      <c r="D10787" s="6">
        <v>83.81</v>
      </c>
      <c r="E10787" t="s">
        <v>27</v>
      </c>
    </row>
    <row r="10788" spans="1:5" x14ac:dyDescent="0.25">
      <c r="A10788" t="str">
        <f>HYPERLINK("https://www.773grp.com/globalSearch/JM38510-05254BCA/page-1", "JM38510-05254BCA")</f>
        <v>JM38510-05254BCA</v>
      </c>
      <c r="B10788" s="3" t="s">
        <v>90</v>
      </c>
      <c r="C10788" s="5">
        <v>35</v>
      </c>
      <c r="D10788" s="6">
        <v>94.46</v>
      </c>
      <c r="E10788" t="s">
        <v>27</v>
      </c>
    </row>
    <row r="10789" spans="1:5" x14ac:dyDescent="0.25">
      <c r="A10789" t="str">
        <f>HYPERLINK("https://www.773grp.com/globalSearch/SN74AUC1G86YZAR/page-1", "SN74AUC1G86YZAR")</f>
        <v>SN74AUC1G86YZAR</v>
      </c>
      <c r="B10789" s="3" t="s">
        <v>90</v>
      </c>
      <c r="C10789" s="5">
        <v>75000</v>
      </c>
      <c r="D10789" s="6">
        <v>95.63</v>
      </c>
      <c r="E10789" t="s">
        <v>27</v>
      </c>
    </row>
    <row r="10790" spans="1:5" x14ac:dyDescent="0.25">
      <c r="A10790" t="str">
        <f>HYPERLINK("https://www.773grp.com/globalSearch/JM38510-05053BCA/page-1", "JM38510-05053BCA")</f>
        <v>JM38510-05053BCA</v>
      </c>
      <c r="B10790" s="3" t="s">
        <v>90</v>
      </c>
      <c r="C10790" s="5">
        <v>4</v>
      </c>
      <c r="D10790" s="6">
        <v>112</v>
      </c>
      <c r="E10790" t="s">
        <v>27</v>
      </c>
    </row>
    <row r="10791" spans="1:5" x14ac:dyDescent="0.25">
      <c r="A10791" t="str">
        <f>HYPERLINK("https://www.773grp.com/globalSearch/JM38510-05051BCA/page-1", "JM38510-05051BCA")</f>
        <v>JM38510-05051BCA</v>
      </c>
      <c r="B10791" s="3" t="s">
        <v>90</v>
      </c>
      <c r="C10791" s="5">
        <v>1</v>
      </c>
      <c r="D10791" s="6">
        <v>114.95</v>
      </c>
      <c r="E10791" t="s">
        <v>27</v>
      </c>
    </row>
    <row r="10792" spans="1:5" x14ac:dyDescent="0.25">
      <c r="A10792" t="str">
        <f>HYPERLINK("https://www.773grp.com/globalSearch/JM38510-17401BCA/page-1", "JM38510-17401BCA")</f>
        <v>JM38510-17401BCA</v>
      </c>
      <c r="B10792" s="3" t="s">
        <v>90</v>
      </c>
      <c r="C10792" s="5">
        <v>376</v>
      </c>
      <c r="D10792" s="6">
        <v>116.58</v>
      </c>
      <c r="E10792" t="s">
        <v>27</v>
      </c>
    </row>
    <row r="10793" spans="1:5" x14ac:dyDescent="0.25">
      <c r="A10793" t="str">
        <f>HYPERLINK("https://www.773grp.com/globalSearch/JM38510-05052BCA/page-1", "JM38510-05052BCA")</f>
        <v>JM38510-05052BCA</v>
      </c>
      <c r="B10793" s="3" t="s">
        <v>90</v>
      </c>
      <c r="C10793" s="5">
        <v>187</v>
      </c>
      <c r="D10793" s="6">
        <v>119.9</v>
      </c>
      <c r="E10793" t="s">
        <v>27</v>
      </c>
    </row>
    <row r="10794" spans="1:5" x14ac:dyDescent="0.25">
      <c r="A10794" t="str">
        <f>HYPERLINK("https://www.773grp.com/globalSearch/JM38510-17103BCA/page-1", "JM38510-17103BCA")</f>
        <v>JM38510-17103BCA</v>
      </c>
      <c r="B10794" s="3" t="s">
        <v>90</v>
      </c>
      <c r="C10794" s="5">
        <v>16</v>
      </c>
      <c r="D10794" s="6">
        <v>121.13</v>
      </c>
      <c r="E10794" t="s">
        <v>27</v>
      </c>
    </row>
    <row r="10795" spans="1:5" x14ac:dyDescent="0.25">
      <c r="A10795" t="str">
        <f>HYPERLINK("https://www.773grp.com/globalSearch/JM38510-17003BCA/page-1", "JM38510-17003BCA")</f>
        <v>JM38510-17003BCA</v>
      </c>
      <c r="B10795" s="3" t="s">
        <v>90</v>
      </c>
      <c r="C10795" s="5">
        <v>4532</v>
      </c>
      <c r="D10795" s="6">
        <v>123.66</v>
      </c>
      <c r="E10795" t="s">
        <v>27</v>
      </c>
    </row>
    <row r="10796" spans="1:5" x14ac:dyDescent="0.25">
      <c r="A10796" t="str">
        <f>HYPERLINK("https://www.773grp.com/globalSearch/JM38510-05353BCA/page-1", "JM38510-05353BCA")</f>
        <v>JM38510-05353BCA</v>
      </c>
      <c r="B10796" s="3" t="s">
        <v>90</v>
      </c>
      <c r="C10796" s="5">
        <v>307</v>
      </c>
      <c r="D10796" s="6">
        <v>123.78</v>
      </c>
      <c r="E10796" t="s">
        <v>27</v>
      </c>
    </row>
    <row r="10797" spans="1:5" x14ac:dyDescent="0.25">
      <c r="A10797" t="str">
        <f>HYPERLINK("https://www.773grp.com/globalSearch/JM38510-17001BCA/page-1", "JM38510-17001BCA")</f>
        <v>JM38510-17001BCA</v>
      </c>
      <c r="B10797" s="3" t="s">
        <v>90</v>
      </c>
      <c r="C10797" s="5">
        <v>25</v>
      </c>
      <c r="D10797" s="6">
        <v>124.49</v>
      </c>
      <c r="E10797" t="s">
        <v>27</v>
      </c>
    </row>
    <row r="10798" spans="1:5" x14ac:dyDescent="0.25">
      <c r="A10798" t="str">
        <f>HYPERLINK("https://www.773grp.com/globalSearch/5962-8974701VCA/page-1", "5962-8974701VCA")</f>
        <v>5962-8974701VCA</v>
      </c>
      <c r="B10798" s="3" t="s">
        <v>90</v>
      </c>
      <c r="C10798" s="5">
        <v>40</v>
      </c>
      <c r="D10798" s="6">
        <v>136.13</v>
      </c>
      <c r="E10798" t="s">
        <v>27</v>
      </c>
    </row>
    <row r="10799" spans="1:5" x14ac:dyDescent="0.25">
      <c r="A10799" t="str">
        <f>HYPERLINK("https://www.773grp.com/globalSearch/5962-8404701VCA/page-1", "5962-8404701VCA")</f>
        <v>5962-8404701VCA</v>
      </c>
      <c r="B10799" s="3" t="str">
        <f>HYPERLINK("https://www.773grp.com/manufacturer/texas-instruments?pageNo=203", "Texas Instruments")</f>
        <v>Texas Instruments</v>
      </c>
      <c r="C10799" s="5">
        <v>28</v>
      </c>
      <c r="D10799" s="6">
        <v>156.51</v>
      </c>
      <c r="E10799" t="s">
        <v>27</v>
      </c>
    </row>
    <row r="10800" spans="1:5" x14ac:dyDescent="0.25">
      <c r="A10800" t="str">
        <f>HYPERLINK("https://www.773grp.com/globalSearch/5962-8409801VCA/page-1", "5962-8409801VCA")</f>
        <v>5962-8409801VCA</v>
      </c>
      <c r="B10800" s="3" t="str">
        <f>HYPERLINK("https://www.773grp.com/manufacturer/texas-instruments?pageNo=204", "Texas Instruments")</f>
        <v>Texas Instruments</v>
      </c>
      <c r="C10800" s="5">
        <v>3</v>
      </c>
      <c r="D10800" s="6">
        <v>156.51</v>
      </c>
      <c r="E10800" t="s">
        <v>27</v>
      </c>
    </row>
    <row r="10801" spans="1:5" x14ac:dyDescent="0.25">
      <c r="A10801" t="str">
        <f>HYPERLINK("https://www.773grp.com/globalSearch/JM38510-30501SCA/page-1", "JM38510-30501SCA")</f>
        <v>JM38510-30501SCA</v>
      </c>
      <c r="B10801" s="3" t="str">
        <f>HYPERLINK("https://www.773grp.com/manufacturer/texas-instruments?pageNo=419", "Texas Instruments")</f>
        <v>Texas Instruments</v>
      </c>
      <c r="C10801" s="5">
        <v>33</v>
      </c>
      <c r="D10801" s="6">
        <v>194.35</v>
      </c>
      <c r="E10801" t="s">
        <v>27</v>
      </c>
    </row>
    <row r="10802" spans="1:5" x14ac:dyDescent="0.25">
      <c r="A10802" t="str">
        <f>HYPERLINK("https://www.773grp.com/globalSearch/JM38510-31004SCA/page-1", "JM38510-31004SCA")</f>
        <v>JM38510-31004SCA</v>
      </c>
      <c r="B10802" s="3" t="str">
        <f>HYPERLINK("https://www.773grp.com/manufacturer/texas-instruments?pageNo=421", "Texas Instruments")</f>
        <v>Texas Instruments</v>
      </c>
      <c r="C10802" s="5">
        <v>315</v>
      </c>
      <c r="D10802" s="6">
        <v>194.35</v>
      </c>
      <c r="E10802" t="s">
        <v>27</v>
      </c>
    </row>
    <row r="10803" spans="1:5" x14ac:dyDescent="0.25">
      <c r="A10803" t="str">
        <f>HYPERLINK("https://www.773grp.com/globalSearch/5962-8973401VDA/page-1", "5962-8973401VDA")</f>
        <v>5962-8973401VDA</v>
      </c>
      <c r="B10803" s="3" t="str">
        <f>HYPERLINK("https://www.773grp.com/manufacturer/texas-instruments?pageNo=598", "Texas Instruments")</f>
        <v>Texas Instruments</v>
      </c>
      <c r="C10803" s="5">
        <v>2</v>
      </c>
      <c r="D10803" s="6">
        <v>234.43</v>
      </c>
      <c r="E10803" t="s">
        <v>27</v>
      </c>
    </row>
    <row r="10804" spans="1:5" x14ac:dyDescent="0.25">
      <c r="A10804" t="str">
        <f>HYPERLINK("https://www.773grp.com/globalSearch/5962-9682101VDA/page-1", "5962-9682101VDA")</f>
        <v>5962-9682101VDA</v>
      </c>
      <c r="B10804" s="3" t="str">
        <f>HYPERLINK("https://www.773grp.com/manufacturer/texas-instruments?pageNo=600", "Texas Instruments")</f>
        <v>Texas Instruments</v>
      </c>
      <c r="C10804" s="5">
        <v>2</v>
      </c>
      <c r="D10804" s="6">
        <v>234.43</v>
      </c>
      <c r="E10804" t="s">
        <v>27</v>
      </c>
    </row>
    <row r="10805" spans="1:5" x14ac:dyDescent="0.25">
      <c r="A10805" t="str">
        <f>HYPERLINK("https://www.773grp.com/globalSearch/JM38510-30003SCA/page-1", "JM38510-30003SCA")</f>
        <v>JM38510-30003SCA</v>
      </c>
      <c r="B10805" s="3" t="str">
        <f>HYPERLINK("https://www.773grp.com/manufacturer/texas-instruments?pageNo=668", "Texas Instruments")</f>
        <v>Texas Instruments</v>
      </c>
      <c r="C10805" s="5">
        <v>279</v>
      </c>
      <c r="D10805" s="6">
        <v>219.15</v>
      </c>
      <c r="E10805" t="s">
        <v>27</v>
      </c>
    </row>
    <row r="10806" spans="1:5" x14ac:dyDescent="0.25">
      <c r="A10806" t="str">
        <f>HYPERLINK("https://www.773grp.com/globalSearch/5962-8404701VDA/page-1", "5962-8404701VDA")</f>
        <v>5962-8404701VDA</v>
      </c>
      <c r="B10806" s="3" t="str">
        <f>HYPERLINK("https://www.773grp.com/manufacturer/texas-instruments?pageNo=670", "Texas Instruments")</f>
        <v>Texas Instruments</v>
      </c>
      <c r="C10806" s="5">
        <v>1</v>
      </c>
      <c r="D10806" s="6">
        <v>254.81</v>
      </c>
      <c r="E10806" t="s">
        <v>27</v>
      </c>
    </row>
    <row r="10807" spans="1:5" x14ac:dyDescent="0.25">
      <c r="A10807" t="str">
        <f>HYPERLINK("https://www.773grp.com/globalSearch/5962-9665801VDA/page-1", "5962-9665801VDA")</f>
        <v>5962-9665801VDA</v>
      </c>
      <c r="B10807" s="3" t="str">
        <f>HYPERLINK("https://www.773grp.com/manufacturer/texas-instruments?pageNo=679", "Texas Instruments")</f>
        <v>Texas Instruments</v>
      </c>
      <c r="C10807" s="5">
        <v>4</v>
      </c>
      <c r="D10807" s="6">
        <v>222.26</v>
      </c>
      <c r="E10807" t="s">
        <v>27</v>
      </c>
    </row>
    <row r="10808" spans="1:5" x14ac:dyDescent="0.25">
      <c r="A10808" t="str">
        <f>HYPERLINK("https://www.773grp.com/globalSearch/JM38510-30301SDA/page-1", "JM38510-30301SDA")</f>
        <v>JM38510-30301SDA</v>
      </c>
      <c r="B10808" s="3" t="str">
        <f>HYPERLINK("https://www.773grp.com/manufacturer/texas-instruments?pageNo=683", "Texas Instruments")</f>
        <v>Texas Instruments</v>
      </c>
      <c r="C10808" s="5">
        <v>106</v>
      </c>
      <c r="D10808" s="6">
        <v>222.26</v>
      </c>
      <c r="E10808" t="s">
        <v>27</v>
      </c>
    </row>
    <row r="10809" spans="1:5" x14ac:dyDescent="0.25">
      <c r="A10809" t="str">
        <f>HYPERLINK("https://www.773grp.com/globalSearch/JM38510-30501SDA/page-1", "JM38510-30501SDA")</f>
        <v>JM38510-30501SDA</v>
      </c>
      <c r="B10809" s="3" t="str">
        <f>HYPERLINK("https://www.773grp.com/manufacturer/texas-instruments?pageNo=684", "Texas Instruments")</f>
        <v>Texas Instruments</v>
      </c>
      <c r="C10809" s="5">
        <v>27</v>
      </c>
      <c r="D10809" s="6">
        <v>222.26</v>
      </c>
      <c r="E10809" t="s">
        <v>27</v>
      </c>
    </row>
    <row r="10810" spans="1:5" x14ac:dyDescent="0.25">
      <c r="A10810" t="str">
        <f>HYPERLINK("https://www.773grp.com/globalSearch/JM38510-30007SDA/page-1", "JM38510-30007SDA")</f>
        <v>JM38510-30007SDA</v>
      </c>
      <c r="B10810" s="3" t="str">
        <f>HYPERLINK("https://www.773grp.com/manufacturer/texas-instruments?pageNo=787", "Texas Instruments")</f>
        <v>Texas Instruments</v>
      </c>
      <c r="C10810" s="5">
        <v>110</v>
      </c>
      <c r="D10810" s="6">
        <v>236.99</v>
      </c>
      <c r="E10810" t="s">
        <v>27</v>
      </c>
    </row>
    <row r="10811" spans="1:5" x14ac:dyDescent="0.25">
      <c r="A10811" t="str">
        <f>HYPERLINK("https://www.773grp.com/globalSearch/JM38510-30001SDA/page-1", "JM38510-30001SDA")</f>
        <v>JM38510-30001SDA</v>
      </c>
      <c r="B10811" s="3" t="s">
        <v>90</v>
      </c>
      <c r="C10811" s="5">
        <v>364</v>
      </c>
      <c r="D10811" s="6">
        <v>293.70999999999998</v>
      </c>
      <c r="E10811" t="s">
        <v>27</v>
      </c>
    </row>
    <row r="10812" spans="1:5" x14ac:dyDescent="0.25">
      <c r="A10812" t="str">
        <f>HYPERLINK("https://www.773grp.com/globalSearch/JM38510-30003SDA/page-1", "JM38510-30003SDA")</f>
        <v>JM38510-30003SDA</v>
      </c>
      <c r="B10812" s="3" t="s">
        <v>90</v>
      </c>
      <c r="C10812" s="5">
        <v>226</v>
      </c>
      <c r="D10812" s="6">
        <v>293.70999999999998</v>
      </c>
      <c r="E10812" t="s">
        <v>27</v>
      </c>
    </row>
    <row r="10813" spans="1:5" x14ac:dyDescent="0.25">
      <c r="A10813" t="str">
        <f>HYPERLINK("https://www.773grp.com/globalSearch/5962-8754903VCA/page-1", "5962-8754903VCA")</f>
        <v>5962-8754903VCA</v>
      </c>
      <c r="B10813" s="3" t="s">
        <v>90</v>
      </c>
      <c r="C10813" s="5">
        <v>10</v>
      </c>
      <c r="D10813" s="6">
        <v>348.29</v>
      </c>
      <c r="E10813" t="s">
        <v>27</v>
      </c>
    </row>
    <row r="10814" spans="1:5" x14ac:dyDescent="0.25">
      <c r="A10814" t="str">
        <f>HYPERLINK("https://www.773grp.com/globalSearch/5962-8761203VDA/page-1", "5962-8761203VDA")</f>
        <v>5962-8761203VDA</v>
      </c>
      <c r="B10814" s="3" t="s">
        <v>90</v>
      </c>
      <c r="C10814" s="5">
        <v>10</v>
      </c>
      <c r="D10814" s="6">
        <v>422.84</v>
      </c>
      <c r="E10814" t="s">
        <v>27</v>
      </c>
    </row>
    <row r="10815" spans="1:5" x14ac:dyDescent="0.25">
      <c r="A10815" t="str">
        <f>HYPERLINK("https://www.773grp.com/globalSearch/SM34020APCM40/page-1", "SM34020APCM40")</f>
        <v>SM34020APCM40</v>
      </c>
      <c r="B10815" s="3" t="s">
        <v>90</v>
      </c>
      <c r="C10815" s="5">
        <v>54</v>
      </c>
      <c r="D10815" s="6">
        <v>916.38</v>
      </c>
      <c r="E10815" t="s">
        <v>110</v>
      </c>
    </row>
    <row r="10816" spans="1:5" x14ac:dyDescent="0.25">
      <c r="A10816" t="str">
        <f>HYPERLINK("https://www.773grp.com/globalSearch/SM34020AGBM40/page-1", "SM34020AGBM40")</f>
        <v>SM34020AGBM40</v>
      </c>
      <c r="B10816" s="3" t="s">
        <v>90</v>
      </c>
      <c r="C10816" s="5">
        <v>11</v>
      </c>
      <c r="D10816" s="6">
        <v>1531.88</v>
      </c>
      <c r="E10816" t="s">
        <v>110</v>
      </c>
    </row>
    <row r="10817" spans="1:5" x14ac:dyDescent="0.25">
      <c r="A10817" t="str">
        <f>HYPERLINK("https://www.773grp.com/globalSearch/INA126UA/page-1", "INA126UA")</f>
        <v>INA126UA</v>
      </c>
      <c r="B10817" s="3" t="str">
        <f>HYPERLINK("https://www.773grp.com/manufacturer/texas-instruments?pageNo=471", "Texas Instruments")</f>
        <v>Texas Instruments</v>
      </c>
      <c r="C10817" s="5">
        <v>10596</v>
      </c>
      <c r="D10817" s="6">
        <v>3.66</v>
      </c>
      <c r="E10817" t="s">
        <v>59</v>
      </c>
    </row>
    <row r="10818" spans="1:5" x14ac:dyDescent="0.25">
      <c r="A10818" t="str">
        <f>HYPERLINK("https://www.773grp.com/globalSearch/INA126EA-250/page-1", "INA126EA-250")</f>
        <v>INA126EA-250</v>
      </c>
      <c r="B10818" s="3" t="s">
        <v>90</v>
      </c>
      <c r="C10818" s="5">
        <v>345</v>
      </c>
      <c r="D10818" s="6">
        <v>3.8</v>
      </c>
      <c r="E10818" t="s">
        <v>59</v>
      </c>
    </row>
    <row r="10819" spans="1:5" x14ac:dyDescent="0.25">
      <c r="A10819" t="str">
        <f>HYPERLINK("https://www.773grp.com/globalSearch/INA169NA-3K/page-1", "INA169NA-3K")</f>
        <v>INA169NA-3K</v>
      </c>
      <c r="B10819" s="3" t="s">
        <v>90</v>
      </c>
      <c r="C10819" s="5">
        <v>3677</v>
      </c>
      <c r="D10819" s="6">
        <v>4.2300000000000004</v>
      </c>
      <c r="E10819" t="s">
        <v>59</v>
      </c>
    </row>
    <row r="10820" spans="1:5" x14ac:dyDescent="0.25">
      <c r="A10820" t="str">
        <f>HYPERLINK("https://www.773grp.com/globalSearch/INA331AIDGKR/page-1", "INA331AIDGKR")</f>
        <v>INA331AIDGKR</v>
      </c>
      <c r="B10820" s="3" t="s">
        <v>90</v>
      </c>
      <c r="C10820" s="5">
        <v>4427</v>
      </c>
      <c r="D10820" s="6">
        <v>4.2300000000000004</v>
      </c>
      <c r="E10820" t="s">
        <v>59</v>
      </c>
    </row>
    <row r="10821" spans="1:5" x14ac:dyDescent="0.25">
      <c r="A10821" t="str">
        <f>HYPERLINK("https://www.773grp.com/globalSearch/INA126U-2K5/page-1", "INA126U-2K5")</f>
        <v>INA126U-2K5</v>
      </c>
      <c r="B10821" s="3" t="str">
        <f>HYPERLINK("https://www.773grp.com/manufacturer/texas-instruments?pageNo=538", "Texas Instruments")</f>
        <v>Texas Instruments</v>
      </c>
      <c r="C10821" s="5">
        <v>25000</v>
      </c>
      <c r="D10821" s="6">
        <v>3.94</v>
      </c>
      <c r="E10821" t="s">
        <v>59</v>
      </c>
    </row>
    <row r="10822" spans="1:5" x14ac:dyDescent="0.25">
      <c r="A10822" t="str">
        <f>HYPERLINK("https://www.773grp.com/globalSearch/INA156EA-250/page-1", "INA156EA-250")</f>
        <v>INA156EA-250</v>
      </c>
      <c r="B10822" s="3" t="str">
        <f>HYPERLINK("https://www.773grp.com/manufacturer/texas-instruments?pageNo=543", "Texas Instruments")</f>
        <v>Texas Instruments</v>
      </c>
      <c r="C10822" s="5">
        <v>74708</v>
      </c>
      <c r="D10822" s="6">
        <v>3.94</v>
      </c>
      <c r="E10822" t="s">
        <v>59</v>
      </c>
    </row>
    <row r="10823" spans="1:5" x14ac:dyDescent="0.25">
      <c r="A10823" t="str">
        <f>HYPERLINK("https://www.773grp.com/globalSearch/INA2331AIPWT/page-1", "INA2331AIPWT")</f>
        <v>INA2331AIPWT</v>
      </c>
      <c r="B10823" s="3" t="str">
        <f>HYPERLINK("https://www.773grp.com/manufacturer/texas-instruments?pageNo=545", "Texas Instruments")</f>
        <v>Texas Instruments</v>
      </c>
      <c r="C10823" s="5">
        <v>80</v>
      </c>
      <c r="D10823" s="6">
        <v>3.94</v>
      </c>
      <c r="E10823" t="s">
        <v>59</v>
      </c>
    </row>
    <row r="10824" spans="1:5" x14ac:dyDescent="0.25">
      <c r="A10824" t="str">
        <f>HYPERLINK("https://www.773grp.com/globalSearch/INA126E-2K5/page-1", "INA126E-2K5")</f>
        <v>INA126E-2K5</v>
      </c>
      <c r="B10824" s="3" t="s">
        <v>90</v>
      </c>
      <c r="C10824" s="5">
        <v>2100</v>
      </c>
      <c r="D10824" s="6">
        <v>4.2300000000000004</v>
      </c>
      <c r="E10824" t="s">
        <v>59</v>
      </c>
    </row>
    <row r="10825" spans="1:5" x14ac:dyDescent="0.25">
      <c r="A10825" t="str">
        <f>HYPERLINK("https://www.773grp.com/globalSearch/INA126P/page-1", "INA126P")</f>
        <v>INA126P</v>
      </c>
      <c r="B10825" s="3" t="s">
        <v>90</v>
      </c>
      <c r="C10825" s="5">
        <v>4209</v>
      </c>
      <c r="D10825" s="6">
        <v>4.3899999999999997</v>
      </c>
      <c r="E10825" t="s">
        <v>59</v>
      </c>
    </row>
    <row r="10826" spans="1:5" x14ac:dyDescent="0.25">
      <c r="A10826" t="str">
        <f>HYPERLINK("https://www.773grp.com/globalSearch/INA331AIDGKT/page-1", "INA331AIDGKT")</f>
        <v>INA331AIDGKT</v>
      </c>
      <c r="B10826" s="3" t="s">
        <v>90</v>
      </c>
      <c r="C10826" s="5">
        <v>1562</v>
      </c>
      <c r="D10826" s="6">
        <v>4.8600000000000003</v>
      </c>
      <c r="E10826" t="s">
        <v>59</v>
      </c>
    </row>
    <row r="10827" spans="1:5" x14ac:dyDescent="0.25">
      <c r="A10827" t="str">
        <f>HYPERLINK("https://www.773grp.com/globalSearch/INA169NA-250/page-1", "INA169NA-250")</f>
        <v>INA169NA-250</v>
      </c>
      <c r="B10827" s="3" t="str">
        <f>HYPERLINK("https://www.773grp.com/manufacturer/texas-instruments?pageNo=484", "Texas Instruments")</f>
        <v>Texas Instruments</v>
      </c>
      <c r="C10827" s="5">
        <v>500</v>
      </c>
      <c r="D10827" s="6">
        <v>5.01</v>
      </c>
      <c r="E10827" t="s">
        <v>59</v>
      </c>
    </row>
    <row r="10828" spans="1:5" x14ac:dyDescent="0.25">
      <c r="A10828" t="str">
        <f>HYPERLINK("https://www.773grp.com/globalSearch/INA2332AIPWR/page-1", "INA2332AIPWR")</f>
        <v>INA2332AIPWR</v>
      </c>
      <c r="B10828" s="3" t="str">
        <f>HYPERLINK("https://www.773grp.com/manufacturer/texas-instruments?pageNo=516", "Texas Instruments")</f>
        <v>Texas Instruments</v>
      </c>
      <c r="C10828" s="5">
        <v>7500</v>
      </c>
      <c r="D10828" s="6">
        <v>5.01</v>
      </c>
      <c r="E10828" t="s">
        <v>59</v>
      </c>
    </row>
    <row r="10829" spans="1:5" x14ac:dyDescent="0.25">
      <c r="A10829" t="str">
        <f>HYPERLINK("https://www.773grp.com/globalSearch/INA322EA-2K5/page-1", "INA322EA-2K5")</f>
        <v>INA322EA-2K5</v>
      </c>
      <c r="B10829" s="3" t="str">
        <f>HYPERLINK("https://www.773grp.com/manufacturer/texas-instruments?pageNo=517", "Texas Instruments")</f>
        <v>Texas Instruments</v>
      </c>
      <c r="C10829" s="5">
        <v>116855</v>
      </c>
      <c r="D10829" s="6">
        <v>5.01</v>
      </c>
      <c r="E10829" t="s">
        <v>59</v>
      </c>
    </row>
    <row r="10830" spans="1:5" x14ac:dyDescent="0.25">
      <c r="A10830" t="str">
        <f>HYPERLINK("https://www.773grp.com/globalSearch/INA126U/page-1", "INA126U")</f>
        <v>INA126U</v>
      </c>
      <c r="B10830" s="3" t="s">
        <v>90</v>
      </c>
      <c r="C10830" s="5">
        <v>15701</v>
      </c>
      <c r="D10830" s="6">
        <v>4.6399999999999997</v>
      </c>
      <c r="E10830" t="s">
        <v>59</v>
      </c>
    </row>
    <row r="10831" spans="1:5" x14ac:dyDescent="0.25">
      <c r="A10831" t="str">
        <f>HYPERLINK("https://www.773grp.com/globalSearch/INA126E-250/page-1", "INA126E-250")</f>
        <v>INA126E-250</v>
      </c>
      <c r="B10831" s="3" t="s">
        <v>90</v>
      </c>
      <c r="C10831" s="5">
        <v>11359</v>
      </c>
      <c r="D10831" s="6">
        <v>4.78</v>
      </c>
      <c r="E10831" t="s">
        <v>59</v>
      </c>
    </row>
    <row r="10832" spans="1:5" x14ac:dyDescent="0.25">
      <c r="A10832" t="str">
        <f>HYPERLINK("https://www.773grp.com/globalSearch/INA155E-250/page-1", "INA155E-250")</f>
        <v>INA155E-250</v>
      </c>
      <c r="B10832" s="3" t="s">
        <v>90</v>
      </c>
      <c r="C10832" s="5">
        <v>106</v>
      </c>
      <c r="D10832" s="6">
        <v>4.78</v>
      </c>
      <c r="E10832" t="s">
        <v>59</v>
      </c>
    </row>
    <row r="10833" spans="1:5" x14ac:dyDescent="0.25">
      <c r="A10833" t="str">
        <f>HYPERLINK("https://www.773grp.com/globalSearch/INA321E-250/page-1", "INA321E-250")</f>
        <v>INA321E-250</v>
      </c>
      <c r="B10833" s="3" t="s">
        <v>90</v>
      </c>
      <c r="C10833" s="5">
        <v>750</v>
      </c>
      <c r="D10833" s="6">
        <v>4.78</v>
      </c>
      <c r="E10833" t="s">
        <v>59</v>
      </c>
    </row>
    <row r="10834" spans="1:5" x14ac:dyDescent="0.25">
      <c r="A10834" t="str">
        <f>HYPERLINK("https://www.773grp.com/globalSearch/INA2126PA/page-1", "INA2126PA")</f>
        <v>INA2126PA</v>
      </c>
      <c r="B10834" s="3" t="s">
        <v>90</v>
      </c>
      <c r="C10834" s="5">
        <v>2117</v>
      </c>
      <c r="D10834" s="6">
        <v>5.49</v>
      </c>
      <c r="E10834" t="s">
        <v>59</v>
      </c>
    </row>
    <row r="10835" spans="1:5" x14ac:dyDescent="0.25">
      <c r="A10835" t="str">
        <f>HYPERLINK("https://www.773grp.com/globalSearch/INA2126PA/page-1", "INA2126PA")</f>
        <v>INA2126PA</v>
      </c>
      <c r="B10835" s="3" t="s">
        <v>90</v>
      </c>
      <c r="C10835" s="5">
        <v>363</v>
      </c>
      <c r="D10835" s="6">
        <v>5.49</v>
      </c>
      <c r="E10835" t="s">
        <v>59</v>
      </c>
    </row>
    <row r="10836" spans="1:5" x14ac:dyDescent="0.25">
      <c r="A10836" t="str">
        <f>HYPERLINK("https://www.773grp.com/globalSearch/INA326EA-2K5/page-1", "INA326EA-2K5")</f>
        <v>INA326EA-2K5</v>
      </c>
      <c r="B10836" s="3" t="s">
        <v>90</v>
      </c>
      <c r="C10836" s="5">
        <v>51193</v>
      </c>
      <c r="D10836" s="6">
        <v>5.49</v>
      </c>
      <c r="E10836" t="s">
        <v>59</v>
      </c>
    </row>
    <row r="10837" spans="1:5" x14ac:dyDescent="0.25">
      <c r="A10837" t="str">
        <f>HYPERLINK("https://www.773grp.com/globalSearch/INA337AIDGKR/page-1", "INA337AIDGKR")</f>
        <v>INA337AIDGKR</v>
      </c>
      <c r="B10837" s="3" t="s">
        <v>90</v>
      </c>
      <c r="C10837" s="5">
        <v>4835</v>
      </c>
      <c r="D10837" s="6">
        <v>5.49</v>
      </c>
      <c r="E10837" t="s">
        <v>59</v>
      </c>
    </row>
    <row r="10838" spans="1:5" x14ac:dyDescent="0.25">
      <c r="A10838" t="str">
        <f>HYPERLINK("https://www.773grp.com/globalSearch/INA125UA-2K5/page-1", "INA125UA-2K5")</f>
        <v>INA125UA-2K5</v>
      </c>
      <c r="B10838" s="3" t="s">
        <v>90</v>
      </c>
      <c r="C10838" s="5">
        <v>2500</v>
      </c>
      <c r="D10838" s="6">
        <v>5.78</v>
      </c>
      <c r="E10838" t="s">
        <v>59</v>
      </c>
    </row>
    <row r="10839" spans="1:5" x14ac:dyDescent="0.25">
      <c r="A10839" t="str">
        <f>HYPERLINK("https://www.773grp.com/globalSearch/INA2126UA/page-1", "INA2126UA")</f>
        <v>INA2126UA</v>
      </c>
      <c r="B10839" s="3" t="s">
        <v>90</v>
      </c>
      <c r="C10839" s="5">
        <v>3128</v>
      </c>
      <c r="D10839" s="6">
        <v>5.78</v>
      </c>
      <c r="E10839" t="s">
        <v>59</v>
      </c>
    </row>
    <row r="10840" spans="1:5" x14ac:dyDescent="0.25">
      <c r="A10840" t="str">
        <f>HYPERLINK("https://www.773grp.com/globalSearch/INA2126UA/page-1", "INA2126UA")</f>
        <v>INA2126UA</v>
      </c>
      <c r="B10840" s="3" t="s">
        <v>90</v>
      </c>
      <c r="C10840" s="5">
        <v>172</v>
      </c>
      <c r="D10840" s="6">
        <v>5.78</v>
      </c>
      <c r="E10840" t="s">
        <v>59</v>
      </c>
    </row>
    <row r="10841" spans="1:5" x14ac:dyDescent="0.25">
      <c r="A10841" t="str">
        <f>HYPERLINK("https://www.773grp.com/globalSearch/INA2322EA-250/page-1", "INA2322EA-250")</f>
        <v>INA2322EA-250</v>
      </c>
      <c r="B10841" s="3" t="s">
        <v>90</v>
      </c>
      <c r="C10841" s="5">
        <v>250</v>
      </c>
      <c r="D10841" s="6">
        <v>6.04</v>
      </c>
      <c r="E10841" t="s">
        <v>59</v>
      </c>
    </row>
    <row r="10842" spans="1:5" x14ac:dyDescent="0.25">
      <c r="A10842" t="str">
        <f>HYPERLINK("https://www.773grp.com/globalSearch/INA2322EA-250/page-1", "INA2322EA-250")</f>
        <v>INA2322EA-250</v>
      </c>
      <c r="B10842" s="3" t="s">
        <v>90</v>
      </c>
      <c r="C10842" s="5">
        <v>14050</v>
      </c>
      <c r="D10842" s="6">
        <v>6.04</v>
      </c>
      <c r="E10842" t="s">
        <v>59</v>
      </c>
    </row>
    <row r="10843" spans="1:5" x14ac:dyDescent="0.25">
      <c r="A10843" t="str">
        <f>HYPERLINK("https://www.773grp.com/globalSearch/INA2126E-2K5/page-1", "INA2126E-2K5")</f>
        <v>INA2126E-2K5</v>
      </c>
      <c r="B10843" s="3" t="str">
        <f>HYPERLINK("https://www.773grp.com/manufacturer/texas-instruments?pageNo=277", "Texas Instruments")</f>
        <v>Texas Instruments</v>
      </c>
      <c r="C10843" s="5">
        <v>9150</v>
      </c>
      <c r="D10843" s="6">
        <v>6.61</v>
      </c>
      <c r="E10843" t="s">
        <v>59</v>
      </c>
    </row>
    <row r="10844" spans="1:5" x14ac:dyDescent="0.25">
      <c r="A10844" t="str">
        <f>HYPERLINK("https://www.773grp.com/globalSearch/INA125PA/page-1", "INA125PA")</f>
        <v>INA125PA</v>
      </c>
      <c r="B10844" s="3" t="str">
        <f>HYPERLINK("https://www.773grp.com/manufacturer/texas-instruments?pageNo=352", "Texas Instruments")</f>
        <v>Texas Instruments</v>
      </c>
      <c r="C10844" s="5">
        <v>20</v>
      </c>
      <c r="D10844" s="6">
        <v>6.64</v>
      </c>
      <c r="E10844" t="s">
        <v>59</v>
      </c>
    </row>
    <row r="10845" spans="1:5" x14ac:dyDescent="0.25">
      <c r="A10845" t="str">
        <f>HYPERLINK("https://www.773grp.com/globalSearch/INA125PAG4/page-1", "INA125PAG4")</f>
        <v>INA125PAG4</v>
      </c>
      <c r="B10845" s="3" t="str">
        <f>HYPERLINK("https://www.773grp.com/manufacturer/texas-instruments?pageNo=353", "Texas Instruments")</f>
        <v>Texas Instruments</v>
      </c>
      <c r="C10845" s="5">
        <v>350</v>
      </c>
      <c r="D10845" s="6">
        <v>6.64</v>
      </c>
      <c r="E10845" t="s">
        <v>59</v>
      </c>
    </row>
    <row r="10846" spans="1:5" x14ac:dyDescent="0.25">
      <c r="A10846" t="str">
        <f>HYPERLINK("https://www.773grp.com/globalSearch/INA121UA-2K5/page-1", "INA121UA-2K5")</f>
        <v>INA121UA-2K5</v>
      </c>
      <c r="B10846" s="3" t="str">
        <f>HYPERLINK("https://www.773grp.com/manufacturer/texas-instruments?pageNo=774", "Texas Instruments")</f>
        <v>Texas Instruments</v>
      </c>
      <c r="C10846" s="5">
        <v>27500</v>
      </c>
      <c r="D10846" s="6">
        <v>7.04</v>
      </c>
      <c r="E10846" t="s">
        <v>59</v>
      </c>
    </row>
    <row r="10847" spans="1:5" x14ac:dyDescent="0.25">
      <c r="A10847" t="str">
        <f>HYPERLINK("https://www.773grp.com/globalSearch/INA125UA/page-1", "INA125UA")</f>
        <v>INA125UA</v>
      </c>
      <c r="B10847" s="3" t="str">
        <f>HYPERLINK("https://www.773grp.com/manufacturer/texas-instruments?pageNo=775", "Texas Instruments")</f>
        <v>Texas Instruments</v>
      </c>
      <c r="C10847" s="5">
        <v>2997</v>
      </c>
      <c r="D10847" s="6">
        <v>7.04</v>
      </c>
      <c r="E10847" t="s">
        <v>59</v>
      </c>
    </row>
    <row r="10848" spans="1:5" x14ac:dyDescent="0.25">
      <c r="A10848" t="str">
        <f>HYPERLINK("https://www.773grp.com/globalSearch/INA2126P/page-1", "INA2126P")</f>
        <v>INA2126P</v>
      </c>
      <c r="B10848" s="3" t="str">
        <f>HYPERLINK("https://www.773grp.com/manufacturer/texas-instruments?pageNo=778", "Texas Instruments")</f>
        <v>Texas Instruments</v>
      </c>
      <c r="C10848" s="5">
        <v>3261</v>
      </c>
      <c r="D10848" s="6">
        <v>7.04</v>
      </c>
      <c r="E10848" t="s">
        <v>59</v>
      </c>
    </row>
    <row r="10849" spans="1:5" x14ac:dyDescent="0.25">
      <c r="A10849" t="str">
        <f>HYPERLINK("https://www.773grp.com/globalSearch/INA2126E-250/page-1", "INA2126E-250")</f>
        <v>INA2126E-250</v>
      </c>
      <c r="B10849" s="3" t="s">
        <v>90</v>
      </c>
      <c r="C10849" s="5">
        <v>3072</v>
      </c>
      <c r="D10849" s="6">
        <v>7.31</v>
      </c>
      <c r="E10849" t="s">
        <v>59</v>
      </c>
    </row>
    <row r="10850" spans="1:5" x14ac:dyDescent="0.25">
      <c r="A10850" t="str">
        <f>HYPERLINK("https://www.773grp.com/globalSearch/INA2126U/page-1", "INA2126U")</f>
        <v>INA2126U</v>
      </c>
      <c r="B10850" s="3" t="s">
        <v>90</v>
      </c>
      <c r="C10850" s="5">
        <v>310</v>
      </c>
      <c r="D10850" s="6">
        <v>7.31</v>
      </c>
      <c r="E10850" t="s">
        <v>59</v>
      </c>
    </row>
    <row r="10851" spans="1:5" x14ac:dyDescent="0.25">
      <c r="A10851" t="str">
        <f>HYPERLINK("https://www.773grp.com/globalSearch/INA122PA/page-1", "INA122PA")</f>
        <v>INA122PA</v>
      </c>
      <c r="B10851" s="3" t="s">
        <v>90</v>
      </c>
      <c r="C10851" s="5">
        <v>9147</v>
      </c>
      <c r="D10851" s="6">
        <v>7.94</v>
      </c>
      <c r="E10851" t="s">
        <v>59</v>
      </c>
    </row>
    <row r="10852" spans="1:5" x14ac:dyDescent="0.25">
      <c r="A10852" t="str">
        <f>HYPERLINK("https://www.773grp.com/globalSearch/INA125P/page-1", "INA125P")</f>
        <v>INA125P</v>
      </c>
      <c r="B10852" s="3" t="s">
        <v>90</v>
      </c>
      <c r="C10852" s="5">
        <v>532</v>
      </c>
      <c r="D10852" s="6">
        <v>8.0500000000000007</v>
      </c>
      <c r="E10852" t="s">
        <v>59</v>
      </c>
    </row>
    <row r="10853" spans="1:5" x14ac:dyDescent="0.25">
      <c r="A10853" t="str">
        <f>HYPERLINK("https://www.773grp.com/globalSearch/INA121PA/page-1", "INA121PA")</f>
        <v>INA121PA</v>
      </c>
      <c r="B10853" s="3" t="s">
        <v>90</v>
      </c>
      <c r="C10853" s="5">
        <v>564</v>
      </c>
      <c r="D10853" s="6">
        <v>8.1</v>
      </c>
      <c r="E10853" t="s">
        <v>59</v>
      </c>
    </row>
    <row r="10854" spans="1:5" x14ac:dyDescent="0.25">
      <c r="A10854" t="str">
        <f>HYPERLINK("https://www.773grp.com/globalSearch/INA163UA-2K5/page-1", "INA163UA-2K5")</f>
        <v>INA163UA-2K5</v>
      </c>
      <c r="B10854" s="3" t="s">
        <v>90</v>
      </c>
      <c r="C10854" s="5">
        <v>9575</v>
      </c>
      <c r="D10854" s="6">
        <v>8.15</v>
      </c>
      <c r="E10854" t="s">
        <v>59</v>
      </c>
    </row>
    <row r="10855" spans="1:5" x14ac:dyDescent="0.25">
      <c r="A10855" t="str">
        <f>HYPERLINK("https://www.773grp.com/globalSearch/INA125U/page-1", "INA125U")</f>
        <v>INA125U</v>
      </c>
      <c r="B10855" s="3" t="s">
        <v>90</v>
      </c>
      <c r="C10855" s="5">
        <v>19</v>
      </c>
      <c r="D10855" s="6">
        <v>8.44</v>
      </c>
      <c r="E10855" t="s">
        <v>59</v>
      </c>
    </row>
    <row r="10856" spans="1:5" x14ac:dyDescent="0.25">
      <c r="A10856" t="str">
        <f>HYPERLINK("https://www.773grp.com/globalSearch/INA128UA-2K5/page-1", "INA128UA-2K5")</f>
        <v>INA128UA-2K5</v>
      </c>
      <c r="B10856" s="3" t="s">
        <v>90</v>
      </c>
      <c r="C10856" s="5">
        <v>2350</v>
      </c>
      <c r="D10856" s="6">
        <v>8.58</v>
      </c>
      <c r="E10856" t="s">
        <v>59</v>
      </c>
    </row>
    <row r="10857" spans="1:5" x14ac:dyDescent="0.25">
      <c r="A10857" t="str">
        <f>HYPERLINK("https://www.773grp.com/globalSearch/INA141PA/page-1", "INA141PA")</f>
        <v>INA141PA</v>
      </c>
      <c r="B10857" s="3" t="s">
        <v>90</v>
      </c>
      <c r="C10857" s="5">
        <v>37148</v>
      </c>
      <c r="D10857" s="6">
        <v>9.7899999999999991</v>
      </c>
      <c r="E10857" t="s">
        <v>59</v>
      </c>
    </row>
    <row r="10858" spans="1:5" x14ac:dyDescent="0.25">
      <c r="A10858" t="str">
        <f>HYPERLINK("https://www.773grp.com/globalSearch/INA163UA/page-1", "INA163UA")</f>
        <v>INA163UA</v>
      </c>
      <c r="B10858" s="3" t="s">
        <v>90</v>
      </c>
      <c r="C10858" s="5">
        <v>10294</v>
      </c>
      <c r="D10858" s="6">
        <v>9.84</v>
      </c>
      <c r="E10858" t="s">
        <v>59</v>
      </c>
    </row>
    <row r="10859" spans="1:5" x14ac:dyDescent="0.25">
      <c r="A10859" t="str">
        <f>HYPERLINK("https://www.773grp.com/globalSearch/INA163UAE4/page-1", "INA163UAE4")</f>
        <v>INA163UAE4</v>
      </c>
      <c r="B10859" s="3" t="s">
        <v>90</v>
      </c>
      <c r="C10859" s="5">
        <v>100</v>
      </c>
      <c r="D10859" s="6">
        <v>9.84</v>
      </c>
      <c r="E10859" t="s">
        <v>59</v>
      </c>
    </row>
    <row r="10860" spans="1:5" x14ac:dyDescent="0.25">
      <c r="A10860" t="str">
        <f>HYPERLINK("https://www.773grp.com/globalSearch/INA128PA/page-1", "INA128PA")</f>
        <v>INA128PA</v>
      </c>
      <c r="B10860" s="3" t="s">
        <v>90</v>
      </c>
      <c r="C10860" s="5">
        <v>45947</v>
      </c>
      <c r="D10860" s="6">
        <v>9.8800000000000008</v>
      </c>
      <c r="E10860" t="s">
        <v>59</v>
      </c>
    </row>
    <row r="10861" spans="1:5" x14ac:dyDescent="0.25">
      <c r="A10861" t="str">
        <f>HYPERLINK("https://www.773grp.com/globalSearch/INA141UA-2K5/page-1", "INA141UA-2K5")</f>
        <v>INA141UA-2K5</v>
      </c>
      <c r="B10861" s="3" t="s">
        <v>90</v>
      </c>
      <c r="C10861" s="5">
        <v>45000</v>
      </c>
      <c r="D10861" s="6">
        <v>9.99</v>
      </c>
      <c r="E10861" t="s">
        <v>59</v>
      </c>
    </row>
    <row r="10862" spans="1:5" x14ac:dyDescent="0.25">
      <c r="A10862" t="str">
        <f>HYPERLINK("https://www.773grp.com/globalSearch/INA141UA-2K5/page-1", "INA141UA-2K5")</f>
        <v>INA141UA-2K5</v>
      </c>
      <c r="B10862" s="3" t="s">
        <v>90</v>
      </c>
      <c r="C10862" s="5">
        <v>197500</v>
      </c>
      <c r="D10862" s="6">
        <v>9.99</v>
      </c>
      <c r="E10862" t="s">
        <v>59</v>
      </c>
    </row>
    <row r="10863" spans="1:5" x14ac:dyDescent="0.25">
      <c r="A10863" t="str">
        <f>HYPERLINK("https://www.773grp.com/globalSearch/INA141UA-2K5/page-1", "INA141UA-2K5")</f>
        <v>INA141UA-2K5</v>
      </c>
      <c r="B10863" s="3" t="s">
        <v>90</v>
      </c>
      <c r="C10863" s="5">
        <v>261690</v>
      </c>
      <c r="D10863" s="6">
        <v>9.99</v>
      </c>
      <c r="E10863" t="s">
        <v>59</v>
      </c>
    </row>
    <row r="10864" spans="1:5" x14ac:dyDescent="0.25">
      <c r="A10864" t="str">
        <f>HYPERLINK("https://www.773grp.com/globalSearch/INA122P/page-1", "INA122P")</f>
        <v>INA122P</v>
      </c>
      <c r="B10864" s="3" t="s">
        <v>90</v>
      </c>
      <c r="C10864" s="5">
        <v>23701</v>
      </c>
      <c r="D10864" s="6">
        <v>10.039999999999999</v>
      </c>
      <c r="E10864" t="s">
        <v>59</v>
      </c>
    </row>
    <row r="10865" spans="1:5" x14ac:dyDescent="0.25">
      <c r="A10865" t="str">
        <f>HYPERLINK("https://www.773grp.com/globalSearch/INA122U/page-1", "INA122U")</f>
        <v>INA122U</v>
      </c>
      <c r="B10865" s="3" t="s">
        <v>90</v>
      </c>
      <c r="C10865" s="5">
        <v>19600</v>
      </c>
      <c r="D10865" s="6">
        <v>10.41</v>
      </c>
      <c r="E10865" t="s">
        <v>59</v>
      </c>
    </row>
    <row r="10866" spans="1:5" x14ac:dyDescent="0.25">
      <c r="A10866" t="str">
        <f>HYPERLINK("https://www.773grp.com/globalSearch/INA128UA/page-1", "INA128UA")</f>
        <v>INA128UA</v>
      </c>
      <c r="B10866" s="3" t="s">
        <v>90</v>
      </c>
      <c r="C10866" s="5">
        <v>1477</v>
      </c>
      <c r="D10866" s="6">
        <v>10.41</v>
      </c>
      <c r="E10866" t="s">
        <v>59</v>
      </c>
    </row>
    <row r="10867" spans="1:5" x14ac:dyDescent="0.25">
      <c r="A10867" t="str">
        <f>HYPERLINK("https://www.773grp.com/globalSearch/INA131AP-1/page-1", "INA131AP-1")</f>
        <v>INA131AP-1</v>
      </c>
      <c r="B10867" s="3" t="s">
        <v>90</v>
      </c>
      <c r="C10867" s="5">
        <v>14000</v>
      </c>
      <c r="D10867" s="6">
        <v>10.69</v>
      </c>
      <c r="E10867" t="s">
        <v>59</v>
      </c>
    </row>
    <row r="10868" spans="1:5" x14ac:dyDescent="0.25">
      <c r="A10868" t="str">
        <f>HYPERLINK("https://www.773grp.com/globalSearch/INA121P/page-1", "INA121P")</f>
        <v>INA121P</v>
      </c>
      <c r="B10868" s="3" t="s">
        <v>90</v>
      </c>
      <c r="C10868" s="5">
        <v>28</v>
      </c>
      <c r="D10868" s="6">
        <v>10.98</v>
      </c>
      <c r="E10868" t="s">
        <v>59</v>
      </c>
    </row>
    <row r="10869" spans="1:5" x14ac:dyDescent="0.25">
      <c r="A10869" t="str">
        <f>HYPERLINK("https://www.773grp.com/globalSearch/XTR108EA/page-1", "XTR108EA")</f>
        <v>XTR108EA</v>
      </c>
      <c r="B10869" s="3" t="s">
        <v>90</v>
      </c>
      <c r="C10869" s="5">
        <v>8288</v>
      </c>
      <c r="D10869" s="6">
        <v>11.39</v>
      </c>
      <c r="E10869" t="s">
        <v>59</v>
      </c>
    </row>
    <row r="10870" spans="1:5" x14ac:dyDescent="0.25">
      <c r="A10870" t="str">
        <f>HYPERLINK("https://www.773grp.com/globalSearch/INA129UA-2K5/page-1", "INA129UA-2K5")</f>
        <v>INA129UA-2K5</v>
      </c>
      <c r="B10870" s="3" t="s">
        <v>90</v>
      </c>
      <c r="C10870" s="5">
        <v>35000</v>
      </c>
      <c r="D10870" s="6">
        <v>11.81</v>
      </c>
      <c r="E10870" t="s">
        <v>59</v>
      </c>
    </row>
    <row r="10871" spans="1:5" x14ac:dyDescent="0.25">
      <c r="A10871" t="str">
        <f>HYPERLINK("https://www.773grp.com/globalSearch/INA141UA/page-1", "INA141UA")</f>
        <v>INA141UA</v>
      </c>
      <c r="B10871" s="3" t="s">
        <v>90</v>
      </c>
      <c r="C10871" s="5">
        <v>5475</v>
      </c>
      <c r="D10871" s="6">
        <v>12.1</v>
      </c>
      <c r="E10871" t="s">
        <v>59</v>
      </c>
    </row>
    <row r="10872" spans="1:5" x14ac:dyDescent="0.25">
      <c r="A10872" t="str">
        <f>HYPERLINK("https://www.773grp.com/globalSearch/INA141UA/page-1", "INA141UA")</f>
        <v>INA141UA</v>
      </c>
      <c r="B10872" s="3" t="s">
        <v>90</v>
      </c>
      <c r="C10872" s="5">
        <v>2628</v>
      </c>
      <c r="D10872" s="6">
        <v>12.1</v>
      </c>
      <c r="E10872" t="s">
        <v>59</v>
      </c>
    </row>
    <row r="10873" spans="1:5" x14ac:dyDescent="0.25">
      <c r="A10873" t="str">
        <f>HYPERLINK("https://www.773grp.com/globalSearch/INA141UA/page-1", "INA141UA")</f>
        <v>INA141UA</v>
      </c>
      <c r="B10873" s="3" t="s">
        <v>90</v>
      </c>
      <c r="C10873" s="5">
        <v>122673</v>
      </c>
      <c r="D10873" s="6">
        <v>12.1</v>
      </c>
      <c r="E10873" t="s">
        <v>59</v>
      </c>
    </row>
    <row r="10874" spans="1:5" x14ac:dyDescent="0.25">
      <c r="A10874" t="str">
        <f>HYPERLINK("https://www.773grp.com/globalSearch/PGA103U/page-1", "PGA103U")</f>
        <v>PGA103U</v>
      </c>
      <c r="B10874" s="3" t="str">
        <f>HYPERLINK("https://www.773grp.com/manufacturer/texas-instruments?pageNo=52", "Texas Instruments")</f>
        <v>Texas Instruments</v>
      </c>
      <c r="C10874" s="5">
        <v>15400</v>
      </c>
      <c r="D10874" s="6">
        <v>12.24</v>
      </c>
      <c r="E10874" t="s">
        <v>59</v>
      </c>
    </row>
    <row r="10875" spans="1:5" x14ac:dyDescent="0.25">
      <c r="A10875" t="str">
        <f>HYPERLINK("https://www.773grp.com/globalSearch/PGA103U/page-1", "PGA103U")</f>
        <v>PGA103U</v>
      </c>
      <c r="B10875" s="3" t="str">
        <f>HYPERLINK("https://www.773grp.com/manufacturer/texas-instruments?pageNo=53", "Texas Instruments")</f>
        <v>Texas Instruments</v>
      </c>
      <c r="C10875" s="5">
        <v>750</v>
      </c>
      <c r="D10875" s="6">
        <v>12.24</v>
      </c>
      <c r="E10875" t="s">
        <v>59</v>
      </c>
    </row>
    <row r="10876" spans="1:5" x14ac:dyDescent="0.25">
      <c r="A10876" t="str">
        <f>HYPERLINK("https://www.773grp.com/globalSearch/INA131AP/page-1", "INA131AP")</f>
        <v>INA131AP</v>
      </c>
      <c r="B10876" s="3" t="str">
        <f>HYPERLINK("https://www.773grp.com/manufacturer/texas-instruments?pageNo=79", "Texas Instruments")</f>
        <v>Texas Instruments</v>
      </c>
      <c r="C10876" s="5">
        <v>55767</v>
      </c>
      <c r="D10876" s="6">
        <v>12.29</v>
      </c>
      <c r="E10876" t="s">
        <v>59</v>
      </c>
    </row>
    <row r="10877" spans="1:5" x14ac:dyDescent="0.25">
      <c r="A10877" t="str">
        <f>HYPERLINK("https://www.773grp.com/globalSearch/XTR105UA-2K5/page-1", "XTR105UA-2K5")</f>
        <v>XTR105UA-2K5</v>
      </c>
      <c r="B10877" s="3" t="str">
        <f>HYPERLINK("https://www.773grp.com/manufacturer/texas-instruments?pageNo=461", "Texas Instruments")</f>
        <v>Texas Instruments</v>
      </c>
      <c r="C10877" s="5">
        <v>2500</v>
      </c>
      <c r="D10877" s="6">
        <v>12.94</v>
      </c>
      <c r="E10877" t="s">
        <v>59</v>
      </c>
    </row>
    <row r="10878" spans="1:5" x14ac:dyDescent="0.25">
      <c r="A10878" t="str">
        <f>HYPERLINK("https://www.773grp.com/globalSearch/XTR106PA/page-1", "XTR106PA")</f>
        <v>XTR106PA</v>
      </c>
      <c r="B10878" s="3" t="str">
        <f>HYPERLINK("https://www.773grp.com/manufacturer/texas-instruments?pageNo=462", "Texas Instruments")</f>
        <v>Texas Instruments</v>
      </c>
      <c r="C10878" s="5">
        <v>32950</v>
      </c>
      <c r="D10878" s="6">
        <v>12.94</v>
      </c>
      <c r="E10878" t="s">
        <v>59</v>
      </c>
    </row>
    <row r="10879" spans="1:5" x14ac:dyDescent="0.25">
      <c r="A10879" t="str">
        <f>HYPERLINK("https://www.773grp.com/globalSearch/INA118U-2K5/page-1", "INA118U-2K5")</f>
        <v>INA118U-2K5</v>
      </c>
      <c r="B10879" s="3" t="str">
        <f>HYPERLINK("https://www.773grp.com/manufacturer/texas-instruments?pageNo=730", "Texas Instruments")</f>
        <v>Texas Instruments</v>
      </c>
      <c r="C10879" s="5">
        <v>9850</v>
      </c>
      <c r="D10879" s="6">
        <v>13.5</v>
      </c>
      <c r="E10879" t="s">
        <v>59</v>
      </c>
    </row>
    <row r="10880" spans="1:5" x14ac:dyDescent="0.25">
      <c r="A10880" t="str">
        <f>HYPERLINK("https://www.773grp.com/globalSearch/XTR106UA/page-1", "XTR106UA")</f>
        <v>XTR106UA</v>
      </c>
      <c r="B10880" s="3" t="str">
        <f>HYPERLINK("https://www.773grp.com/manufacturer/texas-instruments?pageNo=764", "Texas Instruments")</f>
        <v>Texas Instruments</v>
      </c>
      <c r="C10880" s="5">
        <v>18094</v>
      </c>
      <c r="D10880" s="6">
        <v>13.5</v>
      </c>
      <c r="E10880" t="s">
        <v>59</v>
      </c>
    </row>
    <row r="10881" spans="1:5" x14ac:dyDescent="0.25">
      <c r="A10881" t="str">
        <f>HYPERLINK("https://www.773grp.com/globalSearch/INA129PA/page-1", "INA129PA")</f>
        <v>INA129PA</v>
      </c>
      <c r="B10881" s="3" t="str">
        <f>HYPERLINK("https://www.773grp.com/manufacturer/texas-instruments?pageNo=827", "Texas Instruments")</f>
        <v>Texas Instruments</v>
      </c>
      <c r="C10881" s="5">
        <v>200</v>
      </c>
      <c r="D10881" s="6">
        <v>13.68</v>
      </c>
      <c r="E10881" t="s">
        <v>59</v>
      </c>
    </row>
    <row r="10882" spans="1:5" x14ac:dyDescent="0.25">
      <c r="A10882" t="str">
        <f>HYPERLINK("https://www.773grp.com/globalSearch/INA129PA/page-1", "INA129PA")</f>
        <v>INA129PA</v>
      </c>
      <c r="B10882" s="3" t="str">
        <f>HYPERLINK("https://www.773grp.com/manufacturer/texas-instruments?pageNo=828", "Texas Instruments")</f>
        <v>Texas Instruments</v>
      </c>
      <c r="C10882" s="5">
        <v>85550</v>
      </c>
      <c r="D10882" s="6">
        <v>13.68</v>
      </c>
      <c r="E10882" t="s">
        <v>59</v>
      </c>
    </row>
    <row r="10883" spans="1:5" x14ac:dyDescent="0.25">
      <c r="A10883" t="str">
        <f>HYPERLINK("https://www.773grp.com/globalSearch/INA129PA/page-1", "INA129PA")</f>
        <v>INA129PA</v>
      </c>
      <c r="B10883" s="3" t="str">
        <f>HYPERLINK("https://www.773grp.com/manufacturer/texas-instruments?pageNo=829", "Texas Instruments")</f>
        <v>Texas Instruments</v>
      </c>
      <c r="C10883" s="5">
        <v>59400</v>
      </c>
      <c r="D10883" s="6">
        <v>13.68</v>
      </c>
      <c r="E10883" t="s">
        <v>59</v>
      </c>
    </row>
    <row r="10884" spans="1:5" x14ac:dyDescent="0.25">
      <c r="A10884" t="str">
        <f>HYPERLINK("https://www.773grp.com/globalSearch/INA129PA/page-1", "INA129PA")</f>
        <v>INA129PA</v>
      </c>
      <c r="B10884" s="3" t="str">
        <f>HYPERLINK("https://www.773grp.com/manufacturer/texas-instruments?pageNo=830", "Texas Instruments")</f>
        <v>Texas Instruments</v>
      </c>
      <c r="C10884" s="5">
        <v>43471</v>
      </c>
      <c r="D10884" s="6">
        <v>13.68</v>
      </c>
      <c r="E10884" t="s">
        <v>59</v>
      </c>
    </row>
    <row r="10885" spans="1:5" x14ac:dyDescent="0.25">
      <c r="A10885" t="str">
        <f>HYPERLINK("https://www.773grp.com/globalSearch/INA128U-2K5/page-1", "INA128U-2K5")</f>
        <v>INA128U-2K5</v>
      </c>
      <c r="B10885" s="3" t="str">
        <f>HYPERLINK("https://www.773grp.com/manufacturer/texas-instruments?pageNo=954", "Texas Instruments")</f>
        <v>Texas Instruments</v>
      </c>
      <c r="C10885" s="5">
        <v>2475</v>
      </c>
      <c r="D10885" s="6">
        <v>13.93</v>
      </c>
      <c r="E10885" t="s">
        <v>59</v>
      </c>
    </row>
    <row r="10886" spans="1:5" x14ac:dyDescent="0.25">
      <c r="A10886" t="str">
        <f>HYPERLINK("https://www.773grp.com/globalSearch/INA129UA/page-1", "INA129UA")</f>
        <v>INA129UA</v>
      </c>
      <c r="B10886" s="3" t="s">
        <v>90</v>
      </c>
      <c r="C10886" s="5">
        <v>5135</v>
      </c>
      <c r="D10886" s="6">
        <v>14.18</v>
      </c>
      <c r="E10886" t="s">
        <v>59</v>
      </c>
    </row>
    <row r="10887" spans="1:5" x14ac:dyDescent="0.25">
      <c r="A10887" t="str">
        <f>HYPERLINK("https://www.773grp.com/globalSearch/INA115AU/page-1", "INA115AU")</f>
        <v>INA115AU</v>
      </c>
      <c r="B10887" s="3" t="s">
        <v>90</v>
      </c>
      <c r="C10887" s="5">
        <v>10114</v>
      </c>
      <c r="D10887" s="6">
        <v>14.21</v>
      </c>
      <c r="E10887" t="s">
        <v>59</v>
      </c>
    </row>
    <row r="10888" spans="1:5" x14ac:dyDescent="0.25">
      <c r="A10888" t="str">
        <f>HYPERLINK("https://www.773grp.com/globalSearch/INA129P/page-1", "INA129P")</f>
        <v>INA129P</v>
      </c>
      <c r="B10888" s="3" t="s">
        <v>90</v>
      </c>
      <c r="C10888" s="5">
        <v>10452</v>
      </c>
      <c r="D10888" s="6">
        <v>14.74</v>
      </c>
      <c r="E10888" t="s">
        <v>59</v>
      </c>
    </row>
    <row r="10889" spans="1:5" x14ac:dyDescent="0.25">
      <c r="A10889" t="str">
        <f>HYPERLINK("https://www.773grp.com/globalSearch/INA129P/page-1", "INA129P")</f>
        <v>INA129P</v>
      </c>
      <c r="B10889" s="3" t="s">
        <v>90</v>
      </c>
      <c r="C10889" s="5">
        <v>25850</v>
      </c>
      <c r="D10889" s="6">
        <v>14.74</v>
      </c>
      <c r="E10889" t="s">
        <v>59</v>
      </c>
    </row>
    <row r="10890" spans="1:5" x14ac:dyDescent="0.25">
      <c r="A10890" t="str">
        <f>HYPERLINK("https://www.773grp.com/globalSearch/INA129P/page-1", "INA129P")</f>
        <v>INA129P</v>
      </c>
      <c r="B10890" s="3" t="s">
        <v>90</v>
      </c>
      <c r="C10890" s="5">
        <v>18208</v>
      </c>
      <c r="D10890" s="6">
        <v>14.74</v>
      </c>
      <c r="E10890" t="s">
        <v>59</v>
      </c>
    </row>
    <row r="10891" spans="1:5" x14ac:dyDescent="0.25">
      <c r="A10891" t="str">
        <f>HYPERLINK("https://www.773grp.com/globalSearch/XTR105PA/page-1", "XTR105PA")</f>
        <v>XTR105PA</v>
      </c>
      <c r="B10891" s="3" t="s">
        <v>90</v>
      </c>
      <c r="C10891" s="5">
        <v>8643</v>
      </c>
      <c r="D10891" s="6">
        <v>14.89</v>
      </c>
      <c r="E10891" t="s">
        <v>59</v>
      </c>
    </row>
    <row r="10892" spans="1:5" x14ac:dyDescent="0.25">
      <c r="A10892" t="str">
        <f>HYPERLINK("https://www.773grp.com/globalSearch/INA128P/page-1", "INA128P")</f>
        <v>INA128P</v>
      </c>
      <c r="B10892" s="3" t="s">
        <v>90</v>
      </c>
      <c r="C10892" s="5">
        <v>33019</v>
      </c>
      <c r="D10892" s="6">
        <v>15.23</v>
      </c>
      <c r="E10892" t="s">
        <v>59</v>
      </c>
    </row>
    <row r="10893" spans="1:5" x14ac:dyDescent="0.25">
      <c r="A10893" t="str">
        <f>HYPERLINK("https://www.773grp.com/globalSearch/INA128P/page-1", "INA128P")</f>
        <v>INA128P</v>
      </c>
      <c r="B10893" s="3" t="s">
        <v>90</v>
      </c>
      <c r="C10893" s="5">
        <v>27400</v>
      </c>
      <c r="D10893" s="6">
        <v>15.23</v>
      </c>
      <c r="E10893" t="s">
        <v>59</v>
      </c>
    </row>
    <row r="10894" spans="1:5" x14ac:dyDescent="0.25">
      <c r="A10894" t="str">
        <f>HYPERLINK("https://www.773grp.com/globalSearch/INA129U/page-1", "INA129U")</f>
        <v>INA129U</v>
      </c>
      <c r="B10894" s="3" t="s">
        <v>90</v>
      </c>
      <c r="C10894" s="5">
        <v>13275</v>
      </c>
      <c r="D10894" s="6">
        <v>15.36</v>
      </c>
      <c r="E10894" t="s">
        <v>59</v>
      </c>
    </row>
    <row r="10895" spans="1:5" x14ac:dyDescent="0.25">
      <c r="A10895" t="str">
        <f>HYPERLINK("https://www.773grp.com/globalSearch/INA111AP/page-1", "INA111AP")</f>
        <v>INA111AP</v>
      </c>
      <c r="B10895" s="3" t="s">
        <v>90</v>
      </c>
      <c r="C10895" s="5">
        <v>23302</v>
      </c>
      <c r="D10895" s="6">
        <v>15.53</v>
      </c>
      <c r="E10895" t="s">
        <v>59</v>
      </c>
    </row>
    <row r="10896" spans="1:5" x14ac:dyDescent="0.25">
      <c r="A10896" t="str">
        <f>HYPERLINK("https://www.773grp.com/globalSearch/INA111AP/page-1", "INA111AP")</f>
        <v>INA111AP</v>
      </c>
      <c r="B10896" s="3" t="s">
        <v>90</v>
      </c>
      <c r="C10896" s="5">
        <v>2000</v>
      </c>
      <c r="D10896" s="6">
        <v>15.53</v>
      </c>
      <c r="E10896" t="s">
        <v>59</v>
      </c>
    </row>
    <row r="10897" spans="1:5" x14ac:dyDescent="0.25">
      <c r="A10897" t="str">
        <f>HYPERLINK("https://www.773grp.com/globalSearch/INA114AP/page-1", "INA114AP")</f>
        <v>INA114AP</v>
      </c>
      <c r="B10897" s="3" t="s">
        <v>90</v>
      </c>
      <c r="C10897" s="5">
        <v>24305</v>
      </c>
      <c r="D10897" s="6">
        <v>15.53</v>
      </c>
      <c r="E10897" t="s">
        <v>59</v>
      </c>
    </row>
    <row r="10898" spans="1:5" x14ac:dyDescent="0.25">
      <c r="A10898" t="str">
        <f>HYPERLINK("https://www.773grp.com/globalSearch/INA118P/page-1", "INA118P")</f>
        <v>INA118P</v>
      </c>
      <c r="B10898" s="3" t="s">
        <v>90</v>
      </c>
      <c r="C10898" s="5">
        <v>262905</v>
      </c>
      <c r="D10898" s="6">
        <v>15.53</v>
      </c>
      <c r="E10898" t="s">
        <v>59</v>
      </c>
    </row>
    <row r="10899" spans="1:5" x14ac:dyDescent="0.25">
      <c r="A10899" t="str">
        <f>HYPERLINK("https://www.773grp.com/globalSearch/INA118P/page-1", "INA118P")</f>
        <v>INA118P</v>
      </c>
      <c r="B10899" s="3" t="s">
        <v>90</v>
      </c>
      <c r="C10899" s="5">
        <v>7031</v>
      </c>
      <c r="D10899" s="6">
        <v>15.53</v>
      </c>
      <c r="E10899" t="s">
        <v>59</v>
      </c>
    </row>
    <row r="10900" spans="1:5" x14ac:dyDescent="0.25">
      <c r="A10900" t="str">
        <f>HYPERLINK("https://www.773grp.com/globalSearch/XTR105UA/page-1", "XTR105UA")</f>
        <v>XTR105UA</v>
      </c>
      <c r="B10900" s="3" t="s">
        <v>90</v>
      </c>
      <c r="C10900" s="5">
        <v>62286</v>
      </c>
      <c r="D10900" s="6">
        <v>15.61</v>
      </c>
      <c r="E10900" t="s">
        <v>59</v>
      </c>
    </row>
    <row r="10901" spans="1:5" x14ac:dyDescent="0.25">
      <c r="A10901" t="str">
        <f>HYPERLINK("https://www.773grp.com/globalSearch/XTR105UA/page-1", "XTR105UA")</f>
        <v>XTR105UA</v>
      </c>
      <c r="B10901" s="3" t="s">
        <v>90</v>
      </c>
      <c r="C10901" s="5">
        <v>11</v>
      </c>
      <c r="D10901" s="6">
        <v>15.61</v>
      </c>
      <c r="E10901" t="s">
        <v>59</v>
      </c>
    </row>
    <row r="10902" spans="1:5" x14ac:dyDescent="0.25">
      <c r="A10902" t="str">
        <f>HYPERLINK("https://www.773grp.com/globalSearch/INA128U/page-1", "INA128U")</f>
        <v>INA128U</v>
      </c>
      <c r="B10902" s="3" t="s">
        <v>90</v>
      </c>
      <c r="C10902" s="5">
        <v>238</v>
      </c>
      <c r="D10902" s="6">
        <v>15.75</v>
      </c>
      <c r="E10902" t="s">
        <v>59</v>
      </c>
    </row>
    <row r="10903" spans="1:5" x14ac:dyDescent="0.25">
      <c r="A10903" t="str">
        <f>HYPERLINK("https://www.773grp.com/globalSearch/INA103KP/page-1", "INA103KP")</f>
        <v>INA103KP</v>
      </c>
      <c r="B10903" s="3" t="s">
        <v>90</v>
      </c>
      <c r="C10903" s="5">
        <v>5250</v>
      </c>
      <c r="D10903" s="6">
        <v>16.16</v>
      </c>
      <c r="E10903" t="s">
        <v>59</v>
      </c>
    </row>
    <row r="10904" spans="1:5" x14ac:dyDescent="0.25">
      <c r="A10904" t="str">
        <f>HYPERLINK("https://www.773grp.com/globalSearch/INA103KP/page-1", "INA103KP")</f>
        <v>INA103KP</v>
      </c>
      <c r="B10904" s="3" t="s">
        <v>90</v>
      </c>
      <c r="C10904" s="5">
        <v>4150</v>
      </c>
      <c r="D10904" s="6">
        <v>16.16</v>
      </c>
      <c r="E10904" t="s">
        <v>59</v>
      </c>
    </row>
    <row r="10905" spans="1:5" x14ac:dyDescent="0.25">
      <c r="A10905" t="str">
        <f>HYPERLINK("https://www.773grp.com/globalSearch/INA118U/page-1", "INA118U")</f>
        <v>INA118U</v>
      </c>
      <c r="B10905" s="3" t="s">
        <v>90</v>
      </c>
      <c r="C10905" s="5">
        <v>26096</v>
      </c>
      <c r="D10905" s="6">
        <v>16.309999999999999</v>
      </c>
      <c r="E10905" t="s">
        <v>59</v>
      </c>
    </row>
    <row r="10906" spans="1:5" x14ac:dyDescent="0.25">
      <c r="A10906" t="str">
        <f>HYPERLINK("https://www.773grp.com/globalSearch/INA166UA-2K5/page-1", "INA166UA-2K5")</f>
        <v>INA166UA-2K5</v>
      </c>
      <c r="B10906" s="3" t="s">
        <v>90</v>
      </c>
      <c r="C10906" s="5">
        <v>5000</v>
      </c>
      <c r="D10906" s="6">
        <v>16.739999999999998</v>
      </c>
      <c r="E10906" t="s">
        <v>59</v>
      </c>
    </row>
    <row r="10907" spans="1:5" x14ac:dyDescent="0.25">
      <c r="A10907" t="str">
        <f>HYPERLINK("https://www.773grp.com/globalSearch/INA103KU/page-1", "INA103KU")</f>
        <v>INA103KU</v>
      </c>
      <c r="B10907" s="3" t="s">
        <v>90</v>
      </c>
      <c r="C10907" s="5">
        <v>12905</v>
      </c>
      <c r="D10907" s="6">
        <v>16.88</v>
      </c>
      <c r="E10907" t="s">
        <v>59</v>
      </c>
    </row>
    <row r="10908" spans="1:5" x14ac:dyDescent="0.25">
      <c r="A10908" t="str">
        <f>HYPERLINK("https://www.773grp.com/globalSearch/XTR106P/page-1", "XTR106P")</f>
        <v>XTR106P</v>
      </c>
      <c r="B10908" s="3" t="s">
        <v>90</v>
      </c>
      <c r="C10908" s="5">
        <v>4300</v>
      </c>
      <c r="D10908" s="6">
        <v>17.440000000000001</v>
      </c>
      <c r="E10908" t="s">
        <v>59</v>
      </c>
    </row>
    <row r="10909" spans="1:5" x14ac:dyDescent="0.25">
      <c r="A10909" t="str">
        <f>HYPERLINK("https://www.773grp.com/globalSearch/INA131BP/page-1", "INA131BP")</f>
        <v>INA131BP</v>
      </c>
      <c r="B10909" s="3" t="s">
        <v>90</v>
      </c>
      <c r="C10909" s="5">
        <v>7265</v>
      </c>
      <c r="D10909" s="6">
        <v>17.64</v>
      </c>
      <c r="E10909" t="s">
        <v>59</v>
      </c>
    </row>
    <row r="10910" spans="1:5" x14ac:dyDescent="0.25">
      <c r="A10910" t="str">
        <f>HYPERLINK("https://www.773grp.com/globalSearch/INA2141P/page-1", "INA2141P")</f>
        <v>INA2141P</v>
      </c>
      <c r="B10910" s="3" t="s">
        <v>90</v>
      </c>
      <c r="C10910" s="5">
        <v>4041</v>
      </c>
      <c r="D10910" s="6">
        <v>17.73</v>
      </c>
      <c r="E10910" t="s">
        <v>59</v>
      </c>
    </row>
    <row r="10911" spans="1:5" x14ac:dyDescent="0.25">
      <c r="A10911" t="str">
        <f>HYPERLINK("https://www.773grp.com/globalSearch/INA2141PA/page-1", "INA2141PA")</f>
        <v>INA2141PA</v>
      </c>
      <c r="B10911" s="3" t="s">
        <v>90</v>
      </c>
      <c r="C10911" s="5">
        <v>1618</v>
      </c>
      <c r="D10911" s="6">
        <v>17.73</v>
      </c>
      <c r="E10911" t="s">
        <v>59</v>
      </c>
    </row>
    <row r="10912" spans="1:5" x14ac:dyDescent="0.25">
      <c r="A10912" t="str">
        <f>HYPERLINK("https://www.773grp.com/globalSearch/XTR106U/page-1", "XTR106U")</f>
        <v>XTR106U</v>
      </c>
      <c r="B10912" s="3" t="s">
        <v>90</v>
      </c>
      <c r="C10912" s="5">
        <v>3508</v>
      </c>
      <c r="D10912" s="6">
        <v>18</v>
      </c>
      <c r="E10912" t="s">
        <v>59</v>
      </c>
    </row>
    <row r="10913" spans="1:5" x14ac:dyDescent="0.25">
      <c r="A10913" t="str">
        <f>HYPERLINK("https://www.773grp.com/globalSearch/XTR106U/page-1", "XTR106U")</f>
        <v>XTR106U</v>
      </c>
      <c r="B10913" s="3" t="s">
        <v>90</v>
      </c>
      <c r="C10913" s="5">
        <v>750</v>
      </c>
      <c r="D10913" s="6">
        <v>18</v>
      </c>
      <c r="E10913" t="s">
        <v>59</v>
      </c>
    </row>
    <row r="10914" spans="1:5" x14ac:dyDescent="0.25">
      <c r="A10914" t="str">
        <f>HYPERLINK("https://www.773grp.com/globalSearch/RCV420KP/page-1", "RCV420KP")</f>
        <v>RCV420KP</v>
      </c>
      <c r="B10914" s="3" t="s">
        <v>90</v>
      </c>
      <c r="C10914" s="5">
        <v>307</v>
      </c>
      <c r="D10914" s="6">
        <v>18.510000000000002</v>
      </c>
      <c r="E10914" t="s">
        <v>59</v>
      </c>
    </row>
    <row r="10915" spans="1:5" x14ac:dyDescent="0.25">
      <c r="A10915" t="str">
        <f>HYPERLINK("https://www.773grp.com/globalSearch/INA141U/page-1", "INA141U")</f>
        <v>INA141U</v>
      </c>
      <c r="B10915" s="3" t="s">
        <v>90</v>
      </c>
      <c r="C10915" s="5">
        <v>436</v>
      </c>
      <c r="D10915" s="6">
        <v>18.7</v>
      </c>
      <c r="E10915" t="s">
        <v>59</v>
      </c>
    </row>
    <row r="10916" spans="1:5" x14ac:dyDescent="0.25">
      <c r="A10916" t="str">
        <f>HYPERLINK("https://www.773grp.com/globalSearch/INA2141UA/page-1", "INA2141UA")</f>
        <v>INA2141UA</v>
      </c>
      <c r="B10916" s="3" t="s">
        <v>90</v>
      </c>
      <c r="C10916" s="5">
        <v>8486</v>
      </c>
      <c r="D10916" s="6">
        <v>19.13</v>
      </c>
      <c r="E10916" t="s">
        <v>59</v>
      </c>
    </row>
    <row r="10917" spans="1:5" x14ac:dyDescent="0.25">
      <c r="A10917" t="str">
        <f>HYPERLINK("https://www.773grp.com/globalSearch/INA2141UA/page-1", "INA2141UA")</f>
        <v>INA2141UA</v>
      </c>
      <c r="B10917" s="3" t="s">
        <v>90</v>
      </c>
      <c r="C10917" s="5">
        <v>1880</v>
      </c>
      <c r="D10917" s="6">
        <v>19.13</v>
      </c>
      <c r="E10917" t="s">
        <v>59</v>
      </c>
    </row>
    <row r="10918" spans="1:5" x14ac:dyDescent="0.25">
      <c r="A10918" t="str">
        <f>HYPERLINK("https://www.773grp.com/globalSearch/INA2141UA/page-1", "INA2141UA")</f>
        <v>INA2141UA</v>
      </c>
      <c r="B10918" s="3" t="s">
        <v>90</v>
      </c>
      <c r="C10918" s="5">
        <v>7676</v>
      </c>
      <c r="D10918" s="6">
        <v>19.13</v>
      </c>
      <c r="E10918" t="s">
        <v>59</v>
      </c>
    </row>
    <row r="10919" spans="1:5" x14ac:dyDescent="0.25">
      <c r="A10919" t="str">
        <f>HYPERLINK("https://www.773grp.com/globalSearch/XTR104AU/page-1", "XTR104AU")</f>
        <v>XTR104AU</v>
      </c>
      <c r="B10919" s="3" t="s">
        <v>90</v>
      </c>
      <c r="C10919" s="5">
        <v>96</v>
      </c>
      <c r="D10919" s="6">
        <v>19.54</v>
      </c>
      <c r="E10919" t="s">
        <v>59</v>
      </c>
    </row>
    <row r="10920" spans="1:5" x14ac:dyDescent="0.25">
      <c r="A10920" t="str">
        <f>HYPERLINK("https://www.773grp.com/globalSearch/INA110KU/page-1", "INA110KU")</f>
        <v>INA110KU</v>
      </c>
      <c r="B10920" s="3" t="s">
        <v>90</v>
      </c>
      <c r="C10920" s="5">
        <v>13927</v>
      </c>
      <c r="D10920" s="6">
        <v>19.690000000000001</v>
      </c>
      <c r="E10920" t="s">
        <v>59</v>
      </c>
    </row>
    <row r="10921" spans="1:5" x14ac:dyDescent="0.25">
      <c r="A10921" t="str">
        <f>HYPERLINK("https://www.773grp.com/globalSearch/XTR105P/page-1", "XTR105P")</f>
        <v>XTR105P</v>
      </c>
      <c r="B10921" s="3" t="s">
        <v>90</v>
      </c>
      <c r="C10921" s="5">
        <v>4</v>
      </c>
      <c r="D10921" s="6">
        <v>20.09</v>
      </c>
      <c r="E10921" t="s">
        <v>59</v>
      </c>
    </row>
    <row r="10922" spans="1:5" x14ac:dyDescent="0.25">
      <c r="A10922" t="str">
        <f>HYPERLINK("https://www.773grp.com/globalSearch/INA166UA/page-1", "INA166UA")</f>
        <v>INA166UA</v>
      </c>
      <c r="B10922" s="3" t="s">
        <v>90</v>
      </c>
      <c r="C10922" s="5">
        <v>54</v>
      </c>
      <c r="D10922" s="6">
        <v>20.11</v>
      </c>
      <c r="E10922" t="s">
        <v>59</v>
      </c>
    </row>
    <row r="10923" spans="1:5" x14ac:dyDescent="0.25">
      <c r="A10923" t="str">
        <f>HYPERLINK("https://www.773grp.com/globalSearch/INA166UA/page-1", "INA166UA")</f>
        <v>INA166UA</v>
      </c>
      <c r="B10923" s="3" t="s">
        <v>90</v>
      </c>
      <c r="C10923" s="5">
        <v>1531</v>
      </c>
      <c r="D10923" s="6">
        <v>20.11</v>
      </c>
      <c r="E10923" t="s">
        <v>59</v>
      </c>
    </row>
    <row r="10924" spans="1:5" x14ac:dyDescent="0.25">
      <c r="A10924" t="str">
        <f>HYPERLINK("https://www.773grp.com/globalSearch/INA114BP/page-1", "INA114BP")</f>
        <v>INA114BP</v>
      </c>
      <c r="B10924" s="3" t="s">
        <v>90</v>
      </c>
      <c r="C10924" s="5">
        <v>23190</v>
      </c>
      <c r="D10924" s="6">
        <v>20.45</v>
      </c>
      <c r="E10924" t="s">
        <v>59</v>
      </c>
    </row>
    <row r="10925" spans="1:5" x14ac:dyDescent="0.25">
      <c r="A10925" t="str">
        <f>HYPERLINK("https://www.773grp.com/globalSearch/INA114BU/page-1", "INA114BU")</f>
        <v>INA114BU</v>
      </c>
      <c r="B10925" s="3" t="s">
        <v>90</v>
      </c>
      <c r="C10925" s="5">
        <v>37</v>
      </c>
      <c r="D10925" s="6">
        <v>21.23</v>
      </c>
      <c r="E10925" t="s">
        <v>59</v>
      </c>
    </row>
    <row r="10926" spans="1:5" x14ac:dyDescent="0.25">
      <c r="A10926" t="str">
        <f>HYPERLINK("https://www.773grp.com/globalSearch/INA110KP/page-1", "INA110KP")</f>
        <v>INA110KP</v>
      </c>
      <c r="B10926" s="3" t="s">
        <v>90</v>
      </c>
      <c r="C10926" s="5">
        <v>25462</v>
      </c>
      <c r="D10926" s="6">
        <v>22.65</v>
      </c>
      <c r="E10926" t="s">
        <v>59</v>
      </c>
    </row>
    <row r="10927" spans="1:5" x14ac:dyDescent="0.25">
      <c r="A10927" t="str">
        <f>HYPERLINK("https://www.773grp.com/globalSearch/INA118PB/page-1", "INA118PB")</f>
        <v>INA118PB</v>
      </c>
      <c r="B10927" s="3" t="s">
        <v>90</v>
      </c>
      <c r="C10927" s="5">
        <v>27895</v>
      </c>
      <c r="D10927" s="6">
        <v>22.99</v>
      </c>
      <c r="E10927" t="s">
        <v>59</v>
      </c>
    </row>
    <row r="10928" spans="1:5" x14ac:dyDescent="0.25">
      <c r="A10928" t="str">
        <f>HYPERLINK("https://www.773grp.com/globalSearch/INA116PA/page-1", "INA116PA")</f>
        <v>INA116PA</v>
      </c>
      <c r="B10928" s="3" t="s">
        <v>90</v>
      </c>
      <c r="C10928" s="5">
        <v>13825</v>
      </c>
      <c r="D10928" s="6">
        <v>23.46</v>
      </c>
      <c r="E10928" t="s">
        <v>59</v>
      </c>
    </row>
    <row r="10929" spans="1:5" x14ac:dyDescent="0.25">
      <c r="A10929" t="str">
        <f>HYPERLINK("https://www.773grp.com/globalSearch/PGA205AP/page-1", "PGA205AP")</f>
        <v>PGA205AP</v>
      </c>
      <c r="B10929" s="3" t="s">
        <v>90</v>
      </c>
      <c r="C10929" s="5">
        <v>8850</v>
      </c>
      <c r="D10929" s="6">
        <v>23.46</v>
      </c>
      <c r="E10929" t="s">
        <v>59</v>
      </c>
    </row>
    <row r="10930" spans="1:5" x14ac:dyDescent="0.25">
      <c r="A10930" t="str">
        <f>HYPERLINK("https://www.773grp.com/globalSearch/PGA204AU-1K/page-1", "PGA204AU-1K")</f>
        <v>PGA204AU-1K</v>
      </c>
      <c r="B10930" s="3" t="s">
        <v>90</v>
      </c>
      <c r="C10930" s="5">
        <v>23000</v>
      </c>
      <c r="D10930" s="6">
        <v>23.49</v>
      </c>
      <c r="E10930" t="s">
        <v>59</v>
      </c>
    </row>
    <row r="10931" spans="1:5" x14ac:dyDescent="0.25">
      <c r="A10931" t="str">
        <f>HYPERLINK("https://www.773grp.com/globalSearch/INA111BP/page-1", "INA111BP")</f>
        <v>INA111BP</v>
      </c>
      <c r="B10931" s="3" t="s">
        <v>90</v>
      </c>
      <c r="C10931" s="5">
        <v>1922</v>
      </c>
      <c r="D10931" s="6">
        <v>23.68</v>
      </c>
      <c r="E10931" t="s">
        <v>59</v>
      </c>
    </row>
    <row r="10932" spans="1:5" x14ac:dyDescent="0.25">
      <c r="A10932" t="str">
        <f>HYPERLINK("https://www.773grp.com/globalSearch/INA118UB/page-1", "INA118UB")</f>
        <v>INA118UB</v>
      </c>
      <c r="B10932" s="3" t="s">
        <v>90</v>
      </c>
      <c r="C10932" s="5">
        <v>4007</v>
      </c>
      <c r="D10932" s="6">
        <v>23.76</v>
      </c>
      <c r="E10932" t="s">
        <v>59</v>
      </c>
    </row>
    <row r="10933" spans="1:5" x14ac:dyDescent="0.25">
      <c r="A10933" t="str">
        <f>HYPERLINK("https://www.773grp.com/globalSearch/PGA205AU/page-1", "PGA205AU")</f>
        <v>PGA205AU</v>
      </c>
      <c r="B10933" s="3" t="s">
        <v>90</v>
      </c>
      <c r="C10933" s="5">
        <v>9880</v>
      </c>
      <c r="D10933" s="6">
        <v>24.48</v>
      </c>
      <c r="E10933" t="s">
        <v>59</v>
      </c>
    </row>
    <row r="10934" spans="1:5" x14ac:dyDescent="0.25">
      <c r="A10934" t="str">
        <f>HYPERLINK("https://www.773grp.com/globalSearch/PGA205AU/page-1", "PGA205AU")</f>
        <v>PGA205AU</v>
      </c>
      <c r="B10934" s="3" t="s">
        <v>90</v>
      </c>
      <c r="C10934" s="5">
        <v>33297</v>
      </c>
      <c r="D10934" s="6">
        <v>24.48</v>
      </c>
      <c r="E10934" t="s">
        <v>59</v>
      </c>
    </row>
    <row r="10935" spans="1:5" x14ac:dyDescent="0.25">
      <c r="A10935" t="str">
        <f>HYPERLINK("https://www.773grp.com/globalSearch/INA2128U/page-1", "INA2128U")</f>
        <v>INA2128U</v>
      </c>
      <c r="B10935" s="3" t="s">
        <v>90</v>
      </c>
      <c r="C10935" s="5">
        <v>25305</v>
      </c>
      <c r="D10935" s="6">
        <v>25.03</v>
      </c>
      <c r="E10935" t="s">
        <v>59</v>
      </c>
    </row>
    <row r="10936" spans="1:5" x14ac:dyDescent="0.25">
      <c r="A10936" t="str">
        <f>HYPERLINK("https://www.773grp.com/globalSearch/PGA202KP/page-1", "PGA202KP")</f>
        <v>PGA202KP</v>
      </c>
      <c r="B10936" s="3" t="s">
        <v>90</v>
      </c>
      <c r="C10936" s="5">
        <v>9</v>
      </c>
      <c r="D10936" s="6">
        <v>25.03</v>
      </c>
      <c r="E10936" t="s">
        <v>59</v>
      </c>
    </row>
    <row r="10937" spans="1:5" x14ac:dyDescent="0.25">
      <c r="A10937" t="str">
        <f>HYPERLINK("https://www.773grp.com/globalSearch/INA2141U/page-1", "INA2141U")</f>
        <v>INA2141U</v>
      </c>
      <c r="B10937" s="3" t="s">
        <v>90</v>
      </c>
      <c r="C10937" s="5">
        <v>23344</v>
      </c>
      <c r="D10937" s="6">
        <v>25.6</v>
      </c>
      <c r="E10937" t="s">
        <v>59</v>
      </c>
    </row>
    <row r="10938" spans="1:5" x14ac:dyDescent="0.25">
      <c r="A10938" t="str">
        <f>HYPERLINK("https://www.773grp.com/globalSearch/INA101KU/page-1", "INA101KU")</f>
        <v>INA101KU</v>
      </c>
      <c r="B10938" s="3" t="s">
        <v>90</v>
      </c>
      <c r="C10938" s="5">
        <v>60</v>
      </c>
      <c r="D10938" s="6">
        <v>26.71</v>
      </c>
      <c r="E10938" t="s">
        <v>59</v>
      </c>
    </row>
    <row r="10939" spans="1:5" x14ac:dyDescent="0.25">
      <c r="A10939" t="str">
        <f>HYPERLINK("https://www.773grp.com/globalSearch/PGA204AP/page-1", "PGA204AP")</f>
        <v>PGA204AP</v>
      </c>
      <c r="B10939" s="3" t="s">
        <v>90</v>
      </c>
      <c r="C10939" s="5">
        <v>9253</v>
      </c>
      <c r="D10939" s="6">
        <v>27</v>
      </c>
      <c r="E10939" t="s">
        <v>59</v>
      </c>
    </row>
    <row r="10940" spans="1:5" x14ac:dyDescent="0.25">
      <c r="A10940" t="str">
        <f>HYPERLINK("https://www.773grp.com/globalSearch/XTR101AP/page-1", "XTR101AP")</f>
        <v>XTR101AP</v>
      </c>
      <c r="B10940" s="3" t="str">
        <f>HYPERLINK("https://www.773grp.com/manufacturer/texas-instruments?pageNo=177", "Texas Instruments")</f>
        <v>Texas Instruments</v>
      </c>
      <c r="C10940" s="5">
        <v>1804</v>
      </c>
      <c r="D10940" s="6">
        <v>28.13</v>
      </c>
      <c r="E10940" t="s">
        <v>59</v>
      </c>
    </row>
    <row r="10941" spans="1:5" x14ac:dyDescent="0.25">
      <c r="A10941" t="str">
        <f>HYPERLINK("https://www.773grp.com/globalSearch/PGA204AU/page-1", "PGA204AU")</f>
        <v>PGA204AU</v>
      </c>
      <c r="B10941" s="3" t="str">
        <f>HYPERLINK("https://www.773grp.com/manufacturer/texas-instruments?pageNo=189", "Texas Instruments")</f>
        <v>Texas Instruments</v>
      </c>
      <c r="C10941" s="5">
        <v>30347</v>
      </c>
      <c r="D10941" s="6">
        <v>28.26</v>
      </c>
      <c r="E10941" t="s">
        <v>59</v>
      </c>
    </row>
    <row r="10942" spans="1:5" x14ac:dyDescent="0.25">
      <c r="A10942" t="str">
        <f>HYPERLINK("https://www.773grp.com/globalSearch/PGA204AU/page-1", "PGA204AU")</f>
        <v>PGA204AU</v>
      </c>
      <c r="B10942" s="3" t="str">
        <f>HYPERLINK("https://www.773grp.com/manufacturer/texas-instruments?pageNo=190", "Texas Instruments")</f>
        <v>Texas Instruments</v>
      </c>
      <c r="C10942" s="5">
        <v>7680</v>
      </c>
      <c r="D10942" s="6">
        <v>28.26</v>
      </c>
      <c r="E10942" t="s">
        <v>59</v>
      </c>
    </row>
    <row r="10943" spans="1:5" x14ac:dyDescent="0.25">
      <c r="A10943" t="str">
        <f>HYPERLINK("https://www.773grp.com/globalSearch/PGA205BU/page-1", "PGA205BU")</f>
        <v>PGA205BU</v>
      </c>
      <c r="B10943" s="3" t="str">
        <f>HYPERLINK("https://www.773grp.com/manufacturer/texas-instruments?pageNo=219", "Texas Instruments")</f>
        <v>Texas Instruments</v>
      </c>
      <c r="C10943" s="5">
        <v>10640</v>
      </c>
      <c r="D10943" s="6">
        <v>28.4</v>
      </c>
      <c r="E10943" t="s">
        <v>59</v>
      </c>
    </row>
    <row r="10944" spans="1:5" x14ac:dyDescent="0.25">
      <c r="A10944" t="str">
        <f>HYPERLINK("https://www.773grp.com/globalSearch/PGA205BUG4/page-1", "PGA205BUG4")</f>
        <v>PGA205BUG4</v>
      </c>
      <c r="B10944" s="3" t="str">
        <f>HYPERLINK("https://www.773grp.com/manufacturer/texas-instruments?pageNo=220", "Texas Instruments")</f>
        <v>Texas Instruments</v>
      </c>
      <c r="C10944" s="5">
        <v>74</v>
      </c>
      <c r="D10944" s="6">
        <v>28.4</v>
      </c>
      <c r="E10944" t="s">
        <v>59</v>
      </c>
    </row>
    <row r="10945" spans="1:5" x14ac:dyDescent="0.25">
      <c r="A10945" t="str">
        <f>HYPERLINK("https://www.773grp.com/globalSearch/XTR101AU/page-1", "XTR101AU")</f>
        <v>XTR101AU</v>
      </c>
      <c r="B10945" s="3" t="str">
        <f>HYPERLINK("https://www.773grp.com/manufacturer/texas-instruments?pageNo=361", "Texas Instruments")</f>
        <v>Texas Instruments</v>
      </c>
      <c r="C10945" s="5">
        <v>19272</v>
      </c>
      <c r="D10945" s="6">
        <v>29.4</v>
      </c>
      <c r="E10945" t="s">
        <v>59</v>
      </c>
    </row>
    <row r="10946" spans="1:5" x14ac:dyDescent="0.25">
      <c r="A10946" t="str">
        <f>HYPERLINK("https://www.773grp.com/globalSearch/INA101HP/page-1", "INA101HP")</f>
        <v>INA101HP</v>
      </c>
      <c r="B10946" s="3" t="str">
        <f>HYPERLINK("https://www.773grp.com/manufacturer/texas-instruments?pageNo=442", "Texas Instruments")</f>
        <v>Texas Instruments</v>
      </c>
      <c r="C10946" s="5">
        <v>67</v>
      </c>
      <c r="D10946" s="6">
        <v>30.09</v>
      </c>
      <c r="E10946" t="s">
        <v>59</v>
      </c>
    </row>
    <row r="10947" spans="1:5" x14ac:dyDescent="0.25">
      <c r="A10947" t="str">
        <f>HYPERLINK("https://www.773grp.com/globalSearch/INA101HP/page-1", "INA101HP")</f>
        <v>INA101HP</v>
      </c>
      <c r="B10947" s="3" t="str">
        <f>HYPERLINK("https://www.773grp.com/manufacturer/texas-instruments?pageNo=443", "Texas Instruments")</f>
        <v>Texas Instruments</v>
      </c>
      <c r="C10947" s="5">
        <v>825</v>
      </c>
      <c r="D10947" s="6">
        <v>30.09</v>
      </c>
      <c r="E10947" t="s">
        <v>59</v>
      </c>
    </row>
    <row r="10948" spans="1:5" x14ac:dyDescent="0.25">
      <c r="A10948" t="str">
        <f>HYPERLINK("https://www.773grp.com/globalSearch/INA101HPG4/page-1", "INA101HPG4")</f>
        <v>INA101HPG4</v>
      </c>
      <c r="B10948" s="3" t="str">
        <f>HYPERLINK("https://www.773grp.com/manufacturer/texas-instruments?pageNo=444", "Texas Instruments")</f>
        <v>Texas Instruments</v>
      </c>
      <c r="C10948" s="5">
        <v>40</v>
      </c>
      <c r="D10948" s="6">
        <v>30.09</v>
      </c>
      <c r="E10948" t="s">
        <v>59</v>
      </c>
    </row>
    <row r="10949" spans="1:5" x14ac:dyDescent="0.25">
      <c r="A10949" t="str">
        <f>HYPERLINK("https://www.773grp.com/globalSearch/INA2128P/page-1", "INA2128P")</f>
        <v>INA2128P</v>
      </c>
      <c r="B10949" s="3" t="str">
        <f>HYPERLINK("https://www.773grp.com/manufacturer/texas-instruments?pageNo=618", "Texas Instruments")</f>
        <v>Texas Instruments</v>
      </c>
      <c r="C10949" s="5">
        <v>501</v>
      </c>
      <c r="D10949" s="6">
        <v>30.94</v>
      </c>
      <c r="E10949" t="s">
        <v>59</v>
      </c>
    </row>
    <row r="10950" spans="1:5" x14ac:dyDescent="0.25">
      <c r="A10950" t="str">
        <f>HYPERLINK("https://www.773grp.com/globalSearch/PGA205BP/page-1", "PGA205BP")</f>
        <v>PGA205BP</v>
      </c>
      <c r="B10950" s="3" t="str">
        <f>HYPERLINK("https://www.773grp.com/manufacturer/texas-instruments?pageNo=691", "Texas Instruments")</f>
        <v>Texas Instruments</v>
      </c>
      <c r="C10950" s="5">
        <v>5098</v>
      </c>
      <c r="D10950" s="6">
        <v>31.48</v>
      </c>
      <c r="E10950" t="s">
        <v>59</v>
      </c>
    </row>
    <row r="10951" spans="1:5" x14ac:dyDescent="0.25">
      <c r="A10951" t="str">
        <f>HYPERLINK("https://www.773grp.com/globalSearch/PGA204BP/page-1", "PGA204BP")</f>
        <v>PGA204BP</v>
      </c>
      <c r="B10951" s="3" t="str">
        <f>HYPERLINK("https://www.773grp.com/manufacturer/texas-instruments?pageNo=723", "Texas Instruments")</f>
        <v>Texas Instruments</v>
      </c>
      <c r="C10951" s="5">
        <v>4705</v>
      </c>
      <c r="D10951" s="6">
        <v>31.78</v>
      </c>
      <c r="E10951" t="s">
        <v>59</v>
      </c>
    </row>
    <row r="10952" spans="1:5" x14ac:dyDescent="0.25">
      <c r="A10952" t="str">
        <f>HYPERLINK("https://www.773grp.com/globalSearch/PGA204BU/page-1", "PGA204BU")</f>
        <v>PGA204BU</v>
      </c>
      <c r="B10952" s="3" t="s">
        <v>90</v>
      </c>
      <c r="C10952" s="5">
        <v>28701</v>
      </c>
      <c r="D10952" s="6">
        <v>33.89</v>
      </c>
      <c r="E10952" t="s">
        <v>59</v>
      </c>
    </row>
    <row r="10953" spans="1:5" x14ac:dyDescent="0.25">
      <c r="A10953" t="str">
        <f>HYPERLINK("https://www.773grp.com/globalSearch/PGA206PA/page-1", "PGA206PA")</f>
        <v>PGA206PA</v>
      </c>
      <c r="B10953" s="3" t="s">
        <v>90</v>
      </c>
      <c r="C10953" s="5">
        <v>10875</v>
      </c>
      <c r="D10953" s="6">
        <v>34.6</v>
      </c>
      <c r="E10953" t="s">
        <v>59</v>
      </c>
    </row>
    <row r="10954" spans="1:5" x14ac:dyDescent="0.25">
      <c r="A10954" t="str">
        <f>HYPERLINK("https://www.773grp.com/globalSearch/XTR103BU/page-1", "XTR103BU")</f>
        <v>XTR103BU</v>
      </c>
      <c r="B10954" s="3" t="s">
        <v>90</v>
      </c>
      <c r="C10954" s="5">
        <v>1</v>
      </c>
      <c r="D10954" s="6">
        <v>36.11</v>
      </c>
      <c r="E10954" t="s">
        <v>59</v>
      </c>
    </row>
    <row r="10955" spans="1:5" x14ac:dyDescent="0.25">
      <c r="A10955" t="str">
        <f>HYPERLINK("https://www.773grp.com/globalSearch/XTR104BU/page-1", "XTR104BU")</f>
        <v>XTR104BU</v>
      </c>
      <c r="B10955" s="3" t="s">
        <v>90</v>
      </c>
      <c r="C10955" s="5">
        <v>1</v>
      </c>
      <c r="D10955" s="6">
        <v>36.11</v>
      </c>
      <c r="E10955" t="s">
        <v>59</v>
      </c>
    </row>
    <row r="10956" spans="1:5" x14ac:dyDescent="0.25">
      <c r="A10956" t="str">
        <f>HYPERLINK("https://www.773grp.com/globalSearch/PGA207UA/page-1", "PGA207UA")</f>
        <v>PGA207UA</v>
      </c>
      <c r="B10956" s="3" t="s">
        <v>90</v>
      </c>
      <c r="C10956" s="5">
        <v>29462</v>
      </c>
      <c r="D10956" s="6">
        <v>40.61</v>
      </c>
      <c r="E10956" t="s">
        <v>59</v>
      </c>
    </row>
    <row r="10957" spans="1:5" x14ac:dyDescent="0.25">
      <c r="A10957" t="str">
        <f>HYPERLINK("https://www.773grp.com/globalSearch/INA101AM/page-1", "INA101AM")</f>
        <v>INA101AM</v>
      </c>
      <c r="B10957" s="3" t="s">
        <v>90</v>
      </c>
      <c r="C10957" s="5">
        <v>34481</v>
      </c>
      <c r="D10957" s="6">
        <v>69.48</v>
      </c>
      <c r="E10957" t="s">
        <v>59</v>
      </c>
    </row>
    <row r="10958" spans="1:5" x14ac:dyDescent="0.25">
      <c r="A10958" t="str">
        <f>HYPERLINK("https://www.773grp.com/globalSearch/INA101AM/page-1", "INA101AM")</f>
        <v>INA101AM</v>
      </c>
      <c r="B10958" s="3" t="s">
        <v>90</v>
      </c>
      <c r="C10958" s="5">
        <v>40</v>
      </c>
      <c r="D10958" s="6">
        <v>69.48</v>
      </c>
      <c r="E10958" t="s">
        <v>59</v>
      </c>
    </row>
    <row r="10959" spans="1:5" x14ac:dyDescent="0.25">
      <c r="A10959" t="str">
        <f>HYPERLINK("https://www.773grp.com/globalSearch/INA101AG/page-1", "INA101AG")</f>
        <v>INA101AG</v>
      </c>
      <c r="B10959" s="3" t="s">
        <v>90</v>
      </c>
      <c r="C10959" s="5">
        <v>2</v>
      </c>
      <c r="D10959" s="6">
        <v>84.94</v>
      </c>
      <c r="E10959" t="s">
        <v>59</v>
      </c>
    </row>
    <row r="10960" spans="1:5" x14ac:dyDescent="0.25">
      <c r="A10960" t="str">
        <f>HYPERLINK("https://www.773grp.com/globalSearch/INA101CM/page-1", "INA101CM")</f>
        <v>INA101CM</v>
      </c>
      <c r="B10960" s="3" t="s">
        <v>90</v>
      </c>
      <c r="C10960" s="5">
        <v>145</v>
      </c>
      <c r="D10960" s="6">
        <v>97.88</v>
      </c>
      <c r="E10960" t="s">
        <v>59</v>
      </c>
    </row>
    <row r="10961" spans="1:5" x14ac:dyDescent="0.25">
      <c r="A10961" t="str">
        <f>HYPERLINK("https://www.773grp.com/globalSearch/INA101SM/page-1", "INA101SM")</f>
        <v>INA101SM</v>
      </c>
      <c r="B10961" s="3" t="s">
        <v>90</v>
      </c>
      <c r="C10961" s="5">
        <v>70</v>
      </c>
      <c r="D10961" s="6">
        <v>111.38</v>
      </c>
      <c r="E10961" t="s">
        <v>59</v>
      </c>
    </row>
    <row r="10962" spans="1:5" x14ac:dyDescent="0.25">
      <c r="A10962" t="str">
        <f>HYPERLINK("https://www.773grp.com/globalSearch/XTR101AG/page-1", "XTR101AG")</f>
        <v>XTR101AG</v>
      </c>
      <c r="B10962" s="3" t="str">
        <f>HYPERLINK("https://www.773grp.com/manufacturer/texas-instruments?pageNo=262", "Texas Instruments")</f>
        <v>Texas Instruments</v>
      </c>
      <c r="C10962" s="5">
        <v>5957</v>
      </c>
      <c r="D10962" s="6">
        <v>164.81</v>
      </c>
      <c r="E10962" t="s">
        <v>59</v>
      </c>
    </row>
    <row r="10963" spans="1:5" x14ac:dyDescent="0.25">
      <c r="A10963" t="str">
        <f>HYPERLINK("https://www.773grp.com/globalSearch/INA128HD/page-1", "INA128HD")</f>
        <v>INA128HD</v>
      </c>
      <c r="B10963" s="3" t="str">
        <f>HYPERLINK("https://www.773grp.com/manufacturer/texas-instruments?pageNo=340", "Texas Instruments")</f>
        <v>Texas Instruments</v>
      </c>
      <c r="C10963" s="5">
        <v>2</v>
      </c>
      <c r="D10963" s="6">
        <v>180</v>
      </c>
      <c r="E10963" t="s">
        <v>59</v>
      </c>
    </row>
    <row r="10964" spans="1:5" x14ac:dyDescent="0.25">
      <c r="A10964" t="str">
        <f>HYPERLINK("https://www.773grp.com/globalSearch/XTR101BG/page-1", "XTR101BG")</f>
        <v>XTR101BG</v>
      </c>
      <c r="B10964" s="3" t="str">
        <f>HYPERLINK("https://www.773grp.com/manufacturer/texas-instruments?pageNo=366", "Texas Instruments")</f>
        <v>Texas Instruments</v>
      </c>
      <c r="C10964" s="5">
        <v>174</v>
      </c>
      <c r="D10964" s="6">
        <v>186.6</v>
      </c>
      <c r="E10964" t="s">
        <v>59</v>
      </c>
    </row>
    <row r="10965" spans="1:5" x14ac:dyDescent="0.25">
      <c r="A10965" t="str">
        <f>HYPERLINK("https://www.773grp.com/globalSearch/INA129SJD/page-1", "INA129SJD")</f>
        <v>INA129SJD</v>
      </c>
      <c r="B10965" s="3" t="str">
        <f>HYPERLINK("https://www.773grp.com/manufacturer/texas-instruments?pageNo=560", "Texas Instruments")</f>
        <v>Texas Instruments</v>
      </c>
      <c r="C10965" s="5">
        <v>25</v>
      </c>
      <c r="D10965" s="6">
        <v>225</v>
      </c>
      <c r="E10965" t="s">
        <v>59</v>
      </c>
    </row>
    <row r="10966" spans="1:5" x14ac:dyDescent="0.25">
      <c r="A10966" t="str">
        <f>HYPERLINK("https://www.773grp.com/globalSearch/PGA100BG/page-1", "PGA100BG")</f>
        <v>PGA100BG</v>
      </c>
      <c r="B10966" s="3" t="str">
        <f>HYPERLINK("https://www.773grp.com/manufacturer/texas-instruments?pageNo=774", "Texas Instruments")</f>
        <v>Texas Instruments</v>
      </c>
      <c r="C10966" s="5">
        <v>3</v>
      </c>
      <c r="D10966" s="6">
        <v>271.77999999999997</v>
      </c>
      <c r="E10966" t="s">
        <v>59</v>
      </c>
    </row>
    <row r="10967" spans="1:5" x14ac:dyDescent="0.25">
      <c r="A10967" t="str">
        <f>HYPERLINK("https://www.773grp.com/globalSearch/3606BG/page-1", "3606BG")</f>
        <v>3606BG</v>
      </c>
      <c r="B10967" s="3" t="s">
        <v>90</v>
      </c>
      <c r="C10967" s="5">
        <v>3652</v>
      </c>
      <c r="D10967" s="6">
        <v>576.21</v>
      </c>
      <c r="E10967" t="s">
        <v>59</v>
      </c>
    </row>
    <row r="10968" spans="1:5" x14ac:dyDescent="0.25">
      <c r="A10968" t="str">
        <f>HYPERLINK("https://www.773grp.com/globalSearch/PCA9518DBQR/page-1", "PCA9518DBQR")</f>
        <v>PCA9518DBQR</v>
      </c>
      <c r="B10968" s="3" t="str">
        <f>HYPERLINK("https://www.773grp.com/manufacturer/texas-instruments?pageNo=8", "Texas Instruments")</f>
        <v>Texas Instruments</v>
      </c>
      <c r="C10968" s="5">
        <v>7253</v>
      </c>
      <c r="D10968" s="6">
        <v>3.95</v>
      </c>
      <c r="E10968" t="s">
        <v>63</v>
      </c>
    </row>
    <row r="10969" spans="1:5" x14ac:dyDescent="0.25">
      <c r="A10969" t="str">
        <f>HYPERLINK("https://www.773grp.com/globalSearch/PCA9518DWR/page-1", "PCA9518DWR")</f>
        <v>PCA9518DWR</v>
      </c>
      <c r="B10969" s="3" t="str">
        <f>HYPERLINK("https://www.773grp.com/manufacturer/texas-instruments?pageNo=10", "Texas Instruments")</f>
        <v>Texas Instruments</v>
      </c>
      <c r="C10969" s="5">
        <v>7975</v>
      </c>
      <c r="D10969" s="6">
        <v>3.95</v>
      </c>
      <c r="E10969" t="s">
        <v>63</v>
      </c>
    </row>
    <row r="10970" spans="1:5" x14ac:dyDescent="0.25">
      <c r="A10970" t="str">
        <f>HYPERLINK("https://www.773grp.com/globalSearch/TXB0106IPWRQ1/page-1", "TXB0106IPWRQ1")</f>
        <v>TXB0106IPWRQ1</v>
      </c>
      <c r="B10970" s="3" t="str">
        <f>HYPERLINK("https://www.773grp.com/manufacturer/texas-instruments?pageNo=217", "Texas Instruments")</f>
        <v>Texas Instruments</v>
      </c>
      <c r="C10970" s="5">
        <v>11870</v>
      </c>
      <c r="D10970" s="6">
        <v>3.95</v>
      </c>
      <c r="E10970" t="s">
        <v>63</v>
      </c>
    </row>
    <row r="10971" spans="1:5" x14ac:dyDescent="0.25">
      <c r="A10971" t="str">
        <f>HYPERLINK("https://www.773grp.com/globalSearch/TXS0104ED/page-1", "TXS0104ED")</f>
        <v>TXS0104ED</v>
      </c>
      <c r="B10971" s="3" t="str">
        <f>HYPERLINK("https://www.773grp.com/manufacturer/texas-instruments?pageNo=218", "Texas Instruments")</f>
        <v>Texas Instruments</v>
      </c>
      <c r="C10971" s="5">
        <v>42385</v>
      </c>
      <c r="D10971" s="6">
        <v>3.95</v>
      </c>
      <c r="E10971" t="s">
        <v>63</v>
      </c>
    </row>
    <row r="10972" spans="1:5" x14ac:dyDescent="0.25">
      <c r="A10972" t="str">
        <f>HYPERLINK("https://www.773grp.com/globalSearch/ONET4201LDRGER/page-1", "ONET4201LDRGER")</f>
        <v>ONET4201LDRGER</v>
      </c>
      <c r="B10972" s="3" t="str">
        <f>HYPERLINK("https://www.773grp.com/manufacturer/texas-instruments?pageNo=505", "Texas Instruments")</f>
        <v>Texas Instruments</v>
      </c>
      <c r="C10972" s="5">
        <v>14000</v>
      </c>
      <c r="D10972" s="6">
        <v>3.66</v>
      </c>
      <c r="E10972" t="s">
        <v>63</v>
      </c>
    </row>
    <row r="10973" spans="1:5" x14ac:dyDescent="0.25">
      <c r="A10973" t="str">
        <f>HYPERLINK("https://www.773grp.com/globalSearch/ONET4201LDRGERG4/page-1", "ONET4201LDRGERG4")</f>
        <v>ONET4201LDRGERG4</v>
      </c>
      <c r="B10973" s="3" t="str">
        <f>HYPERLINK("https://www.773grp.com/manufacturer/texas-instruments?pageNo=506", "Texas Instruments")</f>
        <v>Texas Instruments</v>
      </c>
      <c r="C10973" s="5">
        <v>1600</v>
      </c>
      <c r="D10973" s="6">
        <v>3.66</v>
      </c>
      <c r="E10973" t="s">
        <v>63</v>
      </c>
    </row>
    <row r="10974" spans="1:5" x14ac:dyDescent="0.25">
      <c r="A10974" t="str">
        <f>HYPERLINK("https://www.773grp.com/globalSearch/TXS02324RUKR/page-1", "TXS02324RUKR")</f>
        <v>TXS02324RUKR</v>
      </c>
      <c r="B10974" s="3" t="str">
        <f>HYPERLINK("https://www.773grp.com/manufacturer/texas-instruments?pageNo=662", "Texas Instruments")</f>
        <v>Texas Instruments</v>
      </c>
      <c r="C10974" s="5">
        <v>5998</v>
      </c>
      <c r="D10974" s="6">
        <v>3.66</v>
      </c>
      <c r="E10974" t="s">
        <v>63</v>
      </c>
    </row>
    <row r="10975" spans="1:5" x14ac:dyDescent="0.25">
      <c r="A10975" t="str">
        <f>HYPERLINK("https://www.773grp.com/globalSearch/TPS65193RGER/page-1", "TPS65193RGER")</f>
        <v>TPS65193RGER</v>
      </c>
      <c r="B10975" s="3" t="str">
        <f>HYPERLINK("https://www.773grp.com/manufacturer/texas-instruments?pageNo=194", "Texas Instruments")</f>
        <v>Texas Instruments</v>
      </c>
      <c r="C10975" s="5">
        <v>12000</v>
      </c>
      <c r="D10975" s="6">
        <v>4.2300000000000004</v>
      </c>
      <c r="E10975" t="s">
        <v>63</v>
      </c>
    </row>
    <row r="10976" spans="1:5" x14ac:dyDescent="0.25">
      <c r="A10976" t="str">
        <f>HYPERLINK("https://www.773grp.com/globalSearch/TXB0108DQSR/page-1", "TXB0108DQSR")</f>
        <v>TXB0108DQSR</v>
      </c>
      <c r="B10976" s="3" t="str">
        <f>HYPERLINK("https://www.773grp.com/manufacturer/texas-instruments?pageNo=221", "Texas Instruments")</f>
        <v>Texas Instruments</v>
      </c>
      <c r="C10976" s="5">
        <v>6000</v>
      </c>
      <c r="D10976" s="6">
        <v>4.2300000000000004</v>
      </c>
      <c r="E10976" t="s">
        <v>63</v>
      </c>
    </row>
    <row r="10977" spans="1:5" x14ac:dyDescent="0.25">
      <c r="A10977" t="str">
        <f>HYPERLINK("https://www.773grp.com/globalSearch/TXB0108RGYR/page-1", "TXB0108RGYR")</f>
        <v>TXB0108RGYR</v>
      </c>
      <c r="B10977" s="3" t="str">
        <f>HYPERLINK("https://www.773grp.com/manufacturer/texas-instruments?pageNo=222", "Texas Instruments")</f>
        <v>Texas Instruments</v>
      </c>
      <c r="C10977" s="5">
        <v>4004</v>
      </c>
      <c r="D10977" s="6">
        <v>4.2300000000000004</v>
      </c>
      <c r="E10977" t="s">
        <v>63</v>
      </c>
    </row>
    <row r="10978" spans="1:5" x14ac:dyDescent="0.25">
      <c r="A10978" t="str">
        <f>HYPERLINK("https://www.773grp.com/globalSearch/TXB0108ZXYR/page-1", "TXB0108ZXYR")</f>
        <v>TXB0108ZXYR</v>
      </c>
      <c r="B10978" s="3" t="str">
        <f>HYPERLINK("https://www.773grp.com/manufacturer/texas-instruments?pageNo=224", "Texas Instruments")</f>
        <v>Texas Instruments</v>
      </c>
      <c r="C10978" s="5">
        <v>26144</v>
      </c>
      <c r="D10978" s="6">
        <v>4.2300000000000004</v>
      </c>
      <c r="E10978" t="s">
        <v>63</v>
      </c>
    </row>
    <row r="10979" spans="1:5" x14ac:dyDescent="0.25">
      <c r="A10979" t="str">
        <f>HYPERLINK("https://www.773grp.com/globalSearch/TXS0108EZXYR/page-1", "TXS0108EZXYR")</f>
        <v>TXS0108EZXYR</v>
      </c>
      <c r="B10979" s="3" t="str">
        <f>HYPERLINK("https://www.773grp.com/manufacturer/texas-instruments?pageNo=226", "Texas Instruments")</f>
        <v>Texas Instruments</v>
      </c>
      <c r="C10979" s="5">
        <v>9258</v>
      </c>
      <c r="D10979" s="6">
        <v>4.2300000000000004</v>
      </c>
      <c r="E10979" t="s">
        <v>63</v>
      </c>
    </row>
    <row r="10980" spans="1:5" x14ac:dyDescent="0.25">
      <c r="A10980" t="str">
        <f>HYPERLINK("https://www.773grp.com/globalSearch/TPS65192RHDR/page-1", "TPS65192RHDR")</f>
        <v>TPS65192RHDR</v>
      </c>
      <c r="B10980" s="3" t="str">
        <f>HYPERLINK("https://www.773grp.com/manufacturer/texas-instruments?pageNo=671", "Texas Instruments")</f>
        <v>Texas Instruments</v>
      </c>
      <c r="C10980" s="5">
        <v>1952</v>
      </c>
      <c r="D10980" s="6">
        <v>3.94</v>
      </c>
      <c r="E10980" t="s">
        <v>63</v>
      </c>
    </row>
    <row r="10981" spans="1:5" x14ac:dyDescent="0.25">
      <c r="A10981" t="str">
        <f>HYPERLINK("https://www.773grp.com/globalSearch/PCA9517D/page-1", "PCA9517D")</f>
        <v>PCA9517D</v>
      </c>
      <c r="B10981" s="3" t="s">
        <v>90</v>
      </c>
      <c r="C10981" s="5">
        <v>1340</v>
      </c>
      <c r="D10981" s="6">
        <v>4.05</v>
      </c>
      <c r="E10981" t="s">
        <v>63</v>
      </c>
    </row>
    <row r="10982" spans="1:5" x14ac:dyDescent="0.25">
      <c r="A10982" t="str">
        <f>HYPERLINK("https://www.773grp.com/globalSearch/ONET4291VARGPT/page-1", "ONET4291VARGPT")</f>
        <v>ONET4291VARGPT</v>
      </c>
      <c r="B10982" s="3" t="s">
        <v>90</v>
      </c>
      <c r="C10982" s="5">
        <v>6050</v>
      </c>
      <c r="D10982" s="6">
        <v>4.09</v>
      </c>
      <c r="E10982" t="s">
        <v>63</v>
      </c>
    </row>
    <row r="10983" spans="1:5" x14ac:dyDescent="0.25">
      <c r="A10983" t="str">
        <f>HYPERLINK("https://www.773grp.com/globalSearch/PCA9515APW/page-1", "PCA9515APW")</f>
        <v>PCA9515APW</v>
      </c>
      <c r="B10983" s="3" t="s">
        <v>90</v>
      </c>
      <c r="C10983" s="5">
        <v>530</v>
      </c>
      <c r="D10983" s="6">
        <v>4.54</v>
      </c>
      <c r="E10983" t="s">
        <v>63</v>
      </c>
    </row>
    <row r="10984" spans="1:5" x14ac:dyDescent="0.25">
      <c r="A10984" t="str">
        <f>HYPERLINK("https://www.773grp.com/globalSearch/PCA9515APWG4/page-1", "PCA9515APWG4")</f>
        <v>PCA9515APWG4</v>
      </c>
      <c r="B10984" s="3" t="s">
        <v>90</v>
      </c>
      <c r="C10984" s="5">
        <v>54</v>
      </c>
      <c r="D10984" s="6">
        <v>4.54</v>
      </c>
      <c r="E10984" t="s">
        <v>63</v>
      </c>
    </row>
    <row r="10985" spans="1:5" x14ac:dyDescent="0.25">
      <c r="A10985" t="str">
        <f>HYPERLINK("https://www.773grp.com/globalSearch/ONET4201LDRGET/page-1", "ONET4201LDRGET")</f>
        <v>ONET4201LDRGET</v>
      </c>
      <c r="B10985" s="3" t="s">
        <v>90</v>
      </c>
      <c r="C10985" s="5">
        <v>342</v>
      </c>
      <c r="D10985" s="6">
        <v>4.2300000000000004</v>
      </c>
      <c r="E10985" t="s">
        <v>63</v>
      </c>
    </row>
    <row r="10986" spans="1:5" x14ac:dyDescent="0.25">
      <c r="A10986" t="str">
        <f>HYPERLINK("https://www.773grp.com/globalSearch/ONET4211LDRGET/page-1", "ONET4211LDRGET")</f>
        <v>ONET4211LDRGET</v>
      </c>
      <c r="B10986" s="3" t="s">
        <v>90</v>
      </c>
      <c r="C10986" s="5">
        <v>55755</v>
      </c>
      <c r="D10986" s="6">
        <v>4.2300000000000004</v>
      </c>
      <c r="E10986" t="s">
        <v>63</v>
      </c>
    </row>
    <row r="10987" spans="1:5" x14ac:dyDescent="0.25">
      <c r="A10987" t="str">
        <f>HYPERLINK("https://www.773grp.com/globalSearch/SN65CML100DGKR/page-1", "SN65CML100DGKR")</f>
        <v>SN65CML100DGKR</v>
      </c>
      <c r="B10987" s="3" t="s">
        <v>90</v>
      </c>
      <c r="C10987" s="5">
        <v>7300</v>
      </c>
      <c r="D10987" s="6">
        <v>4.2300000000000004</v>
      </c>
      <c r="E10987" t="s">
        <v>63</v>
      </c>
    </row>
    <row r="10988" spans="1:5" x14ac:dyDescent="0.25">
      <c r="A10988" t="str">
        <f>HYPERLINK("https://www.773grp.com/globalSearch/SN65CML100DR/page-1", "SN65CML100DR")</f>
        <v>SN65CML100DR</v>
      </c>
      <c r="B10988" s="3" t="s">
        <v>90</v>
      </c>
      <c r="C10988" s="5">
        <v>3765</v>
      </c>
      <c r="D10988" s="6">
        <v>4.2300000000000004</v>
      </c>
      <c r="E10988" t="s">
        <v>63</v>
      </c>
    </row>
    <row r="10989" spans="1:5" x14ac:dyDescent="0.25">
      <c r="A10989" t="str">
        <f>HYPERLINK("https://www.773grp.com/globalSearch/TPS2212IDBR/page-1", "TPS2212IDBR")</f>
        <v>TPS2212IDBR</v>
      </c>
      <c r="B10989" s="3" t="s">
        <v>90</v>
      </c>
      <c r="C10989" s="5">
        <v>2000</v>
      </c>
      <c r="D10989" s="6">
        <v>4.28</v>
      </c>
      <c r="E10989" t="s">
        <v>63</v>
      </c>
    </row>
    <row r="10990" spans="1:5" x14ac:dyDescent="0.25">
      <c r="A10990" t="str">
        <f>HYPERLINK("https://www.773grp.com/globalSearch/PCA9518DBT/page-1", "PCA9518DBT")</f>
        <v>PCA9518DBT</v>
      </c>
      <c r="B10990" s="3" t="s">
        <v>90</v>
      </c>
      <c r="C10990" s="5">
        <v>319</v>
      </c>
      <c r="D10990" s="6">
        <v>4.74</v>
      </c>
      <c r="E10990" t="s">
        <v>63</v>
      </c>
    </row>
    <row r="10991" spans="1:5" x14ac:dyDescent="0.25">
      <c r="A10991" t="str">
        <f>HYPERLINK("https://www.773grp.com/globalSearch/PCA9518DW/page-1", "PCA9518DW")</f>
        <v>PCA9518DW</v>
      </c>
      <c r="B10991" s="3" t="s">
        <v>90</v>
      </c>
      <c r="C10991" s="5">
        <v>1430</v>
      </c>
      <c r="D10991" s="6">
        <v>4.74</v>
      </c>
      <c r="E10991" t="s">
        <v>63</v>
      </c>
    </row>
    <row r="10992" spans="1:5" x14ac:dyDescent="0.25">
      <c r="A10992" t="str">
        <f>HYPERLINK("https://www.773grp.com/globalSearch/PCA9518DWT/page-1", "PCA9518DWT")</f>
        <v>PCA9518DWT</v>
      </c>
      <c r="B10992" s="3" t="s">
        <v>90</v>
      </c>
      <c r="C10992" s="5">
        <v>250</v>
      </c>
      <c r="D10992" s="6">
        <v>4.74</v>
      </c>
      <c r="E10992" t="s">
        <v>63</v>
      </c>
    </row>
    <row r="10993" spans="1:5" x14ac:dyDescent="0.25">
      <c r="A10993" t="str">
        <f>HYPERLINK("https://www.773grp.com/globalSearch/SN74GTL2010PWR/page-1", "SN74GTL2010PWR")</f>
        <v>SN74GTL2010PWR</v>
      </c>
      <c r="B10993" s="3" t="str">
        <f>HYPERLINK("https://www.773grp.com/manufacturer/texas-instruments?pageNo=128", "Texas Instruments")</f>
        <v>Texas Instruments</v>
      </c>
      <c r="C10993" s="5">
        <v>13700</v>
      </c>
      <c r="D10993" s="6">
        <v>4.91</v>
      </c>
      <c r="E10993" t="s">
        <v>63</v>
      </c>
    </row>
    <row r="10994" spans="1:5" x14ac:dyDescent="0.25">
      <c r="A10994" t="str">
        <f>HYPERLINK("https://www.773grp.com/globalSearch/SN65CML100DGK/page-1", "SN65CML100DGK")</f>
        <v>SN65CML100DGK</v>
      </c>
      <c r="B10994" s="3" t="s">
        <v>90</v>
      </c>
      <c r="C10994" s="5">
        <v>7479</v>
      </c>
      <c r="D10994" s="6">
        <v>5.0599999999999996</v>
      </c>
      <c r="E10994" t="s">
        <v>63</v>
      </c>
    </row>
    <row r="10995" spans="1:5" x14ac:dyDescent="0.25">
      <c r="A10995" t="str">
        <f>HYPERLINK("https://www.773grp.com/globalSearch/SN65CML100DGKG4/page-1", "SN65CML100DGKG4")</f>
        <v>SN65CML100DGKG4</v>
      </c>
      <c r="B10995" s="3" t="s">
        <v>90</v>
      </c>
      <c r="C10995" s="5">
        <v>10</v>
      </c>
      <c r="D10995" s="6">
        <v>5.0599999999999996</v>
      </c>
      <c r="E10995" t="s">
        <v>63</v>
      </c>
    </row>
    <row r="10996" spans="1:5" x14ac:dyDescent="0.25">
      <c r="A10996" t="str">
        <f>HYPERLINK("https://www.773grp.com/globalSearch/TPS2212IDB/page-1", "TPS2212IDB")</f>
        <v>TPS2212IDB</v>
      </c>
      <c r="B10996" s="3" t="s">
        <v>90</v>
      </c>
      <c r="C10996" s="5">
        <v>1037</v>
      </c>
      <c r="D10996" s="6">
        <v>5.0999999999999996</v>
      </c>
      <c r="E10996" t="s">
        <v>63</v>
      </c>
    </row>
    <row r="10997" spans="1:5" x14ac:dyDescent="0.25">
      <c r="A10997" t="str">
        <f>HYPERLINK("https://www.773grp.com/globalSearch/SN65HVS885PWP/page-1", "SN65HVS885PWP")</f>
        <v>SN65HVS885PWP</v>
      </c>
      <c r="B10997" s="3" t="s">
        <v>90</v>
      </c>
      <c r="C10997" s="5">
        <v>200</v>
      </c>
      <c r="D10997" s="6">
        <v>6.19</v>
      </c>
      <c r="E10997" t="s">
        <v>63</v>
      </c>
    </row>
    <row r="10998" spans="1:5" x14ac:dyDescent="0.25">
      <c r="A10998" t="str">
        <f>HYPERLINK("https://www.773grp.com/globalSearch/SN74LV4320AGKFR/page-1", "SN74LV4320AGKFR")</f>
        <v>SN74LV4320AGKFR</v>
      </c>
      <c r="B10998" s="3" t="s">
        <v>90</v>
      </c>
      <c r="C10998" s="5">
        <v>5000</v>
      </c>
      <c r="D10998" s="6">
        <v>7.23</v>
      </c>
      <c r="E10998" t="s">
        <v>63</v>
      </c>
    </row>
    <row r="10999" spans="1:5" x14ac:dyDescent="0.25">
      <c r="A10999" t="str">
        <f>HYPERLINK("https://www.773grp.com/globalSearch/SN74LV4320AZKFR/page-1", "SN74LV4320AZKFR")</f>
        <v>SN74LV4320AZKFR</v>
      </c>
      <c r="B10999" s="3" t="s">
        <v>90</v>
      </c>
      <c r="C10999" s="5">
        <v>5000</v>
      </c>
      <c r="D10999" s="6">
        <v>7.23</v>
      </c>
      <c r="E10999" t="s">
        <v>63</v>
      </c>
    </row>
    <row r="11000" spans="1:5" x14ac:dyDescent="0.25">
      <c r="A11000" t="str">
        <f>HYPERLINK("https://www.773grp.com/globalSearch/CF4320HZKFR/page-1", "CF4320HZKFR")</f>
        <v>CF4320HZKFR</v>
      </c>
      <c r="B11000" s="3" t="s">
        <v>90</v>
      </c>
      <c r="C11000" s="5">
        <v>786</v>
      </c>
      <c r="D11000" s="6">
        <v>8.0500000000000007</v>
      </c>
      <c r="E11000" t="s">
        <v>63</v>
      </c>
    </row>
    <row r="11001" spans="1:5" x14ac:dyDescent="0.25">
      <c r="A11001" t="str">
        <f>HYPERLINK("https://www.773grp.com/globalSearch/SN74BCT2425PQ/page-1", "SN74BCT2425PQ")</f>
        <v>SN74BCT2425PQ</v>
      </c>
      <c r="B11001" s="3" t="s">
        <v>90</v>
      </c>
      <c r="C11001" s="5">
        <v>7822</v>
      </c>
      <c r="D11001" s="6">
        <v>56.95</v>
      </c>
      <c r="E11001" t="s">
        <v>63</v>
      </c>
    </row>
    <row r="11002" spans="1:5" x14ac:dyDescent="0.25">
      <c r="A11002" t="str">
        <f>HYPERLINK("https://www.773grp.com/globalSearch/SN74ACT2441PQ/page-1", "SN74ACT2441PQ")</f>
        <v>SN74ACT2441PQ</v>
      </c>
      <c r="B11002" s="3" t="s">
        <v>90</v>
      </c>
      <c r="C11002" s="5">
        <v>20516</v>
      </c>
      <c r="D11002" s="6">
        <v>59.06</v>
      </c>
      <c r="E11002" t="s">
        <v>63</v>
      </c>
    </row>
    <row r="11003" spans="1:5" x14ac:dyDescent="0.25">
      <c r="A11003" t="str">
        <f>HYPERLINK("https://www.773grp.com/globalSearch/ZL40511LDE/page-1", "ZL40511LDE")</f>
        <v>ZL40511LDE</v>
      </c>
      <c r="B11003" s="3" t="s">
        <v>116</v>
      </c>
      <c r="C11003" s="5">
        <v>416</v>
      </c>
      <c r="D11003" s="6">
        <v>7.88</v>
      </c>
      <c r="E11003" t="s">
        <v>63</v>
      </c>
    </row>
    <row r="11004" spans="1:5" x14ac:dyDescent="0.25">
      <c r="A11004" t="str">
        <f>HYPERLINK("https://www.773grp.com/globalSearch/ZL40510LDG/page-1", "ZL40510LDG")</f>
        <v>ZL40510LDG</v>
      </c>
      <c r="B11004" s="3" t="s">
        <v>116</v>
      </c>
      <c r="C11004" s="5">
        <v>1083</v>
      </c>
      <c r="D11004" s="6">
        <v>8.2100000000000009</v>
      </c>
      <c r="E11004" t="s">
        <v>63</v>
      </c>
    </row>
    <row r="11005" spans="1:5" x14ac:dyDescent="0.25">
      <c r="A11005" t="str">
        <f>HYPERLINK("https://www.773grp.com/globalSearch/ZL40515LDG/page-1", "ZL40515LDG")</f>
        <v>ZL40515LDG</v>
      </c>
      <c r="B11005" s="3" t="s">
        <v>116</v>
      </c>
      <c r="C11005" s="5">
        <v>92</v>
      </c>
      <c r="D11005" s="6">
        <v>8.33</v>
      </c>
      <c r="E11005" t="s">
        <v>63</v>
      </c>
    </row>
    <row r="11006" spans="1:5" x14ac:dyDescent="0.25">
      <c r="A11006" t="str">
        <f>HYPERLINK("https://www.773grp.com/globalSearch/ZHX1010MV115THTR/page-1", "ZHX1010MV115THTR")</f>
        <v>ZHX1010MV115THTR</v>
      </c>
      <c r="B11006" s="3" t="s">
        <v>121</v>
      </c>
      <c r="C11006" s="5">
        <v>121666</v>
      </c>
      <c r="D11006" s="6">
        <v>3.04</v>
      </c>
      <c r="E11006" t="s">
        <v>63</v>
      </c>
    </row>
    <row r="11007" spans="1:5" x14ac:dyDescent="0.25">
      <c r="A11007" t="str">
        <f>HYPERLINK("https://www.773grp.com/globalSearch/ISO124P/page-1", "ISO124P")</f>
        <v>ISO124P</v>
      </c>
      <c r="B11007" s="3" t="s">
        <v>90</v>
      </c>
      <c r="C11007" s="5">
        <v>3775</v>
      </c>
      <c r="D11007" s="6">
        <v>26.86</v>
      </c>
      <c r="E11007" t="s">
        <v>105</v>
      </c>
    </row>
    <row r="11008" spans="1:5" x14ac:dyDescent="0.25">
      <c r="A11008" t="str">
        <f>HYPERLINK("https://www.773grp.com/globalSearch/ISO122JU/page-1", "ISO122JU")</f>
        <v>ISO122JU</v>
      </c>
      <c r="B11008" s="3" t="s">
        <v>90</v>
      </c>
      <c r="C11008" s="5">
        <v>1953</v>
      </c>
      <c r="D11008" s="6">
        <v>36.15</v>
      </c>
      <c r="E11008" t="s">
        <v>105</v>
      </c>
    </row>
    <row r="11009" spans="1:5" x14ac:dyDescent="0.25">
      <c r="A11009" t="str">
        <f>HYPERLINK("https://www.773grp.com/globalSearch/ISO122P/page-1", "ISO122P")</f>
        <v>ISO122P</v>
      </c>
      <c r="B11009" s="3" t="s">
        <v>90</v>
      </c>
      <c r="C11009" s="5">
        <v>91</v>
      </c>
      <c r="D11009" s="6">
        <v>42.19</v>
      </c>
      <c r="E11009" t="s">
        <v>105</v>
      </c>
    </row>
    <row r="11010" spans="1:5" x14ac:dyDescent="0.25">
      <c r="A11010" t="str">
        <f>HYPERLINK("https://www.773grp.com/globalSearch/ISO121G/page-1", "ISO121G")</f>
        <v>ISO121G</v>
      </c>
      <c r="B11010" s="3" t="str">
        <f>HYPERLINK("https://www.773grp.com/manufacturer/texas-instruments?pageNo=692", "Texas Instruments")</f>
        <v>Texas Instruments</v>
      </c>
      <c r="C11010" s="5">
        <v>1107</v>
      </c>
      <c r="D11010" s="6">
        <v>223.18</v>
      </c>
      <c r="E11010" t="s">
        <v>105</v>
      </c>
    </row>
    <row r="11011" spans="1:5" x14ac:dyDescent="0.25">
      <c r="A11011" t="str">
        <f>HYPERLINK("https://www.773grp.com/globalSearch/ISO121G/page-1", "ISO121G")</f>
        <v>ISO121G</v>
      </c>
      <c r="B11011" s="3" t="str">
        <f>HYPERLINK("https://www.773grp.com/manufacturer/texas-instruments?pageNo=693", "Texas Instruments")</f>
        <v>Texas Instruments</v>
      </c>
      <c r="C11011" s="5">
        <v>306</v>
      </c>
      <c r="D11011" s="6">
        <v>223.18</v>
      </c>
      <c r="E11011" t="s">
        <v>105</v>
      </c>
    </row>
    <row r="11012" spans="1:5" x14ac:dyDescent="0.25">
      <c r="A11012" t="str">
        <f>HYPERLINK("https://www.773grp.com/globalSearch/ISO121G/page-1", "ISO121G")</f>
        <v>ISO121G</v>
      </c>
      <c r="B11012" s="3" t="str">
        <f>HYPERLINK("https://www.773grp.com/manufacturer/texas-instruments?pageNo=694", "Texas Instruments")</f>
        <v>Texas Instruments</v>
      </c>
      <c r="C11012" s="5">
        <v>3</v>
      </c>
      <c r="D11012" s="6">
        <v>223.18</v>
      </c>
      <c r="E11012" t="s">
        <v>105</v>
      </c>
    </row>
    <row r="11013" spans="1:5" x14ac:dyDescent="0.25">
      <c r="A11013" t="str">
        <f>HYPERLINK("https://www.773grp.com/globalSearch/ISO121G/page-1", "ISO121G")</f>
        <v>ISO121G</v>
      </c>
      <c r="B11013" s="3" t="str">
        <f>HYPERLINK("https://www.773grp.com/manufacturer/texas-instruments?pageNo=695", "Texas Instruments")</f>
        <v>Texas Instruments</v>
      </c>
      <c r="C11013" s="5">
        <v>155</v>
      </c>
      <c r="D11013" s="6">
        <v>223.18</v>
      </c>
      <c r="E11013" t="s">
        <v>105</v>
      </c>
    </row>
    <row r="11014" spans="1:5" x14ac:dyDescent="0.25">
      <c r="A11014" t="str">
        <f>HYPERLINK("https://www.773grp.com/globalSearch/ISO100BP/page-1", "ISO100BP")</f>
        <v>ISO100BP</v>
      </c>
      <c r="B11014" s="3" t="str">
        <f>HYPERLINK("https://www.773grp.com/manufacturer/texas-instruments?pageNo=743", "Texas Instruments")</f>
        <v>Texas Instruments</v>
      </c>
      <c r="C11014" s="5">
        <v>6046</v>
      </c>
      <c r="D11014" s="6">
        <v>228.68</v>
      </c>
      <c r="E11014" t="s">
        <v>105</v>
      </c>
    </row>
    <row r="11015" spans="1:5" x14ac:dyDescent="0.25">
      <c r="A11015" t="str">
        <f>HYPERLINK("https://www.773grp.com/globalSearch/ISO100AP/page-1", "ISO100AP")</f>
        <v>ISO100AP</v>
      </c>
      <c r="B11015" s="3" t="str">
        <f>HYPERLINK("https://www.773grp.com/manufacturer/texas-instruments?pageNo=801", "Texas Instruments")</f>
        <v>Texas Instruments</v>
      </c>
      <c r="C11015" s="5">
        <v>1146</v>
      </c>
      <c r="D11015" s="6">
        <v>276.75</v>
      </c>
      <c r="E11015" t="s">
        <v>105</v>
      </c>
    </row>
    <row r="11016" spans="1:5" x14ac:dyDescent="0.25">
      <c r="A11016" t="str">
        <f>HYPERLINK("https://www.773grp.com/globalSearch/ISO121BG/page-1", "ISO121BG")</f>
        <v>ISO121BG</v>
      </c>
      <c r="B11016" s="3" t="str">
        <f>HYPERLINK("https://www.773grp.com/manufacturer/texas-instruments?pageNo=979", "Texas Instruments")</f>
        <v>Texas Instruments</v>
      </c>
      <c r="C11016" s="5">
        <v>169</v>
      </c>
      <c r="D11016" s="6">
        <v>241.23</v>
      </c>
      <c r="E11016" t="s">
        <v>105</v>
      </c>
    </row>
    <row r="11017" spans="1:5" x14ac:dyDescent="0.25">
      <c r="A11017" t="str">
        <f>HYPERLINK("https://www.773grp.com/globalSearch/ISO121BG/page-1", "ISO121BG")</f>
        <v>ISO121BG</v>
      </c>
      <c r="B11017" s="3" t="str">
        <f>HYPERLINK("https://www.773grp.com/manufacturer/texas-instruments?pageNo=980", "Texas Instruments")</f>
        <v>Texas Instruments</v>
      </c>
      <c r="C11017" s="5">
        <v>1007</v>
      </c>
      <c r="D11017" s="6">
        <v>241.23</v>
      </c>
      <c r="E11017" t="s">
        <v>105</v>
      </c>
    </row>
    <row r="11018" spans="1:5" x14ac:dyDescent="0.25">
      <c r="A11018" t="str">
        <f>HYPERLINK("https://www.773grp.com/globalSearch/ISO121BG/page-1", "ISO121BG")</f>
        <v>ISO121BG</v>
      </c>
      <c r="B11018" s="3" t="str">
        <f>HYPERLINK("https://www.773grp.com/manufacturer/texas-instruments?pageNo=981", "Texas Instruments")</f>
        <v>Texas Instruments</v>
      </c>
      <c r="C11018" s="5">
        <v>300</v>
      </c>
      <c r="D11018" s="6">
        <v>241.23</v>
      </c>
      <c r="E11018" t="s">
        <v>105</v>
      </c>
    </row>
    <row r="11019" spans="1:5" x14ac:dyDescent="0.25">
      <c r="A11019" t="str">
        <f>HYPERLINK("https://www.773grp.com/globalSearch/ISO120G-BI/page-1", "ISO120G-BI")</f>
        <v>ISO120G-BI</v>
      </c>
      <c r="B11019" s="3" t="s">
        <v>90</v>
      </c>
      <c r="C11019" s="5">
        <v>55</v>
      </c>
      <c r="D11019" s="6">
        <v>249.6</v>
      </c>
      <c r="E11019" t="s">
        <v>105</v>
      </c>
    </row>
    <row r="11020" spans="1:5" x14ac:dyDescent="0.25">
      <c r="A11020" t="str">
        <f>HYPERLINK("https://www.773grp.com/globalSearch/ISO120G/page-1", "ISO120G")</f>
        <v>ISO120G</v>
      </c>
      <c r="B11020" s="3" t="s">
        <v>90</v>
      </c>
      <c r="C11020" s="5">
        <v>1802</v>
      </c>
      <c r="D11020" s="6">
        <v>250.2</v>
      </c>
      <c r="E11020" t="s">
        <v>105</v>
      </c>
    </row>
    <row r="11021" spans="1:5" x14ac:dyDescent="0.25">
      <c r="A11021" t="str">
        <f>HYPERLINK("https://www.773grp.com/globalSearch/ISO102/page-1", "ISO102")</f>
        <v>ISO102</v>
      </c>
      <c r="B11021" s="3" t="s">
        <v>90</v>
      </c>
      <c r="C11021" s="5">
        <v>1491</v>
      </c>
      <c r="D11021" s="6">
        <v>277.7</v>
      </c>
      <c r="E11021" t="s">
        <v>105</v>
      </c>
    </row>
    <row r="11022" spans="1:5" x14ac:dyDescent="0.25">
      <c r="A11022" t="str">
        <f>HYPERLINK("https://www.773grp.com/globalSearch/ISO102B/page-1", "ISO102B")</f>
        <v>ISO102B</v>
      </c>
      <c r="B11022" s="3" t="s">
        <v>90</v>
      </c>
      <c r="C11022" s="5">
        <v>988</v>
      </c>
      <c r="D11022" s="6">
        <v>292.64999999999998</v>
      </c>
      <c r="E11022" t="s">
        <v>105</v>
      </c>
    </row>
    <row r="11023" spans="1:5" x14ac:dyDescent="0.25">
      <c r="A11023" t="str">
        <f>HYPERLINK("https://www.773grp.com/globalSearch/3650MG/page-1", "3650MG")</f>
        <v>3650MG</v>
      </c>
      <c r="B11023" s="3" t="s">
        <v>90</v>
      </c>
      <c r="C11023" s="5">
        <v>1586</v>
      </c>
      <c r="D11023" s="6">
        <v>522.70000000000005</v>
      </c>
      <c r="E11023" t="s">
        <v>105</v>
      </c>
    </row>
    <row r="11024" spans="1:5" x14ac:dyDescent="0.25">
      <c r="A11024" t="str">
        <f>HYPERLINK("https://www.773grp.com/globalSearch/3650MG/page-1", "3650MG")</f>
        <v>3650MG</v>
      </c>
      <c r="B11024" s="3" t="s">
        <v>90</v>
      </c>
      <c r="C11024" s="5">
        <v>59</v>
      </c>
      <c r="D11024" s="6">
        <v>522.70000000000005</v>
      </c>
      <c r="E11024" t="s">
        <v>105</v>
      </c>
    </row>
    <row r="11025" spans="1:5" x14ac:dyDescent="0.25">
      <c r="A11025" t="str">
        <f>HYPERLINK("https://www.773grp.com/globalSearch/3650HG/page-1", "3650HG")</f>
        <v>3650HG</v>
      </c>
      <c r="B11025" s="3" t="s">
        <v>90</v>
      </c>
      <c r="C11025" s="5">
        <v>5642</v>
      </c>
      <c r="D11025" s="6">
        <v>524.83000000000004</v>
      </c>
      <c r="E11025" t="s">
        <v>105</v>
      </c>
    </row>
    <row r="11026" spans="1:5" x14ac:dyDescent="0.25">
      <c r="A11026" t="str">
        <f>HYPERLINK("https://www.773grp.com/globalSearch/3650JG/page-1", "3650JG")</f>
        <v>3650JG</v>
      </c>
      <c r="B11026" s="3" t="s">
        <v>90</v>
      </c>
      <c r="C11026" s="5">
        <v>628</v>
      </c>
      <c r="D11026" s="6">
        <v>557.94000000000005</v>
      </c>
      <c r="E11026" t="s">
        <v>105</v>
      </c>
    </row>
    <row r="11027" spans="1:5" x14ac:dyDescent="0.25">
      <c r="A11027" t="str">
        <f>HYPERLINK("https://www.773grp.com/globalSearch/3650KG/page-1", "3650KG")</f>
        <v>3650KG</v>
      </c>
      <c r="B11027" s="3" t="s">
        <v>90</v>
      </c>
      <c r="C11027" s="5">
        <v>260</v>
      </c>
      <c r="D11027" s="6">
        <v>588.16</v>
      </c>
      <c r="E11027" t="s">
        <v>105</v>
      </c>
    </row>
    <row r="11028" spans="1:5" x14ac:dyDescent="0.25">
      <c r="A11028" t="str">
        <f>HYPERLINK("https://www.773grp.com/globalSearch/3656JG/page-1", "3656JG")</f>
        <v>3656JG</v>
      </c>
      <c r="B11028" s="3" t="s">
        <v>90</v>
      </c>
      <c r="C11028" s="5">
        <v>9</v>
      </c>
      <c r="D11028" s="6">
        <v>656.74</v>
      </c>
      <c r="E11028" t="s">
        <v>105</v>
      </c>
    </row>
    <row r="11029" spans="1:5" x14ac:dyDescent="0.25">
      <c r="A11029" t="str">
        <f>HYPERLINK("https://www.773grp.com/globalSearch/ISO106/page-1", "ISO106")</f>
        <v>ISO106</v>
      </c>
      <c r="B11029" s="3" t="s">
        <v>90</v>
      </c>
      <c r="C11029" s="5">
        <v>2493</v>
      </c>
      <c r="D11029" s="6">
        <v>671.48</v>
      </c>
      <c r="E11029" t="s">
        <v>105</v>
      </c>
    </row>
    <row r="11030" spans="1:5" x14ac:dyDescent="0.25">
      <c r="A11030" t="str">
        <f>HYPERLINK("https://www.773grp.com/globalSearch/ISO106B/page-1", "ISO106B")</f>
        <v>ISO106B</v>
      </c>
      <c r="B11030" s="3" t="s">
        <v>90</v>
      </c>
      <c r="C11030" s="5">
        <v>2609</v>
      </c>
      <c r="D11030" s="6">
        <v>728.94</v>
      </c>
      <c r="E11030" t="s">
        <v>105</v>
      </c>
    </row>
    <row r="11031" spans="1:5" x14ac:dyDescent="0.25">
      <c r="A11031" t="str">
        <f>HYPERLINK("https://www.773grp.com/globalSearch/TIL305/page-1", "TIL305")</f>
        <v>TIL305</v>
      </c>
      <c r="B11031" s="3" t="s">
        <v>90</v>
      </c>
      <c r="C11031" s="5">
        <v>1</v>
      </c>
      <c r="D11031" s="6">
        <v>9.93</v>
      </c>
      <c r="E11031" t="s">
        <v>103</v>
      </c>
    </row>
    <row r="11032" spans="1:5" x14ac:dyDescent="0.25">
      <c r="A11032" t="str">
        <f>HYPERLINK("https://www.773grp.com/globalSearch/TIL303/page-1", "TIL303")</f>
        <v>TIL303</v>
      </c>
      <c r="B11032" s="3" t="str">
        <f>HYPERLINK("https://www.773grp.com/manufacturer/texas-instruments?pageNo=891", "Texas Instruments")</f>
        <v>Texas Instruments</v>
      </c>
      <c r="C11032" s="5">
        <v>50</v>
      </c>
      <c r="D11032" s="6">
        <v>13.79</v>
      </c>
      <c r="E11032" t="s">
        <v>103</v>
      </c>
    </row>
    <row r="11033" spans="1:5" x14ac:dyDescent="0.25">
      <c r="A11033" t="str">
        <f>HYPERLINK("https://www.773grp.com/globalSearch/TIL302/page-1", "TIL302")</f>
        <v>TIL302</v>
      </c>
      <c r="B11033" s="3" t="s">
        <v>90</v>
      </c>
      <c r="C11033" s="5">
        <v>1268</v>
      </c>
      <c r="D11033" s="6">
        <v>16.54</v>
      </c>
      <c r="E11033" t="s">
        <v>103</v>
      </c>
    </row>
    <row r="11034" spans="1:5" x14ac:dyDescent="0.25">
      <c r="A11034" t="str">
        <f>HYPERLINK("https://www.773grp.com/globalSearch/TIL304/page-1", "TIL304")</f>
        <v>TIL304</v>
      </c>
      <c r="B11034" s="3" t="s">
        <v>90</v>
      </c>
      <c r="C11034" s="5">
        <v>823</v>
      </c>
      <c r="D11034" s="6">
        <v>16.54</v>
      </c>
      <c r="E11034" t="s">
        <v>103</v>
      </c>
    </row>
    <row r="11035" spans="1:5" x14ac:dyDescent="0.25">
      <c r="A11035" t="str">
        <f>HYPERLINK("https://www.773grp.com/globalSearch/SN74GTL2006PW/page-1", "SN74GTL2006PW")</f>
        <v>SN74GTL2006PW</v>
      </c>
      <c r="B11035" s="3" t="str">
        <f>HYPERLINK("https://www.773grp.com/manufacturer/texas-instruments?pageNo=337", "Texas Instruments")</f>
        <v>Texas Instruments</v>
      </c>
      <c r="C11035" s="5">
        <v>27850</v>
      </c>
      <c r="D11035" s="6">
        <v>3.63</v>
      </c>
      <c r="E11035" t="s">
        <v>62</v>
      </c>
    </row>
    <row r="11036" spans="1:5" x14ac:dyDescent="0.25">
      <c r="A11036" t="str">
        <f>HYPERLINK("https://www.773grp.com/globalSearch/SN74GTL2006PWG4/page-1", "SN74GTL2006PWG4")</f>
        <v>SN74GTL2006PWG4</v>
      </c>
      <c r="B11036" s="3" t="str">
        <f>HYPERLINK("https://www.773grp.com/manufacturer/texas-instruments?pageNo=338", "Texas Instruments")</f>
        <v>Texas Instruments</v>
      </c>
      <c r="C11036" s="5">
        <v>350</v>
      </c>
      <c r="D11036" s="6">
        <v>3.63</v>
      </c>
      <c r="E11036" t="s">
        <v>62</v>
      </c>
    </row>
    <row r="11037" spans="1:5" x14ac:dyDescent="0.25">
      <c r="A11037" t="str">
        <f>HYPERLINK("https://www.773grp.com/globalSearch/SN74GTL2007PW/page-1", "SN74GTL2007PW")</f>
        <v>SN74GTL2007PW</v>
      </c>
      <c r="B11037" s="3" t="str">
        <f>HYPERLINK("https://www.773grp.com/manufacturer/texas-instruments?pageNo=339", "Texas Instruments")</f>
        <v>Texas Instruments</v>
      </c>
      <c r="C11037" s="5">
        <v>19749</v>
      </c>
      <c r="D11037" s="6">
        <v>3.63</v>
      </c>
      <c r="E11037" t="s">
        <v>62</v>
      </c>
    </row>
    <row r="11038" spans="1:5" x14ac:dyDescent="0.25">
      <c r="A11038" t="str">
        <f>HYPERLINK("https://www.773grp.com/globalSearch/SN74GTL2107PW/page-1", "SN74GTL2107PW")</f>
        <v>SN74GTL2107PW</v>
      </c>
      <c r="B11038" s="3" t="str">
        <f>HYPERLINK("https://www.773grp.com/manufacturer/texas-instruments?pageNo=340", "Texas Instruments")</f>
        <v>Texas Instruments</v>
      </c>
      <c r="C11038" s="5">
        <v>15634</v>
      </c>
      <c r="D11038" s="6">
        <v>3.63</v>
      </c>
      <c r="E11038" t="s">
        <v>62</v>
      </c>
    </row>
    <row r="11039" spans="1:5" x14ac:dyDescent="0.25">
      <c r="A11039" t="str">
        <f>HYPERLINK("https://www.773grp.com/globalSearch/SN74GTL2107PWG4/page-1", "SN74GTL2107PWG4")</f>
        <v>SN74GTL2107PWG4</v>
      </c>
      <c r="B11039" s="3" t="str">
        <f>HYPERLINK("https://www.773grp.com/manufacturer/texas-instruments?pageNo=341", "Texas Instruments")</f>
        <v>Texas Instruments</v>
      </c>
      <c r="C11039" s="5">
        <v>143</v>
      </c>
      <c r="D11039" s="6">
        <v>3.63</v>
      </c>
      <c r="E11039" t="s">
        <v>62</v>
      </c>
    </row>
    <row r="11040" spans="1:5" x14ac:dyDescent="0.25">
      <c r="A11040" t="str">
        <f>HYPERLINK("https://www.773grp.com/globalSearch/SN65LVDS19DRFR/page-1", "SN65LVDS19DRFR")</f>
        <v>SN65LVDS19DRFR</v>
      </c>
      <c r="B11040" s="3" t="s">
        <v>90</v>
      </c>
      <c r="C11040" s="5">
        <v>15000</v>
      </c>
      <c r="D11040" s="6">
        <v>4.2300000000000004</v>
      </c>
      <c r="E11040" t="s">
        <v>62</v>
      </c>
    </row>
    <row r="11041" spans="1:5" x14ac:dyDescent="0.25">
      <c r="A11041" t="str">
        <f>HYPERLINK("https://www.773grp.com/globalSearch/SN65LVP19DRFR/page-1", "SN65LVP19DRFR")</f>
        <v>SN65LVP19DRFR</v>
      </c>
      <c r="B11041" s="3" t="s">
        <v>90</v>
      </c>
      <c r="C11041" s="5">
        <v>12000</v>
      </c>
      <c r="D11041" s="6">
        <v>4.2300000000000004</v>
      </c>
      <c r="E11041" t="s">
        <v>62</v>
      </c>
    </row>
    <row r="11042" spans="1:5" x14ac:dyDescent="0.25">
      <c r="A11042" t="str">
        <f>HYPERLINK("https://www.773grp.com/globalSearch/SN65LVDS19DRFT/page-1", "SN65LVDS19DRFT")</f>
        <v>SN65LVDS19DRFT</v>
      </c>
      <c r="B11042" s="3" t="s">
        <v>90</v>
      </c>
      <c r="C11042" s="5">
        <v>17515</v>
      </c>
      <c r="D11042" s="6">
        <v>4.93</v>
      </c>
      <c r="E11042" t="s">
        <v>62</v>
      </c>
    </row>
    <row r="11043" spans="1:5" x14ac:dyDescent="0.25">
      <c r="A11043" t="str">
        <f>HYPERLINK("https://www.773grp.com/globalSearch/SN65LVP19DRFT/page-1", "SN65LVP19DRFT")</f>
        <v>SN65LVP19DRFT</v>
      </c>
      <c r="B11043" s="3" t="s">
        <v>90</v>
      </c>
      <c r="C11043" s="5">
        <v>3000</v>
      </c>
      <c r="D11043" s="6">
        <v>4.93</v>
      </c>
      <c r="E11043" t="s">
        <v>62</v>
      </c>
    </row>
    <row r="11044" spans="1:5" x14ac:dyDescent="0.25">
      <c r="A11044" t="str">
        <f>HYPERLINK("https://www.773grp.com/globalSearch/SN65LVDS16DRFR/page-1", "SN65LVDS16DRFR")</f>
        <v>SN65LVDS16DRFR</v>
      </c>
      <c r="B11044" s="3" t="s">
        <v>90</v>
      </c>
      <c r="C11044" s="5">
        <v>570</v>
      </c>
      <c r="D11044" s="6">
        <v>5.35</v>
      </c>
      <c r="E11044" t="s">
        <v>62</v>
      </c>
    </row>
    <row r="11045" spans="1:5" x14ac:dyDescent="0.25">
      <c r="A11045" t="str">
        <f>HYPERLINK("https://www.773grp.com/globalSearch/SN65LVDS18DRFR/page-1", "SN65LVDS18DRFR")</f>
        <v>SN65LVDS18DRFR</v>
      </c>
      <c r="B11045" s="3" t="s">
        <v>90</v>
      </c>
      <c r="C11045" s="5">
        <v>9000</v>
      </c>
      <c r="D11045" s="6">
        <v>5.35</v>
      </c>
      <c r="E11045" t="s">
        <v>62</v>
      </c>
    </row>
    <row r="11046" spans="1:5" x14ac:dyDescent="0.25">
      <c r="A11046" t="str">
        <f>HYPERLINK("https://www.773grp.com/globalSearch/SN65LVDS20DRFR/page-1", "SN65LVDS20DRFR")</f>
        <v>SN65LVDS20DRFR</v>
      </c>
      <c r="B11046" s="3" t="s">
        <v>90</v>
      </c>
      <c r="C11046" s="5">
        <v>5880</v>
      </c>
      <c r="D11046" s="6">
        <v>5.35</v>
      </c>
      <c r="E11046" t="s">
        <v>62</v>
      </c>
    </row>
    <row r="11047" spans="1:5" x14ac:dyDescent="0.25">
      <c r="A11047" t="str">
        <f>HYPERLINK("https://www.773grp.com/globalSearch/SN65LVP17DRFR/page-1", "SN65LVP17DRFR")</f>
        <v>SN65LVP17DRFR</v>
      </c>
      <c r="B11047" s="3" t="s">
        <v>90</v>
      </c>
      <c r="C11047" s="5">
        <v>12000</v>
      </c>
      <c r="D11047" s="6">
        <v>5.35</v>
      </c>
      <c r="E11047" t="s">
        <v>62</v>
      </c>
    </row>
    <row r="11048" spans="1:5" x14ac:dyDescent="0.25">
      <c r="A11048" t="str">
        <f>HYPERLINK("https://www.773grp.com/globalSearch/SN65LVDS16DRFT/page-1", "SN65LVDS16DRFT")</f>
        <v>SN65LVDS16DRFT</v>
      </c>
      <c r="B11048" s="3" t="s">
        <v>90</v>
      </c>
      <c r="C11048" s="5">
        <v>2500</v>
      </c>
      <c r="D11048" s="6">
        <v>6.19</v>
      </c>
      <c r="E11048" t="s">
        <v>62</v>
      </c>
    </row>
    <row r="11049" spans="1:5" x14ac:dyDescent="0.25">
      <c r="A11049" t="str">
        <f>HYPERLINK("https://www.773grp.com/globalSearch/SN65LVDS18DRFT/page-1", "SN65LVDS18DRFT")</f>
        <v>SN65LVDS18DRFT</v>
      </c>
      <c r="B11049" s="3" t="s">
        <v>90</v>
      </c>
      <c r="C11049" s="5">
        <v>3709</v>
      </c>
      <c r="D11049" s="6">
        <v>6.19</v>
      </c>
      <c r="E11049" t="s">
        <v>62</v>
      </c>
    </row>
    <row r="11050" spans="1:5" x14ac:dyDescent="0.25">
      <c r="A11050" t="str">
        <f>HYPERLINK("https://www.773grp.com/globalSearch/SN65LVDS20DRFT/page-1", "SN65LVDS20DRFT")</f>
        <v>SN65LVDS20DRFT</v>
      </c>
      <c r="B11050" s="3" t="s">
        <v>90</v>
      </c>
      <c r="C11050" s="5">
        <v>4175</v>
      </c>
      <c r="D11050" s="6">
        <v>6.19</v>
      </c>
      <c r="E11050" t="s">
        <v>62</v>
      </c>
    </row>
    <row r="11051" spans="1:5" x14ac:dyDescent="0.25">
      <c r="A11051" t="str">
        <f>HYPERLINK("https://www.773grp.com/globalSearch/SN65LVP17DRFT/page-1", "SN65LVP17DRFT")</f>
        <v>SN65LVP17DRFT</v>
      </c>
      <c r="B11051" s="3" t="s">
        <v>90</v>
      </c>
      <c r="C11051" s="5">
        <v>3005</v>
      </c>
      <c r="D11051" s="6">
        <v>6.19</v>
      </c>
      <c r="E11051" t="s">
        <v>62</v>
      </c>
    </row>
    <row r="11052" spans="1:5" x14ac:dyDescent="0.25">
      <c r="A11052" t="str">
        <f>HYPERLINK("https://www.773grp.com/globalSearch/SN65LVP20DRFR/page-1", "SN65LVP20DRFR")</f>
        <v>SN65LVP20DRFR</v>
      </c>
      <c r="B11052" s="3" t="s">
        <v>90</v>
      </c>
      <c r="C11052" s="5">
        <v>389880</v>
      </c>
      <c r="D11052" s="6">
        <v>6.33</v>
      </c>
      <c r="E11052" t="s">
        <v>62</v>
      </c>
    </row>
    <row r="11053" spans="1:5" x14ac:dyDescent="0.25">
      <c r="A11053" t="str">
        <f>HYPERLINK("https://www.773grp.com/globalSearch/SN65LVP20DRFT/page-1", "SN65LVP20DRFT")</f>
        <v>SN65LVP20DRFT</v>
      </c>
      <c r="B11053" s="3" t="s">
        <v>90</v>
      </c>
      <c r="C11053" s="5">
        <v>54286</v>
      </c>
      <c r="D11053" s="6">
        <v>7.31</v>
      </c>
      <c r="E11053" t="s">
        <v>62</v>
      </c>
    </row>
    <row r="11054" spans="1:5" x14ac:dyDescent="0.25">
      <c r="A11054" t="str">
        <f>HYPERLINK("https://www.773grp.com/globalSearch/SN100KT5542DW/page-1", "SN100KT5542DW")</f>
        <v>SN100KT5542DW</v>
      </c>
      <c r="B11054" s="3" t="str">
        <f>HYPERLINK("https://www.773grp.com/manufacturer/texas-instruments?pageNo=352", "Texas Instruments")</f>
        <v>Texas Instruments</v>
      </c>
      <c r="C11054" s="5">
        <v>3184</v>
      </c>
      <c r="D11054" s="6">
        <v>12.74</v>
      </c>
      <c r="E11054" t="s">
        <v>62</v>
      </c>
    </row>
    <row r="11055" spans="1:5" x14ac:dyDescent="0.25">
      <c r="A11055" t="str">
        <f>HYPERLINK("https://www.773grp.com/globalSearch/SN100KT5541DW/page-1", "SN100KT5541DW")</f>
        <v>SN100KT5541DW</v>
      </c>
      <c r="B11055" s="3" t="str">
        <f>HYPERLINK("https://www.773grp.com/manufacturer/texas-instruments?pageNo=923", "Texas Instruments")</f>
        <v>Texas Instruments</v>
      </c>
      <c r="C11055" s="5">
        <v>2342</v>
      </c>
      <c r="D11055" s="6">
        <v>13.88</v>
      </c>
      <c r="E11055" t="s">
        <v>62</v>
      </c>
    </row>
    <row r="11056" spans="1:5" x14ac:dyDescent="0.25">
      <c r="A11056" t="str">
        <f>HYPERLINK("https://www.773grp.com/globalSearch/SN100KT5541NT/page-1", "SN100KT5541NT")</f>
        <v>SN100KT5541NT</v>
      </c>
      <c r="B11056" s="3" t="str">
        <f>HYPERLINK("https://www.773grp.com/manufacturer/texas-instruments?pageNo=924", "Texas Instruments")</f>
        <v>Texas Instruments</v>
      </c>
      <c r="C11056" s="5">
        <v>2159</v>
      </c>
      <c r="D11056" s="6">
        <v>13.88</v>
      </c>
      <c r="E11056" t="s">
        <v>62</v>
      </c>
    </row>
    <row r="11057" spans="1:5" x14ac:dyDescent="0.25">
      <c r="A11057" t="str">
        <f>HYPERLINK("https://www.773grp.com/globalSearch/SN100KT5542NT/page-1", "SN100KT5542NT")</f>
        <v>SN100KT5542NT</v>
      </c>
      <c r="B11057" s="3" t="str">
        <f>HYPERLINK("https://www.773grp.com/manufacturer/texas-instruments?pageNo=925", "Texas Instruments")</f>
        <v>Texas Instruments</v>
      </c>
      <c r="C11057" s="5">
        <v>3860</v>
      </c>
      <c r="D11057" s="6">
        <v>13.88</v>
      </c>
      <c r="E11057" t="s">
        <v>62</v>
      </c>
    </row>
    <row r="11058" spans="1:5" x14ac:dyDescent="0.25">
      <c r="A11058" t="str">
        <f>HYPERLINK("https://www.773grp.com/globalSearch/SN10KHT5540DW/page-1", "SN10KHT5540DW")</f>
        <v>SN10KHT5540DW</v>
      </c>
      <c r="B11058" s="3" t="str">
        <f>HYPERLINK("https://www.773grp.com/manufacturer/texas-instruments?pageNo=926", "Texas Instruments")</f>
        <v>Texas Instruments</v>
      </c>
      <c r="C11058" s="5">
        <v>765</v>
      </c>
      <c r="D11058" s="6">
        <v>13.88</v>
      </c>
      <c r="E11058" t="s">
        <v>62</v>
      </c>
    </row>
    <row r="11059" spans="1:5" x14ac:dyDescent="0.25">
      <c r="A11059" t="str">
        <f>HYPERLINK("https://www.773grp.com/globalSearch/SN10KHT5541DWR/page-1", "SN10KHT5541DWR")</f>
        <v>SN10KHT5541DWR</v>
      </c>
      <c r="B11059" s="3" t="s">
        <v>90</v>
      </c>
      <c r="C11059" s="5">
        <v>8000</v>
      </c>
      <c r="D11059" s="6">
        <v>14.46</v>
      </c>
      <c r="E11059" t="s">
        <v>62</v>
      </c>
    </row>
    <row r="11060" spans="1:5" x14ac:dyDescent="0.25">
      <c r="A11060" t="str">
        <f>HYPERLINK("https://www.773grp.com/globalSearch/SN10KHT5542DW/page-1", "SN10KHT5542DW")</f>
        <v>SN10KHT5542DW</v>
      </c>
      <c r="B11060" s="3" t="s">
        <v>90</v>
      </c>
      <c r="C11060" s="5">
        <v>762</v>
      </c>
      <c r="D11060" s="6">
        <v>14.46</v>
      </c>
      <c r="E11060" t="s">
        <v>62</v>
      </c>
    </row>
    <row r="11061" spans="1:5" x14ac:dyDescent="0.25">
      <c r="A11061" t="str">
        <f>HYPERLINK("https://www.773grp.com/globalSearch/SN10KHT5542NT/page-1", "SN10KHT5542NT")</f>
        <v>SN10KHT5542NT</v>
      </c>
      <c r="B11061" s="3" t="s">
        <v>90</v>
      </c>
      <c r="C11061" s="5">
        <v>10891</v>
      </c>
      <c r="D11061" s="6">
        <v>14.46</v>
      </c>
      <c r="E11061" t="s">
        <v>62</v>
      </c>
    </row>
    <row r="11062" spans="1:5" x14ac:dyDescent="0.25">
      <c r="A11062" t="str">
        <f>HYPERLINK("https://www.773grp.com/globalSearch/SN10KHT5578NT/page-1", "SN10KHT5578NT")</f>
        <v>SN10KHT5578NT</v>
      </c>
      <c r="B11062" s="3" t="s">
        <v>90</v>
      </c>
      <c r="C11062" s="5">
        <v>12556</v>
      </c>
      <c r="D11062" s="6">
        <v>16.059999999999999</v>
      </c>
      <c r="E11062" t="s">
        <v>62</v>
      </c>
    </row>
    <row r="11063" spans="1:5" x14ac:dyDescent="0.25">
      <c r="A11063" t="str">
        <f>HYPERLINK("https://www.773grp.com/globalSearch/SN100KT5574DW/page-1", "SN100KT5574DW")</f>
        <v>SN100KT5574DW</v>
      </c>
      <c r="B11063" s="3" t="s">
        <v>90</v>
      </c>
      <c r="C11063" s="5">
        <v>4381</v>
      </c>
      <c r="D11063" s="6">
        <v>16.45</v>
      </c>
      <c r="E11063" t="s">
        <v>62</v>
      </c>
    </row>
    <row r="11064" spans="1:5" x14ac:dyDescent="0.25">
      <c r="A11064" t="str">
        <f>HYPERLINK("https://www.773grp.com/globalSearch/SN10KHT5543DWR/page-1", "SN10KHT5543DWR")</f>
        <v>SN10KHT5543DWR</v>
      </c>
      <c r="B11064" s="3" t="s">
        <v>90</v>
      </c>
      <c r="C11064" s="5">
        <v>6000</v>
      </c>
      <c r="D11064" s="6">
        <v>17.350000000000001</v>
      </c>
      <c r="E11064" t="s">
        <v>62</v>
      </c>
    </row>
    <row r="11065" spans="1:5" x14ac:dyDescent="0.25">
      <c r="A11065" t="str">
        <f>HYPERLINK("https://www.773grp.com/globalSearch/SN10KHT5543NT/page-1", "SN10KHT5543NT")</f>
        <v>SN10KHT5543NT</v>
      </c>
      <c r="B11065" s="3" t="s">
        <v>90</v>
      </c>
      <c r="C11065" s="5">
        <v>8579</v>
      </c>
      <c r="D11065" s="6">
        <v>17.350000000000001</v>
      </c>
      <c r="E11065" t="s">
        <v>62</v>
      </c>
    </row>
    <row r="11066" spans="1:5" x14ac:dyDescent="0.25">
      <c r="A11066" t="str">
        <f>HYPERLINK("https://www.773grp.com/globalSearch/SN10KHT5574NT/page-1", "SN10KHT5574NT")</f>
        <v>SN10KHT5574NT</v>
      </c>
      <c r="B11066" s="3" t="s">
        <v>90</v>
      </c>
      <c r="C11066" s="5">
        <v>39976</v>
      </c>
      <c r="D11066" s="6">
        <v>19.29</v>
      </c>
      <c r="E11066" t="s">
        <v>62</v>
      </c>
    </row>
    <row r="11067" spans="1:5" x14ac:dyDescent="0.25">
      <c r="A11067" t="str">
        <f>HYPERLINK("https://www.773grp.com/globalSearch/SN10KHT5540NT/page-1", "SN10KHT5540NT")</f>
        <v>SN10KHT5540NT</v>
      </c>
      <c r="B11067" s="3" t="s">
        <v>90</v>
      </c>
      <c r="C11067" s="5">
        <v>1336</v>
      </c>
      <c r="D11067" s="6">
        <v>20.73</v>
      </c>
      <c r="E11067" t="s">
        <v>62</v>
      </c>
    </row>
    <row r="11068" spans="1:5" x14ac:dyDescent="0.25">
      <c r="A11068" t="str">
        <f>HYPERLINK("https://www.773grp.com/globalSearch/SN10KHT5574DW/page-1", "SN10KHT5574DW")</f>
        <v>SN10KHT5574DW</v>
      </c>
      <c r="B11068" s="3" t="s">
        <v>90</v>
      </c>
      <c r="C11068" s="5">
        <v>10671</v>
      </c>
      <c r="D11068" s="6">
        <v>21.1</v>
      </c>
      <c r="E11068" t="s">
        <v>62</v>
      </c>
    </row>
    <row r="11069" spans="1:5" x14ac:dyDescent="0.25">
      <c r="A11069" t="str">
        <f>HYPERLINK("https://www.773grp.com/globalSearch/SN10KHT5541NT/page-1", "SN10KHT5541NT")</f>
        <v>SN10KHT5541NT</v>
      </c>
      <c r="B11069" s="3" t="s">
        <v>90</v>
      </c>
      <c r="C11069" s="5">
        <v>8200</v>
      </c>
      <c r="D11069" s="6">
        <v>21.49</v>
      </c>
      <c r="E11069" t="s">
        <v>62</v>
      </c>
    </row>
    <row r="11070" spans="1:5" x14ac:dyDescent="0.25">
      <c r="A11070" t="str">
        <f>HYPERLINK("https://www.773grp.com/globalSearch/SN10KHT5541DW/page-1", "SN10KHT5541DW")</f>
        <v>SN10KHT5541DW</v>
      </c>
      <c r="B11070" s="3" t="s">
        <v>90</v>
      </c>
      <c r="C11070" s="5">
        <v>15598</v>
      </c>
      <c r="D11070" s="6">
        <v>22.7</v>
      </c>
      <c r="E11070" t="s">
        <v>62</v>
      </c>
    </row>
    <row r="11071" spans="1:5" x14ac:dyDescent="0.25">
      <c r="A11071" t="str">
        <f>HYPERLINK("https://www.773grp.com/globalSearch/SN10KHT5543DW/page-1", "SN10KHT5543DW")</f>
        <v>SN10KHT5543DW</v>
      </c>
      <c r="B11071" s="3" t="s">
        <v>90</v>
      </c>
      <c r="C11071" s="5">
        <v>11993</v>
      </c>
      <c r="D11071" s="6">
        <v>22.7</v>
      </c>
      <c r="E11071" t="s">
        <v>62</v>
      </c>
    </row>
    <row r="11072" spans="1:5" x14ac:dyDescent="0.25">
      <c r="A11072" t="str">
        <f>HYPERLINK("https://www.773grp.com/globalSearch/SN10KHT5578DWR/page-1", "SN10KHT5578DWR")</f>
        <v>SN10KHT5578DWR</v>
      </c>
      <c r="B11072" s="3" t="s">
        <v>90</v>
      </c>
      <c r="C11072" s="5">
        <v>10000</v>
      </c>
      <c r="D11072" s="6">
        <v>36.36</v>
      </c>
      <c r="E11072" t="s">
        <v>62</v>
      </c>
    </row>
    <row r="11073" spans="1:5" x14ac:dyDescent="0.25">
      <c r="A11073" t="str">
        <f>HYPERLINK("https://www.773grp.com/globalSearch/SN10KHT5578DW/page-1", "SN10KHT5578DW")</f>
        <v>SN10KHT5578DW</v>
      </c>
      <c r="B11073" s="3" t="s">
        <v>90</v>
      </c>
      <c r="C11073" s="5">
        <v>6078</v>
      </c>
      <c r="D11073" s="6">
        <v>51.93</v>
      </c>
      <c r="E11073" t="s">
        <v>62</v>
      </c>
    </row>
    <row r="11074" spans="1:5" x14ac:dyDescent="0.25">
      <c r="A11074" t="str">
        <f>HYPERLINK("https://www.773grp.com/globalSearch/TRSF3221CPWR/page-1", "TRSF3221CPWR")</f>
        <v>TRSF3221CPWR</v>
      </c>
      <c r="B11074" s="3" t="str">
        <f>HYPERLINK("https://www.773grp.com/manufacturer/texas-instruments?pageNo=211", "Texas Instruments")</f>
        <v>Texas Instruments</v>
      </c>
      <c r="C11074" s="5">
        <v>4000</v>
      </c>
      <c r="D11074" s="6">
        <v>3.95</v>
      </c>
      <c r="E11074" t="s">
        <v>18</v>
      </c>
    </row>
    <row r="11075" spans="1:5" x14ac:dyDescent="0.25">
      <c r="A11075" t="str">
        <f>HYPERLINK("https://www.773grp.com/globalSearch/TRSF3221IPWR/page-1", "TRSF3221IPWR")</f>
        <v>TRSF3221IPWR</v>
      </c>
      <c r="B11075" s="3" t="str">
        <f>HYPERLINK("https://www.773grp.com/manufacturer/texas-instruments?pageNo=212", "Texas Instruments")</f>
        <v>Texas Instruments</v>
      </c>
      <c r="C11075" s="5">
        <v>2000</v>
      </c>
      <c r="D11075" s="6">
        <v>3.95</v>
      </c>
      <c r="E11075" t="s">
        <v>18</v>
      </c>
    </row>
    <row r="11076" spans="1:5" x14ac:dyDescent="0.25">
      <c r="A11076" t="str">
        <f>HYPERLINK("https://www.773grp.com/globalSearch/SN65LBC179P/page-1", "SN65LBC179P")</f>
        <v>SN65LBC179P</v>
      </c>
      <c r="B11076" s="3" t="str">
        <f>HYPERLINK("https://www.773grp.com/manufacturer/texas-instruments?pageNo=247", "Texas Instruments")</f>
        <v>Texas Instruments</v>
      </c>
      <c r="C11076" s="5">
        <v>3285</v>
      </c>
      <c r="D11076" s="6">
        <v>3.6</v>
      </c>
      <c r="E11076" t="s">
        <v>18</v>
      </c>
    </row>
    <row r="11077" spans="1:5" x14ac:dyDescent="0.25">
      <c r="A11077" t="str">
        <f>HYPERLINK("https://www.773grp.com/globalSearch/LT1030CDR/page-1", "LT1030CDR")</f>
        <v>LT1030CDR</v>
      </c>
      <c r="B11077" s="3" t="str">
        <f>HYPERLINK("https://www.773grp.com/manufacturer/texas-instruments?pageNo=281", "Texas Instruments")</f>
        <v>Texas Instruments</v>
      </c>
      <c r="C11077" s="5">
        <v>33397</v>
      </c>
      <c r="D11077" s="6">
        <v>3.63</v>
      </c>
      <c r="E11077" t="s">
        <v>18</v>
      </c>
    </row>
    <row r="11078" spans="1:5" x14ac:dyDescent="0.25">
      <c r="A11078" t="str">
        <f>HYPERLINK("https://www.773grp.com/globalSearch/LT1030CDRE4/page-1", "LT1030CDRE4")</f>
        <v>LT1030CDRE4</v>
      </c>
      <c r="B11078" s="3" t="str">
        <f>HYPERLINK("https://www.773grp.com/manufacturer/texas-instruments?pageNo=282", "Texas Instruments")</f>
        <v>Texas Instruments</v>
      </c>
      <c r="C11078" s="5">
        <v>5000</v>
      </c>
      <c r="D11078" s="6">
        <v>3.63</v>
      </c>
      <c r="E11078" t="s">
        <v>18</v>
      </c>
    </row>
    <row r="11079" spans="1:5" x14ac:dyDescent="0.25">
      <c r="A11079" t="str">
        <f>HYPERLINK("https://www.773grp.com/globalSearch/MAX208IDB/page-1", "MAX208IDB")</f>
        <v>MAX208IDB</v>
      </c>
      <c r="B11079" s="3" t="str">
        <f>HYPERLINK("https://www.773grp.com/manufacturer/texas-instruments?pageNo=285", "Texas Instruments")</f>
        <v>Texas Instruments</v>
      </c>
      <c r="C11079" s="5">
        <v>120</v>
      </c>
      <c r="D11079" s="6">
        <v>3.63</v>
      </c>
      <c r="E11079" t="s">
        <v>18</v>
      </c>
    </row>
    <row r="11080" spans="1:5" x14ac:dyDescent="0.25">
      <c r="A11080" t="str">
        <f>HYPERLINK("https://www.773grp.com/globalSearch/MAX3222CDBR/page-1", "MAX3222CDBR")</f>
        <v>MAX3222CDBR</v>
      </c>
      <c r="B11080" s="3" t="str">
        <f>HYPERLINK("https://www.773grp.com/manufacturer/texas-instruments?pageNo=286", "Texas Instruments")</f>
        <v>Texas Instruments</v>
      </c>
      <c r="C11080" s="5">
        <v>957985</v>
      </c>
      <c r="D11080" s="6">
        <v>3.63</v>
      </c>
      <c r="E11080" t="s">
        <v>18</v>
      </c>
    </row>
    <row r="11081" spans="1:5" x14ac:dyDescent="0.25">
      <c r="A11081" t="str">
        <f>HYPERLINK("https://www.773grp.com/globalSearch/MAX3222EIDWR/page-1", "MAX3222EIDWR")</f>
        <v>MAX3222EIDWR</v>
      </c>
      <c r="B11081" s="3" t="str">
        <f>HYPERLINK("https://www.773grp.com/manufacturer/texas-instruments?pageNo=288", "Texas Instruments")</f>
        <v>Texas Instruments</v>
      </c>
      <c r="C11081" s="5">
        <v>5800</v>
      </c>
      <c r="D11081" s="6">
        <v>3.63</v>
      </c>
      <c r="E11081" t="s">
        <v>18</v>
      </c>
    </row>
    <row r="11082" spans="1:5" x14ac:dyDescent="0.25">
      <c r="A11082" t="str">
        <f>HYPERLINK("https://www.773grp.com/globalSearch/MAX3222IDWR/page-1", "MAX3222IDWR")</f>
        <v>MAX3222IDWR</v>
      </c>
      <c r="B11082" s="3" t="str">
        <f>HYPERLINK("https://www.773grp.com/manufacturer/texas-instruments?pageNo=290", "Texas Instruments")</f>
        <v>Texas Instruments</v>
      </c>
      <c r="C11082" s="5">
        <v>4000</v>
      </c>
      <c r="D11082" s="6">
        <v>3.63</v>
      </c>
      <c r="E11082" t="s">
        <v>18</v>
      </c>
    </row>
    <row r="11083" spans="1:5" x14ac:dyDescent="0.25">
      <c r="A11083" t="str">
        <f>HYPERLINK("https://www.773grp.com/globalSearch/MAX3222IPWR/page-1", "MAX3222IPWR")</f>
        <v>MAX3222IPWR</v>
      </c>
      <c r="B11083" s="3" t="str">
        <f>HYPERLINK("https://www.773grp.com/manufacturer/texas-instruments?pageNo=291", "Texas Instruments")</f>
        <v>Texas Instruments</v>
      </c>
      <c r="C11083" s="5">
        <v>2000</v>
      </c>
      <c r="D11083" s="6">
        <v>3.63</v>
      </c>
      <c r="E11083" t="s">
        <v>18</v>
      </c>
    </row>
    <row r="11084" spans="1:5" x14ac:dyDescent="0.25">
      <c r="A11084" t="str">
        <f>HYPERLINK("https://www.773grp.com/globalSearch/MAX3227EIDBR/page-1", "MAX3227EIDBR")</f>
        <v>MAX3227EIDBR</v>
      </c>
      <c r="B11084" s="3" t="str">
        <f>HYPERLINK("https://www.773grp.com/manufacturer/texas-instruments?pageNo=292", "Texas Instruments")</f>
        <v>Texas Instruments</v>
      </c>
      <c r="C11084" s="5">
        <v>1700</v>
      </c>
      <c r="D11084" s="6">
        <v>3.63</v>
      </c>
      <c r="E11084" t="s">
        <v>18</v>
      </c>
    </row>
    <row r="11085" spans="1:5" x14ac:dyDescent="0.25">
      <c r="A11085" t="str">
        <f>HYPERLINK("https://www.773grp.com/globalSearch/MAX3238CPW/page-1", "MAX3238CPW")</f>
        <v>MAX3238CPW</v>
      </c>
      <c r="B11085" s="3" t="str">
        <f>HYPERLINK("https://www.773grp.com/manufacturer/texas-instruments?pageNo=294", "Texas Instruments")</f>
        <v>Texas Instruments</v>
      </c>
      <c r="C11085" s="5">
        <v>148305</v>
      </c>
      <c r="D11085" s="6">
        <v>3.63</v>
      </c>
      <c r="E11085" t="s">
        <v>18</v>
      </c>
    </row>
    <row r="11086" spans="1:5" x14ac:dyDescent="0.25">
      <c r="A11086" t="str">
        <f>HYPERLINK("https://www.773grp.com/globalSearch/MAX3238CPWG4/page-1", "MAX3238CPWG4")</f>
        <v>MAX3238CPWG4</v>
      </c>
      <c r="B11086" s="3" t="str">
        <f>HYPERLINK("https://www.773grp.com/manufacturer/texas-instruments?pageNo=295", "Texas Instruments")</f>
        <v>Texas Instruments</v>
      </c>
      <c r="C11086" s="5">
        <v>255</v>
      </c>
      <c r="D11086" s="6">
        <v>3.63</v>
      </c>
      <c r="E11086" t="s">
        <v>18</v>
      </c>
    </row>
    <row r="11087" spans="1:5" x14ac:dyDescent="0.25">
      <c r="A11087" t="str">
        <f>HYPERLINK("https://www.773grp.com/globalSearch/MAX3238ECDW/page-1", "MAX3238ECDW")</f>
        <v>MAX3238ECDW</v>
      </c>
      <c r="B11087" s="3" t="str">
        <f>HYPERLINK("https://www.773grp.com/manufacturer/texas-instruments?pageNo=296", "Texas Instruments")</f>
        <v>Texas Instruments</v>
      </c>
      <c r="C11087" s="5">
        <v>2140</v>
      </c>
      <c r="D11087" s="6">
        <v>3.63</v>
      </c>
      <c r="E11087" t="s">
        <v>18</v>
      </c>
    </row>
    <row r="11088" spans="1:5" x14ac:dyDescent="0.25">
      <c r="A11088" t="str">
        <f>HYPERLINK("https://www.773grp.com/globalSearch/MAX3238ECPW/page-1", "MAX3238ECPW")</f>
        <v>MAX3238ECPW</v>
      </c>
      <c r="B11088" s="3" t="str">
        <f>HYPERLINK("https://www.773grp.com/manufacturer/texas-instruments?pageNo=297", "Texas Instruments")</f>
        <v>Texas Instruments</v>
      </c>
      <c r="C11088" s="5">
        <v>715</v>
      </c>
      <c r="D11088" s="6">
        <v>3.63</v>
      </c>
      <c r="E11088" t="s">
        <v>18</v>
      </c>
    </row>
    <row r="11089" spans="1:5" x14ac:dyDescent="0.25">
      <c r="A11089" t="str">
        <f>HYPERLINK("https://www.773grp.com/globalSearch/SN65175DR/page-1", "SN65175DR")</f>
        <v>SN65175DR</v>
      </c>
      <c r="B11089" s="3" t="str">
        <f>HYPERLINK("https://www.773grp.com/manufacturer/texas-instruments?pageNo=313", "Texas Instruments")</f>
        <v>Texas Instruments</v>
      </c>
      <c r="C11089" s="5">
        <v>5000</v>
      </c>
      <c r="D11089" s="6">
        <v>3.63</v>
      </c>
      <c r="E11089" t="s">
        <v>18</v>
      </c>
    </row>
    <row r="11090" spans="1:5" x14ac:dyDescent="0.25">
      <c r="A11090" t="str">
        <f>HYPERLINK("https://www.773grp.com/globalSearch/SN65C3222DWR/page-1", "SN65C3222DWR")</f>
        <v>SN65C3222DWR</v>
      </c>
      <c r="B11090" s="3" t="str">
        <f>HYPERLINK("https://www.773grp.com/manufacturer/texas-instruments?pageNo=314", "Texas Instruments")</f>
        <v>Texas Instruments</v>
      </c>
      <c r="C11090" s="5">
        <v>3821</v>
      </c>
      <c r="D11090" s="6">
        <v>3.63</v>
      </c>
      <c r="E11090" t="s">
        <v>18</v>
      </c>
    </row>
    <row r="11091" spans="1:5" x14ac:dyDescent="0.25">
      <c r="A11091" t="str">
        <f>HYPERLINK("https://www.773grp.com/globalSearch/SN65C3222PWR/page-1", "SN65C3222PWR")</f>
        <v>SN65C3222PWR</v>
      </c>
      <c r="B11091" s="3" t="str">
        <f>HYPERLINK("https://www.773grp.com/manufacturer/texas-instruments?pageNo=315", "Texas Instruments")</f>
        <v>Texas Instruments</v>
      </c>
      <c r="C11091" s="5">
        <v>2000</v>
      </c>
      <c r="D11091" s="6">
        <v>3.63</v>
      </c>
      <c r="E11091" t="s">
        <v>18</v>
      </c>
    </row>
    <row r="11092" spans="1:5" x14ac:dyDescent="0.25">
      <c r="A11092" t="str">
        <f>HYPERLINK("https://www.773grp.com/globalSearch/SN65C3223DWRG4/page-1", "SN65C3223DWRG4")</f>
        <v>SN65C3223DWRG4</v>
      </c>
      <c r="B11092" s="3" t="str">
        <f>HYPERLINK("https://www.773grp.com/manufacturer/texas-instruments?pageNo=316", "Texas Instruments")</f>
        <v>Texas Instruments</v>
      </c>
      <c r="C11092" s="5">
        <v>2000</v>
      </c>
      <c r="D11092" s="6">
        <v>3.63</v>
      </c>
      <c r="E11092" t="s">
        <v>18</v>
      </c>
    </row>
    <row r="11093" spans="1:5" x14ac:dyDescent="0.25">
      <c r="A11093" t="str">
        <f>HYPERLINK("https://www.773grp.com/globalSearch/SN65C3232ED/page-1", "SN65C3232ED")</f>
        <v>SN65C3232ED</v>
      </c>
      <c r="B11093" s="3" t="str">
        <f>HYPERLINK("https://www.773grp.com/manufacturer/texas-instruments?pageNo=317", "Texas Instruments")</f>
        <v>Texas Instruments</v>
      </c>
      <c r="C11093" s="5">
        <v>1863</v>
      </c>
      <c r="D11093" s="6">
        <v>3.63</v>
      </c>
      <c r="E11093" t="s">
        <v>18</v>
      </c>
    </row>
    <row r="11094" spans="1:5" x14ac:dyDescent="0.25">
      <c r="A11094" t="str">
        <f>HYPERLINK("https://www.773grp.com/globalSearch/SN65C3232EDB/page-1", "SN65C3232EDB")</f>
        <v>SN65C3232EDB</v>
      </c>
      <c r="B11094" s="3" t="str">
        <f>HYPERLINK("https://www.773grp.com/manufacturer/texas-instruments?pageNo=318", "Texas Instruments")</f>
        <v>Texas Instruments</v>
      </c>
      <c r="C11094" s="5">
        <v>11143</v>
      </c>
      <c r="D11094" s="6">
        <v>3.63</v>
      </c>
      <c r="E11094" t="s">
        <v>18</v>
      </c>
    </row>
    <row r="11095" spans="1:5" x14ac:dyDescent="0.25">
      <c r="A11095" t="str">
        <f>HYPERLINK("https://www.773grp.com/globalSearch/SN65C3232EDW/page-1", "SN65C3232EDW")</f>
        <v>SN65C3232EDW</v>
      </c>
      <c r="B11095" s="3" t="str">
        <f>HYPERLINK("https://www.773grp.com/manufacturer/texas-instruments?pageNo=319", "Texas Instruments")</f>
        <v>Texas Instruments</v>
      </c>
      <c r="C11095" s="5">
        <v>4392</v>
      </c>
      <c r="D11095" s="6">
        <v>3.63</v>
      </c>
      <c r="E11095" t="s">
        <v>18</v>
      </c>
    </row>
    <row r="11096" spans="1:5" x14ac:dyDescent="0.25">
      <c r="A11096" t="str">
        <f>HYPERLINK("https://www.773grp.com/globalSearch/SN75113N/page-1", "SN75113N")</f>
        <v>SN75113N</v>
      </c>
      <c r="B11096" s="3" t="str">
        <f>HYPERLINK("https://www.773grp.com/manufacturer/texas-instruments?pageNo=374", "Texas Instruments")</f>
        <v>Texas Instruments</v>
      </c>
      <c r="C11096" s="5">
        <v>3750</v>
      </c>
      <c r="D11096" s="6">
        <v>3.63</v>
      </c>
      <c r="E11096" t="s">
        <v>18</v>
      </c>
    </row>
    <row r="11097" spans="1:5" x14ac:dyDescent="0.25">
      <c r="A11097" t="str">
        <f>HYPERLINK("https://www.773grp.com/globalSearch/SN75114N/page-1", "SN75114N")</f>
        <v>SN75114N</v>
      </c>
      <c r="B11097" s="3" t="str">
        <f>HYPERLINK("https://www.773grp.com/manufacturer/texas-instruments?pageNo=376", "Texas Instruments")</f>
        <v>Texas Instruments</v>
      </c>
      <c r="C11097" s="5">
        <v>6735</v>
      </c>
      <c r="D11097" s="6">
        <v>3.63</v>
      </c>
      <c r="E11097" t="s">
        <v>18</v>
      </c>
    </row>
    <row r="11098" spans="1:5" x14ac:dyDescent="0.25">
      <c r="A11098" t="str">
        <f>HYPERLINK("https://www.773grp.com/globalSearch/SN75115N/page-1", "SN75115N")</f>
        <v>SN75115N</v>
      </c>
      <c r="B11098" s="3" t="str">
        <f>HYPERLINK("https://www.773grp.com/manufacturer/texas-instruments?pageNo=378", "Texas Instruments")</f>
        <v>Texas Instruments</v>
      </c>
      <c r="C11098" s="5">
        <v>814</v>
      </c>
      <c r="D11098" s="6">
        <v>3.63</v>
      </c>
      <c r="E11098" t="s">
        <v>18</v>
      </c>
    </row>
    <row r="11099" spans="1:5" x14ac:dyDescent="0.25">
      <c r="A11099" t="str">
        <f>HYPERLINK("https://www.773grp.com/globalSearch/SN75115NE4/page-1", "SN75115NE4")</f>
        <v>SN75115NE4</v>
      </c>
      <c r="B11099" s="3" t="str">
        <f>HYPERLINK("https://www.773grp.com/manufacturer/texas-instruments?pageNo=379", "Texas Instruments")</f>
        <v>Texas Instruments</v>
      </c>
      <c r="C11099" s="5">
        <v>419</v>
      </c>
      <c r="D11099" s="6">
        <v>3.63</v>
      </c>
      <c r="E11099" t="s">
        <v>18</v>
      </c>
    </row>
    <row r="11100" spans="1:5" x14ac:dyDescent="0.25">
      <c r="A11100" t="str">
        <f>HYPERLINK("https://www.773grp.com/globalSearch/SN75123D/page-1", "SN75123D")</f>
        <v>SN75123D</v>
      </c>
      <c r="B11100" s="3" t="str">
        <f>HYPERLINK("https://www.773grp.com/manufacturer/texas-instruments?pageNo=380", "Texas Instruments")</f>
        <v>Texas Instruments</v>
      </c>
      <c r="C11100" s="5">
        <v>7503</v>
      </c>
      <c r="D11100" s="6">
        <v>3.63</v>
      </c>
      <c r="E11100" t="s">
        <v>18</v>
      </c>
    </row>
    <row r="11101" spans="1:5" x14ac:dyDescent="0.25">
      <c r="A11101" t="str">
        <f>HYPERLINK("https://www.773grp.com/globalSearch/SN75158DR/page-1", "SN75158DR")</f>
        <v>SN75158DR</v>
      </c>
      <c r="B11101" s="3" t="str">
        <f>HYPERLINK("https://www.773grp.com/manufacturer/texas-instruments?pageNo=382", "Texas Instruments")</f>
        <v>Texas Instruments</v>
      </c>
      <c r="C11101" s="5">
        <v>22400</v>
      </c>
      <c r="D11101" s="6">
        <v>3.63</v>
      </c>
      <c r="E11101" t="s">
        <v>18</v>
      </c>
    </row>
    <row r="11102" spans="1:5" x14ac:dyDescent="0.25">
      <c r="A11102" t="str">
        <f>HYPERLINK("https://www.773grp.com/globalSearch/SN75172N/page-1", "SN75172N")</f>
        <v>SN75172N</v>
      </c>
      <c r="B11102" s="3" t="str">
        <f>HYPERLINK("https://www.773grp.com/manufacturer/texas-instruments?pageNo=383", "Texas Instruments")</f>
        <v>Texas Instruments</v>
      </c>
      <c r="C11102" s="5">
        <v>1055</v>
      </c>
      <c r="D11102" s="6">
        <v>3.63</v>
      </c>
      <c r="E11102" t="s">
        <v>18</v>
      </c>
    </row>
    <row r="11103" spans="1:5" x14ac:dyDescent="0.25">
      <c r="A11103" t="str">
        <f>HYPERLINK("https://www.773grp.com/globalSearch/SN75172NE4/page-1", "SN75172NE4")</f>
        <v>SN75172NE4</v>
      </c>
      <c r="B11103" s="3" t="str">
        <f>HYPERLINK("https://www.773grp.com/manufacturer/texas-instruments?pageNo=384", "Texas Instruments")</f>
        <v>Texas Instruments</v>
      </c>
      <c r="C11103" s="5">
        <v>271</v>
      </c>
      <c r="D11103" s="6">
        <v>3.63</v>
      </c>
      <c r="E11103" t="s">
        <v>18</v>
      </c>
    </row>
    <row r="11104" spans="1:5" x14ac:dyDescent="0.25">
      <c r="A11104" t="str">
        <f>HYPERLINK("https://www.773grp.com/globalSearch/SN75173N/page-1", "SN75173N")</f>
        <v>SN75173N</v>
      </c>
      <c r="B11104" s="3" t="str">
        <f>HYPERLINK("https://www.773grp.com/manufacturer/texas-instruments?pageNo=385", "Texas Instruments")</f>
        <v>Texas Instruments</v>
      </c>
      <c r="C11104" s="5">
        <v>1088</v>
      </c>
      <c r="D11104" s="6">
        <v>3.63</v>
      </c>
      <c r="E11104" t="s">
        <v>18</v>
      </c>
    </row>
    <row r="11105" spans="1:5" x14ac:dyDescent="0.25">
      <c r="A11105" t="str">
        <f>HYPERLINK("https://www.773grp.com/globalSearch/SN75175N/page-1", "SN75175N")</f>
        <v>SN75175N</v>
      </c>
      <c r="B11105" s="3" t="str">
        <f>HYPERLINK("https://www.773grp.com/manufacturer/texas-instruments?pageNo=386", "Texas Instruments")</f>
        <v>Texas Instruments</v>
      </c>
      <c r="C11105" s="5">
        <v>61592</v>
      </c>
      <c r="D11105" s="6">
        <v>3.63</v>
      </c>
      <c r="E11105" t="s">
        <v>18</v>
      </c>
    </row>
    <row r="11106" spans="1:5" x14ac:dyDescent="0.25">
      <c r="A11106" t="str">
        <f>HYPERLINK("https://www.773grp.com/globalSearch/SN75175NE4/page-1", "SN75175NE4")</f>
        <v>SN75175NE4</v>
      </c>
      <c r="B11106" s="3" t="str">
        <f>HYPERLINK("https://www.773grp.com/manufacturer/texas-instruments?pageNo=387", "Texas Instruments")</f>
        <v>Texas Instruments</v>
      </c>
      <c r="C11106" s="5">
        <v>249</v>
      </c>
      <c r="D11106" s="6">
        <v>3.63</v>
      </c>
      <c r="E11106" t="s">
        <v>18</v>
      </c>
    </row>
    <row r="11107" spans="1:5" x14ac:dyDescent="0.25">
      <c r="A11107" t="str">
        <f>HYPERLINK("https://www.773grp.com/globalSearch/SN75178BPS/page-1", "SN75178BPS")</f>
        <v>SN75178BPS</v>
      </c>
      <c r="B11107" s="3" t="str">
        <f>HYPERLINK("https://www.773grp.com/manufacturer/texas-instruments?pageNo=388", "Texas Instruments")</f>
        <v>Texas Instruments</v>
      </c>
      <c r="C11107" s="5">
        <v>2320</v>
      </c>
      <c r="D11107" s="6">
        <v>3.63</v>
      </c>
      <c r="E11107" t="s">
        <v>18</v>
      </c>
    </row>
    <row r="11108" spans="1:5" x14ac:dyDescent="0.25">
      <c r="A11108" t="str">
        <f>HYPERLINK("https://www.773grp.com/globalSearch/SN75179BP/page-1", "SN75179BP")</f>
        <v>SN75179BP</v>
      </c>
      <c r="B11108" s="3" t="str">
        <f>HYPERLINK("https://www.773grp.com/manufacturer/texas-instruments?pageNo=389", "Texas Instruments")</f>
        <v>Texas Instruments</v>
      </c>
      <c r="C11108" s="5">
        <v>3152</v>
      </c>
      <c r="D11108" s="6">
        <v>3.63</v>
      </c>
      <c r="E11108" t="s">
        <v>18</v>
      </c>
    </row>
    <row r="11109" spans="1:5" x14ac:dyDescent="0.25">
      <c r="A11109" t="str">
        <f>HYPERLINK("https://www.773grp.com/globalSearch/SN75179BPE4/page-1", "SN75179BPE4")</f>
        <v>SN75179BPE4</v>
      </c>
      <c r="B11109" s="3" t="str">
        <f>HYPERLINK("https://www.773grp.com/manufacturer/texas-instruments?pageNo=390", "Texas Instruments")</f>
        <v>Texas Instruments</v>
      </c>
      <c r="C11109" s="5">
        <v>535</v>
      </c>
      <c r="D11109" s="6">
        <v>3.63</v>
      </c>
      <c r="E11109" t="s">
        <v>18</v>
      </c>
    </row>
    <row r="11110" spans="1:5" x14ac:dyDescent="0.25">
      <c r="A11110" t="str">
        <f>HYPERLINK("https://www.773grp.com/globalSearch/SN75182DR/page-1", "SN75182DR")</f>
        <v>SN75182DR</v>
      </c>
      <c r="B11110" s="3" t="str">
        <f>HYPERLINK("https://www.773grp.com/manufacturer/texas-instruments?pageNo=391", "Texas Instruments")</f>
        <v>Texas Instruments</v>
      </c>
      <c r="C11110" s="5">
        <v>2500</v>
      </c>
      <c r="D11110" s="6">
        <v>3.63</v>
      </c>
      <c r="E11110" t="s">
        <v>18</v>
      </c>
    </row>
    <row r="11111" spans="1:5" x14ac:dyDescent="0.25">
      <c r="A11111" t="str">
        <f>HYPERLINK("https://www.773grp.com/globalSearch/SN75183N/page-1", "SN75183N")</f>
        <v>SN75183N</v>
      </c>
      <c r="B11111" s="3" t="str">
        <f>HYPERLINK("https://www.773grp.com/manufacturer/texas-instruments?pageNo=392", "Texas Instruments")</f>
        <v>Texas Instruments</v>
      </c>
      <c r="C11111" s="5">
        <v>2994</v>
      </c>
      <c r="D11111" s="6">
        <v>3.63</v>
      </c>
      <c r="E11111" t="s">
        <v>18</v>
      </c>
    </row>
    <row r="11112" spans="1:5" x14ac:dyDescent="0.25">
      <c r="A11112" t="str">
        <f>HYPERLINK("https://www.773grp.com/globalSearch/SN75183NE4/page-1", "SN75183NE4")</f>
        <v>SN75183NE4</v>
      </c>
      <c r="B11112" s="3" t="str">
        <f>HYPERLINK("https://www.773grp.com/manufacturer/texas-instruments?pageNo=393", "Texas Instruments")</f>
        <v>Texas Instruments</v>
      </c>
      <c r="C11112" s="5">
        <v>3</v>
      </c>
      <c r="D11112" s="6">
        <v>3.63</v>
      </c>
      <c r="E11112" t="s">
        <v>18</v>
      </c>
    </row>
    <row r="11113" spans="1:5" x14ac:dyDescent="0.25">
      <c r="A11113" t="str">
        <f>HYPERLINK("https://www.773grp.com/globalSearch/SN75C3232ED/page-1", "SN75C3232ED")</f>
        <v>SN75C3232ED</v>
      </c>
      <c r="B11113" s="3" t="str">
        <f>HYPERLINK("https://www.773grp.com/manufacturer/texas-instruments?pageNo=396", "Texas Instruments")</f>
        <v>Texas Instruments</v>
      </c>
      <c r="C11113" s="5">
        <v>1975</v>
      </c>
      <c r="D11113" s="6">
        <v>3.63</v>
      </c>
      <c r="E11113" t="s">
        <v>18</v>
      </c>
    </row>
    <row r="11114" spans="1:5" x14ac:dyDescent="0.25">
      <c r="A11114" t="str">
        <f>HYPERLINK("https://www.773grp.com/globalSearch/SN75C3232EDB/page-1", "SN75C3232EDB")</f>
        <v>SN75C3232EDB</v>
      </c>
      <c r="B11114" s="3" t="str">
        <f>HYPERLINK("https://www.773grp.com/manufacturer/texas-instruments?pageNo=397", "Texas Instruments")</f>
        <v>Texas Instruments</v>
      </c>
      <c r="C11114" s="5">
        <v>8650</v>
      </c>
      <c r="D11114" s="6">
        <v>3.63</v>
      </c>
      <c r="E11114" t="s">
        <v>18</v>
      </c>
    </row>
    <row r="11115" spans="1:5" x14ac:dyDescent="0.25">
      <c r="A11115" t="str">
        <f>HYPERLINK("https://www.773grp.com/globalSearch/SN75C3232EDW/page-1", "SN75C3232EDW")</f>
        <v>SN75C3232EDW</v>
      </c>
      <c r="B11115" s="3" t="str">
        <f>HYPERLINK("https://www.773grp.com/manufacturer/texas-instruments?pageNo=398", "Texas Instruments")</f>
        <v>Texas Instruments</v>
      </c>
      <c r="C11115" s="5">
        <v>4360</v>
      </c>
      <c r="D11115" s="6">
        <v>3.63</v>
      </c>
      <c r="E11115" t="s">
        <v>18</v>
      </c>
    </row>
    <row r="11116" spans="1:5" x14ac:dyDescent="0.25">
      <c r="A11116" t="str">
        <f>HYPERLINK("https://www.773grp.com/globalSearch/SN75C3232EDWG4/page-1", "SN75C3232EDWG4")</f>
        <v>SN75C3232EDWG4</v>
      </c>
      <c r="B11116" s="3" t="str">
        <f>HYPERLINK("https://www.773grp.com/manufacturer/texas-instruments?pageNo=399", "Texas Instruments")</f>
        <v>Texas Instruments</v>
      </c>
      <c r="C11116" s="5">
        <v>211</v>
      </c>
      <c r="D11116" s="6">
        <v>3.63</v>
      </c>
      <c r="E11116" t="s">
        <v>18</v>
      </c>
    </row>
    <row r="11117" spans="1:5" x14ac:dyDescent="0.25">
      <c r="A11117" t="str">
        <f>HYPERLINK("https://www.773grp.com/globalSearch/SN75C3232EPW/page-1", "SN75C3232EPW")</f>
        <v>SN75C3232EPW</v>
      </c>
      <c r="B11117" s="3" t="str">
        <f>HYPERLINK("https://www.773grp.com/manufacturer/texas-instruments?pageNo=400", "Texas Instruments")</f>
        <v>Texas Instruments</v>
      </c>
      <c r="C11117" s="5">
        <v>307</v>
      </c>
      <c r="D11117" s="6">
        <v>3.63</v>
      </c>
      <c r="E11117" t="s">
        <v>18</v>
      </c>
    </row>
    <row r="11118" spans="1:5" x14ac:dyDescent="0.25">
      <c r="A11118" t="str">
        <f>HYPERLINK("https://www.773grp.com/globalSearch/TRS222IDW/page-1", "TRS222IDW")</f>
        <v>TRS222IDW</v>
      </c>
      <c r="B11118" s="3" t="str">
        <f>HYPERLINK("https://www.773grp.com/manufacturer/texas-instruments?pageNo=411", "Texas Instruments")</f>
        <v>Texas Instruments</v>
      </c>
      <c r="C11118" s="5">
        <v>4087</v>
      </c>
      <c r="D11118" s="6">
        <v>3.63</v>
      </c>
      <c r="E11118" t="s">
        <v>18</v>
      </c>
    </row>
    <row r="11119" spans="1:5" x14ac:dyDescent="0.25">
      <c r="A11119" t="str">
        <f>HYPERLINK("https://www.773grp.com/globalSearch/TRS3222EIDWR/page-1", "TRS3222EIDWR")</f>
        <v>TRS3222EIDWR</v>
      </c>
      <c r="B11119" s="3" t="str">
        <f>HYPERLINK("https://www.773grp.com/manufacturer/texas-instruments?pageNo=412", "Texas Instruments")</f>
        <v>Texas Instruments</v>
      </c>
      <c r="C11119" s="5">
        <v>2000</v>
      </c>
      <c r="D11119" s="6">
        <v>3.63</v>
      </c>
      <c r="E11119" t="s">
        <v>18</v>
      </c>
    </row>
    <row r="11120" spans="1:5" x14ac:dyDescent="0.25">
      <c r="A11120" t="str">
        <f>HYPERLINK("https://www.773grp.com/globalSearch/TRS3222IDBR/page-1", "TRS3222IDBR")</f>
        <v>TRS3222IDBR</v>
      </c>
      <c r="B11120" s="3" t="str">
        <f>HYPERLINK("https://www.773grp.com/manufacturer/texas-instruments?pageNo=413", "Texas Instruments")</f>
        <v>Texas Instruments</v>
      </c>
      <c r="C11120" s="5">
        <v>2000</v>
      </c>
      <c r="D11120" s="6">
        <v>3.63</v>
      </c>
      <c r="E11120" t="s">
        <v>18</v>
      </c>
    </row>
    <row r="11121" spans="1:5" x14ac:dyDescent="0.25">
      <c r="A11121" t="str">
        <f>HYPERLINK("https://www.773grp.com/globalSearch/TRS3222IDWR/page-1", "TRS3222IDWR")</f>
        <v>TRS3222IDWR</v>
      </c>
      <c r="B11121" s="3" t="str">
        <f>HYPERLINK("https://www.773grp.com/manufacturer/texas-instruments?pageNo=414", "Texas Instruments")</f>
        <v>Texas Instruments</v>
      </c>
      <c r="C11121" s="5">
        <v>2000</v>
      </c>
      <c r="D11121" s="6">
        <v>3.63</v>
      </c>
      <c r="E11121" t="s">
        <v>18</v>
      </c>
    </row>
    <row r="11122" spans="1:5" x14ac:dyDescent="0.25">
      <c r="A11122" t="str">
        <f>HYPERLINK("https://www.773grp.com/globalSearch/TRS3227EIDBR/page-1", "TRS3227EIDBR")</f>
        <v>TRS3227EIDBR</v>
      </c>
      <c r="B11122" s="3" t="str">
        <f>HYPERLINK("https://www.773grp.com/manufacturer/texas-instruments?pageNo=415", "Texas Instruments")</f>
        <v>Texas Instruments</v>
      </c>
      <c r="C11122" s="5">
        <v>2000</v>
      </c>
      <c r="D11122" s="6">
        <v>3.63</v>
      </c>
      <c r="E11122" t="s">
        <v>18</v>
      </c>
    </row>
    <row r="11123" spans="1:5" x14ac:dyDescent="0.25">
      <c r="A11123" t="str">
        <f>HYPERLINK("https://www.773grp.com/globalSearch/TRS3227IDBR/page-1", "TRS3227IDBR")</f>
        <v>TRS3227IDBR</v>
      </c>
      <c r="B11123" s="3" t="str">
        <f>HYPERLINK("https://www.773grp.com/manufacturer/texas-instruments?pageNo=416", "Texas Instruments")</f>
        <v>Texas Instruments</v>
      </c>
      <c r="C11123" s="5">
        <v>2000</v>
      </c>
      <c r="D11123" s="6">
        <v>3.63</v>
      </c>
      <c r="E11123" t="s">
        <v>18</v>
      </c>
    </row>
    <row r="11124" spans="1:5" x14ac:dyDescent="0.25">
      <c r="A11124" t="str">
        <f>HYPERLINK("https://www.773grp.com/globalSearch/TRS3238ECPW/page-1", "TRS3238ECPW")</f>
        <v>TRS3238ECPW</v>
      </c>
      <c r="B11124" s="3" t="str">
        <f>HYPERLINK("https://www.773grp.com/manufacturer/texas-instruments?pageNo=419", "Texas Instruments")</f>
        <v>Texas Instruments</v>
      </c>
      <c r="C11124" s="5">
        <v>2450</v>
      </c>
      <c r="D11124" s="6">
        <v>3.63</v>
      </c>
      <c r="E11124" t="s">
        <v>18</v>
      </c>
    </row>
    <row r="11125" spans="1:5" x14ac:dyDescent="0.25">
      <c r="A11125" t="str">
        <f>HYPERLINK("https://www.773grp.com/globalSearch/TRS3318EIDBR/page-1", "TRS3318EIDBR")</f>
        <v>TRS3318EIDBR</v>
      </c>
      <c r="B11125" s="3" t="str">
        <f>HYPERLINK("https://www.773grp.com/manufacturer/texas-instruments?pageNo=420", "Texas Instruments")</f>
        <v>Texas Instruments</v>
      </c>
      <c r="C11125" s="5">
        <v>9994</v>
      </c>
      <c r="D11125" s="6">
        <v>3.63</v>
      </c>
      <c r="E11125" t="s">
        <v>18</v>
      </c>
    </row>
    <row r="11126" spans="1:5" x14ac:dyDescent="0.25">
      <c r="A11126" t="str">
        <f>HYPERLINK("https://www.773grp.com/globalSearch/TRS3318EIPWR/page-1", "TRS3318EIPWR")</f>
        <v>TRS3318EIPWR</v>
      </c>
      <c r="B11126" s="3" t="str">
        <f>HYPERLINK("https://www.773grp.com/manufacturer/texas-instruments?pageNo=421", "Texas Instruments")</f>
        <v>Texas Instruments</v>
      </c>
      <c r="C11126" s="5">
        <v>2000</v>
      </c>
      <c r="D11126" s="6">
        <v>3.63</v>
      </c>
      <c r="E11126" t="s">
        <v>18</v>
      </c>
    </row>
    <row r="11127" spans="1:5" x14ac:dyDescent="0.25">
      <c r="A11127" t="str">
        <f>HYPERLINK("https://www.773grp.com/globalSearch/TRSF3222IDB/page-1", "TRSF3222IDB")</f>
        <v>TRSF3222IDB</v>
      </c>
      <c r="B11127" s="3" t="str">
        <f>HYPERLINK("https://www.773grp.com/manufacturer/texas-instruments?pageNo=422", "Texas Instruments")</f>
        <v>Texas Instruments</v>
      </c>
      <c r="C11127" s="5">
        <v>4200</v>
      </c>
      <c r="D11127" s="6">
        <v>3.63</v>
      </c>
      <c r="E11127" t="s">
        <v>18</v>
      </c>
    </row>
    <row r="11128" spans="1:5" x14ac:dyDescent="0.25">
      <c r="A11128" t="str">
        <f>HYPERLINK("https://www.773grp.com/globalSearch/TRSF3223CDB/page-1", "TRSF3223CDB")</f>
        <v>TRSF3223CDB</v>
      </c>
      <c r="B11128" s="3" t="str">
        <f>HYPERLINK("https://www.773grp.com/manufacturer/texas-instruments?pageNo=423", "Texas Instruments")</f>
        <v>Texas Instruments</v>
      </c>
      <c r="C11128" s="5">
        <v>1680</v>
      </c>
      <c r="D11128" s="6">
        <v>3.63</v>
      </c>
      <c r="E11128" t="s">
        <v>18</v>
      </c>
    </row>
    <row r="11129" spans="1:5" x14ac:dyDescent="0.25">
      <c r="A11129" t="str">
        <f>HYPERLINK("https://www.773grp.com/globalSearch/TRSF3232EID/page-1", "TRSF3232EID")</f>
        <v>TRSF3232EID</v>
      </c>
      <c r="B11129" s="3" t="str">
        <f>HYPERLINK("https://www.773grp.com/manufacturer/texas-instruments?pageNo=427", "Texas Instruments")</f>
        <v>Texas Instruments</v>
      </c>
      <c r="C11129" s="5">
        <v>697</v>
      </c>
      <c r="D11129" s="6">
        <v>3.63</v>
      </c>
      <c r="E11129" t="s">
        <v>18</v>
      </c>
    </row>
    <row r="11130" spans="1:5" x14ac:dyDescent="0.25">
      <c r="A11130" t="str">
        <f>HYPERLINK("https://www.773grp.com/globalSearch/TRSF3232EIPW/page-1", "TRSF3232EIPW")</f>
        <v>TRSF3232EIPW</v>
      </c>
      <c r="B11130" s="3" t="str">
        <f>HYPERLINK("https://www.773grp.com/manufacturer/texas-instruments?pageNo=428", "Texas Instruments")</f>
        <v>Texas Instruments</v>
      </c>
      <c r="C11130" s="5">
        <v>360</v>
      </c>
      <c r="D11130" s="6">
        <v>3.63</v>
      </c>
      <c r="E11130" t="s">
        <v>18</v>
      </c>
    </row>
    <row r="11131" spans="1:5" x14ac:dyDescent="0.25">
      <c r="A11131" t="str">
        <f>HYPERLINK("https://www.773grp.com/globalSearch/TRSF3243CDWR/page-1", "TRSF3243CDWR")</f>
        <v>TRSF3243CDWR</v>
      </c>
      <c r="B11131" s="3" t="str">
        <f>HYPERLINK("https://www.773grp.com/manufacturer/texas-instruments?pageNo=429", "Texas Instruments")</f>
        <v>Texas Instruments</v>
      </c>
      <c r="C11131" s="5">
        <v>2000</v>
      </c>
      <c r="D11131" s="6">
        <v>3.63</v>
      </c>
      <c r="E11131" t="s">
        <v>18</v>
      </c>
    </row>
    <row r="11132" spans="1:5" x14ac:dyDescent="0.25">
      <c r="A11132" t="str">
        <f>HYPERLINK("https://www.773grp.com/globalSearch/TRSF3243IDWR/page-1", "TRSF3243IDWR")</f>
        <v>TRSF3243IDWR</v>
      </c>
      <c r="B11132" s="3" t="str">
        <f>HYPERLINK("https://www.773grp.com/manufacturer/texas-instruments?pageNo=430", "Texas Instruments")</f>
        <v>Texas Instruments</v>
      </c>
      <c r="C11132" s="5">
        <v>2000</v>
      </c>
      <c r="D11132" s="6">
        <v>3.63</v>
      </c>
      <c r="E11132" t="s">
        <v>18</v>
      </c>
    </row>
    <row r="11133" spans="1:5" x14ac:dyDescent="0.25">
      <c r="A11133" t="str">
        <f>HYPERLINK("https://www.773grp.com/globalSearch/HVDA5425QDRQ1/page-1", "HVDA5425QDRQ1")</f>
        <v>HVDA5425QDRQ1</v>
      </c>
      <c r="B11133" s="3" t="str">
        <f>HYPERLINK("https://www.773grp.com/manufacturer/texas-instruments?pageNo=435", "Texas Instruments")</f>
        <v>Texas Instruments</v>
      </c>
      <c r="C11133" s="5">
        <v>360</v>
      </c>
      <c r="D11133" s="6">
        <v>4.01</v>
      </c>
      <c r="E11133" t="s">
        <v>18</v>
      </c>
    </row>
    <row r="11134" spans="1:5" x14ac:dyDescent="0.25">
      <c r="A11134" t="str">
        <f>HYPERLINK("https://www.773grp.com/globalSearch/HVDA542QDRQ1/page-1", "HVDA542QDRQ1")</f>
        <v>HVDA542QDRQ1</v>
      </c>
      <c r="B11134" s="3" t="str">
        <f>HYPERLINK("https://www.773grp.com/manufacturer/texas-instruments?pageNo=436", "Texas Instruments")</f>
        <v>Texas Instruments</v>
      </c>
      <c r="C11134" s="5">
        <v>831</v>
      </c>
      <c r="D11134" s="6">
        <v>4.01</v>
      </c>
      <c r="E11134" t="s">
        <v>18</v>
      </c>
    </row>
    <row r="11135" spans="1:5" x14ac:dyDescent="0.25">
      <c r="A11135" t="str">
        <f>HYPERLINK("https://www.773grp.com/globalSearch/SN65LVDT2D/page-1", "SN65LVDT2D")</f>
        <v>SN65LVDT2D</v>
      </c>
      <c r="B11135" s="3" t="str">
        <f>HYPERLINK("https://www.773grp.com/manufacturer/texas-instruments?pageNo=441", "Texas Instruments")</f>
        <v>Texas Instruments</v>
      </c>
      <c r="C11135" s="5">
        <v>34132</v>
      </c>
      <c r="D11135" s="6">
        <v>4.01</v>
      </c>
      <c r="E11135" t="s">
        <v>18</v>
      </c>
    </row>
    <row r="11136" spans="1:5" x14ac:dyDescent="0.25">
      <c r="A11136" t="str">
        <f>HYPERLINK("https://www.773grp.com/globalSearch/SN65HVD3085EDGKR/page-1", "SN65HVD3085EDGKR")</f>
        <v>SN65HVD3085EDGKR</v>
      </c>
      <c r="B11136" s="3" t="str">
        <f>HYPERLINK("https://www.773grp.com/manufacturer/texas-instruments?pageNo=541", "Texas Instruments")</f>
        <v>Texas Instruments</v>
      </c>
      <c r="C11136" s="5">
        <v>2354</v>
      </c>
      <c r="D11136" s="6">
        <v>3.66</v>
      </c>
      <c r="E11136" t="s">
        <v>18</v>
      </c>
    </row>
    <row r="11137" spans="1:5" x14ac:dyDescent="0.25">
      <c r="A11137" t="str">
        <f>HYPERLINK("https://www.773grp.com/globalSearch/SN65HVD3088ED/page-1", "SN65HVD3088ED")</f>
        <v>SN65HVD3088ED</v>
      </c>
      <c r="B11137" s="3" t="str">
        <f>HYPERLINK("https://www.773grp.com/manufacturer/texas-instruments?pageNo=542", "Texas Instruments")</f>
        <v>Texas Instruments</v>
      </c>
      <c r="C11137" s="5">
        <v>796</v>
      </c>
      <c r="D11137" s="6">
        <v>3.66</v>
      </c>
      <c r="E11137" t="s">
        <v>18</v>
      </c>
    </row>
    <row r="11138" spans="1:5" x14ac:dyDescent="0.25">
      <c r="A11138" t="str">
        <f>HYPERLINK("https://www.773grp.com/globalSearch/SN75HVD07DR/page-1", "SN75HVD07DR")</f>
        <v>SN75HVD07DR</v>
      </c>
      <c r="B11138" s="3" t="str">
        <f>HYPERLINK("https://www.773grp.com/manufacturer/texas-instruments?pageNo=543", "Texas Instruments")</f>
        <v>Texas Instruments</v>
      </c>
      <c r="C11138" s="5">
        <v>152500</v>
      </c>
      <c r="D11138" s="6">
        <v>3.66</v>
      </c>
      <c r="E11138" t="s">
        <v>18</v>
      </c>
    </row>
    <row r="11139" spans="1:5" x14ac:dyDescent="0.25">
      <c r="A11139" t="str">
        <f>HYPERLINK("https://www.773grp.com/globalSearch/SN75HVD3082EDGK/page-1", "SN75HVD3082EDGK")</f>
        <v>SN75HVD3082EDGK</v>
      </c>
      <c r="B11139" s="3" t="str">
        <f>HYPERLINK("https://www.773grp.com/manufacturer/texas-instruments?pageNo=544", "Texas Instruments")</f>
        <v>Texas Instruments</v>
      </c>
      <c r="C11139" s="5">
        <v>205</v>
      </c>
      <c r="D11139" s="6">
        <v>3.66</v>
      </c>
      <c r="E11139" t="s">
        <v>18</v>
      </c>
    </row>
    <row r="11140" spans="1:5" x14ac:dyDescent="0.25">
      <c r="A11140" t="str">
        <f>HYPERLINK("https://www.773grp.com/globalSearch/SN65LBC176D/page-1", "SN65LBC176D")</f>
        <v>SN65LBC176D</v>
      </c>
      <c r="B11140" s="3" t="str">
        <f>HYPERLINK("https://www.773grp.com/manufacturer/texas-instruments?pageNo=728", "Texas Instruments")</f>
        <v>Texas Instruments</v>
      </c>
      <c r="C11140" s="5">
        <v>105</v>
      </c>
      <c r="D11140" s="6">
        <v>3.68</v>
      </c>
      <c r="E11140" t="s">
        <v>18</v>
      </c>
    </row>
    <row r="11141" spans="1:5" x14ac:dyDescent="0.25">
      <c r="A11141" t="str">
        <f>HYPERLINK("https://www.773grp.com/globalSearch/SN75LBC180D/page-1", "SN75LBC180D")</f>
        <v>SN75LBC180D</v>
      </c>
      <c r="B11141" s="3" t="str">
        <f>HYPERLINK("https://www.773grp.com/manufacturer/texas-instruments?pageNo=731", "Texas Instruments")</f>
        <v>Texas Instruments</v>
      </c>
      <c r="C11141" s="5">
        <v>23</v>
      </c>
      <c r="D11141" s="6">
        <v>3.68</v>
      </c>
      <c r="E11141" t="s">
        <v>18</v>
      </c>
    </row>
    <row r="11142" spans="1:5" x14ac:dyDescent="0.25">
      <c r="A11142" t="str">
        <f>HYPERLINK("https://www.773grp.com/globalSearch/SN75LBC182D/page-1", "SN75LBC182D")</f>
        <v>SN75LBC182D</v>
      </c>
      <c r="B11142" s="3" t="str">
        <f>HYPERLINK("https://www.773grp.com/manufacturer/texas-instruments?pageNo=732", "Texas Instruments")</f>
        <v>Texas Instruments</v>
      </c>
      <c r="C11142" s="5">
        <v>789</v>
      </c>
      <c r="D11142" s="6">
        <v>3.68</v>
      </c>
      <c r="E11142" t="s">
        <v>18</v>
      </c>
    </row>
    <row r="11143" spans="1:5" x14ac:dyDescent="0.25">
      <c r="A11143" t="str">
        <f>HYPERLINK("https://www.773grp.com/globalSearch/SN65ALS176P/page-1", "SN65ALS176P")</f>
        <v>SN65ALS176P</v>
      </c>
      <c r="B11143" s="3" t="str">
        <f>HYPERLINK("https://www.773grp.com/manufacturer/texas-instruments?pageNo=890", "Texas Instruments")</f>
        <v>Texas Instruments</v>
      </c>
      <c r="C11143" s="5">
        <v>56898</v>
      </c>
      <c r="D11143" s="6">
        <v>4.1100000000000003</v>
      </c>
      <c r="E11143" t="s">
        <v>18</v>
      </c>
    </row>
    <row r="11144" spans="1:5" x14ac:dyDescent="0.25">
      <c r="A11144" t="str">
        <f>HYPERLINK("https://www.773grp.com/globalSearch/SN65C189AD/page-1", "SN65C189AD")</f>
        <v>SN65C189AD</v>
      </c>
      <c r="B11144" s="3" t="str">
        <f>HYPERLINK("https://www.773grp.com/manufacturer/texas-instruments?pageNo=947", "Texas Instruments")</f>
        <v>Texas Instruments</v>
      </c>
      <c r="C11144" s="5">
        <v>92476</v>
      </c>
      <c r="D11144" s="6">
        <v>3.75</v>
      </c>
      <c r="E11144" t="s">
        <v>18</v>
      </c>
    </row>
    <row r="11145" spans="1:5" x14ac:dyDescent="0.25">
      <c r="A11145" t="str">
        <f>HYPERLINK("https://www.773grp.com/globalSearch/SN65C189ADR/page-1", "SN65C189ADR")</f>
        <v>SN65C189ADR</v>
      </c>
      <c r="B11145" s="3" t="str">
        <f>HYPERLINK("https://www.773grp.com/manufacturer/texas-instruments?pageNo=948", "Texas Instruments")</f>
        <v>Texas Instruments</v>
      </c>
      <c r="C11145" s="5">
        <v>112500</v>
      </c>
      <c r="D11145" s="6">
        <v>3.75</v>
      </c>
      <c r="E11145" t="s">
        <v>18</v>
      </c>
    </row>
    <row r="11146" spans="1:5" x14ac:dyDescent="0.25">
      <c r="A11146" t="str">
        <f>HYPERLINK("https://www.773grp.com/globalSearch/SN65C189AN/page-1", "SN65C189AN")</f>
        <v>SN65C189AN</v>
      </c>
      <c r="B11146" s="3" t="str">
        <f>HYPERLINK("https://www.773grp.com/manufacturer/texas-instruments?pageNo=949", "Texas Instruments")</f>
        <v>Texas Instruments</v>
      </c>
      <c r="C11146" s="5">
        <v>9204</v>
      </c>
      <c r="D11146" s="6">
        <v>3.75</v>
      </c>
      <c r="E11146" t="s">
        <v>18</v>
      </c>
    </row>
    <row r="11147" spans="1:5" x14ac:dyDescent="0.25">
      <c r="A11147" t="str">
        <f>HYPERLINK("https://www.773grp.com/globalSearch/SN65C189D/page-1", "SN65C189D")</f>
        <v>SN65C189D</v>
      </c>
      <c r="B11147" s="3" t="str">
        <f>HYPERLINK("https://www.773grp.com/manufacturer/texas-instruments?pageNo=950", "Texas Instruments")</f>
        <v>Texas Instruments</v>
      </c>
      <c r="C11147" s="5">
        <v>24941</v>
      </c>
      <c r="D11147" s="6">
        <v>3.75</v>
      </c>
      <c r="E11147" t="s">
        <v>18</v>
      </c>
    </row>
    <row r="11148" spans="1:5" x14ac:dyDescent="0.25">
      <c r="A11148" t="str">
        <f>HYPERLINK("https://www.773grp.com/globalSearch/AM26LV32INS/page-1", "AM26LV32INS")</f>
        <v>AM26LV32INS</v>
      </c>
      <c r="B11148" s="3" t="str">
        <f>HYPERLINK("https://www.773grp.com/manufacturer/texas-instruments?pageNo=970", "Texas Instruments")</f>
        <v>Texas Instruments</v>
      </c>
      <c r="C11148" s="5">
        <v>3441</v>
      </c>
      <c r="D11148" s="6">
        <v>4.16</v>
      </c>
      <c r="E11148" t="s">
        <v>18</v>
      </c>
    </row>
    <row r="11149" spans="1:5" x14ac:dyDescent="0.25">
      <c r="A11149" t="str">
        <f>HYPERLINK("https://www.773grp.com/globalSearch/DS8820AN/page-1", "DS8820AN")</f>
        <v>DS8820AN</v>
      </c>
      <c r="B11149" s="3" t="s">
        <v>90</v>
      </c>
      <c r="C11149" s="5">
        <v>19061</v>
      </c>
      <c r="D11149" s="6">
        <v>4.16</v>
      </c>
      <c r="E11149" t="s">
        <v>18</v>
      </c>
    </row>
    <row r="11150" spans="1:5" x14ac:dyDescent="0.25">
      <c r="A11150" t="str">
        <f>HYPERLINK("https://www.773grp.com/globalSearch/MAX3221ECPWR/page-1", "MAX3221ECPWR")</f>
        <v>MAX3221ECPWR</v>
      </c>
      <c r="B11150" s="3" t="s">
        <v>90</v>
      </c>
      <c r="C11150" s="5">
        <v>7395</v>
      </c>
      <c r="D11150" s="6">
        <v>4.16</v>
      </c>
      <c r="E11150" t="s">
        <v>18</v>
      </c>
    </row>
    <row r="11151" spans="1:5" x14ac:dyDescent="0.25">
      <c r="A11151" t="str">
        <f>HYPERLINK("https://www.773grp.com/globalSearch/MAX3243ECPWR/page-1", "MAX3243ECPWR")</f>
        <v>MAX3243ECPWR</v>
      </c>
      <c r="B11151" s="3" t="s">
        <v>90</v>
      </c>
      <c r="C11151" s="5">
        <v>10000</v>
      </c>
      <c r="D11151" s="6">
        <v>4.16</v>
      </c>
      <c r="E11151" t="s">
        <v>18</v>
      </c>
    </row>
    <row r="11152" spans="1:5" x14ac:dyDescent="0.25">
      <c r="A11152" t="str">
        <f>HYPERLINK("https://www.773grp.com/globalSearch/SN75141P/page-1", "SN75141P")</f>
        <v>SN75141P</v>
      </c>
      <c r="B11152" s="3" t="s">
        <v>90</v>
      </c>
      <c r="C11152" s="5">
        <v>51045</v>
      </c>
      <c r="D11152" s="6">
        <v>4.16</v>
      </c>
      <c r="E11152" t="s">
        <v>18</v>
      </c>
    </row>
    <row r="11153" spans="1:5" x14ac:dyDescent="0.25">
      <c r="A11153" t="str">
        <f>HYPERLINK("https://www.773grp.com/globalSearch/SN75179BD/page-1", "SN75179BD")</f>
        <v>SN75179BD</v>
      </c>
      <c r="B11153" s="3" t="s">
        <v>90</v>
      </c>
      <c r="C11153" s="5">
        <v>36414</v>
      </c>
      <c r="D11153" s="6">
        <v>4.16</v>
      </c>
      <c r="E11153" t="s">
        <v>18</v>
      </c>
    </row>
    <row r="11154" spans="1:5" x14ac:dyDescent="0.25">
      <c r="A11154" t="str">
        <f>HYPERLINK("https://www.773grp.com/globalSearch/SN75ALS194N/page-1", "SN75ALS194N")</f>
        <v>SN75ALS194N</v>
      </c>
      <c r="B11154" s="3" t="s">
        <v>90</v>
      </c>
      <c r="C11154" s="5">
        <v>16524</v>
      </c>
      <c r="D11154" s="6">
        <v>4.16</v>
      </c>
      <c r="E11154" t="s">
        <v>18</v>
      </c>
    </row>
    <row r="11155" spans="1:5" x14ac:dyDescent="0.25">
      <c r="A11155" t="str">
        <f>HYPERLINK("https://www.773grp.com/globalSearch/SN75C1154DWR/page-1", "SN75C1154DWR")</f>
        <v>SN75C1154DWR</v>
      </c>
      <c r="B11155" s="3" t="s">
        <v>90</v>
      </c>
      <c r="C11155" s="5">
        <v>1700</v>
      </c>
      <c r="D11155" s="6">
        <v>4.16</v>
      </c>
      <c r="E11155" t="s">
        <v>18</v>
      </c>
    </row>
    <row r="11156" spans="1:5" x14ac:dyDescent="0.25">
      <c r="A11156" t="str">
        <f>HYPERLINK("https://www.773grp.com/globalSearch/SN75C1167N/page-1", "SN75C1167N")</f>
        <v>SN75C1167N</v>
      </c>
      <c r="B11156" s="3" t="s">
        <v>90</v>
      </c>
      <c r="C11156" s="5">
        <v>2530</v>
      </c>
      <c r="D11156" s="6">
        <v>4.16</v>
      </c>
      <c r="E11156" t="s">
        <v>18</v>
      </c>
    </row>
    <row r="11157" spans="1:5" x14ac:dyDescent="0.25">
      <c r="A11157" t="str">
        <f>HYPERLINK("https://www.773grp.com/globalSearch/SN75C1168PWR/page-1", "SN75C1168PWR")</f>
        <v>SN75C1168PWR</v>
      </c>
      <c r="B11157" s="3" t="s">
        <v>90</v>
      </c>
      <c r="C11157" s="5">
        <v>2521</v>
      </c>
      <c r="D11157" s="6">
        <v>4.16</v>
      </c>
      <c r="E11157" t="s">
        <v>18</v>
      </c>
    </row>
    <row r="11158" spans="1:5" x14ac:dyDescent="0.25">
      <c r="A11158" t="str">
        <f>HYPERLINK("https://www.773grp.com/globalSearch/SN75C1406N/page-1", "SN75C1406N")</f>
        <v>SN75C1406N</v>
      </c>
      <c r="B11158" s="3" t="s">
        <v>90</v>
      </c>
      <c r="C11158" s="5">
        <v>2390</v>
      </c>
      <c r="D11158" s="6">
        <v>4.16</v>
      </c>
      <c r="E11158" t="s">
        <v>18</v>
      </c>
    </row>
    <row r="11159" spans="1:5" x14ac:dyDescent="0.25">
      <c r="A11159" t="str">
        <f>HYPERLINK("https://www.773grp.com/globalSearch/TL3695DR/page-1", "TL3695DR")</f>
        <v>TL3695DR</v>
      </c>
      <c r="B11159" s="3" t="s">
        <v>90</v>
      </c>
      <c r="C11159" s="5">
        <v>7500</v>
      </c>
      <c r="D11159" s="6">
        <v>4.16</v>
      </c>
      <c r="E11159" t="s">
        <v>18</v>
      </c>
    </row>
    <row r="11160" spans="1:5" x14ac:dyDescent="0.25">
      <c r="A11160" t="str">
        <f>HYPERLINK("https://www.773grp.com/globalSearch/TRS3221CDBR/page-1", "TRS3221CDBR")</f>
        <v>TRS3221CDBR</v>
      </c>
      <c r="B11160" s="3" t="s">
        <v>90</v>
      </c>
      <c r="C11160" s="5">
        <v>2000</v>
      </c>
      <c r="D11160" s="6">
        <v>4.16</v>
      </c>
      <c r="E11160" t="s">
        <v>18</v>
      </c>
    </row>
    <row r="11161" spans="1:5" x14ac:dyDescent="0.25">
      <c r="A11161" t="str">
        <f>HYPERLINK("https://www.773grp.com/globalSearch/TRS3221CPWR/page-1", "TRS3221CPWR")</f>
        <v>TRS3221CPWR</v>
      </c>
      <c r="B11161" s="3" t="s">
        <v>90</v>
      </c>
      <c r="C11161" s="5">
        <v>2000</v>
      </c>
      <c r="D11161" s="6">
        <v>4.16</v>
      </c>
      <c r="E11161" t="s">
        <v>18</v>
      </c>
    </row>
    <row r="11162" spans="1:5" x14ac:dyDescent="0.25">
      <c r="A11162" t="str">
        <f>HYPERLINK("https://www.773grp.com/globalSearch/TRS3221ECDBR/page-1", "TRS3221ECDBR")</f>
        <v>TRS3221ECDBR</v>
      </c>
      <c r="B11162" s="3" t="s">
        <v>90</v>
      </c>
      <c r="C11162" s="5">
        <v>38581</v>
      </c>
      <c r="D11162" s="6">
        <v>4.16</v>
      </c>
      <c r="E11162" t="s">
        <v>18</v>
      </c>
    </row>
    <row r="11163" spans="1:5" x14ac:dyDescent="0.25">
      <c r="A11163" t="str">
        <f>HYPERLINK("https://www.773grp.com/globalSearch/TRS3243ECDBR/page-1", "TRS3243ECDBR")</f>
        <v>TRS3243ECDBR</v>
      </c>
      <c r="B11163" s="3" t="s">
        <v>90</v>
      </c>
      <c r="C11163" s="5">
        <v>2000</v>
      </c>
      <c r="D11163" s="6">
        <v>4.16</v>
      </c>
      <c r="E11163" t="s">
        <v>18</v>
      </c>
    </row>
    <row r="11164" spans="1:5" x14ac:dyDescent="0.25">
      <c r="A11164" t="str">
        <f>HYPERLINK("https://www.773grp.com/globalSearch/SN65HVD3082EDGK/page-1", "SN65HVD3082EDGK")</f>
        <v>SN65HVD3082EDGK</v>
      </c>
      <c r="B11164" s="3" t="s">
        <v>90</v>
      </c>
      <c r="C11164" s="5">
        <v>90</v>
      </c>
      <c r="D11164" s="6">
        <v>3.8</v>
      </c>
      <c r="E11164" t="s">
        <v>18</v>
      </c>
    </row>
    <row r="11165" spans="1:5" x14ac:dyDescent="0.25">
      <c r="A11165" t="str">
        <f>HYPERLINK("https://www.773grp.com/globalSearch/SN65LBC180IDRG4Q1/page-1", "SN65LBC180IDRG4Q1")</f>
        <v>SN65LBC180IDRG4Q1</v>
      </c>
      <c r="B11165" s="3" t="s">
        <v>90</v>
      </c>
      <c r="C11165" s="5">
        <v>4800</v>
      </c>
      <c r="D11165" s="6">
        <v>3.8</v>
      </c>
      <c r="E11165" t="s">
        <v>18</v>
      </c>
    </row>
    <row r="11166" spans="1:5" x14ac:dyDescent="0.25">
      <c r="A11166" t="str">
        <f>HYPERLINK("https://www.773grp.com/globalSearch/SN65LVDS31DR/page-1", "SN65LVDS31DR")</f>
        <v>SN65LVDS31DR</v>
      </c>
      <c r="B11166" s="3" t="s">
        <v>90</v>
      </c>
      <c r="C11166" s="5">
        <v>5000</v>
      </c>
      <c r="D11166" s="6">
        <v>3.8</v>
      </c>
      <c r="E11166" t="s">
        <v>18</v>
      </c>
    </row>
    <row r="11167" spans="1:5" x14ac:dyDescent="0.25">
      <c r="A11167" t="str">
        <f>HYPERLINK("https://www.773grp.com/globalSearch/SN65LVDS31PWR/page-1", "SN65LVDS31PWR")</f>
        <v>SN65LVDS31PWR</v>
      </c>
      <c r="B11167" s="3" t="s">
        <v>90</v>
      </c>
      <c r="C11167" s="5">
        <v>313</v>
      </c>
      <c r="D11167" s="6">
        <v>3.8</v>
      </c>
      <c r="E11167" t="s">
        <v>18</v>
      </c>
    </row>
    <row r="11168" spans="1:5" x14ac:dyDescent="0.25">
      <c r="A11168" t="str">
        <f>HYPERLINK("https://www.773grp.com/globalSearch/SN65LVDS32PWR/page-1", "SN65LVDS32PWR")</f>
        <v>SN65LVDS32PWR</v>
      </c>
      <c r="B11168" s="3" t="s">
        <v>90</v>
      </c>
      <c r="C11168" s="5">
        <v>2360</v>
      </c>
      <c r="D11168" s="6">
        <v>3.8</v>
      </c>
      <c r="E11168" t="s">
        <v>18</v>
      </c>
    </row>
    <row r="11169" spans="1:5" x14ac:dyDescent="0.25">
      <c r="A11169" t="str">
        <f>HYPERLINK("https://www.773grp.com/globalSearch/SN75LVDS31DR/page-1", "SN75LVDS31DR")</f>
        <v>SN75LVDS31DR</v>
      </c>
      <c r="B11169" s="3" t="s">
        <v>90</v>
      </c>
      <c r="C11169" s="5">
        <v>15798</v>
      </c>
      <c r="D11169" s="6">
        <v>3.8</v>
      </c>
      <c r="E11169" t="s">
        <v>18</v>
      </c>
    </row>
    <row r="11170" spans="1:5" x14ac:dyDescent="0.25">
      <c r="A11170" t="str">
        <f>HYPERLINK("https://www.773grp.com/globalSearch/SN75LVDS32DR/page-1", "SN75LVDS32DR")</f>
        <v>SN75LVDS32DR</v>
      </c>
      <c r="B11170" s="3" t="s">
        <v>90</v>
      </c>
      <c r="C11170" s="5">
        <v>19830</v>
      </c>
      <c r="D11170" s="6">
        <v>3.8</v>
      </c>
      <c r="E11170" t="s">
        <v>18</v>
      </c>
    </row>
    <row r="11171" spans="1:5" x14ac:dyDescent="0.25">
      <c r="A11171" t="str">
        <f>HYPERLINK("https://www.773grp.com/globalSearch/SNHVD3082EDGKG4/page-1", "SNHVD3082EDGKG4")</f>
        <v>SNHVD3082EDGKG4</v>
      </c>
      <c r="B11171" s="3" t="s">
        <v>90</v>
      </c>
      <c r="C11171" s="5">
        <v>200</v>
      </c>
      <c r="D11171" s="6">
        <v>3.8</v>
      </c>
      <c r="E11171" t="s">
        <v>18</v>
      </c>
    </row>
    <row r="11172" spans="1:5" x14ac:dyDescent="0.25">
      <c r="A11172" t="str">
        <f>HYPERLINK("https://www.773grp.com/globalSearch/SN75LVDS9637DR/page-1", "SN75LVDS9637DR")</f>
        <v>SN75LVDS9637DR</v>
      </c>
      <c r="B11172" s="3" t="str">
        <f>HYPERLINK("https://www.773grp.com/manufacturer/texas-instruments?pageNo=25", "Texas Instruments")</f>
        <v>Texas Instruments</v>
      </c>
      <c r="C11172" s="5">
        <v>65000</v>
      </c>
      <c r="D11172" s="6">
        <v>4.2300000000000004</v>
      </c>
      <c r="E11172" t="s">
        <v>18</v>
      </c>
    </row>
    <row r="11173" spans="1:5" x14ac:dyDescent="0.25">
      <c r="A11173" t="str">
        <f>HYPERLINK("https://www.773grp.com/globalSearch/TUSB1210BRHBR/page-1", "TUSB1210BRHBR")</f>
        <v>TUSB1210BRHBR</v>
      </c>
      <c r="B11173" s="3" t="str">
        <f>HYPERLINK("https://www.773grp.com/manufacturer/texas-instruments?pageNo=219", "Texas Instruments")</f>
        <v>Texas Instruments</v>
      </c>
      <c r="C11173" s="5">
        <v>4420</v>
      </c>
      <c r="D11173" s="6">
        <v>4.2300000000000004</v>
      </c>
      <c r="E11173" t="s">
        <v>18</v>
      </c>
    </row>
    <row r="11174" spans="1:5" x14ac:dyDescent="0.25">
      <c r="A11174" t="str">
        <f>HYPERLINK("https://www.773grp.com/globalSearch/MAX3223CDB/page-1", "MAX3223CDB")</f>
        <v>MAX3223CDB</v>
      </c>
      <c r="B11174" s="3" t="str">
        <f>HYPERLINK("https://www.773grp.com/manufacturer/texas-instruments?pageNo=244", "Texas Instruments")</f>
        <v>Texas Instruments</v>
      </c>
      <c r="C11174" s="5">
        <v>436</v>
      </c>
      <c r="D11174" s="6">
        <v>3.83</v>
      </c>
      <c r="E11174" t="s">
        <v>18</v>
      </c>
    </row>
    <row r="11175" spans="1:5" x14ac:dyDescent="0.25">
      <c r="A11175" t="str">
        <f>HYPERLINK("https://www.773grp.com/globalSearch/MAX3223EIDW/page-1", "MAX3223EIDW")</f>
        <v>MAX3223EIDW</v>
      </c>
      <c r="B11175" s="3" t="str">
        <f>HYPERLINK("https://www.773grp.com/manufacturer/texas-instruments?pageNo=246", "Texas Instruments")</f>
        <v>Texas Instruments</v>
      </c>
      <c r="C11175" s="5">
        <v>7650</v>
      </c>
      <c r="D11175" s="6">
        <v>3.83</v>
      </c>
      <c r="E11175" t="s">
        <v>18</v>
      </c>
    </row>
    <row r="11176" spans="1:5" x14ac:dyDescent="0.25">
      <c r="A11176" t="str">
        <f>HYPERLINK("https://www.773grp.com/globalSearch/MAX3223IDB/page-1", "MAX3223IDB")</f>
        <v>MAX3223IDB</v>
      </c>
      <c r="B11176" s="3" t="str">
        <f>HYPERLINK("https://www.773grp.com/manufacturer/texas-instruments?pageNo=247", "Texas Instruments")</f>
        <v>Texas Instruments</v>
      </c>
      <c r="C11176" s="5">
        <v>499</v>
      </c>
      <c r="D11176" s="6">
        <v>3.83</v>
      </c>
      <c r="E11176" t="s">
        <v>18</v>
      </c>
    </row>
    <row r="11177" spans="1:5" x14ac:dyDescent="0.25">
      <c r="A11177" t="str">
        <f>HYPERLINK("https://www.773grp.com/globalSearch/MAX3223IDW/page-1", "MAX3223IDW")</f>
        <v>MAX3223IDW</v>
      </c>
      <c r="B11177" s="3" t="str">
        <f>HYPERLINK("https://www.773grp.com/manufacturer/texas-instruments?pageNo=248", "Texas Instruments")</f>
        <v>Texas Instruments</v>
      </c>
      <c r="C11177" s="5">
        <v>1147</v>
      </c>
      <c r="D11177" s="6">
        <v>3.83</v>
      </c>
      <c r="E11177" t="s">
        <v>18</v>
      </c>
    </row>
    <row r="11178" spans="1:5" x14ac:dyDescent="0.25">
      <c r="A11178" t="str">
        <f>HYPERLINK("https://www.773grp.com/globalSearch/MAX3223IPW/page-1", "MAX3223IPW")</f>
        <v>MAX3223IPW</v>
      </c>
      <c r="B11178" s="3" t="str">
        <f>HYPERLINK("https://www.773grp.com/manufacturer/texas-instruments?pageNo=249", "Texas Instruments")</f>
        <v>Texas Instruments</v>
      </c>
      <c r="C11178" s="5">
        <v>953</v>
      </c>
      <c r="D11178" s="6">
        <v>3.83</v>
      </c>
      <c r="E11178" t="s">
        <v>18</v>
      </c>
    </row>
    <row r="11179" spans="1:5" x14ac:dyDescent="0.25">
      <c r="A11179" t="str">
        <f>HYPERLINK("https://www.773grp.com/globalSearch/MAX3237EIDWR/page-1", "MAX3237EIDWR")</f>
        <v>MAX3237EIDWR</v>
      </c>
      <c r="B11179" s="3" t="str">
        <f>HYPERLINK("https://www.773grp.com/manufacturer/texas-instruments?pageNo=251", "Texas Instruments")</f>
        <v>Texas Instruments</v>
      </c>
      <c r="C11179" s="5">
        <v>1000</v>
      </c>
      <c r="D11179" s="6">
        <v>3.83</v>
      </c>
      <c r="E11179" t="s">
        <v>18</v>
      </c>
    </row>
    <row r="11180" spans="1:5" x14ac:dyDescent="0.25">
      <c r="A11180" t="str">
        <f>HYPERLINK("https://www.773grp.com/globalSearch/MAX3237EIPWR/page-1", "MAX3237EIPWR")</f>
        <v>MAX3237EIPWR</v>
      </c>
      <c r="B11180" s="3" t="str">
        <f>HYPERLINK("https://www.773grp.com/manufacturer/texas-instruments?pageNo=252", "Texas Instruments")</f>
        <v>Texas Instruments</v>
      </c>
      <c r="C11180" s="5">
        <v>4282</v>
      </c>
      <c r="D11180" s="6">
        <v>3.83</v>
      </c>
      <c r="E11180" t="s">
        <v>18</v>
      </c>
    </row>
    <row r="11181" spans="1:5" x14ac:dyDescent="0.25">
      <c r="A11181" t="str">
        <f>HYPERLINK("https://www.773grp.com/globalSearch/SN65C3232D/page-1", "SN65C3232D")</f>
        <v>SN65C3232D</v>
      </c>
      <c r="B11181" s="3" t="str">
        <f>HYPERLINK("https://www.773grp.com/manufacturer/texas-instruments?pageNo=254", "Texas Instruments")</f>
        <v>Texas Instruments</v>
      </c>
      <c r="C11181" s="5">
        <v>1170</v>
      </c>
      <c r="D11181" s="6">
        <v>3.83</v>
      </c>
      <c r="E11181" t="s">
        <v>18</v>
      </c>
    </row>
    <row r="11182" spans="1:5" x14ac:dyDescent="0.25">
      <c r="A11182" t="str">
        <f>HYPERLINK("https://www.773grp.com/globalSearch/SN65C3232DW/page-1", "SN65C3232DW")</f>
        <v>SN65C3232DW</v>
      </c>
      <c r="B11182" s="3" t="str">
        <f>HYPERLINK("https://www.773grp.com/manufacturer/texas-instruments?pageNo=255", "Texas Instruments")</f>
        <v>Texas Instruments</v>
      </c>
      <c r="C11182" s="5">
        <v>120</v>
      </c>
      <c r="D11182" s="6">
        <v>3.83</v>
      </c>
      <c r="E11182" t="s">
        <v>18</v>
      </c>
    </row>
    <row r="11183" spans="1:5" x14ac:dyDescent="0.25">
      <c r="A11183" t="str">
        <f>HYPERLINK("https://www.773grp.com/globalSearch/SN65C3232PW/page-1", "SN65C3232PW")</f>
        <v>SN65C3232PW</v>
      </c>
      <c r="B11183" s="3" t="str">
        <f>HYPERLINK("https://www.773grp.com/manufacturer/texas-instruments?pageNo=256", "Texas Instruments")</f>
        <v>Texas Instruments</v>
      </c>
      <c r="C11183" s="5">
        <v>13</v>
      </c>
      <c r="D11183" s="6">
        <v>3.83</v>
      </c>
      <c r="E11183" t="s">
        <v>18</v>
      </c>
    </row>
    <row r="11184" spans="1:5" x14ac:dyDescent="0.25">
      <c r="A11184" t="str">
        <f>HYPERLINK("https://www.773grp.com/globalSearch/SN65C3238EDBR/page-1", "SN65C3238EDBR")</f>
        <v>SN65C3238EDBR</v>
      </c>
      <c r="B11184" s="3" t="str">
        <f>HYPERLINK("https://www.773grp.com/manufacturer/texas-instruments?pageNo=257", "Texas Instruments")</f>
        <v>Texas Instruments</v>
      </c>
      <c r="C11184" s="5">
        <v>6000</v>
      </c>
      <c r="D11184" s="6">
        <v>3.83</v>
      </c>
      <c r="E11184" t="s">
        <v>18</v>
      </c>
    </row>
    <row r="11185" spans="1:5" x14ac:dyDescent="0.25">
      <c r="A11185" t="str">
        <f>HYPERLINK("https://www.773grp.com/globalSearch/SN65C3238EDWR/page-1", "SN65C3238EDWR")</f>
        <v>SN65C3238EDWR</v>
      </c>
      <c r="B11185" s="3" t="str">
        <f>HYPERLINK("https://www.773grp.com/manufacturer/texas-instruments?pageNo=258", "Texas Instruments")</f>
        <v>Texas Instruments</v>
      </c>
      <c r="C11185" s="5">
        <v>3000</v>
      </c>
      <c r="D11185" s="6">
        <v>3.83</v>
      </c>
      <c r="E11185" t="s">
        <v>18</v>
      </c>
    </row>
    <row r="11186" spans="1:5" x14ac:dyDescent="0.25">
      <c r="A11186" t="str">
        <f>HYPERLINK("https://www.773grp.com/globalSearch/SN75115NS/page-1", "SN75115NS")</f>
        <v>SN75115NS</v>
      </c>
      <c r="B11186" s="3" t="str">
        <f>HYPERLINK("https://www.773grp.com/manufacturer/texas-instruments?pageNo=292", "Texas Instruments")</f>
        <v>Texas Instruments</v>
      </c>
      <c r="C11186" s="5">
        <v>250</v>
      </c>
      <c r="D11186" s="6">
        <v>3.83</v>
      </c>
      <c r="E11186" t="s">
        <v>18</v>
      </c>
    </row>
    <row r="11187" spans="1:5" x14ac:dyDescent="0.25">
      <c r="A11187" t="str">
        <f>HYPERLINK("https://www.773grp.com/globalSearch/SN75C3238EDBR/page-1", "SN75C3238EDBR")</f>
        <v>SN75C3238EDBR</v>
      </c>
      <c r="B11187" s="3" t="str">
        <f>HYPERLINK("https://www.773grp.com/manufacturer/texas-instruments?pageNo=293", "Texas Instruments")</f>
        <v>Texas Instruments</v>
      </c>
      <c r="C11187" s="5">
        <v>4853</v>
      </c>
      <c r="D11187" s="6">
        <v>3.83</v>
      </c>
      <c r="E11187" t="s">
        <v>18</v>
      </c>
    </row>
    <row r="11188" spans="1:5" x14ac:dyDescent="0.25">
      <c r="A11188" t="str">
        <f>HYPERLINK("https://www.773grp.com/globalSearch/SN75C3238EDWR/page-1", "SN75C3238EDWR")</f>
        <v>SN75C3238EDWR</v>
      </c>
      <c r="B11188" s="3" t="str">
        <f>HYPERLINK("https://www.773grp.com/manufacturer/texas-instruments?pageNo=294", "Texas Instruments")</f>
        <v>Texas Instruments</v>
      </c>
      <c r="C11188" s="5">
        <v>2000</v>
      </c>
      <c r="D11188" s="6">
        <v>3.83</v>
      </c>
      <c r="E11188" t="s">
        <v>18</v>
      </c>
    </row>
    <row r="11189" spans="1:5" x14ac:dyDescent="0.25">
      <c r="A11189" t="str">
        <f>HYPERLINK("https://www.773grp.com/globalSearch/SN75LBC176ADR/page-1", "SN75LBC176ADR")</f>
        <v>SN75LBC176ADR</v>
      </c>
      <c r="B11189" s="3" t="str">
        <f>HYPERLINK("https://www.773grp.com/manufacturer/texas-instruments?pageNo=295", "Texas Instruments")</f>
        <v>Texas Instruments</v>
      </c>
      <c r="C11189" s="5">
        <v>8500</v>
      </c>
      <c r="D11189" s="6">
        <v>3.83</v>
      </c>
      <c r="E11189" t="s">
        <v>18</v>
      </c>
    </row>
    <row r="11190" spans="1:5" x14ac:dyDescent="0.25">
      <c r="A11190" t="str">
        <f>HYPERLINK("https://www.773grp.com/globalSearch/TRS3223EIDB/page-1", "TRS3223EIDB")</f>
        <v>TRS3223EIDB</v>
      </c>
      <c r="B11190" s="3" t="str">
        <f>HYPERLINK("https://www.773grp.com/manufacturer/texas-instruments?pageNo=313", "Texas Instruments")</f>
        <v>Texas Instruments</v>
      </c>
      <c r="C11190" s="5">
        <v>983</v>
      </c>
      <c r="D11190" s="6">
        <v>3.83</v>
      </c>
      <c r="E11190" t="s">
        <v>18</v>
      </c>
    </row>
    <row r="11191" spans="1:5" x14ac:dyDescent="0.25">
      <c r="A11191" t="str">
        <f>HYPERLINK("https://www.773grp.com/globalSearch/TRSF3238ECDWR/page-1", "TRSF3238ECDWR")</f>
        <v>TRSF3238ECDWR</v>
      </c>
      <c r="B11191" s="3" t="str">
        <f>HYPERLINK("https://www.773grp.com/manufacturer/texas-instruments?pageNo=315", "Texas Instruments")</f>
        <v>Texas Instruments</v>
      </c>
      <c r="C11191" s="5">
        <v>1000</v>
      </c>
      <c r="D11191" s="6">
        <v>3.83</v>
      </c>
      <c r="E11191" t="s">
        <v>18</v>
      </c>
    </row>
    <row r="11192" spans="1:5" x14ac:dyDescent="0.25">
      <c r="A11192" t="str">
        <f>HYPERLINK("https://www.773grp.com/globalSearch/TRSF3238EIDWR/page-1", "TRSF3238EIDWR")</f>
        <v>TRSF3238EIDWR</v>
      </c>
      <c r="B11192" s="3" t="str">
        <f>HYPERLINK("https://www.773grp.com/manufacturer/texas-instruments?pageNo=316", "Texas Instruments")</f>
        <v>Texas Instruments</v>
      </c>
      <c r="C11192" s="5">
        <v>1000</v>
      </c>
      <c r="D11192" s="6">
        <v>3.83</v>
      </c>
      <c r="E11192" t="s">
        <v>18</v>
      </c>
    </row>
    <row r="11193" spans="1:5" x14ac:dyDescent="0.25">
      <c r="A11193" t="str">
        <f>HYPERLINK("https://www.773grp.com/globalSearch/MAX3318EIDBR/page-1", "MAX3318EIDBR")</f>
        <v>MAX3318EIDBR</v>
      </c>
      <c r="B11193" s="3" t="str">
        <f>HYPERLINK("https://www.773grp.com/manufacturer/texas-instruments?pageNo=318", "Texas Instruments")</f>
        <v>Texas Instruments</v>
      </c>
      <c r="C11193" s="5">
        <v>8000</v>
      </c>
      <c r="D11193" s="6">
        <v>3.85</v>
      </c>
      <c r="E11193" t="s">
        <v>18</v>
      </c>
    </row>
    <row r="11194" spans="1:5" x14ac:dyDescent="0.25">
      <c r="A11194" t="str">
        <f>HYPERLINK("https://www.773grp.com/globalSearch/MAX3318IDBR/page-1", "MAX3318IDBR")</f>
        <v>MAX3318IDBR</v>
      </c>
      <c r="B11194" s="3" t="str">
        <f>HYPERLINK("https://www.773grp.com/manufacturer/texas-instruments?pageNo=319", "Texas Instruments")</f>
        <v>Texas Instruments</v>
      </c>
      <c r="C11194" s="5">
        <v>5995</v>
      </c>
      <c r="D11194" s="6">
        <v>3.85</v>
      </c>
      <c r="E11194" t="s">
        <v>18</v>
      </c>
    </row>
    <row r="11195" spans="1:5" x14ac:dyDescent="0.25">
      <c r="A11195" t="str">
        <f>HYPERLINK("https://www.773grp.com/globalSearch/MAX3318IPWR/page-1", "MAX3318IPWR")</f>
        <v>MAX3318IPWR</v>
      </c>
      <c r="B11195" s="3" t="str">
        <f>HYPERLINK("https://www.773grp.com/manufacturer/texas-instruments?pageNo=320", "Texas Instruments")</f>
        <v>Texas Instruments</v>
      </c>
      <c r="C11195" s="5">
        <v>9697</v>
      </c>
      <c r="D11195" s="6">
        <v>3.85</v>
      </c>
      <c r="E11195" t="s">
        <v>18</v>
      </c>
    </row>
    <row r="11196" spans="1:5" x14ac:dyDescent="0.25">
      <c r="A11196" t="str">
        <f>HYPERLINK("https://www.773grp.com/globalSearch/SN65LVDS048ADR/page-1", "SN65LVDS048ADR")</f>
        <v>SN65LVDS048ADR</v>
      </c>
      <c r="B11196" s="3" t="str">
        <f>HYPERLINK("https://www.773grp.com/manufacturer/texas-instruments?pageNo=329", "Texas Instruments")</f>
        <v>Texas Instruments</v>
      </c>
      <c r="C11196" s="5">
        <v>2500</v>
      </c>
      <c r="D11196" s="6">
        <v>3.85</v>
      </c>
      <c r="E11196" t="s">
        <v>18</v>
      </c>
    </row>
    <row r="11197" spans="1:5" x14ac:dyDescent="0.25">
      <c r="A11197" t="str">
        <f>HYPERLINK("https://www.773grp.com/globalSearch/SN65LVDS179DGKR/page-1", "SN65LVDS179DGKR")</f>
        <v>SN65LVDS179DGKR</v>
      </c>
      <c r="B11197" s="3" t="str">
        <f>HYPERLINK("https://www.773grp.com/manufacturer/texas-instruments?pageNo=330", "Texas Instruments")</f>
        <v>Texas Instruments</v>
      </c>
      <c r="C11197" s="5">
        <v>1980</v>
      </c>
      <c r="D11197" s="6">
        <v>3.85</v>
      </c>
      <c r="E11197" t="s">
        <v>18</v>
      </c>
    </row>
    <row r="11198" spans="1:5" x14ac:dyDescent="0.25">
      <c r="A11198" t="str">
        <f>HYPERLINK("https://www.773grp.com/globalSearch/SN65LVDS179DR/page-1", "SN65LVDS179DR")</f>
        <v>SN65LVDS179DR</v>
      </c>
      <c r="B11198" s="3" t="str">
        <f>HYPERLINK("https://www.773grp.com/manufacturer/texas-instruments?pageNo=331", "Texas Instruments")</f>
        <v>Texas Instruments</v>
      </c>
      <c r="C11198" s="5">
        <v>6942</v>
      </c>
      <c r="D11198" s="6">
        <v>3.85</v>
      </c>
      <c r="E11198" t="s">
        <v>18</v>
      </c>
    </row>
    <row r="11199" spans="1:5" x14ac:dyDescent="0.25">
      <c r="A11199" t="str">
        <f>HYPERLINK("https://www.773grp.com/globalSearch/SN65LVDS180DR/page-1", "SN65LVDS180DR")</f>
        <v>SN65LVDS180DR</v>
      </c>
      <c r="B11199" s="3" t="str">
        <f>HYPERLINK("https://www.773grp.com/manufacturer/texas-instruments?pageNo=332", "Texas Instruments")</f>
        <v>Texas Instruments</v>
      </c>
      <c r="C11199" s="5">
        <v>2500</v>
      </c>
      <c r="D11199" s="6">
        <v>3.85</v>
      </c>
      <c r="E11199" t="s">
        <v>18</v>
      </c>
    </row>
    <row r="11200" spans="1:5" x14ac:dyDescent="0.25">
      <c r="A11200" t="str">
        <f>HYPERLINK("https://www.773grp.com/globalSearch/SN75LBC179AD/page-1", "SN75LBC179AD")</f>
        <v>SN75LBC179AD</v>
      </c>
      <c r="B11200" s="3" t="str">
        <f>HYPERLINK("https://www.773grp.com/manufacturer/texas-instruments?pageNo=345", "Texas Instruments")</f>
        <v>Texas Instruments</v>
      </c>
      <c r="C11200" s="5">
        <v>2189</v>
      </c>
      <c r="D11200" s="6">
        <v>3.85</v>
      </c>
      <c r="E11200" t="s">
        <v>18</v>
      </c>
    </row>
    <row r="11201" spans="1:5" x14ac:dyDescent="0.25">
      <c r="A11201" t="str">
        <f>HYPERLINK("https://www.773grp.com/globalSearch/SN75LBC179ADG4/page-1", "SN75LBC179ADG4")</f>
        <v>SN75LBC179ADG4</v>
      </c>
      <c r="B11201" s="3" t="str">
        <f>HYPERLINK("https://www.773grp.com/manufacturer/texas-instruments?pageNo=346", "Texas Instruments")</f>
        <v>Texas Instruments</v>
      </c>
      <c r="C11201" s="5">
        <v>300</v>
      </c>
      <c r="D11201" s="6">
        <v>3.85</v>
      </c>
      <c r="E11201" t="s">
        <v>18</v>
      </c>
    </row>
    <row r="11202" spans="1:5" x14ac:dyDescent="0.25">
      <c r="A11202" t="str">
        <f>HYPERLINK("https://www.773grp.com/globalSearch/SN65LBC184DR/page-1", "SN65LBC184DR")</f>
        <v>SN65LBC184DR</v>
      </c>
      <c r="B11202" s="3" t="str">
        <f>HYPERLINK("https://www.773grp.com/manufacturer/texas-instruments?pageNo=424", "Texas Instruments")</f>
        <v>Texas Instruments</v>
      </c>
      <c r="C11202" s="5">
        <v>5000</v>
      </c>
      <c r="D11202" s="6">
        <v>3.89</v>
      </c>
      <c r="E11202" t="s">
        <v>18</v>
      </c>
    </row>
    <row r="11203" spans="1:5" x14ac:dyDescent="0.25">
      <c r="A11203" t="str">
        <f>HYPERLINK("https://www.773grp.com/globalSearch/MAX3318CDB/page-1", "MAX3318CDB")</f>
        <v>MAX3318CDB</v>
      </c>
      <c r="B11203" s="3" t="str">
        <f>HYPERLINK("https://www.773grp.com/manufacturer/texas-instruments?pageNo=551", "Texas Instruments")</f>
        <v>Texas Instruments</v>
      </c>
      <c r="C11203" s="5">
        <v>7219</v>
      </c>
      <c r="D11203" s="6">
        <v>3.94</v>
      </c>
      <c r="E11203" t="s">
        <v>18</v>
      </c>
    </row>
    <row r="11204" spans="1:5" x14ac:dyDescent="0.25">
      <c r="A11204" t="str">
        <f>HYPERLINK("https://www.773grp.com/globalSearch/MAX3318CPW/page-1", "MAX3318CPW")</f>
        <v>MAX3318CPW</v>
      </c>
      <c r="B11204" s="3" t="str">
        <f>HYPERLINK("https://www.773grp.com/manufacturer/texas-instruments?pageNo=552", "Texas Instruments")</f>
        <v>Texas Instruments</v>
      </c>
      <c r="C11204" s="5">
        <v>7414</v>
      </c>
      <c r="D11204" s="6">
        <v>3.94</v>
      </c>
      <c r="E11204" t="s">
        <v>18</v>
      </c>
    </row>
    <row r="11205" spans="1:5" x14ac:dyDescent="0.25">
      <c r="A11205" t="str">
        <f>HYPERLINK("https://www.773grp.com/globalSearch/MAX3318ECDB/page-1", "MAX3318ECDB")</f>
        <v>MAX3318ECDB</v>
      </c>
      <c r="B11205" s="3" t="str">
        <f>HYPERLINK("https://www.773grp.com/manufacturer/texas-instruments?pageNo=553", "Texas Instruments")</f>
        <v>Texas Instruments</v>
      </c>
      <c r="C11205" s="5">
        <v>700</v>
      </c>
      <c r="D11205" s="6">
        <v>3.94</v>
      </c>
      <c r="E11205" t="s">
        <v>18</v>
      </c>
    </row>
    <row r="11206" spans="1:5" x14ac:dyDescent="0.25">
      <c r="A11206" t="str">
        <f>HYPERLINK("https://www.773grp.com/globalSearch/MAX3318ECDB/page-1", "MAX3318ECDB")</f>
        <v>MAX3318ECDB</v>
      </c>
      <c r="B11206" s="3" t="str">
        <f>HYPERLINK("https://www.773grp.com/manufacturer/texas-instruments?pageNo=554", "Texas Instruments")</f>
        <v>Texas Instruments</v>
      </c>
      <c r="C11206" s="5">
        <v>3890</v>
      </c>
      <c r="D11206" s="6">
        <v>3.94</v>
      </c>
      <c r="E11206" t="s">
        <v>18</v>
      </c>
    </row>
    <row r="11207" spans="1:5" x14ac:dyDescent="0.25">
      <c r="A11207" t="str">
        <f>HYPERLINK("https://www.773grp.com/globalSearch/MAX3318ECPW/page-1", "MAX3318ECPW")</f>
        <v>MAX3318ECPW</v>
      </c>
      <c r="B11207" s="3" t="str">
        <f>HYPERLINK("https://www.773grp.com/manufacturer/texas-instruments?pageNo=555", "Texas Instruments")</f>
        <v>Texas Instruments</v>
      </c>
      <c r="C11207" s="5">
        <v>2638</v>
      </c>
      <c r="D11207" s="6">
        <v>3.94</v>
      </c>
      <c r="E11207" t="s">
        <v>18</v>
      </c>
    </row>
    <row r="11208" spans="1:5" x14ac:dyDescent="0.25">
      <c r="A11208" t="str">
        <f>HYPERLINK("https://www.773grp.com/globalSearch/SN65HVD11DR/page-1", "SN65HVD11DR")</f>
        <v>SN65HVD11DR</v>
      </c>
      <c r="B11208" s="3" t="str">
        <f>HYPERLINK("https://www.773grp.com/manufacturer/texas-instruments?pageNo=580", "Texas Instruments")</f>
        <v>Texas Instruments</v>
      </c>
      <c r="C11208" s="5">
        <v>1698</v>
      </c>
      <c r="D11208" s="6">
        <v>3.94</v>
      </c>
      <c r="E11208" t="s">
        <v>18</v>
      </c>
    </row>
    <row r="11209" spans="1:5" x14ac:dyDescent="0.25">
      <c r="A11209" t="str">
        <f>HYPERLINK("https://www.773grp.com/globalSearch/SN65HVD12DR/page-1", "SN65HVD12DR")</f>
        <v>SN65HVD12DR</v>
      </c>
      <c r="B11209" s="3" t="str">
        <f>HYPERLINK("https://www.773grp.com/manufacturer/texas-instruments?pageNo=581", "Texas Instruments")</f>
        <v>Texas Instruments</v>
      </c>
      <c r="C11209" s="5">
        <v>7500</v>
      </c>
      <c r="D11209" s="6">
        <v>3.94</v>
      </c>
      <c r="E11209" t="s">
        <v>18</v>
      </c>
    </row>
    <row r="11210" spans="1:5" x14ac:dyDescent="0.25">
      <c r="A11210" t="str">
        <f>HYPERLINK("https://www.773grp.com/globalSearch/SN65HVD20DR/page-1", "SN65HVD20DR")</f>
        <v>SN65HVD20DR</v>
      </c>
      <c r="B11210" s="3" t="str">
        <f>HYPERLINK("https://www.773grp.com/manufacturer/texas-instruments?pageNo=582", "Texas Instruments")</f>
        <v>Texas Instruments</v>
      </c>
      <c r="C11210" s="5">
        <v>4425</v>
      </c>
      <c r="D11210" s="6">
        <v>3.94</v>
      </c>
      <c r="E11210" t="s">
        <v>18</v>
      </c>
    </row>
    <row r="11211" spans="1:5" x14ac:dyDescent="0.25">
      <c r="A11211" t="str">
        <f>HYPERLINK("https://www.773grp.com/globalSearch/SN65LVDT390DR/page-1", "SN65LVDT390DR")</f>
        <v>SN65LVDT390DR</v>
      </c>
      <c r="B11211" s="3" t="str">
        <f>HYPERLINK("https://www.773grp.com/manufacturer/texas-instruments?pageNo=585", "Texas Instruments")</f>
        <v>Texas Instruments</v>
      </c>
      <c r="C11211" s="5">
        <v>12188</v>
      </c>
      <c r="D11211" s="6">
        <v>3.94</v>
      </c>
      <c r="E11211" t="s">
        <v>18</v>
      </c>
    </row>
    <row r="11212" spans="1:5" x14ac:dyDescent="0.25">
      <c r="A11212" t="str">
        <f>HYPERLINK("https://www.773grp.com/globalSearch/SN65MLVD201DR/page-1", "SN65MLVD201DR")</f>
        <v>SN65MLVD201DR</v>
      </c>
      <c r="B11212" s="3" t="str">
        <f>HYPERLINK("https://www.773grp.com/manufacturer/texas-instruments?pageNo=587", "Texas Instruments")</f>
        <v>Texas Instruments</v>
      </c>
      <c r="C11212" s="5">
        <v>4100</v>
      </c>
      <c r="D11212" s="6">
        <v>3.94</v>
      </c>
      <c r="E11212" t="s">
        <v>18</v>
      </c>
    </row>
    <row r="11213" spans="1:5" x14ac:dyDescent="0.25">
      <c r="A11213" t="str">
        <f>HYPERLINK("https://www.773grp.com/globalSearch/SN65MLVD203DR/page-1", "SN65MLVD203DR")</f>
        <v>SN65MLVD203DR</v>
      </c>
      <c r="B11213" s="3" t="str">
        <f>HYPERLINK("https://www.773grp.com/manufacturer/texas-instruments?pageNo=588", "Texas Instruments")</f>
        <v>Texas Instruments</v>
      </c>
      <c r="C11213" s="5">
        <v>1760</v>
      </c>
      <c r="D11213" s="6">
        <v>3.94</v>
      </c>
      <c r="E11213" t="s">
        <v>18</v>
      </c>
    </row>
    <row r="11214" spans="1:5" x14ac:dyDescent="0.25">
      <c r="A11214" t="str">
        <f>HYPERLINK("https://www.773grp.com/globalSearch/SN65MLVD206DR/page-1", "SN65MLVD206DR")</f>
        <v>SN65MLVD206DR</v>
      </c>
      <c r="B11214" s="3" t="str">
        <f>HYPERLINK("https://www.773grp.com/manufacturer/texas-instruments?pageNo=589", "Texas Instruments")</f>
        <v>Texas Instruments</v>
      </c>
      <c r="C11214" s="5">
        <v>22150</v>
      </c>
      <c r="D11214" s="6">
        <v>3.94</v>
      </c>
      <c r="E11214" t="s">
        <v>18</v>
      </c>
    </row>
    <row r="11215" spans="1:5" x14ac:dyDescent="0.25">
      <c r="A11215" t="str">
        <f>HYPERLINK("https://www.773grp.com/globalSearch/SN75ALS175N/page-1", "SN75ALS175N")</f>
        <v>SN75ALS175N</v>
      </c>
      <c r="B11215" s="3" t="str">
        <f>HYPERLINK("https://www.773grp.com/manufacturer/texas-instruments?pageNo=597", "Texas Instruments")</f>
        <v>Texas Instruments</v>
      </c>
      <c r="C11215" s="5">
        <v>11395</v>
      </c>
      <c r="D11215" s="6">
        <v>3.94</v>
      </c>
      <c r="E11215" t="s">
        <v>18</v>
      </c>
    </row>
    <row r="11216" spans="1:5" x14ac:dyDescent="0.25">
      <c r="A11216" t="str">
        <f>HYPERLINK("https://www.773grp.com/globalSearch/SN75ALS181N/page-1", "SN75ALS181N")</f>
        <v>SN75ALS181N</v>
      </c>
      <c r="B11216" s="3" t="str">
        <f>HYPERLINK("https://www.773grp.com/manufacturer/texas-instruments?pageNo=598", "Texas Instruments")</f>
        <v>Texas Instruments</v>
      </c>
      <c r="C11216" s="5">
        <v>3192</v>
      </c>
      <c r="D11216" s="6">
        <v>3.94</v>
      </c>
      <c r="E11216" t="s">
        <v>18</v>
      </c>
    </row>
    <row r="11217" spans="1:5" x14ac:dyDescent="0.25">
      <c r="A11217" t="str">
        <f>HYPERLINK("https://www.773grp.com/globalSearch/SN75HVD12DR/page-1", "SN75HVD12DR")</f>
        <v>SN75HVD12DR</v>
      </c>
      <c r="B11217" s="3" t="str">
        <f>HYPERLINK("https://www.773grp.com/manufacturer/texas-instruments?pageNo=602", "Texas Instruments")</f>
        <v>Texas Instruments</v>
      </c>
      <c r="C11217" s="5">
        <v>15</v>
      </c>
      <c r="D11217" s="6">
        <v>3.94</v>
      </c>
      <c r="E11217" t="s">
        <v>18</v>
      </c>
    </row>
    <row r="11218" spans="1:5" x14ac:dyDescent="0.25">
      <c r="A11218" t="str">
        <f>HYPERLINK("https://www.773grp.com/globalSearch/SN75LVDT390DR/page-1", "SN75LVDT390DR")</f>
        <v>SN75LVDT390DR</v>
      </c>
      <c r="B11218" s="3" t="str">
        <f>HYPERLINK("https://www.773grp.com/manufacturer/texas-instruments?pageNo=604", "Texas Instruments")</f>
        <v>Texas Instruments</v>
      </c>
      <c r="C11218" s="5">
        <v>2500</v>
      </c>
      <c r="D11218" s="6">
        <v>3.94</v>
      </c>
      <c r="E11218" t="s">
        <v>18</v>
      </c>
    </row>
    <row r="11219" spans="1:5" x14ac:dyDescent="0.25">
      <c r="A11219" t="str">
        <f>HYPERLINK("https://www.773grp.com/globalSearch/SN75LVDT390PWR/page-1", "SN75LVDT390PWR")</f>
        <v>SN75LVDT390PWR</v>
      </c>
      <c r="B11219" s="3" t="str">
        <f>HYPERLINK("https://www.773grp.com/manufacturer/texas-instruments?pageNo=605", "Texas Instruments")</f>
        <v>Texas Instruments</v>
      </c>
      <c r="C11219" s="5">
        <v>10000</v>
      </c>
      <c r="D11219" s="6">
        <v>3.94</v>
      </c>
      <c r="E11219" t="s">
        <v>18</v>
      </c>
    </row>
    <row r="11220" spans="1:5" x14ac:dyDescent="0.25">
      <c r="A11220" t="str">
        <f>HYPERLINK("https://www.773grp.com/globalSearch/THS6204IPWPR/page-1", "THS6204IPWPR")</f>
        <v>THS6204IPWPR</v>
      </c>
      <c r="B11220" s="3" t="str">
        <f>HYPERLINK("https://www.773grp.com/manufacturer/texas-instruments?pageNo=610", "Texas Instruments")</f>
        <v>Texas Instruments</v>
      </c>
      <c r="C11220" s="5">
        <v>36000</v>
      </c>
      <c r="D11220" s="6">
        <v>3.94</v>
      </c>
      <c r="E11220" t="s">
        <v>18</v>
      </c>
    </row>
    <row r="11221" spans="1:5" x14ac:dyDescent="0.25">
      <c r="A11221" t="str">
        <f>HYPERLINK("https://www.773grp.com/globalSearch/THS6204IRHFR/page-1", "THS6204IRHFR")</f>
        <v>THS6204IRHFR</v>
      </c>
      <c r="B11221" s="3" t="str">
        <f>HYPERLINK("https://www.773grp.com/manufacturer/texas-instruments?pageNo=611", "Texas Instruments")</f>
        <v>Texas Instruments</v>
      </c>
      <c r="C11221" s="5">
        <v>33000</v>
      </c>
      <c r="D11221" s="6">
        <v>3.94</v>
      </c>
      <c r="E11221" t="s">
        <v>18</v>
      </c>
    </row>
    <row r="11222" spans="1:5" x14ac:dyDescent="0.25">
      <c r="A11222" t="str">
        <f>HYPERLINK("https://www.773grp.com/globalSearch/THS6214IPWPR/page-1", "THS6214IPWPR")</f>
        <v>THS6214IPWPR</v>
      </c>
      <c r="B11222" s="3" t="str">
        <f>HYPERLINK("https://www.773grp.com/manufacturer/texas-instruments?pageNo=612", "Texas Instruments")</f>
        <v>Texas Instruments</v>
      </c>
      <c r="C11222" s="5">
        <v>12000</v>
      </c>
      <c r="D11222" s="6">
        <v>3.94</v>
      </c>
      <c r="E11222" t="s">
        <v>18</v>
      </c>
    </row>
    <row r="11223" spans="1:5" x14ac:dyDescent="0.25">
      <c r="A11223" t="str">
        <f>HYPERLINK("https://www.773grp.com/globalSearch/TRS3318ECDB/page-1", "TRS3318ECDB")</f>
        <v>TRS3318ECDB</v>
      </c>
      <c r="B11223" s="3" t="str">
        <f>HYPERLINK("https://www.773grp.com/manufacturer/texas-instruments?pageNo=680", "Texas Instruments")</f>
        <v>Texas Instruments</v>
      </c>
      <c r="C11223" s="5">
        <v>2821</v>
      </c>
      <c r="D11223" s="6">
        <v>3.94</v>
      </c>
      <c r="E11223" t="s">
        <v>18</v>
      </c>
    </row>
    <row r="11224" spans="1:5" x14ac:dyDescent="0.25">
      <c r="A11224" t="str">
        <f>HYPERLINK("https://www.773grp.com/globalSearch/TRS3318ECPW/page-1", "TRS3318ECPW")</f>
        <v>TRS3318ECPW</v>
      </c>
      <c r="B11224" s="3" t="str">
        <f>HYPERLINK("https://www.773grp.com/manufacturer/texas-instruments?pageNo=681", "Texas Instruments")</f>
        <v>Texas Instruments</v>
      </c>
      <c r="C11224" s="5">
        <v>40</v>
      </c>
      <c r="D11224" s="6">
        <v>3.94</v>
      </c>
      <c r="E11224" t="s">
        <v>18</v>
      </c>
    </row>
    <row r="11225" spans="1:5" x14ac:dyDescent="0.25">
      <c r="A11225" t="str">
        <f>HYPERLINK("https://www.773grp.com/globalSearch/SN65C3238DWR/page-1", "SN65C3238DWR")</f>
        <v>SN65C3238DWR</v>
      </c>
      <c r="B11225" s="3" t="str">
        <f>HYPERLINK("https://www.773grp.com/manufacturer/texas-instruments?pageNo=731", "Texas Instruments")</f>
        <v>Texas Instruments</v>
      </c>
      <c r="C11225" s="5">
        <v>6000</v>
      </c>
      <c r="D11225" s="6">
        <v>3.96</v>
      </c>
      <c r="E11225" t="s">
        <v>18</v>
      </c>
    </row>
    <row r="11226" spans="1:5" x14ac:dyDescent="0.25">
      <c r="A11226" t="str">
        <f>HYPERLINK("https://www.773grp.com/globalSearch/SN75ALS180DR/page-1", "SN75ALS180DR")</f>
        <v>SN75ALS180DR</v>
      </c>
      <c r="B11226" s="3" t="str">
        <f>HYPERLINK("https://www.773grp.com/manufacturer/texas-instruments?pageNo=738", "Texas Instruments")</f>
        <v>Texas Instruments</v>
      </c>
      <c r="C11226" s="5">
        <v>2500</v>
      </c>
      <c r="D11226" s="6">
        <v>3.96</v>
      </c>
      <c r="E11226" t="s">
        <v>18</v>
      </c>
    </row>
    <row r="11227" spans="1:5" x14ac:dyDescent="0.25">
      <c r="A11227" t="str">
        <f>HYPERLINK("https://www.773grp.com/globalSearch/SN75ALS195N/page-1", "SN75ALS195N")</f>
        <v>SN75ALS195N</v>
      </c>
      <c r="B11227" s="3" t="str">
        <f>HYPERLINK("https://www.773grp.com/manufacturer/texas-instruments?pageNo=739", "Texas Instruments")</f>
        <v>Texas Instruments</v>
      </c>
      <c r="C11227" s="5">
        <v>21581</v>
      </c>
      <c r="D11227" s="6">
        <v>3.96</v>
      </c>
      <c r="E11227" t="s">
        <v>18</v>
      </c>
    </row>
    <row r="11228" spans="1:5" x14ac:dyDescent="0.25">
      <c r="A11228" t="str">
        <f>HYPERLINK("https://www.773grp.com/globalSearch/SN75ALS195NE4/page-1", "SN75ALS195NE4")</f>
        <v>SN75ALS195NE4</v>
      </c>
      <c r="B11228" s="3" t="str">
        <f>HYPERLINK("https://www.773grp.com/manufacturer/texas-instruments?pageNo=740", "Texas Instruments")</f>
        <v>Texas Instruments</v>
      </c>
      <c r="C11228" s="5">
        <v>697</v>
      </c>
      <c r="D11228" s="6">
        <v>3.96</v>
      </c>
      <c r="E11228" t="s">
        <v>18</v>
      </c>
    </row>
    <row r="11229" spans="1:5" x14ac:dyDescent="0.25">
      <c r="A11229" t="str">
        <f>HYPERLINK("https://www.773grp.com/globalSearch/SN75LP1185DWR/page-1", "SN75LP1185DWR")</f>
        <v>SN75LP1185DWR</v>
      </c>
      <c r="B11229" s="3" t="str">
        <f>HYPERLINK("https://www.773grp.com/manufacturer/texas-instruments?pageNo=742", "Texas Instruments")</f>
        <v>Texas Instruments</v>
      </c>
      <c r="C11229" s="5">
        <v>4763</v>
      </c>
      <c r="D11229" s="6">
        <v>3.96</v>
      </c>
      <c r="E11229" t="s">
        <v>18</v>
      </c>
    </row>
    <row r="11230" spans="1:5" x14ac:dyDescent="0.25">
      <c r="A11230" t="str">
        <f>HYPERLINK("https://www.773grp.com/globalSearch/SN75LP196N/page-1", "SN75LP196N")</f>
        <v>SN75LP196N</v>
      </c>
      <c r="B11230" s="3" t="str">
        <f>HYPERLINK("https://www.773grp.com/manufacturer/texas-instruments?pageNo=743", "Texas Instruments")</f>
        <v>Texas Instruments</v>
      </c>
      <c r="C11230" s="5">
        <v>900</v>
      </c>
      <c r="D11230" s="6">
        <v>3.96</v>
      </c>
      <c r="E11230" t="s">
        <v>18</v>
      </c>
    </row>
    <row r="11231" spans="1:5" x14ac:dyDescent="0.25">
      <c r="A11231" t="str">
        <f>HYPERLINK("https://www.773grp.com/globalSearch/TRSF3238IDW/page-1", "TRSF3238IDW")</f>
        <v>TRSF3238IDW</v>
      </c>
      <c r="B11231" s="3" t="str">
        <f>HYPERLINK("https://www.773grp.com/manufacturer/texas-instruments?pageNo=747", "Texas Instruments")</f>
        <v>Texas Instruments</v>
      </c>
      <c r="C11231" s="5">
        <v>1620</v>
      </c>
      <c r="D11231" s="6">
        <v>3.96</v>
      </c>
      <c r="E11231" t="s">
        <v>18</v>
      </c>
    </row>
    <row r="11232" spans="1:5" x14ac:dyDescent="0.25">
      <c r="A11232" t="str">
        <f>HYPERLINK("https://www.773grp.com/globalSearch/TRSF3243CPW/page-1", "TRSF3243CPW")</f>
        <v>TRSF3243CPW</v>
      </c>
      <c r="B11232" s="3" t="str">
        <f>HYPERLINK("https://www.773grp.com/manufacturer/texas-instruments?pageNo=748", "Texas Instruments")</f>
        <v>Texas Instruments</v>
      </c>
      <c r="C11232" s="5">
        <v>400</v>
      </c>
      <c r="D11232" s="6">
        <v>3.96</v>
      </c>
      <c r="E11232" t="s">
        <v>18</v>
      </c>
    </row>
    <row r="11233" spans="1:5" x14ac:dyDescent="0.25">
      <c r="A11233" t="str">
        <f>HYPERLINK("https://www.773grp.com/globalSearch/TRSF3243IDW/page-1", "TRSF3243IDW")</f>
        <v>TRSF3243IDW</v>
      </c>
      <c r="B11233" s="3" t="str">
        <f>HYPERLINK("https://www.773grp.com/manufacturer/texas-instruments?pageNo=749", "Texas Instruments")</f>
        <v>Texas Instruments</v>
      </c>
      <c r="C11233" s="5">
        <v>280</v>
      </c>
      <c r="D11233" s="6">
        <v>3.96</v>
      </c>
      <c r="E11233" t="s">
        <v>18</v>
      </c>
    </row>
    <row r="11234" spans="1:5" x14ac:dyDescent="0.25">
      <c r="A11234" t="str">
        <f>HYPERLINK("https://www.773grp.com/globalSearch/SN65LBC180RSAT/page-1", "SN65LBC180RSAT")</f>
        <v>SN65LBC180RSAT</v>
      </c>
      <c r="B11234" s="3" t="str">
        <f>HYPERLINK("https://www.773grp.com/manufacturer/texas-instruments?pageNo=823", "Texas Instruments")</f>
        <v>Texas Instruments</v>
      </c>
      <c r="C11234" s="5">
        <v>4383</v>
      </c>
      <c r="D11234" s="6">
        <v>4</v>
      </c>
      <c r="E11234" t="s">
        <v>18</v>
      </c>
    </row>
    <row r="11235" spans="1:5" x14ac:dyDescent="0.25">
      <c r="A11235" t="str">
        <f>HYPERLINK("https://www.773grp.com/globalSearch/SN75LBC180ADR/page-1", "SN75LBC180ADR")</f>
        <v>SN75LBC180ADR</v>
      </c>
      <c r="B11235" s="3" t="str">
        <f>HYPERLINK("https://www.773grp.com/manufacturer/texas-instruments?pageNo=825", "Texas Instruments")</f>
        <v>Texas Instruments</v>
      </c>
      <c r="C11235" s="5">
        <v>2500</v>
      </c>
      <c r="D11235" s="6">
        <v>4</v>
      </c>
      <c r="E11235" t="s">
        <v>18</v>
      </c>
    </row>
    <row r="11236" spans="1:5" x14ac:dyDescent="0.25">
      <c r="A11236" t="str">
        <f>HYPERLINK("https://www.773grp.com/globalSearch/SN75LBC180RSAT/page-1", "SN75LBC180RSAT")</f>
        <v>SN75LBC180RSAT</v>
      </c>
      <c r="B11236" s="3" t="str">
        <f>HYPERLINK("https://www.773grp.com/manufacturer/texas-instruments?pageNo=826", "Texas Instruments")</f>
        <v>Texas Instruments</v>
      </c>
      <c r="C11236" s="5">
        <v>250</v>
      </c>
      <c r="D11236" s="6">
        <v>4</v>
      </c>
      <c r="E11236" t="s">
        <v>18</v>
      </c>
    </row>
    <row r="11237" spans="1:5" x14ac:dyDescent="0.25">
      <c r="A11237" t="str">
        <f>HYPERLINK("https://www.773grp.com/globalSearch/SN75LBC771DW/page-1", "SN75LBC771DW")</f>
        <v>SN75LBC771DW</v>
      </c>
      <c r="B11237" s="3" t="str">
        <f>HYPERLINK("https://www.773grp.com/manufacturer/texas-instruments?pageNo=827", "Texas Instruments")</f>
        <v>Texas Instruments</v>
      </c>
      <c r="C11237" s="5">
        <v>20157</v>
      </c>
      <c r="D11237" s="6">
        <v>4</v>
      </c>
      <c r="E11237" t="s">
        <v>18</v>
      </c>
    </row>
    <row r="11238" spans="1:5" x14ac:dyDescent="0.25">
      <c r="A11238" t="str">
        <f>HYPERLINK("https://www.773grp.com/globalSearch/SN65LVDS9637DR/page-1", "SN65LVDS9637DR")</f>
        <v>SN65LVDS9637DR</v>
      </c>
      <c r="B11238" s="3" t="str">
        <f>HYPERLINK("https://www.773grp.com/manufacturer/texas-instruments?pageNo=859", "Texas Instruments")</f>
        <v>Texas Instruments</v>
      </c>
      <c r="C11238" s="5">
        <v>93848</v>
      </c>
      <c r="D11238" s="6">
        <v>4.4400000000000004</v>
      </c>
      <c r="E11238" t="s">
        <v>18</v>
      </c>
    </row>
    <row r="11239" spans="1:5" x14ac:dyDescent="0.25">
      <c r="A11239" t="str">
        <f>HYPERLINK("https://www.773grp.com/globalSearch/SN65LVDS9638DGKR/page-1", "SN65LVDS9638DGKR")</f>
        <v>SN65LVDS9638DGKR</v>
      </c>
      <c r="B11239" s="3" t="str">
        <f>HYPERLINK("https://www.773grp.com/manufacturer/texas-instruments?pageNo=860", "Texas Instruments")</f>
        <v>Texas Instruments</v>
      </c>
      <c r="C11239" s="5">
        <v>3500</v>
      </c>
      <c r="D11239" s="6">
        <v>4.4400000000000004</v>
      </c>
      <c r="E11239" t="s">
        <v>18</v>
      </c>
    </row>
    <row r="11240" spans="1:5" x14ac:dyDescent="0.25">
      <c r="A11240" t="str">
        <f>HYPERLINK("https://www.773grp.com/globalSearch/LT1030CN/page-1", "LT1030CN")</f>
        <v>LT1030CN</v>
      </c>
      <c r="B11240" s="3" t="str">
        <f>HYPERLINK("https://www.773grp.com/manufacturer/texas-instruments?pageNo=913", "Texas Instruments")</f>
        <v>Texas Instruments</v>
      </c>
      <c r="C11240" s="5">
        <v>37299</v>
      </c>
      <c r="D11240" s="6">
        <v>4.01</v>
      </c>
      <c r="E11240" t="s">
        <v>18</v>
      </c>
    </row>
    <row r="11241" spans="1:5" x14ac:dyDescent="0.25">
      <c r="A11241" t="str">
        <f>HYPERLINK("https://www.773grp.com/globalSearch/MAX3222CDW/page-1", "MAX3222CDW")</f>
        <v>MAX3222CDW</v>
      </c>
      <c r="B11241" s="3" t="str">
        <f>HYPERLINK("https://www.773grp.com/manufacturer/texas-instruments?pageNo=914", "Texas Instruments")</f>
        <v>Texas Instruments</v>
      </c>
      <c r="C11241" s="5">
        <v>4286</v>
      </c>
      <c r="D11241" s="6">
        <v>4.01</v>
      </c>
      <c r="E11241" t="s">
        <v>18</v>
      </c>
    </row>
    <row r="11242" spans="1:5" x14ac:dyDescent="0.25">
      <c r="A11242" t="str">
        <f>HYPERLINK("https://www.773grp.com/globalSearch/MAX3222ECDB/page-1", "MAX3222ECDB")</f>
        <v>MAX3222ECDB</v>
      </c>
      <c r="B11242" s="3" t="str">
        <f>HYPERLINK("https://www.773grp.com/manufacturer/texas-instruments?pageNo=917", "Texas Instruments")</f>
        <v>Texas Instruments</v>
      </c>
      <c r="C11242" s="5">
        <v>1876</v>
      </c>
      <c r="D11242" s="6">
        <v>4.01</v>
      </c>
      <c r="E11242" t="s">
        <v>18</v>
      </c>
    </row>
    <row r="11243" spans="1:5" x14ac:dyDescent="0.25">
      <c r="A11243" t="str">
        <f>HYPERLINK("https://www.773grp.com/globalSearch/MAX3222ECDW/page-1", "MAX3222ECDW")</f>
        <v>MAX3222ECDW</v>
      </c>
      <c r="B11243" s="3" t="str">
        <f>HYPERLINK("https://www.773grp.com/manufacturer/texas-instruments?pageNo=918", "Texas Instruments")</f>
        <v>Texas Instruments</v>
      </c>
      <c r="C11243" s="5">
        <v>3015</v>
      </c>
      <c r="D11243" s="6">
        <v>4.01</v>
      </c>
      <c r="E11243" t="s">
        <v>18</v>
      </c>
    </row>
    <row r="11244" spans="1:5" x14ac:dyDescent="0.25">
      <c r="A11244" t="str">
        <f>HYPERLINK("https://www.773grp.com/globalSearch/MAX3227CDB/page-1", "MAX3227CDB")</f>
        <v>MAX3227CDB</v>
      </c>
      <c r="B11244" s="3" t="str">
        <f>HYPERLINK("https://www.773grp.com/manufacturer/texas-instruments?pageNo=919", "Texas Instruments")</f>
        <v>Texas Instruments</v>
      </c>
      <c r="C11244" s="5">
        <v>3455</v>
      </c>
      <c r="D11244" s="6">
        <v>4.01</v>
      </c>
      <c r="E11244" t="s">
        <v>18</v>
      </c>
    </row>
    <row r="11245" spans="1:5" x14ac:dyDescent="0.25">
      <c r="A11245" t="str">
        <f>HYPERLINK("https://www.773grp.com/globalSearch/MAX3227ECDB/page-1", "MAX3227ECDB")</f>
        <v>MAX3227ECDB</v>
      </c>
      <c r="B11245" s="3" t="str">
        <f>HYPERLINK("https://www.773grp.com/manufacturer/texas-instruments?pageNo=920", "Texas Instruments")</f>
        <v>Texas Instruments</v>
      </c>
      <c r="C11245" s="5">
        <v>2065</v>
      </c>
      <c r="D11245" s="6">
        <v>4.01</v>
      </c>
      <c r="E11245" t="s">
        <v>18</v>
      </c>
    </row>
    <row r="11246" spans="1:5" x14ac:dyDescent="0.25">
      <c r="A11246" t="str">
        <f>HYPERLINK("https://www.773grp.com/globalSearch/MAX3237ECDB/page-1", "MAX3237ECDB")</f>
        <v>MAX3237ECDB</v>
      </c>
      <c r="B11246" s="3" t="str">
        <f>HYPERLINK("https://www.773grp.com/manufacturer/texas-instruments?pageNo=921", "Texas Instruments")</f>
        <v>Texas Instruments</v>
      </c>
      <c r="C11246" s="5">
        <v>755</v>
      </c>
      <c r="D11246" s="6">
        <v>4.01</v>
      </c>
      <c r="E11246" t="s">
        <v>18</v>
      </c>
    </row>
    <row r="11247" spans="1:5" x14ac:dyDescent="0.25">
      <c r="A11247" t="str">
        <f>HYPERLINK("https://www.773grp.com/globalSearch/MAX3237ECPW/page-1", "MAX3237ECPW")</f>
        <v>MAX3237ECPW</v>
      </c>
      <c r="B11247" s="3" t="str">
        <f>HYPERLINK("https://www.773grp.com/manufacturer/texas-instruments?pageNo=923", "Texas Instruments")</f>
        <v>Texas Instruments</v>
      </c>
      <c r="C11247" s="5">
        <v>665</v>
      </c>
      <c r="D11247" s="6">
        <v>4.01</v>
      </c>
      <c r="E11247" t="s">
        <v>18</v>
      </c>
    </row>
    <row r="11248" spans="1:5" x14ac:dyDescent="0.25">
      <c r="A11248" t="str">
        <f>HYPERLINK("https://www.773grp.com/globalSearch/MAX3238CDB/page-1", "MAX3238CDB")</f>
        <v>MAX3238CDB</v>
      </c>
      <c r="B11248" s="3" t="str">
        <f>HYPERLINK("https://www.773grp.com/manufacturer/texas-instruments?pageNo=924", "Texas Instruments")</f>
        <v>Texas Instruments</v>
      </c>
      <c r="C11248" s="5">
        <v>563</v>
      </c>
      <c r="D11248" s="6">
        <v>4.01</v>
      </c>
      <c r="E11248" t="s">
        <v>18</v>
      </c>
    </row>
    <row r="11249" spans="1:5" x14ac:dyDescent="0.25">
      <c r="A11249" t="str">
        <f>HYPERLINK("https://www.773grp.com/globalSearch/MAX3238EIDB/page-1", "MAX3238EIDB")</f>
        <v>MAX3238EIDB</v>
      </c>
      <c r="B11249" s="3" t="str">
        <f>HYPERLINK("https://www.773grp.com/manufacturer/texas-instruments?pageNo=925", "Texas Instruments")</f>
        <v>Texas Instruments</v>
      </c>
      <c r="C11249" s="5">
        <v>753</v>
      </c>
      <c r="D11249" s="6">
        <v>4.01</v>
      </c>
      <c r="E11249" t="s">
        <v>18</v>
      </c>
    </row>
    <row r="11250" spans="1:5" x14ac:dyDescent="0.25">
      <c r="A11250" t="str">
        <f>HYPERLINK("https://www.773grp.com/globalSearch/MAX3238EIDW/page-1", "MAX3238EIDW")</f>
        <v>MAX3238EIDW</v>
      </c>
      <c r="B11250" s="3" t="str">
        <f>HYPERLINK("https://www.773grp.com/manufacturer/texas-instruments?pageNo=926", "Texas Instruments")</f>
        <v>Texas Instruments</v>
      </c>
      <c r="C11250" s="5">
        <v>2170</v>
      </c>
      <c r="D11250" s="6">
        <v>4.01</v>
      </c>
      <c r="E11250" t="s">
        <v>18</v>
      </c>
    </row>
    <row r="11251" spans="1:5" x14ac:dyDescent="0.25">
      <c r="A11251" t="str">
        <f>HYPERLINK("https://www.773grp.com/globalSearch/MAX3238EIPW/page-1", "MAX3238EIPW")</f>
        <v>MAX3238EIPW</v>
      </c>
      <c r="B11251" s="3" t="str">
        <f>HYPERLINK("https://www.773grp.com/manufacturer/texas-instruments?pageNo=927", "Texas Instruments")</f>
        <v>Texas Instruments</v>
      </c>
      <c r="C11251" s="5">
        <v>318</v>
      </c>
      <c r="D11251" s="6">
        <v>4.01</v>
      </c>
      <c r="E11251" t="s">
        <v>18</v>
      </c>
    </row>
    <row r="11252" spans="1:5" x14ac:dyDescent="0.25">
      <c r="A11252" t="str">
        <f>HYPERLINK("https://www.773grp.com/globalSearch/MAX3238IDB/page-1", "MAX3238IDB")</f>
        <v>MAX3238IDB</v>
      </c>
      <c r="B11252" s="3" t="str">
        <f>HYPERLINK("https://www.773grp.com/manufacturer/texas-instruments?pageNo=928", "Texas Instruments")</f>
        <v>Texas Instruments</v>
      </c>
      <c r="C11252" s="5">
        <v>265</v>
      </c>
      <c r="D11252" s="6">
        <v>4.01</v>
      </c>
      <c r="E11252" t="s">
        <v>18</v>
      </c>
    </row>
    <row r="11253" spans="1:5" x14ac:dyDescent="0.25">
      <c r="A11253" t="str">
        <f>HYPERLINK("https://www.773grp.com/globalSearch/MAX3238IDBQ1/page-1", "MAX3238IDBQ1")</f>
        <v>MAX3238IDBQ1</v>
      </c>
      <c r="B11253" s="3" t="str">
        <f>HYPERLINK("https://www.773grp.com/manufacturer/texas-instruments?pageNo=930", "Texas Instruments")</f>
        <v>Texas Instruments</v>
      </c>
      <c r="C11253" s="5">
        <v>550</v>
      </c>
      <c r="D11253" s="6">
        <v>4.01</v>
      </c>
      <c r="E11253" t="s">
        <v>18</v>
      </c>
    </row>
    <row r="11254" spans="1:5" x14ac:dyDescent="0.25">
      <c r="A11254" t="str">
        <f>HYPERLINK("https://www.773grp.com/globalSearch/MAX3238IPW/page-1", "MAX3238IPW")</f>
        <v>MAX3238IPW</v>
      </c>
      <c r="B11254" s="3" t="str">
        <f>HYPERLINK("https://www.773grp.com/manufacturer/texas-instruments?pageNo=931", "Texas Instruments")</f>
        <v>Texas Instruments</v>
      </c>
      <c r="C11254" s="5">
        <v>399</v>
      </c>
      <c r="D11254" s="6">
        <v>4.01</v>
      </c>
      <c r="E11254" t="s">
        <v>18</v>
      </c>
    </row>
    <row r="11255" spans="1:5" x14ac:dyDescent="0.25">
      <c r="A11255" t="str">
        <f>HYPERLINK("https://www.773grp.com/globalSearch/MAX3238IPWQ1/page-1", "MAX3238IPWQ1")</f>
        <v>MAX3238IPWQ1</v>
      </c>
      <c r="B11255" s="3" t="str">
        <f>HYPERLINK("https://www.773grp.com/manufacturer/texas-instruments?pageNo=933", "Texas Instruments")</f>
        <v>Texas Instruments</v>
      </c>
      <c r="C11255" s="5">
        <v>3170</v>
      </c>
      <c r="D11255" s="6">
        <v>4.01</v>
      </c>
      <c r="E11255" t="s">
        <v>18</v>
      </c>
    </row>
    <row r="11256" spans="1:5" x14ac:dyDescent="0.25">
      <c r="A11256" t="str">
        <f>HYPERLINK("https://www.773grp.com/globalSearch/SN65C1167ERGYR/page-1", "SN65C1167ERGYR")</f>
        <v>SN65C1167ERGYR</v>
      </c>
      <c r="B11256" s="3" t="str">
        <f>HYPERLINK("https://www.773grp.com/manufacturer/texas-instruments?pageNo=934", "Texas Instruments")</f>
        <v>Texas Instruments</v>
      </c>
      <c r="C11256" s="5">
        <v>1000</v>
      </c>
      <c r="D11256" s="6">
        <v>4.01</v>
      </c>
      <c r="E11256" t="s">
        <v>18</v>
      </c>
    </row>
    <row r="11257" spans="1:5" x14ac:dyDescent="0.25">
      <c r="A11257" t="str">
        <f>HYPERLINK("https://www.773grp.com/globalSearch/SN65C3221DB/page-1", "SN65C3221DB")</f>
        <v>SN65C3221DB</v>
      </c>
      <c r="B11257" s="3" t="str">
        <f>HYPERLINK("https://www.773grp.com/manufacturer/texas-instruments?pageNo=935", "Texas Instruments")</f>
        <v>Texas Instruments</v>
      </c>
      <c r="C11257" s="5">
        <v>95</v>
      </c>
      <c r="D11257" s="6">
        <v>4.01</v>
      </c>
      <c r="E11257" t="s">
        <v>18</v>
      </c>
    </row>
    <row r="11258" spans="1:5" x14ac:dyDescent="0.25">
      <c r="A11258" t="str">
        <f>HYPERLINK("https://www.773grp.com/globalSearch/SN65C3223DBR/page-1", "SN65C3223DBR")</f>
        <v>SN65C3223DBR</v>
      </c>
      <c r="B11258" s="3" t="str">
        <f>HYPERLINK("https://www.773grp.com/manufacturer/texas-instruments?pageNo=936", "Texas Instruments")</f>
        <v>Texas Instruments</v>
      </c>
      <c r="C11258" s="5">
        <v>4000</v>
      </c>
      <c r="D11258" s="6">
        <v>4.01</v>
      </c>
      <c r="E11258" t="s">
        <v>18</v>
      </c>
    </row>
    <row r="11259" spans="1:5" x14ac:dyDescent="0.25">
      <c r="A11259" t="str">
        <f>HYPERLINK("https://www.773grp.com/globalSearch/SN65LVDS180PWRG4Q1/page-1", "SN65LVDS180PWRG4Q1")</f>
        <v>SN65LVDS180PWRG4Q1</v>
      </c>
      <c r="B11259" s="3" t="str">
        <f>HYPERLINK("https://www.773grp.com/manufacturer/texas-instruments?pageNo=937", "Texas Instruments")</f>
        <v>Texas Instruments</v>
      </c>
      <c r="C11259" s="5">
        <v>2000</v>
      </c>
      <c r="D11259" s="6">
        <v>4.01</v>
      </c>
      <c r="E11259" t="s">
        <v>18</v>
      </c>
    </row>
    <row r="11260" spans="1:5" x14ac:dyDescent="0.25">
      <c r="A11260" t="str">
        <f>HYPERLINK("https://www.773grp.com/globalSearch/SN65LVDS180PWRQ1/page-1", "SN65LVDS180PWRQ1")</f>
        <v>SN65LVDS180PWRQ1</v>
      </c>
      <c r="B11260" s="3" t="str">
        <f>HYPERLINK("https://www.773grp.com/manufacturer/texas-instruments?pageNo=938", "Texas Instruments")</f>
        <v>Texas Instruments</v>
      </c>
      <c r="C11260" s="5">
        <v>14000</v>
      </c>
      <c r="D11260" s="6">
        <v>4.01</v>
      </c>
      <c r="E11260" t="s">
        <v>18</v>
      </c>
    </row>
    <row r="11261" spans="1:5" x14ac:dyDescent="0.25">
      <c r="A11261" t="str">
        <f>HYPERLINK("https://www.773grp.com/globalSearch/SN74LVCE161284VR/page-1", "SN74LVCE161284VR")</f>
        <v>SN74LVCE161284VR</v>
      </c>
      <c r="B11261" s="3" t="str">
        <f>HYPERLINK("https://www.773grp.com/manufacturer/texas-instruments?pageNo=979", "Texas Instruments")</f>
        <v>Texas Instruments</v>
      </c>
      <c r="C11261" s="5">
        <v>4000</v>
      </c>
      <c r="D11261" s="6">
        <v>4.01</v>
      </c>
      <c r="E11261" t="s">
        <v>18</v>
      </c>
    </row>
    <row r="11262" spans="1:5" x14ac:dyDescent="0.25">
      <c r="A11262" t="str">
        <f>HYPERLINK("https://www.773grp.com/globalSearch/SN75114D/page-1", "SN75114D")</f>
        <v>SN75114D</v>
      </c>
      <c r="B11262" s="3" t="s">
        <v>90</v>
      </c>
      <c r="C11262" s="5">
        <v>1638</v>
      </c>
      <c r="D11262" s="6">
        <v>4.01</v>
      </c>
      <c r="E11262" t="s">
        <v>18</v>
      </c>
    </row>
    <row r="11263" spans="1:5" x14ac:dyDescent="0.25">
      <c r="A11263" t="str">
        <f>HYPERLINK("https://www.773grp.com/globalSearch/SN75115D/page-1", "SN75115D")</f>
        <v>SN75115D</v>
      </c>
      <c r="B11263" s="3" t="s">
        <v>90</v>
      </c>
      <c r="C11263" s="5">
        <v>11072</v>
      </c>
      <c r="D11263" s="6">
        <v>4.01</v>
      </c>
      <c r="E11263" t="s">
        <v>18</v>
      </c>
    </row>
    <row r="11264" spans="1:5" x14ac:dyDescent="0.25">
      <c r="A11264" t="str">
        <f>HYPERLINK("https://www.773grp.com/globalSearch/SN75158D/page-1", "SN75158D")</f>
        <v>SN75158D</v>
      </c>
      <c r="B11264" s="3" t="s">
        <v>90</v>
      </c>
      <c r="C11264" s="5">
        <v>1010</v>
      </c>
      <c r="D11264" s="6">
        <v>4.01</v>
      </c>
      <c r="E11264" t="s">
        <v>18</v>
      </c>
    </row>
    <row r="11265" spans="1:5" x14ac:dyDescent="0.25">
      <c r="A11265" t="str">
        <f>HYPERLINK("https://www.773grp.com/globalSearch/SN75158PSR/page-1", "SN75158PSR")</f>
        <v>SN75158PSR</v>
      </c>
      <c r="B11265" s="3" t="s">
        <v>90</v>
      </c>
      <c r="C11265" s="5">
        <v>2000</v>
      </c>
      <c r="D11265" s="6">
        <v>4.01</v>
      </c>
      <c r="E11265" t="s">
        <v>18</v>
      </c>
    </row>
    <row r="11266" spans="1:5" x14ac:dyDescent="0.25">
      <c r="A11266" t="str">
        <f>HYPERLINK("https://www.773grp.com/globalSearch/SN75172DW/page-1", "SN75172DW")</f>
        <v>SN75172DW</v>
      </c>
      <c r="B11266" s="3" t="s">
        <v>90</v>
      </c>
      <c r="C11266" s="5">
        <v>255</v>
      </c>
      <c r="D11266" s="6">
        <v>4.01</v>
      </c>
      <c r="E11266" t="s">
        <v>18</v>
      </c>
    </row>
    <row r="11267" spans="1:5" x14ac:dyDescent="0.25">
      <c r="A11267" t="str">
        <f>HYPERLINK("https://www.773grp.com/globalSearch/SN75173D/page-1", "SN75173D")</f>
        <v>SN75173D</v>
      </c>
      <c r="B11267" s="3" t="s">
        <v>90</v>
      </c>
      <c r="C11267" s="5">
        <v>914</v>
      </c>
      <c r="D11267" s="6">
        <v>4.01</v>
      </c>
      <c r="E11267" t="s">
        <v>18</v>
      </c>
    </row>
    <row r="11268" spans="1:5" x14ac:dyDescent="0.25">
      <c r="A11268" t="str">
        <f>HYPERLINK("https://www.773grp.com/globalSearch/SN75174DW/page-1", "SN75174DW")</f>
        <v>SN75174DW</v>
      </c>
      <c r="B11268" s="3" t="s">
        <v>90</v>
      </c>
      <c r="C11268" s="5">
        <v>21651</v>
      </c>
      <c r="D11268" s="6">
        <v>4.01</v>
      </c>
      <c r="E11268" t="s">
        <v>18</v>
      </c>
    </row>
    <row r="11269" spans="1:5" x14ac:dyDescent="0.25">
      <c r="A11269" t="str">
        <f>HYPERLINK("https://www.773grp.com/globalSearch/SN75174N/page-1", "SN75174N")</f>
        <v>SN75174N</v>
      </c>
      <c r="B11269" s="3" t="s">
        <v>90</v>
      </c>
      <c r="C11269" s="5">
        <v>7568</v>
      </c>
      <c r="D11269" s="6">
        <v>4.01</v>
      </c>
      <c r="E11269" t="s">
        <v>18</v>
      </c>
    </row>
    <row r="11270" spans="1:5" x14ac:dyDescent="0.25">
      <c r="A11270" t="str">
        <f>HYPERLINK("https://www.773grp.com/globalSearch/SN75174NE4/page-1", "SN75174NE4")</f>
        <v>SN75174NE4</v>
      </c>
      <c r="B11270" s="3" t="s">
        <v>90</v>
      </c>
      <c r="C11270" s="5">
        <v>100</v>
      </c>
      <c r="D11270" s="6">
        <v>4.01</v>
      </c>
      <c r="E11270" t="s">
        <v>18</v>
      </c>
    </row>
    <row r="11271" spans="1:5" x14ac:dyDescent="0.25">
      <c r="A11271" t="str">
        <f>HYPERLINK("https://www.773grp.com/globalSearch/SN75175D/page-1", "SN75175D")</f>
        <v>SN75175D</v>
      </c>
      <c r="B11271" s="3" t="s">
        <v>90</v>
      </c>
      <c r="C11271" s="5">
        <v>6326</v>
      </c>
      <c r="D11271" s="6">
        <v>4.01</v>
      </c>
      <c r="E11271" t="s">
        <v>18</v>
      </c>
    </row>
    <row r="11272" spans="1:5" x14ac:dyDescent="0.25">
      <c r="A11272" t="str">
        <f>HYPERLINK("https://www.773grp.com/globalSearch/SN75175DE4/page-1", "SN75175DE4")</f>
        <v>SN75175DE4</v>
      </c>
      <c r="B11272" s="3" t="s">
        <v>90</v>
      </c>
      <c r="C11272" s="5">
        <v>2070</v>
      </c>
      <c r="D11272" s="6">
        <v>4.01</v>
      </c>
      <c r="E11272" t="s">
        <v>18</v>
      </c>
    </row>
    <row r="11273" spans="1:5" x14ac:dyDescent="0.25">
      <c r="A11273" t="str">
        <f>HYPERLINK("https://www.773grp.com/globalSearch/SN75182D/page-1", "SN75182D")</f>
        <v>SN75182D</v>
      </c>
      <c r="B11273" s="3" t="s">
        <v>90</v>
      </c>
      <c r="C11273" s="5">
        <v>43015</v>
      </c>
      <c r="D11273" s="6">
        <v>4.01</v>
      </c>
      <c r="E11273" t="s">
        <v>18</v>
      </c>
    </row>
    <row r="11274" spans="1:5" x14ac:dyDescent="0.25">
      <c r="A11274" t="str">
        <f>HYPERLINK("https://www.773grp.com/globalSearch/SN75182N/page-1", "SN75182N")</f>
        <v>SN75182N</v>
      </c>
      <c r="B11274" s="3" t="s">
        <v>90</v>
      </c>
      <c r="C11274" s="5">
        <v>5224</v>
      </c>
      <c r="D11274" s="6">
        <v>4.01</v>
      </c>
      <c r="E11274" t="s">
        <v>18</v>
      </c>
    </row>
    <row r="11275" spans="1:5" x14ac:dyDescent="0.25">
      <c r="A11275" t="str">
        <f>HYPERLINK("https://www.773grp.com/globalSearch/SN75182NE4/page-1", "SN75182NE4")</f>
        <v>SN75182NE4</v>
      </c>
      <c r="B11275" s="3" t="s">
        <v>90</v>
      </c>
      <c r="C11275" s="5">
        <v>253</v>
      </c>
      <c r="D11275" s="6">
        <v>4.01</v>
      </c>
      <c r="E11275" t="s">
        <v>18</v>
      </c>
    </row>
    <row r="11276" spans="1:5" x14ac:dyDescent="0.25">
      <c r="A11276" t="str">
        <f>HYPERLINK("https://www.773grp.com/globalSearch/SN75182NSR/page-1", "SN75182NSR")</f>
        <v>SN75182NSR</v>
      </c>
      <c r="B11276" s="3" t="s">
        <v>90</v>
      </c>
      <c r="C11276" s="5">
        <v>4000</v>
      </c>
      <c r="D11276" s="6">
        <v>4.01</v>
      </c>
      <c r="E11276" t="s">
        <v>18</v>
      </c>
    </row>
    <row r="11277" spans="1:5" x14ac:dyDescent="0.25">
      <c r="A11277" t="str">
        <f>HYPERLINK("https://www.773grp.com/globalSearch/SN75207D/page-1", "SN75207D")</f>
        <v>SN75207D</v>
      </c>
      <c r="B11277" s="3" t="s">
        <v>90</v>
      </c>
      <c r="C11277" s="5">
        <v>6250</v>
      </c>
      <c r="D11277" s="6">
        <v>4.01</v>
      </c>
      <c r="E11277" t="s">
        <v>18</v>
      </c>
    </row>
    <row r="11278" spans="1:5" x14ac:dyDescent="0.25">
      <c r="A11278" t="str">
        <f>HYPERLINK("https://www.773grp.com/globalSearch/SN75C3222DW/page-1", "SN75C3222DW")</f>
        <v>SN75C3222DW</v>
      </c>
      <c r="B11278" s="3" t="s">
        <v>90</v>
      </c>
      <c r="C11278" s="5">
        <v>3118</v>
      </c>
      <c r="D11278" s="6">
        <v>4.01</v>
      </c>
      <c r="E11278" t="s">
        <v>18</v>
      </c>
    </row>
    <row r="11279" spans="1:5" x14ac:dyDescent="0.25">
      <c r="A11279" t="str">
        <f>HYPERLINK("https://www.773grp.com/globalSearch/SN75C3222PW/page-1", "SN75C3222PW")</f>
        <v>SN75C3222PW</v>
      </c>
      <c r="B11279" s="3" t="s">
        <v>90</v>
      </c>
      <c r="C11279" s="5">
        <v>2087</v>
      </c>
      <c r="D11279" s="6">
        <v>4.01</v>
      </c>
      <c r="E11279" t="s">
        <v>18</v>
      </c>
    </row>
    <row r="11280" spans="1:5" x14ac:dyDescent="0.25">
      <c r="A11280" t="str">
        <f>HYPERLINK("https://www.773grp.com/globalSearch/SN75C3223DW/page-1", "SN75C3223DW")</f>
        <v>SN75C3223DW</v>
      </c>
      <c r="B11280" s="3" t="s">
        <v>90</v>
      </c>
      <c r="C11280" s="5">
        <v>3700</v>
      </c>
      <c r="D11280" s="6">
        <v>4.01</v>
      </c>
      <c r="E11280" t="s">
        <v>18</v>
      </c>
    </row>
    <row r="11281" spans="1:5" x14ac:dyDescent="0.25">
      <c r="A11281" t="str">
        <f>HYPERLINK("https://www.773grp.com/globalSearch/SN75C3223PW/page-1", "SN75C3223PW")</f>
        <v>SN75C3223PW</v>
      </c>
      <c r="B11281" s="3" t="s">
        <v>90</v>
      </c>
      <c r="C11281" s="5">
        <v>280</v>
      </c>
      <c r="D11281" s="6">
        <v>4.01</v>
      </c>
      <c r="E11281" t="s">
        <v>18</v>
      </c>
    </row>
    <row r="11282" spans="1:5" x14ac:dyDescent="0.25">
      <c r="A11282" t="str">
        <f>HYPERLINK("https://www.773grp.com/globalSearch/TRS3222ECPW/page-1", "TRS3222ECPW")</f>
        <v>TRS3222ECPW</v>
      </c>
      <c r="B11282" s="3" t="s">
        <v>90</v>
      </c>
      <c r="C11282" s="5">
        <v>1820</v>
      </c>
      <c r="D11282" s="6">
        <v>4.01</v>
      </c>
      <c r="E11282" t="s">
        <v>18</v>
      </c>
    </row>
    <row r="11283" spans="1:5" x14ac:dyDescent="0.25">
      <c r="A11283" t="str">
        <f>HYPERLINK("https://www.773grp.com/globalSearch/TRS3227CDB/page-1", "TRS3227CDB")</f>
        <v>TRS3227CDB</v>
      </c>
      <c r="B11283" s="3" t="s">
        <v>90</v>
      </c>
      <c r="C11283" s="5">
        <v>3920</v>
      </c>
      <c r="D11283" s="6">
        <v>4.01</v>
      </c>
      <c r="E11283" t="s">
        <v>18</v>
      </c>
    </row>
    <row r="11284" spans="1:5" x14ac:dyDescent="0.25">
      <c r="A11284" t="str">
        <f>HYPERLINK("https://www.773grp.com/globalSearch/TRS3237ECPW/page-1", "TRS3237ECPW")</f>
        <v>TRS3237ECPW</v>
      </c>
      <c r="B11284" s="3" t="s">
        <v>90</v>
      </c>
      <c r="C11284" s="5">
        <v>2500</v>
      </c>
      <c r="D11284" s="6">
        <v>4.01</v>
      </c>
      <c r="E11284" t="s">
        <v>18</v>
      </c>
    </row>
    <row r="11285" spans="1:5" x14ac:dyDescent="0.25">
      <c r="A11285" t="str">
        <f>HYPERLINK("https://www.773grp.com/globalSearch/SN75177BDR/page-1", "SN75177BDR")</f>
        <v>SN75177BDR</v>
      </c>
      <c r="B11285" s="3" t="s">
        <v>90</v>
      </c>
      <c r="C11285" s="5">
        <v>2500</v>
      </c>
      <c r="D11285" s="6">
        <v>4.05</v>
      </c>
      <c r="E11285" t="s">
        <v>18</v>
      </c>
    </row>
    <row r="11286" spans="1:5" x14ac:dyDescent="0.25">
      <c r="A11286" t="str">
        <f>HYPERLINK("https://www.773grp.com/globalSearch/SN75177BP/page-1", "SN75177BP")</f>
        <v>SN75177BP</v>
      </c>
      <c r="B11286" s="3" t="s">
        <v>90</v>
      </c>
      <c r="C11286" s="5">
        <v>976</v>
      </c>
      <c r="D11286" s="6">
        <v>4.05</v>
      </c>
      <c r="E11286" t="s">
        <v>18</v>
      </c>
    </row>
    <row r="11287" spans="1:5" x14ac:dyDescent="0.25">
      <c r="A11287" t="str">
        <f>HYPERLINK("https://www.773grp.com/globalSearch/SN75HVD3082EDR/page-1", "SN75HVD3082EDR")</f>
        <v>SN75HVD3082EDR</v>
      </c>
      <c r="B11287" s="3" t="s">
        <v>90</v>
      </c>
      <c r="C11287" s="5">
        <v>17185</v>
      </c>
      <c r="D11287" s="6">
        <v>4.49</v>
      </c>
      <c r="E11287" t="s">
        <v>18</v>
      </c>
    </row>
    <row r="11288" spans="1:5" x14ac:dyDescent="0.25">
      <c r="A11288" t="str">
        <f>HYPERLINK("https://www.773grp.com/globalSearch/SN75LP185ADW/page-1", "SN75LP185ADW")</f>
        <v>SN75LP185ADW</v>
      </c>
      <c r="B11288" s="3" t="s">
        <v>90</v>
      </c>
      <c r="C11288" s="5">
        <v>893</v>
      </c>
      <c r="D11288" s="6">
        <v>4.49</v>
      </c>
      <c r="E11288" t="s">
        <v>18</v>
      </c>
    </row>
    <row r="11289" spans="1:5" x14ac:dyDescent="0.25">
      <c r="A11289" t="str">
        <f>HYPERLINK("https://www.773grp.com/globalSearch/SN75LP185ADWR/page-1", "SN75LP185ADWR")</f>
        <v>SN75LP185ADWR</v>
      </c>
      <c r="B11289" s="3" t="s">
        <v>90</v>
      </c>
      <c r="C11289" s="5">
        <v>47000</v>
      </c>
      <c r="D11289" s="6">
        <v>4.49</v>
      </c>
      <c r="E11289" t="s">
        <v>18</v>
      </c>
    </row>
    <row r="11290" spans="1:5" x14ac:dyDescent="0.25">
      <c r="A11290" t="str">
        <f>HYPERLINK("https://www.773grp.com/globalSearch/TLC59213AIPWT/page-1", "TLC59213AIPWT")</f>
        <v>TLC59213AIPWT</v>
      </c>
      <c r="B11290" s="3" t="s">
        <v>90</v>
      </c>
      <c r="C11290" s="5">
        <v>1750</v>
      </c>
      <c r="D11290" s="6">
        <v>4.49</v>
      </c>
      <c r="E11290" t="s">
        <v>18</v>
      </c>
    </row>
    <row r="11291" spans="1:5" x14ac:dyDescent="0.25">
      <c r="A11291" t="str">
        <f>HYPERLINK("https://www.773grp.com/globalSearch/TLC59213IN/page-1", "TLC59213IN")</f>
        <v>TLC59213IN</v>
      </c>
      <c r="B11291" s="3" t="s">
        <v>90</v>
      </c>
      <c r="C11291" s="5">
        <v>200</v>
      </c>
      <c r="D11291" s="6">
        <v>4.49</v>
      </c>
      <c r="E11291" t="s">
        <v>18</v>
      </c>
    </row>
    <row r="11292" spans="1:5" x14ac:dyDescent="0.25">
      <c r="A11292" t="str">
        <f>HYPERLINK("https://www.773grp.com/globalSearch/SN65EL16D/page-1", "SN65EL16D")</f>
        <v>SN65EL16D</v>
      </c>
      <c r="B11292" s="3" t="s">
        <v>90</v>
      </c>
      <c r="C11292" s="5">
        <v>172</v>
      </c>
      <c r="D11292" s="6">
        <v>4.09</v>
      </c>
      <c r="E11292" t="s">
        <v>18</v>
      </c>
    </row>
    <row r="11293" spans="1:5" x14ac:dyDescent="0.25">
      <c r="A11293" t="str">
        <f>HYPERLINK("https://www.773grp.com/globalSearch/SN65HVD3080EDGS/page-1", "SN65HVD3080EDGS")</f>
        <v>SN65HVD3080EDGS</v>
      </c>
      <c r="B11293" s="3" t="s">
        <v>90</v>
      </c>
      <c r="C11293" s="5">
        <v>988</v>
      </c>
      <c r="D11293" s="6">
        <v>4.09</v>
      </c>
      <c r="E11293" t="s">
        <v>18</v>
      </c>
    </row>
    <row r="11294" spans="1:5" x14ac:dyDescent="0.25">
      <c r="A11294" t="str">
        <f>HYPERLINK("https://www.773grp.com/globalSearch/SN65HVD3083EDGS/page-1", "SN65HVD3083EDGS")</f>
        <v>SN65HVD3083EDGS</v>
      </c>
      <c r="B11294" s="3" t="s">
        <v>90</v>
      </c>
      <c r="C11294" s="5">
        <v>5961</v>
      </c>
      <c r="D11294" s="6">
        <v>4.09</v>
      </c>
      <c r="E11294" t="s">
        <v>18</v>
      </c>
    </row>
    <row r="11295" spans="1:5" x14ac:dyDescent="0.25">
      <c r="A11295" t="str">
        <f>HYPERLINK("https://www.773grp.com/globalSearch/SN65HVD3085EDGK/page-1", "SN65HVD3085EDGK")</f>
        <v>SN65HVD3085EDGK</v>
      </c>
      <c r="B11295" s="3" t="s">
        <v>90</v>
      </c>
      <c r="C11295" s="5">
        <v>99</v>
      </c>
      <c r="D11295" s="6">
        <v>4.09</v>
      </c>
      <c r="E11295" t="s">
        <v>18</v>
      </c>
    </row>
    <row r="11296" spans="1:5" x14ac:dyDescent="0.25">
      <c r="A11296" t="str">
        <f>HYPERLINK("https://www.773grp.com/globalSearch/SN65LVDS310ZQCR/page-1", "SN65LVDS310ZQCR")</f>
        <v>SN65LVDS310ZQCR</v>
      </c>
      <c r="B11296" s="3" t="s">
        <v>90</v>
      </c>
      <c r="C11296" s="5">
        <v>7500</v>
      </c>
      <c r="D11296" s="6">
        <v>4.09</v>
      </c>
      <c r="E11296" t="s">
        <v>18</v>
      </c>
    </row>
    <row r="11297" spans="1:5" x14ac:dyDescent="0.25">
      <c r="A11297" t="str">
        <f>HYPERLINK("https://www.773grp.com/globalSearch/SN65LVDS33D/page-1", "SN65LVDS33D")</f>
        <v>SN65LVDS33D</v>
      </c>
      <c r="B11297" s="3" t="s">
        <v>90</v>
      </c>
      <c r="C11297" s="5">
        <v>822</v>
      </c>
      <c r="D11297" s="6">
        <v>4.09</v>
      </c>
      <c r="E11297" t="s">
        <v>18</v>
      </c>
    </row>
    <row r="11298" spans="1:5" x14ac:dyDescent="0.25">
      <c r="A11298" t="str">
        <f>HYPERLINK("https://www.773grp.com/globalSearch/SN65LVDS33PW/page-1", "SN65LVDS33PW")</f>
        <v>SN65LVDS33PW</v>
      </c>
      <c r="B11298" s="3" t="s">
        <v>90</v>
      </c>
      <c r="C11298" s="5">
        <v>554</v>
      </c>
      <c r="D11298" s="6">
        <v>4.09</v>
      </c>
      <c r="E11298" t="s">
        <v>18</v>
      </c>
    </row>
    <row r="11299" spans="1:5" x14ac:dyDescent="0.25">
      <c r="A11299" t="str">
        <f>HYPERLINK("https://www.773grp.com/globalSearch/SN65MLVD047APWR/page-1", "SN65MLVD047APWR")</f>
        <v>SN65MLVD047APWR</v>
      </c>
      <c r="B11299" s="3" t="s">
        <v>90</v>
      </c>
      <c r="C11299" s="5">
        <v>29643</v>
      </c>
      <c r="D11299" s="6">
        <v>4.09</v>
      </c>
      <c r="E11299" t="s">
        <v>18</v>
      </c>
    </row>
    <row r="11300" spans="1:5" x14ac:dyDescent="0.25">
      <c r="A11300" t="str">
        <f>HYPERLINK("https://www.773grp.com/globalSearch/AM26LV32EIDR/page-1", "AM26LV32EIDR")</f>
        <v>AM26LV32EIDR</v>
      </c>
      <c r="B11300" s="3" t="s">
        <v>90</v>
      </c>
      <c r="C11300" s="5">
        <v>2450</v>
      </c>
      <c r="D11300" s="6">
        <v>4.54</v>
      </c>
      <c r="E11300" t="s">
        <v>18</v>
      </c>
    </row>
    <row r="11301" spans="1:5" x14ac:dyDescent="0.25">
      <c r="A11301" t="str">
        <f>HYPERLINK("https://www.773grp.com/globalSearch/MAX207IDWR/page-1", "MAX207IDWR")</f>
        <v>MAX207IDWR</v>
      </c>
      <c r="B11301" s="3" t="s">
        <v>90</v>
      </c>
      <c r="C11301" s="5">
        <v>3994</v>
      </c>
      <c r="D11301" s="6">
        <v>4.54</v>
      </c>
      <c r="E11301" t="s">
        <v>18</v>
      </c>
    </row>
    <row r="11302" spans="1:5" x14ac:dyDescent="0.25">
      <c r="A11302" t="str">
        <f>HYPERLINK("https://www.773grp.com/globalSearch/MAX211CDWR/page-1", "MAX211CDWR")</f>
        <v>MAX211CDWR</v>
      </c>
      <c r="B11302" s="3" t="s">
        <v>90</v>
      </c>
      <c r="C11302" s="5">
        <v>36000</v>
      </c>
      <c r="D11302" s="6">
        <v>4.54</v>
      </c>
      <c r="E11302" t="s">
        <v>18</v>
      </c>
    </row>
    <row r="11303" spans="1:5" x14ac:dyDescent="0.25">
      <c r="A11303" t="str">
        <f>HYPERLINK("https://www.773grp.com/globalSearch/MAX211IDWR/page-1", "MAX211IDWR")</f>
        <v>MAX211IDWR</v>
      </c>
      <c r="B11303" s="3" t="s">
        <v>90</v>
      </c>
      <c r="C11303" s="5">
        <v>1000</v>
      </c>
      <c r="D11303" s="6">
        <v>4.54</v>
      </c>
      <c r="E11303" t="s">
        <v>18</v>
      </c>
    </row>
    <row r="11304" spans="1:5" x14ac:dyDescent="0.25">
      <c r="A11304" t="str">
        <f>HYPERLINK("https://www.773grp.com/globalSearch/MAX213CDBR/page-1", "MAX213CDBR")</f>
        <v>MAX213CDBR</v>
      </c>
      <c r="B11304" s="3" t="s">
        <v>90</v>
      </c>
      <c r="C11304" s="5">
        <v>8000</v>
      </c>
      <c r="D11304" s="6">
        <v>4.54</v>
      </c>
      <c r="E11304" t="s">
        <v>18</v>
      </c>
    </row>
    <row r="11305" spans="1:5" x14ac:dyDescent="0.25">
      <c r="A11305" t="str">
        <f>HYPERLINK("https://www.773grp.com/globalSearch/MAX3232ECDR/page-1", "MAX3232ECDR")</f>
        <v>MAX3232ECDR</v>
      </c>
      <c r="B11305" s="3" t="s">
        <v>90</v>
      </c>
      <c r="C11305" s="5">
        <v>2500</v>
      </c>
      <c r="D11305" s="6">
        <v>4.54</v>
      </c>
      <c r="E11305" t="s">
        <v>18</v>
      </c>
    </row>
    <row r="11306" spans="1:5" x14ac:dyDescent="0.25">
      <c r="A11306" t="str">
        <f>HYPERLINK("https://www.773grp.com/globalSearch/MAX3232ECDWR/page-1", "MAX3232ECDWR")</f>
        <v>MAX3232ECDWR</v>
      </c>
      <c r="B11306" s="3" t="s">
        <v>90</v>
      </c>
      <c r="C11306" s="5">
        <v>246000</v>
      </c>
      <c r="D11306" s="6">
        <v>4.54</v>
      </c>
      <c r="E11306" t="s">
        <v>18</v>
      </c>
    </row>
    <row r="11307" spans="1:5" x14ac:dyDescent="0.25">
      <c r="A11307" t="str">
        <f>HYPERLINK("https://www.773grp.com/globalSearch/MAX3243CDWR/page-1", "MAX3243CDWR")</f>
        <v>MAX3243CDWR</v>
      </c>
      <c r="B11307" s="3" t="s">
        <v>90</v>
      </c>
      <c r="C11307" s="5">
        <v>400</v>
      </c>
      <c r="D11307" s="6">
        <v>4.54</v>
      </c>
      <c r="E11307" t="s">
        <v>18</v>
      </c>
    </row>
    <row r="11308" spans="1:5" x14ac:dyDescent="0.25">
      <c r="A11308" t="str">
        <f>HYPERLINK("https://www.773grp.com/globalSearch/MAX3243ECDWR/page-1", "MAX3243ECDWR")</f>
        <v>MAX3243ECDWR</v>
      </c>
      <c r="B11308" s="3" t="s">
        <v>90</v>
      </c>
      <c r="C11308" s="5">
        <v>3160</v>
      </c>
      <c r="D11308" s="6">
        <v>4.54</v>
      </c>
      <c r="E11308" t="s">
        <v>18</v>
      </c>
    </row>
    <row r="11309" spans="1:5" x14ac:dyDescent="0.25">
      <c r="A11309" t="str">
        <f>HYPERLINK("https://www.773grp.com/globalSearch/PCA9515AD/page-1", "PCA9515AD")</f>
        <v>PCA9515AD</v>
      </c>
      <c r="B11309" s="3" t="s">
        <v>90</v>
      </c>
      <c r="C11309" s="5">
        <v>24600</v>
      </c>
      <c r="D11309" s="6">
        <v>4.54</v>
      </c>
      <c r="E11309" t="s">
        <v>18</v>
      </c>
    </row>
    <row r="11310" spans="1:5" x14ac:dyDescent="0.25">
      <c r="A11310" t="str">
        <f>HYPERLINK("https://www.773grp.com/globalSearch/SN65C1167NSR/page-1", "SN65C1167NSR")</f>
        <v>SN65C1167NSR</v>
      </c>
      <c r="B11310" s="3" t="s">
        <v>90</v>
      </c>
      <c r="C11310" s="5">
        <v>2000</v>
      </c>
      <c r="D11310" s="6">
        <v>4.54</v>
      </c>
      <c r="E11310" t="s">
        <v>18</v>
      </c>
    </row>
    <row r="11311" spans="1:5" x14ac:dyDescent="0.25">
      <c r="A11311" t="str">
        <f>HYPERLINK("https://www.773grp.com/globalSearch/SN65C1168N/page-1", "SN65C1168N")</f>
        <v>SN65C1168N</v>
      </c>
      <c r="B11311" s="3" t="s">
        <v>90</v>
      </c>
      <c r="C11311" s="5">
        <v>2224</v>
      </c>
      <c r="D11311" s="6">
        <v>4.54</v>
      </c>
      <c r="E11311" t="s">
        <v>18</v>
      </c>
    </row>
    <row r="11312" spans="1:5" x14ac:dyDescent="0.25">
      <c r="A11312" t="str">
        <f>HYPERLINK("https://www.773grp.com/globalSearch/SN75107ADR/page-1", "SN75107ADR")</f>
        <v>SN75107ADR</v>
      </c>
      <c r="B11312" s="3" t="s">
        <v>90</v>
      </c>
      <c r="C11312" s="5">
        <v>5000</v>
      </c>
      <c r="D11312" s="6">
        <v>4.54</v>
      </c>
      <c r="E11312" t="s">
        <v>18</v>
      </c>
    </row>
    <row r="11313" spans="1:5" x14ac:dyDescent="0.25">
      <c r="A11313" t="str">
        <f>HYPERLINK("https://www.773grp.com/globalSearch/SN75C1154N/page-1", "SN75C1154N")</f>
        <v>SN75C1154N</v>
      </c>
      <c r="B11313" s="3" t="s">
        <v>90</v>
      </c>
      <c r="C11313" s="5">
        <v>1855</v>
      </c>
      <c r="D11313" s="6">
        <v>4.54</v>
      </c>
      <c r="E11313" t="s">
        <v>18</v>
      </c>
    </row>
    <row r="11314" spans="1:5" x14ac:dyDescent="0.25">
      <c r="A11314" t="str">
        <f>HYPERLINK("https://www.773grp.com/globalSearch/SN75C1406D/page-1", "SN75C1406D")</f>
        <v>SN75C1406D</v>
      </c>
      <c r="B11314" s="3" t="s">
        <v>90</v>
      </c>
      <c r="C11314" s="5">
        <v>440</v>
      </c>
      <c r="D11314" s="6">
        <v>4.54</v>
      </c>
      <c r="E11314" t="s">
        <v>18</v>
      </c>
    </row>
    <row r="11315" spans="1:5" x14ac:dyDescent="0.25">
      <c r="A11315" t="str">
        <f>HYPERLINK("https://www.773grp.com/globalSearch/SN75C1406DW/page-1", "SN75C1406DW")</f>
        <v>SN75C1406DW</v>
      </c>
      <c r="B11315" s="3" t="s">
        <v>90</v>
      </c>
      <c r="C11315" s="5">
        <v>2253</v>
      </c>
      <c r="D11315" s="6">
        <v>4.54</v>
      </c>
      <c r="E11315" t="s">
        <v>18</v>
      </c>
    </row>
    <row r="11316" spans="1:5" x14ac:dyDescent="0.25">
      <c r="A11316" t="str">
        <f>HYPERLINK("https://www.773grp.com/globalSearch/TL145406DWR/page-1", "TL145406DWR")</f>
        <v>TL145406DWR</v>
      </c>
      <c r="B11316" s="3" t="s">
        <v>90</v>
      </c>
      <c r="C11316" s="5">
        <v>7850</v>
      </c>
      <c r="D11316" s="6">
        <v>4.54</v>
      </c>
      <c r="E11316" t="s">
        <v>18</v>
      </c>
    </row>
    <row r="11317" spans="1:5" x14ac:dyDescent="0.25">
      <c r="A11317" t="str">
        <f>HYPERLINK("https://www.773grp.com/globalSearch/TRS207CDWR/page-1", "TRS207CDWR")</f>
        <v>TRS207CDWR</v>
      </c>
      <c r="B11317" s="3" t="s">
        <v>90</v>
      </c>
      <c r="C11317" s="5">
        <v>4000</v>
      </c>
      <c r="D11317" s="6">
        <v>4.54</v>
      </c>
      <c r="E11317" t="s">
        <v>18</v>
      </c>
    </row>
    <row r="11318" spans="1:5" x14ac:dyDescent="0.25">
      <c r="A11318" t="str">
        <f>HYPERLINK("https://www.773grp.com/globalSearch/TRS208CDBR/page-1", "TRS208CDBR")</f>
        <v>TRS208CDBR</v>
      </c>
      <c r="B11318" s="3" t="s">
        <v>90</v>
      </c>
      <c r="C11318" s="5">
        <v>2000</v>
      </c>
      <c r="D11318" s="6">
        <v>4.54</v>
      </c>
      <c r="E11318" t="s">
        <v>18</v>
      </c>
    </row>
    <row r="11319" spans="1:5" x14ac:dyDescent="0.25">
      <c r="A11319" t="str">
        <f>HYPERLINK("https://www.773grp.com/globalSearch/TRS208CDWR/page-1", "TRS208CDWR")</f>
        <v>TRS208CDWR</v>
      </c>
      <c r="B11319" s="3" t="s">
        <v>90</v>
      </c>
      <c r="C11319" s="5">
        <v>2000</v>
      </c>
      <c r="D11319" s="6">
        <v>4.54</v>
      </c>
      <c r="E11319" t="s">
        <v>18</v>
      </c>
    </row>
    <row r="11320" spans="1:5" x14ac:dyDescent="0.25">
      <c r="A11320" t="str">
        <f>HYPERLINK("https://www.773grp.com/globalSearch/TRS211CDBR/page-1", "TRS211CDBR")</f>
        <v>TRS211CDBR</v>
      </c>
      <c r="B11320" s="3" t="s">
        <v>90</v>
      </c>
      <c r="C11320" s="5">
        <v>4000</v>
      </c>
      <c r="D11320" s="6">
        <v>4.54</v>
      </c>
      <c r="E11320" t="s">
        <v>18</v>
      </c>
    </row>
    <row r="11321" spans="1:5" x14ac:dyDescent="0.25">
      <c r="A11321" t="str">
        <f>HYPERLINK("https://www.773grp.com/globalSearch/TRS211CDWR/page-1", "TRS211CDWR")</f>
        <v>TRS211CDWR</v>
      </c>
      <c r="B11321" s="3" t="s">
        <v>90</v>
      </c>
      <c r="C11321" s="5">
        <v>6000</v>
      </c>
      <c r="D11321" s="6">
        <v>4.54</v>
      </c>
      <c r="E11321" t="s">
        <v>18</v>
      </c>
    </row>
    <row r="11322" spans="1:5" x14ac:dyDescent="0.25">
      <c r="A11322" t="str">
        <f>HYPERLINK("https://www.773grp.com/globalSearch/TRS3232CD/page-1", "TRS3232CD")</f>
        <v>TRS3232CD</v>
      </c>
      <c r="B11322" s="3" t="s">
        <v>90</v>
      </c>
      <c r="C11322" s="5">
        <v>1640</v>
      </c>
      <c r="D11322" s="6">
        <v>4.54</v>
      </c>
      <c r="E11322" t="s">
        <v>18</v>
      </c>
    </row>
    <row r="11323" spans="1:5" x14ac:dyDescent="0.25">
      <c r="A11323" t="str">
        <f>HYPERLINK("https://www.773grp.com/globalSearch/TRS3232ECDBR/page-1", "TRS3232ECDBR")</f>
        <v>TRS3232ECDBR</v>
      </c>
      <c r="B11323" s="3" t="s">
        <v>90</v>
      </c>
      <c r="C11323" s="5">
        <v>2000</v>
      </c>
      <c r="D11323" s="6">
        <v>4.54</v>
      </c>
      <c r="E11323" t="s">
        <v>18</v>
      </c>
    </row>
    <row r="11324" spans="1:5" x14ac:dyDescent="0.25">
      <c r="A11324" t="str">
        <f>HYPERLINK("https://www.773grp.com/globalSearch/TRS3232ID/page-1", "TRS3232ID")</f>
        <v>TRS3232ID</v>
      </c>
      <c r="B11324" s="3" t="s">
        <v>90</v>
      </c>
      <c r="C11324" s="5">
        <v>1420</v>
      </c>
      <c r="D11324" s="6">
        <v>4.54</v>
      </c>
      <c r="E11324" t="s">
        <v>18</v>
      </c>
    </row>
    <row r="11325" spans="1:5" x14ac:dyDescent="0.25">
      <c r="A11325" t="str">
        <f>HYPERLINK("https://www.773grp.com/globalSearch/TRS3243ECDWR/page-1", "TRS3243ECDWR")</f>
        <v>TRS3243ECDWR</v>
      </c>
      <c r="B11325" s="3" t="s">
        <v>90</v>
      </c>
      <c r="C11325" s="5">
        <v>3127</v>
      </c>
      <c r="D11325" s="6">
        <v>4.54</v>
      </c>
      <c r="E11325" t="s">
        <v>18</v>
      </c>
    </row>
    <row r="11326" spans="1:5" x14ac:dyDescent="0.25">
      <c r="A11326" t="str">
        <f>HYPERLINK("https://www.773grp.com/globalSearch/SN65LBC176P/page-1", "SN65LBC176P")</f>
        <v>SN65LBC176P</v>
      </c>
      <c r="B11326" s="3" t="s">
        <v>90</v>
      </c>
      <c r="C11326" s="5">
        <v>3085</v>
      </c>
      <c r="D11326" s="6">
        <v>4.0999999999999996</v>
      </c>
      <c r="E11326" t="s">
        <v>18</v>
      </c>
    </row>
    <row r="11327" spans="1:5" x14ac:dyDescent="0.25">
      <c r="A11327" t="str">
        <f>HYPERLINK("https://www.773grp.com/globalSearch/SN75123DR/page-1", "SN75123DR")</f>
        <v>SN75123DR</v>
      </c>
      <c r="B11327" s="3" t="s">
        <v>90</v>
      </c>
      <c r="C11327" s="5">
        <v>17500</v>
      </c>
      <c r="D11327" s="6">
        <v>4.0999999999999996</v>
      </c>
      <c r="E11327" t="s">
        <v>18</v>
      </c>
    </row>
    <row r="11328" spans="1:5" x14ac:dyDescent="0.25">
      <c r="A11328" t="str">
        <f>HYPERLINK("https://www.773grp.com/globalSearch/SN65LBC182P/page-1", "SN65LBC182P")</f>
        <v>SN65LBC182P</v>
      </c>
      <c r="B11328" s="3" t="s">
        <v>90</v>
      </c>
      <c r="C11328" s="5">
        <v>3879</v>
      </c>
      <c r="D11328" s="6">
        <v>4.1399999999999997</v>
      </c>
      <c r="E11328" t="s">
        <v>18</v>
      </c>
    </row>
    <row r="11329" spans="1:5" x14ac:dyDescent="0.25">
      <c r="A11329" t="str">
        <f>HYPERLINK("https://www.773grp.com/globalSearch/SN75LBC180N/page-1", "SN75LBC180N")</f>
        <v>SN75LBC180N</v>
      </c>
      <c r="B11329" s="3" t="s">
        <v>90</v>
      </c>
      <c r="C11329" s="5">
        <v>840</v>
      </c>
      <c r="D11329" s="6">
        <v>4.1399999999999997</v>
      </c>
      <c r="E11329" t="s">
        <v>18</v>
      </c>
    </row>
    <row r="11330" spans="1:5" x14ac:dyDescent="0.25">
      <c r="A11330" t="str">
        <f>HYPERLINK("https://www.773grp.com/globalSearch/TRS3243CDWR/page-1", "TRS3243CDWR")</f>
        <v>TRS3243CDWR</v>
      </c>
      <c r="B11330" s="3" t="s">
        <v>90</v>
      </c>
      <c r="C11330" s="5">
        <v>4000</v>
      </c>
      <c r="D11330" s="6">
        <v>4.59</v>
      </c>
      <c r="E11330" t="s">
        <v>18</v>
      </c>
    </row>
    <row r="11331" spans="1:5" x14ac:dyDescent="0.25">
      <c r="A11331" t="str">
        <f>HYPERLINK("https://www.773grp.com/globalSearch/SN65LBC175D/page-1", "SN65LBC175D")</f>
        <v>SN65LBC175D</v>
      </c>
      <c r="B11331" s="3" t="s">
        <v>90</v>
      </c>
      <c r="C11331" s="5">
        <v>85</v>
      </c>
      <c r="D11331" s="6">
        <v>4.1900000000000004</v>
      </c>
      <c r="E11331" t="s">
        <v>18</v>
      </c>
    </row>
    <row r="11332" spans="1:5" x14ac:dyDescent="0.25">
      <c r="A11332" t="str">
        <f>HYPERLINK("https://www.773grp.com/globalSearch/SN65LBC175DW/page-1", "SN65LBC175DW")</f>
        <v>SN65LBC175DW</v>
      </c>
      <c r="B11332" s="3" t="s">
        <v>90</v>
      </c>
      <c r="C11332" s="5">
        <v>4265</v>
      </c>
      <c r="D11332" s="6">
        <v>4.1900000000000004</v>
      </c>
      <c r="E11332" t="s">
        <v>18</v>
      </c>
    </row>
    <row r="11333" spans="1:5" x14ac:dyDescent="0.25">
      <c r="A11333" t="str">
        <f>HYPERLINK("https://www.773grp.com/globalSearch/SN65LVDS9638DGNR/page-1", "SN65LVDS9638DGNR")</f>
        <v>SN65LVDS9638DGNR</v>
      </c>
      <c r="B11333" s="3" t="s">
        <v>90</v>
      </c>
      <c r="C11333" s="5">
        <v>1840</v>
      </c>
      <c r="D11333" s="6">
        <v>4.6399999999999997</v>
      </c>
      <c r="E11333" t="s">
        <v>18</v>
      </c>
    </row>
    <row r="11334" spans="1:5" x14ac:dyDescent="0.25">
      <c r="A11334" t="str">
        <f>HYPERLINK("https://www.773grp.com/globalSearch/MAX3222EIDB/page-1", "MAX3222EIDB")</f>
        <v>MAX3222EIDB</v>
      </c>
      <c r="B11334" s="3" t="s">
        <v>90</v>
      </c>
      <c r="C11334" s="5">
        <v>2</v>
      </c>
      <c r="D11334" s="6">
        <v>4.2300000000000004</v>
      </c>
      <c r="E11334" t="s">
        <v>18</v>
      </c>
    </row>
    <row r="11335" spans="1:5" x14ac:dyDescent="0.25">
      <c r="A11335" t="str">
        <f>HYPERLINK("https://www.773grp.com/globalSearch/MAX3222EIDW/page-1", "MAX3222EIDW")</f>
        <v>MAX3222EIDW</v>
      </c>
      <c r="B11335" s="3" t="s">
        <v>90</v>
      </c>
      <c r="C11335" s="5">
        <v>6200</v>
      </c>
      <c r="D11335" s="6">
        <v>4.2300000000000004</v>
      </c>
      <c r="E11335" t="s">
        <v>18</v>
      </c>
    </row>
    <row r="11336" spans="1:5" x14ac:dyDescent="0.25">
      <c r="A11336" t="str">
        <f>HYPERLINK("https://www.773grp.com/globalSearch/MAX3222EIPW/page-1", "MAX3222EIPW")</f>
        <v>MAX3222EIPW</v>
      </c>
      <c r="B11336" s="3" t="s">
        <v>90</v>
      </c>
      <c r="C11336" s="5">
        <v>2790</v>
      </c>
      <c r="D11336" s="6">
        <v>4.2300000000000004</v>
      </c>
      <c r="E11336" t="s">
        <v>18</v>
      </c>
    </row>
    <row r="11337" spans="1:5" x14ac:dyDescent="0.25">
      <c r="A11337" t="str">
        <f>HYPERLINK("https://www.773grp.com/globalSearch/MAX3222IDB/page-1", "MAX3222IDB")</f>
        <v>MAX3222IDB</v>
      </c>
      <c r="B11337" s="3" t="s">
        <v>90</v>
      </c>
      <c r="C11337" s="5">
        <v>716</v>
      </c>
      <c r="D11337" s="6">
        <v>4.2300000000000004</v>
      </c>
      <c r="E11337" t="s">
        <v>18</v>
      </c>
    </row>
    <row r="11338" spans="1:5" x14ac:dyDescent="0.25">
      <c r="A11338" t="str">
        <f>HYPERLINK("https://www.773grp.com/globalSearch/MAX3222IDW/page-1", "MAX3222IDW")</f>
        <v>MAX3222IDW</v>
      </c>
      <c r="B11338" s="3" t="s">
        <v>90</v>
      </c>
      <c r="C11338" s="5">
        <v>12140</v>
      </c>
      <c r="D11338" s="6">
        <v>4.2300000000000004</v>
      </c>
      <c r="E11338" t="s">
        <v>18</v>
      </c>
    </row>
    <row r="11339" spans="1:5" x14ac:dyDescent="0.25">
      <c r="A11339" t="str">
        <f>HYPERLINK("https://www.773grp.com/globalSearch/MAX3227EIDB/page-1", "MAX3227EIDB")</f>
        <v>MAX3227EIDB</v>
      </c>
      <c r="B11339" s="3" t="s">
        <v>90</v>
      </c>
      <c r="C11339" s="5">
        <v>27</v>
      </c>
      <c r="D11339" s="6">
        <v>4.2300000000000004</v>
      </c>
      <c r="E11339" t="s">
        <v>18</v>
      </c>
    </row>
    <row r="11340" spans="1:5" x14ac:dyDescent="0.25">
      <c r="A11340" t="str">
        <f>HYPERLINK("https://www.773grp.com/globalSearch/MAX3227IDB/page-1", "MAX3227IDB")</f>
        <v>MAX3227IDB</v>
      </c>
      <c r="B11340" s="3" t="s">
        <v>90</v>
      </c>
      <c r="C11340" s="5">
        <v>3178</v>
      </c>
      <c r="D11340" s="6">
        <v>4.2300000000000004</v>
      </c>
      <c r="E11340" t="s">
        <v>18</v>
      </c>
    </row>
    <row r="11341" spans="1:5" x14ac:dyDescent="0.25">
      <c r="A11341" t="str">
        <f>HYPERLINK("https://www.773grp.com/globalSearch/SN65175D/page-1", "SN65175D")</f>
        <v>SN65175D</v>
      </c>
      <c r="B11341" s="3" t="s">
        <v>90</v>
      </c>
      <c r="C11341" s="5">
        <v>1836</v>
      </c>
      <c r="D11341" s="6">
        <v>4.2300000000000004</v>
      </c>
      <c r="E11341" t="s">
        <v>18</v>
      </c>
    </row>
    <row r="11342" spans="1:5" x14ac:dyDescent="0.25">
      <c r="A11342" t="str">
        <f>HYPERLINK("https://www.773grp.com/globalSearch/SN65C3222DW/page-1", "SN65C3222DW")</f>
        <v>SN65C3222DW</v>
      </c>
      <c r="B11342" s="3" t="s">
        <v>90</v>
      </c>
      <c r="C11342" s="5">
        <v>3300</v>
      </c>
      <c r="D11342" s="6">
        <v>4.2300000000000004</v>
      </c>
      <c r="E11342" t="s">
        <v>18</v>
      </c>
    </row>
    <row r="11343" spans="1:5" x14ac:dyDescent="0.25">
      <c r="A11343" t="str">
        <f>HYPERLINK("https://www.773grp.com/globalSearch/SN65C3222EDB/page-1", "SN65C3222EDB")</f>
        <v>SN65C3222EDB</v>
      </c>
      <c r="B11343" s="3" t="s">
        <v>90</v>
      </c>
      <c r="C11343" s="5">
        <v>2975</v>
      </c>
      <c r="D11343" s="6">
        <v>4.2300000000000004</v>
      </c>
      <c r="E11343" t="s">
        <v>18</v>
      </c>
    </row>
    <row r="11344" spans="1:5" x14ac:dyDescent="0.25">
      <c r="A11344" t="str">
        <f>HYPERLINK("https://www.773grp.com/globalSearch/SN65C3222EDW/page-1", "SN65C3222EDW")</f>
        <v>SN65C3222EDW</v>
      </c>
      <c r="B11344" s="3" t="s">
        <v>90</v>
      </c>
      <c r="C11344" s="5">
        <v>3825</v>
      </c>
      <c r="D11344" s="6">
        <v>4.2300000000000004</v>
      </c>
      <c r="E11344" t="s">
        <v>18</v>
      </c>
    </row>
    <row r="11345" spans="1:5" x14ac:dyDescent="0.25">
      <c r="A11345" t="str">
        <f>HYPERLINK("https://www.773grp.com/globalSearch/SN65C3222EPW/page-1", "SN65C3222EPW")</f>
        <v>SN65C3222EPW</v>
      </c>
      <c r="B11345" s="3" t="s">
        <v>90</v>
      </c>
      <c r="C11345" s="5">
        <v>65</v>
      </c>
      <c r="D11345" s="6">
        <v>4.2300000000000004</v>
      </c>
      <c r="E11345" t="s">
        <v>18</v>
      </c>
    </row>
    <row r="11346" spans="1:5" x14ac:dyDescent="0.25">
      <c r="A11346" t="str">
        <f>HYPERLINK("https://www.773grp.com/globalSearch/SN65C3222PW/page-1", "SN65C3222PW")</f>
        <v>SN65C3222PW</v>
      </c>
      <c r="B11346" s="3" t="s">
        <v>90</v>
      </c>
      <c r="C11346" s="5">
        <v>235</v>
      </c>
      <c r="D11346" s="6">
        <v>4.2300000000000004</v>
      </c>
      <c r="E11346" t="s">
        <v>18</v>
      </c>
    </row>
    <row r="11347" spans="1:5" x14ac:dyDescent="0.25">
      <c r="A11347" t="str">
        <f>HYPERLINK("https://www.773grp.com/globalSearch/SN65C3223DW/page-1", "SN65C3223DW")</f>
        <v>SN65C3223DW</v>
      </c>
      <c r="B11347" s="3" t="s">
        <v>90</v>
      </c>
      <c r="C11347" s="5">
        <v>9955</v>
      </c>
      <c r="D11347" s="6">
        <v>4.2300000000000004</v>
      </c>
      <c r="E11347" t="s">
        <v>18</v>
      </c>
    </row>
    <row r="11348" spans="1:5" x14ac:dyDescent="0.25">
      <c r="A11348" t="str">
        <f>HYPERLINK("https://www.773grp.com/globalSearch/SN65C3223DWG4/page-1", "SN65C3223DWG4")</f>
        <v>SN65C3223DWG4</v>
      </c>
      <c r="B11348" s="3" t="s">
        <v>90</v>
      </c>
      <c r="C11348" s="5">
        <v>300</v>
      </c>
      <c r="D11348" s="6">
        <v>4.2300000000000004</v>
      </c>
      <c r="E11348" t="s">
        <v>18</v>
      </c>
    </row>
    <row r="11349" spans="1:5" x14ac:dyDescent="0.25">
      <c r="A11349" t="str">
        <f>HYPERLINK("https://www.773grp.com/globalSearch/SN65C3223EDB/page-1", "SN65C3223EDB")</f>
        <v>SN65C3223EDB</v>
      </c>
      <c r="B11349" s="3" t="s">
        <v>90</v>
      </c>
      <c r="C11349" s="5">
        <v>1400</v>
      </c>
      <c r="D11349" s="6">
        <v>4.2300000000000004</v>
      </c>
      <c r="E11349" t="s">
        <v>18</v>
      </c>
    </row>
    <row r="11350" spans="1:5" x14ac:dyDescent="0.25">
      <c r="A11350" t="str">
        <f>HYPERLINK("https://www.773grp.com/globalSearch/SN65C3223EDW/page-1", "SN65C3223EDW")</f>
        <v>SN65C3223EDW</v>
      </c>
      <c r="B11350" s="3" t="s">
        <v>90</v>
      </c>
      <c r="C11350" s="5">
        <v>5027</v>
      </c>
      <c r="D11350" s="6">
        <v>4.2300000000000004</v>
      </c>
      <c r="E11350" t="s">
        <v>18</v>
      </c>
    </row>
    <row r="11351" spans="1:5" x14ac:dyDescent="0.25">
      <c r="A11351" t="str">
        <f>HYPERLINK("https://www.773grp.com/globalSearch/SN65C3223EPW/page-1", "SN65C3223EPW")</f>
        <v>SN65C3223EPW</v>
      </c>
      <c r="B11351" s="3" t="s">
        <v>90</v>
      </c>
      <c r="C11351" s="5">
        <v>247</v>
      </c>
      <c r="D11351" s="6">
        <v>4.2300000000000004</v>
      </c>
      <c r="E11351" t="s">
        <v>18</v>
      </c>
    </row>
    <row r="11352" spans="1:5" x14ac:dyDescent="0.25">
      <c r="A11352" t="str">
        <f>HYPERLINK("https://www.773grp.com/globalSearch/SN65LVDM179D/page-1", "SN65LVDM179D")</f>
        <v>SN65LVDM179D</v>
      </c>
      <c r="B11352" s="3" t="s">
        <v>90</v>
      </c>
      <c r="C11352" s="5">
        <v>6606</v>
      </c>
      <c r="D11352" s="6">
        <v>4.2300000000000004</v>
      </c>
      <c r="E11352" t="s">
        <v>18</v>
      </c>
    </row>
    <row r="11353" spans="1:5" x14ac:dyDescent="0.25">
      <c r="A11353" t="str">
        <f>HYPERLINK("https://www.773grp.com/globalSearch/SN65LVDM179DGK/page-1", "SN65LVDM179DGK")</f>
        <v>SN65LVDM179DGK</v>
      </c>
      <c r="B11353" s="3" t="s">
        <v>90</v>
      </c>
      <c r="C11353" s="5">
        <v>3664</v>
      </c>
      <c r="D11353" s="6">
        <v>4.2300000000000004</v>
      </c>
      <c r="E11353" t="s">
        <v>18</v>
      </c>
    </row>
    <row r="11354" spans="1:5" x14ac:dyDescent="0.25">
      <c r="A11354" t="str">
        <f>HYPERLINK("https://www.773grp.com/globalSearch/SN65LVDM179DGKG4/page-1", "SN65LVDM179DGKG4")</f>
        <v>SN65LVDM179DGKG4</v>
      </c>
      <c r="B11354" s="3" t="s">
        <v>90</v>
      </c>
      <c r="C11354" s="5">
        <v>34</v>
      </c>
      <c r="D11354" s="6">
        <v>4.2300000000000004</v>
      </c>
      <c r="E11354" t="s">
        <v>18</v>
      </c>
    </row>
    <row r="11355" spans="1:5" x14ac:dyDescent="0.25">
      <c r="A11355" t="str">
        <f>HYPERLINK("https://www.773grp.com/globalSearch/SN65LVDM180D/page-1", "SN65LVDM180D")</f>
        <v>SN65LVDM180D</v>
      </c>
      <c r="B11355" s="3" t="s">
        <v>90</v>
      </c>
      <c r="C11355" s="5">
        <v>2628</v>
      </c>
      <c r="D11355" s="6">
        <v>4.2300000000000004</v>
      </c>
      <c r="E11355" t="s">
        <v>18</v>
      </c>
    </row>
    <row r="11356" spans="1:5" x14ac:dyDescent="0.25">
      <c r="A11356" t="str">
        <f>HYPERLINK("https://www.773grp.com/globalSearch/SN65LVDM180PW/page-1", "SN65LVDM180PW")</f>
        <v>SN65LVDM180PW</v>
      </c>
      <c r="B11356" s="3" t="s">
        <v>90</v>
      </c>
      <c r="C11356" s="5">
        <v>8814</v>
      </c>
      <c r="D11356" s="6">
        <v>4.2300000000000004</v>
      </c>
      <c r="E11356" t="s">
        <v>18</v>
      </c>
    </row>
    <row r="11357" spans="1:5" x14ac:dyDescent="0.25">
      <c r="A11357" t="str">
        <f>HYPERLINK("https://www.773grp.com/globalSearch/SN65LVDS3486D/page-1", "SN65LVDS3486D")</f>
        <v>SN65LVDS3486D</v>
      </c>
      <c r="B11357" s="3" t="s">
        <v>90</v>
      </c>
      <c r="C11357" s="5">
        <v>487</v>
      </c>
      <c r="D11357" s="6">
        <v>4.2300000000000004</v>
      </c>
      <c r="E11357" t="s">
        <v>18</v>
      </c>
    </row>
    <row r="11358" spans="1:5" x14ac:dyDescent="0.25">
      <c r="A11358" t="str">
        <f>HYPERLINK("https://www.773grp.com/globalSearch/SN65LVDS3487D/page-1", "SN65LVDS3487D")</f>
        <v>SN65LVDS3487D</v>
      </c>
      <c r="B11358" s="3" t="s">
        <v>90</v>
      </c>
      <c r="C11358" s="5">
        <v>11357</v>
      </c>
      <c r="D11358" s="6">
        <v>4.2300000000000004</v>
      </c>
      <c r="E11358" t="s">
        <v>18</v>
      </c>
    </row>
    <row r="11359" spans="1:5" x14ac:dyDescent="0.25">
      <c r="A11359" t="str">
        <f>HYPERLINK("https://www.773grp.com/globalSearch/SN65LVDS390D/page-1", "SN65LVDS390D")</f>
        <v>SN65LVDS390D</v>
      </c>
      <c r="B11359" s="3" t="s">
        <v>90</v>
      </c>
      <c r="C11359" s="5">
        <v>4806</v>
      </c>
      <c r="D11359" s="6">
        <v>4.2300000000000004</v>
      </c>
      <c r="E11359" t="s">
        <v>18</v>
      </c>
    </row>
    <row r="11360" spans="1:5" x14ac:dyDescent="0.25">
      <c r="A11360" t="str">
        <f>HYPERLINK("https://www.773grp.com/globalSearch/SN65LVDS390PW/page-1", "SN65LVDS390PW")</f>
        <v>SN65LVDS390PW</v>
      </c>
      <c r="B11360" s="3" t="s">
        <v>90</v>
      </c>
      <c r="C11360" s="5">
        <v>2717</v>
      </c>
      <c r="D11360" s="6">
        <v>4.2300000000000004</v>
      </c>
      <c r="E11360" t="s">
        <v>18</v>
      </c>
    </row>
    <row r="11361" spans="1:5" x14ac:dyDescent="0.25">
      <c r="A11361" t="str">
        <f>HYPERLINK("https://www.773grp.com/globalSearch/SN65LVDS391D/page-1", "SN65LVDS391D")</f>
        <v>SN65LVDS391D</v>
      </c>
      <c r="B11361" s="3" t="s">
        <v>90</v>
      </c>
      <c r="C11361" s="5">
        <v>4132</v>
      </c>
      <c r="D11361" s="6">
        <v>4.2300000000000004</v>
      </c>
      <c r="E11361" t="s">
        <v>18</v>
      </c>
    </row>
    <row r="11362" spans="1:5" x14ac:dyDescent="0.25">
      <c r="A11362" t="str">
        <f>HYPERLINK("https://www.773grp.com/globalSearch/SN65LVDS391PW/page-1", "SN65LVDS391PW")</f>
        <v>SN65LVDS391PW</v>
      </c>
      <c r="B11362" s="3" t="s">
        <v>90</v>
      </c>
      <c r="C11362" s="5">
        <v>1478</v>
      </c>
      <c r="D11362" s="6">
        <v>4.2300000000000004</v>
      </c>
      <c r="E11362" t="s">
        <v>18</v>
      </c>
    </row>
    <row r="11363" spans="1:5" x14ac:dyDescent="0.25">
      <c r="A11363" t="str">
        <f>HYPERLINK("https://www.773grp.com/globalSearch/SN75157D/page-1", "SN75157D")</f>
        <v>SN75157D</v>
      </c>
      <c r="B11363" s="3" t="s">
        <v>90</v>
      </c>
      <c r="C11363" s="5">
        <v>425</v>
      </c>
      <c r="D11363" s="6">
        <v>4.2300000000000004</v>
      </c>
      <c r="E11363" t="s">
        <v>18</v>
      </c>
    </row>
    <row r="11364" spans="1:5" x14ac:dyDescent="0.25">
      <c r="A11364" t="str">
        <f>HYPERLINK("https://www.773grp.com/globalSearch/SN75175J/page-1", "SN75175J")</f>
        <v>SN75175J</v>
      </c>
      <c r="B11364" s="3" t="s">
        <v>90</v>
      </c>
      <c r="C11364" s="5">
        <v>15</v>
      </c>
      <c r="D11364" s="6">
        <v>4.2300000000000004</v>
      </c>
      <c r="E11364" t="s">
        <v>18</v>
      </c>
    </row>
    <row r="11365" spans="1:5" x14ac:dyDescent="0.25">
      <c r="A11365" t="str">
        <f>HYPERLINK("https://www.773grp.com/globalSearch/SN7534050NS/page-1", "SN7534050NS")</f>
        <v>SN7534050NS</v>
      </c>
      <c r="B11365" s="3" t="s">
        <v>90</v>
      </c>
      <c r="C11365" s="5">
        <v>1400</v>
      </c>
      <c r="D11365" s="6">
        <v>4.2300000000000004</v>
      </c>
      <c r="E11365" t="s">
        <v>18</v>
      </c>
    </row>
    <row r="11366" spans="1:5" x14ac:dyDescent="0.25">
      <c r="A11366" t="str">
        <f>HYPERLINK("https://www.773grp.com/globalSearch/SN75ALS160N/page-1", "SN75ALS160N")</f>
        <v>SN75ALS160N</v>
      </c>
      <c r="B11366" s="3" t="s">
        <v>90</v>
      </c>
      <c r="C11366" s="5">
        <v>3386</v>
      </c>
      <c r="D11366" s="6">
        <v>4.2300000000000004</v>
      </c>
      <c r="E11366" t="s">
        <v>18</v>
      </c>
    </row>
    <row r="11367" spans="1:5" x14ac:dyDescent="0.25">
      <c r="A11367" t="str">
        <f>HYPERLINK("https://www.773grp.com/globalSearch/SN75C3222EDB/page-1", "SN75C3222EDB")</f>
        <v>SN75C3222EDB</v>
      </c>
      <c r="B11367" s="3" t="s">
        <v>90</v>
      </c>
      <c r="C11367" s="5">
        <v>4180</v>
      </c>
      <c r="D11367" s="6">
        <v>4.2300000000000004</v>
      </c>
      <c r="E11367" t="s">
        <v>18</v>
      </c>
    </row>
    <row r="11368" spans="1:5" x14ac:dyDescent="0.25">
      <c r="A11368" t="str">
        <f>HYPERLINK("https://www.773grp.com/globalSearch/SN75C3222EDW/page-1", "SN75C3222EDW")</f>
        <v>SN75C3222EDW</v>
      </c>
      <c r="B11368" s="3" t="s">
        <v>90</v>
      </c>
      <c r="C11368" s="5">
        <v>4155</v>
      </c>
      <c r="D11368" s="6">
        <v>4.2300000000000004</v>
      </c>
      <c r="E11368" t="s">
        <v>18</v>
      </c>
    </row>
    <row r="11369" spans="1:5" x14ac:dyDescent="0.25">
      <c r="A11369" t="str">
        <f>HYPERLINK("https://www.773grp.com/globalSearch/SN75C3222EPW/page-1", "SN75C3222EPW")</f>
        <v>SN75C3222EPW</v>
      </c>
      <c r="B11369" s="3" t="s">
        <v>90</v>
      </c>
      <c r="C11369" s="5">
        <v>5910</v>
      </c>
      <c r="D11369" s="6">
        <v>4.2300000000000004</v>
      </c>
      <c r="E11369" t="s">
        <v>18</v>
      </c>
    </row>
    <row r="11370" spans="1:5" x14ac:dyDescent="0.25">
      <c r="A11370" t="str">
        <f>HYPERLINK("https://www.773grp.com/globalSearch/SN75C3223EDB/page-1", "SN75C3223EDB")</f>
        <v>SN75C3223EDB</v>
      </c>
      <c r="B11370" s="3" t="s">
        <v>90</v>
      </c>
      <c r="C11370" s="5">
        <v>3080</v>
      </c>
      <c r="D11370" s="6">
        <v>4.2300000000000004</v>
      </c>
      <c r="E11370" t="s">
        <v>18</v>
      </c>
    </row>
    <row r="11371" spans="1:5" x14ac:dyDescent="0.25">
      <c r="A11371" t="str">
        <f>HYPERLINK("https://www.773grp.com/globalSearch/SN75C3223EDW/page-1", "SN75C3223EDW")</f>
        <v>SN75C3223EDW</v>
      </c>
      <c r="B11371" s="3" t="s">
        <v>90</v>
      </c>
      <c r="C11371" s="5">
        <v>2175</v>
      </c>
      <c r="D11371" s="6">
        <v>4.2300000000000004</v>
      </c>
      <c r="E11371" t="s">
        <v>18</v>
      </c>
    </row>
    <row r="11372" spans="1:5" x14ac:dyDescent="0.25">
      <c r="A11372" t="str">
        <f>HYPERLINK("https://www.773grp.com/globalSearch/SN75C3223EPW/page-1", "SN75C3223EPW")</f>
        <v>SN75C3223EPW</v>
      </c>
      <c r="B11372" s="3" t="s">
        <v>90</v>
      </c>
      <c r="C11372" s="5">
        <v>958</v>
      </c>
      <c r="D11372" s="6">
        <v>4.2300000000000004</v>
      </c>
      <c r="E11372" t="s">
        <v>18</v>
      </c>
    </row>
    <row r="11373" spans="1:5" x14ac:dyDescent="0.25">
      <c r="A11373" t="str">
        <f>HYPERLINK("https://www.773grp.com/globalSearch/SN75HVD08DR/page-1", "SN75HVD08DR")</f>
        <v>SN75HVD08DR</v>
      </c>
      <c r="B11373" s="3" t="s">
        <v>90</v>
      </c>
      <c r="C11373" s="5">
        <v>1</v>
      </c>
      <c r="D11373" s="6">
        <v>4.2300000000000004</v>
      </c>
      <c r="E11373" t="s">
        <v>18</v>
      </c>
    </row>
    <row r="11374" spans="1:5" x14ac:dyDescent="0.25">
      <c r="A11374" t="str">
        <f>HYPERLINK("https://www.773grp.com/globalSearch/SN75HVD10DR/page-1", "SN75HVD10DR")</f>
        <v>SN75HVD10DR</v>
      </c>
      <c r="B11374" s="3" t="s">
        <v>90</v>
      </c>
      <c r="C11374" s="5">
        <v>2410</v>
      </c>
      <c r="D11374" s="6">
        <v>4.2300000000000004</v>
      </c>
      <c r="E11374" t="s">
        <v>18</v>
      </c>
    </row>
    <row r="11375" spans="1:5" x14ac:dyDescent="0.25">
      <c r="A11375" t="str">
        <f>HYPERLINK("https://www.773grp.com/globalSearch/SN75LVDS390D/page-1", "SN75LVDS390D")</f>
        <v>SN75LVDS390D</v>
      </c>
      <c r="B11375" s="3" t="s">
        <v>90</v>
      </c>
      <c r="C11375" s="5">
        <v>1974</v>
      </c>
      <c r="D11375" s="6">
        <v>4.2300000000000004</v>
      </c>
      <c r="E11375" t="s">
        <v>18</v>
      </c>
    </row>
    <row r="11376" spans="1:5" x14ac:dyDescent="0.25">
      <c r="A11376" t="str">
        <f>HYPERLINK("https://www.773grp.com/globalSearch/SN75LVDS391D/page-1", "SN75LVDS391D")</f>
        <v>SN75LVDS391D</v>
      </c>
      <c r="B11376" s="3" t="s">
        <v>90</v>
      </c>
      <c r="C11376" s="5">
        <v>4604</v>
      </c>
      <c r="D11376" s="6">
        <v>4.2300000000000004</v>
      </c>
      <c r="E11376" t="s">
        <v>18</v>
      </c>
    </row>
    <row r="11377" spans="1:5" x14ac:dyDescent="0.25">
      <c r="A11377" t="str">
        <f>HYPERLINK("https://www.773grp.com/globalSearch/SN75LVDS391PW/page-1", "SN75LVDS391PW")</f>
        <v>SN75LVDS391PW</v>
      </c>
      <c r="B11377" s="3" t="s">
        <v>90</v>
      </c>
      <c r="C11377" s="5">
        <v>181</v>
      </c>
      <c r="D11377" s="6">
        <v>4.2300000000000004</v>
      </c>
      <c r="E11377" t="s">
        <v>18</v>
      </c>
    </row>
    <row r="11378" spans="1:5" x14ac:dyDescent="0.25">
      <c r="A11378" t="str">
        <f>HYPERLINK("https://www.773grp.com/globalSearch/TRS3222EIDW/page-1", "TRS3222EIDW")</f>
        <v>TRS3222EIDW</v>
      </c>
      <c r="B11378" s="3" t="s">
        <v>90</v>
      </c>
      <c r="C11378" s="5">
        <v>4075</v>
      </c>
      <c r="D11378" s="6">
        <v>4.2300000000000004</v>
      </c>
      <c r="E11378" t="s">
        <v>18</v>
      </c>
    </row>
    <row r="11379" spans="1:5" x14ac:dyDescent="0.25">
      <c r="A11379" t="str">
        <f>HYPERLINK("https://www.773grp.com/globalSearch/TRSF3223ECPW/page-1", "TRSF3223ECPW")</f>
        <v>TRSF3223ECPW</v>
      </c>
      <c r="B11379" s="3" t="s">
        <v>90</v>
      </c>
      <c r="C11379" s="5">
        <v>420</v>
      </c>
      <c r="D11379" s="6">
        <v>4.2300000000000004</v>
      </c>
      <c r="E11379" t="s">
        <v>18</v>
      </c>
    </row>
    <row r="11380" spans="1:5" x14ac:dyDescent="0.25">
      <c r="A11380" t="str">
        <f>HYPERLINK("https://www.773grp.com/globalSearch/TSB41AB1GQE/page-1", "TSB41AB1GQE")</f>
        <v>TSB41AB1GQE</v>
      </c>
      <c r="B11380" s="3" t="s">
        <v>90</v>
      </c>
      <c r="C11380" s="5">
        <v>23127</v>
      </c>
      <c r="D11380" s="6">
        <v>4.2300000000000004</v>
      </c>
      <c r="E11380" t="s">
        <v>18</v>
      </c>
    </row>
    <row r="11381" spans="1:5" x14ac:dyDescent="0.25">
      <c r="A11381" t="str">
        <f>HYPERLINK("https://www.773grp.com/globalSearch/TSB41AB1PAP/page-1", "TSB41AB1PAP")</f>
        <v>TSB41AB1PAP</v>
      </c>
      <c r="B11381" s="3" t="s">
        <v>90</v>
      </c>
      <c r="C11381" s="5">
        <v>9730</v>
      </c>
      <c r="D11381" s="6">
        <v>4.2300000000000004</v>
      </c>
      <c r="E11381" t="s">
        <v>18</v>
      </c>
    </row>
    <row r="11382" spans="1:5" x14ac:dyDescent="0.25">
      <c r="A11382" t="str">
        <f>HYPERLINK("https://www.773grp.com/globalSearch/TSB41AB1PHP/page-1", "TSB41AB1PHP")</f>
        <v>TSB41AB1PHP</v>
      </c>
      <c r="B11382" s="3" t="s">
        <v>90</v>
      </c>
      <c r="C11382" s="5">
        <v>197608</v>
      </c>
      <c r="D11382" s="6">
        <v>4.2300000000000004</v>
      </c>
      <c r="E11382" t="s">
        <v>18</v>
      </c>
    </row>
    <row r="11383" spans="1:5" x14ac:dyDescent="0.25">
      <c r="A11383" t="str">
        <f>HYPERLINK("https://www.773grp.com/globalSearch/TSB41AB1PHPG4/page-1", "TSB41AB1PHPG4")</f>
        <v>TSB41AB1PHPG4</v>
      </c>
      <c r="B11383" s="3" t="s">
        <v>90</v>
      </c>
      <c r="C11383" s="5">
        <v>8408</v>
      </c>
      <c r="D11383" s="6">
        <v>4.2300000000000004</v>
      </c>
      <c r="E11383" t="s">
        <v>18</v>
      </c>
    </row>
    <row r="11384" spans="1:5" x14ac:dyDescent="0.25">
      <c r="A11384" t="str">
        <f>HYPERLINK("https://www.773grp.com/globalSearch/TSB41AB1ZQE-64/page-1", "TSB41AB1ZQE-64")</f>
        <v>TSB41AB1ZQE-64</v>
      </c>
      <c r="B11384" s="3" t="s">
        <v>90</v>
      </c>
      <c r="C11384" s="5">
        <v>11753</v>
      </c>
      <c r="D11384" s="6">
        <v>4.2300000000000004</v>
      </c>
      <c r="E11384" t="s">
        <v>18</v>
      </c>
    </row>
    <row r="11385" spans="1:5" x14ac:dyDescent="0.25">
      <c r="A11385" t="str">
        <f>HYPERLINK("https://www.773grp.com/globalSearch/HVDA5405QDRQ1/page-1", "HVDA5405QDRQ1")</f>
        <v>HVDA5405QDRQ1</v>
      </c>
      <c r="B11385" s="3" t="s">
        <v>90</v>
      </c>
      <c r="C11385" s="5">
        <v>2286</v>
      </c>
      <c r="D11385" s="6">
        <v>4.6900000000000004</v>
      </c>
      <c r="E11385" t="s">
        <v>18</v>
      </c>
    </row>
    <row r="11386" spans="1:5" x14ac:dyDescent="0.25">
      <c r="A11386" t="str">
        <f>HYPERLINK("https://www.773grp.com/globalSearch/DRV601RTJT/page-1", "DRV601RTJT")</f>
        <v>DRV601RTJT</v>
      </c>
      <c r="B11386" s="3" t="s">
        <v>90</v>
      </c>
      <c r="C11386" s="5">
        <v>930</v>
      </c>
      <c r="D11386" s="6">
        <v>4.74</v>
      </c>
      <c r="E11386" t="s">
        <v>18</v>
      </c>
    </row>
    <row r="11387" spans="1:5" x14ac:dyDescent="0.25">
      <c r="A11387" t="str">
        <f>HYPERLINK("https://www.773grp.com/globalSearch/PCA9518PW/page-1", "PCA9518PW")</f>
        <v>PCA9518PW</v>
      </c>
      <c r="B11387" s="3" t="s">
        <v>90</v>
      </c>
      <c r="C11387" s="5">
        <v>374</v>
      </c>
      <c r="D11387" s="6">
        <v>4.74</v>
      </c>
      <c r="E11387" t="s">
        <v>18</v>
      </c>
    </row>
    <row r="11388" spans="1:5" x14ac:dyDescent="0.25">
      <c r="A11388" t="str">
        <f>HYPERLINK("https://www.773grp.com/globalSearch/SN65HVD3082EDR/page-1", "SN65HVD3082EDR")</f>
        <v>SN65HVD3082EDR</v>
      </c>
      <c r="B11388" s="3" t="s">
        <v>90</v>
      </c>
      <c r="C11388" s="5">
        <v>134000</v>
      </c>
      <c r="D11388" s="6">
        <v>4.74</v>
      </c>
      <c r="E11388" t="s">
        <v>18</v>
      </c>
    </row>
    <row r="11389" spans="1:5" x14ac:dyDescent="0.25">
      <c r="A11389" t="str">
        <f>HYPERLINK("https://www.773grp.com/globalSearch/SN65HVD485ED/page-1", "SN65HVD485ED")</f>
        <v>SN65HVD485ED</v>
      </c>
      <c r="B11389" s="3" t="s">
        <v>90</v>
      </c>
      <c r="C11389" s="5">
        <v>1050</v>
      </c>
      <c r="D11389" s="6">
        <v>4.74</v>
      </c>
      <c r="E11389" t="s">
        <v>18</v>
      </c>
    </row>
    <row r="11390" spans="1:5" x14ac:dyDescent="0.25">
      <c r="A11390" t="str">
        <f>HYPERLINK("https://www.773grp.com/globalSearch/SN65MLVD2DRBR/page-1", "SN65MLVD2DRBR")</f>
        <v>SN65MLVD2DRBR</v>
      </c>
      <c r="B11390" s="3" t="s">
        <v>90</v>
      </c>
      <c r="C11390" s="5">
        <v>3000</v>
      </c>
      <c r="D11390" s="6">
        <v>4.74</v>
      </c>
      <c r="E11390" t="s">
        <v>18</v>
      </c>
    </row>
    <row r="11391" spans="1:5" x14ac:dyDescent="0.25">
      <c r="A11391" t="str">
        <f>HYPERLINK("https://www.773grp.com/globalSearch/SN75LBC179AP/page-1", "SN75LBC179AP")</f>
        <v>SN75LBC179AP</v>
      </c>
      <c r="B11391" s="3" t="s">
        <v>90</v>
      </c>
      <c r="C11391" s="5">
        <v>8823</v>
      </c>
      <c r="D11391" s="6">
        <v>4.3</v>
      </c>
      <c r="E11391" t="s">
        <v>18</v>
      </c>
    </row>
    <row r="11392" spans="1:5" x14ac:dyDescent="0.25">
      <c r="A11392" t="str">
        <f>HYPERLINK("https://www.773grp.com/globalSearch/SN75121N/page-1", "SN75121N")</f>
        <v>SN75121N</v>
      </c>
      <c r="B11392" s="3" t="s">
        <v>90</v>
      </c>
      <c r="C11392" s="5">
        <v>680</v>
      </c>
      <c r="D11392" s="6">
        <v>4.34</v>
      </c>
      <c r="E11392" t="s">
        <v>18</v>
      </c>
    </row>
    <row r="11393" spans="1:5" x14ac:dyDescent="0.25">
      <c r="A11393" t="str">
        <f>HYPERLINK("https://www.773grp.com/globalSearch/SN75123N/page-1", "SN75123N")</f>
        <v>SN75123N</v>
      </c>
      <c r="B11393" s="3" t="s">
        <v>90</v>
      </c>
      <c r="C11393" s="5">
        <v>24748</v>
      </c>
      <c r="D11393" s="6">
        <v>4.34</v>
      </c>
      <c r="E11393" t="s">
        <v>18</v>
      </c>
    </row>
    <row r="11394" spans="1:5" x14ac:dyDescent="0.25">
      <c r="A11394" t="str">
        <f>HYPERLINK("https://www.773grp.com/globalSearch/SN75124N/page-1", "SN75124N")</f>
        <v>SN75124N</v>
      </c>
      <c r="B11394" s="3" t="s">
        <v>90</v>
      </c>
      <c r="C11394" s="5">
        <v>21241</v>
      </c>
      <c r="D11394" s="6">
        <v>4.34</v>
      </c>
      <c r="E11394" t="s">
        <v>18</v>
      </c>
    </row>
    <row r="11395" spans="1:5" x14ac:dyDescent="0.25">
      <c r="A11395" t="str">
        <f>HYPERLINK("https://www.773grp.com/globalSearch/SN75LBC175N/page-1", "SN75LBC175N")</f>
        <v>SN75LBC175N</v>
      </c>
      <c r="B11395" s="3" t="s">
        <v>90</v>
      </c>
      <c r="C11395" s="5">
        <v>45</v>
      </c>
      <c r="D11395" s="6">
        <v>4.34</v>
      </c>
      <c r="E11395" t="s">
        <v>18</v>
      </c>
    </row>
    <row r="11396" spans="1:5" x14ac:dyDescent="0.25">
      <c r="A11396" t="str">
        <f>HYPERLINK("https://www.773grp.com/globalSearch/SN65LBC173D/page-1", "SN65LBC173D")</f>
        <v>SN65LBC173D</v>
      </c>
      <c r="B11396" s="3" t="s">
        <v>90</v>
      </c>
      <c r="C11396" s="5">
        <v>1683</v>
      </c>
      <c r="D11396" s="6">
        <v>4.3499999999999996</v>
      </c>
      <c r="E11396" t="s">
        <v>18</v>
      </c>
    </row>
    <row r="11397" spans="1:5" x14ac:dyDescent="0.25">
      <c r="A11397" t="str">
        <f>HYPERLINK("https://www.773grp.com/globalSearch/SN65LBC173DG4/page-1", "SN65LBC173DG4")</f>
        <v>SN65LBC173DG4</v>
      </c>
      <c r="B11397" s="3" t="s">
        <v>90</v>
      </c>
      <c r="C11397" s="5">
        <v>535</v>
      </c>
      <c r="D11397" s="6">
        <v>4.3499999999999996</v>
      </c>
      <c r="E11397" t="s">
        <v>18</v>
      </c>
    </row>
    <row r="11398" spans="1:5" x14ac:dyDescent="0.25">
      <c r="A11398" t="str">
        <f>HYPERLINK("https://www.773grp.com/globalSearch/SN65LBC180ADR/page-1", "SN65LBC180ADR")</f>
        <v>SN65LBC180ADR</v>
      </c>
      <c r="B11398" s="3" t="s">
        <v>90</v>
      </c>
      <c r="C11398" s="5">
        <v>7000</v>
      </c>
      <c r="D11398" s="6">
        <v>4.3499999999999996</v>
      </c>
      <c r="E11398" t="s">
        <v>18</v>
      </c>
    </row>
    <row r="11399" spans="1:5" x14ac:dyDescent="0.25">
      <c r="A11399" t="str">
        <f>HYPERLINK("https://www.773grp.com/globalSearch/SN65LVDS305ZQER/page-1", "SN65LVDS305ZQER")</f>
        <v>SN65LVDS305ZQER</v>
      </c>
      <c r="B11399" s="3" t="s">
        <v>90</v>
      </c>
      <c r="C11399" s="5">
        <v>10000</v>
      </c>
      <c r="D11399" s="6">
        <v>4.3499999999999996</v>
      </c>
      <c r="E11399" t="s">
        <v>18</v>
      </c>
    </row>
    <row r="11400" spans="1:5" x14ac:dyDescent="0.25">
      <c r="A11400" t="str">
        <f>HYPERLINK("https://www.773grp.com/globalSearch/SN65LVDS306ZQER/page-1", "SN65LVDS306ZQER")</f>
        <v>SN65LVDS306ZQER</v>
      </c>
      <c r="B11400" s="3" t="s">
        <v>90</v>
      </c>
      <c r="C11400" s="5">
        <v>20000</v>
      </c>
      <c r="D11400" s="6">
        <v>4.3499999999999996</v>
      </c>
      <c r="E11400" t="s">
        <v>18</v>
      </c>
    </row>
    <row r="11401" spans="1:5" x14ac:dyDescent="0.25">
      <c r="A11401" t="str">
        <f>HYPERLINK("https://www.773grp.com/globalSearch/SN65LVDS307ZQCR/page-1", "SN65LVDS307ZQCR")</f>
        <v>SN65LVDS307ZQCR</v>
      </c>
      <c r="B11401" s="3" t="s">
        <v>90</v>
      </c>
      <c r="C11401" s="5">
        <v>7460</v>
      </c>
      <c r="D11401" s="6">
        <v>4.3499999999999996</v>
      </c>
      <c r="E11401" t="s">
        <v>18</v>
      </c>
    </row>
    <row r="11402" spans="1:5" x14ac:dyDescent="0.25">
      <c r="A11402" t="str">
        <f>HYPERLINK("https://www.773grp.com/globalSearch/SN65LVDS308ZQCR/page-1", "SN65LVDS308ZQCR")</f>
        <v>SN65LVDS308ZQCR</v>
      </c>
      <c r="B11402" s="3" t="s">
        <v>90</v>
      </c>
      <c r="C11402" s="5">
        <v>2460</v>
      </c>
      <c r="D11402" s="6">
        <v>4.3499999999999996</v>
      </c>
      <c r="E11402" t="s">
        <v>18</v>
      </c>
    </row>
    <row r="11403" spans="1:5" x14ac:dyDescent="0.25">
      <c r="A11403" t="str">
        <f>HYPERLINK("https://www.773grp.com/globalSearch/SN75HVD07D/page-1", "SN75HVD07D")</f>
        <v>SN75HVD07D</v>
      </c>
      <c r="B11403" s="3" t="s">
        <v>90</v>
      </c>
      <c r="C11403" s="5">
        <v>3204</v>
      </c>
      <c r="D11403" s="6">
        <v>4.3499999999999996</v>
      </c>
      <c r="E11403" t="s">
        <v>18</v>
      </c>
    </row>
    <row r="11404" spans="1:5" x14ac:dyDescent="0.25">
      <c r="A11404" t="str">
        <f>HYPERLINK("https://www.773grp.com/globalSearch/SN75HVD07DG4/page-1", "SN75HVD07DG4")</f>
        <v>SN75HVD07DG4</v>
      </c>
      <c r="B11404" s="3" t="s">
        <v>90</v>
      </c>
      <c r="C11404" s="5">
        <v>167</v>
      </c>
      <c r="D11404" s="6">
        <v>4.3499999999999996</v>
      </c>
      <c r="E11404" t="s">
        <v>18</v>
      </c>
    </row>
    <row r="11405" spans="1:5" x14ac:dyDescent="0.25">
      <c r="A11405" t="str">
        <f>HYPERLINK("https://www.773grp.com/globalSearch/TRS3318EIDB/page-1", "TRS3318EIDB")</f>
        <v>TRS3318EIDB</v>
      </c>
      <c r="B11405" s="3" t="s">
        <v>90</v>
      </c>
      <c r="C11405" s="5">
        <v>2770</v>
      </c>
      <c r="D11405" s="6">
        <v>4.3499999999999996</v>
      </c>
      <c r="E11405" t="s">
        <v>18</v>
      </c>
    </row>
    <row r="11406" spans="1:5" x14ac:dyDescent="0.25">
      <c r="A11406" t="str">
        <f>HYPERLINK("https://www.773grp.com/globalSearch/TRS3318EIPW/page-1", "TRS3318EIPW")</f>
        <v>TRS3318EIPW</v>
      </c>
      <c r="B11406" s="3" t="s">
        <v>90</v>
      </c>
      <c r="C11406" s="5">
        <v>1339</v>
      </c>
      <c r="D11406" s="6">
        <v>4.3499999999999996</v>
      </c>
      <c r="E11406" t="s">
        <v>18</v>
      </c>
    </row>
    <row r="11407" spans="1:5" x14ac:dyDescent="0.25">
      <c r="A11407" t="str">
        <f>HYPERLINK("https://www.773grp.com/globalSearch/SN65LVDS050DR/page-1", "SN65LVDS050DR")</f>
        <v>SN65LVDS050DR</v>
      </c>
      <c r="B11407" s="3" t="s">
        <v>90</v>
      </c>
      <c r="C11407" s="5">
        <v>12500</v>
      </c>
      <c r="D11407" s="6">
        <v>4.3899999999999997</v>
      </c>
      <c r="E11407" t="s">
        <v>18</v>
      </c>
    </row>
    <row r="11408" spans="1:5" x14ac:dyDescent="0.25">
      <c r="A11408" t="str">
        <f>HYPERLINK("https://www.773grp.com/globalSearch/SN75LBC176AD/page-1", "SN75LBC176AD")</f>
        <v>SN75LBC176AD</v>
      </c>
      <c r="B11408" s="3" t="s">
        <v>90</v>
      </c>
      <c r="C11408" s="5">
        <v>1387</v>
      </c>
      <c r="D11408" s="6">
        <v>4.3899999999999997</v>
      </c>
      <c r="E11408" t="s">
        <v>18</v>
      </c>
    </row>
    <row r="11409" spans="1:5" x14ac:dyDescent="0.25">
      <c r="A11409" t="str">
        <f>HYPERLINK("https://www.773grp.com/globalSearch/LT1030CD/page-1", "LT1030CD")</f>
        <v>LT1030CD</v>
      </c>
      <c r="B11409" s="3" t="s">
        <v>90</v>
      </c>
      <c r="C11409" s="5">
        <v>21614</v>
      </c>
      <c r="D11409" s="6">
        <v>4.43</v>
      </c>
      <c r="E11409" t="s">
        <v>18</v>
      </c>
    </row>
    <row r="11410" spans="1:5" x14ac:dyDescent="0.25">
      <c r="A11410" t="str">
        <f>HYPERLINK("https://www.773grp.com/globalSearch/MAX3237EIDB/page-1", "MAX3237EIDB")</f>
        <v>MAX3237EIDB</v>
      </c>
      <c r="B11410" s="3" t="s">
        <v>90</v>
      </c>
      <c r="C11410" s="5">
        <v>1755</v>
      </c>
      <c r="D11410" s="6">
        <v>4.43</v>
      </c>
      <c r="E11410" t="s">
        <v>18</v>
      </c>
    </row>
    <row r="11411" spans="1:5" x14ac:dyDescent="0.25">
      <c r="A11411" t="str">
        <f>HYPERLINK("https://www.773grp.com/globalSearch/MAX3237EIDW/page-1", "MAX3237EIDW")</f>
        <v>MAX3237EIDW</v>
      </c>
      <c r="B11411" s="3" t="s">
        <v>90</v>
      </c>
      <c r="C11411" s="5">
        <v>733</v>
      </c>
      <c r="D11411" s="6">
        <v>4.43</v>
      </c>
      <c r="E11411" t="s">
        <v>18</v>
      </c>
    </row>
    <row r="11412" spans="1:5" x14ac:dyDescent="0.25">
      <c r="A11412" t="str">
        <f>HYPERLINK("https://www.773grp.com/globalSearch/MAX3237EIDW/page-1", "MAX3237EIDW")</f>
        <v>MAX3237EIDW</v>
      </c>
      <c r="B11412" s="3" t="s">
        <v>90</v>
      </c>
      <c r="C11412" s="5">
        <v>49</v>
      </c>
      <c r="D11412" s="6">
        <v>4.43</v>
      </c>
      <c r="E11412" t="s">
        <v>18</v>
      </c>
    </row>
    <row r="11413" spans="1:5" x14ac:dyDescent="0.25">
      <c r="A11413" t="str">
        <f>HYPERLINK("https://www.773grp.com/globalSearch/MAX3237EIPW/page-1", "MAX3237EIPW")</f>
        <v>MAX3237EIPW</v>
      </c>
      <c r="B11413" s="3" t="s">
        <v>90</v>
      </c>
      <c r="C11413" s="5">
        <v>305</v>
      </c>
      <c r="D11413" s="6">
        <v>4.43</v>
      </c>
      <c r="E11413" t="s">
        <v>18</v>
      </c>
    </row>
    <row r="11414" spans="1:5" x14ac:dyDescent="0.25">
      <c r="A11414" t="str">
        <f>HYPERLINK("https://www.773grp.com/globalSearch/SN74LVCE161284DLR/page-1", "SN74LVCE161284DLR")</f>
        <v>SN74LVCE161284DLR</v>
      </c>
      <c r="B11414" s="3" t="s">
        <v>90</v>
      </c>
      <c r="C11414" s="5">
        <v>4000</v>
      </c>
      <c r="D11414" s="6">
        <v>4.43</v>
      </c>
      <c r="E11414" t="s">
        <v>18</v>
      </c>
    </row>
    <row r="11415" spans="1:5" x14ac:dyDescent="0.25">
      <c r="A11415" t="str">
        <f>HYPERLINK("https://www.773grp.com/globalSearch/SN75ALS180N/page-1", "SN75ALS180N")</f>
        <v>SN75ALS180N</v>
      </c>
      <c r="B11415" s="3" t="s">
        <v>90</v>
      </c>
      <c r="C11415" s="5">
        <v>2247</v>
      </c>
      <c r="D11415" s="6">
        <v>4.43</v>
      </c>
      <c r="E11415" t="s">
        <v>18</v>
      </c>
    </row>
    <row r="11416" spans="1:5" x14ac:dyDescent="0.25">
      <c r="A11416" t="str">
        <f>HYPERLINK("https://www.773grp.com/globalSearch/SN75C3238DW/page-1", "SN75C3238DW")</f>
        <v>SN75C3238DW</v>
      </c>
      <c r="B11416" s="3" t="s">
        <v>90</v>
      </c>
      <c r="C11416" s="5">
        <v>3350</v>
      </c>
      <c r="D11416" s="6">
        <v>4.43</v>
      </c>
      <c r="E11416" t="s">
        <v>18</v>
      </c>
    </row>
    <row r="11417" spans="1:5" x14ac:dyDescent="0.25">
      <c r="A11417" t="str">
        <f>HYPERLINK("https://www.773grp.com/globalSearch/SN75C3238PW/page-1", "SN75C3238PW")</f>
        <v>SN75C3238PW</v>
      </c>
      <c r="B11417" s="3" t="str">
        <f>HYPERLINK("https://www.773grp.com/manufacturer/texas-instruments?pageNo=1", "Texas Instruments")</f>
        <v>Texas Instruments</v>
      </c>
      <c r="C11417" s="5">
        <v>2685</v>
      </c>
      <c r="D11417" s="6">
        <v>4.43</v>
      </c>
      <c r="E11417" t="s">
        <v>18</v>
      </c>
    </row>
    <row r="11418" spans="1:5" x14ac:dyDescent="0.25">
      <c r="A11418" t="str">
        <f>HYPERLINK("https://www.773grp.com/globalSearch/SN75LP1185N/page-1", "SN75LP1185N")</f>
        <v>SN75LP1185N</v>
      </c>
      <c r="B11418" s="3" t="str">
        <f>HYPERLINK("https://www.773grp.com/manufacturer/texas-instruments?pageNo=2", "Texas Instruments")</f>
        <v>Texas Instruments</v>
      </c>
      <c r="C11418" s="5">
        <v>1294</v>
      </c>
      <c r="D11418" s="6">
        <v>4.43</v>
      </c>
      <c r="E11418" t="s">
        <v>18</v>
      </c>
    </row>
    <row r="11419" spans="1:5" x14ac:dyDescent="0.25">
      <c r="A11419" t="str">
        <f>HYPERLINK("https://www.773grp.com/globalSearch/TRS3237EIDW/page-1", "TRS3237EIDW")</f>
        <v>TRS3237EIDW</v>
      </c>
      <c r="B11419" s="3" t="str">
        <f>HYPERLINK("https://www.773grp.com/manufacturer/texas-instruments?pageNo=4", "Texas Instruments")</f>
        <v>Texas Instruments</v>
      </c>
      <c r="C11419" s="5">
        <v>1360</v>
      </c>
      <c r="D11419" s="6">
        <v>4.43</v>
      </c>
      <c r="E11419" t="s">
        <v>18</v>
      </c>
    </row>
    <row r="11420" spans="1:5" x14ac:dyDescent="0.25">
      <c r="A11420" t="str">
        <f>HYPERLINK("https://www.773grp.com/globalSearch/MAX213IDWR/page-1", "MAX213IDWR")</f>
        <v>MAX213IDWR</v>
      </c>
      <c r="B11420" s="3" t="str">
        <f>HYPERLINK("https://www.773grp.com/manufacturer/texas-instruments?pageNo=39", "Texas Instruments")</f>
        <v>Texas Instruments</v>
      </c>
      <c r="C11420" s="5">
        <v>2000</v>
      </c>
      <c r="D11420" s="6">
        <v>4.91</v>
      </c>
      <c r="E11420" t="s">
        <v>18</v>
      </c>
    </row>
    <row r="11421" spans="1:5" x14ac:dyDescent="0.25">
      <c r="A11421" t="str">
        <f>HYPERLINK("https://www.773grp.com/globalSearch/MAX3221IDBR/page-1", "MAX3221IDBR")</f>
        <v>MAX3221IDBR</v>
      </c>
      <c r="B11421" s="3" t="str">
        <f>HYPERLINK("https://www.773grp.com/manufacturer/texas-instruments?pageNo=41", "Texas Instruments")</f>
        <v>Texas Instruments</v>
      </c>
      <c r="C11421" s="5">
        <v>2000</v>
      </c>
      <c r="D11421" s="6">
        <v>4.91</v>
      </c>
      <c r="E11421" t="s">
        <v>18</v>
      </c>
    </row>
    <row r="11422" spans="1:5" x14ac:dyDescent="0.25">
      <c r="A11422" t="str">
        <f>HYPERLINK("https://www.773grp.com/globalSearch/MAX3243EIDBR/page-1", "MAX3243EIDBR")</f>
        <v>MAX3243EIDBR</v>
      </c>
      <c r="B11422" s="3" t="str">
        <f>HYPERLINK("https://www.773grp.com/manufacturer/texas-instruments?pageNo=43", "Texas Instruments")</f>
        <v>Texas Instruments</v>
      </c>
      <c r="C11422" s="5">
        <v>2000</v>
      </c>
      <c r="D11422" s="6">
        <v>4.91</v>
      </c>
      <c r="E11422" t="s">
        <v>18</v>
      </c>
    </row>
    <row r="11423" spans="1:5" x14ac:dyDescent="0.25">
      <c r="A11423" t="str">
        <f>HYPERLINK("https://www.773grp.com/globalSearch/MAX3243EIPWR/page-1", "MAX3243EIPWR")</f>
        <v>MAX3243EIPWR</v>
      </c>
      <c r="B11423" s="3" t="str">
        <f>HYPERLINK("https://www.773grp.com/manufacturer/texas-instruments?pageNo=44", "Texas Instruments")</f>
        <v>Texas Instruments</v>
      </c>
      <c r="C11423" s="5">
        <v>10693</v>
      </c>
      <c r="D11423" s="6">
        <v>4.91</v>
      </c>
      <c r="E11423" t="s">
        <v>18</v>
      </c>
    </row>
    <row r="11424" spans="1:5" x14ac:dyDescent="0.25">
      <c r="A11424" t="str">
        <f>HYPERLINK("https://www.773grp.com/globalSearch/MAX3243EIRHBR/page-1", "MAX3243EIRHBR")</f>
        <v>MAX3243EIRHBR</v>
      </c>
      <c r="B11424" s="3" t="str">
        <f>HYPERLINK("https://www.773grp.com/manufacturer/texas-instruments?pageNo=45", "Texas Instruments")</f>
        <v>Texas Instruments</v>
      </c>
      <c r="C11424" s="5">
        <v>6000</v>
      </c>
      <c r="D11424" s="6">
        <v>4.91</v>
      </c>
      <c r="E11424" t="s">
        <v>18</v>
      </c>
    </row>
    <row r="11425" spans="1:5" x14ac:dyDescent="0.25">
      <c r="A11425" t="str">
        <f>HYPERLINK("https://www.773grp.com/globalSearch/SN65C1154N/page-1", "SN65C1154N")</f>
        <v>SN65C1154N</v>
      </c>
      <c r="B11425" s="3" t="str">
        <f>HYPERLINK("https://www.773grp.com/manufacturer/texas-instruments?pageNo=53", "Texas Instruments")</f>
        <v>Texas Instruments</v>
      </c>
      <c r="C11425" s="5">
        <v>1526</v>
      </c>
      <c r="D11425" s="6">
        <v>4.91</v>
      </c>
      <c r="E11425" t="s">
        <v>18</v>
      </c>
    </row>
    <row r="11426" spans="1:5" x14ac:dyDescent="0.25">
      <c r="A11426" t="str">
        <f>HYPERLINK("https://www.773grp.com/globalSearch/SN65C1168PW/page-1", "SN65C1168PW")</f>
        <v>SN65C1168PW</v>
      </c>
      <c r="B11426" s="3" t="str">
        <f>HYPERLINK("https://www.773grp.com/manufacturer/texas-instruments?pageNo=54", "Texas Instruments")</f>
        <v>Texas Instruments</v>
      </c>
      <c r="C11426" s="5">
        <v>1548</v>
      </c>
      <c r="D11426" s="6">
        <v>4.91</v>
      </c>
      <c r="E11426" t="s">
        <v>18</v>
      </c>
    </row>
    <row r="11427" spans="1:5" x14ac:dyDescent="0.25">
      <c r="A11427" t="str">
        <f>HYPERLINK("https://www.773grp.com/globalSearch/SN74LVC161284DL/page-1", "SN74LVC161284DL")</f>
        <v>SN74LVC161284DL</v>
      </c>
      <c r="B11427" s="3" t="str">
        <f>HYPERLINK("https://www.773grp.com/manufacturer/texas-instruments?pageNo=140", "Texas Instruments")</f>
        <v>Texas Instruments</v>
      </c>
      <c r="C11427" s="5">
        <v>465</v>
      </c>
      <c r="D11427" s="6">
        <v>4.91</v>
      </c>
      <c r="E11427" t="s">
        <v>18</v>
      </c>
    </row>
    <row r="11428" spans="1:5" x14ac:dyDescent="0.25">
      <c r="A11428" t="str">
        <f>HYPERLINK("https://www.773grp.com/globalSearch/SN75276D/page-1", "SN75276D")</f>
        <v>SN75276D</v>
      </c>
      <c r="B11428" s="3" t="str">
        <f>HYPERLINK("https://www.773grp.com/manufacturer/texas-instruments?pageNo=165", "Texas Instruments")</f>
        <v>Texas Instruments</v>
      </c>
      <c r="C11428" s="5">
        <v>17200</v>
      </c>
      <c r="D11428" s="6">
        <v>4.91</v>
      </c>
      <c r="E11428" t="s">
        <v>18</v>
      </c>
    </row>
    <row r="11429" spans="1:5" x14ac:dyDescent="0.25">
      <c r="A11429" t="str">
        <f>HYPERLINK("https://www.773grp.com/globalSearch/SN75276DR/page-1", "SN75276DR")</f>
        <v>SN75276DR</v>
      </c>
      <c r="B11429" s="3" t="str">
        <f>HYPERLINK("https://www.773grp.com/manufacturer/texas-instruments?pageNo=166", "Texas Instruments")</f>
        <v>Texas Instruments</v>
      </c>
      <c r="C11429" s="5">
        <v>50000</v>
      </c>
      <c r="D11429" s="6">
        <v>4.91</v>
      </c>
      <c r="E11429" t="s">
        <v>18</v>
      </c>
    </row>
    <row r="11430" spans="1:5" x14ac:dyDescent="0.25">
      <c r="A11430" t="str">
        <f>HYPERLINK("https://www.773grp.com/globalSearch/SN75276P/page-1", "SN75276P")</f>
        <v>SN75276P</v>
      </c>
      <c r="B11430" s="3" t="str">
        <f>HYPERLINK("https://www.773grp.com/manufacturer/texas-instruments?pageNo=167", "Texas Instruments")</f>
        <v>Texas Instruments</v>
      </c>
      <c r="C11430" s="5">
        <v>10434</v>
      </c>
      <c r="D11430" s="6">
        <v>4.91</v>
      </c>
      <c r="E11430" t="s">
        <v>18</v>
      </c>
    </row>
    <row r="11431" spans="1:5" x14ac:dyDescent="0.25">
      <c r="A11431" t="str">
        <f>HYPERLINK("https://www.773grp.com/globalSearch/SN75ALS176DR/page-1", "SN75ALS176DR")</f>
        <v>SN75ALS176DR</v>
      </c>
      <c r="B11431" s="3" t="str">
        <f>HYPERLINK("https://www.773grp.com/manufacturer/texas-instruments?pageNo=168", "Texas Instruments")</f>
        <v>Texas Instruments</v>
      </c>
      <c r="C11431" s="5">
        <v>15000</v>
      </c>
      <c r="D11431" s="6">
        <v>4.91</v>
      </c>
      <c r="E11431" t="s">
        <v>18</v>
      </c>
    </row>
    <row r="11432" spans="1:5" x14ac:dyDescent="0.25">
      <c r="A11432" t="str">
        <f>HYPERLINK("https://www.773grp.com/globalSearch/SN75ALS191PSR/page-1", "SN75ALS191PSR")</f>
        <v>SN75ALS191PSR</v>
      </c>
      <c r="B11432" s="3" t="str">
        <f>HYPERLINK("https://www.773grp.com/manufacturer/texas-instruments?pageNo=169", "Texas Instruments")</f>
        <v>Texas Instruments</v>
      </c>
      <c r="C11432" s="5">
        <v>75</v>
      </c>
      <c r="D11432" s="6">
        <v>4.91</v>
      </c>
      <c r="E11432" t="s">
        <v>18</v>
      </c>
    </row>
    <row r="11433" spans="1:5" x14ac:dyDescent="0.25">
      <c r="A11433" t="str">
        <f>HYPERLINK("https://www.773grp.com/globalSearch/SN75C1154DW/page-1", "SN75C1154DW")</f>
        <v>SN75C1154DW</v>
      </c>
      <c r="B11433" s="3" t="str">
        <f>HYPERLINK("https://www.773grp.com/manufacturer/texas-instruments?pageNo=170", "Texas Instruments")</f>
        <v>Texas Instruments</v>
      </c>
      <c r="C11433" s="5">
        <v>8386</v>
      </c>
      <c r="D11433" s="6">
        <v>4.91</v>
      </c>
      <c r="E11433" t="s">
        <v>18</v>
      </c>
    </row>
    <row r="11434" spans="1:5" x14ac:dyDescent="0.25">
      <c r="A11434" t="str">
        <f>HYPERLINK("https://www.773grp.com/globalSearch/SN75C1168PW/page-1", "SN75C1168PW")</f>
        <v>SN75C1168PW</v>
      </c>
      <c r="B11434" s="3" t="str">
        <f>HYPERLINK("https://www.773grp.com/manufacturer/texas-instruments?pageNo=171", "Texas Instruments")</f>
        <v>Texas Instruments</v>
      </c>
      <c r="C11434" s="5">
        <v>1030</v>
      </c>
      <c r="D11434" s="6">
        <v>4.91</v>
      </c>
      <c r="E11434" t="s">
        <v>18</v>
      </c>
    </row>
    <row r="11435" spans="1:5" x14ac:dyDescent="0.25">
      <c r="A11435" t="str">
        <f>HYPERLINK("https://www.773grp.com/globalSearch/TL145406N/page-1", "TL145406N")</f>
        <v>TL145406N</v>
      </c>
      <c r="B11435" s="3" t="str">
        <f>HYPERLINK("https://www.773grp.com/manufacturer/texas-instruments?pageNo=178", "Texas Instruments")</f>
        <v>Texas Instruments</v>
      </c>
      <c r="C11435" s="5">
        <v>1078</v>
      </c>
      <c r="D11435" s="6">
        <v>4.91</v>
      </c>
      <c r="E11435" t="s">
        <v>18</v>
      </c>
    </row>
    <row r="11436" spans="1:5" x14ac:dyDescent="0.25">
      <c r="A11436" t="str">
        <f>HYPERLINK("https://www.773grp.com/globalSearch/TL145406NE4/page-1", "TL145406NE4")</f>
        <v>TL145406NE4</v>
      </c>
      <c r="B11436" s="3" t="str">
        <f>HYPERLINK("https://www.773grp.com/manufacturer/texas-instruments?pageNo=179", "Texas Instruments")</f>
        <v>Texas Instruments</v>
      </c>
      <c r="C11436" s="5">
        <v>530</v>
      </c>
      <c r="D11436" s="6">
        <v>4.91</v>
      </c>
      <c r="E11436" t="s">
        <v>18</v>
      </c>
    </row>
    <row r="11437" spans="1:5" x14ac:dyDescent="0.25">
      <c r="A11437" t="str">
        <f>HYPERLINK("https://www.773grp.com/globalSearch/TRS207IDBR/page-1", "TRS207IDBR")</f>
        <v>TRS207IDBR</v>
      </c>
      <c r="B11437" s="3" t="str">
        <f>HYPERLINK("https://www.773grp.com/manufacturer/texas-instruments?pageNo=198", "Texas Instruments")</f>
        <v>Texas Instruments</v>
      </c>
      <c r="C11437" s="5">
        <v>8000</v>
      </c>
      <c r="D11437" s="6">
        <v>4.91</v>
      </c>
      <c r="E11437" t="s">
        <v>18</v>
      </c>
    </row>
    <row r="11438" spans="1:5" x14ac:dyDescent="0.25">
      <c r="A11438" t="str">
        <f>HYPERLINK("https://www.773grp.com/globalSearch/TRS207IDWR/page-1", "TRS207IDWR")</f>
        <v>TRS207IDWR</v>
      </c>
      <c r="B11438" s="3" t="str">
        <f>HYPERLINK("https://www.773grp.com/manufacturer/texas-instruments?pageNo=199", "Texas Instruments")</f>
        <v>Texas Instruments</v>
      </c>
      <c r="C11438" s="5">
        <v>2000</v>
      </c>
      <c r="D11438" s="6">
        <v>4.91</v>
      </c>
      <c r="E11438" t="s">
        <v>18</v>
      </c>
    </row>
    <row r="11439" spans="1:5" x14ac:dyDescent="0.25">
      <c r="A11439" t="str">
        <f>HYPERLINK("https://www.773grp.com/globalSearch/TRS211IDBR/page-1", "TRS211IDBR")</f>
        <v>TRS211IDBR</v>
      </c>
      <c r="B11439" s="3" t="str">
        <f>HYPERLINK("https://www.773grp.com/manufacturer/texas-instruments?pageNo=200", "Texas Instruments")</f>
        <v>Texas Instruments</v>
      </c>
      <c r="C11439" s="5">
        <v>4000</v>
      </c>
      <c r="D11439" s="6">
        <v>4.91</v>
      </c>
      <c r="E11439" t="s">
        <v>18</v>
      </c>
    </row>
    <row r="11440" spans="1:5" x14ac:dyDescent="0.25">
      <c r="A11440" t="str">
        <f>HYPERLINK("https://www.773grp.com/globalSearch/TRS211IDWR/page-1", "TRS211IDWR")</f>
        <v>TRS211IDWR</v>
      </c>
      <c r="B11440" s="3" t="str">
        <f>HYPERLINK("https://www.773grp.com/manufacturer/texas-instruments?pageNo=201", "Texas Instruments")</f>
        <v>Texas Instruments</v>
      </c>
      <c r="C11440" s="5">
        <v>5000</v>
      </c>
      <c r="D11440" s="6">
        <v>4.91</v>
      </c>
      <c r="E11440" t="s">
        <v>18</v>
      </c>
    </row>
    <row r="11441" spans="1:5" x14ac:dyDescent="0.25">
      <c r="A11441" t="str">
        <f>HYPERLINK("https://www.773grp.com/globalSearch/TRS213IDBR/page-1", "TRS213IDBR")</f>
        <v>TRS213IDBR</v>
      </c>
      <c r="B11441" s="3" t="str">
        <f>HYPERLINK("https://www.773grp.com/manufacturer/texas-instruments?pageNo=202", "Texas Instruments")</f>
        <v>Texas Instruments</v>
      </c>
      <c r="C11441" s="5">
        <v>2000</v>
      </c>
      <c r="D11441" s="6">
        <v>4.91</v>
      </c>
      <c r="E11441" t="s">
        <v>18</v>
      </c>
    </row>
    <row r="11442" spans="1:5" x14ac:dyDescent="0.25">
      <c r="A11442" t="str">
        <f>HYPERLINK("https://www.773grp.com/globalSearch/TRS3221CPW/page-1", "TRS3221CPW")</f>
        <v>TRS3221CPW</v>
      </c>
      <c r="B11442" s="3" t="str">
        <f>HYPERLINK("https://www.773grp.com/manufacturer/texas-instruments?pageNo=203", "Texas Instruments")</f>
        <v>Texas Instruments</v>
      </c>
      <c r="C11442" s="5">
        <v>4950</v>
      </c>
      <c r="D11442" s="6">
        <v>4.91</v>
      </c>
      <c r="E11442" t="s">
        <v>18</v>
      </c>
    </row>
    <row r="11443" spans="1:5" x14ac:dyDescent="0.25">
      <c r="A11443" t="str">
        <f>HYPERLINK("https://www.773grp.com/globalSearch/TRS3221IDB/page-1", "TRS3221IDB")</f>
        <v>TRS3221IDB</v>
      </c>
      <c r="B11443" s="3" t="str">
        <f>HYPERLINK("https://www.773grp.com/manufacturer/texas-instruments?pageNo=204", "Texas Instruments")</f>
        <v>Texas Instruments</v>
      </c>
      <c r="C11443" s="5">
        <v>4800</v>
      </c>
      <c r="D11443" s="6">
        <v>4.91</v>
      </c>
      <c r="E11443" t="s">
        <v>18</v>
      </c>
    </row>
    <row r="11444" spans="1:5" x14ac:dyDescent="0.25">
      <c r="A11444" t="str">
        <f>HYPERLINK("https://www.773grp.com/globalSearch/TRS3221IDBR/page-1", "TRS3221IDBR")</f>
        <v>TRS3221IDBR</v>
      </c>
      <c r="B11444" s="3" t="str">
        <f>HYPERLINK("https://www.773grp.com/manufacturer/texas-instruments?pageNo=205", "Texas Instruments")</f>
        <v>Texas Instruments</v>
      </c>
      <c r="C11444" s="5">
        <v>2000</v>
      </c>
      <c r="D11444" s="6">
        <v>4.91</v>
      </c>
      <c r="E11444" t="s">
        <v>18</v>
      </c>
    </row>
    <row r="11445" spans="1:5" x14ac:dyDescent="0.25">
      <c r="A11445" t="str">
        <f>HYPERLINK("https://www.773grp.com/globalSearch/TRS3221IPWR/page-1", "TRS3221IPWR")</f>
        <v>TRS3221IPWR</v>
      </c>
      <c r="B11445" s="3" t="str">
        <f>HYPERLINK("https://www.773grp.com/manufacturer/texas-instruments?pageNo=206", "Texas Instruments")</f>
        <v>Texas Instruments</v>
      </c>
      <c r="C11445" s="5">
        <v>2000</v>
      </c>
      <c r="D11445" s="6">
        <v>4.91</v>
      </c>
      <c r="E11445" t="s">
        <v>18</v>
      </c>
    </row>
    <row r="11446" spans="1:5" x14ac:dyDescent="0.25">
      <c r="A11446" t="str">
        <f>HYPERLINK("https://www.773grp.com/globalSearch/TRS3243EIDBR/page-1", "TRS3243EIDBR")</f>
        <v>TRS3243EIDBR</v>
      </c>
      <c r="B11446" s="3" t="str">
        <f>HYPERLINK("https://www.773grp.com/manufacturer/texas-instruments?pageNo=207", "Texas Instruments")</f>
        <v>Texas Instruments</v>
      </c>
      <c r="C11446" s="5">
        <v>3790</v>
      </c>
      <c r="D11446" s="6">
        <v>4.91</v>
      </c>
      <c r="E11446" t="s">
        <v>18</v>
      </c>
    </row>
    <row r="11447" spans="1:5" x14ac:dyDescent="0.25">
      <c r="A11447" t="str">
        <f>HYPERLINK("https://www.773grp.com/globalSearch/TRS3243EIPWR/page-1", "TRS3243EIPWR")</f>
        <v>TRS3243EIPWR</v>
      </c>
      <c r="B11447" s="3" t="str">
        <f>HYPERLINK("https://www.773grp.com/manufacturer/texas-instruments?pageNo=208", "Texas Instruments")</f>
        <v>Texas Instruments</v>
      </c>
      <c r="C11447" s="5">
        <v>2000</v>
      </c>
      <c r="D11447" s="6">
        <v>4.91</v>
      </c>
      <c r="E11447" t="s">
        <v>18</v>
      </c>
    </row>
    <row r="11448" spans="1:5" x14ac:dyDescent="0.25">
      <c r="A11448" t="str">
        <f>HYPERLINK("https://www.773grp.com/globalSearch/TRS3243IPWR/page-1", "TRS3243IPWR")</f>
        <v>TRS3243IPWR</v>
      </c>
      <c r="B11448" s="3" t="str">
        <f>HYPERLINK("https://www.773grp.com/manufacturer/texas-instruments?pageNo=210", "Texas Instruments")</f>
        <v>Texas Instruments</v>
      </c>
      <c r="C11448" s="5">
        <v>18000</v>
      </c>
      <c r="D11448" s="6">
        <v>4.91</v>
      </c>
      <c r="E11448" t="s">
        <v>18</v>
      </c>
    </row>
    <row r="11449" spans="1:5" x14ac:dyDescent="0.25">
      <c r="A11449" t="str">
        <f>HYPERLINK("https://www.773grp.com/globalSearch/P82B96DGKR/page-1", "P82B96DGKR")</f>
        <v>P82B96DGKR</v>
      </c>
      <c r="B11449" s="3" t="str">
        <f>HYPERLINK("https://www.773grp.com/manufacturer/texas-instruments?pageNo=214", "Texas Instruments")</f>
        <v>Texas Instruments</v>
      </c>
      <c r="C11449" s="5">
        <v>10371</v>
      </c>
      <c r="D11449" s="6">
        <v>4.4400000000000004</v>
      </c>
      <c r="E11449" t="s">
        <v>18</v>
      </c>
    </row>
    <row r="11450" spans="1:5" x14ac:dyDescent="0.25">
      <c r="A11450" t="str">
        <f>HYPERLINK("https://www.773grp.com/globalSearch/P82B96P/page-1", "P82B96P")</f>
        <v>P82B96P</v>
      </c>
      <c r="B11450" s="3" t="str">
        <f>HYPERLINK("https://www.773grp.com/manufacturer/texas-instruments?pageNo=215", "Texas Instruments")</f>
        <v>Texas Instruments</v>
      </c>
      <c r="C11450" s="5">
        <v>7173</v>
      </c>
      <c r="D11450" s="6">
        <v>4.4400000000000004</v>
      </c>
      <c r="E11450" t="s">
        <v>18</v>
      </c>
    </row>
    <row r="11451" spans="1:5" x14ac:dyDescent="0.25">
      <c r="A11451" t="str">
        <f>HYPERLINK("https://www.773grp.com/globalSearch/P82B96PWR/page-1", "P82B96PWR")</f>
        <v>P82B96PWR</v>
      </c>
      <c r="B11451" s="3" t="str">
        <f>HYPERLINK("https://www.773grp.com/manufacturer/texas-instruments?pageNo=216", "Texas Instruments")</f>
        <v>Texas Instruments</v>
      </c>
      <c r="C11451" s="5">
        <v>2000</v>
      </c>
      <c r="D11451" s="6">
        <v>4.4400000000000004</v>
      </c>
      <c r="E11451" t="s">
        <v>18</v>
      </c>
    </row>
    <row r="11452" spans="1:5" x14ac:dyDescent="0.25">
      <c r="A11452" t="str">
        <f>HYPERLINK("https://www.773grp.com/globalSearch/SN65LBC180N/page-1", "SN65LBC180N")</f>
        <v>SN65LBC180N</v>
      </c>
      <c r="B11452" s="3" t="str">
        <f>HYPERLINK("https://www.773grp.com/manufacturer/texas-instruments?pageNo=223", "Texas Instruments")</f>
        <v>Texas Instruments</v>
      </c>
      <c r="C11452" s="5">
        <v>14840</v>
      </c>
      <c r="D11452" s="6">
        <v>4.4400000000000004</v>
      </c>
      <c r="E11452" t="s">
        <v>18</v>
      </c>
    </row>
    <row r="11453" spans="1:5" x14ac:dyDescent="0.25">
      <c r="A11453" t="str">
        <f>HYPERLINK("https://www.773grp.com/globalSearch/SN65LVDM050PWR/page-1", "SN65LVDM050PWR")</f>
        <v>SN65LVDM050PWR</v>
      </c>
      <c r="B11453" s="3" t="str">
        <f>HYPERLINK("https://www.773grp.com/manufacturer/texas-instruments?pageNo=224", "Texas Instruments")</f>
        <v>Texas Instruments</v>
      </c>
      <c r="C11453" s="5">
        <v>6000</v>
      </c>
      <c r="D11453" s="6">
        <v>4.4400000000000004</v>
      </c>
      <c r="E11453" t="s">
        <v>18</v>
      </c>
    </row>
    <row r="11454" spans="1:5" x14ac:dyDescent="0.25">
      <c r="A11454" t="str">
        <f>HYPERLINK("https://www.773grp.com/globalSearch/SN65LVDM051DR/page-1", "SN65LVDM051DR")</f>
        <v>SN65LVDM051DR</v>
      </c>
      <c r="B11454" s="3" t="str">
        <f>HYPERLINK("https://www.773grp.com/manufacturer/texas-instruments?pageNo=225", "Texas Instruments")</f>
        <v>Texas Instruments</v>
      </c>
      <c r="C11454" s="5">
        <v>5000</v>
      </c>
      <c r="D11454" s="6">
        <v>4.4400000000000004</v>
      </c>
      <c r="E11454" t="s">
        <v>18</v>
      </c>
    </row>
    <row r="11455" spans="1:5" x14ac:dyDescent="0.25">
      <c r="A11455" t="str">
        <f>HYPERLINK("https://www.773grp.com/globalSearch/SN65LVDM051PWR/page-1", "SN65LVDM051PWR")</f>
        <v>SN65LVDM051PWR</v>
      </c>
      <c r="B11455" s="3" t="str">
        <f>HYPERLINK("https://www.773grp.com/manufacturer/texas-instruments?pageNo=226", "Texas Instruments")</f>
        <v>Texas Instruments</v>
      </c>
      <c r="C11455" s="5">
        <v>4587</v>
      </c>
      <c r="D11455" s="6">
        <v>4.4400000000000004</v>
      </c>
      <c r="E11455" t="s">
        <v>18</v>
      </c>
    </row>
    <row r="11456" spans="1:5" x14ac:dyDescent="0.25">
      <c r="A11456" t="str">
        <f>HYPERLINK("https://www.773grp.com/globalSearch/SN65LVDM31DR/page-1", "SN65LVDM31DR")</f>
        <v>SN65LVDM31DR</v>
      </c>
      <c r="B11456" s="3" t="str">
        <f>HYPERLINK("https://www.773grp.com/manufacturer/texas-instruments?pageNo=227", "Texas Instruments")</f>
        <v>Texas Instruments</v>
      </c>
      <c r="C11456" s="5">
        <v>12348</v>
      </c>
      <c r="D11456" s="6">
        <v>4.4400000000000004</v>
      </c>
      <c r="E11456" t="s">
        <v>18</v>
      </c>
    </row>
    <row r="11457" spans="1:5" x14ac:dyDescent="0.25">
      <c r="A11457" t="str">
        <f>HYPERLINK("https://www.773grp.com/globalSearch/SN65LVDS047DR/page-1", "SN65LVDS047DR")</f>
        <v>SN65LVDS047DR</v>
      </c>
      <c r="B11457" s="3" t="str">
        <f>HYPERLINK("https://www.773grp.com/manufacturer/texas-instruments?pageNo=228", "Texas Instruments")</f>
        <v>Texas Instruments</v>
      </c>
      <c r="C11457" s="5">
        <v>2500</v>
      </c>
      <c r="D11457" s="6">
        <v>4.4400000000000004</v>
      </c>
      <c r="E11457" t="s">
        <v>18</v>
      </c>
    </row>
    <row r="11458" spans="1:5" x14ac:dyDescent="0.25">
      <c r="A11458" t="str">
        <f>HYPERLINK("https://www.773grp.com/globalSearch/MAX213CDWR/page-1", "MAX213CDWR")</f>
        <v>MAX213CDWR</v>
      </c>
      <c r="B11458" s="3" t="str">
        <f>HYPERLINK("https://www.773grp.com/manufacturer/texas-instruments?pageNo=266", "Texas Instruments")</f>
        <v>Texas Instruments</v>
      </c>
      <c r="C11458" s="5">
        <v>1000</v>
      </c>
      <c r="D11458" s="6">
        <v>4.96</v>
      </c>
      <c r="E11458" t="s">
        <v>18</v>
      </c>
    </row>
    <row r="11459" spans="1:5" x14ac:dyDescent="0.25">
      <c r="A11459" t="str">
        <f>HYPERLINK("https://www.773grp.com/globalSearch/TRS213CDWR/page-1", "TRS213CDWR")</f>
        <v>TRS213CDWR</v>
      </c>
      <c r="B11459" s="3" t="str">
        <f>HYPERLINK("https://www.773grp.com/manufacturer/texas-instruments?pageNo=293", "Texas Instruments")</f>
        <v>Texas Instruments</v>
      </c>
      <c r="C11459" s="5">
        <v>1000</v>
      </c>
      <c r="D11459" s="6">
        <v>4.96</v>
      </c>
      <c r="E11459" t="s">
        <v>18</v>
      </c>
    </row>
    <row r="11460" spans="1:5" x14ac:dyDescent="0.25">
      <c r="A11460" t="str">
        <f>HYPERLINK("https://www.773grp.com/globalSearch/SN65LBC176AQD/page-1", "SN65LBC176AQD")</f>
        <v>SN65LBC176AQD</v>
      </c>
      <c r="B11460" s="3" t="str">
        <f>HYPERLINK("https://www.773grp.com/manufacturer/texas-instruments?pageNo=332", "Texas Instruments")</f>
        <v>Texas Instruments</v>
      </c>
      <c r="C11460" s="5">
        <v>540</v>
      </c>
      <c r="D11460" s="6">
        <v>4.5</v>
      </c>
      <c r="E11460" t="s">
        <v>18</v>
      </c>
    </row>
    <row r="11461" spans="1:5" x14ac:dyDescent="0.25">
      <c r="A11461" t="str">
        <f>HYPERLINK("https://www.773grp.com/globalSearch/SN65LBC176AQDR/page-1", "SN65LBC176AQDR")</f>
        <v>SN65LBC176AQDR</v>
      </c>
      <c r="B11461" s="3" t="str">
        <f>HYPERLINK("https://www.773grp.com/manufacturer/texas-instruments?pageNo=334", "Texas Instruments")</f>
        <v>Texas Instruments</v>
      </c>
      <c r="C11461" s="5">
        <v>2100</v>
      </c>
      <c r="D11461" s="6">
        <v>4.5</v>
      </c>
      <c r="E11461" t="s">
        <v>18</v>
      </c>
    </row>
    <row r="11462" spans="1:5" x14ac:dyDescent="0.25">
      <c r="A11462" t="str">
        <f>HYPERLINK("https://www.773grp.com/globalSearch/SN65LVDS048D/page-1", "SN65LVDS048D")</f>
        <v>SN65LVDS048D</v>
      </c>
      <c r="B11462" s="3" t="str">
        <f>HYPERLINK("https://www.773grp.com/manufacturer/texas-instruments?pageNo=336", "Texas Instruments")</f>
        <v>Texas Instruments</v>
      </c>
      <c r="C11462" s="5">
        <v>9310</v>
      </c>
      <c r="D11462" s="6">
        <v>4.5</v>
      </c>
      <c r="E11462" t="s">
        <v>18</v>
      </c>
    </row>
    <row r="11463" spans="1:5" x14ac:dyDescent="0.25">
      <c r="A11463" t="str">
        <f>HYPERLINK("https://www.773grp.com/globalSearch/SN65LVDS048PW/page-1", "SN65LVDS048PW")</f>
        <v>SN65LVDS048PW</v>
      </c>
      <c r="B11463" s="3" t="str">
        <f>HYPERLINK("https://www.773grp.com/manufacturer/texas-instruments?pageNo=337", "Texas Instruments")</f>
        <v>Texas Instruments</v>
      </c>
      <c r="C11463" s="5">
        <v>3915</v>
      </c>
      <c r="D11463" s="6">
        <v>4.5</v>
      </c>
      <c r="E11463" t="s">
        <v>18</v>
      </c>
    </row>
    <row r="11464" spans="1:5" x14ac:dyDescent="0.25">
      <c r="A11464" t="str">
        <f>HYPERLINK("https://www.773grp.com/globalSearch/SN65LVDS179D/page-1", "SN65LVDS179D")</f>
        <v>SN65LVDS179D</v>
      </c>
      <c r="B11464" s="3" t="str">
        <f>HYPERLINK("https://www.773grp.com/manufacturer/texas-instruments?pageNo=338", "Texas Instruments")</f>
        <v>Texas Instruments</v>
      </c>
      <c r="C11464" s="5">
        <v>8376</v>
      </c>
      <c r="D11464" s="6">
        <v>4.5</v>
      </c>
      <c r="E11464" t="s">
        <v>18</v>
      </c>
    </row>
    <row r="11465" spans="1:5" x14ac:dyDescent="0.25">
      <c r="A11465" t="str">
        <f>HYPERLINK("https://www.773grp.com/globalSearch/SN65LVDS179DGK/page-1", "SN65LVDS179DGK")</f>
        <v>SN65LVDS179DGK</v>
      </c>
      <c r="B11465" s="3" t="str">
        <f>HYPERLINK("https://www.773grp.com/manufacturer/texas-instruments?pageNo=339", "Texas Instruments")</f>
        <v>Texas Instruments</v>
      </c>
      <c r="C11465" s="5">
        <v>985</v>
      </c>
      <c r="D11465" s="6">
        <v>4.5</v>
      </c>
      <c r="E11465" t="s">
        <v>18</v>
      </c>
    </row>
    <row r="11466" spans="1:5" x14ac:dyDescent="0.25">
      <c r="A11466" t="str">
        <f>HYPERLINK("https://www.773grp.com/globalSearch/SN65LVDS180D/page-1", "SN65LVDS180D")</f>
        <v>SN65LVDS180D</v>
      </c>
      <c r="B11466" s="3" t="str">
        <f>HYPERLINK("https://www.773grp.com/manufacturer/texas-instruments?pageNo=340", "Texas Instruments")</f>
        <v>Texas Instruments</v>
      </c>
      <c r="C11466" s="5">
        <v>3652</v>
      </c>
      <c r="D11466" s="6">
        <v>4.5</v>
      </c>
      <c r="E11466" t="s">
        <v>18</v>
      </c>
    </row>
    <row r="11467" spans="1:5" x14ac:dyDescent="0.25">
      <c r="A11467" t="str">
        <f>HYPERLINK("https://www.773grp.com/globalSearch/SN65LVDS180PW/page-1", "SN65LVDS180PW")</f>
        <v>SN65LVDS180PW</v>
      </c>
      <c r="B11467" s="3" t="str">
        <f>HYPERLINK("https://www.773grp.com/manufacturer/texas-instruments?pageNo=341", "Texas Instruments")</f>
        <v>Texas Instruments</v>
      </c>
      <c r="C11467" s="5">
        <v>274</v>
      </c>
      <c r="D11467" s="6">
        <v>4.5</v>
      </c>
      <c r="E11467" t="s">
        <v>18</v>
      </c>
    </row>
    <row r="11468" spans="1:5" x14ac:dyDescent="0.25">
      <c r="A11468" t="str">
        <f>HYPERLINK("https://www.773grp.com/globalSearch/SN65LVDS180PWG4/page-1", "SN65LVDS180PWG4")</f>
        <v>SN65LVDS180PWG4</v>
      </c>
      <c r="B11468" s="3" t="str">
        <f>HYPERLINK("https://www.773grp.com/manufacturer/texas-instruments?pageNo=342", "Texas Instruments")</f>
        <v>Texas Instruments</v>
      </c>
      <c r="C11468" s="5">
        <v>5</v>
      </c>
      <c r="D11468" s="6">
        <v>4.5</v>
      </c>
      <c r="E11468" t="s">
        <v>18</v>
      </c>
    </row>
    <row r="11469" spans="1:5" x14ac:dyDescent="0.25">
      <c r="A11469" t="str">
        <f>HYPERLINK("https://www.773grp.com/globalSearch/SN65MLVD202AD/page-1", "SN65MLVD202AD")</f>
        <v>SN65MLVD202AD</v>
      </c>
      <c r="B11469" s="3" t="str">
        <f>HYPERLINK("https://www.773grp.com/manufacturer/texas-instruments?pageNo=343", "Texas Instruments")</f>
        <v>Texas Instruments</v>
      </c>
      <c r="C11469" s="5">
        <v>7826</v>
      </c>
      <c r="D11469" s="6">
        <v>4.5</v>
      </c>
      <c r="E11469" t="s">
        <v>18</v>
      </c>
    </row>
    <row r="11470" spans="1:5" x14ac:dyDescent="0.25">
      <c r="A11470" t="str">
        <f>HYPERLINK("https://www.773grp.com/globalSearch/SN65MLVD205AD/page-1", "SN65MLVD205AD")</f>
        <v>SN65MLVD205AD</v>
      </c>
      <c r="B11470" s="3" t="str">
        <f>HYPERLINK("https://www.773grp.com/manufacturer/texas-instruments?pageNo=345", "Texas Instruments")</f>
        <v>Texas Instruments</v>
      </c>
      <c r="C11470" s="5">
        <v>548</v>
      </c>
      <c r="D11470" s="6">
        <v>4.5</v>
      </c>
      <c r="E11470" t="s">
        <v>18</v>
      </c>
    </row>
    <row r="11471" spans="1:5" x14ac:dyDescent="0.25">
      <c r="A11471" t="str">
        <f>HYPERLINK("https://www.773grp.com/globalSearch/SN65MLVD205ADG4/page-1", "SN65MLVD205ADG4")</f>
        <v>SN65MLVD205ADG4</v>
      </c>
      <c r="B11471" s="3" t="str">
        <f>HYPERLINK("https://www.773grp.com/manufacturer/texas-instruments?pageNo=346", "Texas Instruments")</f>
        <v>Texas Instruments</v>
      </c>
      <c r="C11471" s="5">
        <v>56</v>
      </c>
      <c r="D11471" s="6">
        <v>4.5</v>
      </c>
      <c r="E11471" t="s">
        <v>18</v>
      </c>
    </row>
    <row r="11472" spans="1:5" x14ac:dyDescent="0.25">
      <c r="A11472" t="str">
        <f>HYPERLINK("https://www.773grp.com/globalSearch/SN65MLVD207D/page-1", "SN65MLVD207D")</f>
        <v>SN65MLVD207D</v>
      </c>
      <c r="B11472" s="3" t="str">
        <f>HYPERLINK("https://www.773grp.com/manufacturer/texas-instruments?pageNo=347", "Texas Instruments")</f>
        <v>Texas Instruments</v>
      </c>
      <c r="C11472" s="5">
        <v>466</v>
      </c>
      <c r="D11472" s="6">
        <v>4.5</v>
      </c>
      <c r="E11472" t="s">
        <v>18</v>
      </c>
    </row>
    <row r="11473" spans="1:5" x14ac:dyDescent="0.25">
      <c r="A11473" t="str">
        <f>HYPERLINK("https://www.773grp.com/globalSearch/SN75ALS193N/page-1", "SN75ALS193N")</f>
        <v>SN75ALS193N</v>
      </c>
      <c r="B11473" s="3" t="str">
        <f>HYPERLINK("https://www.773grp.com/manufacturer/texas-instruments?pageNo=363", "Texas Instruments")</f>
        <v>Texas Instruments</v>
      </c>
      <c r="C11473" s="5">
        <v>15718</v>
      </c>
      <c r="D11473" s="6">
        <v>4.5</v>
      </c>
      <c r="E11473" t="s">
        <v>18</v>
      </c>
    </row>
    <row r="11474" spans="1:5" x14ac:dyDescent="0.25">
      <c r="A11474" t="str">
        <f>HYPERLINK("https://www.773grp.com/globalSearch/SN75ALS193NE4/page-1", "SN75ALS193NE4")</f>
        <v>SN75ALS193NE4</v>
      </c>
      <c r="B11474" s="3" t="str">
        <f>HYPERLINK("https://www.773grp.com/manufacturer/texas-instruments?pageNo=364", "Texas Instruments")</f>
        <v>Texas Instruments</v>
      </c>
      <c r="C11474" s="5">
        <v>550</v>
      </c>
      <c r="D11474" s="6">
        <v>4.5</v>
      </c>
      <c r="E11474" t="s">
        <v>18</v>
      </c>
    </row>
    <row r="11475" spans="1:5" x14ac:dyDescent="0.25">
      <c r="A11475" t="str">
        <f>HYPERLINK("https://www.773grp.com/globalSearch/SN75LBC773DW/page-1", "SN75LBC773DW")</f>
        <v>SN75LBC773DW</v>
      </c>
      <c r="B11475" s="3" t="str">
        <f>HYPERLINK("https://www.773grp.com/manufacturer/texas-instruments?pageNo=365", "Texas Instruments")</f>
        <v>Texas Instruments</v>
      </c>
      <c r="C11475" s="5">
        <v>6475</v>
      </c>
      <c r="D11475" s="6">
        <v>4.5</v>
      </c>
      <c r="E11475" t="s">
        <v>18</v>
      </c>
    </row>
    <row r="11476" spans="1:5" x14ac:dyDescent="0.25">
      <c r="A11476" t="str">
        <f>HYPERLINK("https://www.773grp.com/globalSearch/SN75LBC773DWR/page-1", "SN75LBC773DWR")</f>
        <v>SN75LBC773DWR</v>
      </c>
      <c r="B11476" s="3" t="str">
        <f>HYPERLINK("https://www.773grp.com/manufacturer/texas-instruments?pageNo=366", "Texas Instruments")</f>
        <v>Texas Instruments</v>
      </c>
      <c r="C11476" s="5">
        <v>3997</v>
      </c>
      <c r="D11476" s="6">
        <v>4.5</v>
      </c>
      <c r="E11476" t="s">
        <v>18</v>
      </c>
    </row>
    <row r="11477" spans="1:5" x14ac:dyDescent="0.25">
      <c r="A11477" t="str">
        <f>HYPERLINK("https://www.773grp.com/globalSearch/SN75LBC775DW/page-1", "SN75LBC775DW")</f>
        <v>SN75LBC775DW</v>
      </c>
      <c r="B11477" s="3" t="str">
        <f>HYPERLINK("https://www.773grp.com/manufacturer/texas-instruments?pageNo=367", "Texas Instruments")</f>
        <v>Texas Instruments</v>
      </c>
      <c r="C11477" s="5">
        <v>13025</v>
      </c>
      <c r="D11477" s="6">
        <v>4.5</v>
      </c>
      <c r="E11477" t="s">
        <v>18</v>
      </c>
    </row>
    <row r="11478" spans="1:5" x14ac:dyDescent="0.25">
      <c r="A11478" t="str">
        <f>HYPERLINK("https://www.773grp.com/globalSearch/SN75LVDS051DG4/page-1", "SN75LVDS051DG4")</f>
        <v>SN75LVDS051DG4</v>
      </c>
      <c r="B11478" s="3" t="str">
        <f>HYPERLINK("https://www.773grp.com/manufacturer/texas-instruments?pageNo=369", "Texas Instruments")</f>
        <v>Texas Instruments</v>
      </c>
      <c r="C11478" s="5">
        <v>160</v>
      </c>
      <c r="D11478" s="6">
        <v>4.5</v>
      </c>
      <c r="E11478" t="s">
        <v>18</v>
      </c>
    </row>
    <row r="11479" spans="1:5" x14ac:dyDescent="0.25">
      <c r="A11479" t="str">
        <f>HYPERLINK("https://www.773grp.com/globalSearch/SN65LVDS31D/page-1", "SN65LVDS31D")</f>
        <v>SN65LVDS31D</v>
      </c>
      <c r="B11479" s="3" t="str">
        <f>HYPERLINK("https://www.773grp.com/manufacturer/texas-instruments?pageNo=428", "Texas Instruments")</f>
        <v>Texas Instruments</v>
      </c>
      <c r="C11479" s="5">
        <v>62</v>
      </c>
      <c r="D11479" s="6">
        <v>4.53</v>
      </c>
      <c r="E11479" t="s">
        <v>18</v>
      </c>
    </row>
    <row r="11480" spans="1:5" x14ac:dyDescent="0.25">
      <c r="A11480" t="str">
        <f>HYPERLINK("https://www.773grp.com/globalSearch/SN65LVDS31NS/page-1", "SN65LVDS31NS")</f>
        <v>SN65LVDS31NS</v>
      </c>
      <c r="B11480" s="3" t="str">
        <f>HYPERLINK("https://www.773grp.com/manufacturer/texas-instruments?pageNo=429", "Texas Instruments")</f>
        <v>Texas Instruments</v>
      </c>
      <c r="C11480" s="5">
        <v>1177</v>
      </c>
      <c r="D11480" s="6">
        <v>4.53</v>
      </c>
      <c r="E11480" t="s">
        <v>18</v>
      </c>
    </row>
    <row r="11481" spans="1:5" x14ac:dyDescent="0.25">
      <c r="A11481" t="str">
        <f>HYPERLINK("https://www.773grp.com/globalSearch/SN65LVDS31PW/page-1", "SN65LVDS31PW")</f>
        <v>SN65LVDS31PW</v>
      </c>
      <c r="B11481" s="3" t="str">
        <f>HYPERLINK("https://www.773grp.com/manufacturer/texas-instruments?pageNo=430", "Texas Instruments")</f>
        <v>Texas Instruments</v>
      </c>
      <c r="C11481" s="5">
        <v>2199</v>
      </c>
      <c r="D11481" s="6">
        <v>4.53</v>
      </c>
      <c r="E11481" t="s">
        <v>18</v>
      </c>
    </row>
    <row r="11482" spans="1:5" x14ac:dyDescent="0.25">
      <c r="A11482" t="str">
        <f>HYPERLINK("https://www.773grp.com/globalSearch/SN65LVDS32D/page-1", "SN65LVDS32D")</f>
        <v>SN65LVDS32D</v>
      </c>
      <c r="B11482" s="3" t="str">
        <f>HYPERLINK("https://www.773grp.com/manufacturer/texas-instruments?pageNo=431", "Texas Instruments")</f>
        <v>Texas Instruments</v>
      </c>
      <c r="C11482" s="5">
        <v>1942</v>
      </c>
      <c r="D11482" s="6">
        <v>4.53</v>
      </c>
      <c r="E11482" t="s">
        <v>18</v>
      </c>
    </row>
    <row r="11483" spans="1:5" x14ac:dyDescent="0.25">
      <c r="A11483" t="str">
        <f>HYPERLINK("https://www.773grp.com/globalSearch/SN65LVDS32DG4/page-1", "SN65LVDS32DG4")</f>
        <v>SN65LVDS32DG4</v>
      </c>
      <c r="B11483" s="3" t="str">
        <f>HYPERLINK("https://www.773grp.com/manufacturer/texas-instruments?pageNo=432", "Texas Instruments")</f>
        <v>Texas Instruments</v>
      </c>
      <c r="C11483" s="5">
        <v>120</v>
      </c>
      <c r="D11483" s="6">
        <v>4.53</v>
      </c>
      <c r="E11483" t="s">
        <v>18</v>
      </c>
    </row>
    <row r="11484" spans="1:5" x14ac:dyDescent="0.25">
      <c r="A11484" t="str">
        <f>HYPERLINK("https://www.773grp.com/globalSearch/SN65LVDS32PW/page-1", "SN65LVDS32PW")</f>
        <v>SN65LVDS32PW</v>
      </c>
      <c r="B11484" s="3" t="str">
        <f>HYPERLINK("https://www.773grp.com/manufacturer/texas-instruments?pageNo=433", "Texas Instruments")</f>
        <v>Texas Instruments</v>
      </c>
      <c r="C11484" s="5">
        <v>1978</v>
      </c>
      <c r="D11484" s="6">
        <v>4.53</v>
      </c>
      <c r="E11484" t="s">
        <v>18</v>
      </c>
    </row>
    <row r="11485" spans="1:5" x14ac:dyDescent="0.25">
      <c r="A11485" t="str">
        <f>HYPERLINK("https://www.773grp.com/globalSearch/SN75LBC173N/page-1", "SN75LBC173N")</f>
        <v>SN75LBC173N</v>
      </c>
      <c r="B11485" s="3" t="str">
        <f>HYPERLINK("https://www.773grp.com/manufacturer/texas-instruments?pageNo=436", "Texas Instruments")</f>
        <v>Texas Instruments</v>
      </c>
      <c r="C11485" s="5">
        <v>1927</v>
      </c>
      <c r="D11485" s="6">
        <v>4.53</v>
      </c>
      <c r="E11485" t="s">
        <v>18</v>
      </c>
    </row>
    <row r="11486" spans="1:5" x14ac:dyDescent="0.25">
      <c r="A11486" t="str">
        <f>HYPERLINK("https://www.773grp.com/globalSearch/SN75LVDS31D/page-1", "SN75LVDS31D")</f>
        <v>SN75LVDS31D</v>
      </c>
      <c r="B11486" s="3" t="str">
        <f>HYPERLINK("https://www.773grp.com/manufacturer/texas-instruments?pageNo=437", "Texas Instruments")</f>
        <v>Texas Instruments</v>
      </c>
      <c r="C11486" s="5">
        <v>28939</v>
      </c>
      <c r="D11486" s="6">
        <v>4.53</v>
      </c>
      <c r="E11486" t="s">
        <v>18</v>
      </c>
    </row>
    <row r="11487" spans="1:5" x14ac:dyDescent="0.25">
      <c r="A11487" t="str">
        <f>HYPERLINK("https://www.773grp.com/globalSearch/SN75LVDS31PW/page-1", "SN75LVDS31PW")</f>
        <v>SN75LVDS31PW</v>
      </c>
      <c r="B11487" s="3" t="str">
        <f>HYPERLINK("https://www.773grp.com/manufacturer/texas-instruments?pageNo=438", "Texas Instruments")</f>
        <v>Texas Instruments</v>
      </c>
      <c r="C11487" s="5">
        <v>27576</v>
      </c>
      <c r="D11487" s="6">
        <v>4.53</v>
      </c>
      <c r="E11487" t="s">
        <v>18</v>
      </c>
    </row>
    <row r="11488" spans="1:5" x14ac:dyDescent="0.25">
      <c r="A11488" t="str">
        <f>HYPERLINK("https://www.773grp.com/globalSearch/SN75LVDS32D/page-1", "SN75LVDS32D")</f>
        <v>SN75LVDS32D</v>
      </c>
      <c r="B11488" s="3" t="str">
        <f>HYPERLINK("https://www.773grp.com/manufacturer/texas-instruments?pageNo=439", "Texas Instruments")</f>
        <v>Texas Instruments</v>
      </c>
      <c r="C11488" s="5">
        <v>53459</v>
      </c>
      <c r="D11488" s="6">
        <v>4.53</v>
      </c>
      <c r="E11488" t="s">
        <v>18</v>
      </c>
    </row>
    <row r="11489" spans="1:5" x14ac:dyDescent="0.25">
      <c r="A11489" t="str">
        <f>HYPERLINK("https://www.773grp.com/globalSearch/SN75LVDS32PW/page-1", "SN75LVDS32PW")</f>
        <v>SN75LVDS32PW</v>
      </c>
      <c r="B11489" s="3" t="str">
        <f>HYPERLINK("https://www.773grp.com/manufacturer/texas-instruments?pageNo=440", "Texas Instruments")</f>
        <v>Texas Instruments</v>
      </c>
      <c r="C11489" s="5">
        <v>16348</v>
      </c>
      <c r="D11489" s="6">
        <v>4.53</v>
      </c>
      <c r="E11489" t="s">
        <v>18</v>
      </c>
    </row>
    <row r="11490" spans="1:5" x14ac:dyDescent="0.25">
      <c r="A11490" t="str">
        <f>HYPERLINK("https://www.773grp.com/globalSearch/THS6204IRHFT/page-1", "THS6204IRHFT")</f>
        <v>THS6204IRHFT</v>
      </c>
      <c r="B11490" s="3" t="str">
        <f>HYPERLINK("https://www.773grp.com/manufacturer/texas-instruments?pageNo=443", "Texas Instruments")</f>
        <v>Texas Instruments</v>
      </c>
      <c r="C11490" s="5">
        <v>5250</v>
      </c>
      <c r="D11490" s="6">
        <v>4.53</v>
      </c>
      <c r="E11490" t="s">
        <v>18</v>
      </c>
    </row>
    <row r="11491" spans="1:5" x14ac:dyDescent="0.25">
      <c r="A11491" t="str">
        <f>HYPERLINK("https://www.773grp.com/globalSearch/THS6214IRHFT/page-1", "THS6214IRHFT")</f>
        <v>THS6214IRHFT</v>
      </c>
      <c r="B11491" s="3" t="str">
        <f>HYPERLINK("https://www.773grp.com/manufacturer/texas-instruments?pageNo=444", "Texas Instruments")</f>
        <v>Texas Instruments</v>
      </c>
      <c r="C11491" s="5">
        <v>15250</v>
      </c>
      <c r="D11491" s="6">
        <v>4.53</v>
      </c>
      <c r="E11491" t="s">
        <v>18</v>
      </c>
    </row>
    <row r="11492" spans="1:5" x14ac:dyDescent="0.25">
      <c r="A11492" t="str">
        <f>HYPERLINK("https://www.773grp.com/globalSearch/SN75140PSR/page-1", "SN75140PSR")</f>
        <v>SN75140PSR</v>
      </c>
      <c r="B11492" s="3" t="str">
        <f>HYPERLINK("https://www.773grp.com/manufacturer/texas-instruments?pageNo=562", "Texas Instruments")</f>
        <v>Texas Instruments</v>
      </c>
      <c r="C11492" s="5">
        <v>11000</v>
      </c>
      <c r="D11492" s="6">
        <v>5.01</v>
      </c>
      <c r="E11492" t="s">
        <v>18</v>
      </c>
    </row>
    <row r="11493" spans="1:5" x14ac:dyDescent="0.25">
      <c r="A11493" t="str">
        <f>HYPERLINK("https://www.773grp.com/globalSearch/SN751701PSR/page-1", "SN751701PSR")</f>
        <v>SN751701PSR</v>
      </c>
      <c r="B11493" s="3" t="str">
        <f>HYPERLINK("https://www.773grp.com/manufacturer/texas-instruments?pageNo=563", "Texas Instruments")</f>
        <v>Texas Instruments</v>
      </c>
      <c r="C11493" s="5">
        <v>1000</v>
      </c>
      <c r="D11493" s="6">
        <v>5.01</v>
      </c>
      <c r="E11493" t="s">
        <v>18</v>
      </c>
    </row>
    <row r="11494" spans="1:5" x14ac:dyDescent="0.25">
      <c r="A11494" t="str">
        <f>HYPERLINK("https://www.773grp.com/globalSearch/SN75113D/page-1", "SN75113D")</f>
        <v>SN75113D</v>
      </c>
      <c r="B11494" s="3" t="str">
        <f>HYPERLINK("https://www.773grp.com/manufacturer/texas-instruments?pageNo=797", "Texas Instruments")</f>
        <v>Texas Instruments</v>
      </c>
      <c r="C11494" s="5">
        <v>65408</v>
      </c>
      <c r="D11494" s="6">
        <v>5.0599999999999996</v>
      </c>
      <c r="E11494" t="s">
        <v>18</v>
      </c>
    </row>
    <row r="11495" spans="1:5" x14ac:dyDescent="0.25">
      <c r="A11495" t="str">
        <f>HYPERLINK("https://www.773grp.com/globalSearch/SN75113DR/page-1", "SN75113DR")</f>
        <v>SN75113DR</v>
      </c>
      <c r="B11495" s="3" t="str">
        <f>HYPERLINK("https://www.773grp.com/manufacturer/texas-instruments?pageNo=798", "Texas Instruments")</f>
        <v>Texas Instruments</v>
      </c>
      <c r="C11495" s="5">
        <v>10000</v>
      </c>
      <c r="D11495" s="6">
        <v>5.0599999999999996</v>
      </c>
      <c r="E11495" t="s">
        <v>18</v>
      </c>
    </row>
    <row r="11496" spans="1:5" x14ac:dyDescent="0.25">
      <c r="A11496" t="str">
        <f>HYPERLINK("https://www.773grp.com/globalSearch/SN65LVDS048APW/page-1", "SN65LVDS048APW")</f>
        <v>SN65LVDS048APW</v>
      </c>
      <c r="B11496" s="3" t="str">
        <f>HYPERLINK("https://www.773grp.com/manufacturer/texas-instruments?pageNo=834", "Texas Instruments")</f>
        <v>Texas Instruments</v>
      </c>
      <c r="C11496" s="5">
        <v>800</v>
      </c>
      <c r="D11496" s="6">
        <v>4.59</v>
      </c>
      <c r="E11496" t="s">
        <v>18</v>
      </c>
    </row>
    <row r="11497" spans="1:5" x14ac:dyDescent="0.25">
      <c r="A11497" t="str">
        <f>HYPERLINK("https://www.773grp.com/globalSearch/SN65LVDS051DRG4Q1/page-1", "SN65LVDS051DRG4Q1")</f>
        <v>SN65LVDS051DRG4Q1</v>
      </c>
      <c r="B11497" s="3" t="str">
        <f>HYPERLINK("https://www.773grp.com/manufacturer/texas-instruments?pageNo=835", "Texas Instruments")</f>
        <v>Texas Instruments</v>
      </c>
      <c r="C11497" s="5">
        <v>25000</v>
      </c>
      <c r="D11497" s="6">
        <v>4.59</v>
      </c>
      <c r="E11497" t="s">
        <v>18</v>
      </c>
    </row>
    <row r="11498" spans="1:5" x14ac:dyDescent="0.25">
      <c r="A11498" t="str">
        <f>HYPERLINK("https://www.773grp.com/globalSearch/SN65LVDS051PWRQ1/page-1", "SN65LVDS051PWRQ1")</f>
        <v>SN65LVDS051PWRQ1</v>
      </c>
      <c r="B11498" s="3" t="str">
        <f>HYPERLINK("https://www.773grp.com/manufacturer/texas-instruments?pageNo=836", "Texas Instruments")</f>
        <v>Texas Instruments</v>
      </c>
      <c r="C11498" s="5">
        <v>5301</v>
      </c>
      <c r="D11498" s="6">
        <v>4.59</v>
      </c>
      <c r="E11498" t="s">
        <v>18</v>
      </c>
    </row>
    <row r="11499" spans="1:5" x14ac:dyDescent="0.25">
      <c r="A11499" t="str">
        <f>HYPERLINK("https://www.773grp.com/globalSearch/SN65LVDS9637BD/page-1", "SN65LVDS9637BD")</f>
        <v>SN65LVDS9637BD</v>
      </c>
      <c r="B11499" s="3" t="str">
        <f>HYPERLINK("https://www.773grp.com/manufacturer/texas-instruments?pageNo=837", "Texas Instruments")</f>
        <v>Texas Instruments</v>
      </c>
      <c r="C11499" s="5">
        <v>1045</v>
      </c>
      <c r="D11499" s="6">
        <v>4.59</v>
      </c>
      <c r="E11499" t="s">
        <v>18</v>
      </c>
    </row>
    <row r="11500" spans="1:5" x14ac:dyDescent="0.25">
      <c r="A11500" t="str">
        <f>HYPERLINK("https://www.773grp.com/globalSearch/SN65LVDS9637BDG4/page-1", "SN65LVDS9637BDG4")</f>
        <v>SN65LVDS9637BDG4</v>
      </c>
      <c r="B11500" s="3" t="str">
        <f>HYPERLINK("https://www.773grp.com/manufacturer/texas-instruments?pageNo=838", "Texas Instruments")</f>
        <v>Texas Instruments</v>
      </c>
      <c r="C11500" s="5">
        <v>25</v>
      </c>
      <c r="D11500" s="6">
        <v>4.59</v>
      </c>
      <c r="E11500" t="s">
        <v>18</v>
      </c>
    </row>
    <row r="11501" spans="1:5" x14ac:dyDescent="0.25">
      <c r="A11501" t="str">
        <f>HYPERLINK("https://www.773grp.com/globalSearch/SN75LVDS051D/page-1", "SN75LVDS051D")</f>
        <v>SN75LVDS051D</v>
      </c>
      <c r="B11501" s="3" t="str">
        <f>HYPERLINK("https://www.773grp.com/manufacturer/texas-instruments?pageNo=839", "Texas Instruments")</f>
        <v>Texas Instruments</v>
      </c>
      <c r="C11501" s="5">
        <v>21802</v>
      </c>
      <c r="D11501" s="6">
        <v>4.59</v>
      </c>
      <c r="E11501" t="s">
        <v>18</v>
      </c>
    </row>
    <row r="11502" spans="1:5" x14ac:dyDescent="0.25">
      <c r="A11502" t="str">
        <f>HYPERLINK("https://www.773grp.com/globalSearch/SN65C3238EDB/page-1", "SN65C3238EDB")</f>
        <v>SN65C3238EDB</v>
      </c>
      <c r="B11502" s="3" t="str">
        <f>HYPERLINK("https://www.773grp.com/manufacturer/texas-instruments?pageNo=882", "Texas Instruments")</f>
        <v>Texas Instruments</v>
      </c>
      <c r="C11502" s="5">
        <v>10789</v>
      </c>
      <c r="D11502" s="6">
        <v>4.6100000000000003</v>
      </c>
      <c r="E11502" t="s">
        <v>18</v>
      </c>
    </row>
    <row r="11503" spans="1:5" x14ac:dyDescent="0.25">
      <c r="A11503" t="str">
        <f>HYPERLINK("https://www.773grp.com/globalSearch/SN65C3238EDW/page-1", "SN65C3238EDW")</f>
        <v>SN65C3238EDW</v>
      </c>
      <c r="B11503" s="3" t="str">
        <f>HYPERLINK("https://www.773grp.com/manufacturer/texas-instruments?pageNo=883", "Texas Instruments")</f>
        <v>Texas Instruments</v>
      </c>
      <c r="C11503" s="5">
        <v>2460</v>
      </c>
      <c r="D11503" s="6">
        <v>4.6100000000000003</v>
      </c>
      <c r="E11503" t="s">
        <v>18</v>
      </c>
    </row>
    <row r="11504" spans="1:5" x14ac:dyDescent="0.25">
      <c r="A11504" t="str">
        <f>HYPERLINK("https://www.773grp.com/globalSearch/SN65LBC179AP/page-1", "SN65LBC179AP")</f>
        <v>SN65LBC179AP</v>
      </c>
      <c r="B11504" s="3" t="str">
        <f>HYPERLINK("https://www.773grp.com/manufacturer/texas-instruments?pageNo=884", "Texas Instruments")</f>
        <v>Texas Instruments</v>
      </c>
      <c r="C11504" s="5">
        <v>2460</v>
      </c>
      <c r="D11504" s="6">
        <v>4.6100000000000003</v>
      </c>
      <c r="E11504" t="s">
        <v>18</v>
      </c>
    </row>
    <row r="11505" spans="1:5" x14ac:dyDescent="0.25">
      <c r="A11505" t="str">
        <f>HYPERLINK("https://www.773grp.com/globalSearch/SN75157P/page-1", "SN75157P")</f>
        <v>SN75157P</v>
      </c>
      <c r="B11505" s="3" t="str">
        <f>HYPERLINK("https://www.773grp.com/manufacturer/texas-instruments?pageNo=931", "Texas Instruments")</f>
        <v>Texas Instruments</v>
      </c>
      <c r="C11505" s="5">
        <v>5324</v>
      </c>
      <c r="D11505" s="6">
        <v>4.6100000000000003</v>
      </c>
      <c r="E11505" t="s">
        <v>18</v>
      </c>
    </row>
    <row r="11506" spans="1:5" x14ac:dyDescent="0.25">
      <c r="A11506" t="str">
        <f>HYPERLINK("https://www.773grp.com/globalSearch/SN75157PE4/page-1", "SN75157PE4")</f>
        <v>SN75157PE4</v>
      </c>
      <c r="B11506" s="3" t="str">
        <f>HYPERLINK("https://www.773grp.com/manufacturer/texas-instruments?pageNo=932", "Texas Instruments")</f>
        <v>Texas Instruments</v>
      </c>
      <c r="C11506" s="5">
        <v>3000</v>
      </c>
      <c r="D11506" s="6">
        <v>4.6100000000000003</v>
      </c>
      <c r="E11506" t="s">
        <v>18</v>
      </c>
    </row>
    <row r="11507" spans="1:5" x14ac:dyDescent="0.25">
      <c r="A11507" t="str">
        <f>HYPERLINK("https://www.773grp.com/globalSearch/SN75158P/page-1", "SN75158P")</f>
        <v>SN75158P</v>
      </c>
      <c r="B11507" s="3" t="str">
        <f>HYPERLINK("https://www.773grp.com/manufacturer/texas-instruments?pageNo=933", "Texas Instruments")</f>
        <v>Texas Instruments</v>
      </c>
      <c r="C11507" s="5">
        <v>826</v>
      </c>
      <c r="D11507" s="6">
        <v>4.6100000000000003</v>
      </c>
      <c r="E11507" t="s">
        <v>18</v>
      </c>
    </row>
    <row r="11508" spans="1:5" x14ac:dyDescent="0.25">
      <c r="A11508" t="str">
        <f>HYPERLINK("https://www.773grp.com/globalSearch/SN751730DW/page-1", "SN751730DW")</f>
        <v>SN751730DW</v>
      </c>
      <c r="B11508" s="3" t="str">
        <f>HYPERLINK("https://www.773grp.com/manufacturer/texas-instruments?pageNo=935", "Texas Instruments")</f>
        <v>Texas Instruments</v>
      </c>
      <c r="C11508" s="5">
        <v>13275</v>
      </c>
      <c r="D11508" s="6">
        <v>4.6100000000000003</v>
      </c>
      <c r="E11508" t="s">
        <v>18</v>
      </c>
    </row>
    <row r="11509" spans="1:5" x14ac:dyDescent="0.25">
      <c r="A11509" t="str">
        <f>HYPERLINK("https://www.773grp.com/globalSearch/SN75ALS160DW/page-1", "SN75ALS160DW")</f>
        <v>SN75ALS160DW</v>
      </c>
      <c r="B11509" s="3" t="str">
        <f>HYPERLINK("https://www.773grp.com/manufacturer/texas-instruments?pageNo=936", "Texas Instruments")</f>
        <v>Texas Instruments</v>
      </c>
      <c r="C11509" s="5">
        <v>111</v>
      </c>
      <c r="D11509" s="6">
        <v>4.6100000000000003</v>
      </c>
      <c r="E11509" t="s">
        <v>18</v>
      </c>
    </row>
    <row r="11510" spans="1:5" x14ac:dyDescent="0.25">
      <c r="A11510" t="str">
        <f>HYPERLINK("https://www.773grp.com/globalSearch/SN75C3238EDB/page-1", "SN75C3238EDB")</f>
        <v>SN75C3238EDB</v>
      </c>
      <c r="B11510" s="3" t="str">
        <f>HYPERLINK("https://www.773grp.com/manufacturer/texas-instruments?pageNo=937", "Texas Instruments")</f>
        <v>Texas Instruments</v>
      </c>
      <c r="C11510" s="5">
        <v>1950</v>
      </c>
      <c r="D11510" s="6">
        <v>4.6100000000000003</v>
      </c>
      <c r="E11510" t="s">
        <v>18</v>
      </c>
    </row>
    <row r="11511" spans="1:5" x14ac:dyDescent="0.25">
      <c r="A11511" t="str">
        <f>HYPERLINK("https://www.773grp.com/globalSearch/SN75C3238EDW/page-1", "SN75C3238EDW")</f>
        <v>SN75C3238EDW</v>
      </c>
      <c r="B11511" s="3" t="str">
        <f>HYPERLINK("https://www.773grp.com/manufacturer/texas-instruments?pageNo=938", "Texas Instruments")</f>
        <v>Texas Instruments</v>
      </c>
      <c r="C11511" s="5">
        <v>3060</v>
      </c>
      <c r="D11511" s="6">
        <v>4.6100000000000003</v>
      </c>
      <c r="E11511" t="s">
        <v>18</v>
      </c>
    </row>
    <row r="11512" spans="1:5" x14ac:dyDescent="0.25">
      <c r="A11512" t="str">
        <f>HYPERLINK("https://www.773grp.com/globalSearch/TRS222IN/page-1", "TRS222IN")</f>
        <v>TRS222IN</v>
      </c>
      <c r="B11512" s="3" t="str">
        <f>HYPERLINK("https://www.773grp.com/manufacturer/texas-instruments?pageNo=956", "Texas Instruments")</f>
        <v>Texas Instruments</v>
      </c>
      <c r="C11512" s="5">
        <v>20</v>
      </c>
      <c r="D11512" s="6">
        <v>4.6100000000000003</v>
      </c>
      <c r="E11512" t="s">
        <v>18</v>
      </c>
    </row>
    <row r="11513" spans="1:5" x14ac:dyDescent="0.25">
      <c r="A11513" t="str">
        <f>HYPERLINK("https://www.773grp.com/globalSearch/MAX3318EIDB/page-1", "MAX3318EIDB")</f>
        <v>MAX3318EIDB</v>
      </c>
      <c r="B11513" s="3" t="s">
        <v>90</v>
      </c>
      <c r="C11513" s="5">
        <v>2030</v>
      </c>
      <c r="D11513" s="6">
        <v>4.6399999999999997</v>
      </c>
      <c r="E11513" t="s">
        <v>18</v>
      </c>
    </row>
    <row r="11514" spans="1:5" x14ac:dyDescent="0.25">
      <c r="A11514" t="str">
        <f>HYPERLINK("https://www.773grp.com/globalSearch/MAX3318EIPW/page-1", "MAX3318EIPW")</f>
        <v>MAX3318EIPW</v>
      </c>
      <c r="B11514" s="3" t="s">
        <v>90</v>
      </c>
      <c r="C11514" s="5">
        <v>7117</v>
      </c>
      <c r="D11514" s="6">
        <v>4.6399999999999997</v>
      </c>
      <c r="E11514" t="s">
        <v>18</v>
      </c>
    </row>
    <row r="11515" spans="1:5" x14ac:dyDescent="0.25">
      <c r="A11515" t="str">
        <f>HYPERLINK("https://www.773grp.com/globalSearch/MAX3318IDB/page-1", "MAX3318IDB")</f>
        <v>MAX3318IDB</v>
      </c>
      <c r="B11515" s="3" t="s">
        <v>90</v>
      </c>
      <c r="C11515" s="5">
        <v>2590</v>
      </c>
      <c r="D11515" s="6">
        <v>4.6399999999999997</v>
      </c>
      <c r="E11515" t="s">
        <v>18</v>
      </c>
    </row>
    <row r="11516" spans="1:5" x14ac:dyDescent="0.25">
      <c r="A11516" t="str">
        <f>HYPERLINK("https://www.773grp.com/globalSearch/MAX3318IPW/page-1", "MAX3318IPW")</f>
        <v>MAX3318IPW</v>
      </c>
      <c r="B11516" s="3" t="s">
        <v>90</v>
      </c>
      <c r="C11516" s="5">
        <v>2755</v>
      </c>
      <c r="D11516" s="6">
        <v>4.6399999999999997</v>
      </c>
      <c r="E11516" t="s">
        <v>18</v>
      </c>
    </row>
    <row r="11517" spans="1:5" x14ac:dyDescent="0.25">
      <c r="A11517" t="str">
        <f>HYPERLINK("https://www.773grp.com/globalSearch/SN65HVD3086ED/page-1", "SN65HVD3086ED")</f>
        <v>SN65HVD3086ED</v>
      </c>
      <c r="B11517" s="3" t="s">
        <v>90</v>
      </c>
      <c r="C11517" s="5">
        <v>240</v>
      </c>
      <c r="D11517" s="6">
        <v>4.6399999999999997</v>
      </c>
      <c r="E11517" t="s">
        <v>18</v>
      </c>
    </row>
    <row r="11518" spans="1:5" x14ac:dyDescent="0.25">
      <c r="A11518" t="str">
        <f>HYPERLINK("https://www.773grp.com/globalSearch/SN65LBC175N/page-1", "SN65LBC175N")</f>
        <v>SN65LBC175N</v>
      </c>
      <c r="B11518" s="3" t="s">
        <v>90</v>
      </c>
      <c r="C11518" s="5">
        <v>2782</v>
      </c>
      <c r="D11518" s="6">
        <v>4.6399999999999997</v>
      </c>
      <c r="E11518" t="s">
        <v>18</v>
      </c>
    </row>
    <row r="11519" spans="1:5" x14ac:dyDescent="0.25">
      <c r="A11519" t="str">
        <f>HYPERLINK("https://www.773grp.com/globalSearch/SN75DP128ARTQR/page-1", "SN75DP128ARTQR")</f>
        <v>SN75DP128ARTQR</v>
      </c>
      <c r="B11519" s="3" t="s">
        <v>90</v>
      </c>
      <c r="C11519" s="5">
        <v>37900</v>
      </c>
      <c r="D11519" s="6">
        <v>4.6399999999999997</v>
      </c>
      <c r="E11519" t="s">
        <v>18</v>
      </c>
    </row>
    <row r="11520" spans="1:5" x14ac:dyDescent="0.25">
      <c r="A11520" t="str">
        <f>HYPERLINK("https://www.773grp.com/globalSearch/SN75DP128RTQR/page-1", "SN75DP128RTQR")</f>
        <v>SN75DP128RTQR</v>
      </c>
      <c r="B11520" s="3" t="s">
        <v>90</v>
      </c>
      <c r="C11520" s="5">
        <v>9524</v>
      </c>
      <c r="D11520" s="6">
        <v>4.6399999999999997</v>
      </c>
      <c r="E11520" t="s">
        <v>18</v>
      </c>
    </row>
    <row r="11521" spans="1:5" x14ac:dyDescent="0.25">
      <c r="A11521" t="str">
        <f>HYPERLINK("https://www.773grp.com/globalSearch/SN65173D/page-1", "SN65173D")</f>
        <v>SN65173D</v>
      </c>
      <c r="B11521" s="3" t="s">
        <v>90</v>
      </c>
      <c r="C11521" s="5">
        <v>3264</v>
      </c>
      <c r="D11521" s="6">
        <v>4.68</v>
      </c>
      <c r="E11521" t="s">
        <v>18</v>
      </c>
    </row>
    <row r="11522" spans="1:5" x14ac:dyDescent="0.25">
      <c r="A11522" t="str">
        <f>HYPERLINK("https://www.773grp.com/globalSearch/SN65173N/page-1", "SN65173N")</f>
        <v>SN65173N</v>
      </c>
      <c r="B11522" s="3" t="s">
        <v>90</v>
      </c>
      <c r="C11522" s="5">
        <v>5165</v>
      </c>
      <c r="D11522" s="6">
        <v>4.68</v>
      </c>
      <c r="E11522" t="s">
        <v>18</v>
      </c>
    </row>
    <row r="11523" spans="1:5" x14ac:dyDescent="0.25">
      <c r="A11523" t="str">
        <f>HYPERLINK("https://www.773grp.com/globalSearch/SN65LBC176AD/page-1", "SN65LBC176AD")</f>
        <v>SN65LBC176AD</v>
      </c>
      <c r="B11523" s="3" t="s">
        <v>90</v>
      </c>
      <c r="C11523" s="5">
        <v>1126</v>
      </c>
      <c r="D11523" s="6">
        <v>4.68</v>
      </c>
      <c r="E11523" t="s">
        <v>18</v>
      </c>
    </row>
    <row r="11524" spans="1:5" x14ac:dyDescent="0.25">
      <c r="A11524" t="str">
        <f>HYPERLINK("https://www.773grp.com/globalSearch/DRV600RTJR/page-1", "DRV600RTJR")</f>
        <v>DRV600RTJR</v>
      </c>
      <c r="B11524" s="3" t="s">
        <v>90</v>
      </c>
      <c r="C11524" s="5">
        <v>459000</v>
      </c>
      <c r="D11524" s="6">
        <v>5.16</v>
      </c>
      <c r="E11524" t="s">
        <v>18</v>
      </c>
    </row>
    <row r="11525" spans="1:5" x14ac:dyDescent="0.25">
      <c r="A11525" t="str">
        <f>HYPERLINK("https://www.773grp.com/globalSearch/SN75C3221EDBR/page-1", "SN75C3221EDBR")</f>
        <v>SN75C3221EDBR</v>
      </c>
      <c r="B11525" s="3" t="s">
        <v>90</v>
      </c>
      <c r="C11525" s="5">
        <v>8000</v>
      </c>
      <c r="D11525" s="6">
        <v>5.16</v>
      </c>
      <c r="E11525" t="s">
        <v>18</v>
      </c>
    </row>
    <row r="11526" spans="1:5" x14ac:dyDescent="0.25">
      <c r="A11526" t="str">
        <f>HYPERLINK("https://www.773grp.com/globalSearch/SN75C3221EPWR/page-1", "SN75C3221EPWR")</f>
        <v>SN75C3221EPWR</v>
      </c>
      <c r="B11526" s="3" t="s">
        <v>90</v>
      </c>
      <c r="C11526" s="5">
        <v>4770</v>
      </c>
      <c r="D11526" s="6">
        <v>5.16</v>
      </c>
      <c r="E11526" t="s">
        <v>18</v>
      </c>
    </row>
    <row r="11527" spans="1:5" x14ac:dyDescent="0.25">
      <c r="A11527" t="str">
        <f>HYPERLINK("https://www.773grp.com/globalSearch/TRSF3221CDBR/page-1", "TRSF3221CDBR")</f>
        <v>TRSF3221CDBR</v>
      </c>
      <c r="B11527" s="3" t="s">
        <v>90</v>
      </c>
      <c r="C11527" s="5">
        <v>2000</v>
      </c>
      <c r="D11527" s="6">
        <v>5.16</v>
      </c>
      <c r="E11527" t="s">
        <v>18</v>
      </c>
    </row>
    <row r="11528" spans="1:5" x14ac:dyDescent="0.25">
      <c r="A11528" t="str">
        <f>HYPERLINK("https://www.773grp.com/globalSearch/TRSF3221ECPWR/page-1", "TRSF3221ECPWR")</f>
        <v>TRSF3221ECPWR</v>
      </c>
      <c r="B11528" s="3" t="s">
        <v>90</v>
      </c>
      <c r="C11528" s="5">
        <v>2000</v>
      </c>
      <c r="D11528" s="6">
        <v>5.16</v>
      </c>
      <c r="E11528" t="s">
        <v>18</v>
      </c>
    </row>
    <row r="11529" spans="1:5" x14ac:dyDescent="0.25">
      <c r="A11529" t="str">
        <f>HYPERLINK("https://www.773grp.com/globalSearch/TRSF3221EIDBR/page-1", "TRSF3221EIDBR")</f>
        <v>TRSF3221EIDBR</v>
      </c>
      <c r="B11529" s="3" t="s">
        <v>90</v>
      </c>
      <c r="C11529" s="5">
        <v>2000</v>
      </c>
      <c r="D11529" s="6">
        <v>5.16</v>
      </c>
      <c r="E11529" t="s">
        <v>18</v>
      </c>
    </row>
    <row r="11530" spans="1:5" x14ac:dyDescent="0.25">
      <c r="A11530" t="str">
        <f>HYPERLINK("https://www.773grp.com/globalSearch/DS8830N/page-1", "DS8830N")</f>
        <v>DS8830N</v>
      </c>
      <c r="B11530" s="3" t="s">
        <v>90</v>
      </c>
      <c r="C11530" s="5">
        <v>12936</v>
      </c>
      <c r="D11530" s="6">
        <v>4.6900000000000004</v>
      </c>
      <c r="E11530" t="s">
        <v>18</v>
      </c>
    </row>
    <row r="11531" spans="1:5" x14ac:dyDescent="0.25">
      <c r="A11531" t="str">
        <f>HYPERLINK("https://www.773grp.com/globalSearch/MAX222CN/page-1", "MAX222CN")</f>
        <v>MAX222CN</v>
      </c>
      <c r="B11531" s="3" t="s">
        <v>90</v>
      </c>
      <c r="C11531" s="5">
        <v>14800</v>
      </c>
      <c r="D11531" s="6">
        <v>4.6900000000000004</v>
      </c>
      <c r="E11531" t="s">
        <v>18</v>
      </c>
    </row>
    <row r="11532" spans="1:5" x14ac:dyDescent="0.25">
      <c r="A11532" t="str">
        <f>HYPERLINK("https://www.773grp.com/globalSearch/SN65MLVD201D/page-1", "SN65MLVD201D")</f>
        <v>SN65MLVD201D</v>
      </c>
      <c r="B11532" s="3" t="s">
        <v>90</v>
      </c>
      <c r="C11532" s="5">
        <v>95</v>
      </c>
      <c r="D11532" s="6">
        <v>4.7300000000000004</v>
      </c>
      <c r="E11532" t="s">
        <v>18</v>
      </c>
    </row>
    <row r="11533" spans="1:5" x14ac:dyDescent="0.25">
      <c r="A11533" t="str">
        <f>HYPERLINK("https://www.773grp.com/globalSearch/SN75LBC184P/page-1", "SN75LBC184P")</f>
        <v>SN75LBC184P</v>
      </c>
      <c r="B11533" s="3" t="s">
        <v>90</v>
      </c>
      <c r="C11533" s="5">
        <v>23067</v>
      </c>
      <c r="D11533" s="6">
        <v>4.7300000000000004</v>
      </c>
      <c r="E11533" t="s">
        <v>18</v>
      </c>
    </row>
    <row r="11534" spans="1:5" x14ac:dyDescent="0.25">
      <c r="A11534" t="str">
        <f>HYPERLINK("https://www.773grp.com/globalSearch/THS6204IPWP/page-1", "THS6204IPWP")</f>
        <v>THS6204IPWP</v>
      </c>
      <c r="B11534" s="3" t="s">
        <v>90</v>
      </c>
      <c r="C11534" s="5">
        <v>5340</v>
      </c>
      <c r="D11534" s="6">
        <v>4.7300000000000004</v>
      </c>
      <c r="E11534" t="s">
        <v>18</v>
      </c>
    </row>
    <row r="11535" spans="1:5" x14ac:dyDescent="0.25">
      <c r="A11535" t="str">
        <f>HYPERLINK("https://www.773grp.com/globalSearch/THS6214IPWP/page-1", "THS6214IPWP")</f>
        <v>THS6214IPWP</v>
      </c>
      <c r="B11535" s="3" t="s">
        <v>90</v>
      </c>
      <c r="C11535" s="5">
        <v>180</v>
      </c>
      <c r="D11535" s="6">
        <v>4.7300000000000004</v>
      </c>
      <c r="E11535" t="s">
        <v>18</v>
      </c>
    </row>
    <row r="11536" spans="1:5" x14ac:dyDescent="0.25">
      <c r="A11536" t="str">
        <f>HYPERLINK("https://www.773grp.com/globalSearch/TRS3318IDBR/page-1", "TRS3318IDBR")</f>
        <v>TRS3318IDBR</v>
      </c>
      <c r="B11536" s="3" t="s">
        <v>90</v>
      </c>
      <c r="C11536" s="5">
        <v>6000</v>
      </c>
      <c r="D11536" s="6">
        <v>5.21</v>
      </c>
      <c r="E11536" t="s">
        <v>18</v>
      </c>
    </row>
    <row r="11537" spans="1:5" x14ac:dyDescent="0.25">
      <c r="A11537" t="str">
        <f>HYPERLINK("https://www.773grp.com/globalSearch/SN75LBC180AD/page-1", "SN75LBC180AD")</f>
        <v>SN75LBC180AD</v>
      </c>
      <c r="B11537" s="3" t="s">
        <v>90</v>
      </c>
      <c r="C11537" s="5">
        <v>509</v>
      </c>
      <c r="D11537" s="6">
        <v>4.76</v>
      </c>
      <c r="E11537" t="s">
        <v>18</v>
      </c>
    </row>
    <row r="11538" spans="1:5" x14ac:dyDescent="0.25">
      <c r="A11538" t="str">
        <f>HYPERLINK("https://www.773grp.com/globalSearch/SN65HVD12D/page-1", "SN65HVD12D")</f>
        <v>SN65HVD12D</v>
      </c>
      <c r="B11538" s="3" t="s">
        <v>90</v>
      </c>
      <c r="C11538" s="5">
        <v>75</v>
      </c>
      <c r="D11538" s="6">
        <v>4.78</v>
      </c>
      <c r="E11538" t="s">
        <v>18</v>
      </c>
    </row>
    <row r="11539" spans="1:5" x14ac:dyDescent="0.25">
      <c r="A11539" t="str">
        <f>HYPERLINK("https://www.773grp.com/globalSearch/SN65HVD21D/page-1", "SN65HVD21D")</f>
        <v>SN65HVD21D</v>
      </c>
      <c r="B11539" s="3" t="s">
        <v>90</v>
      </c>
      <c r="C11539" s="5">
        <v>55</v>
      </c>
      <c r="D11539" s="6">
        <v>4.78</v>
      </c>
      <c r="E11539" t="s">
        <v>18</v>
      </c>
    </row>
    <row r="11540" spans="1:5" x14ac:dyDescent="0.25">
      <c r="A11540" t="str">
        <f>HYPERLINK("https://www.773grp.com/globalSearch/SN65LVDS310ZQCT/page-1", "SN65LVDS310ZQCT")</f>
        <v>SN65LVDS310ZQCT</v>
      </c>
      <c r="B11540" s="3" t="s">
        <v>90</v>
      </c>
      <c r="C11540" s="5">
        <v>1750</v>
      </c>
      <c r="D11540" s="6">
        <v>4.78</v>
      </c>
      <c r="E11540" t="s">
        <v>18</v>
      </c>
    </row>
    <row r="11541" spans="1:5" x14ac:dyDescent="0.25">
      <c r="A11541" t="str">
        <f>HYPERLINK("https://www.773grp.com/globalSearch/SN65LVDS315RGER/page-1", "SN65LVDS315RGER")</f>
        <v>SN65LVDS315RGER</v>
      </c>
      <c r="B11541" s="3" t="s">
        <v>90</v>
      </c>
      <c r="C11541" s="5">
        <v>5000</v>
      </c>
      <c r="D11541" s="6">
        <v>4.78</v>
      </c>
      <c r="E11541" t="s">
        <v>18</v>
      </c>
    </row>
    <row r="11542" spans="1:5" x14ac:dyDescent="0.25">
      <c r="A11542" t="str">
        <f>HYPERLINK("https://www.773grp.com/globalSearch/SN65LVDT348D/page-1", "SN65LVDT348D")</f>
        <v>SN65LVDT348D</v>
      </c>
      <c r="B11542" s="3" t="s">
        <v>90</v>
      </c>
      <c r="C11542" s="5">
        <v>1572</v>
      </c>
      <c r="D11542" s="6">
        <v>4.78</v>
      </c>
      <c r="E11542" t="s">
        <v>18</v>
      </c>
    </row>
    <row r="11543" spans="1:5" x14ac:dyDescent="0.25">
      <c r="A11543" t="str">
        <f>HYPERLINK("https://www.773grp.com/globalSearch/SN65LVDT348PW/page-1", "SN65LVDT348PW")</f>
        <v>SN65LVDT348PW</v>
      </c>
      <c r="B11543" s="3" t="s">
        <v>90</v>
      </c>
      <c r="C11543" s="5">
        <v>2333</v>
      </c>
      <c r="D11543" s="6">
        <v>4.78</v>
      </c>
      <c r="E11543" t="s">
        <v>18</v>
      </c>
    </row>
    <row r="11544" spans="1:5" x14ac:dyDescent="0.25">
      <c r="A11544" t="str">
        <f>HYPERLINK("https://www.773grp.com/globalSearch/SN65LVDT348PWG4/page-1", "SN65LVDT348PWG4")</f>
        <v>SN65LVDT348PWG4</v>
      </c>
      <c r="B11544" s="3" t="s">
        <v>90</v>
      </c>
      <c r="C11544" s="5">
        <v>14</v>
      </c>
      <c r="D11544" s="6">
        <v>4.78</v>
      </c>
      <c r="E11544" t="s">
        <v>18</v>
      </c>
    </row>
    <row r="11545" spans="1:5" x14ac:dyDescent="0.25">
      <c r="A11545" t="str">
        <f>HYPERLINK("https://www.773grp.com/globalSearch/SN65LVDT390D/page-1", "SN65LVDT390D")</f>
        <v>SN65LVDT390D</v>
      </c>
      <c r="B11545" s="3" t="s">
        <v>90</v>
      </c>
      <c r="C11545" s="5">
        <v>5564</v>
      </c>
      <c r="D11545" s="6">
        <v>4.78</v>
      </c>
      <c r="E11545" t="s">
        <v>18</v>
      </c>
    </row>
    <row r="11546" spans="1:5" x14ac:dyDescent="0.25">
      <c r="A11546" t="str">
        <f>HYPERLINK("https://www.773grp.com/globalSearch/SN65LVDT390PW/page-1", "SN65LVDT390PW")</f>
        <v>SN65LVDT390PW</v>
      </c>
      <c r="B11546" s="3" t="s">
        <v>90</v>
      </c>
      <c r="C11546" s="5">
        <v>2831</v>
      </c>
      <c r="D11546" s="6">
        <v>4.78</v>
      </c>
      <c r="E11546" t="s">
        <v>18</v>
      </c>
    </row>
    <row r="11547" spans="1:5" x14ac:dyDescent="0.25">
      <c r="A11547" t="str">
        <f>HYPERLINK("https://www.773grp.com/globalSearch/SN65MLVD203D/page-1", "SN65MLVD203D")</f>
        <v>SN65MLVD203D</v>
      </c>
      <c r="B11547" s="3" t="s">
        <v>90</v>
      </c>
      <c r="C11547" s="5">
        <v>3218</v>
      </c>
      <c r="D11547" s="6">
        <v>4.78</v>
      </c>
      <c r="E11547" t="s">
        <v>18</v>
      </c>
    </row>
    <row r="11548" spans="1:5" x14ac:dyDescent="0.25">
      <c r="A11548" t="str">
        <f>HYPERLINK("https://www.773grp.com/globalSearch/SN75HVD06D/page-1", "SN75HVD06D")</f>
        <v>SN75HVD06D</v>
      </c>
      <c r="B11548" s="3" t="s">
        <v>90</v>
      </c>
      <c r="C11548" s="5">
        <v>215</v>
      </c>
      <c r="D11548" s="6">
        <v>4.78</v>
      </c>
      <c r="E11548" t="s">
        <v>18</v>
      </c>
    </row>
    <row r="11549" spans="1:5" x14ac:dyDescent="0.25">
      <c r="A11549" t="str">
        <f>HYPERLINK("https://www.773grp.com/globalSearch/SN75HVD12D/page-1", "SN75HVD12D")</f>
        <v>SN75HVD12D</v>
      </c>
      <c r="B11549" s="3" t="s">
        <v>90</v>
      </c>
      <c r="C11549" s="5">
        <v>775</v>
      </c>
      <c r="D11549" s="6">
        <v>4.78</v>
      </c>
      <c r="E11549" t="s">
        <v>18</v>
      </c>
    </row>
    <row r="11550" spans="1:5" x14ac:dyDescent="0.25">
      <c r="A11550" t="str">
        <f>HYPERLINK("https://www.773grp.com/globalSearch/SN75LBC176AP/page-1", "SN75LBC176AP")</f>
        <v>SN75LBC176AP</v>
      </c>
      <c r="B11550" s="3" t="s">
        <v>90</v>
      </c>
      <c r="C11550" s="5">
        <v>1218</v>
      </c>
      <c r="D11550" s="6">
        <v>4.78</v>
      </c>
      <c r="E11550" t="s">
        <v>18</v>
      </c>
    </row>
    <row r="11551" spans="1:5" x14ac:dyDescent="0.25">
      <c r="A11551" t="str">
        <f>HYPERLINK("https://www.773grp.com/globalSearch/SN75LVDT390D/page-1", "SN75LVDT390D")</f>
        <v>SN75LVDT390D</v>
      </c>
      <c r="B11551" s="3" t="s">
        <v>90</v>
      </c>
      <c r="C11551" s="5">
        <v>12124</v>
      </c>
      <c r="D11551" s="6">
        <v>4.78</v>
      </c>
      <c r="E11551" t="s">
        <v>18</v>
      </c>
    </row>
    <row r="11552" spans="1:5" x14ac:dyDescent="0.25">
      <c r="A11552" t="str">
        <f>HYPERLINK("https://www.773grp.com/globalSearch/SN75LVDT390PW/page-1", "SN75LVDT390PW")</f>
        <v>SN75LVDT390PW</v>
      </c>
      <c r="B11552" s="3" t="s">
        <v>90</v>
      </c>
      <c r="C11552" s="5">
        <v>282</v>
      </c>
      <c r="D11552" s="6">
        <v>4.78</v>
      </c>
      <c r="E11552" t="s">
        <v>18</v>
      </c>
    </row>
    <row r="11553" spans="1:5" x14ac:dyDescent="0.25">
      <c r="A11553" t="str">
        <f>HYPERLINK("https://www.773grp.com/globalSearch/MAX3386ECDWR/page-1", "MAX3386ECDWR")</f>
        <v>MAX3386ECDWR</v>
      </c>
      <c r="B11553" s="3" t="s">
        <v>90</v>
      </c>
      <c r="C11553" s="5">
        <v>3800</v>
      </c>
      <c r="D11553" s="6">
        <v>4.8099999999999996</v>
      </c>
      <c r="E11553" t="s">
        <v>18</v>
      </c>
    </row>
    <row r="11554" spans="1:5" x14ac:dyDescent="0.25">
      <c r="A11554" t="str">
        <f>HYPERLINK("https://www.773grp.com/globalSearch/MAX3386ECPWR/page-1", "MAX3386ECPWR")</f>
        <v>MAX3386ECPWR</v>
      </c>
      <c r="B11554" s="3" t="s">
        <v>90</v>
      </c>
      <c r="C11554" s="5">
        <v>8000</v>
      </c>
      <c r="D11554" s="6">
        <v>4.8099999999999996</v>
      </c>
      <c r="E11554" t="s">
        <v>18</v>
      </c>
    </row>
    <row r="11555" spans="1:5" x14ac:dyDescent="0.25">
      <c r="A11555" t="str">
        <f>HYPERLINK("https://www.773grp.com/globalSearch/SN65ALS180D/page-1", "SN65ALS180D")</f>
        <v>SN65ALS180D</v>
      </c>
      <c r="B11555" s="3" t="s">
        <v>90</v>
      </c>
      <c r="C11555" s="5">
        <v>6553</v>
      </c>
      <c r="D11555" s="6">
        <v>4.8099999999999996</v>
      </c>
      <c r="E11555" t="s">
        <v>18</v>
      </c>
    </row>
    <row r="11556" spans="1:5" x14ac:dyDescent="0.25">
      <c r="A11556" t="str">
        <f>HYPERLINK("https://www.773grp.com/globalSearch/SN65C3238DW/page-1", "SN65C3238DW")</f>
        <v>SN65C3238DW</v>
      </c>
      <c r="B11556" s="3" t="s">
        <v>90</v>
      </c>
      <c r="C11556" s="5">
        <v>1271</v>
      </c>
      <c r="D11556" s="6">
        <v>4.8099999999999996</v>
      </c>
      <c r="E11556" t="s">
        <v>18</v>
      </c>
    </row>
    <row r="11557" spans="1:5" x14ac:dyDescent="0.25">
      <c r="A11557" t="str">
        <f>HYPERLINK("https://www.773grp.com/globalSearch/SN65C3238PW/page-1", "SN65C3238PW")</f>
        <v>SN65C3238PW</v>
      </c>
      <c r="B11557" s="3" t="s">
        <v>90</v>
      </c>
      <c r="C11557" s="5">
        <v>542</v>
      </c>
      <c r="D11557" s="6">
        <v>4.8099999999999996</v>
      </c>
      <c r="E11557" t="s">
        <v>18</v>
      </c>
    </row>
    <row r="11558" spans="1:5" x14ac:dyDescent="0.25">
      <c r="A11558" t="str">
        <f>HYPERLINK("https://www.773grp.com/globalSearch/SN65C3243DW/page-1", "SN65C3243DW")</f>
        <v>SN65C3243DW</v>
      </c>
      <c r="B11558" s="3" t="s">
        <v>90</v>
      </c>
      <c r="C11558" s="5">
        <v>370</v>
      </c>
      <c r="D11558" s="6">
        <v>4.8099999999999996</v>
      </c>
      <c r="E11558" t="s">
        <v>18</v>
      </c>
    </row>
    <row r="11559" spans="1:5" x14ac:dyDescent="0.25">
      <c r="A11559" t="str">
        <f>HYPERLINK("https://www.773grp.com/globalSearch/SN75159DR/page-1", "SN75159DR")</f>
        <v>SN75159DR</v>
      </c>
      <c r="B11559" s="3" t="s">
        <v>90</v>
      </c>
      <c r="C11559" s="5">
        <v>5000</v>
      </c>
      <c r="D11559" s="6">
        <v>4.8099999999999996</v>
      </c>
      <c r="E11559" t="s">
        <v>18</v>
      </c>
    </row>
    <row r="11560" spans="1:5" x14ac:dyDescent="0.25">
      <c r="A11560" t="str">
        <f>HYPERLINK("https://www.773grp.com/globalSearch/SN75178BP/page-1", "SN75178BP")</f>
        <v>SN75178BP</v>
      </c>
      <c r="B11560" s="3" t="s">
        <v>90</v>
      </c>
      <c r="C11560" s="5">
        <v>15986</v>
      </c>
      <c r="D11560" s="6">
        <v>4.8099999999999996</v>
      </c>
      <c r="E11560" t="s">
        <v>18</v>
      </c>
    </row>
    <row r="11561" spans="1:5" x14ac:dyDescent="0.25">
      <c r="A11561" t="str">
        <f>HYPERLINK("https://www.773grp.com/globalSearch/SN75ALS174AN/page-1", "SN75ALS174AN")</f>
        <v>SN75ALS174AN</v>
      </c>
      <c r="B11561" s="3" t="s">
        <v>90</v>
      </c>
      <c r="C11561" s="5">
        <v>203</v>
      </c>
      <c r="D11561" s="6">
        <v>4.8099999999999996</v>
      </c>
      <c r="E11561" t="s">
        <v>18</v>
      </c>
    </row>
    <row r="11562" spans="1:5" x14ac:dyDescent="0.25">
      <c r="A11562" t="str">
        <f>HYPERLINK("https://www.773grp.com/globalSearch/SN75LP1185DW/page-1", "SN75LP1185DW")</f>
        <v>SN75LP1185DW</v>
      </c>
      <c r="B11562" s="3" t="s">
        <v>90</v>
      </c>
      <c r="C11562" s="5">
        <v>1523</v>
      </c>
      <c r="D11562" s="6">
        <v>4.8099999999999996</v>
      </c>
      <c r="E11562" t="s">
        <v>18</v>
      </c>
    </row>
    <row r="11563" spans="1:5" x14ac:dyDescent="0.25">
      <c r="A11563" t="str">
        <f>HYPERLINK("https://www.773grp.com/globalSearch/SN75LP196DWR/page-1", "SN75LP196DWR")</f>
        <v>SN75LP196DWR</v>
      </c>
      <c r="B11563" s="3" t="s">
        <v>90</v>
      </c>
      <c r="C11563" s="5">
        <v>2000</v>
      </c>
      <c r="D11563" s="6">
        <v>4.8099999999999996</v>
      </c>
      <c r="E11563" t="s">
        <v>18</v>
      </c>
    </row>
    <row r="11564" spans="1:5" x14ac:dyDescent="0.25">
      <c r="A11564" t="str">
        <f>HYPERLINK("https://www.773grp.com/globalSearch/SN65LBC173N/page-1", "SN65LBC173N")</f>
        <v>SN65LBC173N</v>
      </c>
      <c r="B11564" s="3" t="s">
        <v>90</v>
      </c>
      <c r="C11564" s="5">
        <v>10625</v>
      </c>
      <c r="D11564" s="6">
        <v>4.8600000000000003</v>
      </c>
      <c r="E11564" t="s">
        <v>18</v>
      </c>
    </row>
    <row r="11565" spans="1:5" x14ac:dyDescent="0.25">
      <c r="A11565" t="str">
        <f>HYPERLINK("https://www.773grp.com/globalSearch/SN65LVDS1050PWR/page-1", "SN65LVDS1050PWR")</f>
        <v>SN65LVDS1050PWR</v>
      </c>
      <c r="B11565" s="3" t="s">
        <v>90</v>
      </c>
      <c r="C11565" s="5">
        <v>23463</v>
      </c>
      <c r="D11565" s="6">
        <v>4.8600000000000003</v>
      </c>
      <c r="E11565" t="s">
        <v>18</v>
      </c>
    </row>
    <row r="11566" spans="1:5" x14ac:dyDescent="0.25">
      <c r="A11566" t="str">
        <f>HYPERLINK("https://www.773grp.com/globalSearch/SN65LVDS32BDR/page-1", "SN65LVDS32BDR")</f>
        <v>SN65LVDS32BDR</v>
      </c>
      <c r="B11566" s="3" t="s">
        <v>90</v>
      </c>
      <c r="C11566" s="5">
        <v>7500</v>
      </c>
      <c r="D11566" s="6">
        <v>4.8600000000000003</v>
      </c>
      <c r="E11566" t="s">
        <v>18</v>
      </c>
    </row>
    <row r="11567" spans="1:5" x14ac:dyDescent="0.25">
      <c r="A11567" t="str">
        <f>HYPERLINK("https://www.773grp.com/globalSearch/SN75183NS/page-1", "SN75183NS")</f>
        <v>SN75183NS</v>
      </c>
      <c r="B11567" s="3" t="s">
        <v>90</v>
      </c>
      <c r="C11567" s="5">
        <v>4500</v>
      </c>
      <c r="D11567" s="6">
        <v>4.9000000000000004</v>
      </c>
      <c r="E11567" t="s">
        <v>18</v>
      </c>
    </row>
    <row r="11568" spans="1:5" x14ac:dyDescent="0.25">
      <c r="A11568" t="str">
        <f>HYPERLINK("https://www.773grp.com/globalSearch/SN75HVD07P/page-1", "SN75HVD07P")</f>
        <v>SN75HVD07P</v>
      </c>
      <c r="B11568" s="3" t="s">
        <v>90</v>
      </c>
      <c r="C11568" s="5">
        <v>1244</v>
      </c>
      <c r="D11568" s="6">
        <v>4.9000000000000004</v>
      </c>
      <c r="E11568" t="s">
        <v>18</v>
      </c>
    </row>
    <row r="11569" spans="1:5" x14ac:dyDescent="0.25">
      <c r="A11569" t="str">
        <f>HYPERLINK("https://www.773grp.com/globalSearch/SN65C1167ENS/page-1", "SN65C1167ENS")</f>
        <v>SN65C1167ENS</v>
      </c>
      <c r="B11569" s="3" t="s">
        <v>90</v>
      </c>
      <c r="C11569" s="5">
        <v>2416</v>
      </c>
      <c r="D11569" s="6">
        <v>4.93</v>
      </c>
      <c r="E11569" t="s">
        <v>18</v>
      </c>
    </row>
    <row r="11570" spans="1:5" x14ac:dyDescent="0.25">
      <c r="A11570" t="str">
        <f>HYPERLINK("https://www.773grp.com/globalSearch/SN65C1167EPW/page-1", "SN65C1167EPW")</f>
        <v>SN65C1167EPW</v>
      </c>
      <c r="B11570" s="3" t="s">
        <v>90</v>
      </c>
      <c r="C11570" s="5">
        <v>1987</v>
      </c>
      <c r="D11570" s="6">
        <v>4.93</v>
      </c>
      <c r="E11570" t="s">
        <v>18</v>
      </c>
    </row>
    <row r="11571" spans="1:5" x14ac:dyDescent="0.25">
      <c r="A11571" t="str">
        <f>HYPERLINK("https://www.773grp.com/globalSearch/SN65HVD32D/page-1", "SN65HVD32D")</f>
        <v>SN65HVD32D</v>
      </c>
      <c r="B11571" s="3" t="s">
        <v>90</v>
      </c>
      <c r="C11571" s="5">
        <v>1</v>
      </c>
      <c r="D11571" s="6">
        <v>4.93</v>
      </c>
      <c r="E11571" t="s">
        <v>18</v>
      </c>
    </row>
    <row r="11572" spans="1:5" x14ac:dyDescent="0.25">
      <c r="A11572" t="str">
        <f>HYPERLINK("https://www.773grp.com/globalSearch/SN65LVDS303ZQER/page-1", "SN65LVDS303ZQER")</f>
        <v>SN65LVDS303ZQER</v>
      </c>
      <c r="B11572" s="3" t="s">
        <v>90</v>
      </c>
      <c r="C11572" s="5">
        <v>5000</v>
      </c>
      <c r="D11572" s="6">
        <v>4.93</v>
      </c>
      <c r="E11572" t="s">
        <v>18</v>
      </c>
    </row>
    <row r="11573" spans="1:5" x14ac:dyDescent="0.25">
      <c r="A11573" t="str">
        <f>HYPERLINK("https://www.773grp.com/globalSearch/SN65LVDS304ZQER/page-1", "SN65LVDS304ZQER")</f>
        <v>SN65LVDS304ZQER</v>
      </c>
      <c r="B11573" s="3" t="s">
        <v>90</v>
      </c>
      <c r="C11573" s="5">
        <v>12241</v>
      </c>
      <c r="D11573" s="6">
        <v>4.93</v>
      </c>
      <c r="E11573" t="s">
        <v>18</v>
      </c>
    </row>
    <row r="11574" spans="1:5" x14ac:dyDescent="0.25">
      <c r="A11574" t="str">
        <f>HYPERLINK("https://www.773grp.com/globalSearch/SN65MLVD047AD/page-1", "SN65MLVD047AD")</f>
        <v>SN65MLVD047AD</v>
      </c>
      <c r="B11574" s="3" t="s">
        <v>90</v>
      </c>
      <c r="C11574" s="5">
        <v>4425</v>
      </c>
      <c r="D11574" s="6">
        <v>4.93</v>
      </c>
      <c r="E11574" t="s">
        <v>18</v>
      </c>
    </row>
    <row r="11575" spans="1:5" x14ac:dyDescent="0.25">
      <c r="A11575" t="str">
        <f>HYPERLINK("https://www.773grp.com/globalSearch/SN65MLVD047APW/page-1", "SN65MLVD047APW")</f>
        <v>SN65MLVD047APW</v>
      </c>
      <c r="B11575" s="3" t="s">
        <v>90</v>
      </c>
      <c r="C11575" s="5">
        <v>8</v>
      </c>
      <c r="D11575" s="6">
        <v>4.93</v>
      </c>
      <c r="E11575" t="s">
        <v>18</v>
      </c>
    </row>
    <row r="11576" spans="1:5" x14ac:dyDescent="0.25">
      <c r="A11576" t="str">
        <f>HYPERLINK("https://www.773grp.com/globalSearch/SN65MLVD047D/page-1", "SN65MLVD047D")</f>
        <v>SN65MLVD047D</v>
      </c>
      <c r="B11576" s="3" t="s">
        <v>90</v>
      </c>
      <c r="C11576" s="5">
        <v>26801</v>
      </c>
      <c r="D11576" s="6">
        <v>4.93</v>
      </c>
      <c r="E11576" t="s">
        <v>18</v>
      </c>
    </row>
    <row r="11577" spans="1:5" x14ac:dyDescent="0.25">
      <c r="A11577" t="str">
        <f>HYPERLINK("https://www.773grp.com/globalSearch/SN65MLVD047PW/page-1", "SN65MLVD047PW")</f>
        <v>SN65MLVD047PW</v>
      </c>
      <c r="B11577" s="3" t="s">
        <v>90</v>
      </c>
      <c r="C11577" s="5">
        <v>7516</v>
      </c>
      <c r="D11577" s="6">
        <v>4.93</v>
      </c>
      <c r="E11577" t="s">
        <v>18</v>
      </c>
    </row>
    <row r="11578" spans="1:5" x14ac:dyDescent="0.25">
      <c r="A11578" t="str">
        <f>HYPERLINK("https://www.773grp.com/globalSearch/SN75C3243DW/page-1", "SN75C3243DW")</f>
        <v>SN75C3243DW</v>
      </c>
      <c r="B11578" s="3" t="s">
        <v>90</v>
      </c>
      <c r="C11578" s="5">
        <v>130</v>
      </c>
      <c r="D11578" s="6">
        <v>4.93</v>
      </c>
      <c r="E11578" t="s">
        <v>18</v>
      </c>
    </row>
    <row r="11579" spans="1:5" x14ac:dyDescent="0.25">
      <c r="A11579" t="str">
        <f>HYPERLINK("https://www.773grp.com/globalSearch/SN75C3243DWE4/page-1", "SN75C3243DWE4")</f>
        <v>SN75C3243DWE4</v>
      </c>
      <c r="B11579" s="3" t="s">
        <v>90</v>
      </c>
      <c r="C11579" s="5">
        <v>720</v>
      </c>
      <c r="D11579" s="6">
        <v>4.93</v>
      </c>
      <c r="E11579" t="s">
        <v>18</v>
      </c>
    </row>
    <row r="11580" spans="1:5" x14ac:dyDescent="0.25">
      <c r="A11580" t="str">
        <f>HYPERLINK("https://www.773grp.com/globalSearch/SN75C3243PW/page-1", "SN75C3243PW")</f>
        <v>SN75C3243PW</v>
      </c>
      <c r="B11580" s="3" t="s">
        <v>90</v>
      </c>
      <c r="C11580" s="5">
        <v>645</v>
      </c>
      <c r="D11580" s="6">
        <v>4.93</v>
      </c>
      <c r="E11580" t="s">
        <v>18</v>
      </c>
    </row>
    <row r="11581" spans="1:5" x14ac:dyDescent="0.25">
      <c r="A11581" t="str">
        <f>HYPERLINK("https://www.773grp.com/globalSearch/SN75C3243PWE4/page-1", "SN75C3243PWE4")</f>
        <v>SN75C3243PWE4</v>
      </c>
      <c r="B11581" s="3" t="s">
        <v>90</v>
      </c>
      <c r="C11581" s="5">
        <v>10</v>
      </c>
      <c r="D11581" s="6">
        <v>4.93</v>
      </c>
      <c r="E11581" t="s">
        <v>18</v>
      </c>
    </row>
    <row r="11582" spans="1:5" x14ac:dyDescent="0.25">
      <c r="A11582" t="str">
        <f>HYPERLINK("https://www.773grp.com/globalSearch/SN75LBC175AD/page-1", "SN75LBC175AD")</f>
        <v>SN75LBC175AD</v>
      </c>
      <c r="B11582" s="3" t="s">
        <v>90</v>
      </c>
      <c r="C11582" s="5">
        <v>357</v>
      </c>
      <c r="D11582" s="6">
        <v>4.93</v>
      </c>
      <c r="E11582" t="s">
        <v>18</v>
      </c>
    </row>
    <row r="11583" spans="1:5" x14ac:dyDescent="0.25">
      <c r="A11583" t="str">
        <f>HYPERLINK("https://www.773grp.com/globalSearch/SN75146D/page-1", "SN75146D")</f>
        <v>SN75146D</v>
      </c>
      <c r="B11583" s="3" t="s">
        <v>90</v>
      </c>
      <c r="C11583" s="5">
        <v>590</v>
      </c>
      <c r="D11583" s="6">
        <v>4.95</v>
      </c>
      <c r="E11583" t="s">
        <v>18</v>
      </c>
    </row>
    <row r="11584" spans="1:5" x14ac:dyDescent="0.25">
      <c r="A11584" t="str">
        <f>HYPERLINK("https://www.773grp.com/globalSearch/SN75207BD/page-1", "SN75207BD")</f>
        <v>SN75207BD</v>
      </c>
      <c r="B11584" s="3" t="s">
        <v>90</v>
      </c>
      <c r="C11584" s="5">
        <v>18244</v>
      </c>
      <c r="D11584" s="6">
        <v>5.03</v>
      </c>
      <c r="E11584" t="s">
        <v>18</v>
      </c>
    </row>
    <row r="11585" spans="1:5" x14ac:dyDescent="0.25">
      <c r="A11585" t="str">
        <f>HYPERLINK("https://www.773grp.com/globalSearch/SN65HVD12IDREP/page-1", "SN65HVD12IDREP")</f>
        <v>SN65HVD12IDREP</v>
      </c>
      <c r="B11585" s="3" t="s">
        <v>90</v>
      </c>
      <c r="C11585" s="5">
        <v>2420</v>
      </c>
      <c r="D11585" s="6">
        <v>5.0599999999999996</v>
      </c>
      <c r="E11585" t="s">
        <v>18</v>
      </c>
    </row>
    <row r="11586" spans="1:5" x14ac:dyDescent="0.25">
      <c r="A11586" t="str">
        <f>HYPERLINK("https://www.773grp.com/globalSearch/SN65HVD31D/page-1", "SN65HVD31D")</f>
        <v>SN65HVD31D</v>
      </c>
      <c r="B11586" s="3" t="s">
        <v>90</v>
      </c>
      <c r="C11586" s="5">
        <v>95</v>
      </c>
      <c r="D11586" s="6">
        <v>5.0599999999999996</v>
      </c>
      <c r="E11586" t="s">
        <v>18</v>
      </c>
    </row>
    <row r="11587" spans="1:5" x14ac:dyDescent="0.25">
      <c r="A11587" t="str">
        <f>HYPERLINK("https://www.773grp.com/globalSearch/SN65LBC176AP/page-1", "SN65LBC176AP")</f>
        <v>SN65LBC176AP</v>
      </c>
      <c r="B11587" s="3" t="s">
        <v>90</v>
      </c>
      <c r="C11587" s="5">
        <v>25345</v>
      </c>
      <c r="D11587" s="6">
        <v>5.0599999999999996</v>
      </c>
      <c r="E11587" t="s">
        <v>18</v>
      </c>
    </row>
    <row r="11588" spans="1:5" x14ac:dyDescent="0.25">
      <c r="A11588" t="str">
        <f>HYPERLINK("https://www.773grp.com/globalSearch/SN65LBC184P/page-1", "SN65LBC184P")</f>
        <v>SN65LBC184P</v>
      </c>
      <c r="B11588" s="3" t="s">
        <v>90</v>
      </c>
      <c r="C11588" s="5">
        <v>33636</v>
      </c>
      <c r="D11588" s="6">
        <v>5.0599999999999996</v>
      </c>
      <c r="E11588" t="s">
        <v>18</v>
      </c>
    </row>
    <row r="11589" spans="1:5" x14ac:dyDescent="0.25">
      <c r="A11589" t="str">
        <f>HYPERLINK("https://www.773grp.com/globalSearch/SN65LVDS307ZQCT/page-1", "SN65LVDS307ZQCT")</f>
        <v>SN65LVDS307ZQCT</v>
      </c>
      <c r="B11589" s="3" t="s">
        <v>90</v>
      </c>
      <c r="C11589" s="5">
        <v>2000</v>
      </c>
      <c r="D11589" s="6">
        <v>5.0599999999999996</v>
      </c>
      <c r="E11589" t="s">
        <v>18</v>
      </c>
    </row>
    <row r="11590" spans="1:5" x14ac:dyDescent="0.25">
      <c r="A11590" t="str">
        <f>HYPERLINK("https://www.773grp.com/globalSearch/SN65LVDS308ZQCT/page-1", "SN65LVDS308ZQCT")</f>
        <v>SN65LVDS308ZQCT</v>
      </c>
      <c r="B11590" s="3" t="s">
        <v>90</v>
      </c>
      <c r="C11590" s="5">
        <v>3250</v>
      </c>
      <c r="D11590" s="6">
        <v>5.0599999999999996</v>
      </c>
      <c r="E11590" t="s">
        <v>18</v>
      </c>
    </row>
    <row r="11591" spans="1:5" x14ac:dyDescent="0.25">
      <c r="A11591" t="str">
        <f>HYPERLINK("https://www.773grp.com/globalSearch/SN65LVDT33D/page-1", "SN65LVDT33D")</f>
        <v>SN65LVDT33D</v>
      </c>
      <c r="B11591" s="3" t="s">
        <v>90</v>
      </c>
      <c r="C11591" s="5">
        <v>3809</v>
      </c>
      <c r="D11591" s="6">
        <v>5.0599999999999996</v>
      </c>
      <c r="E11591" t="s">
        <v>18</v>
      </c>
    </row>
    <row r="11592" spans="1:5" x14ac:dyDescent="0.25">
      <c r="A11592" t="str">
        <f>HYPERLINK("https://www.773grp.com/globalSearch/SN65LVDT33PW/page-1", "SN65LVDT33PW")</f>
        <v>SN65LVDT33PW</v>
      </c>
      <c r="B11592" s="3" t="s">
        <v>90</v>
      </c>
      <c r="C11592" s="5">
        <v>2863</v>
      </c>
      <c r="D11592" s="6">
        <v>5.0599999999999996</v>
      </c>
      <c r="E11592" t="s">
        <v>18</v>
      </c>
    </row>
    <row r="11593" spans="1:5" x14ac:dyDescent="0.25">
      <c r="A11593" t="str">
        <f>HYPERLINK("https://www.773grp.com/globalSearch/SN75HVD05D/page-1", "SN75HVD05D")</f>
        <v>SN75HVD05D</v>
      </c>
      <c r="B11593" s="3" t="s">
        <v>90</v>
      </c>
      <c r="C11593" s="5">
        <v>146</v>
      </c>
      <c r="D11593" s="6">
        <v>5.0599999999999996</v>
      </c>
      <c r="E11593" t="s">
        <v>18</v>
      </c>
    </row>
    <row r="11594" spans="1:5" x14ac:dyDescent="0.25">
      <c r="A11594" t="str">
        <f>HYPERLINK("https://www.773grp.com/globalSearch/SN75HVD10DG4/page-1", "SN75HVD10DG4")</f>
        <v>SN75HVD10DG4</v>
      </c>
      <c r="B11594" s="3" t="s">
        <v>90</v>
      </c>
      <c r="C11594" s="5">
        <v>91</v>
      </c>
      <c r="D11594" s="6">
        <v>5.0599999999999996</v>
      </c>
      <c r="E11594" t="s">
        <v>18</v>
      </c>
    </row>
    <row r="11595" spans="1:5" x14ac:dyDescent="0.25">
      <c r="A11595" t="str">
        <f>HYPERLINK("https://www.773grp.com/globalSearch/SN75LPE185DBR/page-1", "SN75LPE185DBR")</f>
        <v>SN75LPE185DBR</v>
      </c>
      <c r="B11595" s="3" t="s">
        <v>90</v>
      </c>
      <c r="C11595" s="5">
        <v>8000</v>
      </c>
      <c r="D11595" s="6">
        <v>5.0599999999999996</v>
      </c>
      <c r="E11595" t="s">
        <v>18</v>
      </c>
    </row>
    <row r="11596" spans="1:5" x14ac:dyDescent="0.25">
      <c r="A11596" t="str">
        <f>HYPERLINK("https://www.773grp.com/globalSearch/SN75LPE185DW/page-1", "SN75LPE185DW")</f>
        <v>SN75LPE185DW</v>
      </c>
      <c r="B11596" s="3" t="s">
        <v>90</v>
      </c>
      <c r="C11596" s="5">
        <v>3225</v>
      </c>
      <c r="D11596" s="6">
        <v>5.0599999999999996</v>
      </c>
      <c r="E11596" t="s">
        <v>18</v>
      </c>
    </row>
    <row r="11597" spans="1:5" x14ac:dyDescent="0.25">
      <c r="A11597" t="str">
        <f>HYPERLINK("https://www.773grp.com/globalSearch/SN65HVD1176D/page-1", "SN65HVD1176D")</f>
        <v>SN65HVD1176D</v>
      </c>
      <c r="B11597" s="3" t="s">
        <v>90</v>
      </c>
      <c r="C11597" s="5">
        <v>9194</v>
      </c>
      <c r="D11597" s="6">
        <v>5.1100000000000003</v>
      </c>
      <c r="E11597" t="s">
        <v>18</v>
      </c>
    </row>
    <row r="11598" spans="1:5" x14ac:dyDescent="0.25">
      <c r="A11598" t="str">
        <f>HYPERLINK("https://www.773grp.com/globalSearch/SN65LBC180AD/page-1", "SN65LBC180AD")</f>
        <v>SN65LBC180AD</v>
      </c>
      <c r="B11598" s="3" t="s">
        <v>90</v>
      </c>
      <c r="C11598" s="5">
        <v>1340</v>
      </c>
      <c r="D11598" s="6">
        <v>5.1100000000000003</v>
      </c>
      <c r="E11598" t="s">
        <v>18</v>
      </c>
    </row>
    <row r="11599" spans="1:5" x14ac:dyDescent="0.25">
      <c r="A11599" t="str">
        <f>HYPERLINK("https://www.773grp.com/globalSearch/SN65LVDS050D/page-1", "SN65LVDS050D")</f>
        <v>SN65LVDS050D</v>
      </c>
      <c r="B11599" s="3" t="s">
        <v>90</v>
      </c>
      <c r="C11599" s="5">
        <v>6176</v>
      </c>
      <c r="D11599" s="6">
        <v>5.1100000000000003</v>
      </c>
      <c r="E11599" t="s">
        <v>18</v>
      </c>
    </row>
    <row r="11600" spans="1:5" x14ac:dyDescent="0.25">
      <c r="A11600" t="str">
        <f>HYPERLINK("https://www.773grp.com/globalSearch/SN65LVDS050PW/page-1", "SN65LVDS050PW")</f>
        <v>SN65LVDS050PW</v>
      </c>
      <c r="B11600" s="3" t="s">
        <v>90</v>
      </c>
      <c r="C11600" s="5">
        <v>3865</v>
      </c>
      <c r="D11600" s="6">
        <v>5.1100000000000003</v>
      </c>
      <c r="E11600" t="s">
        <v>18</v>
      </c>
    </row>
    <row r="11601" spans="1:5" x14ac:dyDescent="0.25">
      <c r="A11601" t="str">
        <f>HYPERLINK("https://www.773grp.com/globalSearch/SN65LVDS051D/page-1", "SN65LVDS051D")</f>
        <v>SN65LVDS051D</v>
      </c>
      <c r="B11601" s="3" t="s">
        <v>90</v>
      </c>
      <c r="C11601" s="5">
        <v>15891</v>
      </c>
      <c r="D11601" s="6">
        <v>5.1100000000000003</v>
      </c>
      <c r="E11601" t="s">
        <v>18</v>
      </c>
    </row>
    <row r="11602" spans="1:5" x14ac:dyDescent="0.25">
      <c r="A11602" t="str">
        <f>HYPERLINK("https://www.773grp.com/globalSearch/SN65LVDS051PW/page-1", "SN65LVDS051PW")</f>
        <v>SN65LVDS051PW</v>
      </c>
      <c r="B11602" s="3" t="s">
        <v>90</v>
      </c>
      <c r="C11602" s="5">
        <v>213</v>
      </c>
      <c r="D11602" s="6">
        <v>5.1100000000000003</v>
      </c>
      <c r="E11602" t="s">
        <v>18</v>
      </c>
    </row>
    <row r="11603" spans="1:5" x14ac:dyDescent="0.25">
      <c r="A11603" t="str">
        <f>HYPERLINK("https://www.773grp.com/globalSearch/SN65HVD06D/page-1", "SN65HVD06D")</f>
        <v>SN65HVD06D</v>
      </c>
      <c r="B11603" s="3" t="s">
        <v>90</v>
      </c>
      <c r="C11603" s="5">
        <v>354</v>
      </c>
      <c r="D11603" s="6">
        <v>5.2</v>
      </c>
      <c r="E11603" t="s">
        <v>18</v>
      </c>
    </row>
    <row r="11604" spans="1:5" x14ac:dyDescent="0.25">
      <c r="A11604" t="str">
        <f>HYPERLINK("https://www.773grp.com/globalSearch/TSB41AB2PAPR/page-1", "TSB41AB2PAPR")</f>
        <v>TSB41AB2PAPR</v>
      </c>
      <c r="B11604" s="3" t="s">
        <v>90</v>
      </c>
      <c r="C11604" s="5">
        <v>3000</v>
      </c>
      <c r="D11604" s="6">
        <v>5.2</v>
      </c>
      <c r="E11604" t="s">
        <v>18</v>
      </c>
    </row>
    <row r="11605" spans="1:5" x14ac:dyDescent="0.25">
      <c r="A11605" t="str">
        <f>HYPERLINK("https://www.773grp.com/globalSearch/MAX3386EIDWR/page-1", "MAX3386EIDWR")</f>
        <v>MAX3386EIDWR</v>
      </c>
      <c r="B11605" s="3" t="s">
        <v>90</v>
      </c>
      <c r="C11605" s="5">
        <v>4000</v>
      </c>
      <c r="D11605" s="6">
        <v>5.24</v>
      </c>
      <c r="E11605" t="s">
        <v>18</v>
      </c>
    </row>
    <row r="11606" spans="1:5" x14ac:dyDescent="0.25">
      <c r="A11606" t="str">
        <f>HYPERLINK("https://www.773grp.com/globalSearch/MAX3386EIPWR/page-1", "MAX3386EIPWR")</f>
        <v>MAX3386EIPWR</v>
      </c>
      <c r="B11606" s="3" t="s">
        <v>90</v>
      </c>
      <c r="C11606" s="5">
        <v>2000</v>
      </c>
      <c r="D11606" s="6">
        <v>5.24</v>
      </c>
      <c r="E11606" t="s">
        <v>18</v>
      </c>
    </row>
    <row r="11607" spans="1:5" x14ac:dyDescent="0.25">
      <c r="A11607" t="str">
        <f>HYPERLINK("https://www.773grp.com/globalSearch/SN65C1167DBR/page-1", "SN65C1167DBR")</f>
        <v>SN65C1167DBR</v>
      </c>
      <c r="B11607" s="3" t="s">
        <v>90</v>
      </c>
      <c r="C11607" s="5">
        <v>15830</v>
      </c>
      <c r="D11607" s="6">
        <v>5.24</v>
      </c>
      <c r="E11607" t="s">
        <v>18</v>
      </c>
    </row>
    <row r="11608" spans="1:5" x14ac:dyDescent="0.25">
      <c r="A11608" t="str">
        <f>HYPERLINK("https://www.773grp.com/globalSearch/SN74LVCE161284DL/page-1", "SN74LVCE161284DL")</f>
        <v>SN74LVCE161284DL</v>
      </c>
      <c r="B11608" s="3" t="s">
        <v>90</v>
      </c>
      <c r="C11608" s="5">
        <v>3350</v>
      </c>
      <c r="D11608" s="6">
        <v>5.24</v>
      </c>
      <c r="E11608" t="s">
        <v>18</v>
      </c>
    </row>
    <row r="11609" spans="1:5" x14ac:dyDescent="0.25">
      <c r="A11609" t="str">
        <f>HYPERLINK("https://www.773grp.com/globalSearch/SN75ALS174ADW/page-1", "SN75ALS174ADW")</f>
        <v>SN75ALS174ADW</v>
      </c>
      <c r="B11609" s="3" t="s">
        <v>90</v>
      </c>
      <c r="C11609" s="5">
        <v>673</v>
      </c>
      <c r="D11609" s="6">
        <v>5.24</v>
      </c>
      <c r="E11609" t="s">
        <v>18</v>
      </c>
    </row>
    <row r="11610" spans="1:5" x14ac:dyDescent="0.25">
      <c r="A11610" t="str">
        <f>HYPERLINK("https://www.773grp.com/globalSearch/SN65LVDM050D/page-1", "SN65LVDM050D")</f>
        <v>SN65LVDM050D</v>
      </c>
      <c r="B11610" s="3" t="s">
        <v>90</v>
      </c>
      <c r="C11610" s="5">
        <v>6158</v>
      </c>
      <c r="D11610" s="6">
        <v>5.29</v>
      </c>
      <c r="E11610" t="s">
        <v>18</v>
      </c>
    </row>
    <row r="11611" spans="1:5" x14ac:dyDescent="0.25">
      <c r="A11611" t="str">
        <f>HYPERLINK("https://www.773grp.com/globalSearch/SN65LVDM050PW/page-1", "SN65LVDM050PW")</f>
        <v>SN65LVDM050PW</v>
      </c>
      <c r="B11611" s="3" t="s">
        <v>90</v>
      </c>
      <c r="C11611" s="5">
        <v>628</v>
      </c>
      <c r="D11611" s="6">
        <v>5.29</v>
      </c>
      <c r="E11611" t="s">
        <v>18</v>
      </c>
    </row>
    <row r="11612" spans="1:5" x14ac:dyDescent="0.25">
      <c r="A11612" t="str">
        <f>HYPERLINK("https://www.773grp.com/globalSearch/SN65LVDM050QDG4Q1/page-1", "SN65LVDM050QDG4Q1")</f>
        <v>SN65LVDM050QDG4Q1</v>
      </c>
      <c r="B11612" s="3" t="s">
        <v>90</v>
      </c>
      <c r="C11612" s="5">
        <v>16514</v>
      </c>
      <c r="D11612" s="6">
        <v>5.29</v>
      </c>
      <c r="E11612" t="s">
        <v>18</v>
      </c>
    </row>
    <row r="11613" spans="1:5" x14ac:dyDescent="0.25">
      <c r="A11613" t="str">
        <f>HYPERLINK("https://www.773grp.com/globalSearch/SN65LVDM050QDQ1/page-1", "SN65LVDM050QDQ1")</f>
        <v>SN65LVDM050QDQ1</v>
      </c>
      <c r="B11613" s="3" t="s">
        <v>90</v>
      </c>
      <c r="C11613" s="5">
        <v>70900</v>
      </c>
      <c r="D11613" s="6">
        <v>5.29</v>
      </c>
      <c r="E11613" t="s">
        <v>18</v>
      </c>
    </row>
    <row r="11614" spans="1:5" x14ac:dyDescent="0.25">
      <c r="A11614" t="str">
        <f>HYPERLINK("https://www.773grp.com/globalSearch/SN65LVDM050QDRQ1/page-1", "SN65LVDM050QDRQ1")</f>
        <v>SN65LVDM050QDRQ1</v>
      </c>
      <c r="B11614" s="3" t="s">
        <v>90</v>
      </c>
      <c r="C11614" s="5">
        <v>10000</v>
      </c>
      <c r="D11614" s="6">
        <v>5.29</v>
      </c>
      <c r="E11614" t="s">
        <v>18</v>
      </c>
    </row>
    <row r="11615" spans="1:5" x14ac:dyDescent="0.25">
      <c r="A11615" t="str">
        <f>HYPERLINK("https://www.773grp.com/globalSearch/SN65LVDM051D/page-1", "SN65LVDM051D")</f>
        <v>SN65LVDM051D</v>
      </c>
      <c r="B11615" s="3" t="s">
        <v>90</v>
      </c>
      <c r="C11615" s="5">
        <v>1013</v>
      </c>
      <c r="D11615" s="6">
        <v>5.29</v>
      </c>
      <c r="E11615" t="s">
        <v>18</v>
      </c>
    </row>
    <row r="11616" spans="1:5" x14ac:dyDescent="0.25">
      <c r="A11616" t="str">
        <f>HYPERLINK("https://www.773grp.com/globalSearch/SN65LVDM051PW/page-1", "SN65LVDM051PW")</f>
        <v>SN65LVDM051PW</v>
      </c>
      <c r="B11616" s="3" t="s">
        <v>90</v>
      </c>
      <c r="C11616" s="5">
        <v>3819</v>
      </c>
      <c r="D11616" s="6">
        <v>5.29</v>
      </c>
      <c r="E11616" t="s">
        <v>18</v>
      </c>
    </row>
    <row r="11617" spans="1:5" x14ac:dyDescent="0.25">
      <c r="A11617" t="str">
        <f>HYPERLINK("https://www.773grp.com/globalSearch/SN65LVDM051QDG4Q1/page-1", "SN65LVDM051QDG4Q1")</f>
        <v>SN65LVDM051QDG4Q1</v>
      </c>
      <c r="B11617" s="3" t="s">
        <v>90</v>
      </c>
      <c r="C11617" s="5">
        <v>13360</v>
      </c>
      <c r="D11617" s="6">
        <v>5.29</v>
      </c>
      <c r="E11617" t="s">
        <v>18</v>
      </c>
    </row>
    <row r="11618" spans="1:5" x14ac:dyDescent="0.25">
      <c r="A11618" t="str">
        <f>HYPERLINK("https://www.773grp.com/globalSearch/SN65LVDM051QDRQ1/page-1", "SN65LVDM051QDRQ1")</f>
        <v>SN65LVDM051QDRQ1</v>
      </c>
      <c r="B11618" s="3" t="s">
        <v>90</v>
      </c>
      <c r="C11618" s="5">
        <v>20000</v>
      </c>
      <c r="D11618" s="6">
        <v>5.29</v>
      </c>
      <c r="E11618" t="s">
        <v>18</v>
      </c>
    </row>
    <row r="11619" spans="1:5" x14ac:dyDescent="0.25">
      <c r="A11619" t="str">
        <f>HYPERLINK("https://www.773grp.com/globalSearch/SN65LVDM176D/page-1", "SN65LVDM176D")</f>
        <v>SN65LVDM176D</v>
      </c>
      <c r="B11619" s="3" t="s">
        <v>90</v>
      </c>
      <c r="C11619" s="5">
        <v>525</v>
      </c>
      <c r="D11619" s="6">
        <v>5.29</v>
      </c>
      <c r="E11619" t="s">
        <v>18</v>
      </c>
    </row>
    <row r="11620" spans="1:5" x14ac:dyDescent="0.25">
      <c r="A11620" t="str">
        <f>HYPERLINK("https://www.773grp.com/globalSearch/SN65LVDM31D/page-1", "SN65LVDM31D")</f>
        <v>SN65LVDM31D</v>
      </c>
      <c r="B11620" s="3" t="s">
        <v>90</v>
      </c>
      <c r="C11620" s="5">
        <v>1759</v>
      </c>
      <c r="D11620" s="6">
        <v>5.29</v>
      </c>
      <c r="E11620" t="s">
        <v>18</v>
      </c>
    </row>
    <row r="11621" spans="1:5" x14ac:dyDescent="0.25">
      <c r="A11621" t="str">
        <f>HYPERLINK("https://www.773grp.com/globalSearch/SN65LVDM31DG4/page-1", "SN65LVDM31DG4")</f>
        <v>SN65LVDM31DG4</v>
      </c>
      <c r="B11621" s="3" t="s">
        <v>90</v>
      </c>
      <c r="C11621" s="5">
        <v>325</v>
      </c>
      <c r="D11621" s="6">
        <v>5.29</v>
      </c>
      <c r="E11621" t="s">
        <v>18</v>
      </c>
    </row>
    <row r="11622" spans="1:5" x14ac:dyDescent="0.25">
      <c r="A11622" t="str">
        <f>HYPERLINK("https://www.773grp.com/globalSearch/SN65LVDS047D/page-1", "SN65LVDS047D")</f>
        <v>SN65LVDS047D</v>
      </c>
      <c r="B11622" s="3" t="s">
        <v>90</v>
      </c>
      <c r="C11622" s="5">
        <v>6528</v>
      </c>
      <c r="D11622" s="6">
        <v>5.29</v>
      </c>
      <c r="E11622" t="s">
        <v>18</v>
      </c>
    </row>
    <row r="11623" spans="1:5" x14ac:dyDescent="0.25">
      <c r="A11623" t="str">
        <f>HYPERLINK("https://www.773grp.com/globalSearch/SN65LVDS047DG4/page-1", "SN65LVDS047DG4")</f>
        <v>SN65LVDS047DG4</v>
      </c>
      <c r="B11623" s="3" t="s">
        <v>90</v>
      </c>
      <c r="C11623" s="5">
        <v>960</v>
      </c>
      <c r="D11623" s="6">
        <v>5.29</v>
      </c>
      <c r="E11623" t="s">
        <v>18</v>
      </c>
    </row>
    <row r="11624" spans="1:5" x14ac:dyDescent="0.25">
      <c r="A11624" t="str">
        <f>HYPERLINK("https://www.773grp.com/globalSearch/SN75LBC173AD/page-1", "SN75LBC173AD")</f>
        <v>SN75LBC173AD</v>
      </c>
      <c r="B11624" s="3" t="s">
        <v>90</v>
      </c>
      <c r="C11624" s="5">
        <v>612</v>
      </c>
      <c r="D11624" s="6">
        <v>5.29</v>
      </c>
      <c r="E11624" t="s">
        <v>18</v>
      </c>
    </row>
    <row r="11625" spans="1:5" x14ac:dyDescent="0.25">
      <c r="A11625" t="str">
        <f>HYPERLINK("https://www.773grp.com/globalSearch/SN65LBC175AD/page-1", "SN65LBC175AD")</f>
        <v>SN65LBC175AD</v>
      </c>
      <c r="B11625" s="3" t="s">
        <v>90</v>
      </c>
      <c r="C11625" s="5">
        <v>4636</v>
      </c>
      <c r="D11625" s="6">
        <v>5.31</v>
      </c>
      <c r="E11625" t="s">
        <v>18</v>
      </c>
    </row>
    <row r="11626" spans="1:5" x14ac:dyDescent="0.25">
      <c r="A11626" t="str">
        <f>HYPERLINK("https://www.773grp.com/globalSearch/SN75LBC180AN/page-1", "SN75LBC180AN")</f>
        <v>SN75LBC180AN</v>
      </c>
      <c r="B11626" s="3" t="s">
        <v>90</v>
      </c>
      <c r="C11626" s="5">
        <v>27</v>
      </c>
      <c r="D11626" s="6">
        <v>5.31</v>
      </c>
      <c r="E11626" t="s">
        <v>18</v>
      </c>
    </row>
    <row r="11627" spans="1:5" x14ac:dyDescent="0.25">
      <c r="A11627" t="str">
        <f>HYPERLINK("https://www.773grp.com/globalSearch/P82B96D/page-1", "P82B96D")</f>
        <v>P82B96D</v>
      </c>
      <c r="B11627" s="3" t="s">
        <v>90</v>
      </c>
      <c r="C11627" s="5">
        <v>5818</v>
      </c>
      <c r="D11627" s="6">
        <v>5.35</v>
      </c>
      <c r="E11627" t="s">
        <v>18</v>
      </c>
    </row>
    <row r="11628" spans="1:5" x14ac:dyDescent="0.25">
      <c r="A11628" t="str">
        <f>HYPERLINK("https://www.773grp.com/globalSearch/SN65HVD11P/page-1", "SN65HVD11P")</f>
        <v>SN65HVD11P</v>
      </c>
      <c r="B11628" s="3" t="s">
        <v>90</v>
      </c>
      <c r="C11628" s="5">
        <v>42</v>
      </c>
      <c r="D11628" s="6">
        <v>5.35</v>
      </c>
      <c r="E11628" t="s">
        <v>18</v>
      </c>
    </row>
    <row r="11629" spans="1:5" x14ac:dyDescent="0.25">
      <c r="A11629" t="str">
        <f>HYPERLINK("https://www.773grp.com/globalSearch/SN65HVD12P/page-1", "SN65HVD12P")</f>
        <v>SN65HVD12P</v>
      </c>
      <c r="B11629" s="3" t="s">
        <v>90</v>
      </c>
      <c r="C11629" s="5">
        <v>3610</v>
      </c>
      <c r="D11629" s="6">
        <v>5.35</v>
      </c>
      <c r="E11629" t="s">
        <v>18</v>
      </c>
    </row>
    <row r="11630" spans="1:5" x14ac:dyDescent="0.25">
      <c r="A11630" t="str">
        <f>HYPERLINK("https://www.773grp.com/globalSearch/SN65HVD20P/page-1", "SN65HVD20P")</f>
        <v>SN65HVD20P</v>
      </c>
      <c r="B11630" s="3" t="s">
        <v>90</v>
      </c>
      <c r="C11630" s="5">
        <v>2850</v>
      </c>
      <c r="D11630" s="6">
        <v>5.35</v>
      </c>
      <c r="E11630" t="s">
        <v>18</v>
      </c>
    </row>
    <row r="11631" spans="1:5" x14ac:dyDescent="0.25">
      <c r="A11631" t="str">
        <f>HYPERLINK("https://www.773grp.com/globalSearch/SN65HVD21P/page-1", "SN65HVD21P")</f>
        <v>SN65HVD21P</v>
      </c>
      <c r="B11631" s="3" t="s">
        <v>90</v>
      </c>
      <c r="C11631" s="5">
        <v>1818</v>
      </c>
      <c r="D11631" s="6">
        <v>5.35</v>
      </c>
      <c r="E11631" t="s">
        <v>18</v>
      </c>
    </row>
    <row r="11632" spans="1:5" x14ac:dyDescent="0.25">
      <c r="A11632" t="str">
        <f>HYPERLINK("https://www.773grp.com/globalSearch/SN65HVD22P/page-1", "SN65HVD22P")</f>
        <v>SN65HVD22P</v>
      </c>
      <c r="B11632" s="3" t="s">
        <v>90</v>
      </c>
      <c r="C11632" s="5">
        <v>3946</v>
      </c>
      <c r="D11632" s="6">
        <v>5.35</v>
      </c>
      <c r="E11632" t="s">
        <v>18</v>
      </c>
    </row>
    <row r="11633" spans="1:5" x14ac:dyDescent="0.25">
      <c r="A11633" t="str">
        <f>HYPERLINK("https://www.773grp.com/globalSearch/SN65HVD33D/page-1", "SN65HVD33D")</f>
        <v>SN65HVD33D</v>
      </c>
      <c r="B11633" s="3" t="s">
        <v>90</v>
      </c>
      <c r="C11633" s="5">
        <v>50</v>
      </c>
      <c r="D11633" s="6">
        <v>5.35</v>
      </c>
      <c r="E11633" t="s">
        <v>18</v>
      </c>
    </row>
    <row r="11634" spans="1:5" x14ac:dyDescent="0.25">
      <c r="A11634" t="str">
        <f>HYPERLINK("https://www.773grp.com/globalSearch/SN65LVDS101DGKR/page-1", "SN65LVDS101DGKR")</f>
        <v>SN65LVDS101DGKR</v>
      </c>
      <c r="B11634" s="3" t="s">
        <v>90</v>
      </c>
      <c r="C11634" s="5">
        <v>4882</v>
      </c>
      <c r="D11634" s="6">
        <v>5.35</v>
      </c>
      <c r="E11634" t="s">
        <v>18</v>
      </c>
    </row>
    <row r="11635" spans="1:5" x14ac:dyDescent="0.25">
      <c r="A11635" t="str">
        <f>HYPERLINK("https://www.773grp.com/globalSearch/SN65LVDS101DR/page-1", "SN65LVDS101DR")</f>
        <v>SN65LVDS101DR</v>
      </c>
      <c r="B11635" s="3" t="s">
        <v>90</v>
      </c>
      <c r="C11635" s="5">
        <v>2500</v>
      </c>
      <c r="D11635" s="6">
        <v>5.35</v>
      </c>
      <c r="E11635" t="s">
        <v>18</v>
      </c>
    </row>
    <row r="11636" spans="1:5" x14ac:dyDescent="0.25">
      <c r="A11636" t="str">
        <f>HYPERLINK("https://www.773grp.com/globalSearch/SN75DP128RTQT/page-1", "SN75DP128RTQT")</f>
        <v>SN75DP128RTQT</v>
      </c>
      <c r="B11636" s="3" t="s">
        <v>90</v>
      </c>
      <c r="C11636" s="5">
        <v>795</v>
      </c>
      <c r="D11636" s="6">
        <v>5.35</v>
      </c>
      <c r="E11636" t="s">
        <v>18</v>
      </c>
    </row>
    <row r="11637" spans="1:5" x14ac:dyDescent="0.25">
      <c r="A11637" t="str">
        <f>HYPERLINK("https://www.773grp.com/globalSearch/SN75HVD06P/page-1", "SN75HVD06P")</f>
        <v>SN75HVD06P</v>
      </c>
      <c r="B11637" s="3" t="s">
        <v>90</v>
      </c>
      <c r="C11637" s="5">
        <v>2269</v>
      </c>
      <c r="D11637" s="6">
        <v>5.35</v>
      </c>
      <c r="E11637" t="s">
        <v>18</v>
      </c>
    </row>
    <row r="11638" spans="1:5" x14ac:dyDescent="0.25">
      <c r="A11638" t="str">
        <f>HYPERLINK("https://www.773grp.com/globalSearch/SN75HVD12P/page-1", "SN75HVD12P")</f>
        <v>SN75HVD12P</v>
      </c>
      <c r="B11638" s="3" t="s">
        <v>90</v>
      </c>
      <c r="C11638" s="5">
        <v>225</v>
      </c>
      <c r="D11638" s="6">
        <v>5.35</v>
      </c>
      <c r="E11638" t="s">
        <v>18</v>
      </c>
    </row>
    <row r="11639" spans="1:5" x14ac:dyDescent="0.25">
      <c r="A11639" t="str">
        <f>HYPERLINK("https://www.773grp.com/globalSearch/SN75LP196DBR/page-1", "SN75LP196DBR")</f>
        <v>SN75LP196DBR</v>
      </c>
      <c r="B11639" s="3" t="s">
        <v>90</v>
      </c>
      <c r="C11639" s="5">
        <v>283</v>
      </c>
      <c r="D11639" s="6">
        <v>5.44</v>
      </c>
      <c r="E11639" t="s">
        <v>18</v>
      </c>
    </row>
    <row r="11640" spans="1:5" x14ac:dyDescent="0.25">
      <c r="A11640" t="str">
        <f>HYPERLINK("https://www.773grp.com/globalSearch/SN65HVD08D/page-1", "SN65HVD08D")</f>
        <v>SN65HVD08D</v>
      </c>
      <c r="B11640" s="3" t="s">
        <v>90</v>
      </c>
      <c r="C11640" s="5">
        <v>2028</v>
      </c>
      <c r="D11640" s="6">
        <v>5.49</v>
      </c>
      <c r="E11640" t="s">
        <v>18</v>
      </c>
    </row>
    <row r="11641" spans="1:5" x14ac:dyDescent="0.25">
      <c r="A11641" t="str">
        <f>HYPERLINK("https://www.773grp.com/globalSearch/SN65LVDS315RGET/page-1", "SN65LVDS315RGET")</f>
        <v>SN65LVDS315RGET</v>
      </c>
      <c r="B11641" s="3" t="s">
        <v>90</v>
      </c>
      <c r="C11641" s="5">
        <v>3725</v>
      </c>
      <c r="D11641" s="6">
        <v>5.49</v>
      </c>
      <c r="E11641" t="s">
        <v>18</v>
      </c>
    </row>
    <row r="11642" spans="1:5" x14ac:dyDescent="0.25">
      <c r="A11642" t="str">
        <f>HYPERLINK("https://www.773grp.com/globalSearch/SN65LVDS348D/page-1", "SN65LVDS348D")</f>
        <v>SN65LVDS348D</v>
      </c>
      <c r="B11642" s="3" t="s">
        <v>90</v>
      </c>
      <c r="C11642" s="5">
        <v>761</v>
      </c>
      <c r="D11642" s="6">
        <v>5.49</v>
      </c>
      <c r="E11642" t="s">
        <v>18</v>
      </c>
    </row>
    <row r="11643" spans="1:5" x14ac:dyDescent="0.25">
      <c r="A11643" t="str">
        <f>HYPERLINK("https://www.773grp.com/globalSearch/SN65LVDS348PW/page-1", "SN65LVDS348PW")</f>
        <v>SN65LVDS348PW</v>
      </c>
      <c r="B11643" s="3" t="s">
        <v>90</v>
      </c>
      <c r="C11643" s="5">
        <v>2026</v>
      </c>
      <c r="D11643" s="6">
        <v>5.49</v>
      </c>
      <c r="E11643" t="s">
        <v>18</v>
      </c>
    </row>
    <row r="11644" spans="1:5" x14ac:dyDescent="0.25">
      <c r="A11644" t="str">
        <f>HYPERLINK("https://www.773grp.com/globalSearch/SN65LVDS348PWG4/page-1", "SN65LVDS348PWG4")</f>
        <v>SN65LVDS348PWG4</v>
      </c>
      <c r="B11644" s="3" t="s">
        <v>90</v>
      </c>
      <c r="C11644" s="5">
        <v>810</v>
      </c>
      <c r="D11644" s="6">
        <v>5.49</v>
      </c>
      <c r="E11644" t="s">
        <v>18</v>
      </c>
    </row>
    <row r="11645" spans="1:5" x14ac:dyDescent="0.25">
      <c r="A11645" t="str">
        <f>HYPERLINK("https://www.773grp.com/globalSearch/SN65MLVD200D/page-1", "SN65MLVD200D")</f>
        <v>SN65MLVD200D</v>
      </c>
      <c r="B11645" s="3" t="s">
        <v>90</v>
      </c>
      <c r="C11645" s="5">
        <v>3700</v>
      </c>
      <c r="D11645" s="6">
        <v>5.49</v>
      </c>
      <c r="E11645" t="s">
        <v>18</v>
      </c>
    </row>
    <row r="11646" spans="1:5" x14ac:dyDescent="0.25">
      <c r="A11646" t="str">
        <f>HYPERLINK("https://www.773grp.com/globalSearch/SN65MLVD202D/page-1", "SN65MLVD202D")</f>
        <v>SN65MLVD202D</v>
      </c>
      <c r="B11646" s="3" t="s">
        <v>90</v>
      </c>
      <c r="C11646" s="5">
        <v>14107</v>
      </c>
      <c r="D11646" s="6">
        <v>5.49</v>
      </c>
      <c r="E11646" t="s">
        <v>18</v>
      </c>
    </row>
    <row r="11647" spans="1:5" x14ac:dyDescent="0.25">
      <c r="A11647" t="str">
        <f>HYPERLINK("https://www.773grp.com/globalSearch/SN65MLVD204D/page-1", "SN65MLVD204D")</f>
        <v>SN65MLVD204D</v>
      </c>
      <c r="B11647" s="3" t="s">
        <v>90</v>
      </c>
      <c r="C11647" s="5">
        <v>14015</v>
      </c>
      <c r="D11647" s="6">
        <v>5.49</v>
      </c>
      <c r="E11647" t="s">
        <v>18</v>
      </c>
    </row>
    <row r="11648" spans="1:5" x14ac:dyDescent="0.25">
      <c r="A11648" t="str">
        <f>HYPERLINK("https://www.773grp.com/globalSearch/SN65MLVD205D/page-1", "SN65MLVD205D")</f>
        <v>SN65MLVD205D</v>
      </c>
      <c r="B11648" s="3" t="s">
        <v>90</v>
      </c>
      <c r="C11648" s="5">
        <v>12694</v>
      </c>
      <c r="D11648" s="6">
        <v>5.49</v>
      </c>
      <c r="E11648" t="s">
        <v>18</v>
      </c>
    </row>
    <row r="11649" spans="1:5" x14ac:dyDescent="0.25">
      <c r="A11649" t="str">
        <f>HYPERLINK("https://www.773grp.com/globalSearch/SN75LBC175AN/page-1", "SN75LBC175AN")</f>
        <v>SN75LBC175AN</v>
      </c>
      <c r="B11649" s="3" t="s">
        <v>90</v>
      </c>
      <c r="C11649" s="5">
        <v>8797</v>
      </c>
      <c r="D11649" s="6">
        <v>5.51</v>
      </c>
      <c r="E11649" t="s">
        <v>18</v>
      </c>
    </row>
    <row r="11650" spans="1:5" x14ac:dyDescent="0.25">
      <c r="A11650" t="str">
        <f>HYPERLINK("https://www.773grp.com/globalSearch/AM26S11CD/page-1", "AM26S11CD")</f>
        <v>AM26S11CD</v>
      </c>
      <c r="B11650" s="3" t="s">
        <v>90</v>
      </c>
      <c r="C11650" s="5">
        <v>705</v>
      </c>
      <c r="D11650" s="6">
        <v>5.63</v>
      </c>
      <c r="E11650" t="s">
        <v>18</v>
      </c>
    </row>
    <row r="11651" spans="1:5" x14ac:dyDescent="0.25">
      <c r="A11651" t="str">
        <f>HYPERLINK("https://www.773grp.com/globalSearch/SN65HVD179DR/page-1", "SN65HVD179DR")</f>
        <v>SN65HVD179DR</v>
      </c>
      <c r="B11651" s="3" t="s">
        <v>90</v>
      </c>
      <c r="C11651" s="5">
        <v>2416</v>
      </c>
      <c r="D11651" s="6">
        <v>5.63</v>
      </c>
      <c r="E11651" t="s">
        <v>18</v>
      </c>
    </row>
    <row r="11652" spans="1:5" x14ac:dyDescent="0.25">
      <c r="A11652" t="str">
        <f>HYPERLINK("https://www.773grp.com/globalSearch/SN65HVS882PWPR/page-1", "SN65HVS882PWPR")</f>
        <v>SN65HVS882PWPR</v>
      </c>
      <c r="B11652" s="3" t="s">
        <v>90</v>
      </c>
      <c r="C11652" s="5">
        <v>9702</v>
      </c>
      <c r="D11652" s="6">
        <v>5.63</v>
      </c>
      <c r="E11652" t="s">
        <v>18</v>
      </c>
    </row>
    <row r="11653" spans="1:5" x14ac:dyDescent="0.25">
      <c r="A11653" t="str">
        <f>HYPERLINK("https://www.773grp.com/globalSearch/SN75158PSLE/page-1", "SN75158PSLE")</f>
        <v>SN75158PSLE</v>
      </c>
      <c r="B11653" s="3" t="s">
        <v>90</v>
      </c>
      <c r="C11653" s="5">
        <v>4900</v>
      </c>
      <c r="D11653" s="6">
        <v>5.63</v>
      </c>
      <c r="E11653" t="s">
        <v>18</v>
      </c>
    </row>
    <row r="11654" spans="1:5" x14ac:dyDescent="0.25">
      <c r="A11654" t="str">
        <f>HYPERLINK("https://www.773grp.com/globalSearch/SN75207BN/page-1", "SN75207BN")</f>
        <v>SN75207BN</v>
      </c>
      <c r="B11654" s="3" t="s">
        <v>90</v>
      </c>
      <c r="C11654" s="5">
        <v>40375</v>
      </c>
      <c r="D11654" s="6">
        <v>5.63</v>
      </c>
      <c r="E11654" t="s">
        <v>18</v>
      </c>
    </row>
    <row r="11655" spans="1:5" x14ac:dyDescent="0.25">
      <c r="A11655" t="str">
        <f>HYPERLINK("https://www.773grp.com/globalSearch/SN75LBC777DW/page-1", "SN75LBC777DW")</f>
        <v>SN75LBC777DW</v>
      </c>
      <c r="B11655" s="3" t="s">
        <v>90</v>
      </c>
      <c r="C11655" s="5">
        <v>7875</v>
      </c>
      <c r="D11655" s="6">
        <v>5.63</v>
      </c>
      <c r="E11655" t="s">
        <v>18</v>
      </c>
    </row>
    <row r="11656" spans="1:5" x14ac:dyDescent="0.25">
      <c r="A11656" t="str">
        <f>HYPERLINK("https://www.773grp.com/globalSearch/SN75LVDS389DBTRG4/page-1", "SN75LVDS389DBTRG4")</f>
        <v>SN75LVDS389DBTRG4</v>
      </c>
      <c r="B11656" s="3" t="s">
        <v>90</v>
      </c>
      <c r="C11656" s="5">
        <v>1928</v>
      </c>
      <c r="D11656" s="6">
        <v>5.63</v>
      </c>
      <c r="E11656" t="s">
        <v>18</v>
      </c>
    </row>
    <row r="11657" spans="1:5" x14ac:dyDescent="0.25">
      <c r="A11657" t="str">
        <f>HYPERLINK("https://www.773grp.com/globalSearch/SN75ALS053FN/page-1", "SN75ALS053FN")</f>
        <v>SN75ALS053FN</v>
      </c>
      <c r="B11657" s="3" t="s">
        <v>90</v>
      </c>
      <c r="C11657" s="5">
        <v>1774</v>
      </c>
      <c r="D11657" s="6">
        <v>5.69</v>
      </c>
      <c r="E11657" t="s">
        <v>18</v>
      </c>
    </row>
    <row r="11658" spans="1:5" x14ac:dyDescent="0.25">
      <c r="A11658" t="str">
        <f>HYPERLINK("https://www.773grp.com/globalSearch/SN75ALS053FNR/page-1", "SN75ALS053FNR")</f>
        <v>SN75ALS053FNR</v>
      </c>
      <c r="B11658" s="3" t="s">
        <v>90</v>
      </c>
      <c r="C11658" s="5">
        <v>4000</v>
      </c>
      <c r="D11658" s="6">
        <v>5.69</v>
      </c>
      <c r="E11658" t="s">
        <v>18</v>
      </c>
    </row>
    <row r="11659" spans="1:5" x14ac:dyDescent="0.25">
      <c r="A11659" t="str">
        <f>HYPERLINK("https://www.773grp.com/globalSearch/SN65HVD10P/page-1", "SN65HVD10P")</f>
        <v>SN65HVD10P</v>
      </c>
      <c r="B11659" s="3" t="s">
        <v>90</v>
      </c>
      <c r="C11659" s="5">
        <v>1376</v>
      </c>
      <c r="D11659" s="6">
        <v>5.7</v>
      </c>
      <c r="E11659" t="s">
        <v>18</v>
      </c>
    </row>
    <row r="11660" spans="1:5" x14ac:dyDescent="0.25">
      <c r="A11660" t="str">
        <f>HYPERLINK("https://www.773grp.com/globalSearch/SN65LBC173AD/page-1", "SN65LBC173AD")</f>
        <v>SN65LBC173AD</v>
      </c>
      <c r="B11660" s="3" t="s">
        <v>90</v>
      </c>
      <c r="C11660" s="5">
        <v>3623</v>
      </c>
      <c r="D11660" s="6">
        <v>5.7</v>
      </c>
      <c r="E11660" t="s">
        <v>18</v>
      </c>
    </row>
    <row r="11661" spans="1:5" x14ac:dyDescent="0.25">
      <c r="A11661" t="str">
        <f>HYPERLINK("https://www.773grp.com/globalSearch/SN65LBC180AN/page-1", "SN65LBC180AN")</f>
        <v>SN65LBC180AN</v>
      </c>
      <c r="B11661" s="3" t="s">
        <v>90</v>
      </c>
      <c r="C11661" s="5">
        <v>3698</v>
      </c>
      <c r="D11661" s="6">
        <v>5.7</v>
      </c>
      <c r="E11661" t="s">
        <v>18</v>
      </c>
    </row>
    <row r="11662" spans="1:5" x14ac:dyDescent="0.25">
      <c r="A11662" t="str">
        <f>HYPERLINK("https://www.773grp.com/globalSearch/SN65LVDS104DR/page-1", "SN65LVDS104DR")</f>
        <v>SN65LVDS104DR</v>
      </c>
      <c r="B11662" s="3" t="s">
        <v>90</v>
      </c>
      <c r="C11662" s="5">
        <v>7450</v>
      </c>
      <c r="D11662" s="6">
        <v>5.7</v>
      </c>
      <c r="E11662" t="s">
        <v>18</v>
      </c>
    </row>
    <row r="11663" spans="1:5" x14ac:dyDescent="0.25">
      <c r="A11663" t="str">
        <f>HYPERLINK("https://www.773grp.com/globalSearch/SN65LVDS104PWR/page-1", "SN65LVDS104PWR")</f>
        <v>SN65LVDS104PWR</v>
      </c>
      <c r="B11663" s="3" t="s">
        <v>90</v>
      </c>
      <c r="C11663" s="5">
        <v>2000</v>
      </c>
      <c r="D11663" s="6">
        <v>5.7</v>
      </c>
      <c r="E11663" t="s">
        <v>18</v>
      </c>
    </row>
    <row r="11664" spans="1:5" x14ac:dyDescent="0.25">
      <c r="A11664" t="str">
        <f>HYPERLINK("https://www.773grp.com/globalSearch/SN65LVDS105DR/page-1", "SN65LVDS105DR")</f>
        <v>SN65LVDS105DR</v>
      </c>
      <c r="B11664" s="3" t="s">
        <v>90</v>
      </c>
      <c r="C11664" s="5">
        <v>7500</v>
      </c>
      <c r="D11664" s="6">
        <v>5.7</v>
      </c>
      <c r="E11664" t="s">
        <v>18</v>
      </c>
    </row>
    <row r="11665" spans="1:5" x14ac:dyDescent="0.25">
      <c r="A11665" t="str">
        <f>HYPERLINK("https://www.773grp.com/globalSearch/SN65LVDS105PWR/page-1", "SN65LVDS105PWR")</f>
        <v>SN65LVDS105PWR</v>
      </c>
      <c r="B11665" s="3" t="s">
        <v>90</v>
      </c>
      <c r="C11665" s="5">
        <v>8000</v>
      </c>
      <c r="D11665" s="6">
        <v>5.7</v>
      </c>
      <c r="E11665" t="s">
        <v>18</v>
      </c>
    </row>
    <row r="11666" spans="1:5" x14ac:dyDescent="0.25">
      <c r="A11666" t="str">
        <f>HYPERLINK("https://www.773grp.com/globalSearch/SN75HVD05P/page-1", "SN75HVD05P")</f>
        <v>SN75HVD05P</v>
      </c>
      <c r="B11666" s="3" t="s">
        <v>90</v>
      </c>
      <c r="C11666" s="5">
        <v>5190</v>
      </c>
      <c r="D11666" s="6">
        <v>5.7</v>
      </c>
      <c r="E11666" t="s">
        <v>18</v>
      </c>
    </row>
    <row r="11667" spans="1:5" x14ac:dyDescent="0.25">
      <c r="A11667" t="str">
        <f>HYPERLINK("https://www.773grp.com/globalSearch/SN75HVD08P/page-1", "SN75HVD08P")</f>
        <v>SN75HVD08P</v>
      </c>
      <c r="B11667" s="3" t="s">
        <v>90</v>
      </c>
      <c r="C11667" s="5">
        <v>308</v>
      </c>
      <c r="D11667" s="6">
        <v>5.7</v>
      </c>
      <c r="E11667" t="s">
        <v>18</v>
      </c>
    </row>
    <row r="11668" spans="1:5" x14ac:dyDescent="0.25">
      <c r="A11668" t="str">
        <f>HYPERLINK("https://www.773grp.com/globalSearch/SN75HVD10P/page-1", "SN75HVD10P")</f>
        <v>SN75HVD10P</v>
      </c>
      <c r="B11668" s="3" t="s">
        <v>90</v>
      </c>
      <c r="C11668" s="5">
        <v>3950</v>
      </c>
      <c r="D11668" s="6">
        <v>5.7</v>
      </c>
      <c r="E11668" t="s">
        <v>18</v>
      </c>
    </row>
    <row r="11669" spans="1:5" x14ac:dyDescent="0.25">
      <c r="A11669" t="str">
        <f>HYPERLINK("https://www.773grp.com/globalSearch/SN65HVD50D/page-1", "SN65HVD50D")</f>
        <v>SN65HVD50D</v>
      </c>
      <c r="B11669" s="3" t="s">
        <v>90</v>
      </c>
      <c r="C11669" s="5">
        <v>551</v>
      </c>
      <c r="D11669" s="6">
        <v>5.74</v>
      </c>
      <c r="E11669" t="s">
        <v>18</v>
      </c>
    </row>
    <row r="11670" spans="1:5" x14ac:dyDescent="0.25">
      <c r="A11670" t="str">
        <f>HYPERLINK("https://www.773grp.com/globalSearch/SN65HVD51D/page-1", "SN65HVD51D")</f>
        <v>SN65HVD51D</v>
      </c>
      <c r="B11670" s="3" t="s">
        <v>90</v>
      </c>
      <c r="C11670" s="5">
        <v>3763</v>
      </c>
      <c r="D11670" s="6">
        <v>5.74</v>
      </c>
      <c r="E11670" t="s">
        <v>18</v>
      </c>
    </row>
    <row r="11671" spans="1:5" x14ac:dyDescent="0.25">
      <c r="A11671" t="str">
        <f>HYPERLINK("https://www.773grp.com/globalSearch/SN65HVD52D/page-1", "SN65HVD52D")</f>
        <v>SN65HVD52D</v>
      </c>
      <c r="B11671" s="3" t="s">
        <v>90</v>
      </c>
      <c r="C11671" s="5">
        <v>120</v>
      </c>
      <c r="D11671" s="6">
        <v>5.74</v>
      </c>
      <c r="E11671" t="s">
        <v>18</v>
      </c>
    </row>
    <row r="11672" spans="1:5" x14ac:dyDescent="0.25">
      <c r="A11672" t="str">
        <f>HYPERLINK("https://www.773grp.com/globalSearch/SN65HVD07P/page-1", "SN65HVD07P")</f>
        <v>SN65HVD07P</v>
      </c>
      <c r="B11672" s="3" t="s">
        <v>90</v>
      </c>
      <c r="C11672" s="5">
        <v>1067</v>
      </c>
      <c r="D11672" s="6">
        <v>5.78</v>
      </c>
      <c r="E11672" t="s">
        <v>18</v>
      </c>
    </row>
    <row r="11673" spans="1:5" x14ac:dyDescent="0.25">
      <c r="A11673" t="str">
        <f>HYPERLINK("https://www.773grp.com/globalSearch/SN75LVDS85DGG/page-1", "SN75LVDS85DGG")</f>
        <v>SN75LVDS85DGG</v>
      </c>
      <c r="B11673" s="3" t="s">
        <v>90</v>
      </c>
      <c r="C11673" s="5">
        <v>2366</v>
      </c>
      <c r="D11673" s="6">
        <v>5.78</v>
      </c>
      <c r="E11673" t="s">
        <v>18</v>
      </c>
    </row>
    <row r="11674" spans="1:5" x14ac:dyDescent="0.25">
      <c r="A11674" t="str">
        <f>HYPERLINK("https://www.773grp.com/globalSearch/TSB41AB2IPAP/page-1", "TSB41AB2IPAP")</f>
        <v>TSB41AB2IPAP</v>
      </c>
      <c r="B11674" s="3" t="s">
        <v>90</v>
      </c>
      <c r="C11674" s="5">
        <v>5673</v>
      </c>
      <c r="D11674" s="6">
        <v>5.78</v>
      </c>
      <c r="E11674" t="s">
        <v>18</v>
      </c>
    </row>
    <row r="11675" spans="1:5" x14ac:dyDescent="0.25">
      <c r="A11675" t="str">
        <f>HYPERLINK("https://www.773grp.com/globalSearch/SN65LVDS1050PW/page-1", "SN65LVDS1050PW")</f>
        <v>SN65LVDS1050PW</v>
      </c>
      <c r="B11675" s="3" t="s">
        <v>90</v>
      </c>
      <c r="C11675" s="5">
        <v>3251</v>
      </c>
      <c r="D11675" s="6">
        <v>5.79</v>
      </c>
      <c r="E11675" t="s">
        <v>18</v>
      </c>
    </row>
    <row r="11676" spans="1:5" x14ac:dyDescent="0.25">
      <c r="A11676" t="str">
        <f>HYPERLINK("https://www.773grp.com/globalSearch/SN65LVDS32BD/page-1", "SN65LVDS32BD")</f>
        <v>SN65LVDS32BD</v>
      </c>
      <c r="B11676" s="3" t="s">
        <v>90</v>
      </c>
      <c r="C11676" s="5">
        <v>16192</v>
      </c>
      <c r="D11676" s="6">
        <v>5.79</v>
      </c>
      <c r="E11676" t="s">
        <v>18</v>
      </c>
    </row>
    <row r="11677" spans="1:5" x14ac:dyDescent="0.25">
      <c r="A11677" t="str">
        <f>HYPERLINK("https://www.773grp.com/globalSearch/MAX3386ECDW/page-1", "MAX3386ECDW")</f>
        <v>MAX3386ECDW</v>
      </c>
      <c r="B11677" s="3" t="s">
        <v>90</v>
      </c>
      <c r="C11677" s="5">
        <v>839</v>
      </c>
      <c r="D11677" s="6">
        <v>5.83</v>
      </c>
      <c r="E11677" t="s">
        <v>18</v>
      </c>
    </row>
    <row r="11678" spans="1:5" x14ac:dyDescent="0.25">
      <c r="A11678" t="str">
        <f>HYPERLINK("https://www.773grp.com/globalSearch/MAX3386ECPW/page-1", "MAX3386ECPW")</f>
        <v>MAX3386ECPW</v>
      </c>
      <c r="B11678" s="3" t="s">
        <v>90</v>
      </c>
      <c r="C11678" s="5">
        <v>812</v>
      </c>
      <c r="D11678" s="6">
        <v>5.83</v>
      </c>
      <c r="E11678" t="s">
        <v>18</v>
      </c>
    </row>
    <row r="11679" spans="1:5" x14ac:dyDescent="0.25">
      <c r="A11679" t="str">
        <f>HYPERLINK("https://www.773grp.com/globalSearch/SN75159D/page-1", "SN75159D")</f>
        <v>SN75159D</v>
      </c>
      <c r="B11679" s="3" t="s">
        <v>90</v>
      </c>
      <c r="C11679" s="5">
        <v>3570</v>
      </c>
      <c r="D11679" s="6">
        <v>5.83</v>
      </c>
      <c r="E11679" t="s">
        <v>18</v>
      </c>
    </row>
    <row r="11680" spans="1:5" x14ac:dyDescent="0.25">
      <c r="A11680" t="str">
        <f>HYPERLINK("https://www.773grp.com/globalSearch/SN75LP196DW/page-1", "SN75LP196DW")</f>
        <v>SN75LP196DW</v>
      </c>
      <c r="B11680" s="3" t="s">
        <v>90</v>
      </c>
      <c r="C11680" s="5">
        <v>915</v>
      </c>
      <c r="D11680" s="6">
        <v>5.83</v>
      </c>
      <c r="E11680" t="s">
        <v>18</v>
      </c>
    </row>
    <row r="11681" spans="1:5" x14ac:dyDescent="0.25">
      <c r="A11681" t="str">
        <f>HYPERLINK("https://www.773grp.com/globalSearch/SN65HVD55D/page-1", "SN65HVD55D")</f>
        <v>SN65HVD55D</v>
      </c>
      <c r="B11681" s="3" t="s">
        <v>90</v>
      </c>
      <c r="C11681" s="5">
        <v>38761</v>
      </c>
      <c r="D11681" s="6">
        <v>5.91</v>
      </c>
      <c r="E11681" t="s">
        <v>18</v>
      </c>
    </row>
    <row r="11682" spans="1:5" x14ac:dyDescent="0.25">
      <c r="A11682" t="str">
        <f>HYPERLINK("https://www.773grp.com/globalSearch/SN65LBC175AN/page-1", "SN65LBC175AN")</f>
        <v>SN65LBC175AN</v>
      </c>
      <c r="B11682" s="3" t="s">
        <v>90</v>
      </c>
      <c r="C11682" s="5">
        <v>109</v>
      </c>
      <c r="D11682" s="6">
        <v>5.91</v>
      </c>
      <c r="E11682" t="s">
        <v>18</v>
      </c>
    </row>
    <row r="11683" spans="1:5" x14ac:dyDescent="0.25">
      <c r="A11683" t="str">
        <f>HYPERLINK("https://www.773grp.com/globalSearch/SN65LVDS388ADBTR/page-1", "SN65LVDS388ADBTR")</f>
        <v>SN65LVDS388ADBTR</v>
      </c>
      <c r="B11683" s="3" t="s">
        <v>90</v>
      </c>
      <c r="C11683" s="5">
        <v>1250</v>
      </c>
      <c r="D11683" s="6">
        <v>5.91</v>
      </c>
      <c r="E11683" t="s">
        <v>18</v>
      </c>
    </row>
    <row r="11684" spans="1:5" x14ac:dyDescent="0.25">
      <c r="A11684" t="str">
        <f>HYPERLINK("https://www.773grp.com/globalSearch/SN75LBC173AN/page-1", "SN75LBC173AN")</f>
        <v>SN75LBC173AN</v>
      </c>
      <c r="B11684" s="3" t="s">
        <v>90</v>
      </c>
      <c r="C11684" s="5">
        <v>6920</v>
      </c>
      <c r="D11684" s="6">
        <v>5.91</v>
      </c>
      <c r="E11684" t="s">
        <v>18</v>
      </c>
    </row>
    <row r="11685" spans="1:5" x14ac:dyDescent="0.25">
      <c r="A11685" t="str">
        <f>HYPERLINK("https://www.773grp.com/globalSearch/SN75LBC776DB/page-1", "SN75LBC776DB")</f>
        <v>SN75LBC776DB</v>
      </c>
      <c r="B11685" s="3" t="s">
        <v>90</v>
      </c>
      <c r="C11685" s="5">
        <v>3480</v>
      </c>
      <c r="D11685" s="6">
        <v>5.91</v>
      </c>
      <c r="E11685" t="s">
        <v>18</v>
      </c>
    </row>
    <row r="11686" spans="1:5" x14ac:dyDescent="0.25">
      <c r="A11686" t="str">
        <f>HYPERLINK("https://www.773grp.com/globalSearch/SN74LV161284DGGR/page-1", "SN74LV161284DGGR")</f>
        <v>SN74LV161284DGGR</v>
      </c>
      <c r="B11686" s="3" t="s">
        <v>90</v>
      </c>
      <c r="C11686" s="5">
        <v>6832</v>
      </c>
      <c r="D11686" s="6">
        <v>6.03</v>
      </c>
      <c r="E11686" t="s">
        <v>18</v>
      </c>
    </row>
    <row r="11687" spans="1:5" x14ac:dyDescent="0.25">
      <c r="A11687" t="str">
        <f>HYPERLINK("https://www.773grp.com/globalSearch/SN75127N/page-1", "SN75127N")</f>
        <v>SN75127N</v>
      </c>
      <c r="B11687" s="3" t="s">
        <v>90</v>
      </c>
      <c r="C11687" s="5">
        <v>2139</v>
      </c>
      <c r="D11687" s="6">
        <v>6.03</v>
      </c>
      <c r="E11687" t="s">
        <v>18</v>
      </c>
    </row>
    <row r="11688" spans="1:5" x14ac:dyDescent="0.25">
      <c r="A11688" t="str">
        <f>HYPERLINK("https://www.773grp.com/globalSearch/SN75128N/page-1", "SN75128N")</f>
        <v>SN75128N</v>
      </c>
      <c r="B11688" s="3" t="s">
        <v>90</v>
      </c>
      <c r="C11688" s="5">
        <v>3786</v>
      </c>
      <c r="D11688" s="6">
        <v>6.03</v>
      </c>
      <c r="E11688" t="s">
        <v>18</v>
      </c>
    </row>
    <row r="11689" spans="1:5" x14ac:dyDescent="0.25">
      <c r="A11689" t="str">
        <f>HYPERLINK("https://www.773grp.com/globalSearch/SN75129DW/page-1", "SN75129DW")</f>
        <v>SN75129DW</v>
      </c>
      <c r="B11689" s="3" t="s">
        <v>90</v>
      </c>
      <c r="C11689" s="5">
        <v>5825</v>
      </c>
      <c r="D11689" s="6">
        <v>6.03</v>
      </c>
      <c r="E11689" t="s">
        <v>18</v>
      </c>
    </row>
    <row r="11690" spans="1:5" x14ac:dyDescent="0.25">
      <c r="A11690" t="str">
        <f>HYPERLINK("https://www.773grp.com/globalSearch/SN75130N/page-1", "SN75130N")</f>
        <v>SN75130N</v>
      </c>
      <c r="B11690" s="3" t="s">
        <v>90</v>
      </c>
      <c r="C11690" s="5">
        <v>12831</v>
      </c>
      <c r="D11690" s="6">
        <v>6.03</v>
      </c>
      <c r="E11690" t="s">
        <v>18</v>
      </c>
    </row>
    <row r="11691" spans="1:5" x14ac:dyDescent="0.25">
      <c r="A11691" t="str">
        <f>HYPERLINK("https://www.773grp.com/globalSearch/SN75C198DR/page-1", "SN75C198DR")</f>
        <v>SN75C198DR</v>
      </c>
      <c r="B11691" s="3" t="s">
        <v>90</v>
      </c>
      <c r="C11691" s="5">
        <v>1980</v>
      </c>
      <c r="D11691" s="6">
        <v>6.03</v>
      </c>
      <c r="E11691" t="s">
        <v>18</v>
      </c>
    </row>
    <row r="11692" spans="1:5" x14ac:dyDescent="0.25">
      <c r="A11692" t="str">
        <f>HYPERLINK("https://www.773grp.com/globalSearch/THS6092CD/page-1", "THS6092CD")</f>
        <v>THS6092CD</v>
      </c>
      <c r="B11692" s="3" t="s">
        <v>90</v>
      </c>
      <c r="C11692" s="5">
        <v>14700</v>
      </c>
      <c r="D11692" s="6">
        <v>6.04</v>
      </c>
      <c r="E11692" t="s">
        <v>18</v>
      </c>
    </row>
    <row r="11693" spans="1:5" x14ac:dyDescent="0.25">
      <c r="A11693" t="str">
        <f>HYPERLINK("https://www.773grp.com/globalSearch/THS6092IDDA/page-1", "THS6092IDDA")</f>
        <v>THS6092IDDA</v>
      </c>
      <c r="B11693" s="3" t="s">
        <v>90</v>
      </c>
      <c r="C11693" s="5">
        <v>4500</v>
      </c>
      <c r="D11693" s="6">
        <v>6.04</v>
      </c>
      <c r="E11693" t="s">
        <v>18</v>
      </c>
    </row>
    <row r="11694" spans="1:5" x14ac:dyDescent="0.25">
      <c r="A11694" t="str">
        <f>HYPERLINK("https://www.773grp.com/globalSearch/THS6092IDDAR/page-1", "THS6092IDDAR")</f>
        <v>THS6092IDDAR</v>
      </c>
      <c r="B11694" s="3" t="s">
        <v>90</v>
      </c>
      <c r="C11694" s="5">
        <v>5000</v>
      </c>
      <c r="D11694" s="6">
        <v>6.04</v>
      </c>
      <c r="E11694" t="s">
        <v>18</v>
      </c>
    </row>
    <row r="11695" spans="1:5" x14ac:dyDescent="0.25">
      <c r="A11695" t="str">
        <f>HYPERLINK("https://www.773grp.com/globalSearch/THS6092IDR/page-1", "THS6092IDR")</f>
        <v>THS6092IDR</v>
      </c>
      <c r="B11695" s="3" t="s">
        <v>90</v>
      </c>
      <c r="C11695" s="5">
        <v>62500</v>
      </c>
      <c r="D11695" s="6">
        <v>6.04</v>
      </c>
      <c r="E11695" t="s">
        <v>18</v>
      </c>
    </row>
    <row r="11696" spans="1:5" x14ac:dyDescent="0.25">
      <c r="A11696" t="str">
        <f>HYPERLINK("https://www.773grp.com/globalSearch/THS6093CPWPR/page-1", "THS6093CPWPR")</f>
        <v>THS6093CPWPR</v>
      </c>
      <c r="B11696" s="3" t="s">
        <v>90</v>
      </c>
      <c r="C11696" s="5">
        <v>4000</v>
      </c>
      <c r="D11696" s="6">
        <v>6.04</v>
      </c>
      <c r="E11696" t="s">
        <v>18</v>
      </c>
    </row>
    <row r="11697" spans="1:5" x14ac:dyDescent="0.25">
      <c r="A11697" t="str">
        <f>HYPERLINK("https://www.773grp.com/globalSearch/THS6093IDR/page-1", "THS6093IDR")</f>
        <v>THS6093IDR</v>
      </c>
      <c r="B11697" s="3" t="s">
        <v>90</v>
      </c>
      <c r="C11697" s="5">
        <v>2500</v>
      </c>
      <c r="D11697" s="6">
        <v>6.04</v>
      </c>
      <c r="E11697" t="s">
        <v>18</v>
      </c>
    </row>
    <row r="11698" spans="1:5" x14ac:dyDescent="0.25">
      <c r="A11698" t="str">
        <f>HYPERLINK("https://www.773grp.com/globalSearch/THS6093IPWPR/page-1", "THS6093IPWPR")</f>
        <v>THS6093IPWPR</v>
      </c>
      <c r="B11698" s="3" t="s">
        <v>90</v>
      </c>
      <c r="C11698" s="5">
        <v>46000</v>
      </c>
      <c r="D11698" s="6">
        <v>6.04</v>
      </c>
      <c r="E11698" t="s">
        <v>18</v>
      </c>
    </row>
    <row r="11699" spans="1:5" x14ac:dyDescent="0.25">
      <c r="A11699" t="str">
        <f>HYPERLINK("https://www.773grp.com/globalSearch/SN65HVD05P/page-1", "SN65HVD05P")</f>
        <v>SN65HVD05P</v>
      </c>
      <c r="B11699" s="3" t="s">
        <v>90</v>
      </c>
      <c r="C11699" s="5">
        <v>4254</v>
      </c>
      <c r="D11699" s="6">
        <v>6.13</v>
      </c>
      <c r="E11699" t="s">
        <v>18</v>
      </c>
    </row>
    <row r="11700" spans="1:5" x14ac:dyDescent="0.25">
      <c r="A11700" t="str">
        <f>HYPERLINK("https://www.773grp.com/globalSearch/SN65LVDM051QDQ1/page-1", "SN65LVDM051QDQ1")</f>
        <v>SN65LVDM051QDQ1</v>
      </c>
      <c r="B11700" s="3" t="s">
        <v>90</v>
      </c>
      <c r="C11700" s="5">
        <v>24200</v>
      </c>
      <c r="D11700" s="6">
        <v>6.13</v>
      </c>
      <c r="E11700" t="s">
        <v>18</v>
      </c>
    </row>
    <row r="11701" spans="1:5" x14ac:dyDescent="0.25">
      <c r="A11701" t="str">
        <f>HYPERLINK("https://www.773grp.com/globalSearch/SN75186DW/page-1", "SN75186DW")</f>
        <v>SN75186DW</v>
      </c>
      <c r="B11701" s="3" t="s">
        <v>90</v>
      </c>
      <c r="C11701" s="5">
        <v>955</v>
      </c>
      <c r="D11701" s="6">
        <v>6.16</v>
      </c>
      <c r="E11701" t="s">
        <v>18</v>
      </c>
    </row>
    <row r="11702" spans="1:5" x14ac:dyDescent="0.25">
      <c r="A11702" t="str">
        <f>HYPERLINK("https://www.773grp.com/globalSearch/SN65HVD53DR/page-1", "SN65HVD53DR")</f>
        <v>SN65HVD53DR</v>
      </c>
      <c r="B11702" s="3" t="s">
        <v>90</v>
      </c>
      <c r="C11702" s="5">
        <v>4590</v>
      </c>
      <c r="D11702" s="6">
        <v>6.19</v>
      </c>
      <c r="E11702" t="s">
        <v>18</v>
      </c>
    </row>
    <row r="11703" spans="1:5" x14ac:dyDescent="0.25">
      <c r="A11703" t="str">
        <f>HYPERLINK("https://www.773grp.com/globalSearch/MAX3386EIDW/page-1", "MAX3386EIDW")</f>
        <v>MAX3386EIDW</v>
      </c>
      <c r="B11703" s="3" t="s">
        <v>90</v>
      </c>
      <c r="C11703" s="5">
        <v>917</v>
      </c>
      <c r="D11703" s="6">
        <v>6.21</v>
      </c>
      <c r="E11703" t="s">
        <v>18</v>
      </c>
    </row>
    <row r="11704" spans="1:5" x14ac:dyDescent="0.25">
      <c r="A11704" t="str">
        <f>HYPERLINK("https://www.773grp.com/globalSearch/MAX3386EIPW/page-1", "MAX3386EIPW")</f>
        <v>MAX3386EIPW</v>
      </c>
      <c r="B11704" s="3" t="s">
        <v>90</v>
      </c>
      <c r="C11704" s="5">
        <v>1564</v>
      </c>
      <c r="D11704" s="6">
        <v>6.21</v>
      </c>
      <c r="E11704" t="s">
        <v>18</v>
      </c>
    </row>
    <row r="11705" spans="1:5" x14ac:dyDescent="0.25">
      <c r="A11705" t="str">
        <f>HYPERLINK("https://www.773grp.com/globalSearch/SN75116DR/page-1", "SN75116DR")</f>
        <v>SN75116DR</v>
      </c>
      <c r="B11705" s="3" t="s">
        <v>90</v>
      </c>
      <c r="C11705" s="5">
        <v>10000</v>
      </c>
      <c r="D11705" s="6">
        <v>6.21</v>
      </c>
      <c r="E11705" t="s">
        <v>18</v>
      </c>
    </row>
    <row r="11706" spans="1:5" x14ac:dyDescent="0.25">
      <c r="A11706" t="str">
        <f>HYPERLINK("https://www.773grp.com/globalSearch/SN75LPE185NT/page-1", "SN75LPE185NT")</f>
        <v>SN75LPE185NT</v>
      </c>
      <c r="B11706" s="3" t="s">
        <v>90</v>
      </c>
      <c r="C11706" s="5">
        <v>1545</v>
      </c>
      <c r="D11706" s="6">
        <v>6.21</v>
      </c>
      <c r="E11706" t="s">
        <v>18</v>
      </c>
    </row>
    <row r="11707" spans="1:5" x14ac:dyDescent="0.25">
      <c r="A11707" t="str">
        <f>HYPERLINK("https://www.773grp.com/globalSearch/SN75LPE185NTE4/page-1", "SN75LPE185NTE4")</f>
        <v>SN75LPE185NTE4</v>
      </c>
      <c r="B11707" s="3" t="s">
        <v>90</v>
      </c>
      <c r="C11707" s="5">
        <v>225</v>
      </c>
      <c r="D11707" s="6">
        <v>6.21</v>
      </c>
      <c r="E11707" t="s">
        <v>18</v>
      </c>
    </row>
    <row r="11708" spans="1:5" x14ac:dyDescent="0.25">
      <c r="A11708" t="str">
        <f>HYPERLINK("https://www.773grp.com/globalSearch/SN65HVD1786D/page-1", "SN65HVD1786D")</f>
        <v>SN65HVD1786D</v>
      </c>
      <c r="B11708" s="3" t="s">
        <v>90</v>
      </c>
      <c r="C11708" s="5">
        <v>2601</v>
      </c>
      <c r="D11708" s="6">
        <v>6.33</v>
      </c>
      <c r="E11708" t="s">
        <v>18</v>
      </c>
    </row>
    <row r="11709" spans="1:5" x14ac:dyDescent="0.25">
      <c r="A11709" t="str">
        <f>HYPERLINK("https://www.773grp.com/globalSearch/SN65LBC173AN/page-1", "SN65LBC173AN")</f>
        <v>SN65LBC173AN</v>
      </c>
      <c r="B11709" s="3" t="s">
        <v>90</v>
      </c>
      <c r="C11709" s="5">
        <v>41</v>
      </c>
      <c r="D11709" s="6">
        <v>6.33</v>
      </c>
      <c r="E11709" t="s">
        <v>18</v>
      </c>
    </row>
    <row r="11710" spans="1:5" x14ac:dyDescent="0.25">
      <c r="A11710" t="str">
        <f>HYPERLINK("https://www.773grp.com/globalSearch/SN75LBC172DW/page-1", "SN75LBC172DW")</f>
        <v>SN75LBC172DW</v>
      </c>
      <c r="B11710" s="3" t="s">
        <v>90</v>
      </c>
      <c r="C11710" s="5">
        <v>11</v>
      </c>
      <c r="D11710" s="6">
        <v>6.33</v>
      </c>
      <c r="E11710" t="s">
        <v>18</v>
      </c>
    </row>
    <row r="11711" spans="1:5" x14ac:dyDescent="0.25">
      <c r="A11711" t="str">
        <f>HYPERLINK("https://www.773grp.com/globalSearch/TSB41AB2PAP/page-1", "TSB41AB2PAP")</f>
        <v>TSB41AB2PAP</v>
      </c>
      <c r="B11711" s="3" t="s">
        <v>90</v>
      </c>
      <c r="C11711" s="5">
        <v>92099</v>
      </c>
      <c r="D11711" s="6">
        <v>6.33</v>
      </c>
      <c r="E11711" t="s">
        <v>18</v>
      </c>
    </row>
    <row r="11712" spans="1:5" x14ac:dyDescent="0.25">
      <c r="A11712" t="str">
        <f>HYPERLINK("https://www.773grp.com/globalSearch/SN75LBC241DWR/page-1", "SN75LBC241DWR")</f>
        <v>SN75LBC241DWR</v>
      </c>
      <c r="B11712" s="3" t="s">
        <v>90</v>
      </c>
      <c r="C11712" s="5">
        <v>1000</v>
      </c>
      <c r="D11712" s="6">
        <v>6.36</v>
      </c>
      <c r="E11712" t="s">
        <v>18</v>
      </c>
    </row>
    <row r="11713" spans="1:5" x14ac:dyDescent="0.25">
      <c r="A11713" t="str">
        <f>HYPERLINK("https://www.773grp.com/globalSearch/SN65LVDS100D/page-1", "SN65LVDS100D")</f>
        <v>SN65LVDS100D</v>
      </c>
      <c r="B11713" s="3" t="s">
        <v>90</v>
      </c>
      <c r="C11713" s="5">
        <v>29</v>
      </c>
      <c r="D11713" s="6">
        <v>6.41</v>
      </c>
      <c r="E11713" t="s">
        <v>18</v>
      </c>
    </row>
    <row r="11714" spans="1:5" x14ac:dyDescent="0.25">
      <c r="A11714" t="str">
        <f>HYPERLINK("https://www.773grp.com/globalSearch/SN65LVDS101DGK/page-1", "SN65LVDS101DGK")</f>
        <v>SN65LVDS101DGK</v>
      </c>
      <c r="B11714" s="3" t="s">
        <v>90</v>
      </c>
      <c r="C11714" s="5">
        <v>568</v>
      </c>
      <c r="D11714" s="6">
        <v>6.41</v>
      </c>
      <c r="E11714" t="s">
        <v>18</v>
      </c>
    </row>
    <row r="11715" spans="1:5" x14ac:dyDescent="0.25">
      <c r="A11715" t="str">
        <f>HYPERLINK("https://www.773grp.com/globalSearch/SN75118D/page-1", "SN75118D")</f>
        <v>SN75118D</v>
      </c>
      <c r="B11715" s="3" t="str">
        <f>HYPERLINK("https://www.773grp.com/manufacturer/texas-instruments?pageNo=30", "Texas Instruments")</f>
        <v>Texas Instruments</v>
      </c>
      <c r="C11715" s="5">
        <v>13898</v>
      </c>
      <c r="D11715" s="6">
        <v>6.45</v>
      </c>
      <c r="E11715" t="s">
        <v>18</v>
      </c>
    </row>
    <row r="11716" spans="1:5" x14ac:dyDescent="0.25">
      <c r="A11716" t="str">
        <f>HYPERLINK("https://www.773grp.com/globalSearch/SN75159N/page-1", "SN75159N")</f>
        <v>SN75159N</v>
      </c>
      <c r="B11716" s="3" t="str">
        <f>HYPERLINK("https://www.773grp.com/manufacturer/texas-instruments?pageNo=31", "Texas Instruments")</f>
        <v>Texas Instruments</v>
      </c>
      <c r="C11716" s="5">
        <v>30699</v>
      </c>
      <c r="D11716" s="6">
        <v>6.45</v>
      </c>
      <c r="E11716" t="s">
        <v>18</v>
      </c>
    </row>
    <row r="11717" spans="1:5" x14ac:dyDescent="0.25">
      <c r="A11717" t="str">
        <f>HYPERLINK("https://www.773grp.com/globalSearch/SN75ALS173N/page-1", "SN75ALS173N")</f>
        <v>SN75ALS173N</v>
      </c>
      <c r="B11717" s="3" t="str">
        <f>HYPERLINK("https://www.773grp.com/manufacturer/texas-instruments?pageNo=33", "Texas Instruments")</f>
        <v>Texas Instruments</v>
      </c>
      <c r="C11717" s="5">
        <v>550</v>
      </c>
      <c r="D11717" s="6">
        <v>6.45</v>
      </c>
      <c r="E11717" t="s">
        <v>18</v>
      </c>
    </row>
    <row r="11718" spans="1:5" x14ac:dyDescent="0.25">
      <c r="A11718" t="str">
        <f>HYPERLINK("https://www.773grp.com/globalSearch/SN65HVD1792D/page-1", "SN65HVD1792D")</f>
        <v>SN65HVD1792D</v>
      </c>
      <c r="B11718" s="3" t="str">
        <f>HYPERLINK("https://www.773grp.com/manufacturer/texas-instruments?pageNo=96", "Texas Instruments")</f>
        <v>Texas Instruments</v>
      </c>
      <c r="C11718" s="5">
        <v>20</v>
      </c>
      <c r="D11718" s="6">
        <v>6.46</v>
      </c>
      <c r="E11718" t="s">
        <v>18</v>
      </c>
    </row>
    <row r="11719" spans="1:5" x14ac:dyDescent="0.25">
      <c r="A11719" t="str">
        <f>HYPERLINK("https://www.773grp.com/globalSearch/SN65HVD34D/page-1", "SN65HVD34D")</f>
        <v>SN65HVD34D</v>
      </c>
      <c r="B11719" s="3" t="str">
        <f>HYPERLINK("https://www.773grp.com/manufacturer/texas-instruments?pageNo=97", "Texas Instruments")</f>
        <v>Texas Instruments</v>
      </c>
      <c r="C11719" s="5">
        <v>32</v>
      </c>
      <c r="D11719" s="6">
        <v>6.46</v>
      </c>
      <c r="E11719" t="s">
        <v>18</v>
      </c>
    </row>
    <row r="11720" spans="1:5" x14ac:dyDescent="0.25">
      <c r="A11720" t="str">
        <f>HYPERLINK("https://www.773grp.com/globalSearch/SN65HVS880PWP/page-1", "SN65HVS880PWP")</f>
        <v>SN65HVS880PWP</v>
      </c>
      <c r="B11720" s="3" t="str">
        <f>HYPERLINK("https://www.773grp.com/manufacturer/texas-instruments?pageNo=98", "Texas Instruments")</f>
        <v>Texas Instruments</v>
      </c>
      <c r="C11720" s="5">
        <v>900</v>
      </c>
      <c r="D11720" s="6">
        <v>6.46</v>
      </c>
      <c r="E11720" t="s">
        <v>18</v>
      </c>
    </row>
    <row r="11721" spans="1:5" x14ac:dyDescent="0.25">
      <c r="A11721" t="str">
        <f>HYPERLINK("https://www.773grp.com/globalSearch/SN65MLVD048RGZT/page-1", "SN65MLVD048RGZT")</f>
        <v>SN65MLVD048RGZT</v>
      </c>
      <c r="B11721" s="3" t="str">
        <f>HYPERLINK("https://www.773grp.com/manufacturer/texas-instruments?pageNo=100", "Texas Instruments")</f>
        <v>Texas Instruments</v>
      </c>
      <c r="C11721" s="5">
        <v>369</v>
      </c>
      <c r="D11721" s="6">
        <v>6.46</v>
      </c>
      <c r="E11721" t="s">
        <v>18</v>
      </c>
    </row>
    <row r="11722" spans="1:5" x14ac:dyDescent="0.25">
      <c r="A11722" t="str">
        <f>HYPERLINK("https://www.773grp.com/globalSearch/SN75LBC784DW/page-1", "SN75LBC784DW")</f>
        <v>SN75LBC784DW</v>
      </c>
      <c r="B11722" s="3" t="str">
        <f>HYPERLINK("https://www.773grp.com/manufacturer/texas-instruments?pageNo=101", "Texas Instruments")</f>
        <v>Texas Instruments</v>
      </c>
      <c r="C11722" s="5">
        <v>9650</v>
      </c>
      <c r="D11722" s="6">
        <v>6.46</v>
      </c>
      <c r="E11722" t="s">
        <v>18</v>
      </c>
    </row>
    <row r="11723" spans="1:5" x14ac:dyDescent="0.25">
      <c r="A11723" t="str">
        <f>HYPERLINK("https://www.773grp.com/globalSearch/SN75LBC784DWR/page-1", "SN75LBC784DWR")</f>
        <v>SN75LBC784DWR</v>
      </c>
      <c r="B11723" s="3" t="str">
        <f>HYPERLINK("https://www.773grp.com/manufacturer/texas-instruments?pageNo=102", "Texas Instruments")</f>
        <v>Texas Instruments</v>
      </c>
      <c r="C11723" s="5">
        <v>1000</v>
      </c>
      <c r="D11723" s="6">
        <v>6.46</v>
      </c>
      <c r="E11723" t="s">
        <v>18</v>
      </c>
    </row>
    <row r="11724" spans="1:5" x14ac:dyDescent="0.25">
      <c r="A11724" t="str">
        <f>HYPERLINK("https://www.773grp.com/globalSearch/SN75LVDS84DGGR/page-1", "SN75LVDS84DGGR")</f>
        <v>SN75LVDS84DGGR</v>
      </c>
      <c r="B11724" s="3" t="str">
        <f>HYPERLINK("https://www.773grp.com/manufacturer/texas-instruments?pageNo=178", "Texas Instruments")</f>
        <v>Texas Instruments</v>
      </c>
      <c r="C11724" s="5">
        <v>23863</v>
      </c>
      <c r="D11724" s="6">
        <v>6.5</v>
      </c>
      <c r="E11724" t="s">
        <v>18</v>
      </c>
    </row>
    <row r="11725" spans="1:5" x14ac:dyDescent="0.25">
      <c r="A11725" t="str">
        <f>HYPERLINK("https://www.773grp.com/globalSearch/SN65HVD379D/page-1", "SN65HVD379D")</f>
        <v>SN65HVD379D</v>
      </c>
      <c r="B11725" s="3" t="str">
        <f>HYPERLINK("https://www.773grp.com/manufacturer/texas-instruments?pageNo=256", "Texas Instruments")</f>
        <v>Texas Instruments</v>
      </c>
      <c r="C11725" s="5">
        <v>150</v>
      </c>
      <c r="D11725" s="6">
        <v>6.59</v>
      </c>
      <c r="E11725" t="s">
        <v>18</v>
      </c>
    </row>
    <row r="11726" spans="1:5" x14ac:dyDescent="0.25">
      <c r="A11726" t="str">
        <f>HYPERLINK("https://www.773grp.com/globalSearch/SN751730D/page-1", "SN751730D")</f>
        <v>SN751730D</v>
      </c>
      <c r="B11726" s="3" t="str">
        <f>HYPERLINK("https://www.773grp.com/manufacturer/texas-instruments?pageNo=257", "Texas Instruments")</f>
        <v>Texas Instruments</v>
      </c>
      <c r="C11726" s="5">
        <v>1972</v>
      </c>
      <c r="D11726" s="6">
        <v>6.59</v>
      </c>
      <c r="E11726" t="s">
        <v>18</v>
      </c>
    </row>
    <row r="11727" spans="1:5" x14ac:dyDescent="0.25">
      <c r="A11727" t="str">
        <f>HYPERLINK("https://www.773grp.com/globalSearch/SN751730DE4/page-1", "SN751730DE4")</f>
        <v>SN751730DE4</v>
      </c>
      <c r="B11727" s="3" t="str">
        <f>HYPERLINK("https://www.773grp.com/manufacturer/texas-instruments?pageNo=258", "Texas Instruments")</f>
        <v>Texas Instruments</v>
      </c>
      <c r="C11727" s="5">
        <v>103</v>
      </c>
      <c r="D11727" s="6">
        <v>6.59</v>
      </c>
      <c r="E11727" t="s">
        <v>18</v>
      </c>
    </row>
    <row r="11728" spans="1:5" x14ac:dyDescent="0.25">
      <c r="A11728" t="str">
        <f>HYPERLINK("https://www.773grp.com/globalSearch/DRV134UA/page-1", "DRV134UA")</f>
        <v>DRV134UA</v>
      </c>
      <c r="B11728" s="3" t="str">
        <f>HYPERLINK("https://www.773grp.com/manufacturer/texas-instruments?pageNo=275", "Texas Instruments")</f>
        <v>Texas Instruments</v>
      </c>
      <c r="C11728" s="5">
        <v>490</v>
      </c>
      <c r="D11728" s="6">
        <v>6.61</v>
      </c>
      <c r="E11728" t="s">
        <v>18</v>
      </c>
    </row>
    <row r="11729" spans="1:5" x14ac:dyDescent="0.25">
      <c r="A11729" t="str">
        <f>HYPERLINK("https://www.773grp.com/globalSearch/SN65LVDS302ZQE/page-1", "SN65LVDS302ZQE")</f>
        <v>SN65LVDS302ZQE</v>
      </c>
      <c r="B11729" s="3" t="str">
        <f>HYPERLINK("https://www.773grp.com/manufacturer/texas-instruments?pageNo=299", "Texas Instruments")</f>
        <v>Texas Instruments</v>
      </c>
      <c r="C11729" s="5">
        <v>6371</v>
      </c>
      <c r="D11729" s="6">
        <v>6.61</v>
      </c>
      <c r="E11729" t="s">
        <v>18</v>
      </c>
    </row>
    <row r="11730" spans="1:5" x14ac:dyDescent="0.25">
      <c r="A11730" t="str">
        <f>HYPERLINK("https://www.773grp.com/globalSearch/THS6072CDGNR/page-1", "THS6072CDGNR")</f>
        <v>THS6072CDGNR</v>
      </c>
      <c r="B11730" s="3" t="str">
        <f>HYPERLINK("https://www.773grp.com/manufacturer/texas-instruments?pageNo=308", "Texas Instruments")</f>
        <v>Texas Instruments</v>
      </c>
      <c r="C11730" s="5">
        <v>2500</v>
      </c>
      <c r="D11730" s="6">
        <v>6.61</v>
      </c>
      <c r="E11730" t="s">
        <v>18</v>
      </c>
    </row>
    <row r="11731" spans="1:5" x14ac:dyDescent="0.25">
      <c r="A11731" t="str">
        <f>HYPERLINK("https://www.773grp.com/globalSearch/THS6072IDGN/page-1", "THS6072IDGN")</f>
        <v>THS6072IDGN</v>
      </c>
      <c r="B11731" s="3" t="str">
        <f>HYPERLINK("https://www.773grp.com/manufacturer/texas-instruments?pageNo=309", "Texas Instruments")</f>
        <v>Texas Instruments</v>
      </c>
      <c r="C11731" s="5">
        <v>1120</v>
      </c>
      <c r="D11731" s="6">
        <v>6.61</v>
      </c>
      <c r="E11731" t="s">
        <v>18</v>
      </c>
    </row>
    <row r="11732" spans="1:5" x14ac:dyDescent="0.25">
      <c r="A11732" t="str">
        <f>HYPERLINK("https://www.773grp.com/globalSearch/THS6072IDGNR/page-1", "THS6072IDGNR")</f>
        <v>THS6072IDGNR</v>
      </c>
      <c r="B11732" s="3" t="str">
        <f>HYPERLINK("https://www.773grp.com/manufacturer/texas-instruments?pageNo=310", "Texas Instruments")</f>
        <v>Texas Instruments</v>
      </c>
      <c r="C11732" s="5">
        <v>5553</v>
      </c>
      <c r="D11732" s="6">
        <v>6.61</v>
      </c>
      <c r="E11732" t="s">
        <v>18</v>
      </c>
    </row>
    <row r="11733" spans="1:5" x14ac:dyDescent="0.25">
      <c r="A11733" t="str">
        <f>HYPERLINK("https://www.773grp.com/globalSearch/SN74LV161284DLR/page-1", "SN74LV161284DLR")</f>
        <v>SN74LV161284DLR</v>
      </c>
      <c r="B11733" s="3" t="str">
        <f>HYPERLINK("https://www.773grp.com/manufacturer/texas-instruments?pageNo=389", "Texas Instruments")</f>
        <v>Texas Instruments</v>
      </c>
      <c r="C11733" s="5">
        <v>2000</v>
      </c>
      <c r="D11733" s="6">
        <v>6.64</v>
      </c>
      <c r="E11733" t="s">
        <v>18</v>
      </c>
    </row>
    <row r="11734" spans="1:5" x14ac:dyDescent="0.25">
      <c r="A11734" t="str">
        <f>HYPERLINK("https://www.773grp.com/globalSearch/SN75C198N/page-1", "SN75C198N")</f>
        <v>SN75C198N</v>
      </c>
      <c r="B11734" s="3" t="str">
        <f>HYPERLINK("https://www.773grp.com/manufacturer/texas-instruments?pageNo=394", "Texas Instruments")</f>
        <v>Texas Instruments</v>
      </c>
      <c r="C11734" s="5">
        <v>13851</v>
      </c>
      <c r="D11734" s="6">
        <v>6.64</v>
      </c>
      <c r="E11734" t="s">
        <v>18</v>
      </c>
    </row>
    <row r="11735" spans="1:5" x14ac:dyDescent="0.25">
      <c r="A11735" t="str">
        <f>HYPERLINK("https://www.773grp.com/globalSearch/SN75LBC174DW/page-1", "SN75LBC174DW")</f>
        <v>SN75LBC174DW</v>
      </c>
      <c r="B11735" s="3" t="str">
        <f>HYPERLINK("https://www.773grp.com/manufacturer/texas-instruments?pageNo=423", "Texas Instruments")</f>
        <v>Texas Instruments</v>
      </c>
      <c r="C11735" s="5">
        <v>9398</v>
      </c>
      <c r="D11735" s="6">
        <v>6.7</v>
      </c>
      <c r="E11735" t="s">
        <v>18</v>
      </c>
    </row>
    <row r="11736" spans="1:5" x14ac:dyDescent="0.25">
      <c r="A11736" t="str">
        <f>HYPERLINK("https://www.773grp.com/globalSearch/SN751178NSR/page-1", "SN751178NSR")</f>
        <v>SN751178NSR</v>
      </c>
      <c r="B11736" s="3" t="str">
        <f>HYPERLINK("https://www.773grp.com/manufacturer/texas-instruments?pageNo=439", "Texas Instruments")</f>
        <v>Texas Instruments</v>
      </c>
      <c r="C11736" s="5">
        <v>1800</v>
      </c>
      <c r="D11736" s="6">
        <v>6.71</v>
      </c>
      <c r="E11736" t="s">
        <v>18</v>
      </c>
    </row>
    <row r="11737" spans="1:5" x14ac:dyDescent="0.25">
      <c r="A11737" t="str">
        <f>HYPERLINK("https://www.773grp.com/globalSearch/SN75LVDS83DGGR/page-1", "SN75LVDS83DGGR")</f>
        <v>SN75LVDS83DGGR</v>
      </c>
      <c r="B11737" s="3" t="str">
        <f>HYPERLINK("https://www.773grp.com/manufacturer/texas-instruments?pageNo=440", "Texas Instruments")</f>
        <v>Texas Instruments</v>
      </c>
      <c r="C11737" s="5">
        <v>12919</v>
      </c>
      <c r="D11737" s="6">
        <v>6.71</v>
      </c>
      <c r="E11737" t="s">
        <v>18</v>
      </c>
    </row>
    <row r="11738" spans="1:5" x14ac:dyDescent="0.25">
      <c r="A11738" t="str">
        <f>HYPERLINK("https://www.773grp.com/globalSearch/SN65HVD179D/page-1", "SN65HVD179D")</f>
        <v>SN65HVD179D</v>
      </c>
      <c r="B11738" s="3" t="str">
        <f>HYPERLINK("https://www.773grp.com/manufacturer/texas-instruments?pageNo=477", "Texas Instruments")</f>
        <v>Texas Instruments</v>
      </c>
      <c r="C11738" s="5">
        <v>407</v>
      </c>
      <c r="D11738" s="6">
        <v>6.75</v>
      </c>
      <c r="E11738" t="s">
        <v>18</v>
      </c>
    </row>
    <row r="11739" spans="1:5" x14ac:dyDescent="0.25">
      <c r="A11739" t="str">
        <f>HYPERLINK("https://www.773grp.com/globalSearch/SN65HVD179DG4/page-1", "SN65HVD179DG4")</f>
        <v>SN65HVD179DG4</v>
      </c>
      <c r="B11739" s="3" t="str">
        <f>HYPERLINK("https://www.773grp.com/manufacturer/texas-instruments?pageNo=478", "Texas Instruments")</f>
        <v>Texas Instruments</v>
      </c>
      <c r="C11739" s="5">
        <v>140</v>
      </c>
      <c r="D11739" s="6">
        <v>6.75</v>
      </c>
      <c r="E11739" t="s">
        <v>18</v>
      </c>
    </row>
    <row r="11740" spans="1:5" x14ac:dyDescent="0.25">
      <c r="A11740" t="str">
        <f>HYPERLINK("https://www.773grp.com/globalSearch/SN65HVS882PWP/page-1", "SN65HVS882PWP")</f>
        <v>SN65HVS882PWP</v>
      </c>
      <c r="B11740" s="3" t="str">
        <f>HYPERLINK("https://www.773grp.com/manufacturer/texas-instruments?pageNo=479", "Texas Instruments")</f>
        <v>Texas Instruments</v>
      </c>
      <c r="C11740" s="5">
        <v>490</v>
      </c>
      <c r="D11740" s="6">
        <v>6.75</v>
      </c>
      <c r="E11740" t="s">
        <v>18</v>
      </c>
    </row>
    <row r="11741" spans="1:5" x14ac:dyDescent="0.25">
      <c r="A11741" t="str">
        <f>HYPERLINK("https://www.773grp.com/globalSearch/SN65LVDS389DBT/page-1", "SN65LVDS389DBT")</f>
        <v>SN65LVDS389DBT</v>
      </c>
      <c r="B11741" s="3" t="str">
        <f>HYPERLINK("https://www.773grp.com/manufacturer/texas-instruments?pageNo=480", "Texas Instruments")</f>
        <v>Texas Instruments</v>
      </c>
      <c r="C11741" s="5">
        <v>25</v>
      </c>
      <c r="D11741" s="6">
        <v>6.75</v>
      </c>
      <c r="E11741" t="s">
        <v>18</v>
      </c>
    </row>
    <row r="11742" spans="1:5" x14ac:dyDescent="0.25">
      <c r="A11742" t="str">
        <f>HYPERLINK("https://www.773grp.com/globalSearch/SN65LVDT100D/page-1", "SN65LVDT100D")</f>
        <v>SN65LVDT100D</v>
      </c>
      <c r="B11742" s="3" t="str">
        <f>HYPERLINK("https://www.773grp.com/manufacturer/texas-instruments?pageNo=481", "Texas Instruments")</f>
        <v>Texas Instruments</v>
      </c>
      <c r="C11742" s="5">
        <v>130</v>
      </c>
      <c r="D11742" s="6">
        <v>6.75</v>
      </c>
      <c r="E11742" t="s">
        <v>18</v>
      </c>
    </row>
    <row r="11743" spans="1:5" x14ac:dyDescent="0.25">
      <c r="A11743" t="str">
        <f>HYPERLINK("https://www.773grp.com/globalSearch/SN65LVDT101D/page-1", "SN65LVDT101D")</f>
        <v>SN65LVDT101D</v>
      </c>
      <c r="B11743" s="3" t="str">
        <f>HYPERLINK("https://www.773grp.com/manufacturer/texas-instruments?pageNo=482", "Texas Instruments")</f>
        <v>Texas Instruments</v>
      </c>
      <c r="C11743" s="5">
        <v>44474</v>
      </c>
      <c r="D11743" s="6">
        <v>6.75</v>
      </c>
      <c r="E11743" t="s">
        <v>18</v>
      </c>
    </row>
    <row r="11744" spans="1:5" x14ac:dyDescent="0.25">
      <c r="A11744" t="str">
        <f>HYPERLINK("https://www.773grp.com/globalSearch/SN65LVDT101DGK/page-1", "SN65LVDT101DGK")</f>
        <v>SN65LVDT101DGK</v>
      </c>
      <c r="B11744" s="3" t="str">
        <f>HYPERLINK("https://www.773grp.com/manufacturer/texas-instruments?pageNo=483", "Texas Instruments")</f>
        <v>Texas Instruments</v>
      </c>
      <c r="C11744" s="5">
        <v>158</v>
      </c>
      <c r="D11744" s="6">
        <v>6.75</v>
      </c>
      <c r="E11744" t="s">
        <v>18</v>
      </c>
    </row>
    <row r="11745" spans="1:5" x14ac:dyDescent="0.25">
      <c r="A11745" t="str">
        <f>HYPERLINK("https://www.773grp.com/globalSearch/SN65LVDT101DGK/page-1", "SN65LVDT101DGK")</f>
        <v>SN65LVDT101DGK</v>
      </c>
      <c r="B11745" s="3" t="str">
        <f>HYPERLINK("https://www.773grp.com/manufacturer/texas-instruments?pageNo=484", "Texas Instruments")</f>
        <v>Texas Instruments</v>
      </c>
      <c r="C11745" s="5">
        <v>5321</v>
      </c>
      <c r="D11745" s="6">
        <v>6.75</v>
      </c>
      <c r="E11745" t="s">
        <v>18</v>
      </c>
    </row>
    <row r="11746" spans="1:5" x14ac:dyDescent="0.25">
      <c r="A11746" t="str">
        <f>HYPERLINK("https://www.773grp.com/globalSearch/SN65LVDT101DGKG4/page-1", "SN65LVDT101DGKG4")</f>
        <v>SN65LVDT101DGKG4</v>
      </c>
      <c r="B11746" s="3" t="str">
        <f>HYPERLINK("https://www.773grp.com/manufacturer/texas-instruments?pageNo=485", "Texas Instruments")</f>
        <v>Texas Instruments</v>
      </c>
      <c r="C11746" s="5">
        <v>86</v>
      </c>
      <c r="D11746" s="6">
        <v>6.75</v>
      </c>
      <c r="E11746" t="s">
        <v>18</v>
      </c>
    </row>
    <row r="11747" spans="1:5" x14ac:dyDescent="0.25">
      <c r="A11747" t="str">
        <f>HYPERLINK("https://www.773grp.com/globalSearch/SN65LVDT352PW/page-1", "SN65LVDT352PW")</f>
        <v>SN65LVDT352PW</v>
      </c>
      <c r="B11747" s="3" t="str">
        <f>HYPERLINK("https://www.773grp.com/manufacturer/texas-instruments?pageNo=486", "Texas Instruments")</f>
        <v>Texas Instruments</v>
      </c>
      <c r="C11747" s="5">
        <v>3022</v>
      </c>
      <c r="D11747" s="6">
        <v>6.75</v>
      </c>
      <c r="E11747" t="s">
        <v>18</v>
      </c>
    </row>
    <row r="11748" spans="1:5" x14ac:dyDescent="0.25">
      <c r="A11748" t="str">
        <f>HYPERLINK("https://www.773grp.com/globalSearch/SN75LVDS389DBT/page-1", "SN75LVDS389DBT")</f>
        <v>SN75LVDS389DBT</v>
      </c>
      <c r="B11748" s="3" t="str">
        <f>HYPERLINK("https://www.773grp.com/manufacturer/texas-instruments?pageNo=496", "Texas Instruments")</f>
        <v>Texas Instruments</v>
      </c>
      <c r="C11748" s="5">
        <v>22794</v>
      </c>
      <c r="D11748" s="6">
        <v>6.75</v>
      </c>
      <c r="E11748" t="s">
        <v>18</v>
      </c>
    </row>
    <row r="11749" spans="1:5" x14ac:dyDescent="0.25">
      <c r="A11749" t="str">
        <f>HYPERLINK("https://www.773grp.com/globalSearch/SN75LVDS389DBTG4/page-1", "SN75LVDS389DBTG4")</f>
        <v>SN75LVDS389DBTG4</v>
      </c>
      <c r="B11749" s="3" t="str">
        <f>HYPERLINK("https://www.773grp.com/manufacturer/texas-instruments?pageNo=497", "Texas Instruments")</f>
        <v>Texas Instruments</v>
      </c>
      <c r="C11749" s="5">
        <v>807</v>
      </c>
      <c r="D11749" s="6">
        <v>6.75</v>
      </c>
      <c r="E11749" t="s">
        <v>18</v>
      </c>
    </row>
    <row r="11750" spans="1:5" x14ac:dyDescent="0.25">
      <c r="A11750" t="str">
        <f>HYPERLINK("https://www.773grp.com/globalSearch/SN65LVDS104D/page-1", "SN65LVDS104D")</f>
        <v>SN65LVDS104D</v>
      </c>
      <c r="B11750" s="3" t="str">
        <f>HYPERLINK("https://www.773grp.com/manufacturer/texas-instruments?pageNo=573", "Texas Instruments")</f>
        <v>Texas Instruments</v>
      </c>
      <c r="C11750" s="5">
        <v>7761</v>
      </c>
      <c r="D11750" s="6">
        <v>6.8</v>
      </c>
      <c r="E11750" t="s">
        <v>18</v>
      </c>
    </row>
    <row r="11751" spans="1:5" x14ac:dyDescent="0.25">
      <c r="A11751" t="str">
        <f>HYPERLINK("https://www.773grp.com/globalSearch/SN65LVDS105D/page-1", "SN65LVDS105D")</f>
        <v>SN65LVDS105D</v>
      </c>
      <c r="B11751" s="3" t="str">
        <f>HYPERLINK("https://www.773grp.com/manufacturer/texas-instruments?pageNo=575", "Texas Instruments")</f>
        <v>Texas Instruments</v>
      </c>
      <c r="C11751" s="5">
        <v>3361</v>
      </c>
      <c r="D11751" s="6">
        <v>6.8</v>
      </c>
      <c r="E11751" t="s">
        <v>18</v>
      </c>
    </row>
    <row r="11752" spans="1:5" x14ac:dyDescent="0.25">
      <c r="A11752" t="str">
        <f>HYPERLINK("https://www.773grp.com/globalSearch/SN65LVDS105PW/page-1", "SN65LVDS105PW")</f>
        <v>SN65LVDS105PW</v>
      </c>
      <c r="B11752" s="3" t="str">
        <f>HYPERLINK("https://www.773grp.com/manufacturer/texas-instruments?pageNo=576", "Texas Instruments")</f>
        <v>Texas Instruments</v>
      </c>
      <c r="C11752" s="5">
        <v>3076</v>
      </c>
      <c r="D11752" s="6">
        <v>6.8</v>
      </c>
      <c r="E11752" t="s">
        <v>18</v>
      </c>
    </row>
    <row r="11753" spans="1:5" x14ac:dyDescent="0.25">
      <c r="A11753" t="str">
        <f>HYPERLINK("https://www.773grp.com/globalSearch/SN65LBC172DW/page-1", "SN65LBC172DW")</f>
        <v>SN65LBC172DW</v>
      </c>
      <c r="B11753" s="3" t="str">
        <f>HYPERLINK("https://www.773grp.com/manufacturer/texas-instruments?pageNo=596", "Texas Instruments")</f>
        <v>Texas Instruments</v>
      </c>
      <c r="C11753" s="5">
        <v>1168</v>
      </c>
      <c r="D11753" s="6">
        <v>6.84</v>
      </c>
      <c r="E11753" t="s">
        <v>18</v>
      </c>
    </row>
    <row r="11754" spans="1:5" x14ac:dyDescent="0.25">
      <c r="A11754" t="str">
        <f>HYPERLINK("https://www.773grp.com/globalSearch/SN65LBC172DWG4/page-1", "SN65LBC172DWG4")</f>
        <v>SN65LBC172DWG4</v>
      </c>
      <c r="B11754" s="3" t="str">
        <f>HYPERLINK("https://www.773grp.com/manufacturer/texas-instruments?pageNo=597", "Texas Instruments")</f>
        <v>Texas Instruments</v>
      </c>
      <c r="C11754" s="5">
        <v>49</v>
      </c>
      <c r="D11754" s="6">
        <v>6.84</v>
      </c>
      <c r="E11754" t="s">
        <v>18</v>
      </c>
    </row>
    <row r="11755" spans="1:5" x14ac:dyDescent="0.25">
      <c r="A11755" t="str">
        <f>HYPERLINK("https://www.773grp.com/globalSearch/MAX3232MPWREP/page-1", "MAX3232MPWREP")</f>
        <v>MAX3232MPWREP</v>
      </c>
      <c r="B11755" s="3" t="str">
        <f>HYPERLINK("https://www.773grp.com/manufacturer/texas-instruments?pageNo=653", "Texas Instruments")</f>
        <v>Texas Instruments</v>
      </c>
      <c r="C11755" s="5">
        <v>225</v>
      </c>
      <c r="D11755" s="6">
        <v>6.89</v>
      </c>
      <c r="E11755" t="s">
        <v>18</v>
      </c>
    </row>
    <row r="11756" spans="1:5" x14ac:dyDescent="0.25">
      <c r="A11756" t="str">
        <f>HYPERLINK("https://www.773grp.com/globalSearch/MAX3243MPWREP/page-1", "MAX3243MPWREP")</f>
        <v>MAX3243MPWREP</v>
      </c>
      <c r="B11756" s="3" t="str">
        <f>HYPERLINK("https://www.773grp.com/manufacturer/texas-instruments?pageNo=655", "Texas Instruments")</f>
        <v>Texas Instruments</v>
      </c>
      <c r="C11756" s="5">
        <v>2000</v>
      </c>
      <c r="D11756" s="6">
        <v>6.89</v>
      </c>
      <c r="E11756" t="s">
        <v>18</v>
      </c>
    </row>
    <row r="11757" spans="1:5" x14ac:dyDescent="0.25">
      <c r="A11757" t="str">
        <f>HYPERLINK("https://www.773grp.com/globalSearch/SN65HVD23P/page-1", "SN65HVD23P")</f>
        <v>SN65HVD23P</v>
      </c>
      <c r="B11757" s="3" t="str">
        <f>HYPERLINK("https://www.773grp.com/manufacturer/texas-instruments?pageNo=667", "Texas Instruments")</f>
        <v>Texas Instruments</v>
      </c>
      <c r="C11757" s="5">
        <v>8322</v>
      </c>
      <c r="D11757" s="6">
        <v>6.89</v>
      </c>
      <c r="E11757" t="s">
        <v>18</v>
      </c>
    </row>
    <row r="11758" spans="1:5" x14ac:dyDescent="0.25">
      <c r="A11758" t="str">
        <f>HYPERLINK("https://www.773grp.com/globalSearch/SN65HVD24P/page-1", "SN65HVD24P")</f>
        <v>SN65HVD24P</v>
      </c>
      <c r="B11758" s="3" t="str">
        <f>HYPERLINK("https://www.773grp.com/manufacturer/texas-instruments?pageNo=668", "Texas Instruments")</f>
        <v>Texas Instruments</v>
      </c>
      <c r="C11758" s="5">
        <v>2370</v>
      </c>
      <c r="D11758" s="6">
        <v>6.89</v>
      </c>
      <c r="E11758" t="s">
        <v>18</v>
      </c>
    </row>
    <row r="11759" spans="1:5" x14ac:dyDescent="0.25">
      <c r="A11759" t="str">
        <f>HYPERLINK("https://www.773grp.com/globalSearch/SN65ALS172AN/page-1", "SN65ALS172AN")</f>
        <v>SN65ALS172AN</v>
      </c>
      <c r="B11759" s="3" t="str">
        <f>HYPERLINK("https://www.773grp.com/manufacturer/texas-instruments?pageNo=697", "Texas Instruments")</f>
        <v>Texas Instruments</v>
      </c>
      <c r="C11759" s="5">
        <v>1770</v>
      </c>
      <c r="D11759" s="6">
        <v>6.93</v>
      </c>
      <c r="E11759" t="s">
        <v>18</v>
      </c>
    </row>
    <row r="11760" spans="1:5" x14ac:dyDescent="0.25">
      <c r="A11760" t="str">
        <f>HYPERLINK("https://www.773grp.com/globalSearch/SN75LVDS84ADGGR/page-1", "SN75LVDS84ADGGR")</f>
        <v>SN75LVDS84ADGGR</v>
      </c>
      <c r="B11760" s="3" t="str">
        <f>HYPERLINK("https://www.773grp.com/manufacturer/texas-instruments?pageNo=740", "Texas Instruments")</f>
        <v>Texas Instruments</v>
      </c>
      <c r="C11760" s="5">
        <v>12000</v>
      </c>
      <c r="D11760" s="6">
        <v>7</v>
      </c>
      <c r="E11760" t="s">
        <v>18</v>
      </c>
    </row>
    <row r="11761" spans="1:5" x14ac:dyDescent="0.25">
      <c r="A11761" t="str">
        <f>HYPERLINK("https://www.773grp.com/globalSearch/SN65ALS1176P/page-1", "SN65ALS1176P")</f>
        <v>SN65ALS1176P</v>
      </c>
      <c r="B11761" s="3" t="str">
        <f>HYPERLINK("https://www.773grp.com/manufacturer/texas-instruments?pageNo=799", "Texas Instruments")</f>
        <v>Texas Instruments</v>
      </c>
      <c r="C11761" s="5">
        <v>14040</v>
      </c>
      <c r="D11761" s="6">
        <v>7.04</v>
      </c>
      <c r="E11761" t="s">
        <v>18</v>
      </c>
    </row>
    <row r="11762" spans="1:5" x14ac:dyDescent="0.25">
      <c r="A11762" t="str">
        <f>HYPERLINK("https://www.773grp.com/globalSearch/SN65HVD11QP/page-1", "SN65HVD11QP")</f>
        <v>SN65HVD11QP</v>
      </c>
      <c r="B11762" s="3" t="str">
        <f>HYPERLINK("https://www.773grp.com/manufacturer/texas-instruments?pageNo=801", "Texas Instruments")</f>
        <v>Texas Instruments</v>
      </c>
      <c r="C11762" s="5">
        <v>2010</v>
      </c>
      <c r="D11762" s="6">
        <v>7.04</v>
      </c>
      <c r="E11762" t="s">
        <v>18</v>
      </c>
    </row>
    <row r="11763" spans="1:5" x14ac:dyDescent="0.25">
      <c r="A11763" t="str">
        <f>HYPERLINK("https://www.773grp.com/globalSearch/SN65HVD1780P/page-1", "SN65HVD1780P")</f>
        <v>SN65HVD1780P</v>
      </c>
      <c r="B11763" s="3" t="str">
        <f>HYPERLINK("https://www.773grp.com/manufacturer/texas-instruments?pageNo=802", "Texas Instruments")</f>
        <v>Texas Instruments</v>
      </c>
      <c r="C11763" s="5">
        <v>295</v>
      </c>
      <c r="D11763" s="6">
        <v>7.04</v>
      </c>
      <c r="E11763" t="s">
        <v>18</v>
      </c>
    </row>
    <row r="11764" spans="1:5" x14ac:dyDescent="0.25">
      <c r="A11764" t="str">
        <f>HYPERLINK("https://www.773grp.com/globalSearch/SN65HVD1781P/page-1", "SN65HVD1781P")</f>
        <v>SN65HVD1781P</v>
      </c>
      <c r="B11764" s="3" t="str">
        <f>HYPERLINK("https://www.773grp.com/manufacturer/texas-instruments?pageNo=803", "Texas Instruments")</f>
        <v>Texas Instruments</v>
      </c>
      <c r="C11764" s="5">
        <v>2120</v>
      </c>
      <c r="D11764" s="6">
        <v>7.04</v>
      </c>
      <c r="E11764" t="s">
        <v>18</v>
      </c>
    </row>
    <row r="11765" spans="1:5" x14ac:dyDescent="0.25">
      <c r="A11765" t="str">
        <f>HYPERLINK("https://www.773grp.com/globalSearch/SN65LVDS388ADBT/page-1", "SN65LVDS388ADBT")</f>
        <v>SN65LVDS388ADBT</v>
      </c>
      <c r="B11765" s="3" t="str">
        <f>HYPERLINK("https://www.773grp.com/manufacturer/texas-instruments?pageNo=804", "Texas Instruments")</f>
        <v>Texas Instruments</v>
      </c>
      <c r="C11765" s="5">
        <v>14134</v>
      </c>
      <c r="D11765" s="6">
        <v>7.04</v>
      </c>
      <c r="E11765" t="s">
        <v>18</v>
      </c>
    </row>
    <row r="11766" spans="1:5" x14ac:dyDescent="0.25">
      <c r="A11766" t="str">
        <f>HYPERLINK("https://www.773grp.com/globalSearch/SN75117D/page-1", "SN75117D")</f>
        <v>SN75117D</v>
      </c>
      <c r="B11766" s="3" t="str">
        <f>HYPERLINK("https://www.773grp.com/manufacturer/texas-instruments?pageNo=840", "Texas Instruments")</f>
        <v>Texas Instruments</v>
      </c>
      <c r="C11766" s="5">
        <v>823</v>
      </c>
      <c r="D11766" s="6">
        <v>7.04</v>
      </c>
      <c r="E11766" t="s">
        <v>18</v>
      </c>
    </row>
    <row r="11767" spans="1:5" x14ac:dyDescent="0.25">
      <c r="A11767" t="str">
        <f>HYPERLINK("https://www.773grp.com/globalSearch/SN75ALS172ADW/page-1", "SN75ALS172ADW")</f>
        <v>SN75ALS172ADW</v>
      </c>
      <c r="B11767" s="3" t="str">
        <f>HYPERLINK("https://www.773grp.com/manufacturer/texas-instruments?pageNo=841", "Texas Instruments")</f>
        <v>Texas Instruments</v>
      </c>
      <c r="C11767" s="5">
        <v>103</v>
      </c>
      <c r="D11767" s="6">
        <v>7.04</v>
      </c>
      <c r="E11767" t="s">
        <v>18</v>
      </c>
    </row>
    <row r="11768" spans="1:5" x14ac:dyDescent="0.25">
      <c r="A11768" t="str">
        <f>HYPERLINK("https://www.773grp.com/globalSearch/SN75LBC241DW/page-1", "SN75LBC241DW")</f>
        <v>SN75LBC241DW</v>
      </c>
      <c r="B11768" s="3" t="str">
        <f>HYPERLINK("https://www.773grp.com/manufacturer/texas-instruments?pageNo=843", "Texas Instruments")</f>
        <v>Texas Instruments</v>
      </c>
      <c r="C11768" s="5">
        <v>1160</v>
      </c>
      <c r="D11768" s="6">
        <v>7.04</v>
      </c>
      <c r="E11768" t="s">
        <v>18</v>
      </c>
    </row>
    <row r="11769" spans="1:5" x14ac:dyDescent="0.25">
      <c r="A11769" t="str">
        <f>HYPERLINK("https://www.773grp.com/globalSearch/SN75LVDS388ADBT/page-1", "SN75LVDS388ADBT")</f>
        <v>SN75LVDS388ADBT</v>
      </c>
      <c r="B11769" s="3" t="str">
        <f>HYPERLINK("https://www.773grp.com/manufacturer/texas-instruments?pageNo=844", "Texas Instruments")</f>
        <v>Texas Instruments</v>
      </c>
      <c r="C11769" s="5">
        <v>800</v>
      </c>
      <c r="D11769" s="6">
        <v>7.04</v>
      </c>
      <c r="E11769" t="s">
        <v>18</v>
      </c>
    </row>
    <row r="11770" spans="1:5" x14ac:dyDescent="0.25">
      <c r="A11770" t="str">
        <f>HYPERLINK("https://www.773grp.com/globalSearch/SN75LBC172N/page-1", "SN75LBC172N")</f>
        <v>SN75LBC172N</v>
      </c>
      <c r="B11770" s="3" t="str">
        <f>HYPERLINK("https://www.773grp.com/manufacturer/texas-instruments?pageNo=928", "Texas Instruments")</f>
        <v>Texas Instruments</v>
      </c>
      <c r="C11770" s="5">
        <v>829</v>
      </c>
      <c r="D11770" s="6">
        <v>7.09</v>
      </c>
      <c r="E11770" t="s">
        <v>18</v>
      </c>
    </row>
    <row r="11771" spans="1:5" x14ac:dyDescent="0.25">
      <c r="A11771" t="str">
        <f>HYPERLINK("https://www.773grp.com/globalSearch/SN75LVDS86ADGGR/page-1", "SN75LVDS86ADGGR")</f>
        <v>SN75LVDS86ADGGR</v>
      </c>
      <c r="B11771" s="3" t="str">
        <f>HYPERLINK("https://www.773grp.com/manufacturer/texas-instruments?pageNo=945", "Texas Instruments")</f>
        <v>Texas Instruments</v>
      </c>
      <c r="C11771" s="5">
        <v>224634</v>
      </c>
      <c r="D11771" s="6">
        <v>7.13</v>
      </c>
      <c r="E11771" t="s">
        <v>18</v>
      </c>
    </row>
    <row r="11772" spans="1:5" x14ac:dyDescent="0.25">
      <c r="A11772" t="str">
        <f>HYPERLINK("https://www.773grp.com/globalSearch/THS6092ID/page-1", "THS6092ID")</f>
        <v>THS6092ID</v>
      </c>
      <c r="B11772" s="3" t="s">
        <v>90</v>
      </c>
      <c r="C11772" s="5">
        <v>20745</v>
      </c>
      <c r="D11772" s="6">
        <v>7.18</v>
      </c>
      <c r="E11772" t="s">
        <v>18</v>
      </c>
    </row>
    <row r="11773" spans="1:5" x14ac:dyDescent="0.25">
      <c r="A11773" t="str">
        <f>HYPERLINK("https://www.773grp.com/globalSearch/THS6093CPWP/page-1", "THS6093CPWP")</f>
        <v>THS6093CPWP</v>
      </c>
      <c r="B11773" s="3" t="s">
        <v>90</v>
      </c>
      <c r="C11773" s="5">
        <v>1275</v>
      </c>
      <c r="D11773" s="6">
        <v>7.18</v>
      </c>
      <c r="E11773" t="s">
        <v>18</v>
      </c>
    </row>
    <row r="11774" spans="1:5" x14ac:dyDescent="0.25">
      <c r="A11774" t="str">
        <f>HYPERLINK("https://www.773grp.com/globalSearch/THS6093ID/page-1", "THS6093ID")</f>
        <v>THS6093ID</v>
      </c>
      <c r="B11774" s="3" t="s">
        <v>90</v>
      </c>
      <c r="C11774" s="5">
        <v>21050</v>
      </c>
      <c r="D11774" s="6">
        <v>7.18</v>
      </c>
      <c r="E11774" t="s">
        <v>18</v>
      </c>
    </row>
    <row r="11775" spans="1:5" x14ac:dyDescent="0.25">
      <c r="A11775" t="str">
        <f>HYPERLINK("https://www.773grp.com/globalSearch/THS6093IPWP/page-1", "THS6093IPWP")</f>
        <v>THS6093IPWP</v>
      </c>
      <c r="B11775" s="3" t="s">
        <v>90</v>
      </c>
      <c r="C11775" s="5">
        <v>53468</v>
      </c>
      <c r="D11775" s="6">
        <v>7.18</v>
      </c>
      <c r="E11775" t="s">
        <v>18</v>
      </c>
    </row>
    <row r="11776" spans="1:5" x14ac:dyDescent="0.25">
      <c r="A11776" t="str">
        <f>HYPERLINK("https://www.773grp.com/globalSearch/SN65LBC174DW/page-1", "SN65LBC174DW")</f>
        <v>SN65LBC174DW</v>
      </c>
      <c r="B11776" s="3" t="s">
        <v>90</v>
      </c>
      <c r="C11776" s="5">
        <v>675</v>
      </c>
      <c r="D11776" s="6">
        <v>7.23</v>
      </c>
      <c r="E11776" t="s">
        <v>18</v>
      </c>
    </row>
    <row r="11777" spans="1:5" x14ac:dyDescent="0.25">
      <c r="A11777" t="str">
        <f>HYPERLINK("https://www.773grp.com/globalSearch/SN65LVDS3486BDR/page-1", "SN65LVDS3486BDR")</f>
        <v>SN65LVDS3486BDR</v>
      </c>
      <c r="B11777" s="3" t="s">
        <v>90</v>
      </c>
      <c r="C11777" s="5">
        <v>1778</v>
      </c>
      <c r="D11777" s="6">
        <v>7.23</v>
      </c>
      <c r="E11777" t="s">
        <v>18</v>
      </c>
    </row>
    <row r="11778" spans="1:5" x14ac:dyDescent="0.25">
      <c r="A11778" t="str">
        <f>HYPERLINK("https://www.773grp.com/globalSearch/SN65LVDT3486BDR/page-1", "SN65LVDT3486BDR")</f>
        <v>SN65LVDT3486BDR</v>
      </c>
      <c r="B11778" s="3" t="s">
        <v>90</v>
      </c>
      <c r="C11778" s="5">
        <v>3500</v>
      </c>
      <c r="D11778" s="6">
        <v>7.23</v>
      </c>
      <c r="E11778" t="s">
        <v>18</v>
      </c>
    </row>
    <row r="11779" spans="1:5" x14ac:dyDescent="0.25">
      <c r="A11779" t="str">
        <f>HYPERLINK("https://www.773grp.com/globalSearch/SN751730DR/page-1", "SN751730DR")</f>
        <v>SN751730DR</v>
      </c>
      <c r="B11779" s="3" t="s">
        <v>90</v>
      </c>
      <c r="C11779" s="5">
        <v>50000</v>
      </c>
      <c r="D11779" s="6">
        <v>7.23</v>
      </c>
      <c r="E11779" t="s">
        <v>18</v>
      </c>
    </row>
    <row r="11780" spans="1:5" x14ac:dyDescent="0.25">
      <c r="A11780" t="str">
        <f>HYPERLINK("https://www.773grp.com/globalSearch/SN751730DRE4/page-1", "SN751730DRE4")</f>
        <v>SN751730DRE4</v>
      </c>
      <c r="B11780" s="3" t="s">
        <v>90</v>
      </c>
      <c r="C11780" s="5">
        <v>2500</v>
      </c>
      <c r="D11780" s="6">
        <v>7.23</v>
      </c>
      <c r="E11780" t="s">
        <v>18</v>
      </c>
    </row>
    <row r="11781" spans="1:5" x14ac:dyDescent="0.25">
      <c r="A11781" t="str">
        <f>HYPERLINK("https://www.773grp.com/globalSearch/SN751730N/page-1", "SN751730N")</f>
        <v>SN751730N</v>
      </c>
      <c r="B11781" s="3" t="s">
        <v>90</v>
      </c>
      <c r="C11781" s="5">
        <v>1948</v>
      </c>
      <c r="D11781" s="6">
        <v>7.23</v>
      </c>
      <c r="E11781" t="s">
        <v>18</v>
      </c>
    </row>
    <row r="11782" spans="1:5" x14ac:dyDescent="0.25">
      <c r="A11782" t="str">
        <f>HYPERLINK("https://www.773grp.com/globalSearch/SN751730NS/page-1", "SN751730NS")</f>
        <v>SN751730NS</v>
      </c>
      <c r="B11782" s="3" t="s">
        <v>90</v>
      </c>
      <c r="C11782" s="5">
        <v>742</v>
      </c>
      <c r="D11782" s="6">
        <v>7.23</v>
      </c>
      <c r="E11782" t="s">
        <v>18</v>
      </c>
    </row>
    <row r="11783" spans="1:5" x14ac:dyDescent="0.25">
      <c r="A11783" t="str">
        <f>HYPERLINK("https://www.773grp.com/globalSearch/SN75C198D/page-1", "SN75C198D")</f>
        <v>SN75C198D</v>
      </c>
      <c r="B11783" s="3" t="s">
        <v>90</v>
      </c>
      <c r="C11783" s="5">
        <v>16933</v>
      </c>
      <c r="D11783" s="6">
        <v>7.23</v>
      </c>
      <c r="E11783" t="s">
        <v>18</v>
      </c>
    </row>
    <row r="11784" spans="1:5" x14ac:dyDescent="0.25">
      <c r="A11784" t="str">
        <f>HYPERLINK("https://www.773grp.com/globalSearch/SN75C198DG4/page-1", "SN75C198DG4")</f>
        <v>SN75C198DG4</v>
      </c>
      <c r="B11784" s="3" t="s">
        <v>90</v>
      </c>
      <c r="C11784" s="5">
        <v>2</v>
      </c>
      <c r="D11784" s="6">
        <v>7.23</v>
      </c>
      <c r="E11784" t="s">
        <v>18</v>
      </c>
    </row>
    <row r="11785" spans="1:5" x14ac:dyDescent="0.25">
      <c r="A11785" t="str">
        <f>HYPERLINK("https://www.773grp.com/globalSearch/SN75LBC776DBR/page-1", "SN75LBC776DBR")</f>
        <v>SN75LBC776DBR</v>
      </c>
      <c r="B11785" s="3" t="s">
        <v>90</v>
      </c>
      <c r="C11785" s="5">
        <v>3527</v>
      </c>
      <c r="D11785" s="6">
        <v>7.31</v>
      </c>
      <c r="E11785" t="s">
        <v>18</v>
      </c>
    </row>
    <row r="11786" spans="1:5" x14ac:dyDescent="0.25">
      <c r="A11786" t="str">
        <f>HYPERLINK("https://www.773grp.com/globalSearch/SN75LBC776DWR/page-1", "SN75LBC776DWR")</f>
        <v>SN75LBC776DWR</v>
      </c>
      <c r="B11786" s="3" t="s">
        <v>90</v>
      </c>
      <c r="C11786" s="5">
        <v>12000</v>
      </c>
      <c r="D11786" s="6">
        <v>7.31</v>
      </c>
      <c r="E11786" t="s">
        <v>18</v>
      </c>
    </row>
    <row r="11787" spans="1:5" x14ac:dyDescent="0.25">
      <c r="A11787" t="str">
        <f>HYPERLINK("https://www.773grp.com/globalSearch/SN65LVDS22PWR/page-1", "SN65LVDS22PWR")</f>
        <v>SN65LVDS22PWR</v>
      </c>
      <c r="B11787" s="3" t="s">
        <v>90</v>
      </c>
      <c r="C11787" s="5">
        <v>5400</v>
      </c>
      <c r="D11787" s="6">
        <v>7.39</v>
      </c>
      <c r="E11787" t="s">
        <v>18</v>
      </c>
    </row>
    <row r="11788" spans="1:5" x14ac:dyDescent="0.25">
      <c r="A11788" t="str">
        <f>HYPERLINK("https://www.773grp.com/globalSearch/SN751178N/page-1", "SN751178N")</f>
        <v>SN751178N</v>
      </c>
      <c r="B11788" s="3" t="s">
        <v>90</v>
      </c>
      <c r="C11788" s="5">
        <v>23954</v>
      </c>
      <c r="D11788" s="6">
        <v>7.39</v>
      </c>
      <c r="E11788" t="s">
        <v>18</v>
      </c>
    </row>
    <row r="11789" spans="1:5" x14ac:dyDescent="0.25">
      <c r="A11789" t="str">
        <f>HYPERLINK("https://www.773grp.com/globalSearch/SN75LVDT388ADBT/page-1", "SN75LVDT388ADBT")</f>
        <v>SN75LVDT388ADBT</v>
      </c>
      <c r="B11789" s="3" t="s">
        <v>90</v>
      </c>
      <c r="C11789" s="5">
        <v>2100</v>
      </c>
      <c r="D11789" s="6">
        <v>7.39</v>
      </c>
      <c r="E11789" t="s">
        <v>18</v>
      </c>
    </row>
    <row r="11790" spans="1:5" x14ac:dyDescent="0.25">
      <c r="A11790" t="str">
        <f>HYPERLINK("https://www.773grp.com/globalSearch/SN75LVDT388ADBTG4/page-1", "SN75LVDT388ADBTG4")</f>
        <v>SN75LVDT388ADBTG4</v>
      </c>
      <c r="B11790" s="3" t="s">
        <v>90</v>
      </c>
      <c r="C11790" s="5">
        <v>518</v>
      </c>
      <c r="D11790" s="6">
        <v>7.39</v>
      </c>
      <c r="E11790" t="s">
        <v>18</v>
      </c>
    </row>
    <row r="11791" spans="1:5" x14ac:dyDescent="0.25">
      <c r="A11791" t="str">
        <f>HYPERLINK("https://www.773grp.com/globalSearch/SN65HVD10QP/page-1", "SN65HVD10QP")</f>
        <v>SN65HVD10QP</v>
      </c>
      <c r="B11791" s="3" t="s">
        <v>90</v>
      </c>
      <c r="C11791" s="5">
        <v>1750</v>
      </c>
      <c r="D11791" s="6">
        <v>7.46</v>
      </c>
      <c r="E11791" t="s">
        <v>18</v>
      </c>
    </row>
    <row r="11792" spans="1:5" x14ac:dyDescent="0.25">
      <c r="A11792" t="str">
        <f>HYPERLINK("https://www.773grp.com/globalSearch/SN65HVD53D/page-1", "SN65HVD53D")</f>
        <v>SN65HVD53D</v>
      </c>
      <c r="B11792" s="3" t="s">
        <v>90</v>
      </c>
      <c r="C11792" s="5">
        <v>1153</v>
      </c>
      <c r="D11792" s="6">
        <v>7.46</v>
      </c>
      <c r="E11792" t="s">
        <v>18</v>
      </c>
    </row>
    <row r="11793" spans="1:5" x14ac:dyDescent="0.25">
      <c r="A11793" t="str">
        <f>HYPERLINK("https://www.773grp.com/globalSearch/SN65HVD54D/page-1", "SN65HVD54D")</f>
        <v>SN65HVD54D</v>
      </c>
      <c r="B11793" s="3" t="s">
        <v>90</v>
      </c>
      <c r="C11793" s="5">
        <v>19</v>
      </c>
      <c r="D11793" s="6">
        <v>7.46</v>
      </c>
      <c r="E11793" t="s">
        <v>18</v>
      </c>
    </row>
    <row r="11794" spans="1:5" x14ac:dyDescent="0.25">
      <c r="A11794" t="str">
        <f>HYPERLINK("https://www.773grp.com/globalSearch/SN65LVDT14PWR/page-1", "SN65LVDT14PWR")</f>
        <v>SN65LVDT14PWR</v>
      </c>
      <c r="B11794" s="3" t="s">
        <v>90</v>
      </c>
      <c r="C11794" s="5">
        <v>66000</v>
      </c>
      <c r="D11794" s="6">
        <v>7.46</v>
      </c>
      <c r="E11794" t="s">
        <v>18</v>
      </c>
    </row>
    <row r="11795" spans="1:5" x14ac:dyDescent="0.25">
      <c r="A11795" t="str">
        <f>HYPERLINK("https://www.773grp.com/globalSearch/SN65LVDT41PWR/page-1", "SN65LVDT41PWR")</f>
        <v>SN65LVDT41PWR</v>
      </c>
      <c r="B11795" s="3" t="s">
        <v>90</v>
      </c>
      <c r="C11795" s="5">
        <v>42000</v>
      </c>
      <c r="D11795" s="6">
        <v>7.46</v>
      </c>
      <c r="E11795" t="s">
        <v>18</v>
      </c>
    </row>
    <row r="11796" spans="1:5" x14ac:dyDescent="0.25">
      <c r="A11796" t="str">
        <f>HYPERLINK("https://www.773grp.com/globalSearch/THS6042CD/page-1", "THS6042CD")</f>
        <v>THS6042CD</v>
      </c>
      <c r="B11796" s="3" t="s">
        <v>90</v>
      </c>
      <c r="C11796" s="5">
        <v>16852</v>
      </c>
      <c r="D11796" s="6">
        <v>7.46</v>
      </c>
      <c r="E11796" t="s">
        <v>18</v>
      </c>
    </row>
    <row r="11797" spans="1:5" x14ac:dyDescent="0.25">
      <c r="A11797" t="str">
        <f>HYPERLINK("https://www.773grp.com/globalSearch/THS6132RGWR/page-1", "THS6132RGWR")</f>
        <v>THS6132RGWR</v>
      </c>
      <c r="B11797" s="3" t="s">
        <v>90</v>
      </c>
      <c r="C11797" s="5">
        <v>110000</v>
      </c>
      <c r="D11797" s="6">
        <v>7.46</v>
      </c>
      <c r="E11797" t="s">
        <v>18</v>
      </c>
    </row>
    <row r="11798" spans="1:5" x14ac:dyDescent="0.25">
      <c r="A11798" t="str">
        <f>HYPERLINK("https://www.773grp.com/globalSearch/SN75LBC174N/page-1", "SN75LBC174N")</f>
        <v>SN75LBC174N</v>
      </c>
      <c r="B11798" s="3" t="s">
        <v>90</v>
      </c>
      <c r="C11798" s="5">
        <v>242</v>
      </c>
      <c r="D11798" s="6">
        <v>7.48</v>
      </c>
      <c r="E11798" t="s">
        <v>18</v>
      </c>
    </row>
    <row r="11799" spans="1:5" x14ac:dyDescent="0.25">
      <c r="A11799" t="str">
        <f>HYPERLINK("https://www.773grp.com/globalSearch/SN65HVD11QD/page-1", "SN65HVD11QD")</f>
        <v>SN65HVD11QD</v>
      </c>
      <c r="B11799" s="3" t="s">
        <v>90</v>
      </c>
      <c r="C11799" s="5">
        <v>86</v>
      </c>
      <c r="D11799" s="6">
        <v>7.6</v>
      </c>
      <c r="E11799" t="s">
        <v>18</v>
      </c>
    </row>
    <row r="11800" spans="1:5" x14ac:dyDescent="0.25">
      <c r="A11800" t="str">
        <f>HYPERLINK("https://www.773grp.com/globalSearch/SN65HVD1782P/page-1", "SN65HVD1782P")</f>
        <v>SN65HVD1782P</v>
      </c>
      <c r="B11800" s="3" t="s">
        <v>90</v>
      </c>
      <c r="C11800" s="5">
        <v>496</v>
      </c>
      <c r="D11800" s="6">
        <v>7.6</v>
      </c>
      <c r="E11800" t="s">
        <v>18</v>
      </c>
    </row>
    <row r="11801" spans="1:5" x14ac:dyDescent="0.25">
      <c r="A11801" t="str">
        <f>HYPERLINK("https://www.773grp.com/globalSearch/SN65LBC172N/page-1", "SN65LBC172N")</f>
        <v>SN65LBC172N</v>
      </c>
      <c r="B11801" s="3" t="s">
        <v>90</v>
      </c>
      <c r="C11801" s="5">
        <v>2045</v>
      </c>
      <c r="D11801" s="6">
        <v>7.6</v>
      </c>
      <c r="E11801" t="s">
        <v>18</v>
      </c>
    </row>
    <row r="11802" spans="1:5" x14ac:dyDescent="0.25">
      <c r="A11802" t="str">
        <f>HYPERLINK("https://www.773grp.com/globalSearch/THS6043CD/page-1", "THS6043CD")</f>
        <v>THS6043CD</v>
      </c>
      <c r="B11802" s="3" t="s">
        <v>90</v>
      </c>
      <c r="C11802" s="5">
        <v>1575</v>
      </c>
      <c r="D11802" s="6">
        <v>7.6</v>
      </c>
      <c r="E11802" t="s">
        <v>18</v>
      </c>
    </row>
    <row r="11803" spans="1:5" x14ac:dyDescent="0.25">
      <c r="A11803" t="str">
        <f>HYPERLINK("https://www.773grp.com/globalSearch/SN65C1154DW/page-1", "SN65C1154DW")</f>
        <v>SN65C1154DW</v>
      </c>
      <c r="B11803" s="3" t="s">
        <v>90</v>
      </c>
      <c r="C11803" s="5">
        <v>116</v>
      </c>
      <c r="D11803" s="6">
        <v>7.63</v>
      </c>
      <c r="E11803" t="s">
        <v>18</v>
      </c>
    </row>
    <row r="11804" spans="1:5" x14ac:dyDescent="0.25">
      <c r="A11804" t="str">
        <f>HYPERLINK("https://www.773grp.com/globalSearch/SN75116D/page-1", "SN75116D")</f>
        <v>SN75116D</v>
      </c>
      <c r="B11804" s="3" t="s">
        <v>90</v>
      </c>
      <c r="C11804" s="5">
        <v>20450</v>
      </c>
      <c r="D11804" s="6">
        <v>7.63</v>
      </c>
      <c r="E11804" t="s">
        <v>18</v>
      </c>
    </row>
    <row r="11805" spans="1:5" x14ac:dyDescent="0.25">
      <c r="A11805" t="str">
        <f>HYPERLINK("https://www.773grp.com/globalSearch/SN75119DR/page-1", "SN75119DR")</f>
        <v>SN75119DR</v>
      </c>
      <c r="B11805" s="3" t="s">
        <v>90</v>
      </c>
      <c r="C11805" s="5">
        <v>15000</v>
      </c>
      <c r="D11805" s="6">
        <v>7.63</v>
      </c>
      <c r="E11805" t="s">
        <v>18</v>
      </c>
    </row>
    <row r="11806" spans="1:5" x14ac:dyDescent="0.25">
      <c r="A11806" t="str">
        <f>HYPERLINK("https://www.773grp.com/globalSearch/DS8831N/page-1", "DS8831N")</f>
        <v>DS8831N</v>
      </c>
      <c r="B11806" s="3" t="s">
        <v>90</v>
      </c>
      <c r="C11806" s="5">
        <v>4489</v>
      </c>
      <c r="D11806" s="6">
        <v>7.73</v>
      </c>
      <c r="E11806" t="s">
        <v>18</v>
      </c>
    </row>
    <row r="11807" spans="1:5" x14ac:dyDescent="0.25">
      <c r="A11807" t="str">
        <f>HYPERLINK("https://www.773grp.com/globalSearch/SN65LBC172ADWR/page-1", "SN65LBC172ADWR")</f>
        <v>SN65LBC172ADWR</v>
      </c>
      <c r="B11807" s="3" t="s">
        <v>90</v>
      </c>
      <c r="C11807" s="5">
        <v>4000</v>
      </c>
      <c r="D11807" s="6">
        <v>7.73</v>
      </c>
      <c r="E11807" t="s">
        <v>18</v>
      </c>
    </row>
    <row r="11808" spans="1:5" x14ac:dyDescent="0.25">
      <c r="A11808" t="str">
        <f>HYPERLINK("https://www.773grp.com/globalSearch/SN65LVDS33MDREP/page-1", "SN65LVDS33MDREP")</f>
        <v>SN65LVDS33MDREP</v>
      </c>
      <c r="B11808" s="3" t="s">
        <v>90</v>
      </c>
      <c r="C11808" s="5">
        <v>1589</v>
      </c>
      <c r="D11808" s="6">
        <v>7.73</v>
      </c>
      <c r="E11808" t="s">
        <v>18</v>
      </c>
    </row>
    <row r="11809" spans="1:5" x14ac:dyDescent="0.25">
      <c r="A11809" t="str">
        <f>HYPERLINK("https://www.773grp.com/globalSearch/SN75LVDS84DGG/page-1", "SN75LVDS84DGG")</f>
        <v>SN75LVDS84DGG</v>
      </c>
      <c r="B11809" s="3" t="s">
        <v>90</v>
      </c>
      <c r="C11809" s="5">
        <v>50</v>
      </c>
      <c r="D11809" s="6">
        <v>7.73</v>
      </c>
      <c r="E11809" t="s">
        <v>18</v>
      </c>
    </row>
    <row r="11810" spans="1:5" x14ac:dyDescent="0.25">
      <c r="A11810" t="str">
        <f>HYPERLINK("https://www.773grp.com/globalSearch/THS6022CPWPR/page-1", "THS6022CPWPR")</f>
        <v>THS6022CPWPR</v>
      </c>
      <c r="B11810" s="3" t="s">
        <v>90</v>
      </c>
      <c r="C11810" s="5">
        <v>44000</v>
      </c>
      <c r="D11810" s="6">
        <v>7.73</v>
      </c>
      <c r="E11810" t="s">
        <v>18</v>
      </c>
    </row>
    <row r="11811" spans="1:5" x14ac:dyDescent="0.25">
      <c r="A11811" t="str">
        <f>HYPERLINK("https://www.773grp.com/globalSearch/V62-05614-01XE/page-1", "V62-05614-01XE")</f>
        <v>V62-05614-01XE</v>
      </c>
      <c r="B11811" s="3" t="s">
        <v>90</v>
      </c>
      <c r="C11811" s="5">
        <v>2400</v>
      </c>
      <c r="D11811" s="6">
        <v>7.73</v>
      </c>
      <c r="E11811" t="s">
        <v>18</v>
      </c>
    </row>
    <row r="11812" spans="1:5" x14ac:dyDescent="0.25">
      <c r="A11812" t="str">
        <f>HYPERLINK("https://www.773grp.com/globalSearch/SN74LV161284DL/page-1", "SN74LV161284DL")</f>
        <v>SN74LV161284DL</v>
      </c>
      <c r="B11812" s="3" t="s">
        <v>90</v>
      </c>
      <c r="C11812" s="5">
        <v>5272</v>
      </c>
      <c r="D11812" s="6">
        <v>7.85</v>
      </c>
      <c r="E11812" t="s">
        <v>18</v>
      </c>
    </row>
    <row r="11813" spans="1:5" x14ac:dyDescent="0.25">
      <c r="A11813" t="str">
        <f>HYPERLINK("https://www.773grp.com/globalSearch/SN65HVD10QD/page-1", "SN65HVD10QD")</f>
        <v>SN65HVD10QD</v>
      </c>
      <c r="B11813" s="3" t="s">
        <v>90</v>
      </c>
      <c r="C11813" s="5">
        <v>728</v>
      </c>
      <c r="D11813" s="6">
        <v>7.88</v>
      </c>
      <c r="E11813" t="s">
        <v>18</v>
      </c>
    </row>
    <row r="11814" spans="1:5" x14ac:dyDescent="0.25">
      <c r="A11814" t="str">
        <f>HYPERLINK("https://www.773grp.com/globalSearch/SN75LVDS83BZQLR/page-1", "SN75LVDS83BZQLR")</f>
        <v>SN75LVDS83BZQLR</v>
      </c>
      <c r="B11814" s="3" t="s">
        <v>90</v>
      </c>
      <c r="C11814" s="5">
        <v>23938</v>
      </c>
      <c r="D11814" s="6">
        <v>7.88</v>
      </c>
      <c r="E11814" t="s">
        <v>18</v>
      </c>
    </row>
    <row r="11815" spans="1:5" x14ac:dyDescent="0.25">
      <c r="A11815" t="str">
        <f>HYPERLINK("https://www.773grp.com/globalSearch/THS6072CD/page-1", "THS6072CD")</f>
        <v>THS6072CD</v>
      </c>
      <c r="B11815" s="3" t="s">
        <v>90</v>
      </c>
      <c r="C11815" s="5">
        <v>20256</v>
      </c>
      <c r="D11815" s="6">
        <v>7.88</v>
      </c>
      <c r="E11815" t="s">
        <v>18</v>
      </c>
    </row>
    <row r="11816" spans="1:5" x14ac:dyDescent="0.25">
      <c r="A11816" t="str">
        <f>HYPERLINK("https://www.773grp.com/globalSearch/THS6072ID/page-1", "THS6072ID")</f>
        <v>THS6072ID</v>
      </c>
      <c r="B11816" s="3" t="s">
        <v>90</v>
      </c>
      <c r="C11816" s="5">
        <v>25972</v>
      </c>
      <c r="D11816" s="6">
        <v>7.88</v>
      </c>
      <c r="E11816" t="s">
        <v>18</v>
      </c>
    </row>
    <row r="11817" spans="1:5" x14ac:dyDescent="0.25">
      <c r="A11817" t="str">
        <f>HYPERLINK("https://www.773grp.com/globalSearch/THS6072IDG4/page-1", "THS6072IDG4")</f>
        <v>THS6072IDG4</v>
      </c>
      <c r="B11817" s="3" t="s">
        <v>90</v>
      </c>
      <c r="C11817" s="5">
        <v>841</v>
      </c>
      <c r="D11817" s="6">
        <v>7.88</v>
      </c>
      <c r="E11817" t="s">
        <v>18</v>
      </c>
    </row>
    <row r="11818" spans="1:5" x14ac:dyDescent="0.25">
      <c r="A11818" t="str">
        <f>HYPERLINK("https://www.773grp.com/globalSearch/SN65LVDS32AD/page-1", "SN65LVDS32AD")</f>
        <v>SN65LVDS32AD</v>
      </c>
      <c r="B11818" s="3" t="s">
        <v>90</v>
      </c>
      <c r="C11818" s="5">
        <v>1099</v>
      </c>
      <c r="D11818" s="6">
        <v>7.9</v>
      </c>
      <c r="E11818" t="s">
        <v>18</v>
      </c>
    </row>
    <row r="11819" spans="1:5" x14ac:dyDescent="0.25">
      <c r="A11819" t="str">
        <f>HYPERLINK("https://www.773grp.com/globalSearch/SN65LVDS32ADR/page-1", "SN65LVDS32ADR")</f>
        <v>SN65LVDS32ADR</v>
      </c>
      <c r="B11819" s="3" t="s">
        <v>90</v>
      </c>
      <c r="C11819" s="5">
        <v>1422</v>
      </c>
      <c r="D11819" s="6">
        <v>7.9</v>
      </c>
      <c r="E11819" t="s">
        <v>18</v>
      </c>
    </row>
    <row r="11820" spans="1:5" x14ac:dyDescent="0.25">
      <c r="A11820" t="str">
        <f>HYPERLINK("https://www.773grp.com/globalSearch/SN75ALS1177N/page-1", "SN75ALS1177N")</f>
        <v>SN75ALS1177N</v>
      </c>
      <c r="B11820" s="3" t="s">
        <v>90</v>
      </c>
      <c r="C11820" s="5">
        <v>721</v>
      </c>
      <c r="D11820" s="6">
        <v>7.9</v>
      </c>
      <c r="E11820" t="s">
        <v>18</v>
      </c>
    </row>
    <row r="11821" spans="1:5" x14ac:dyDescent="0.25">
      <c r="A11821" t="str">
        <f>HYPERLINK("https://www.773grp.com/globalSearch/SN65LVDS84AQDGG/page-1", "SN65LVDS84AQDGG")</f>
        <v>SN65LVDS84AQDGG</v>
      </c>
      <c r="B11821" s="3" t="s">
        <v>90</v>
      </c>
      <c r="C11821" s="5">
        <v>1473</v>
      </c>
      <c r="D11821" s="6">
        <v>7.99</v>
      </c>
      <c r="E11821" t="s">
        <v>18</v>
      </c>
    </row>
    <row r="11822" spans="1:5" x14ac:dyDescent="0.25">
      <c r="A11822" t="str">
        <f>HYPERLINK("https://www.773grp.com/globalSearch/SN65LVDS84AQDGGR/page-1", "SN65LVDS84AQDGGR")</f>
        <v>SN65LVDS84AQDGGR</v>
      </c>
      <c r="B11822" s="3" t="s">
        <v>90</v>
      </c>
      <c r="C11822" s="5">
        <v>22000</v>
      </c>
      <c r="D11822" s="6">
        <v>7.99</v>
      </c>
      <c r="E11822" t="s">
        <v>18</v>
      </c>
    </row>
    <row r="11823" spans="1:5" x14ac:dyDescent="0.25">
      <c r="A11823" t="str">
        <f>HYPERLINK("https://www.773grp.com/globalSearch/SN75LVDS83DGG/page-1", "SN75LVDS83DGG")</f>
        <v>SN75LVDS83DGG</v>
      </c>
      <c r="B11823" s="3" t="s">
        <v>90</v>
      </c>
      <c r="C11823" s="5">
        <v>11607</v>
      </c>
      <c r="D11823" s="6">
        <v>7.99</v>
      </c>
      <c r="E11823" t="s">
        <v>18</v>
      </c>
    </row>
    <row r="11824" spans="1:5" x14ac:dyDescent="0.25">
      <c r="A11824" t="str">
        <f>HYPERLINK("https://www.773grp.com/globalSearch/SN65LBC174N/page-1", "SN65LBC174N")</f>
        <v>SN65LBC174N</v>
      </c>
      <c r="B11824" s="3" t="s">
        <v>90</v>
      </c>
      <c r="C11824" s="5">
        <v>320</v>
      </c>
      <c r="D11824" s="6">
        <v>8.01</v>
      </c>
      <c r="E11824" t="s">
        <v>18</v>
      </c>
    </row>
    <row r="11825" spans="1:5" x14ac:dyDescent="0.25">
      <c r="A11825" t="str">
        <f>HYPERLINK("https://www.773grp.com/globalSearch/SN75LVDS388DBT/page-1", "SN75LVDS388DBT")</f>
        <v>SN75LVDS388DBT</v>
      </c>
      <c r="B11825" s="3" t="s">
        <v>90</v>
      </c>
      <c r="C11825" s="5">
        <v>2697</v>
      </c>
      <c r="D11825" s="6">
        <v>8.01</v>
      </c>
      <c r="E11825" t="s">
        <v>18</v>
      </c>
    </row>
    <row r="11826" spans="1:5" x14ac:dyDescent="0.25">
      <c r="A11826" t="str">
        <f>HYPERLINK("https://www.773grp.com/globalSearch/SN75LVDT388DBT/page-1", "SN75LVDT388DBT")</f>
        <v>SN75LVDT388DBT</v>
      </c>
      <c r="B11826" s="3" t="s">
        <v>90</v>
      </c>
      <c r="C11826" s="5">
        <v>1359</v>
      </c>
      <c r="D11826" s="6">
        <v>8.01</v>
      </c>
      <c r="E11826" t="s">
        <v>18</v>
      </c>
    </row>
    <row r="11827" spans="1:5" x14ac:dyDescent="0.25">
      <c r="A11827" t="str">
        <f>HYPERLINK("https://www.773grp.com/globalSearch/THS6022IPWPR/page-1", "THS6022IPWPR")</f>
        <v>THS6022IPWPR</v>
      </c>
      <c r="B11827" s="3" t="s">
        <v>90</v>
      </c>
      <c r="C11827" s="5">
        <v>32000</v>
      </c>
      <c r="D11827" s="6">
        <v>8.01</v>
      </c>
      <c r="E11827" t="s">
        <v>18</v>
      </c>
    </row>
    <row r="11828" spans="1:5" x14ac:dyDescent="0.25">
      <c r="A11828" t="str">
        <f>HYPERLINK("https://www.773grp.com/globalSearch/SN65LVDS86AQDGGR/page-1", "SN65LVDS86AQDGGR")</f>
        <v>SN65LVDS86AQDGGR</v>
      </c>
      <c r="B11828" s="3" t="s">
        <v>90</v>
      </c>
      <c r="C11828" s="5">
        <v>7800</v>
      </c>
      <c r="D11828" s="6">
        <v>8.14</v>
      </c>
      <c r="E11828" t="s">
        <v>18</v>
      </c>
    </row>
    <row r="11829" spans="1:5" x14ac:dyDescent="0.25">
      <c r="A11829" t="str">
        <f>HYPERLINK("https://www.773grp.com/globalSearch/SN65LVDS352PW/page-1", "SN65LVDS352PW")</f>
        <v>SN65LVDS352PW</v>
      </c>
      <c r="B11829" s="3" t="s">
        <v>90</v>
      </c>
      <c r="C11829" s="5">
        <v>313</v>
      </c>
      <c r="D11829" s="6">
        <v>8.15</v>
      </c>
      <c r="E11829" t="s">
        <v>18</v>
      </c>
    </row>
    <row r="11830" spans="1:5" x14ac:dyDescent="0.25">
      <c r="A11830" t="str">
        <f>HYPERLINK("https://www.773grp.com/globalSearch/SN65LVDS388DBT/page-1", "SN65LVDS388DBT")</f>
        <v>SN65LVDS388DBT</v>
      </c>
      <c r="B11830" s="3" t="s">
        <v>90</v>
      </c>
      <c r="C11830" s="5">
        <v>1105</v>
      </c>
      <c r="D11830" s="6">
        <v>8.15</v>
      </c>
      <c r="E11830" t="s">
        <v>18</v>
      </c>
    </row>
    <row r="11831" spans="1:5" x14ac:dyDescent="0.25">
      <c r="A11831" t="str">
        <f>HYPERLINK("https://www.773grp.com/globalSearch/SN75LVDS388ADBTR/page-1", "SN75LVDS388ADBTR")</f>
        <v>SN75LVDS388ADBTR</v>
      </c>
      <c r="B11831" s="3" t="s">
        <v>90</v>
      </c>
      <c r="C11831" s="5">
        <v>3900</v>
      </c>
      <c r="D11831" s="6">
        <v>8.15</v>
      </c>
      <c r="E11831" t="s">
        <v>18</v>
      </c>
    </row>
    <row r="11832" spans="1:5" x14ac:dyDescent="0.25">
      <c r="A11832" t="str">
        <f>HYPERLINK("https://www.773grp.com/globalSearch/SN75116N/page-1", "SN75116N")</f>
        <v>SN75116N</v>
      </c>
      <c r="B11832" s="3" t="s">
        <v>90</v>
      </c>
      <c r="C11832" s="5">
        <v>350</v>
      </c>
      <c r="D11832" s="6">
        <v>8.24</v>
      </c>
      <c r="E11832" t="s">
        <v>18</v>
      </c>
    </row>
    <row r="11833" spans="1:5" x14ac:dyDescent="0.25">
      <c r="A11833" t="str">
        <f>HYPERLINK("https://www.773grp.com/globalSearch/SN75117P/page-1", "SN75117P")</f>
        <v>SN75117P</v>
      </c>
      <c r="B11833" s="3" t="s">
        <v>90</v>
      </c>
      <c r="C11833" s="5">
        <v>2625</v>
      </c>
      <c r="D11833" s="6">
        <v>8.24</v>
      </c>
      <c r="E11833" t="s">
        <v>18</v>
      </c>
    </row>
    <row r="11834" spans="1:5" x14ac:dyDescent="0.25">
      <c r="A11834" t="str">
        <f>HYPERLINK("https://www.773grp.com/globalSearch/SN75118N/page-1", "SN75118N")</f>
        <v>SN75118N</v>
      </c>
      <c r="B11834" s="3" t="s">
        <v>90</v>
      </c>
      <c r="C11834" s="5">
        <v>3113</v>
      </c>
      <c r="D11834" s="6">
        <v>8.24</v>
      </c>
      <c r="E11834" t="s">
        <v>18</v>
      </c>
    </row>
    <row r="11835" spans="1:5" x14ac:dyDescent="0.25">
      <c r="A11835" t="str">
        <f>HYPERLINK("https://www.773grp.com/globalSearch/SN75119P/page-1", "SN75119P")</f>
        <v>SN75119P</v>
      </c>
      <c r="B11835" s="3" t="s">
        <v>90</v>
      </c>
      <c r="C11835" s="5">
        <v>8826</v>
      </c>
      <c r="D11835" s="6">
        <v>8.24</v>
      </c>
      <c r="E11835" t="s">
        <v>18</v>
      </c>
    </row>
    <row r="11836" spans="1:5" x14ac:dyDescent="0.25">
      <c r="A11836" t="str">
        <f>HYPERLINK("https://www.773grp.com/globalSearch/SN65LVDT9637AD/page-1", "SN65LVDT9637AD")</f>
        <v>SN65LVDT9637AD</v>
      </c>
      <c r="B11836" s="3" t="s">
        <v>90</v>
      </c>
      <c r="C11836" s="5">
        <v>5560</v>
      </c>
      <c r="D11836" s="6">
        <v>8.2799999999999994</v>
      </c>
      <c r="E11836" t="s">
        <v>18</v>
      </c>
    </row>
    <row r="11837" spans="1:5" x14ac:dyDescent="0.25">
      <c r="A11837" t="str">
        <f>HYPERLINK("https://www.773grp.com/globalSearch/SN75LVDS86DGGR/page-1", "SN75LVDS86DGGR")</f>
        <v>SN75LVDS86DGGR</v>
      </c>
      <c r="B11837" s="3" t="s">
        <v>90</v>
      </c>
      <c r="C11837" s="5">
        <v>2000</v>
      </c>
      <c r="D11837" s="6">
        <v>8.2799999999999994</v>
      </c>
      <c r="E11837" t="s">
        <v>18</v>
      </c>
    </row>
    <row r="11838" spans="1:5" x14ac:dyDescent="0.25">
      <c r="A11838" t="str">
        <f>HYPERLINK("https://www.773grp.com/globalSearch/SN75LVDS84ADGG/page-1", "SN75LVDS84ADGG")</f>
        <v>SN75LVDS84ADGG</v>
      </c>
      <c r="B11838" s="3" t="s">
        <v>90</v>
      </c>
      <c r="C11838" s="5">
        <v>32</v>
      </c>
      <c r="D11838" s="6">
        <v>8.33</v>
      </c>
      <c r="E11838" t="s">
        <v>18</v>
      </c>
    </row>
    <row r="11839" spans="1:5" x14ac:dyDescent="0.25">
      <c r="A11839" t="str">
        <f>HYPERLINK("https://www.773grp.com/globalSearch/SN75LBC172A16DW/page-1", "SN75LBC172A16DW")</f>
        <v>SN75LBC172A16DW</v>
      </c>
      <c r="B11839" s="3" t="s">
        <v>90</v>
      </c>
      <c r="C11839" s="5">
        <v>160</v>
      </c>
      <c r="D11839" s="6">
        <v>8.39</v>
      </c>
      <c r="E11839" t="s">
        <v>18</v>
      </c>
    </row>
    <row r="11840" spans="1:5" x14ac:dyDescent="0.25">
      <c r="A11840" t="str">
        <f>HYPERLINK("https://www.773grp.com/globalSearch/ISO35DWR/page-1", "ISO35DWR")</f>
        <v>ISO35DWR</v>
      </c>
      <c r="B11840" s="3" t="s">
        <v>90</v>
      </c>
      <c r="C11840" s="5">
        <v>1850</v>
      </c>
      <c r="D11840" s="6">
        <v>8.44</v>
      </c>
      <c r="E11840" t="s">
        <v>18</v>
      </c>
    </row>
    <row r="11841" spans="1:5" x14ac:dyDescent="0.25">
      <c r="A11841" t="str">
        <f>HYPERLINK("https://www.773grp.com/globalSearch/SN65C198D/page-1", "SN65C198D")</f>
        <v>SN65C198D</v>
      </c>
      <c r="B11841" s="3" t="s">
        <v>90</v>
      </c>
      <c r="C11841" s="5">
        <v>18130</v>
      </c>
      <c r="D11841" s="6">
        <v>8.44</v>
      </c>
      <c r="E11841" t="s">
        <v>18</v>
      </c>
    </row>
    <row r="11842" spans="1:5" x14ac:dyDescent="0.25">
      <c r="A11842" t="str">
        <f>HYPERLINK("https://www.773grp.com/globalSearch/THS6022CGQER/page-1", "THS6022CGQER")</f>
        <v>THS6022CGQER</v>
      </c>
      <c r="B11842" s="3" t="s">
        <v>90</v>
      </c>
      <c r="C11842" s="5">
        <v>4960</v>
      </c>
      <c r="D11842" s="6">
        <v>8.44</v>
      </c>
      <c r="E11842" t="s">
        <v>18</v>
      </c>
    </row>
    <row r="11843" spans="1:5" x14ac:dyDescent="0.25">
      <c r="A11843" t="str">
        <f>HYPERLINK("https://www.773grp.com/globalSearch/TSB41AB3PFP/page-1", "TSB41AB3PFP")</f>
        <v>TSB41AB3PFP</v>
      </c>
      <c r="B11843" s="3" t="s">
        <v>90</v>
      </c>
      <c r="C11843" s="5">
        <v>857</v>
      </c>
      <c r="D11843" s="6">
        <v>8.44</v>
      </c>
      <c r="E11843" t="s">
        <v>18</v>
      </c>
    </row>
    <row r="11844" spans="1:5" x14ac:dyDescent="0.25">
      <c r="A11844" t="str">
        <f>HYPERLINK("https://www.773grp.com/globalSearch/SN75LVDS86ADGG/page-1", "SN75LVDS86ADGG")</f>
        <v>SN75LVDS86ADGG</v>
      </c>
      <c r="B11844" s="3" t="s">
        <v>90</v>
      </c>
      <c r="C11844" s="5">
        <v>1050</v>
      </c>
      <c r="D11844" s="6">
        <v>8.48</v>
      </c>
      <c r="E11844" t="s">
        <v>18</v>
      </c>
    </row>
    <row r="11845" spans="1:5" x14ac:dyDescent="0.25">
      <c r="A11845" t="str">
        <f>HYPERLINK("https://www.773grp.com/globalSearch/SN65LVDS3486BD/page-1", "SN65LVDS3486BD")</f>
        <v>SN65LVDS3486BD</v>
      </c>
      <c r="B11845" s="3" t="s">
        <v>90</v>
      </c>
      <c r="C11845" s="5">
        <v>3926</v>
      </c>
      <c r="D11845" s="6">
        <v>8.61</v>
      </c>
      <c r="E11845" t="s">
        <v>18</v>
      </c>
    </row>
    <row r="11846" spans="1:5" x14ac:dyDescent="0.25">
      <c r="A11846" t="str">
        <f>HYPERLINK("https://www.773grp.com/globalSearch/SN65LVDT3486BD/page-1", "SN65LVDT3486BD")</f>
        <v>SN65LVDT3486BD</v>
      </c>
      <c r="B11846" s="3" t="s">
        <v>90</v>
      </c>
      <c r="C11846" s="5">
        <v>14593</v>
      </c>
      <c r="D11846" s="6">
        <v>8.61</v>
      </c>
      <c r="E11846" t="s">
        <v>18</v>
      </c>
    </row>
    <row r="11847" spans="1:5" x14ac:dyDescent="0.25">
      <c r="A11847" t="str">
        <f>HYPERLINK("https://www.773grp.com/globalSearch/SN75LVDS82DGG/page-1", "SN75LVDS82DGG")</f>
        <v>SN75LVDS82DGG</v>
      </c>
      <c r="B11847" s="3" t="s">
        <v>90</v>
      </c>
      <c r="C11847" s="5">
        <v>1165</v>
      </c>
      <c r="D11847" s="6">
        <v>8.61</v>
      </c>
      <c r="E11847" t="s">
        <v>18</v>
      </c>
    </row>
    <row r="11848" spans="1:5" x14ac:dyDescent="0.25">
      <c r="A11848" t="str">
        <f>HYPERLINK("https://www.773grp.com/globalSearch/SN75LVDS82DGGG4/page-1", "SN75LVDS82DGGG4")</f>
        <v>SN75LVDS82DGGG4</v>
      </c>
      <c r="B11848" s="3" t="s">
        <v>90</v>
      </c>
      <c r="C11848" s="5">
        <v>127</v>
      </c>
      <c r="D11848" s="6">
        <v>8.61</v>
      </c>
      <c r="E11848" t="s">
        <v>18</v>
      </c>
    </row>
    <row r="11849" spans="1:5" x14ac:dyDescent="0.25">
      <c r="A11849" t="str">
        <f>HYPERLINK("https://www.773grp.com/globalSearch/SN65LBC176AMDREP/page-1", "SN65LBC176AMDREP")</f>
        <v>SN65LBC176AMDREP</v>
      </c>
      <c r="B11849" s="3" t="s">
        <v>90</v>
      </c>
      <c r="C11849" s="5">
        <v>14976</v>
      </c>
      <c r="D11849" s="6">
        <v>8.73</v>
      </c>
      <c r="E11849" t="s">
        <v>18</v>
      </c>
    </row>
    <row r="11850" spans="1:5" x14ac:dyDescent="0.25">
      <c r="A11850" t="str">
        <f>HYPERLINK("https://www.773grp.com/globalSearch/SN75LBC174A16DW/page-1", "SN75LBC174A16DW")</f>
        <v>SN75LBC174A16DW</v>
      </c>
      <c r="B11850" s="3" t="s">
        <v>90</v>
      </c>
      <c r="C11850" s="5">
        <v>40</v>
      </c>
      <c r="D11850" s="6">
        <v>8.73</v>
      </c>
      <c r="E11850" t="s">
        <v>18</v>
      </c>
    </row>
    <row r="11851" spans="1:5" x14ac:dyDescent="0.25">
      <c r="A11851" t="str">
        <f>HYPERLINK("https://www.773grp.com/globalSearch/SN75LBC776DW/page-1", "SN75LBC776DW")</f>
        <v>SN75LBC776DW</v>
      </c>
      <c r="B11851" s="3" t="s">
        <v>90</v>
      </c>
      <c r="C11851" s="5">
        <v>23067</v>
      </c>
      <c r="D11851" s="6">
        <v>8.73</v>
      </c>
      <c r="E11851" t="s">
        <v>18</v>
      </c>
    </row>
    <row r="11852" spans="1:5" x14ac:dyDescent="0.25">
      <c r="A11852" t="str">
        <f>HYPERLINK("https://www.773grp.com/globalSearch/UC5180CQTR/page-1", "UC5180CQTR")</f>
        <v>UC5180CQTR</v>
      </c>
      <c r="B11852" s="3" t="s">
        <v>90</v>
      </c>
      <c r="C11852" s="5">
        <v>6650</v>
      </c>
      <c r="D11852" s="6">
        <v>8.73</v>
      </c>
      <c r="E11852" t="s">
        <v>18</v>
      </c>
    </row>
    <row r="11853" spans="1:5" x14ac:dyDescent="0.25">
      <c r="A11853" t="str">
        <f>HYPERLINK("https://www.773grp.com/globalSearch/SN65LVDT14PW/page-1", "SN65LVDT14PW")</f>
        <v>SN65LVDT14PW</v>
      </c>
      <c r="B11853" s="3" t="s">
        <v>90</v>
      </c>
      <c r="C11853" s="5">
        <v>62</v>
      </c>
      <c r="D11853" s="6">
        <v>8.74</v>
      </c>
      <c r="E11853" t="s">
        <v>18</v>
      </c>
    </row>
    <row r="11854" spans="1:5" x14ac:dyDescent="0.25">
      <c r="A11854" t="str">
        <f>HYPERLINK("https://www.773grp.com/globalSearch/SN65LVDT41PW/page-1", "SN65LVDT41PW")</f>
        <v>SN65LVDT41PW</v>
      </c>
      <c r="B11854" s="3" t="s">
        <v>90</v>
      </c>
      <c r="C11854" s="5">
        <v>6001</v>
      </c>
      <c r="D11854" s="6">
        <v>8.74</v>
      </c>
      <c r="E11854" t="s">
        <v>18</v>
      </c>
    </row>
    <row r="11855" spans="1:5" x14ac:dyDescent="0.25">
      <c r="A11855" t="str">
        <f>HYPERLINK("https://www.773grp.com/globalSearch/TSB41LV01PAP/page-1", "TSB41LV01PAP")</f>
        <v>TSB41LV01PAP</v>
      </c>
      <c r="B11855" s="3" t="s">
        <v>90</v>
      </c>
      <c r="C11855" s="5">
        <v>8550</v>
      </c>
      <c r="D11855" s="6">
        <v>8.7799999999999994</v>
      </c>
      <c r="E11855" t="s">
        <v>18</v>
      </c>
    </row>
    <row r="11856" spans="1:5" x14ac:dyDescent="0.25">
      <c r="A11856" t="str">
        <f>HYPERLINK("https://www.773grp.com/globalSearch/SN65LVDS22D/page-1", "SN65LVDS22D")</f>
        <v>SN65LVDS22D</v>
      </c>
      <c r="B11856" s="3" t="s">
        <v>90</v>
      </c>
      <c r="C11856" s="5">
        <v>8661</v>
      </c>
      <c r="D11856" s="6">
        <v>8.81</v>
      </c>
      <c r="E11856" t="s">
        <v>18</v>
      </c>
    </row>
    <row r="11857" spans="1:5" x14ac:dyDescent="0.25">
      <c r="A11857" t="str">
        <f>HYPERLINK("https://www.773grp.com/globalSearch/SN75ALS164N/page-1", "SN75ALS164N")</f>
        <v>SN75ALS164N</v>
      </c>
      <c r="B11857" s="3" t="s">
        <v>90</v>
      </c>
      <c r="C11857" s="5">
        <v>1</v>
      </c>
      <c r="D11857" s="6">
        <v>8.83</v>
      </c>
      <c r="E11857" t="s">
        <v>18</v>
      </c>
    </row>
    <row r="11858" spans="1:5" x14ac:dyDescent="0.25">
      <c r="A11858" t="str">
        <f>HYPERLINK("https://www.773grp.com/globalSearch/DRV1100P/page-1", "DRV1100P")</f>
        <v>DRV1100P</v>
      </c>
      <c r="B11858" s="3" t="s">
        <v>90</v>
      </c>
      <c r="C11858" s="5">
        <v>1316</v>
      </c>
      <c r="D11858" s="6">
        <v>8.86</v>
      </c>
      <c r="E11858" t="s">
        <v>18</v>
      </c>
    </row>
    <row r="11859" spans="1:5" x14ac:dyDescent="0.25">
      <c r="A11859" t="str">
        <f>HYPERLINK("https://www.773grp.com/globalSearch/DRV1100P/page-1", "DRV1100P")</f>
        <v>DRV1100P</v>
      </c>
      <c r="B11859" s="3" t="s">
        <v>90</v>
      </c>
      <c r="C11859" s="5">
        <v>5781</v>
      </c>
      <c r="D11859" s="6">
        <v>8.86</v>
      </c>
      <c r="E11859" t="s">
        <v>18</v>
      </c>
    </row>
    <row r="11860" spans="1:5" x14ac:dyDescent="0.25">
      <c r="A11860" t="str">
        <f>HYPERLINK("https://www.773grp.com/globalSearch/ISO3080DW/page-1", "ISO3080DW")</f>
        <v>ISO3080DW</v>
      </c>
      <c r="B11860" s="3" t="s">
        <v>90</v>
      </c>
      <c r="C11860" s="5">
        <v>73</v>
      </c>
      <c r="D11860" s="6">
        <v>8.86</v>
      </c>
      <c r="E11860" t="s">
        <v>18</v>
      </c>
    </row>
    <row r="11861" spans="1:5" x14ac:dyDescent="0.25">
      <c r="A11861" t="str">
        <f>HYPERLINK("https://www.773grp.com/globalSearch/UC5181CN/page-1", "UC5181CN")</f>
        <v>UC5181CN</v>
      </c>
      <c r="B11861" s="3" t="s">
        <v>90</v>
      </c>
      <c r="C11861" s="5">
        <v>3510</v>
      </c>
      <c r="D11861" s="6">
        <v>8.86</v>
      </c>
      <c r="E11861" t="s">
        <v>18</v>
      </c>
    </row>
    <row r="11862" spans="1:5" x14ac:dyDescent="0.25">
      <c r="A11862" t="str">
        <f>HYPERLINK("https://www.773grp.com/globalSearch/SN65C1406N/page-1", "SN65C1406N")</f>
        <v>SN65C1406N</v>
      </c>
      <c r="B11862" s="3" t="s">
        <v>90</v>
      </c>
      <c r="C11862" s="5">
        <v>7359</v>
      </c>
      <c r="D11862" s="6">
        <v>9</v>
      </c>
      <c r="E11862" t="s">
        <v>18</v>
      </c>
    </row>
    <row r="11863" spans="1:5" x14ac:dyDescent="0.25">
      <c r="A11863" t="str">
        <f>HYPERLINK("https://www.773grp.com/globalSearch/SN65LVDS109DBTR/page-1", "SN65LVDS109DBTR")</f>
        <v>SN65LVDS109DBTR</v>
      </c>
      <c r="B11863" s="3" t="s">
        <v>90</v>
      </c>
      <c r="C11863" s="5">
        <v>4000</v>
      </c>
      <c r="D11863" s="6">
        <v>9</v>
      </c>
      <c r="E11863" t="s">
        <v>18</v>
      </c>
    </row>
    <row r="11864" spans="1:5" x14ac:dyDescent="0.25">
      <c r="A11864" t="str">
        <f>HYPERLINK("https://www.773grp.com/globalSearch/SN75119D/page-1", "SN75119D")</f>
        <v>SN75119D</v>
      </c>
      <c r="B11864" s="3" t="s">
        <v>90</v>
      </c>
      <c r="C11864" s="5">
        <v>20753</v>
      </c>
      <c r="D11864" s="6">
        <v>9.0299999999999994</v>
      </c>
      <c r="E11864" t="s">
        <v>18</v>
      </c>
    </row>
    <row r="11865" spans="1:5" x14ac:dyDescent="0.25">
      <c r="A11865" t="str">
        <f>HYPERLINK("https://www.773grp.com/globalSearch/SN65LBC172A16DW/page-1", "SN65LBC172A16DW")</f>
        <v>SN65LBC172A16DW</v>
      </c>
      <c r="B11865" s="3" t="s">
        <v>90</v>
      </c>
      <c r="C11865" s="5">
        <v>2</v>
      </c>
      <c r="D11865" s="6">
        <v>9.06</v>
      </c>
      <c r="E11865" t="s">
        <v>18</v>
      </c>
    </row>
    <row r="11866" spans="1:5" x14ac:dyDescent="0.25">
      <c r="A11866" t="str">
        <f>HYPERLINK("https://www.773grp.com/globalSearch/SN75186DWR/page-1", "SN75186DWR")</f>
        <v>SN75186DWR</v>
      </c>
      <c r="B11866" s="3" t="s">
        <v>90</v>
      </c>
      <c r="C11866" s="5">
        <v>2000</v>
      </c>
      <c r="D11866" s="6">
        <v>9.15</v>
      </c>
      <c r="E11866" t="s">
        <v>18</v>
      </c>
    </row>
    <row r="11867" spans="1:5" x14ac:dyDescent="0.25">
      <c r="A11867" t="str">
        <f>HYPERLINK("https://www.773grp.com/globalSearch/UC5170CQTR/page-1", "UC5170CQTR")</f>
        <v>UC5170CQTR</v>
      </c>
      <c r="B11867" s="3" t="s">
        <v>90</v>
      </c>
      <c r="C11867" s="5">
        <v>1500</v>
      </c>
      <c r="D11867" s="6">
        <v>9.15</v>
      </c>
      <c r="E11867" t="s">
        <v>18</v>
      </c>
    </row>
    <row r="11868" spans="1:5" x14ac:dyDescent="0.25">
      <c r="A11868" t="str">
        <f>HYPERLINK("https://www.773grp.com/globalSearch/UC5172Q/page-1", "UC5172Q")</f>
        <v>UC5172Q</v>
      </c>
      <c r="B11868" s="3" t="s">
        <v>90</v>
      </c>
      <c r="C11868" s="5">
        <v>1458</v>
      </c>
      <c r="D11868" s="6">
        <v>9.15</v>
      </c>
      <c r="E11868" t="s">
        <v>18</v>
      </c>
    </row>
    <row r="11869" spans="1:5" x14ac:dyDescent="0.25">
      <c r="A11869" t="str">
        <f>HYPERLINK("https://www.773grp.com/globalSearch/UC5181CQTR/page-1", "UC5181CQTR")</f>
        <v>UC5181CQTR</v>
      </c>
      <c r="B11869" s="3" t="s">
        <v>90</v>
      </c>
      <c r="C11869" s="5">
        <v>1500</v>
      </c>
      <c r="D11869" s="6">
        <v>9.15</v>
      </c>
      <c r="E11869" t="s">
        <v>18</v>
      </c>
    </row>
    <row r="11870" spans="1:5" x14ac:dyDescent="0.25">
      <c r="A11870" t="str">
        <f>HYPERLINK("https://www.773grp.com/globalSearch/SN65LVDT9637BDR/page-1", "SN65LVDT9637BDR")</f>
        <v>SN65LVDT9637BDR</v>
      </c>
      <c r="B11870" s="3" t="s">
        <v>90</v>
      </c>
      <c r="C11870" s="5">
        <v>2500</v>
      </c>
      <c r="D11870" s="6">
        <v>9.16</v>
      </c>
      <c r="E11870" t="s">
        <v>18</v>
      </c>
    </row>
    <row r="11871" spans="1:5" x14ac:dyDescent="0.25">
      <c r="A11871" t="str">
        <f>HYPERLINK("https://www.773grp.com/globalSearch/SN65LVDT32AD/page-1", "SN65LVDT32AD")</f>
        <v>SN65LVDT32AD</v>
      </c>
      <c r="B11871" s="3" t="s">
        <v>90</v>
      </c>
      <c r="C11871" s="5">
        <v>5481</v>
      </c>
      <c r="D11871" s="6">
        <v>9.23</v>
      </c>
      <c r="E11871" t="s">
        <v>18</v>
      </c>
    </row>
    <row r="11872" spans="1:5" x14ac:dyDescent="0.25">
      <c r="A11872" t="str">
        <f>HYPERLINK("https://www.773grp.com/globalSearch/ISO1176DW/page-1", "ISO1176DW")</f>
        <v>ISO1176DW</v>
      </c>
      <c r="B11872" s="3" t="s">
        <v>90</v>
      </c>
      <c r="C11872" s="5">
        <v>525</v>
      </c>
      <c r="D11872" s="6">
        <v>9.2899999999999991</v>
      </c>
      <c r="E11872" t="s">
        <v>18</v>
      </c>
    </row>
    <row r="11873" spans="1:5" x14ac:dyDescent="0.25">
      <c r="A11873" t="str">
        <f>HYPERLINK("https://www.773grp.com/globalSearch/THS6022CPWP/page-1", "THS6022CPWP")</f>
        <v>THS6022CPWP</v>
      </c>
      <c r="B11873" s="3" t="s">
        <v>90</v>
      </c>
      <c r="C11873" s="5">
        <v>1868</v>
      </c>
      <c r="D11873" s="6">
        <v>9.2899999999999991</v>
      </c>
      <c r="E11873" t="s">
        <v>18</v>
      </c>
    </row>
    <row r="11874" spans="1:5" x14ac:dyDescent="0.25">
      <c r="A11874" t="str">
        <f>HYPERLINK("https://www.773grp.com/globalSearch/TSB41LV02APAP/page-1", "TSB41LV02APAP")</f>
        <v>TSB41LV02APAP</v>
      </c>
      <c r="B11874" s="3" t="s">
        <v>90</v>
      </c>
      <c r="C11874" s="5">
        <v>83</v>
      </c>
      <c r="D11874" s="6">
        <v>9.31</v>
      </c>
      <c r="E11874" t="s">
        <v>18</v>
      </c>
    </row>
    <row r="11875" spans="1:5" x14ac:dyDescent="0.25">
      <c r="A11875" t="str">
        <f>HYPERLINK("https://www.773grp.com/globalSearch/SN65LVDS3486AD/page-1", "SN65LVDS3486AD")</f>
        <v>SN65LVDS3486AD</v>
      </c>
      <c r="B11875" s="3" t="s">
        <v>90</v>
      </c>
      <c r="C11875" s="5">
        <v>2862</v>
      </c>
      <c r="D11875" s="6">
        <v>9.34</v>
      </c>
      <c r="E11875" t="s">
        <v>18</v>
      </c>
    </row>
    <row r="11876" spans="1:5" x14ac:dyDescent="0.25">
      <c r="A11876" t="str">
        <f>HYPERLINK("https://www.773grp.com/globalSearch/THS6062CDR/page-1", "THS6062CDR")</f>
        <v>THS6062CDR</v>
      </c>
      <c r="B11876" s="3" t="s">
        <v>90</v>
      </c>
      <c r="C11876" s="5">
        <v>17500</v>
      </c>
      <c r="D11876" s="6">
        <v>9.41</v>
      </c>
      <c r="E11876" t="s">
        <v>18</v>
      </c>
    </row>
    <row r="11877" spans="1:5" x14ac:dyDescent="0.25">
      <c r="A11877" t="str">
        <f>HYPERLINK("https://www.773grp.com/globalSearch/THS6062IDR/page-1", "THS6062IDR")</f>
        <v>THS6062IDR</v>
      </c>
      <c r="B11877" s="3" t="s">
        <v>90</v>
      </c>
      <c r="C11877" s="5">
        <v>95000</v>
      </c>
      <c r="D11877" s="6">
        <v>9.41</v>
      </c>
      <c r="E11877" t="s">
        <v>18</v>
      </c>
    </row>
    <row r="11878" spans="1:5" x14ac:dyDescent="0.25">
      <c r="A11878" t="str">
        <f>HYPERLINK("https://www.773grp.com/globalSearch/SN65ALS1176D/page-1", "SN65ALS1176D")</f>
        <v>SN65ALS1176D</v>
      </c>
      <c r="B11878" s="3" t="s">
        <v>90</v>
      </c>
      <c r="C11878" s="5">
        <v>106</v>
      </c>
      <c r="D11878" s="6">
        <v>9.4499999999999993</v>
      </c>
      <c r="E11878" t="s">
        <v>18</v>
      </c>
    </row>
    <row r="11879" spans="1:5" x14ac:dyDescent="0.25">
      <c r="A11879" t="str">
        <f>HYPERLINK("https://www.773grp.com/globalSearch/SN75ALS056DWR/page-1", "SN75ALS056DWR")</f>
        <v>SN75ALS056DWR</v>
      </c>
      <c r="B11879" s="3" t="s">
        <v>90</v>
      </c>
      <c r="C11879" s="5">
        <v>2</v>
      </c>
      <c r="D11879" s="6">
        <v>9.4499999999999993</v>
      </c>
      <c r="E11879" t="s">
        <v>18</v>
      </c>
    </row>
    <row r="11880" spans="1:5" x14ac:dyDescent="0.25">
      <c r="A11880" t="str">
        <f>HYPERLINK("https://www.773grp.com/globalSearch/SN75ALS057DWR/page-1", "SN75ALS057DWR")</f>
        <v>SN75ALS057DWR</v>
      </c>
      <c r="B11880" s="3" t="s">
        <v>90</v>
      </c>
      <c r="C11880" s="5">
        <v>1844</v>
      </c>
      <c r="D11880" s="6">
        <v>9.4499999999999993</v>
      </c>
      <c r="E11880" t="s">
        <v>18</v>
      </c>
    </row>
    <row r="11881" spans="1:5" x14ac:dyDescent="0.25">
      <c r="A11881" t="str">
        <f>HYPERLINK("https://www.773grp.com/globalSearch/SN65LVDT3486AD/page-1", "SN65LVDT3486AD")</f>
        <v>SN65LVDT3486AD</v>
      </c>
      <c r="B11881" s="3" t="s">
        <v>90</v>
      </c>
      <c r="C11881" s="5">
        <v>2473</v>
      </c>
      <c r="D11881" s="6">
        <v>9.56</v>
      </c>
      <c r="E11881" t="s">
        <v>18</v>
      </c>
    </row>
    <row r="11882" spans="1:5" x14ac:dyDescent="0.25">
      <c r="A11882" t="str">
        <f>HYPERLINK("https://www.773grp.com/globalSearch/SN65MLVD128DGG/page-1", "SN65MLVD128DGG")</f>
        <v>SN65MLVD128DGG</v>
      </c>
      <c r="B11882" s="3" t="s">
        <v>90</v>
      </c>
      <c r="C11882" s="5">
        <v>12</v>
      </c>
      <c r="D11882" s="6">
        <v>9.56</v>
      </c>
      <c r="E11882" t="s">
        <v>18</v>
      </c>
    </row>
    <row r="11883" spans="1:5" x14ac:dyDescent="0.25">
      <c r="A11883" t="str">
        <f>HYPERLINK("https://www.773grp.com/globalSearch/SN65MLVD129DGG/page-1", "SN65MLVD129DGG")</f>
        <v>SN65MLVD129DGG</v>
      </c>
      <c r="B11883" s="3" t="s">
        <v>90</v>
      </c>
      <c r="C11883" s="5">
        <v>11218</v>
      </c>
      <c r="D11883" s="6">
        <v>9.56</v>
      </c>
      <c r="E11883" t="s">
        <v>18</v>
      </c>
    </row>
    <row r="11884" spans="1:5" x14ac:dyDescent="0.25">
      <c r="A11884" t="str">
        <f>HYPERLINK("https://www.773grp.com/globalSearch/THS6022IPWP/page-1", "THS6022IPWP")</f>
        <v>THS6022IPWP</v>
      </c>
      <c r="B11884" s="3" t="s">
        <v>90</v>
      </c>
      <c r="C11884" s="5">
        <v>11085</v>
      </c>
      <c r="D11884" s="6">
        <v>9.56</v>
      </c>
      <c r="E11884" t="s">
        <v>18</v>
      </c>
    </row>
    <row r="11885" spans="1:5" x14ac:dyDescent="0.25">
      <c r="A11885" t="str">
        <f>HYPERLINK("https://www.773grp.com/globalSearch/THS6053CD/page-1", "THS6053CD")</f>
        <v>THS6053CD</v>
      </c>
      <c r="B11885" s="3" t="s">
        <v>90</v>
      </c>
      <c r="C11885" s="5">
        <v>1300</v>
      </c>
      <c r="D11885" s="6">
        <v>9.56</v>
      </c>
      <c r="E11885" t="s">
        <v>18</v>
      </c>
    </row>
    <row r="11886" spans="1:5" x14ac:dyDescent="0.25">
      <c r="A11886" t="str">
        <f>HYPERLINK("https://www.773grp.com/globalSearch/THS6053CPWP/page-1", "THS6053CPWP")</f>
        <v>THS6053CPWP</v>
      </c>
      <c r="B11886" s="3" t="s">
        <v>90</v>
      </c>
      <c r="C11886" s="5">
        <v>5921</v>
      </c>
      <c r="D11886" s="6">
        <v>9.56</v>
      </c>
      <c r="E11886" t="s">
        <v>18</v>
      </c>
    </row>
    <row r="11887" spans="1:5" x14ac:dyDescent="0.25">
      <c r="A11887" t="str">
        <f>HYPERLINK("https://www.773grp.com/globalSearch/THS6053CPWPR/page-1", "THS6053CPWPR")</f>
        <v>THS6053CPWPR</v>
      </c>
      <c r="B11887" s="3" t="s">
        <v>90</v>
      </c>
      <c r="C11887" s="5">
        <v>24000</v>
      </c>
      <c r="D11887" s="6">
        <v>9.56</v>
      </c>
      <c r="E11887" t="s">
        <v>18</v>
      </c>
    </row>
    <row r="11888" spans="1:5" x14ac:dyDescent="0.25">
      <c r="A11888" t="str">
        <f>HYPERLINK("https://www.773grp.com/globalSearch/SN75LBC187DBR/page-1", "SN75LBC187DBR")</f>
        <v>SN75LBC187DBR</v>
      </c>
      <c r="B11888" s="3" t="s">
        <v>90</v>
      </c>
      <c r="C11888" s="5">
        <v>6000</v>
      </c>
      <c r="D11888" s="6">
        <v>9.65</v>
      </c>
      <c r="E11888" t="s">
        <v>18</v>
      </c>
    </row>
    <row r="11889" spans="1:5" x14ac:dyDescent="0.25">
      <c r="A11889" t="str">
        <f>HYPERLINK("https://www.773grp.com/globalSearch/SN65LV1224BDBR/page-1", "SN65LV1224BDBR")</f>
        <v>SN65LV1224BDBR</v>
      </c>
      <c r="B11889" s="3" t="s">
        <v>90</v>
      </c>
      <c r="C11889" s="5">
        <v>2000</v>
      </c>
      <c r="D11889" s="6">
        <v>9.75</v>
      </c>
      <c r="E11889" t="s">
        <v>18</v>
      </c>
    </row>
    <row r="11890" spans="1:5" x14ac:dyDescent="0.25">
      <c r="A11890" t="str">
        <f>HYPERLINK("https://www.773grp.com/globalSearch/SN65LV1224BRHBR/page-1", "SN65LV1224BRHBR")</f>
        <v>SN65LV1224BRHBR</v>
      </c>
      <c r="B11890" s="3" t="s">
        <v>90</v>
      </c>
      <c r="C11890" s="5">
        <v>5720</v>
      </c>
      <c r="D11890" s="6">
        <v>9.75</v>
      </c>
      <c r="E11890" t="s">
        <v>18</v>
      </c>
    </row>
    <row r="11891" spans="1:5" x14ac:dyDescent="0.25">
      <c r="A11891" t="str">
        <f>HYPERLINK("https://www.773grp.com/globalSearch/SN75LBC174AN/page-1", "SN75LBC174AN")</f>
        <v>SN75LBC174AN</v>
      </c>
      <c r="B11891" s="3" t="s">
        <v>90</v>
      </c>
      <c r="C11891" s="5">
        <v>2352</v>
      </c>
      <c r="D11891" s="6">
        <v>9.75</v>
      </c>
      <c r="E11891" t="s">
        <v>18</v>
      </c>
    </row>
    <row r="11892" spans="1:5" x14ac:dyDescent="0.25">
      <c r="A11892" t="str">
        <f>HYPERLINK("https://www.773grp.com/globalSearch/SN75LVDS86DGG/page-1", "SN75LVDS86DGG")</f>
        <v>SN75LVDS86DGG</v>
      </c>
      <c r="B11892" s="3" t="s">
        <v>90</v>
      </c>
      <c r="C11892" s="5">
        <v>145</v>
      </c>
      <c r="D11892" s="6">
        <v>9.84</v>
      </c>
      <c r="E11892" t="s">
        <v>18</v>
      </c>
    </row>
    <row r="11893" spans="1:5" x14ac:dyDescent="0.25">
      <c r="A11893" t="str">
        <f>HYPERLINK("https://www.773grp.com/globalSearch/SN65HVD21MDREP/page-1", "SN65HVD21MDREP")</f>
        <v>SN65HVD21MDREP</v>
      </c>
      <c r="B11893" s="3" t="s">
        <v>90</v>
      </c>
      <c r="C11893" s="5">
        <v>1250</v>
      </c>
      <c r="D11893" s="6">
        <v>9.99</v>
      </c>
      <c r="E11893" t="s">
        <v>18</v>
      </c>
    </row>
    <row r="11894" spans="1:5" x14ac:dyDescent="0.25">
      <c r="A11894" t="str">
        <f>HYPERLINK("https://www.773grp.com/globalSearch/SN75LBC171DWR/page-1", "SN75LBC171DWR")</f>
        <v>SN75LBC171DWR</v>
      </c>
      <c r="B11894" s="3" t="s">
        <v>90</v>
      </c>
      <c r="C11894" s="5">
        <v>2000</v>
      </c>
      <c r="D11894" s="6">
        <v>9.99</v>
      </c>
      <c r="E11894" t="s">
        <v>18</v>
      </c>
    </row>
    <row r="11895" spans="1:5" x14ac:dyDescent="0.25">
      <c r="A11895" t="str">
        <f>HYPERLINK("https://www.773grp.com/globalSearch/SN75ALS1711N/page-1", "SN75ALS1711N")</f>
        <v>SN75ALS1711N</v>
      </c>
      <c r="B11895" s="3" t="s">
        <v>90</v>
      </c>
      <c r="C11895" s="5">
        <v>5893</v>
      </c>
      <c r="D11895" s="6">
        <v>10.01</v>
      </c>
      <c r="E11895" t="s">
        <v>18</v>
      </c>
    </row>
    <row r="11896" spans="1:5" x14ac:dyDescent="0.25">
      <c r="A11896" t="str">
        <f>HYPERLINK("https://www.773grp.com/globalSearch/SN65LVDT32BDR/page-1", "SN65LVDT32BDR")</f>
        <v>SN65LVDT32BDR</v>
      </c>
      <c r="B11896" s="3" t="s">
        <v>90</v>
      </c>
      <c r="C11896" s="5">
        <v>12377</v>
      </c>
      <c r="D11896" s="6">
        <v>10.039999999999999</v>
      </c>
      <c r="E11896" t="s">
        <v>18</v>
      </c>
    </row>
    <row r="11897" spans="1:5" x14ac:dyDescent="0.25">
      <c r="A11897" t="str">
        <f>HYPERLINK("https://www.773grp.com/globalSearch/SN75ALS171J/page-1", "SN75ALS171J")</f>
        <v>SN75ALS171J</v>
      </c>
      <c r="B11897" s="3" t="s">
        <v>90</v>
      </c>
      <c r="C11897" s="5">
        <v>634</v>
      </c>
      <c r="D11897" s="6">
        <v>10.039999999999999</v>
      </c>
      <c r="E11897" t="s">
        <v>18</v>
      </c>
    </row>
    <row r="11898" spans="1:5" x14ac:dyDescent="0.25">
      <c r="A11898" t="str">
        <f>HYPERLINK("https://www.773grp.com/globalSearch/SN65LBC172AN/page-1", "SN65LBC172AN")</f>
        <v>SN65LBC172AN</v>
      </c>
      <c r="B11898" s="3" t="s">
        <v>90</v>
      </c>
      <c r="C11898" s="5">
        <v>3020</v>
      </c>
      <c r="D11898" s="6">
        <v>10.08</v>
      </c>
      <c r="E11898" t="s">
        <v>18</v>
      </c>
    </row>
    <row r="11899" spans="1:5" x14ac:dyDescent="0.25">
      <c r="A11899" t="str">
        <f>HYPERLINK("https://www.773grp.com/globalSearch/ISO15DW/page-1", "ISO15DW")</f>
        <v>ISO15DW</v>
      </c>
      <c r="B11899" s="3" t="s">
        <v>90</v>
      </c>
      <c r="C11899" s="5">
        <v>40</v>
      </c>
      <c r="D11899" s="6">
        <v>10.130000000000001</v>
      </c>
      <c r="E11899" t="s">
        <v>18</v>
      </c>
    </row>
    <row r="11900" spans="1:5" x14ac:dyDescent="0.25">
      <c r="A11900" t="str">
        <f>HYPERLINK("https://www.773grp.com/globalSearch/ISO35DW/page-1", "ISO35DW")</f>
        <v>ISO35DW</v>
      </c>
      <c r="B11900" s="3" t="s">
        <v>90</v>
      </c>
      <c r="C11900" s="5">
        <v>170</v>
      </c>
      <c r="D11900" s="6">
        <v>10.130000000000001</v>
      </c>
      <c r="E11900" t="s">
        <v>18</v>
      </c>
    </row>
    <row r="11901" spans="1:5" x14ac:dyDescent="0.25">
      <c r="A11901" t="str">
        <f>HYPERLINK("https://www.773grp.com/globalSearch/UC5180CQ/page-1", "UC5180CQ")</f>
        <v>UC5180CQ</v>
      </c>
      <c r="B11901" s="3" t="s">
        <v>90</v>
      </c>
      <c r="C11901" s="5">
        <v>3888</v>
      </c>
      <c r="D11901" s="6">
        <v>10.130000000000001</v>
      </c>
      <c r="E11901" t="s">
        <v>18</v>
      </c>
    </row>
    <row r="11902" spans="1:5" x14ac:dyDescent="0.25">
      <c r="A11902" t="str">
        <f>HYPERLINK("https://www.773grp.com/globalSearch/UC5180CQ/page-1", "UC5180CQ")</f>
        <v>UC5180CQ</v>
      </c>
      <c r="B11902" s="3" t="s">
        <v>90</v>
      </c>
      <c r="C11902" s="5">
        <v>11157</v>
      </c>
      <c r="D11902" s="6">
        <v>10.130000000000001</v>
      </c>
      <c r="E11902" t="s">
        <v>18</v>
      </c>
    </row>
    <row r="11903" spans="1:5" x14ac:dyDescent="0.25">
      <c r="A11903" t="str">
        <f>HYPERLINK("https://www.773grp.com/globalSearch/SN65LV1023ARHBR/page-1", "SN65LV1023ARHBR")</f>
        <v>SN65LV1023ARHBR</v>
      </c>
      <c r="B11903" s="3" t="s">
        <v>90</v>
      </c>
      <c r="C11903" s="5">
        <v>9910</v>
      </c>
      <c r="D11903" s="6">
        <v>10.210000000000001</v>
      </c>
      <c r="E11903" t="s">
        <v>18</v>
      </c>
    </row>
    <row r="11904" spans="1:5" x14ac:dyDescent="0.25">
      <c r="A11904" t="str">
        <f>HYPERLINK("https://www.773grp.com/globalSearch/SN65C23243DLR/page-1", "SN65C23243DLR")</f>
        <v>SN65C23243DLR</v>
      </c>
      <c r="B11904" s="3" t="s">
        <v>90</v>
      </c>
      <c r="C11904" s="5">
        <v>3000</v>
      </c>
      <c r="D11904" s="6">
        <v>10.24</v>
      </c>
      <c r="E11904" t="s">
        <v>18</v>
      </c>
    </row>
    <row r="11905" spans="1:5" x14ac:dyDescent="0.25">
      <c r="A11905" t="str">
        <f>HYPERLINK("https://www.773grp.com/globalSearch/SN75C23243DLR/page-1", "SN75C23243DLR")</f>
        <v>SN75C23243DLR</v>
      </c>
      <c r="B11905" s="3" t="s">
        <v>90</v>
      </c>
      <c r="C11905" s="5">
        <v>395</v>
      </c>
      <c r="D11905" s="6">
        <v>10.24</v>
      </c>
      <c r="E11905" t="s">
        <v>18</v>
      </c>
    </row>
    <row r="11906" spans="1:5" x14ac:dyDescent="0.25">
      <c r="A11906" t="str">
        <f>HYPERLINK("https://www.773grp.com/globalSearch/ISO1176TDW/page-1", "ISO1176TDW")</f>
        <v>ISO1176TDW</v>
      </c>
      <c r="B11906" s="3" t="s">
        <v>90</v>
      </c>
      <c r="C11906" s="5">
        <v>160</v>
      </c>
      <c r="D11906" s="6">
        <v>10.26</v>
      </c>
      <c r="E11906" t="s">
        <v>18</v>
      </c>
    </row>
    <row r="11907" spans="1:5" x14ac:dyDescent="0.25">
      <c r="A11907" t="str">
        <f>HYPERLINK("https://www.773grp.com/globalSearch/THS6043IPWPR/page-1", "THS6043IPWPR")</f>
        <v>THS6043IPWPR</v>
      </c>
      <c r="B11907" s="3" t="s">
        <v>90</v>
      </c>
      <c r="C11907" s="5">
        <v>4000</v>
      </c>
      <c r="D11907" s="6">
        <v>10.3</v>
      </c>
      <c r="E11907" t="s">
        <v>18</v>
      </c>
    </row>
    <row r="11908" spans="1:5" x14ac:dyDescent="0.25">
      <c r="A11908" t="str">
        <f>HYPERLINK("https://www.773grp.com/globalSearch/THS6062CDGNR/page-1", "THS6062CDGNR")</f>
        <v>THS6062CDGNR</v>
      </c>
      <c r="B11908" s="3" t="s">
        <v>90</v>
      </c>
      <c r="C11908" s="5">
        <v>2500</v>
      </c>
      <c r="D11908" s="6">
        <v>10.35</v>
      </c>
      <c r="E11908" t="s">
        <v>18</v>
      </c>
    </row>
    <row r="11909" spans="1:5" x14ac:dyDescent="0.25">
      <c r="A11909" t="str">
        <f>HYPERLINK("https://www.773grp.com/globalSearch/THS6062IDGNR/page-1", "THS6062IDGNR")</f>
        <v>THS6062IDGNR</v>
      </c>
      <c r="B11909" s="3" t="s">
        <v>90</v>
      </c>
      <c r="C11909" s="5">
        <v>17500</v>
      </c>
      <c r="D11909" s="6">
        <v>10.35</v>
      </c>
      <c r="E11909" t="s">
        <v>18</v>
      </c>
    </row>
    <row r="11910" spans="1:5" x14ac:dyDescent="0.25">
      <c r="A11910" t="str">
        <f>HYPERLINK("https://www.773grp.com/globalSearch/THS6182RHFR/page-1", "THS6182RHFR")</f>
        <v>THS6182RHFR</v>
      </c>
      <c r="B11910" s="3" t="s">
        <v>90</v>
      </c>
      <c r="C11910" s="5">
        <v>16268</v>
      </c>
      <c r="D11910" s="6">
        <v>10.38</v>
      </c>
      <c r="E11910" t="s">
        <v>18</v>
      </c>
    </row>
    <row r="11911" spans="1:5" x14ac:dyDescent="0.25">
      <c r="A11911" t="str">
        <f>HYPERLINK("https://www.773grp.com/globalSearch/SN75ALS056N/page-1", "SN75ALS056N")</f>
        <v>SN75ALS056N</v>
      </c>
      <c r="B11911" s="3" t="s">
        <v>90</v>
      </c>
      <c r="C11911" s="5">
        <v>1933</v>
      </c>
      <c r="D11911" s="6">
        <v>10.43</v>
      </c>
      <c r="E11911" t="s">
        <v>18</v>
      </c>
    </row>
    <row r="11912" spans="1:5" x14ac:dyDescent="0.25">
      <c r="A11912" t="str">
        <f>HYPERLINK("https://www.773grp.com/globalSearch/SN75ALS057N/page-1", "SN75ALS057N")</f>
        <v>SN75ALS057N</v>
      </c>
      <c r="B11912" s="3" t="s">
        <v>90</v>
      </c>
      <c r="C11912" s="5">
        <v>1832</v>
      </c>
      <c r="D11912" s="6">
        <v>10.43</v>
      </c>
      <c r="E11912" t="s">
        <v>18</v>
      </c>
    </row>
    <row r="11913" spans="1:5" x14ac:dyDescent="0.25">
      <c r="A11913" t="str">
        <f>HYPERLINK("https://www.773grp.com/globalSearch/SN65LBC174AN/page-1", "SN65LBC174AN")</f>
        <v>SN65LBC174AN</v>
      </c>
      <c r="B11913" s="3" t="s">
        <v>90</v>
      </c>
      <c r="C11913" s="5">
        <v>1034</v>
      </c>
      <c r="D11913" s="6">
        <v>10.46</v>
      </c>
      <c r="E11913" t="s">
        <v>18</v>
      </c>
    </row>
    <row r="11914" spans="1:5" x14ac:dyDescent="0.25">
      <c r="A11914" t="str">
        <f>HYPERLINK("https://www.773grp.com/globalSearch/SN65LVDS122PWR/page-1", "SN65LVDS122PWR")</f>
        <v>SN65LVDS122PWR</v>
      </c>
      <c r="B11914" s="3" t="s">
        <v>90</v>
      </c>
      <c r="C11914" s="5">
        <v>3730</v>
      </c>
      <c r="D11914" s="6">
        <v>10.55</v>
      </c>
      <c r="E11914" t="s">
        <v>18</v>
      </c>
    </row>
    <row r="11915" spans="1:5" x14ac:dyDescent="0.25">
      <c r="A11915" t="str">
        <f>HYPERLINK("https://www.773grp.com/globalSearch/THS6184PWPR/page-1", "THS6184PWPR")</f>
        <v>THS6184PWPR</v>
      </c>
      <c r="B11915" s="3" t="s">
        <v>90</v>
      </c>
      <c r="C11915" s="5">
        <v>74000</v>
      </c>
      <c r="D11915" s="6">
        <v>10.55</v>
      </c>
      <c r="E11915" t="s">
        <v>18</v>
      </c>
    </row>
    <row r="11916" spans="1:5" x14ac:dyDescent="0.25">
      <c r="A11916" t="str">
        <f>HYPERLINK("https://www.773grp.com/globalSearch/THS6184RHFR/page-1", "THS6184RHFR")</f>
        <v>THS6184RHFR</v>
      </c>
      <c r="B11916" s="3" t="s">
        <v>90</v>
      </c>
      <c r="C11916" s="5">
        <v>282000</v>
      </c>
      <c r="D11916" s="6">
        <v>10.55</v>
      </c>
      <c r="E11916" t="s">
        <v>18</v>
      </c>
    </row>
    <row r="11917" spans="1:5" x14ac:dyDescent="0.25">
      <c r="A11917" t="str">
        <f>HYPERLINK("https://www.773grp.com/globalSearch/UC5172QTR/page-1", "UC5172QTR")</f>
        <v>UC5172QTR</v>
      </c>
      <c r="B11917" s="3" t="s">
        <v>90</v>
      </c>
      <c r="C11917" s="5">
        <v>5250</v>
      </c>
      <c r="D11917" s="6">
        <v>10.55</v>
      </c>
      <c r="E11917" t="s">
        <v>18</v>
      </c>
    </row>
    <row r="11918" spans="1:5" x14ac:dyDescent="0.25">
      <c r="A11918" t="str">
        <f>HYPERLINK("https://www.773grp.com/globalSearch/UC5170CQ/page-1", "UC5170CQ")</f>
        <v>UC5170CQ</v>
      </c>
      <c r="B11918" s="3" t="s">
        <v>90</v>
      </c>
      <c r="C11918" s="5">
        <v>50</v>
      </c>
      <c r="D11918" s="6">
        <v>10.64</v>
      </c>
      <c r="E11918" t="s">
        <v>18</v>
      </c>
    </row>
    <row r="11919" spans="1:5" x14ac:dyDescent="0.25">
      <c r="A11919" t="str">
        <f>HYPERLINK("https://www.773grp.com/globalSearch/UC5181CQ/page-1", "UC5181CQ")</f>
        <v>UC5181CQ</v>
      </c>
      <c r="B11919" s="3" t="s">
        <v>90</v>
      </c>
      <c r="C11919" s="5">
        <v>917</v>
      </c>
      <c r="D11919" s="6">
        <v>10.64</v>
      </c>
      <c r="E11919" t="s">
        <v>18</v>
      </c>
    </row>
    <row r="11920" spans="1:5" x14ac:dyDescent="0.25">
      <c r="A11920" t="str">
        <f>HYPERLINK("https://www.773grp.com/globalSearch/SN75ALS163DW/page-1", "SN75ALS163DW")</f>
        <v>SN75ALS163DW</v>
      </c>
      <c r="B11920" s="3" t="s">
        <v>90</v>
      </c>
      <c r="C11920" s="5">
        <v>30</v>
      </c>
      <c r="D11920" s="6">
        <v>10.66</v>
      </c>
      <c r="E11920" t="s">
        <v>18</v>
      </c>
    </row>
    <row r="11921" spans="1:5" x14ac:dyDescent="0.25">
      <c r="A11921" t="str">
        <f>HYPERLINK("https://www.773grp.com/globalSearch/THS6012CDWPR/page-1", "THS6012CDWPR")</f>
        <v>THS6012CDWPR</v>
      </c>
      <c r="B11921" s="3" t="s">
        <v>90</v>
      </c>
      <c r="C11921" s="5">
        <v>24000</v>
      </c>
      <c r="D11921" s="6">
        <v>10.89</v>
      </c>
      <c r="E11921" t="s">
        <v>18</v>
      </c>
    </row>
    <row r="11922" spans="1:5" x14ac:dyDescent="0.25">
      <c r="A11922" t="str">
        <f>HYPERLINK("https://www.773grp.com/globalSearch/SN65LVDT9637BD/page-1", "SN65LVDT9637BD")</f>
        <v>SN65LVDT9637BD</v>
      </c>
      <c r="B11922" s="3" t="s">
        <v>90</v>
      </c>
      <c r="C11922" s="5">
        <v>14361</v>
      </c>
      <c r="D11922" s="6">
        <v>10.91</v>
      </c>
      <c r="E11922" t="s">
        <v>18</v>
      </c>
    </row>
    <row r="11923" spans="1:5" x14ac:dyDescent="0.25">
      <c r="A11923" t="str">
        <f>HYPERLINK("https://www.773grp.com/globalSearch/THS6182DWPR/page-1", "THS6182DWPR")</f>
        <v>THS6182DWPR</v>
      </c>
      <c r="B11923" s="3" t="s">
        <v>90</v>
      </c>
      <c r="C11923" s="5">
        <v>2000</v>
      </c>
      <c r="D11923" s="6">
        <v>10.94</v>
      </c>
      <c r="E11923" t="s">
        <v>18</v>
      </c>
    </row>
    <row r="11924" spans="1:5" x14ac:dyDescent="0.25">
      <c r="A11924" t="str">
        <f>HYPERLINK("https://www.773grp.com/globalSearch/DIX4192IPFBR/page-1", "DIX4192IPFBR")</f>
        <v>DIX4192IPFBR</v>
      </c>
      <c r="B11924" s="3" t="s">
        <v>90</v>
      </c>
      <c r="C11924" s="5">
        <v>1000</v>
      </c>
      <c r="D11924" s="6">
        <v>11.1</v>
      </c>
      <c r="E11924" t="s">
        <v>18</v>
      </c>
    </row>
    <row r="11925" spans="1:5" x14ac:dyDescent="0.25">
      <c r="A11925" t="str">
        <f>HYPERLINK("https://www.773grp.com/globalSearch/DRV1101U-2K5/page-1", "DRV1101U-2K5")</f>
        <v>DRV1101U-2K5</v>
      </c>
      <c r="B11925" s="3" t="s">
        <v>90</v>
      </c>
      <c r="C11925" s="5">
        <v>110000</v>
      </c>
      <c r="D11925" s="6">
        <v>11.1</v>
      </c>
      <c r="E11925" t="s">
        <v>18</v>
      </c>
    </row>
    <row r="11926" spans="1:5" x14ac:dyDescent="0.25">
      <c r="A11926" t="str">
        <f>HYPERLINK("https://www.773grp.com/globalSearch/DRV1101U-2K5/page-1", "DRV1101U-2K5")</f>
        <v>DRV1101U-2K5</v>
      </c>
      <c r="B11926" s="3" t="s">
        <v>90</v>
      </c>
      <c r="C11926" s="5">
        <v>5000</v>
      </c>
      <c r="D11926" s="6">
        <v>11.1</v>
      </c>
      <c r="E11926" t="s">
        <v>18</v>
      </c>
    </row>
    <row r="11927" spans="1:5" x14ac:dyDescent="0.25">
      <c r="A11927" t="str">
        <f>HYPERLINK("https://www.773grp.com/globalSearch/SN75LBC170DBR/page-1", "SN75LBC170DBR")</f>
        <v>SN75LBC170DBR</v>
      </c>
      <c r="B11927" s="3" t="s">
        <v>90</v>
      </c>
      <c r="C11927" s="5">
        <v>2050</v>
      </c>
      <c r="D11927" s="6">
        <v>11.1</v>
      </c>
      <c r="E11927" t="s">
        <v>18</v>
      </c>
    </row>
    <row r="11928" spans="1:5" x14ac:dyDescent="0.25">
      <c r="A11928" t="str">
        <f>HYPERLINK("https://www.773grp.com/globalSearch/THS6012IDWPR/page-1", "THS6012IDWPR")</f>
        <v>THS6012IDWPR</v>
      </c>
      <c r="B11928" s="3" t="s">
        <v>90</v>
      </c>
      <c r="C11928" s="5">
        <v>10000</v>
      </c>
      <c r="D11928" s="6">
        <v>11.18</v>
      </c>
      <c r="E11928" t="s">
        <v>18</v>
      </c>
    </row>
    <row r="11929" spans="1:5" x14ac:dyDescent="0.25">
      <c r="A11929" t="str">
        <f>HYPERLINK("https://www.773grp.com/globalSearch/SN65LV1224BRHBT/page-1", "SN65LV1224BRHBT")</f>
        <v>SN65LV1224BRHBT</v>
      </c>
      <c r="B11929" s="3" t="s">
        <v>90</v>
      </c>
      <c r="C11929" s="5">
        <v>2500</v>
      </c>
      <c r="D11929" s="6">
        <v>11.19</v>
      </c>
      <c r="E11929" t="s">
        <v>18</v>
      </c>
    </row>
    <row r="11930" spans="1:5" x14ac:dyDescent="0.25">
      <c r="A11930" t="str">
        <f>HYPERLINK("https://www.773grp.com/globalSearch/SN65LVDS108DBT/page-1", "SN65LVDS108DBT")</f>
        <v>SN65LVDS108DBT</v>
      </c>
      <c r="B11930" s="3" t="s">
        <v>90</v>
      </c>
      <c r="C11930" s="5">
        <v>9</v>
      </c>
      <c r="D11930" s="6">
        <v>11.25</v>
      </c>
      <c r="E11930" t="s">
        <v>18</v>
      </c>
    </row>
    <row r="11931" spans="1:5" x14ac:dyDescent="0.25">
      <c r="A11931" t="str">
        <f>HYPERLINK("https://www.773grp.com/globalSearch/SN65LVDS109DBT/page-1", "SN65LVDS109DBT")</f>
        <v>SN65LVDS109DBT</v>
      </c>
      <c r="B11931" s="3" t="s">
        <v>90</v>
      </c>
      <c r="C11931" s="5">
        <v>8836</v>
      </c>
      <c r="D11931" s="6">
        <v>11.25</v>
      </c>
      <c r="E11931" t="s">
        <v>18</v>
      </c>
    </row>
    <row r="11932" spans="1:5" x14ac:dyDescent="0.25">
      <c r="A11932" t="str">
        <f>HYPERLINK("https://www.773grp.com/globalSearch/SN75ALS056DW/page-1", "SN75ALS056DW")</f>
        <v>SN75ALS056DW</v>
      </c>
      <c r="B11932" s="3" t="s">
        <v>90</v>
      </c>
      <c r="C11932" s="5">
        <v>8159</v>
      </c>
      <c r="D11932" s="6">
        <v>11.25</v>
      </c>
      <c r="E11932" t="s">
        <v>18</v>
      </c>
    </row>
    <row r="11933" spans="1:5" x14ac:dyDescent="0.25">
      <c r="A11933" t="str">
        <f>HYPERLINK("https://www.773grp.com/globalSearch/SN75ALS057DW/page-1", "SN75ALS057DW")</f>
        <v>SN75ALS057DW</v>
      </c>
      <c r="B11933" s="3" t="s">
        <v>90</v>
      </c>
      <c r="C11933" s="5">
        <v>5965</v>
      </c>
      <c r="D11933" s="6">
        <v>11.25</v>
      </c>
      <c r="E11933" t="s">
        <v>18</v>
      </c>
    </row>
    <row r="11934" spans="1:5" x14ac:dyDescent="0.25">
      <c r="A11934" t="str">
        <f>HYPERLINK("https://www.773grp.com/globalSearch/SN75ALS162DW/page-1", "SN75ALS162DW")</f>
        <v>SN75ALS162DW</v>
      </c>
      <c r="B11934" s="3" t="s">
        <v>90</v>
      </c>
      <c r="C11934" s="5">
        <v>14308</v>
      </c>
      <c r="D11934" s="6">
        <v>11.25</v>
      </c>
      <c r="E11934" t="s">
        <v>18</v>
      </c>
    </row>
    <row r="11935" spans="1:5" x14ac:dyDescent="0.25">
      <c r="A11935" t="str">
        <f>HYPERLINK("https://www.773grp.com/globalSearch/TSB81BA3EPFP/page-1", "TSB81BA3EPFP")</f>
        <v>TSB81BA3EPFP</v>
      </c>
      <c r="B11935" s="3" t="s">
        <v>90</v>
      </c>
      <c r="C11935" s="5">
        <v>399</v>
      </c>
      <c r="D11935" s="6">
        <v>11.25</v>
      </c>
      <c r="E11935" t="s">
        <v>18</v>
      </c>
    </row>
    <row r="11936" spans="1:5" x14ac:dyDescent="0.25">
      <c r="A11936" t="str">
        <f>HYPERLINK("https://www.773grp.com/globalSearch/THS6042ID/page-1", "THS6042ID")</f>
        <v>THS6042ID</v>
      </c>
      <c r="B11936" s="3" t="s">
        <v>90</v>
      </c>
      <c r="C11936" s="5">
        <v>17793</v>
      </c>
      <c r="D11936" s="6">
        <v>11.44</v>
      </c>
      <c r="E11936" t="s">
        <v>18</v>
      </c>
    </row>
    <row r="11937" spans="1:5" x14ac:dyDescent="0.25">
      <c r="A11937" t="str">
        <f>HYPERLINK("https://www.773grp.com/globalSearch/THS6042IDDA/page-1", "THS6042IDDA")</f>
        <v>THS6042IDDA</v>
      </c>
      <c r="B11937" s="3" t="s">
        <v>90</v>
      </c>
      <c r="C11937" s="5">
        <v>22814</v>
      </c>
      <c r="D11937" s="6">
        <v>11.44</v>
      </c>
      <c r="E11937" t="s">
        <v>18</v>
      </c>
    </row>
    <row r="11938" spans="1:5" x14ac:dyDescent="0.25">
      <c r="A11938" t="str">
        <f>HYPERLINK("https://www.773grp.com/globalSearch/TSB41LV02PAP/page-1", "TSB41LV02PAP")</f>
        <v>TSB41LV02PAP</v>
      </c>
      <c r="B11938" s="3" t="s">
        <v>90</v>
      </c>
      <c r="C11938" s="5">
        <v>29742</v>
      </c>
      <c r="D11938" s="6">
        <v>11.44</v>
      </c>
      <c r="E11938" t="s">
        <v>18</v>
      </c>
    </row>
    <row r="11939" spans="1:5" x14ac:dyDescent="0.25">
      <c r="A11939" t="str">
        <f>HYPERLINK("https://www.773grp.com/globalSearch/THS6052CD/page-1", "THS6052CD")</f>
        <v>THS6052CD</v>
      </c>
      <c r="B11939" s="3" t="s">
        <v>90</v>
      </c>
      <c r="C11939" s="5">
        <v>10183</v>
      </c>
      <c r="D11939" s="6">
        <v>11.53</v>
      </c>
      <c r="E11939" t="s">
        <v>18</v>
      </c>
    </row>
    <row r="11940" spans="1:5" x14ac:dyDescent="0.25">
      <c r="A11940" t="str">
        <f>HYPERLINK("https://www.773grp.com/globalSearch/THS6052CDDA/page-1", "THS6052CDDA")</f>
        <v>THS6052CDDA</v>
      </c>
      <c r="B11940" s="3" t="s">
        <v>90</v>
      </c>
      <c r="C11940" s="5">
        <v>8950</v>
      </c>
      <c r="D11940" s="6">
        <v>11.53</v>
      </c>
      <c r="E11940" t="s">
        <v>18</v>
      </c>
    </row>
    <row r="11941" spans="1:5" x14ac:dyDescent="0.25">
      <c r="A11941" t="str">
        <f>HYPERLINK("https://www.773grp.com/globalSearch/THS6052ID/page-1", "THS6052ID")</f>
        <v>THS6052ID</v>
      </c>
      <c r="B11941" s="3" t="s">
        <v>90</v>
      </c>
      <c r="C11941" s="5">
        <v>12908</v>
      </c>
      <c r="D11941" s="6">
        <v>11.53</v>
      </c>
      <c r="E11941" t="s">
        <v>18</v>
      </c>
    </row>
    <row r="11942" spans="1:5" x14ac:dyDescent="0.25">
      <c r="A11942" t="str">
        <f>HYPERLINK("https://www.773grp.com/globalSearch/THS6052IDDA/page-1", "THS6052IDDA")</f>
        <v>THS6052IDDA</v>
      </c>
      <c r="B11942" s="3" t="s">
        <v>90</v>
      </c>
      <c r="C11942" s="5">
        <v>18575</v>
      </c>
      <c r="D11942" s="6">
        <v>11.53</v>
      </c>
      <c r="E11942" t="s">
        <v>18</v>
      </c>
    </row>
    <row r="11943" spans="1:5" x14ac:dyDescent="0.25">
      <c r="A11943" t="str">
        <f>HYPERLINK("https://www.773grp.com/globalSearch/THS6053ID/page-1", "THS6053ID")</f>
        <v>THS6053ID</v>
      </c>
      <c r="B11943" s="3" t="s">
        <v>90</v>
      </c>
      <c r="C11943" s="5">
        <v>19350</v>
      </c>
      <c r="D11943" s="6">
        <v>11.53</v>
      </c>
      <c r="E11943" t="s">
        <v>18</v>
      </c>
    </row>
    <row r="11944" spans="1:5" x14ac:dyDescent="0.25">
      <c r="A11944" t="str">
        <f>HYPERLINK("https://www.773grp.com/globalSearch/THS6053IPWP/page-1", "THS6053IPWP")</f>
        <v>THS6053IPWP</v>
      </c>
      <c r="B11944" s="3" t="s">
        <v>90</v>
      </c>
      <c r="C11944" s="5">
        <v>180</v>
      </c>
      <c r="D11944" s="6">
        <v>11.53</v>
      </c>
      <c r="E11944" t="s">
        <v>18</v>
      </c>
    </row>
    <row r="11945" spans="1:5" x14ac:dyDescent="0.25">
      <c r="A11945" t="str">
        <f>HYPERLINK("https://www.773grp.com/globalSearch/THS6043ID/page-1", "THS6043ID")</f>
        <v>THS6043ID</v>
      </c>
      <c r="B11945" s="3" t="s">
        <v>90</v>
      </c>
      <c r="C11945" s="5">
        <v>14750</v>
      </c>
      <c r="D11945" s="6">
        <v>11.59</v>
      </c>
      <c r="E11945" t="s">
        <v>18</v>
      </c>
    </row>
    <row r="11946" spans="1:5" x14ac:dyDescent="0.25">
      <c r="A11946" t="str">
        <f>HYPERLINK("https://www.773grp.com/globalSearch/SN65LVDS388DBTR/page-1", "SN65LVDS388DBTR")</f>
        <v>SN65LVDS388DBTR</v>
      </c>
      <c r="B11946" s="3" t="s">
        <v>90</v>
      </c>
      <c r="C11946" s="5">
        <v>1978</v>
      </c>
      <c r="D11946" s="6">
        <v>11.68</v>
      </c>
      <c r="E11946" t="s">
        <v>18</v>
      </c>
    </row>
    <row r="11947" spans="1:5" x14ac:dyDescent="0.25">
      <c r="A11947" t="str">
        <f>HYPERLINK("https://www.773grp.com/globalSearch/SN65LVDS95DGGR/page-1", "SN65LVDS95DGGR")</f>
        <v>SN65LVDS95DGGR</v>
      </c>
      <c r="B11947" s="3" t="s">
        <v>90</v>
      </c>
      <c r="C11947" s="5">
        <v>14515</v>
      </c>
      <c r="D11947" s="6">
        <v>11.68</v>
      </c>
      <c r="E11947" t="s">
        <v>18</v>
      </c>
    </row>
    <row r="11948" spans="1:5" x14ac:dyDescent="0.25">
      <c r="A11948" t="str">
        <f>HYPERLINK("https://www.773grp.com/globalSearch/THS6042CDDA/page-1", "THS6042CDDA")</f>
        <v>THS6042CDDA</v>
      </c>
      <c r="B11948" s="3" t="s">
        <v>90</v>
      </c>
      <c r="C11948" s="5">
        <v>6673</v>
      </c>
      <c r="D11948" s="6">
        <v>11.73</v>
      </c>
      <c r="E11948" t="s">
        <v>18</v>
      </c>
    </row>
    <row r="11949" spans="1:5" x14ac:dyDescent="0.25">
      <c r="A11949" t="str">
        <f>HYPERLINK("https://www.773grp.com/globalSearch/SN65HVD09DGG/page-1", "SN65HVD09DGG")</f>
        <v>SN65HVD09DGG</v>
      </c>
      <c r="B11949" s="3" t="s">
        <v>90</v>
      </c>
      <c r="C11949" s="5">
        <v>17</v>
      </c>
      <c r="D11949" s="6">
        <v>11.81</v>
      </c>
      <c r="E11949" t="s">
        <v>18</v>
      </c>
    </row>
    <row r="11950" spans="1:5" x14ac:dyDescent="0.25">
      <c r="A11950" t="str">
        <f>HYPERLINK("https://www.773grp.com/globalSearch/SN65LV1224BDB/page-1", "SN65LV1224BDB")</f>
        <v>SN65LV1224BDB</v>
      </c>
      <c r="B11950" s="3" t="s">
        <v>90</v>
      </c>
      <c r="C11950" s="5">
        <v>176</v>
      </c>
      <c r="D11950" s="6">
        <v>11.81</v>
      </c>
      <c r="E11950" t="s">
        <v>18</v>
      </c>
    </row>
    <row r="11951" spans="1:5" x14ac:dyDescent="0.25">
      <c r="A11951" t="str">
        <f>HYPERLINK("https://www.773grp.com/globalSearch/SN75LVDS386DGGR/page-1", "SN75LVDS386DGGR")</f>
        <v>SN75LVDS386DGGR</v>
      </c>
      <c r="B11951" s="3" t="s">
        <v>90</v>
      </c>
      <c r="C11951" s="5">
        <v>24523</v>
      </c>
      <c r="D11951" s="6">
        <v>11.81</v>
      </c>
      <c r="E11951" t="s">
        <v>18</v>
      </c>
    </row>
    <row r="11952" spans="1:5" x14ac:dyDescent="0.25">
      <c r="A11952" t="str">
        <f>HYPERLINK("https://www.773grp.com/globalSearch/SN75LVDS387DGGR/page-1", "SN75LVDS387DGGR")</f>
        <v>SN75LVDS387DGGR</v>
      </c>
      <c r="B11952" s="3" t="s">
        <v>90</v>
      </c>
      <c r="C11952" s="5">
        <v>14000</v>
      </c>
      <c r="D11952" s="6">
        <v>11.81</v>
      </c>
      <c r="E11952" t="s">
        <v>18</v>
      </c>
    </row>
    <row r="11953" spans="1:5" x14ac:dyDescent="0.25">
      <c r="A11953" t="str">
        <f>HYPERLINK("https://www.773grp.com/globalSearch/SN65C23243DL/page-1", "SN65C23243DL")</f>
        <v>SN65C23243DL</v>
      </c>
      <c r="B11953" s="3" t="s">
        <v>90</v>
      </c>
      <c r="C11953" s="5">
        <v>2598</v>
      </c>
      <c r="D11953" s="6">
        <v>11.85</v>
      </c>
      <c r="E11953" t="s">
        <v>18</v>
      </c>
    </row>
    <row r="11954" spans="1:5" x14ac:dyDescent="0.25">
      <c r="A11954" t="str">
        <f>HYPERLINK("https://www.773grp.com/globalSearch/THS6043CPWP/page-1", "THS6043CPWP")</f>
        <v>THS6043CPWP</v>
      </c>
      <c r="B11954" s="3" t="s">
        <v>90</v>
      </c>
      <c r="C11954" s="5">
        <v>13539</v>
      </c>
      <c r="D11954" s="6">
        <v>11.86</v>
      </c>
      <c r="E11954" t="s">
        <v>18</v>
      </c>
    </row>
    <row r="11955" spans="1:5" x14ac:dyDescent="0.25">
      <c r="A11955" t="str">
        <f>HYPERLINK("https://www.773grp.com/globalSearch/SN65LBC174AMDWREP/page-1", "SN65LBC174AMDWREP")</f>
        <v>SN65LBC174AMDWREP</v>
      </c>
      <c r="B11955" s="3" t="s">
        <v>90</v>
      </c>
      <c r="C11955" s="5">
        <v>1711</v>
      </c>
      <c r="D11955" s="6">
        <v>11.95</v>
      </c>
      <c r="E11955" t="s">
        <v>18</v>
      </c>
    </row>
    <row r="11956" spans="1:5" x14ac:dyDescent="0.25">
      <c r="A11956" t="str">
        <f>HYPERLINK("https://www.773grp.com/globalSearch/SN65LVDT32BD/page-1", "SN65LVDT32BD")</f>
        <v>SN65LVDT32BD</v>
      </c>
      <c r="B11956" s="3" t="s">
        <v>90</v>
      </c>
      <c r="C11956" s="5">
        <v>551</v>
      </c>
      <c r="D11956" s="6">
        <v>11.95</v>
      </c>
      <c r="E11956" t="s">
        <v>18</v>
      </c>
    </row>
    <row r="11957" spans="1:5" x14ac:dyDescent="0.25">
      <c r="A11957" t="str">
        <f>HYPERLINK("https://www.773grp.com/globalSearch/SN65LVDS151DA/page-1", "SN65LVDS151DA")</f>
        <v>SN65LVDS151DA</v>
      </c>
      <c r="B11957" s="3" t="str">
        <f>HYPERLINK("https://www.773grp.com/manufacturer/texas-instruments?pageNo=3", "Texas Instruments")</f>
        <v>Texas Instruments</v>
      </c>
      <c r="C11957" s="5">
        <v>3038</v>
      </c>
      <c r="D11957" s="6">
        <v>12.11</v>
      </c>
      <c r="E11957" t="s">
        <v>18</v>
      </c>
    </row>
    <row r="11958" spans="1:5" x14ac:dyDescent="0.25">
      <c r="A11958" t="str">
        <f>HYPERLINK("https://www.773grp.com/globalSearch/SN65LVDS152DA/page-1", "SN65LVDS152DA")</f>
        <v>SN65LVDS152DA</v>
      </c>
      <c r="B11958" s="3" t="str">
        <f>HYPERLINK("https://www.773grp.com/manufacturer/texas-instruments?pageNo=4", "Texas Instruments")</f>
        <v>Texas Instruments</v>
      </c>
      <c r="C11958" s="5">
        <v>13861</v>
      </c>
      <c r="D11958" s="6">
        <v>12.11</v>
      </c>
      <c r="E11958" t="s">
        <v>18</v>
      </c>
    </row>
    <row r="11959" spans="1:5" x14ac:dyDescent="0.25">
      <c r="A11959" t="str">
        <f>HYPERLINK("https://www.773grp.com/globalSearch/THS6184RHFT/page-1", "THS6184RHFT")</f>
        <v>THS6184RHFT</v>
      </c>
      <c r="B11959" s="3" t="str">
        <f>HYPERLINK("https://www.773grp.com/manufacturer/texas-instruments?pageNo=59", "Texas Instruments")</f>
        <v>Texas Instruments</v>
      </c>
      <c r="C11959" s="5">
        <v>250</v>
      </c>
      <c r="D11959" s="6">
        <v>12.24</v>
      </c>
      <c r="E11959" t="s">
        <v>18</v>
      </c>
    </row>
    <row r="11960" spans="1:5" x14ac:dyDescent="0.25">
      <c r="A11960" t="str">
        <f>HYPERLINK("https://www.773grp.com/globalSearch/THS6062CD/page-1", "THS6062CD")</f>
        <v>THS6062CD</v>
      </c>
      <c r="B11960" s="3" t="str">
        <f>HYPERLINK("https://www.773grp.com/manufacturer/texas-instruments?pageNo=106", "Texas Instruments")</f>
        <v>Texas Instruments</v>
      </c>
      <c r="C11960" s="5">
        <v>19097</v>
      </c>
      <c r="D11960" s="6">
        <v>12.35</v>
      </c>
      <c r="E11960" t="s">
        <v>18</v>
      </c>
    </row>
    <row r="11961" spans="1:5" x14ac:dyDescent="0.25">
      <c r="A11961" t="str">
        <f>HYPERLINK("https://www.773grp.com/globalSearch/THS6062CDGN/page-1", "THS6062CDGN")</f>
        <v>THS6062CDGN</v>
      </c>
      <c r="B11961" s="3" t="str">
        <f>HYPERLINK("https://www.773grp.com/manufacturer/texas-instruments?pageNo=107", "Texas Instruments")</f>
        <v>Texas Instruments</v>
      </c>
      <c r="C11961" s="5">
        <v>17711</v>
      </c>
      <c r="D11961" s="6">
        <v>12.35</v>
      </c>
      <c r="E11961" t="s">
        <v>18</v>
      </c>
    </row>
    <row r="11962" spans="1:5" x14ac:dyDescent="0.25">
      <c r="A11962" t="str">
        <f>HYPERLINK("https://www.773grp.com/globalSearch/THS6062ID/page-1", "THS6062ID")</f>
        <v>THS6062ID</v>
      </c>
      <c r="B11962" s="3" t="str">
        <f>HYPERLINK("https://www.773grp.com/manufacturer/texas-instruments?pageNo=108", "Texas Instruments")</f>
        <v>Texas Instruments</v>
      </c>
      <c r="C11962" s="5">
        <v>25575</v>
      </c>
      <c r="D11962" s="6">
        <v>12.35</v>
      </c>
      <c r="E11962" t="s">
        <v>18</v>
      </c>
    </row>
    <row r="11963" spans="1:5" x14ac:dyDescent="0.25">
      <c r="A11963" t="str">
        <f>HYPERLINK("https://www.773grp.com/globalSearch/THS6062IDGN/page-1", "THS6062IDGN")</f>
        <v>THS6062IDGN</v>
      </c>
      <c r="B11963" s="3" t="str">
        <f>HYPERLINK("https://www.773grp.com/manufacturer/texas-instruments?pageNo=109", "Texas Instruments")</f>
        <v>Texas Instruments</v>
      </c>
      <c r="C11963" s="5">
        <v>19010</v>
      </c>
      <c r="D11963" s="6">
        <v>12.35</v>
      </c>
      <c r="E11963" t="s">
        <v>18</v>
      </c>
    </row>
    <row r="11964" spans="1:5" x14ac:dyDescent="0.25">
      <c r="A11964" t="str">
        <f>HYPERLINK("https://www.773grp.com/globalSearch/SN65LV1023ADB/page-1", "SN65LV1023ADB")</f>
        <v>SN65LV1023ADB</v>
      </c>
      <c r="B11964" s="3" t="str">
        <f>HYPERLINK("https://www.773grp.com/manufacturer/texas-instruments?pageNo=140", "Texas Instruments")</f>
        <v>Texas Instruments</v>
      </c>
      <c r="C11964" s="5">
        <v>35</v>
      </c>
      <c r="D11964" s="6">
        <v>12.38</v>
      </c>
      <c r="E11964" t="s">
        <v>18</v>
      </c>
    </row>
    <row r="11965" spans="1:5" x14ac:dyDescent="0.25">
      <c r="A11965" t="str">
        <f>HYPERLINK("https://www.773grp.com/globalSearch/SN75LVDT386DGGR/page-1", "SN75LVDT386DGGR")</f>
        <v>SN75LVDT386DGGR</v>
      </c>
      <c r="B11965" s="3" t="str">
        <f>HYPERLINK("https://www.773grp.com/manufacturer/texas-instruments?pageNo=163", "Texas Instruments")</f>
        <v>Texas Instruments</v>
      </c>
      <c r="C11965" s="5">
        <v>11835</v>
      </c>
      <c r="D11965" s="6">
        <v>12.4</v>
      </c>
      <c r="E11965" t="s">
        <v>18</v>
      </c>
    </row>
    <row r="11966" spans="1:5" x14ac:dyDescent="0.25">
      <c r="A11966" t="str">
        <f>HYPERLINK("https://www.773grp.com/globalSearch/SN75ALS161N/page-1", "SN75ALS161N")</f>
        <v>SN75ALS161N</v>
      </c>
      <c r="B11966" s="3" t="str">
        <f>HYPERLINK("https://www.773grp.com/manufacturer/texas-instruments?pageNo=179", "Texas Instruments")</f>
        <v>Texas Instruments</v>
      </c>
      <c r="C11966" s="5">
        <v>1011</v>
      </c>
      <c r="D11966" s="6">
        <v>12.45</v>
      </c>
      <c r="E11966" t="s">
        <v>18</v>
      </c>
    </row>
    <row r="11967" spans="1:5" x14ac:dyDescent="0.25">
      <c r="A11967" t="str">
        <f>HYPERLINK("https://www.773grp.com/globalSearch/SN75ALS161NE4/page-1", "SN75ALS161NE4")</f>
        <v>SN75ALS161NE4</v>
      </c>
      <c r="B11967" s="3" t="str">
        <f>HYPERLINK("https://www.773grp.com/manufacturer/texas-instruments?pageNo=180", "Texas Instruments")</f>
        <v>Texas Instruments</v>
      </c>
      <c r="C11967" s="5">
        <v>300</v>
      </c>
      <c r="D11967" s="6">
        <v>12.45</v>
      </c>
      <c r="E11967" t="s">
        <v>18</v>
      </c>
    </row>
    <row r="11968" spans="1:5" x14ac:dyDescent="0.25">
      <c r="A11968" t="str">
        <f>HYPERLINK("https://www.773grp.com/globalSearch/SN75ALS170DWR/page-1", "SN75ALS170DWR")</f>
        <v>SN75ALS170DWR</v>
      </c>
      <c r="B11968" s="3" t="str">
        <f>HYPERLINK("https://www.773grp.com/manufacturer/texas-instruments?pageNo=181", "Texas Instruments")</f>
        <v>Texas Instruments</v>
      </c>
      <c r="C11968" s="5">
        <v>4000</v>
      </c>
      <c r="D11968" s="6">
        <v>12.45</v>
      </c>
      <c r="E11968" t="s">
        <v>18</v>
      </c>
    </row>
    <row r="11969" spans="1:5" x14ac:dyDescent="0.25">
      <c r="A11969" t="str">
        <f>HYPERLINK("https://www.773grp.com/globalSearch/SN75ALS171DWR/page-1", "SN75ALS171DWR")</f>
        <v>SN75ALS171DWR</v>
      </c>
      <c r="B11969" s="3" t="str">
        <f>HYPERLINK("https://www.773grp.com/manufacturer/texas-instruments?pageNo=182", "Texas Instruments")</f>
        <v>Texas Instruments</v>
      </c>
      <c r="C11969" s="5">
        <v>5000</v>
      </c>
      <c r="D11969" s="6">
        <v>12.45</v>
      </c>
      <c r="E11969" t="s">
        <v>18</v>
      </c>
    </row>
    <row r="11970" spans="1:5" x14ac:dyDescent="0.25">
      <c r="A11970" t="str">
        <f>HYPERLINK("https://www.773grp.com/globalSearch/THS6182D/page-1", "THS6182D")</f>
        <v>THS6182D</v>
      </c>
      <c r="B11970" s="3" t="str">
        <f>HYPERLINK("https://www.773grp.com/manufacturer/texas-instruments?pageNo=188", "Texas Instruments")</f>
        <v>Texas Instruments</v>
      </c>
      <c r="C11970" s="5">
        <v>3680</v>
      </c>
      <c r="D11970" s="6">
        <v>12.45</v>
      </c>
      <c r="E11970" t="s">
        <v>18</v>
      </c>
    </row>
    <row r="11971" spans="1:5" x14ac:dyDescent="0.25">
      <c r="A11971" t="str">
        <f>HYPERLINK("https://www.773grp.com/globalSearch/THS6182DW/page-1", "THS6182DW")</f>
        <v>THS6182DW</v>
      </c>
      <c r="B11971" s="3" t="str">
        <f>HYPERLINK("https://www.773grp.com/manufacturer/texas-instruments?pageNo=189", "Texas Instruments")</f>
        <v>Texas Instruments</v>
      </c>
      <c r="C11971" s="5">
        <v>12247</v>
      </c>
      <c r="D11971" s="6">
        <v>12.45</v>
      </c>
      <c r="E11971" t="s">
        <v>18</v>
      </c>
    </row>
    <row r="11972" spans="1:5" x14ac:dyDescent="0.25">
      <c r="A11972" t="str">
        <f>HYPERLINK("https://www.773grp.com/globalSearch/AM26LS32AMJ/page-1", "AM26LS32AMJ")</f>
        <v>AM26LS32AMJ</v>
      </c>
      <c r="B11972" s="3" t="str">
        <f>HYPERLINK("https://www.773grp.com/manufacturer/texas-instruments?pageNo=193", "Texas Instruments")</f>
        <v>Texas Instruments</v>
      </c>
      <c r="C11972" s="5">
        <v>892</v>
      </c>
      <c r="D11972" s="6">
        <v>12.49</v>
      </c>
      <c r="E11972" t="s">
        <v>18</v>
      </c>
    </row>
    <row r="11973" spans="1:5" x14ac:dyDescent="0.25">
      <c r="A11973" t="str">
        <f>HYPERLINK("https://www.773grp.com/globalSearch/SN65LVDS122D/page-1", "SN65LVDS122D")</f>
        <v>SN65LVDS122D</v>
      </c>
      <c r="B11973" s="3" t="str">
        <f>HYPERLINK("https://www.773grp.com/manufacturer/texas-instruments?pageNo=283", "Texas Instruments")</f>
        <v>Texas Instruments</v>
      </c>
      <c r="C11973" s="5">
        <v>707</v>
      </c>
      <c r="D11973" s="6">
        <v>12.66</v>
      </c>
      <c r="E11973" t="s">
        <v>18</v>
      </c>
    </row>
    <row r="11974" spans="1:5" x14ac:dyDescent="0.25">
      <c r="A11974" t="str">
        <f>HYPERLINK("https://www.773grp.com/globalSearch/SN65LVDS122PW/page-1", "SN65LVDS122PW")</f>
        <v>SN65LVDS122PW</v>
      </c>
      <c r="B11974" s="3" t="str">
        <f>HYPERLINK("https://www.773grp.com/manufacturer/texas-instruments?pageNo=284", "Texas Instruments")</f>
        <v>Texas Instruments</v>
      </c>
      <c r="C11974" s="5">
        <v>809</v>
      </c>
      <c r="D11974" s="6">
        <v>12.66</v>
      </c>
      <c r="E11974" t="s">
        <v>18</v>
      </c>
    </row>
    <row r="11975" spans="1:5" x14ac:dyDescent="0.25">
      <c r="A11975" t="str">
        <f>HYPERLINK("https://www.773grp.com/globalSearch/THS6184PWP/page-1", "THS6184PWP")</f>
        <v>THS6184PWP</v>
      </c>
      <c r="B11975" s="3" t="str">
        <f>HYPERLINK("https://www.773grp.com/manufacturer/texas-instruments?pageNo=304", "Texas Instruments")</f>
        <v>Texas Instruments</v>
      </c>
      <c r="C11975" s="5">
        <v>1466</v>
      </c>
      <c r="D11975" s="6">
        <v>12.66</v>
      </c>
      <c r="E11975" t="s">
        <v>18</v>
      </c>
    </row>
    <row r="11976" spans="1:5" x14ac:dyDescent="0.25">
      <c r="A11976" t="str">
        <f>HYPERLINK("https://www.773grp.com/globalSearch/SN65LVDS93DGGR/page-1", "SN65LVDS93DGGR")</f>
        <v>SN65LVDS93DGGR</v>
      </c>
      <c r="B11976" s="3" t="str">
        <f>HYPERLINK("https://www.773grp.com/manufacturer/texas-instruments?pageNo=339", "Texas Instruments")</f>
        <v>Texas Instruments</v>
      </c>
      <c r="C11976" s="5">
        <v>13840</v>
      </c>
      <c r="D11976" s="6">
        <v>12.71</v>
      </c>
      <c r="E11976" t="s">
        <v>18</v>
      </c>
    </row>
    <row r="11977" spans="1:5" x14ac:dyDescent="0.25">
      <c r="A11977" t="str">
        <f>HYPERLINK("https://www.773grp.com/globalSearch/SN65LVDT388DBT/page-1", "SN65LVDT388DBT")</f>
        <v>SN65LVDT388DBT</v>
      </c>
      <c r="B11977" s="3" t="str">
        <f>HYPERLINK("https://www.773grp.com/manufacturer/texas-instruments?pageNo=390", "Texas Instruments")</f>
        <v>Texas Instruments</v>
      </c>
      <c r="C11977" s="5">
        <v>34306</v>
      </c>
      <c r="D11977" s="6">
        <v>12.83</v>
      </c>
      <c r="E11977" t="s">
        <v>18</v>
      </c>
    </row>
    <row r="11978" spans="1:5" x14ac:dyDescent="0.25">
      <c r="A11978" t="str">
        <f>HYPERLINK("https://www.773grp.com/globalSearch/SN65LVDT388DBTR/page-1", "SN65LVDT388DBTR")</f>
        <v>SN65LVDT388DBTR</v>
      </c>
      <c r="B11978" s="3" t="str">
        <f>HYPERLINK("https://www.773grp.com/manufacturer/texas-instruments?pageNo=391", "Texas Instruments")</f>
        <v>Texas Instruments</v>
      </c>
      <c r="C11978" s="5">
        <v>2000</v>
      </c>
      <c r="D11978" s="6">
        <v>12.83</v>
      </c>
      <c r="E11978" t="s">
        <v>18</v>
      </c>
    </row>
    <row r="11979" spans="1:5" x14ac:dyDescent="0.25">
      <c r="A11979" t="str">
        <f>HYPERLINK("https://www.773grp.com/globalSearch/SN75186FN/page-1", "SN75186FN")</f>
        <v>SN75186FN</v>
      </c>
      <c r="B11979" s="3" t="str">
        <f>HYPERLINK("https://www.773grp.com/manufacturer/texas-instruments?pageNo=413", "Texas Instruments")</f>
        <v>Texas Instruments</v>
      </c>
      <c r="C11979" s="5">
        <v>3530</v>
      </c>
      <c r="D11979" s="6">
        <v>12.86</v>
      </c>
      <c r="E11979" t="s">
        <v>18</v>
      </c>
    </row>
    <row r="11980" spans="1:5" x14ac:dyDescent="0.25">
      <c r="A11980" t="str">
        <f>HYPERLINK("https://www.773grp.com/globalSearch/SN75ALS163DWR/page-1", "SN75ALS163DWR")</f>
        <v>SN75ALS163DWR</v>
      </c>
      <c r="B11980" s="3" t="str">
        <f>HYPERLINK("https://www.773grp.com/manufacturer/texas-instruments?pageNo=414", "Texas Instruments")</f>
        <v>Texas Instruments</v>
      </c>
      <c r="C11980" s="5">
        <v>4000</v>
      </c>
      <c r="D11980" s="6">
        <v>12.86</v>
      </c>
      <c r="E11980" t="s">
        <v>18</v>
      </c>
    </row>
    <row r="11981" spans="1:5" x14ac:dyDescent="0.25">
      <c r="A11981" t="str">
        <f>HYPERLINK("https://www.773grp.com/globalSearch/SN75ALS164DW/page-1", "SN75ALS164DW")</f>
        <v>SN75ALS164DW</v>
      </c>
      <c r="B11981" s="3" t="str">
        <f>HYPERLINK("https://www.773grp.com/manufacturer/texas-instruments?pageNo=415", "Texas Instruments")</f>
        <v>Texas Instruments</v>
      </c>
      <c r="C11981" s="5">
        <v>2398</v>
      </c>
      <c r="D11981" s="6">
        <v>12.86</v>
      </c>
      <c r="E11981" t="s">
        <v>18</v>
      </c>
    </row>
    <row r="11982" spans="1:5" x14ac:dyDescent="0.25">
      <c r="A11982" t="str">
        <f>HYPERLINK("https://www.773grp.com/globalSearch/SN65LVDM22D/page-1", "SN65LVDM22D")</f>
        <v>SN65LVDM22D</v>
      </c>
      <c r="B11982" s="3" t="str">
        <f>HYPERLINK("https://www.773grp.com/manufacturer/texas-instruments?pageNo=490", "Texas Instruments")</f>
        <v>Texas Instruments</v>
      </c>
      <c r="C11982" s="5">
        <v>24099</v>
      </c>
      <c r="D11982" s="6">
        <v>13.03</v>
      </c>
      <c r="E11982" t="s">
        <v>18</v>
      </c>
    </row>
    <row r="11983" spans="1:5" x14ac:dyDescent="0.25">
      <c r="A11983" t="str">
        <f>HYPERLINK("https://www.773grp.com/globalSearch/SN65LVDM22PW/page-1", "SN65LVDM22PW")</f>
        <v>SN65LVDM22PW</v>
      </c>
      <c r="B11983" s="3" t="str">
        <f>HYPERLINK("https://www.773grp.com/manufacturer/texas-instruments?pageNo=491", "Texas Instruments")</f>
        <v>Texas Instruments</v>
      </c>
      <c r="C11983" s="5">
        <v>11821</v>
      </c>
      <c r="D11983" s="6">
        <v>13.03</v>
      </c>
      <c r="E11983" t="s">
        <v>18</v>
      </c>
    </row>
    <row r="11984" spans="1:5" x14ac:dyDescent="0.25">
      <c r="A11984" t="str">
        <f>HYPERLINK("https://www.773grp.com/globalSearch/THS6012CDWP/page-1", "THS6012CDWP")</f>
        <v>THS6012CDWP</v>
      </c>
      <c r="B11984" s="3" t="str">
        <f>HYPERLINK("https://www.773grp.com/manufacturer/texas-instruments?pageNo=492", "Texas Instruments")</f>
        <v>Texas Instruments</v>
      </c>
      <c r="C11984" s="5">
        <v>1451</v>
      </c>
      <c r="D11984" s="6">
        <v>13.03</v>
      </c>
      <c r="E11984" t="s">
        <v>18</v>
      </c>
    </row>
    <row r="11985" spans="1:5" x14ac:dyDescent="0.25">
      <c r="A11985" t="str">
        <f>HYPERLINK("https://www.773grp.com/globalSearch/SN65LVDS116DGGR/page-1", "SN65LVDS116DGGR")</f>
        <v>SN65LVDS116DGGR</v>
      </c>
      <c r="B11985" s="3" t="str">
        <f>HYPERLINK("https://www.773grp.com/manufacturer/texas-instruments?pageNo=627", "Texas Instruments")</f>
        <v>Texas Instruments</v>
      </c>
      <c r="C11985" s="5">
        <v>12000</v>
      </c>
      <c r="D11985" s="6">
        <v>13.3</v>
      </c>
      <c r="E11985" t="s">
        <v>18</v>
      </c>
    </row>
    <row r="11986" spans="1:5" x14ac:dyDescent="0.25">
      <c r="A11986" t="str">
        <f>HYPERLINK("https://www.773grp.com/globalSearch/SN65LVDS117DGGR/page-1", "SN65LVDS117DGGR")</f>
        <v>SN65LVDS117DGGR</v>
      </c>
      <c r="B11986" s="3" t="str">
        <f>HYPERLINK("https://www.773grp.com/manufacturer/texas-instruments?pageNo=628", "Texas Instruments")</f>
        <v>Texas Instruments</v>
      </c>
      <c r="C11986" s="5">
        <v>3726</v>
      </c>
      <c r="D11986" s="6">
        <v>13.3</v>
      </c>
      <c r="E11986" t="s">
        <v>18</v>
      </c>
    </row>
    <row r="11987" spans="1:5" x14ac:dyDescent="0.25">
      <c r="A11987" t="str">
        <f>HYPERLINK("https://www.773grp.com/globalSearch/THS6012IDWP/page-1", "THS6012IDWP")</f>
        <v>THS6012IDWP</v>
      </c>
      <c r="B11987" s="3" t="str">
        <f>HYPERLINK("https://www.773grp.com/manufacturer/texas-instruments?pageNo=632", "Texas Instruments")</f>
        <v>Texas Instruments</v>
      </c>
      <c r="C11987" s="5">
        <v>19165</v>
      </c>
      <c r="D11987" s="6">
        <v>13.3</v>
      </c>
      <c r="E11987" t="s">
        <v>18</v>
      </c>
    </row>
    <row r="11988" spans="1:5" x14ac:dyDescent="0.25">
      <c r="A11988" t="str">
        <f>HYPERLINK("https://www.773grp.com/globalSearch/DIX4192IPFB/page-1", "DIX4192IPFB")</f>
        <v>DIX4192IPFB</v>
      </c>
      <c r="B11988" s="3" t="str">
        <f>HYPERLINK("https://www.773grp.com/manufacturer/texas-instruments?pageNo=644", "Texas Instruments")</f>
        <v>Texas Instruments</v>
      </c>
      <c r="C11988" s="5">
        <v>2250</v>
      </c>
      <c r="D11988" s="6">
        <v>13.34</v>
      </c>
      <c r="E11988" t="s">
        <v>18</v>
      </c>
    </row>
    <row r="11989" spans="1:5" x14ac:dyDescent="0.25">
      <c r="A11989" t="str">
        <f>HYPERLINK("https://www.773grp.com/globalSearch/DIX4192IPFBG4/page-1", "DIX4192IPFBG4")</f>
        <v>DIX4192IPFBG4</v>
      </c>
      <c r="B11989" s="3" t="str">
        <f>HYPERLINK("https://www.773grp.com/manufacturer/texas-instruments?pageNo=645", "Texas Instruments")</f>
        <v>Texas Instruments</v>
      </c>
      <c r="C11989" s="5">
        <v>475</v>
      </c>
      <c r="D11989" s="6">
        <v>13.34</v>
      </c>
      <c r="E11989" t="s">
        <v>18</v>
      </c>
    </row>
    <row r="11990" spans="1:5" x14ac:dyDescent="0.25">
      <c r="A11990" t="str">
        <f>HYPERLINK("https://www.773grp.com/globalSearch/SN75LBC170DB/page-1", "SN75LBC170DB")</f>
        <v>SN75LBC170DB</v>
      </c>
      <c r="B11990" s="3" t="str">
        <f>HYPERLINK("https://www.773grp.com/manufacturer/texas-instruments?pageNo=666", "Texas Instruments")</f>
        <v>Texas Instruments</v>
      </c>
      <c r="C11990" s="5">
        <v>136</v>
      </c>
      <c r="D11990" s="6">
        <v>13.36</v>
      </c>
      <c r="E11990" t="s">
        <v>18</v>
      </c>
    </row>
    <row r="11991" spans="1:5" x14ac:dyDescent="0.25">
      <c r="A11991" t="str">
        <f>HYPERLINK("https://www.773grp.com/globalSearch/SN65LVDS386DGGR/page-1", "SN65LVDS386DGGR")</f>
        <v>SN65LVDS386DGGR</v>
      </c>
      <c r="B11991" s="3" t="str">
        <f>HYPERLINK("https://www.773grp.com/manufacturer/texas-instruments?pageNo=743", "Texas Instruments")</f>
        <v>Texas Instruments</v>
      </c>
      <c r="C11991" s="5">
        <v>8000</v>
      </c>
      <c r="D11991" s="6">
        <v>13.5</v>
      </c>
      <c r="E11991" t="s">
        <v>18</v>
      </c>
    </row>
    <row r="11992" spans="1:5" x14ac:dyDescent="0.25">
      <c r="A11992" t="str">
        <f>HYPERLINK("https://www.773grp.com/globalSearch/SN65LVDS387DGGR/page-1", "SN65LVDS387DGGR")</f>
        <v>SN65LVDS387DGGR</v>
      </c>
      <c r="B11992" s="3" t="str">
        <f>HYPERLINK("https://www.773grp.com/manufacturer/texas-instruments?pageNo=744", "Texas Instruments")</f>
        <v>Texas Instruments</v>
      </c>
      <c r="C11992" s="5">
        <v>7799</v>
      </c>
      <c r="D11992" s="6">
        <v>13.5</v>
      </c>
      <c r="E11992" t="s">
        <v>18</v>
      </c>
    </row>
    <row r="11993" spans="1:5" x14ac:dyDescent="0.25">
      <c r="A11993" t="str">
        <f>HYPERLINK("https://www.773grp.com/globalSearch/SN65LVDT122D/page-1", "SN65LVDT122D")</f>
        <v>SN65LVDT122D</v>
      </c>
      <c r="B11993" s="3" t="str">
        <f>HYPERLINK("https://www.773grp.com/manufacturer/texas-instruments?pageNo=745", "Texas Instruments")</f>
        <v>Texas Instruments</v>
      </c>
      <c r="C11993" s="5">
        <v>6318</v>
      </c>
      <c r="D11993" s="6">
        <v>13.5</v>
      </c>
      <c r="E11993" t="s">
        <v>18</v>
      </c>
    </row>
    <row r="11994" spans="1:5" x14ac:dyDescent="0.25">
      <c r="A11994" t="str">
        <f>HYPERLINK("https://www.773grp.com/globalSearch/SN65LVDS95DGGRQ1/page-1", "SN65LVDS95DGGRQ1")</f>
        <v>SN65LVDS95DGGRQ1</v>
      </c>
      <c r="B11994" s="3" t="str">
        <f>HYPERLINK("https://www.773grp.com/manufacturer/texas-instruments?pageNo=777", "Texas Instruments")</f>
        <v>Texas Instruments</v>
      </c>
      <c r="C11994" s="5">
        <v>2000</v>
      </c>
      <c r="D11994" s="6">
        <v>13.55</v>
      </c>
      <c r="E11994" t="s">
        <v>18</v>
      </c>
    </row>
    <row r="11995" spans="1:5" x14ac:dyDescent="0.25">
      <c r="A11995" t="str">
        <f>HYPERLINK("https://www.773grp.com/globalSearch/SN65LVDS9637AD/page-1", "SN65LVDS9637AD")</f>
        <v>SN65LVDS9637AD</v>
      </c>
      <c r="B11995" s="3" t="str">
        <f>HYPERLINK("https://www.773grp.com/manufacturer/texas-instruments?pageNo=780", "Texas Instruments")</f>
        <v>Texas Instruments</v>
      </c>
      <c r="C11995" s="5">
        <v>15111</v>
      </c>
      <c r="D11995" s="6">
        <v>13.59</v>
      </c>
      <c r="E11995" t="s">
        <v>18</v>
      </c>
    </row>
    <row r="11996" spans="1:5" x14ac:dyDescent="0.25">
      <c r="A11996" t="str">
        <f>HYPERLINK("https://www.773grp.com/globalSearch/SN65LVDS9637ADR/page-1", "SN65LVDS9637ADR")</f>
        <v>SN65LVDS9637ADR</v>
      </c>
      <c r="B11996" s="3" t="str">
        <f>HYPERLINK("https://www.773grp.com/manufacturer/texas-instruments?pageNo=781", "Texas Instruments")</f>
        <v>Texas Instruments</v>
      </c>
      <c r="C11996" s="5">
        <v>5000</v>
      </c>
      <c r="D11996" s="6">
        <v>13.59</v>
      </c>
      <c r="E11996" t="s">
        <v>18</v>
      </c>
    </row>
    <row r="11997" spans="1:5" x14ac:dyDescent="0.25">
      <c r="A11997" t="str">
        <f>HYPERLINK("https://www.773grp.com/globalSearch/SN75ALS161DW/page-1", "SN75ALS161DW")</f>
        <v>SN75ALS161DW</v>
      </c>
      <c r="B11997" s="3" t="str">
        <f>HYPERLINK("https://www.773grp.com/manufacturer/texas-instruments?pageNo=838", "Texas Instruments")</f>
        <v>Texas Instruments</v>
      </c>
      <c r="C11997" s="5">
        <v>2003</v>
      </c>
      <c r="D11997" s="6">
        <v>13.68</v>
      </c>
      <c r="E11997" t="s">
        <v>18</v>
      </c>
    </row>
    <row r="11998" spans="1:5" x14ac:dyDescent="0.25">
      <c r="A11998" t="str">
        <f>HYPERLINK("https://www.773grp.com/globalSearch/SN75ALS161DWE4/page-1", "SN75ALS161DWE4")</f>
        <v>SN75ALS161DWE4</v>
      </c>
      <c r="B11998" s="3" t="str">
        <f>HYPERLINK("https://www.773grp.com/manufacturer/texas-instruments?pageNo=839", "Texas Instruments")</f>
        <v>Texas Instruments</v>
      </c>
      <c r="C11998" s="5">
        <v>92</v>
      </c>
      <c r="D11998" s="6">
        <v>13.68</v>
      </c>
      <c r="E11998" t="s">
        <v>18</v>
      </c>
    </row>
    <row r="11999" spans="1:5" x14ac:dyDescent="0.25">
      <c r="A11999" t="str">
        <f>HYPERLINK("https://www.773grp.com/globalSearch/SN65LVDS95DGG/page-1", "SN65LVDS95DGG")</f>
        <v>SN65LVDS95DGG</v>
      </c>
      <c r="B11999" s="3" t="str">
        <f>HYPERLINK("https://www.773grp.com/manufacturer/texas-instruments?pageNo=942", "Texas Instruments")</f>
        <v>Texas Instruments</v>
      </c>
      <c r="C11999" s="5">
        <v>1350</v>
      </c>
      <c r="D11999" s="6">
        <v>13.89</v>
      </c>
      <c r="E11999" t="s">
        <v>18</v>
      </c>
    </row>
    <row r="12000" spans="1:5" x14ac:dyDescent="0.25">
      <c r="A12000" t="str">
        <f>HYPERLINK("https://www.773grp.com/globalSearch/SN65LVDS96DGG/page-1", "SN65LVDS96DGG")</f>
        <v>SN65LVDS96DGG</v>
      </c>
      <c r="B12000" s="3" t="str">
        <f>HYPERLINK("https://www.773grp.com/manufacturer/texas-instruments?pageNo=943", "Texas Instruments")</f>
        <v>Texas Instruments</v>
      </c>
      <c r="C12000" s="5">
        <v>466</v>
      </c>
      <c r="D12000" s="6">
        <v>13.89</v>
      </c>
      <c r="E12000" t="s">
        <v>18</v>
      </c>
    </row>
    <row r="12001" spans="1:5" x14ac:dyDescent="0.25">
      <c r="A12001" t="str">
        <f>HYPERLINK("https://www.773grp.com/globalSearch/SN65LVDS349PW/page-1", "SN65LVDS349PW")</f>
        <v>SN65LVDS349PW</v>
      </c>
      <c r="B12001" s="3" t="str">
        <f>HYPERLINK("https://www.773grp.com/manufacturer/texas-instruments?pageNo=965", "Texas Instruments")</f>
        <v>Texas Instruments</v>
      </c>
      <c r="C12001" s="5">
        <v>35</v>
      </c>
      <c r="D12001" s="6">
        <v>13.93</v>
      </c>
      <c r="E12001" t="s">
        <v>18</v>
      </c>
    </row>
    <row r="12002" spans="1:5" x14ac:dyDescent="0.25">
      <c r="A12002" t="str">
        <f>HYPERLINK("https://www.773grp.com/globalSearch/DRV1100U/page-1", "DRV1100U")</f>
        <v>DRV1100U</v>
      </c>
      <c r="B12002" s="3" t="s">
        <v>90</v>
      </c>
      <c r="C12002" s="5">
        <v>302</v>
      </c>
      <c r="D12002" s="6">
        <v>14.01</v>
      </c>
      <c r="E12002" t="s">
        <v>18</v>
      </c>
    </row>
    <row r="12003" spans="1:5" x14ac:dyDescent="0.25">
      <c r="A12003" t="str">
        <f>HYPERLINK("https://www.773grp.com/globalSearch/DRV1100U/page-1", "DRV1100U")</f>
        <v>DRV1100U</v>
      </c>
      <c r="B12003" s="3" t="s">
        <v>90</v>
      </c>
      <c r="C12003" s="5">
        <v>241</v>
      </c>
      <c r="D12003" s="6">
        <v>14.01</v>
      </c>
      <c r="E12003" t="s">
        <v>18</v>
      </c>
    </row>
    <row r="12004" spans="1:5" x14ac:dyDescent="0.25">
      <c r="A12004" t="str">
        <f>HYPERLINK("https://www.773grp.com/globalSearch/SN65LV1021DBR/page-1", "SN65LV1021DBR")</f>
        <v>SN65LV1021DBR</v>
      </c>
      <c r="B12004" s="3" t="s">
        <v>90</v>
      </c>
      <c r="C12004" s="5">
        <v>13200</v>
      </c>
      <c r="D12004" s="6">
        <v>14.06</v>
      </c>
      <c r="E12004" t="s">
        <v>18</v>
      </c>
    </row>
    <row r="12005" spans="1:5" x14ac:dyDescent="0.25">
      <c r="A12005" t="str">
        <f>HYPERLINK("https://www.773grp.com/globalSearch/SN75LVDS386DGG/page-1", "SN75LVDS386DGG")</f>
        <v>SN75LVDS386DGG</v>
      </c>
      <c r="B12005" s="3" t="s">
        <v>90</v>
      </c>
      <c r="C12005" s="5">
        <v>28396</v>
      </c>
      <c r="D12005" s="6">
        <v>14.06</v>
      </c>
      <c r="E12005" t="s">
        <v>18</v>
      </c>
    </row>
    <row r="12006" spans="1:5" x14ac:dyDescent="0.25">
      <c r="A12006" t="str">
        <f>HYPERLINK("https://www.773grp.com/globalSearch/SN75LVDS387DGG/page-1", "SN75LVDS387DGG")</f>
        <v>SN75LVDS387DGG</v>
      </c>
      <c r="B12006" s="3" t="s">
        <v>90</v>
      </c>
      <c r="C12006" s="5">
        <v>216</v>
      </c>
      <c r="D12006" s="6">
        <v>14.06</v>
      </c>
      <c r="E12006" t="s">
        <v>18</v>
      </c>
    </row>
    <row r="12007" spans="1:5" x14ac:dyDescent="0.25">
      <c r="A12007" t="str">
        <f>HYPERLINK("https://www.773grp.com/globalSearch/SN65LBC170DB/page-1", "SN65LBC170DB")</f>
        <v>SN65LBC170DB</v>
      </c>
      <c r="B12007" s="3" t="s">
        <v>90</v>
      </c>
      <c r="C12007" s="5">
        <v>109</v>
      </c>
      <c r="D12007" s="6">
        <v>14.46</v>
      </c>
      <c r="E12007" t="s">
        <v>18</v>
      </c>
    </row>
    <row r="12008" spans="1:5" x14ac:dyDescent="0.25">
      <c r="A12008" t="str">
        <f>HYPERLINK("https://www.773grp.com/globalSearch/SN65LBC170DW/page-1", "SN65LBC170DW")</f>
        <v>SN65LBC170DW</v>
      </c>
      <c r="B12008" s="3" t="s">
        <v>90</v>
      </c>
      <c r="C12008" s="5">
        <v>2989</v>
      </c>
      <c r="D12008" s="6">
        <v>14.46</v>
      </c>
      <c r="E12008" t="s">
        <v>18</v>
      </c>
    </row>
    <row r="12009" spans="1:5" x14ac:dyDescent="0.25">
      <c r="A12009" t="str">
        <f>HYPERLINK("https://www.773grp.com/globalSearch/DRV1101U/page-1", "DRV1101U")</f>
        <v>DRV1101U</v>
      </c>
      <c r="B12009" s="3" t="s">
        <v>90</v>
      </c>
      <c r="C12009" s="5">
        <v>4681</v>
      </c>
      <c r="D12009" s="6">
        <v>14.56</v>
      </c>
      <c r="E12009" t="s">
        <v>18</v>
      </c>
    </row>
    <row r="12010" spans="1:5" x14ac:dyDescent="0.25">
      <c r="A12010" t="str">
        <f>HYPERLINK("https://www.773grp.com/globalSearch/DRV1101U/page-1", "DRV1101U")</f>
        <v>DRV1101U</v>
      </c>
      <c r="B12010" s="3" t="s">
        <v>90</v>
      </c>
      <c r="C12010" s="5">
        <v>204</v>
      </c>
      <c r="D12010" s="6">
        <v>14.56</v>
      </c>
      <c r="E12010" t="s">
        <v>18</v>
      </c>
    </row>
    <row r="12011" spans="1:5" x14ac:dyDescent="0.25">
      <c r="A12011" t="str">
        <f>HYPERLINK("https://www.773grp.com/globalSearch/DRV1101U/page-1", "DRV1101U")</f>
        <v>DRV1101U</v>
      </c>
      <c r="B12011" s="3" t="s">
        <v>90</v>
      </c>
      <c r="C12011" s="5">
        <v>1227</v>
      </c>
      <c r="D12011" s="6">
        <v>14.56</v>
      </c>
      <c r="E12011" t="s">
        <v>18</v>
      </c>
    </row>
    <row r="12012" spans="1:5" x14ac:dyDescent="0.25">
      <c r="A12012" t="str">
        <f>HYPERLINK("https://www.773grp.com/globalSearch/SN55188J/page-1", "SN55188J")</f>
        <v>SN55188J</v>
      </c>
      <c r="B12012" s="3" t="s">
        <v>90</v>
      </c>
      <c r="C12012" s="5">
        <v>294</v>
      </c>
      <c r="D12012" s="6">
        <v>14.74</v>
      </c>
      <c r="E12012" t="s">
        <v>18</v>
      </c>
    </row>
    <row r="12013" spans="1:5" x14ac:dyDescent="0.25">
      <c r="A12013" t="str">
        <f>HYPERLINK("https://www.773grp.com/globalSearch/THS6002CDWPR/page-1", "THS6002CDWPR")</f>
        <v>THS6002CDWPR</v>
      </c>
      <c r="B12013" s="3" t="s">
        <v>90</v>
      </c>
      <c r="C12013" s="5">
        <v>6000</v>
      </c>
      <c r="D12013" s="6">
        <v>14.9</v>
      </c>
      <c r="E12013" t="s">
        <v>18</v>
      </c>
    </row>
    <row r="12014" spans="1:5" x14ac:dyDescent="0.25">
      <c r="A12014" t="str">
        <f>HYPERLINK("https://www.773grp.com/globalSearch/SN55189AJ/page-1", "SN55189AJ")</f>
        <v>SN55189AJ</v>
      </c>
      <c r="B12014" s="3" t="s">
        <v>90</v>
      </c>
      <c r="C12014" s="5">
        <v>3183</v>
      </c>
      <c r="D12014" s="6">
        <v>14.99</v>
      </c>
      <c r="E12014" t="s">
        <v>18</v>
      </c>
    </row>
    <row r="12015" spans="1:5" x14ac:dyDescent="0.25">
      <c r="A12015" t="str">
        <f>HYPERLINK("https://www.773grp.com/globalSearch/SN65LVDS93ADGG/page-1", "SN65LVDS93ADGG")</f>
        <v>SN65LVDS93ADGG</v>
      </c>
      <c r="B12015" s="3" t="s">
        <v>90</v>
      </c>
      <c r="C12015" s="5">
        <v>997</v>
      </c>
      <c r="D12015" s="6">
        <v>15.05</v>
      </c>
      <c r="E12015" t="s">
        <v>18</v>
      </c>
    </row>
    <row r="12016" spans="1:5" x14ac:dyDescent="0.25">
      <c r="A12016" t="str">
        <f>HYPERLINK("https://www.773grp.com/globalSearch/SN75ALS170DW/page-1", "SN75ALS170DW")</f>
        <v>SN75ALS170DW</v>
      </c>
      <c r="B12016" s="3" t="s">
        <v>90</v>
      </c>
      <c r="C12016" s="5">
        <v>1854</v>
      </c>
      <c r="D12016" s="6">
        <v>15.08</v>
      </c>
      <c r="E12016" t="s">
        <v>18</v>
      </c>
    </row>
    <row r="12017" spans="1:5" x14ac:dyDescent="0.25">
      <c r="A12017" t="str">
        <f>HYPERLINK("https://www.773grp.com/globalSearch/SN75ALS171DW/page-1", "SN75ALS171DW")</f>
        <v>SN75ALS171DW</v>
      </c>
      <c r="B12017" s="3" t="s">
        <v>90</v>
      </c>
      <c r="C12017" s="5">
        <v>3421</v>
      </c>
      <c r="D12017" s="6">
        <v>15.08</v>
      </c>
      <c r="E12017" t="s">
        <v>18</v>
      </c>
    </row>
    <row r="12018" spans="1:5" x14ac:dyDescent="0.25">
      <c r="A12018" t="str">
        <f>HYPERLINK("https://www.773grp.com/globalSearch/SN65LVDS93DGG/page-1", "SN65LVDS93DGG")</f>
        <v>SN65LVDS93DGG</v>
      </c>
      <c r="B12018" s="3" t="s">
        <v>90</v>
      </c>
      <c r="C12018" s="5">
        <v>113</v>
      </c>
      <c r="D12018" s="6">
        <v>15.14</v>
      </c>
      <c r="E12018" t="s">
        <v>18</v>
      </c>
    </row>
    <row r="12019" spans="1:5" x14ac:dyDescent="0.25">
      <c r="A12019" t="str">
        <f>HYPERLINK("https://www.773grp.com/globalSearch/SN65LVDS94DGG/page-1", "SN65LVDS94DGG")</f>
        <v>SN65LVDS94DGG</v>
      </c>
      <c r="B12019" s="3" t="s">
        <v>90</v>
      </c>
      <c r="C12019" s="5">
        <v>8056</v>
      </c>
      <c r="D12019" s="6">
        <v>15.14</v>
      </c>
      <c r="E12019" t="s">
        <v>18</v>
      </c>
    </row>
    <row r="12020" spans="1:5" x14ac:dyDescent="0.25">
      <c r="A12020" t="str">
        <f>HYPERLINK("https://www.773grp.com/globalSearch/SN65LVDS386DGG/page-1", "SN65LVDS386DGG")</f>
        <v>SN65LVDS386DGG</v>
      </c>
      <c r="B12020" s="3" t="s">
        <v>90</v>
      </c>
      <c r="C12020" s="5">
        <v>20807</v>
      </c>
      <c r="D12020" s="6">
        <v>15.75</v>
      </c>
      <c r="E12020" t="s">
        <v>18</v>
      </c>
    </row>
    <row r="12021" spans="1:5" x14ac:dyDescent="0.25">
      <c r="A12021" t="str">
        <f>HYPERLINK("https://www.773grp.com/globalSearch/TSB41LV03APFP/page-1", "TSB41LV03APFP")</f>
        <v>TSB41LV03APFP</v>
      </c>
      <c r="B12021" s="3" t="s">
        <v>90</v>
      </c>
      <c r="C12021" s="5">
        <v>30542</v>
      </c>
      <c r="D12021" s="6">
        <v>15.81</v>
      </c>
      <c r="E12021" t="s">
        <v>18</v>
      </c>
    </row>
    <row r="12022" spans="1:5" x14ac:dyDescent="0.25">
      <c r="A12022" t="str">
        <f>HYPERLINK("https://www.773grp.com/globalSearch/TSB41LV03PFP/page-1", "TSB41LV03PFP")</f>
        <v>TSB41LV03PFP</v>
      </c>
      <c r="B12022" s="3" t="s">
        <v>90</v>
      </c>
      <c r="C12022" s="5">
        <v>42527</v>
      </c>
      <c r="D12022" s="6">
        <v>15.81</v>
      </c>
      <c r="E12022" t="s">
        <v>18</v>
      </c>
    </row>
    <row r="12023" spans="1:5" x14ac:dyDescent="0.25">
      <c r="A12023" t="str">
        <f>HYPERLINK("https://www.773grp.com/globalSearch/SN65LVDS116DGG/page-1", "SN65LVDS116DGG")</f>
        <v>SN65LVDS116DGG</v>
      </c>
      <c r="B12023" s="3" t="s">
        <v>90</v>
      </c>
      <c r="C12023" s="5">
        <v>9119</v>
      </c>
      <c r="D12023" s="6">
        <v>15.83</v>
      </c>
      <c r="E12023" t="s">
        <v>18</v>
      </c>
    </row>
    <row r="12024" spans="1:5" x14ac:dyDescent="0.25">
      <c r="A12024" t="str">
        <f>HYPERLINK("https://www.773grp.com/globalSearch/SN65LVDS117DGG/page-1", "SN65LVDS117DGG")</f>
        <v>SN65LVDS117DGG</v>
      </c>
      <c r="B12024" s="3" t="s">
        <v>90</v>
      </c>
      <c r="C12024" s="5">
        <v>4774</v>
      </c>
      <c r="D12024" s="6">
        <v>15.83</v>
      </c>
      <c r="E12024" t="s">
        <v>18</v>
      </c>
    </row>
    <row r="12025" spans="1:5" x14ac:dyDescent="0.25">
      <c r="A12025" t="str">
        <f>HYPERLINK("https://www.773grp.com/globalSearch/THS6032IGQER/page-1", "THS6032IGQER")</f>
        <v>THS6032IGQER</v>
      </c>
      <c r="B12025" s="3" t="s">
        <v>90</v>
      </c>
      <c r="C12025" s="5">
        <v>20000</v>
      </c>
      <c r="D12025" s="6">
        <v>15.9</v>
      </c>
      <c r="E12025" t="s">
        <v>18</v>
      </c>
    </row>
    <row r="12026" spans="1:5" x14ac:dyDescent="0.25">
      <c r="A12026" t="str">
        <f>HYPERLINK("https://www.773grp.com/globalSearch/SN65HVD61D/page-1", "SN65HVD61D")</f>
        <v>SN65HVD61D</v>
      </c>
      <c r="B12026" s="3" t="s">
        <v>90</v>
      </c>
      <c r="C12026" s="5">
        <v>805</v>
      </c>
      <c r="D12026" s="6">
        <v>16.04</v>
      </c>
      <c r="E12026" t="s">
        <v>18</v>
      </c>
    </row>
    <row r="12027" spans="1:5" x14ac:dyDescent="0.25">
      <c r="A12027" t="str">
        <f>HYPERLINK("https://www.773grp.com/globalSearch/SN75ALS171ADW/page-1", "SN75ALS171ADW")</f>
        <v>SN75ALS171ADW</v>
      </c>
      <c r="B12027" s="3" t="s">
        <v>90</v>
      </c>
      <c r="C12027" s="5">
        <v>2</v>
      </c>
      <c r="D12027" s="6">
        <v>16.059999999999999</v>
      </c>
      <c r="E12027" t="s">
        <v>18</v>
      </c>
    </row>
    <row r="12028" spans="1:5" x14ac:dyDescent="0.25">
      <c r="A12028" t="str">
        <f>HYPERLINK("https://www.773grp.com/globalSearch/SN65LVDT386DGG/page-1", "SN65LVDT386DGG")</f>
        <v>SN65LVDT386DGG</v>
      </c>
      <c r="B12028" s="3" t="s">
        <v>90</v>
      </c>
      <c r="C12028" s="5">
        <v>75</v>
      </c>
      <c r="D12028" s="6">
        <v>16.54</v>
      </c>
      <c r="E12028" t="s">
        <v>18</v>
      </c>
    </row>
    <row r="12029" spans="1:5" x14ac:dyDescent="0.25">
      <c r="A12029" t="str">
        <f>HYPERLINK("https://www.773grp.com/globalSearch/SN65LV1212DBR/page-1", "SN65LV1212DBR")</f>
        <v>SN65LV1212DBR</v>
      </c>
      <c r="B12029" s="3" t="s">
        <v>90</v>
      </c>
      <c r="C12029" s="5">
        <v>24000</v>
      </c>
      <c r="D12029" s="6">
        <v>16.739999999999998</v>
      </c>
      <c r="E12029" t="s">
        <v>18</v>
      </c>
    </row>
    <row r="12030" spans="1:5" x14ac:dyDescent="0.25">
      <c r="A12030" t="str">
        <f>HYPERLINK("https://www.773grp.com/globalSearch/SN75LBC786DW/page-1", "SN75LBC786DW")</f>
        <v>SN75LBC786DW</v>
      </c>
      <c r="B12030" s="3" t="s">
        <v>90</v>
      </c>
      <c r="C12030" s="5">
        <v>8201</v>
      </c>
      <c r="D12030" s="6">
        <v>16.739999999999998</v>
      </c>
      <c r="E12030" t="s">
        <v>18</v>
      </c>
    </row>
    <row r="12031" spans="1:5" x14ac:dyDescent="0.25">
      <c r="A12031" t="str">
        <f>HYPERLINK("https://www.773grp.com/globalSearch/SNJ55189AJ/page-1", "SNJ55189AJ")</f>
        <v>SNJ55189AJ</v>
      </c>
      <c r="B12031" s="3" t="s">
        <v>90</v>
      </c>
      <c r="C12031" s="5">
        <v>157</v>
      </c>
      <c r="D12031" s="6">
        <v>16.79</v>
      </c>
      <c r="E12031" t="s">
        <v>18</v>
      </c>
    </row>
    <row r="12032" spans="1:5" x14ac:dyDescent="0.25">
      <c r="A12032" t="str">
        <f>HYPERLINK("https://www.773grp.com/globalSearch/SN65LBC171DBR/page-1", "SN65LBC171DBR")</f>
        <v>SN65LBC171DBR</v>
      </c>
      <c r="B12032" s="3" t="s">
        <v>90</v>
      </c>
      <c r="C12032" s="5">
        <v>37984</v>
      </c>
      <c r="D12032" s="6">
        <v>16.88</v>
      </c>
      <c r="E12032" t="s">
        <v>18</v>
      </c>
    </row>
    <row r="12033" spans="1:5" x14ac:dyDescent="0.25">
      <c r="A12033" t="str">
        <f>HYPERLINK("https://www.773grp.com/globalSearch/SN65LV1021DB/page-1", "SN65LV1021DB")</f>
        <v>SN65LV1021DB</v>
      </c>
      <c r="B12033" s="3" t="s">
        <v>90</v>
      </c>
      <c r="C12033" s="5">
        <v>2290</v>
      </c>
      <c r="D12033" s="6">
        <v>16.88</v>
      </c>
      <c r="E12033" t="s">
        <v>18</v>
      </c>
    </row>
    <row r="12034" spans="1:5" x14ac:dyDescent="0.25">
      <c r="A12034" t="str">
        <f>HYPERLINK("https://www.773grp.com/globalSearch/TSB41AB3IPFPEP/page-1", "TSB41AB3IPFPEP")</f>
        <v>TSB41AB3IPFPEP</v>
      </c>
      <c r="B12034" s="3" t="s">
        <v>90</v>
      </c>
      <c r="C12034" s="5">
        <v>2968</v>
      </c>
      <c r="D12034" s="6">
        <v>16.88</v>
      </c>
      <c r="E12034" t="s">
        <v>18</v>
      </c>
    </row>
    <row r="12035" spans="1:5" x14ac:dyDescent="0.25">
      <c r="A12035" t="str">
        <f>HYPERLINK("https://www.773grp.com/globalSearch/SN75ALS085DWR/page-1", "SN75ALS085DWR")</f>
        <v>SN75ALS085DWR</v>
      </c>
      <c r="B12035" s="3" t="s">
        <v>90</v>
      </c>
      <c r="C12035" s="5">
        <v>2000</v>
      </c>
      <c r="D12035" s="6">
        <v>18.09</v>
      </c>
      <c r="E12035" t="s">
        <v>18</v>
      </c>
    </row>
    <row r="12036" spans="1:5" x14ac:dyDescent="0.25">
      <c r="A12036" t="str">
        <f>HYPERLINK("https://www.773grp.com/globalSearch/THS6032IVFP/page-1", "THS6032IVFP")</f>
        <v>THS6032IVFP</v>
      </c>
      <c r="B12036" s="3" t="s">
        <v>90</v>
      </c>
      <c r="C12036" s="5">
        <v>12000</v>
      </c>
      <c r="D12036" s="6">
        <v>18.14</v>
      </c>
      <c r="E12036" t="s">
        <v>18</v>
      </c>
    </row>
    <row r="12037" spans="1:5" x14ac:dyDescent="0.25">
      <c r="A12037" t="str">
        <f>HYPERLINK("https://www.773grp.com/globalSearch/TSB41BA3PFP/page-1", "TSB41BA3PFP")</f>
        <v>TSB41BA3PFP</v>
      </c>
      <c r="B12037" s="3" t="s">
        <v>90</v>
      </c>
      <c r="C12037" s="5">
        <v>2734</v>
      </c>
      <c r="D12037" s="6">
        <v>18.28</v>
      </c>
      <c r="E12037" t="s">
        <v>18</v>
      </c>
    </row>
    <row r="12038" spans="1:5" x14ac:dyDescent="0.25">
      <c r="A12038" t="str">
        <f>HYPERLINK("https://www.773grp.com/globalSearch/AM26LS33AMJ/page-1", "AM26LS33AMJ")</f>
        <v>AM26LS33AMJ</v>
      </c>
      <c r="B12038" s="3" t="s">
        <v>90</v>
      </c>
      <c r="C12038" s="5">
        <v>333</v>
      </c>
      <c r="D12038" s="6">
        <v>18.43</v>
      </c>
      <c r="E12038" t="s">
        <v>18</v>
      </c>
    </row>
    <row r="12039" spans="1:5" x14ac:dyDescent="0.25">
      <c r="A12039" t="str">
        <f>HYPERLINK("https://www.773grp.com/globalSearch/SN75LBC171DW/page-1", "SN75LBC171DW")</f>
        <v>SN75LBC171DW</v>
      </c>
      <c r="B12039" s="3" t="s">
        <v>90</v>
      </c>
      <c r="C12039" s="5">
        <v>4150</v>
      </c>
      <c r="D12039" s="6">
        <v>18.43</v>
      </c>
      <c r="E12039" t="s">
        <v>18</v>
      </c>
    </row>
    <row r="12040" spans="1:5" x14ac:dyDescent="0.25">
      <c r="A12040" t="str">
        <f>HYPERLINK("https://www.773grp.com/globalSearch/THS6002IDWPR/page-1", "THS6002IDWPR")</f>
        <v>THS6002IDWPR</v>
      </c>
      <c r="B12040" s="3" t="s">
        <v>90</v>
      </c>
      <c r="C12040" s="5">
        <v>136950</v>
      </c>
      <c r="D12040" s="6">
        <v>18.559999999999999</v>
      </c>
      <c r="E12040" t="s">
        <v>18</v>
      </c>
    </row>
    <row r="12041" spans="1:5" x14ac:dyDescent="0.25">
      <c r="A12041" t="str">
        <f>HYPERLINK("https://www.773grp.com/globalSearch/TSB14C01APMR/page-1", "TSB14C01APMR")</f>
        <v>TSB14C01APMR</v>
      </c>
      <c r="B12041" s="3" t="s">
        <v>90</v>
      </c>
      <c r="C12041" s="5">
        <v>421</v>
      </c>
      <c r="D12041" s="6">
        <v>18.899999999999999</v>
      </c>
      <c r="E12041" t="s">
        <v>18</v>
      </c>
    </row>
    <row r="12042" spans="1:5" x14ac:dyDescent="0.25">
      <c r="A12042" t="str">
        <f>HYPERLINK("https://www.773grp.com/globalSearch/SN75ALS165DW/page-1", "SN75ALS165DW")</f>
        <v>SN75ALS165DW</v>
      </c>
      <c r="B12042" s="3" t="s">
        <v>90</v>
      </c>
      <c r="C12042" s="5">
        <v>1050</v>
      </c>
      <c r="D12042" s="6">
        <v>18.989999999999998</v>
      </c>
      <c r="E12042" t="s">
        <v>18</v>
      </c>
    </row>
    <row r="12043" spans="1:5" x14ac:dyDescent="0.25">
      <c r="A12043" t="str">
        <f>HYPERLINK("https://www.773grp.com/globalSearch/THS6032CDWP/page-1", "THS6032CDWP")</f>
        <v>THS6032CDWP</v>
      </c>
      <c r="B12043" s="3" t="s">
        <v>90</v>
      </c>
      <c r="C12043" s="5">
        <v>3666</v>
      </c>
      <c r="D12043" s="6">
        <v>18.989999999999998</v>
      </c>
      <c r="E12043" t="s">
        <v>18</v>
      </c>
    </row>
    <row r="12044" spans="1:5" x14ac:dyDescent="0.25">
      <c r="A12044" t="str">
        <f>HYPERLINK("https://www.773grp.com/globalSearch/THS6032IDWP/page-1", "THS6032IDWP")</f>
        <v>THS6032IDWP</v>
      </c>
      <c r="B12044" s="3" t="s">
        <v>90</v>
      </c>
      <c r="C12044" s="5">
        <v>9842</v>
      </c>
      <c r="D12044" s="6">
        <v>18.989999999999998</v>
      </c>
      <c r="E12044" t="s">
        <v>18</v>
      </c>
    </row>
    <row r="12045" spans="1:5" x14ac:dyDescent="0.25">
      <c r="A12045" t="str">
        <f>HYPERLINK("https://www.773grp.com/globalSearch/SN75LBC171DB/page-1", "SN75LBC171DB")</f>
        <v>SN75LBC171DB</v>
      </c>
      <c r="B12045" s="3" t="s">
        <v>90</v>
      </c>
      <c r="C12045" s="5">
        <v>4657</v>
      </c>
      <c r="D12045" s="6">
        <v>19.149999999999999</v>
      </c>
      <c r="E12045" t="s">
        <v>18</v>
      </c>
    </row>
    <row r="12046" spans="1:5" x14ac:dyDescent="0.25">
      <c r="A12046" t="str">
        <f>HYPERLINK("https://www.773grp.com/globalSearch/SN65LV1224ADBR/page-1", "SN65LV1224ADBR")</f>
        <v>SN65LV1224ADBR</v>
      </c>
      <c r="B12046" s="3" t="s">
        <v>90</v>
      </c>
      <c r="C12046" s="5">
        <v>10000</v>
      </c>
      <c r="D12046" s="6">
        <v>19.41</v>
      </c>
      <c r="E12046" t="s">
        <v>18</v>
      </c>
    </row>
    <row r="12047" spans="1:5" x14ac:dyDescent="0.25">
      <c r="A12047" t="str">
        <f>HYPERLINK("https://www.773grp.com/globalSearch/SN65LV1212DB/page-1", "SN65LV1212DB")</f>
        <v>SN65LV1212DB</v>
      </c>
      <c r="B12047" s="3" t="s">
        <v>90</v>
      </c>
      <c r="C12047" s="5">
        <v>6697</v>
      </c>
      <c r="D12047" s="6">
        <v>20.11</v>
      </c>
      <c r="E12047" t="s">
        <v>18</v>
      </c>
    </row>
    <row r="12048" spans="1:5" x14ac:dyDescent="0.25">
      <c r="A12048" t="str">
        <f>HYPERLINK("https://www.773grp.com/globalSearch/TSB41BA3IPFP/page-1", "TSB41BA3IPFP")</f>
        <v>TSB41BA3IPFP</v>
      </c>
      <c r="B12048" s="3" t="s">
        <v>90</v>
      </c>
      <c r="C12048" s="5">
        <v>145</v>
      </c>
      <c r="D12048" s="6">
        <v>20.11</v>
      </c>
      <c r="E12048" t="s">
        <v>18</v>
      </c>
    </row>
    <row r="12049" spans="1:5" x14ac:dyDescent="0.25">
      <c r="A12049" t="str">
        <f>HYPERLINK("https://www.773grp.com/globalSearch/SN55114J/page-1", "SN55114J")</f>
        <v>SN55114J</v>
      </c>
      <c r="B12049" s="3" t="s">
        <v>90</v>
      </c>
      <c r="C12049" s="5">
        <v>117</v>
      </c>
      <c r="D12049" s="6">
        <v>20.2</v>
      </c>
      <c r="E12049" t="s">
        <v>18</v>
      </c>
    </row>
    <row r="12050" spans="1:5" x14ac:dyDescent="0.25">
      <c r="A12050" t="str">
        <f>HYPERLINK("https://www.773grp.com/globalSearch/SN55115J/page-1", "SN55115J")</f>
        <v>SN55115J</v>
      </c>
      <c r="B12050" s="3" t="s">
        <v>90</v>
      </c>
      <c r="C12050" s="5">
        <v>21</v>
      </c>
      <c r="D12050" s="6">
        <v>20.21</v>
      </c>
      <c r="E12050" t="s">
        <v>18</v>
      </c>
    </row>
    <row r="12051" spans="1:5" x14ac:dyDescent="0.25">
      <c r="A12051" t="str">
        <f>HYPERLINK("https://www.773grp.com/globalSearch/TUSB6020PFC/page-1", "TUSB6020PFC")</f>
        <v>TUSB6020PFC</v>
      </c>
      <c r="B12051" s="3" t="s">
        <v>90</v>
      </c>
      <c r="C12051" s="5">
        <v>2784</v>
      </c>
      <c r="D12051" s="6">
        <v>20.25</v>
      </c>
      <c r="E12051" t="s">
        <v>18</v>
      </c>
    </row>
    <row r="12052" spans="1:5" x14ac:dyDescent="0.25">
      <c r="A12052" t="str">
        <f>HYPERLINK("https://www.773grp.com/globalSearch/TUSB6020ZQE/page-1", "TUSB6020ZQE")</f>
        <v>TUSB6020ZQE</v>
      </c>
      <c r="B12052" s="3" t="s">
        <v>90</v>
      </c>
      <c r="C12052" s="5">
        <v>9450</v>
      </c>
      <c r="D12052" s="6">
        <v>20.25</v>
      </c>
      <c r="E12052" t="s">
        <v>18</v>
      </c>
    </row>
    <row r="12053" spans="1:5" x14ac:dyDescent="0.25">
      <c r="A12053" t="str">
        <f>HYPERLINK("https://www.773grp.com/globalSearch/SN65LVDM1677DGG/page-1", "SN65LVDM1677DGG")</f>
        <v>SN65LVDM1677DGG</v>
      </c>
      <c r="B12053" s="3" t="s">
        <v>90</v>
      </c>
      <c r="C12053" s="5">
        <v>425</v>
      </c>
      <c r="D12053" s="6">
        <v>20.39</v>
      </c>
      <c r="E12053" t="s">
        <v>18</v>
      </c>
    </row>
    <row r="12054" spans="1:5" x14ac:dyDescent="0.25">
      <c r="A12054" t="str">
        <f>HYPERLINK("https://www.773grp.com/globalSearch/SN65LVDM1677DGGG4/page-1", "SN65LVDM1677DGGG4")</f>
        <v>SN65LVDM1677DGGG4</v>
      </c>
      <c r="B12054" s="3" t="s">
        <v>90</v>
      </c>
      <c r="C12054" s="5">
        <v>6</v>
      </c>
      <c r="D12054" s="6">
        <v>20.39</v>
      </c>
      <c r="E12054" t="s">
        <v>18</v>
      </c>
    </row>
    <row r="12055" spans="1:5" x14ac:dyDescent="0.25">
      <c r="A12055" t="str">
        <f>HYPERLINK("https://www.773grp.com/globalSearch/SN65LBC171DB/page-1", "SN65LBC171DB")</f>
        <v>SN65LBC171DB</v>
      </c>
      <c r="B12055" s="3" t="s">
        <v>90</v>
      </c>
      <c r="C12055" s="5">
        <v>260</v>
      </c>
      <c r="D12055" s="6">
        <v>20.7</v>
      </c>
      <c r="E12055" t="s">
        <v>18</v>
      </c>
    </row>
    <row r="12056" spans="1:5" x14ac:dyDescent="0.25">
      <c r="A12056" t="str">
        <f>HYPERLINK("https://www.773grp.com/globalSearch/SN65LBC171DW/page-1", "SN65LBC171DW")</f>
        <v>SN65LBC171DW</v>
      </c>
      <c r="B12056" s="3" t="s">
        <v>90</v>
      </c>
      <c r="C12056" s="5">
        <v>5180</v>
      </c>
      <c r="D12056" s="6">
        <v>20.7</v>
      </c>
      <c r="E12056" t="s">
        <v>18</v>
      </c>
    </row>
    <row r="12057" spans="1:5" x14ac:dyDescent="0.25">
      <c r="A12057" t="str">
        <f>HYPERLINK("https://www.773grp.com/globalSearch/5962-8754701CA/page-1", "5962-8754701CA")</f>
        <v>5962-8754701CA</v>
      </c>
      <c r="B12057" s="3" t="s">
        <v>90</v>
      </c>
      <c r="C12057" s="5">
        <v>37</v>
      </c>
      <c r="D12057" s="6">
        <v>20.89</v>
      </c>
      <c r="E12057" t="s">
        <v>18</v>
      </c>
    </row>
    <row r="12058" spans="1:5" x14ac:dyDescent="0.25">
      <c r="A12058" t="str">
        <f>HYPERLINK("https://www.773grp.com/globalSearch/SNJ55110AJ/page-1", "SNJ55110AJ")</f>
        <v>SNJ55110AJ</v>
      </c>
      <c r="B12058" s="3" t="s">
        <v>90</v>
      </c>
      <c r="C12058" s="5">
        <v>221</v>
      </c>
      <c r="D12058" s="6">
        <v>20.89</v>
      </c>
      <c r="E12058" t="s">
        <v>18</v>
      </c>
    </row>
    <row r="12059" spans="1:5" x14ac:dyDescent="0.25">
      <c r="A12059" t="str">
        <f>HYPERLINK("https://www.773grp.com/globalSearch/TSB81BA3DPFP/page-1", "TSB81BA3DPFP")</f>
        <v>TSB81BA3DPFP</v>
      </c>
      <c r="B12059" s="3" t="s">
        <v>90</v>
      </c>
      <c r="C12059" s="5">
        <v>6372</v>
      </c>
      <c r="D12059" s="6">
        <v>21.38</v>
      </c>
      <c r="E12059" t="s">
        <v>18</v>
      </c>
    </row>
    <row r="12060" spans="1:5" x14ac:dyDescent="0.25">
      <c r="A12060" t="str">
        <f>HYPERLINK("https://www.773grp.com/globalSearch/TSB81BA3PFP/page-1", "TSB81BA3PFP")</f>
        <v>TSB81BA3PFP</v>
      </c>
      <c r="B12060" s="3" t="s">
        <v>90</v>
      </c>
      <c r="C12060" s="5">
        <v>1331</v>
      </c>
      <c r="D12060" s="6">
        <v>21.38</v>
      </c>
      <c r="E12060" t="s">
        <v>18</v>
      </c>
    </row>
    <row r="12061" spans="1:5" x14ac:dyDescent="0.25">
      <c r="A12061" t="str">
        <f>HYPERLINK("https://www.773grp.com/globalSearch/TB5T1DR/page-1", "TB5T1DR")</f>
        <v>TB5T1DR</v>
      </c>
      <c r="B12061" s="3" t="s">
        <v>90</v>
      </c>
      <c r="C12061" s="5">
        <v>32374</v>
      </c>
      <c r="D12061" s="6">
        <v>21.65</v>
      </c>
      <c r="E12061" t="s">
        <v>18</v>
      </c>
    </row>
    <row r="12062" spans="1:5" x14ac:dyDescent="0.25">
      <c r="A12062" t="str">
        <f>HYPERLINK("https://www.773grp.com/globalSearch/5962-8874402EA/page-1", "5962-8874402EA")</f>
        <v>5962-8874402EA</v>
      </c>
      <c r="B12062" s="3" t="s">
        <v>90</v>
      </c>
      <c r="C12062" s="5">
        <v>48</v>
      </c>
      <c r="D12062" s="6">
        <v>21.69</v>
      </c>
      <c r="E12062" t="s">
        <v>18</v>
      </c>
    </row>
    <row r="12063" spans="1:5" x14ac:dyDescent="0.25">
      <c r="A12063" t="str">
        <f>HYPERLINK("https://www.773grp.com/globalSearch/SNJ55115J/page-1", "SNJ55115J")</f>
        <v>SNJ55115J</v>
      </c>
      <c r="B12063" s="3" t="s">
        <v>90</v>
      </c>
      <c r="C12063" s="5">
        <v>51</v>
      </c>
      <c r="D12063" s="6">
        <v>21.89</v>
      </c>
      <c r="E12063" t="s">
        <v>18</v>
      </c>
    </row>
    <row r="12064" spans="1:5" x14ac:dyDescent="0.25">
      <c r="A12064" t="str">
        <f>HYPERLINK("https://www.773grp.com/globalSearch/SN65LV1224BMDBREP/page-1", "SN65LV1224BMDBREP")</f>
        <v>SN65LV1224BMDBREP</v>
      </c>
      <c r="B12064" s="3" t="s">
        <v>90</v>
      </c>
      <c r="C12064" s="5">
        <v>1166</v>
      </c>
      <c r="D12064" s="6">
        <v>22.08</v>
      </c>
      <c r="E12064" t="s">
        <v>18</v>
      </c>
    </row>
    <row r="12065" spans="1:5" x14ac:dyDescent="0.25">
      <c r="A12065" t="str">
        <f>HYPERLINK("https://www.773grp.com/globalSearch/THS6002CDWP/page-1", "THS6002CDWP")</f>
        <v>THS6002CDWP</v>
      </c>
      <c r="B12065" s="3" t="s">
        <v>90</v>
      </c>
      <c r="C12065" s="5">
        <v>9767</v>
      </c>
      <c r="D12065" s="6">
        <v>22.23</v>
      </c>
      <c r="E12065" t="s">
        <v>18</v>
      </c>
    </row>
    <row r="12066" spans="1:5" x14ac:dyDescent="0.25">
      <c r="A12066" t="str">
        <f>HYPERLINK("https://www.773grp.com/globalSearch/THS6002IDWP/page-1", "THS6002IDWP")</f>
        <v>THS6002IDWP</v>
      </c>
      <c r="B12066" s="3" t="s">
        <v>90</v>
      </c>
      <c r="C12066" s="5">
        <v>29864</v>
      </c>
      <c r="D12066" s="6">
        <v>22.23</v>
      </c>
      <c r="E12066" t="s">
        <v>18</v>
      </c>
    </row>
    <row r="12067" spans="1:5" x14ac:dyDescent="0.25">
      <c r="A12067" t="str">
        <f>HYPERLINK("https://www.773grp.com/globalSearch/TSB41BA3AIGGM/page-1", "TSB41BA3AIGGM")</f>
        <v>TSB41BA3AIGGM</v>
      </c>
      <c r="B12067" s="3" t="s">
        <v>90</v>
      </c>
      <c r="C12067" s="5">
        <v>8594</v>
      </c>
      <c r="D12067" s="6">
        <v>22.5</v>
      </c>
      <c r="E12067" t="s">
        <v>18</v>
      </c>
    </row>
    <row r="12068" spans="1:5" x14ac:dyDescent="0.25">
      <c r="A12068" t="str">
        <f>HYPERLINK("https://www.773grp.com/globalSearch/ISO485P/page-1", "ISO485P")</f>
        <v>ISO485P</v>
      </c>
      <c r="B12068" s="3" t="s">
        <v>90</v>
      </c>
      <c r="C12068" s="5">
        <v>61</v>
      </c>
      <c r="D12068" s="6">
        <v>22.75</v>
      </c>
      <c r="E12068" t="s">
        <v>18</v>
      </c>
    </row>
    <row r="12069" spans="1:5" x14ac:dyDescent="0.25">
      <c r="A12069" t="str">
        <f>HYPERLINK("https://www.773grp.com/globalSearch/TSB41LV06PZP/page-1", "TSB41LV06PZP")</f>
        <v>TSB41LV06PZP</v>
      </c>
      <c r="B12069" s="3" t="s">
        <v>90</v>
      </c>
      <c r="C12069" s="5">
        <v>4187</v>
      </c>
      <c r="D12069" s="6">
        <v>22.75</v>
      </c>
      <c r="E12069" t="s">
        <v>18</v>
      </c>
    </row>
    <row r="12070" spans="1:5" x14ac:dyDescent="0.25">
      <c r="A12070" t="str">
        <f>HYPERLINK("https://www.773grp.com/globalSearch/THS6007IPWP/page-1", "THS6007IPWP")</f>
        <v>THS6007IPWP</v>
      </c>
      <c r="B12070" s="3" t="s">
        <v>90</v>
      </c>
      <c r="C12070" s="5">
        <v>15200</v>
      </c>
      <c r="D12070" s="6">
        <v>22.91</v>
      </c>
      <c r="E12070" t="s">
        <v>18</v>
      </c>
    </row>
    <row r="12071" spans="1:5" x14ac:dyDescent="0.25">
      <c r="A12071" t="str">
        <f>HYPERLINK("https://www.773grp.com/globalSearch/SN55113J/page-1", "SN55113J")</f>
        <v>SN55113J</v>
      </c>
      <c r="B12071" s="3" t="s">
        <v>90</v>
      </c>
      <c r="C12071" s="5">
        <v>40</v>
      </c>
      <c r="D12071" s="6">
        <v>23</v>
      </c>
      <c r="E12071" t="s">
        <v>18</v>
      </c>
    </row>
    <row r="12072" spans="1:5" x14ac:dyDescent="0.25">
      <c r="A12072" t="str">
        <f>HYPERLINK("https://www.773grp.com/globalSearch/SNJ55138W/page-1", "SNJ55138W")</f>
        <v>SNJ55138W</v>
      </c>
      <c r="B12072" s="3" t="s">
        <v>90</v>
      </c>
      <c r="C12072" s="5">
        <v>10</v>
      </c>
      <c r="D12072" s="6">
        <v>23.13</v>
      </c>
      <c r="E12072" t="s">
        <v>18</v>
      </c>
    </row>
    <row r="12073" spans="1:5" x14ac:dyDescent="0.25">
      <c r="A12073" t="str">
        <f>HYPERLINK("https://www.773grp.com/globalSearch/SNJ55107AJ/page-1", "SNJ55107AJ")</f>
        <v>SNJ55107AJ</v>
      </c>
      <c r="B12073" s="3" t="s">
        <v>90</v>
      </c>
      <c r="C12073" s="5">
        <v>2314</v>
      </c>
      <c r="D12073" s="6">
        <v>23.2</v>
      </c>
      <c r="E12073" t="s">
        <v>18</v>
      </c>
    </row>
    <row r="12074" spans="1:5" x14ac:dyDescent="0.25">
      <c r="A12074" t="str">
        <f>HYPERLINK("https://www.773grp.com/globalSearch/TSB41LV03AIPFP/page-1", "TSB41LV03AIPFP")</f>
        <v>TSB41LV03AIPFP</v>
      </c>
      <c r="B12074" s="3" t="s">
        <v>90</v>
      </c>
      <c r="C12074" s="5">
        <v>824</v>
      </c>
      <c r="D12074" s="6">
        <v>23.29</v>
      </c>
      <c r="E12074" t="s">
        <v>18</v>
      </c>
    </row>
    <row r="12075" spans="1:5" x14ac:dyDescent="0.25">
      <c r="A12075" t="str">
        <f>HYPERLINK("https://www.773grp.com/globalSearch/TSB14C01APM/page-1", "TSB14C01APM")</f>
        <v>TSB14C01APM</v>
      </c>
      <c r="B12075" s="3" t="s">
        <v>90</v>
      </c>
      <c r="C12075" s="5">
        <v>18154</v>
      </c>
      <c r="D12075" s="6">
        <v>23.63</v>
      </c>
      <c r="E12075" t="s">
        <v>18</v>
      </c>
    </row>
    <row r="12076" spans="1:5" x14ac:dyDescent="0.25">
      <c r="A12076" t="str">
        <f>HYPERLINK("https://www.773grp.com/globalSearch/TSB41LV04APFP/page-1", "TSB41LV04APFP")</f>
        <v>TSB41LV04APFP</v>
      </c>
      <c r="B12076" s="3" t="s">
        <v>90</v>
      </c>
      <c r="C12076" s="5">
        <v>13847</v>
      </c>
      <c r="D12076" s="6">
        <v>23.93</v>
      </c>
      <c r="E12076" t="s">
        <v>18</v>
      </c>
    </row>
    <row r="12077" spans="1:5" x14ac:dyDescent="0.25">
      <c r="A12077" t="str">
        <f>HYPERLINK("https://www.773grp.com/globalSearch/SN65LV1023DBR/page-1", "SN65LV1023DBR")</f>
        <v>SN65LV1023DBR</v>
      </c>
      <c r="B12077" s="3" t="s">
        <v>90</v>
      </c>
      <c r="C12077" s="5">
        <v>52000</v>
      </c>
      <c r="D12077" s="6">
        <v>24.19</v>
      </c>
      <c r="E12077" t="s">
        <v>18</v>
      </c>
    </row>
    <row r="12078" spans="1:5" x14ac:dyDescent="0.25">
      <c r="A12078" t="str">
        <f>HYPERLINK("https://www.773grp.com/globalSearch/SN65LV1224DBR/page-1", "SN65LV1224DBR")</f>
        <v>SN65LV1224DBR</v>
      </c>
      <c r="B12078" s="3" t="s">
        <v>90</v>
      </c>
      <c r="C12078" s="5">
        <v>33923</v>
      </c>
      <c r="D12078" s="6">
        <v>24.19</v>
      </c>
      <c r="E12078" t="s">
        <v>18</v>
      </c>
    </row>
    <row r="12079" spans="1:5" x14ac:dyDescent="0.25">
      <c r="A12079" t="str">
        <f>HYPERLINK("https://www.773grp.com/globalSearch/TB5D1MD/page-1", "TB5D1MD")</f>
        <v>TB5D1MD</v>
      </c>
      <c r="B12079" s="3" t="s">
        <v>90</v>
      </c>
      <c r="C12079" s="5">
        <v>53</v>
      </c>
      <c r="D12079" s="6">
        <v>24.34</v>
      </c>
      <c r="E12079" t="s">
        <v>18</v>
      </c>
    </row>
    <row r="12080" spans="1:5" x14ac:dyDescent="0.25">
      <c r="A12080" t="str">
        <f>HYPERLINK("https://www.773grp.com/globalSearch/TB5D1MDW/page-1", "TB5D1MDW")</f>
        <v>TB5D1MDW</v>
      </c>
      <c r="B12080" s="3" t="s">
        <v>90</v>
      </c>
      <c r="C12080" s="5">
        <v>2268</v>
      </c>
      <c r="D12080" s="6">
        <v>24.34</v>
      </c>
      <c r="E12080" t="s">
        <v>18</v>
      </c>
    </row>
    <row r="12081" spans="1:5" x14ac:dyDescent="0.25">
      <c r="A12081" t="str">
        <f>HYPERLINK("https://www.773grp.com/globalSearch/TB5R1D/page-1", "TB5R1D")</f>
        <v>TB5R1D</v>
      </c>
      <c r="B12081" s="3" t="s">
        <v>90</v>
      </c>
      <c r="C12081" s="5">
        <v>130</v>
      </c>
      <c r="D12081" s="6">
        <v>24.34</v>
      </c>
      <c r="E12081" t="s">
        <v>18</v>
      </c>
    </row>
    <row r="12082" spans="1:5" x14ac:dyDescent="0.25">
      <c r="A12082" t="str">
        <f>HYPERLINK("https://www.773grp.com/globalSearch/TB5R1DW/page-1", "TB5R1DW")</f>
        <v>TB5R1DW</v>
      </c>
      <c r="B12082" s="3" t="s">
        <v>90</v>
      </c>
      <c r="C12082" s="5">
        <v>656</v>
      </c>
      <c r="D12082" s="6">
        <v>24.34</v>
      </c>
      <c r="E12082" t="s">
        <v>18</v>
      </c>
    </row>
    <row r="12083" spans="1:5" x14ac:dyDescent="0.25">
      <c r="A12083" t="str">
        <f>HYPERLINK("https://www.773grp.com/globalSearch/TB5R2D/page-1", "TB5R2D")</f>
        <v>TB5R2D</v>
      </c>
      <c r="B12083" s="3" t="s">
        <v>90</v>
      </c>
      <c r="C12083" s="5">
        <v>5674</v>
      </c>
      <c r="D12083" s="6">
        <v>24.34</v>
      </c>
      <c r="E12083" t="s">
        <v>18</v>
      </c>
    </row>
    <row r="12084" spans="1:5" x14ac:dyDescent="0.25">
      <c r="A12084" t="str">
        <f>HYPERLINK("https://www.773grp.com/globalSearch/TB5R2DW/page-1", "TB5R2DW")</f>
        <v>TB5R2DW</v>
      </c>
      <c r="B12084" s="3" t="s">
        <v>90</v>
      </c>
      <c r="C12084" s="5">
        <v>371</v>
      </c>
      <c r="D12084" s="6">
        <v>24.34</v>
      </c>
      <c r="E12084" t="s">
        <v>18</v>
      </c>
    </row>
    <row r="12085" spans="1:5" x14ac:dyDescent="0.25">
      <c r="A12085" t="str">
        <f>HYPERLINK("https://www.773grp.com/globalSearch/TB5T1D/page-1", "TB5T1D")</f>
        <v>TB5T1D</v>
      </c>
      <c r="B12085" s="3" t="s">
        <v>90</v>
      </c>
      <c r="C12085" s="5">
        <v>13494</v>
      </c>
      <c r="D12085" s="6">
        <v>24.34</v>
      </c>
      <c r="E12085" t="s">
        <v>18</v>
      </c>
    </row>
    <row r="12086" spans="1:5" x14ac:dyDescent="0.25">
      <c r="A12086" t="str">
        <f>HYPERLINK("https://www.773grp.com/globalSearch/TB5T1DW/page-1", "TB5T1DW")</f>
        <v>TB5T1DW</v>
      </c>
      <c r="B12086" s="3" t="s">
        <v>90</v>
      </c>
      <c r="C12086" s="5">
        <v>1370</v>
      </c>
      <c r="D12086" s="6">
        <v>24.34</v>
      </c>
      <c r="E12086" t="s">
        <v>18</v>
      </c>
    </row>
    <row r="12087" spans="1:5" x14ac:dyDescent="0.25">
      <c r="A12087" t="str">
        <f>HYPERLINK("https://www.773grp.com/globalSearch/TLFD600PAP/page-1", "TLFD600PAP")</f>
        <v>TLFD600PAP</v>
      </c>
      <c r="B12087" s="3" t="s">
        <v>90</v>
      </c>
      <c r="C12087" s="5">
        <v>14705</v>
      </c>
      <c r="D12087" s="6">
        <v>24.44</v>
      </c>
      <c r="E12087" t="s">
        <v>18</v>
      </c>
    </row>
    <row r="12088" spans="1:5" x14ac:dyDescent="0.25">
      <c r="A12088" t="str">
        <f>HYPERLINK("https://www.773grp.com/globalSearch/5962-8874401EA/page-1", "5962-8874401EA")</f>
        <v>5962-8874401EA</v>
      </c>
      <c r="B12088" s="3" t="s">
        <v>90</v>
      </c>
      <c r="C12088" s="5">
        <v>136</v>
      </c>
      <c r="D12088" s="6">
        <v>24.5</v>
      </c>
      <c r="E12088" t="s">
        <v>18</v>
      </c>
    </row>
    <row r="12089" spans="1:5" x14ac:dyDescent="0.25">
      <c r="A12089" t="str">
        <f>HYPERLINK("https://www.773grp.com/globalSearch/SNJ55113J/page-1", "SNJ55113J")</f>
        <v>SNJ55113J</v>
      </c>
      <c r="B12089" s="3" t="s">
        <v>90</v>
      </c>
      <c r="C12089" s="5">
        <v>103</v>
      </c>
      <c r="D12089" s="6">
        <v>24.5</v>
      </c>
      <c r="E12089" t="s">
        <v>18</v>
      </c>
    </row>
    <row r="12090" spans="1:5" x14ac:dyDescent="0.25">
      <c r="A12090" t="str">
        <f>HYPERLINK("https://www.773grp.com/globalSearch/SNJ55189FK/page-1", "SNJ55189FK")</f>
        <v>SNJ55189FK</v>
      </c>
      <c r="B12090" s="3" t="s">
        <v>90</v>
      </c>
      <c r="C12090" s="5">
        <v>361</v>
      </c>
      <c r="D12090" s="6">
        <v>24.86</v>
      </c>
      <c r="E12090" t="s">
        <v>18</v>
      </c>
    </row>
    <row r="12091" spans="1:5" x14ac:dyDescent="0.25">
      <c r="A12091" t="str">
        <f>HYPERLINK("https://www.773grp.com/globalSearch/SN74FB2033HRC/page-1", "SN74FB2033HRC")</f>
        <v>SN74FB2033HRC</v>
      </c>
      <c r="B12091" s="3" t="s">
        <v>90</v>
      </c>
      <c r="C12091" s="5">
        <v>1821</v>
      </c>
      <c r="D12091" s="6">
        <v>24.93</v>
      </c>
      <c r="E12091" t="s">
        <v>18</v>
      </c>
    </row>
    <row r="12092" spans="1:5" x14ac:dyDescent="0.25">
      <c r="A12092" t="str">
        <f>HYPERLINK("https://www.773grp.com/globalSearch/SN65LV1224ADB/page-1", "SN65LV1224ADB")</f>
        <v>SN65LV1224ADB</v>
      </c>
      <c r="B12092" s="3" t="s">
        <v>90</v>
      </c>
      <c r="C12092" s="5">
        <v>4256</v>
      </c>
      <c r="D12092" s="6">
        <v>25.31</v>
      </c>
      <c r="E12092" t="s">
        <v>18</v>
      </c>
    </row>
    <row r="12093" spans="1:5" x14ac:dyDescent="0.25">
      <c r="A12093" t="str">
        <f>HYPERLINK("https://www.773grp.com/globalSearch/SN55114W/page-1", "SN55114W")</f>
        <v>SN55114W</v>
      </c>
      <c r="B12093" s="3" t="s">
        <v>90</v>
      </c>
      <c r="C12093" s="5">
        <v>9</v>
      </c>
      <c r="D12093" s="6">
        <v>25.95</v>
      </c>
      <c r="E12093" t="s">
        <v>18</v>
      </c>
    </row>
    <row r="12094" spans="1:5" x14ac:dyDescent="0.25">
      <c r="A12094" t="str">
        <f>HYPERLINK("https://www.773grp.com/globalSearch/TB5D1MLD/page-1", "TB5D1MLD")</f>
        <v>TB5D1MLD</v>
      </c>
      <c r="B12094" s="3" t="s">
        <v>90</v>
      </c>
      <c r="C12094" s="5">
        <v>453</v>
      </c>
      <c r="D12094" s="6">
        <v>26.03</v>
      </c>
      <c r="E12094" t="s">
        <v>18</v>
      </c>
    </row>
    <row r="12095" spans="1:5" x14ac:dyDescent="0.25">
      <c r="A12095" t="str">
        <f>HYPERLINK("https://www.773grp.com/globalSearch/TB5D2HLD/page-1", "TB5D2HLD")</f>
        <v>TB5D2HLD</v>
      </c>
      <c r="B12095" s="3" t="s">
        <v>90</v>
      </c>
      <c r="C12095" s="5">
        <v>1141</v>
      </c>
      <c r="D12095" s="6">
        <v>26.03</v>
      </c>
      <c r="E12095" t="s">
        <v>18</v>
      </c>
    </row>
    <row r="12096" spans="1:5" x14ac:dyDescent="0.25">
      <c r="A12096" t="str">
        <f>HYPERLINK("https://www.773grp.com/globalSearch/TB5D2HLDW/page-1", "TB5D2HLDW")</f>
        <v>TB5D2HLDW</v>
      </c>
      <c r="B12096" s="3" t="s">
        <v>90</v>
      </c>
      <c r="C12096" s="5">
        <v>2425</v>
      </c>
      <c r="D12096" s="6">
        <v>26.03</v>
      </c>
      <c r="E12096" t="s">
        <v>18</v>
      </c>
    </row>
    <row r="12097" spans="1:5" x14ac:dyDescent="0.25">
      <c r="A12097" t="str">
        <f>HYPERLINK("https://www.773grp.com/globalSearch/TB5R1LD/page-1", "TB5R1LD")</f>
        <v>TB5R1LD</v>
      </c>
      <c r="B12097" s="3" t="s">
        <v>90</v>
      </c>
      <c r="C12097" s="5">
        <v>7480</v>
      </c>
      <c r="D12097" s="6">
        <v>26.03</v>
      </c>
      <c r="E12097" t="s">
        <v>18</v>
      </c>
    </row>
    <row r="12098" spans="1:5" x14ac:dyDescent="0.25">
      <c r="A12098" t="str">
        <f>HYPERLINK("https://www.773grp.com/globalSearch/TB5R2LD/page-1", "TB5R2LD")</f>
        <v>TB5R2LD</v>
      </c>
      <c r="B12098" s="3" t="s">
        <v>90</v>
      </c>
      <c r="C12098" s="5">
        <v>20</v>
      </c>
      <c r="D12098" s="6">
        <v>26.03</v>
      </c>
      <c r="E12098" t="s">
        <v>18</v>
      </c>
    </row>
    <row r="12099" spans="1:5" x14ac:dyDescent="0.25">
      <c r="A12099" t="str">
        <f>HYPERLINK("https://www.773grp.com/globalSearch/SNJ55ALS194J/page-1", "SNJ55ALS194J")</f>
        <v>SNJ55ALS194J</v>
      </c>
      <c r="B12099" s="3" t="s">
        <v>90</v>
      </c>
      <c r="C12099" s="5">
        <v>251</v>
      </c>
      <c r="D12099" s="6">
        <v>26.38</v>
      </c>
      <c r="E12099" t="s">
        <v>18</v>
      </c>
    </row>
    <row r="12100" spans="1:5" x14ac:dyDescent="0.25">
      <c r="A12100" t="str">
        <f>HYPERLINK("https://www.773grp.com/globalSearch/SN55183J/page-1", "SN55183J")</f>
        <v>SN55183J</v>
      </c>
      <c r="B12100" s="3" t="s">
        <v>90</v>
      </c>
      <c r="C12100" s="5">
        <v>34</v>
      </c>
      <c r="D12100" s="6">
        <v>26.41</v>
      </c>
      <c r="E12100" t="s">
        <v>18</v>
      </c>
    </row>
    <row r="12101" spans="1:5" x14ac:dyDescent="0.25">
      <c r="A12101" t="str">
        <f>HYPERLINK("https://www.773grp.com/globalSearch/79008012A/page-1", "79008012A")</f>
        <v>79008012A</v>
      </c>
      <c r="B12101" s="3" t="str">
        <f>HYPERLINK("https://www.773grp.com/manufacturer/texas-instruments?pageNo=28", "Texas Instruments")</f>
        <v>Texas Instruments</v>
      </c>
      <c r="C12101" s="5">
        <v>27</v>
      </c>
      <c r="D12101" s="6">
        <v>27.51</v>
      </c>
      <c r="E12101" t="s">
        <v>18</v>
      </c>
    </row>
    <row r="12102" spans="1:5" x14ac:dyDescent="0.25">
      <c r="A12102" t="str">
        <f>HYPERLINK("https://www.773grp.com/globalSearch/TLK3131ZWQ/page-1", "TLK3131ZWQ")</f>
        <v>TLK3131ZWQ</v>
      </c>
      <c r="B12102" s="3" t="str">
        <f>HYPERLINK("https://www.773grp.com/manufacturer/texas-instruments?pageNo=144", "Texas Instruments")</f>
        <v>Texas Instruments</v>
      </c>
      <c r="C12102" s="5">
        <v>172160</v>
      </c>
      <c r="D12102" s="6">
        <v>28.13</v>
      </c>
      <c r="E12102" t="s">
        <v>18</v>
      </c>
    </row>
    <row r="12103" spans="1:5" x14ac:dyDescent="0.25">
      <c r="A12103" t="str">
        <f>HYPERLINK("https://www.773grp.com/globalSearch/SN65LVDM320DGG/page-1", "SN65LVDM320DGG")</f>
        <v>SN65LVDM320DGG</v>
      </c>
      <c r="B12103" s="3" t="str">
        <f>HYPERLINK("https://www.773grp.com/manufacturer/texas-instruments?pageNo=193", "Texas Instruments")</f>
        <v>Texas Instruments</v>
      </c>
      <c r="C12103" s="5">
        <v>12750</v>
      </c>
      <c r="D12103" s="6">
        <v>28.26</v>
      </c>
      <c r="E12103" t="s">
        <v>18</v>
      </c>
    </row>
    <row r="12104" spans="1:5" x14ac:dyDescent="0.25">
      <c r="A12104" t="str">
        <f>HYPERLINK("https://www.773grp.com/globalSearch/SN75LBC968DLR/page-1", "SN75LBC968DLR")</f>
        <v>SN75LBC968DLR</v>
      </c>
      <c r="B12104" s="3" t="str">
        <f>HYPERLINK("https://www.773grp.com/manufacturer/texas-instruments?pageNo=209", "Texas Instruments")</f>
        <v>Texas Instruments</v>
      </c>
      <c r="C12104" s="5">
        <v>12000</v>
      </c>
      <c r="D12104" s="6">
        <v>28.35</v>
      </c>
      <c r="E12104" t="s">
        <v>18</v>
      </c>
    </row>
    <row r="12105" spans="1:5" x14ac:dyDescent="0.25">
      <c r="A12105" t="str">
        <f>HYPERLINK("https://www.773grp.com/globalSearch/SN65LV1023DB/page-1", "SN65LV1023DB")</f>
        <v>SN65LV1023DB</v>
      </c>
      <c r="B12105" s="3" t="str">
        <f>HYPERLINK("https://www.773grp.com/manufacturer/texas-instruments?pageNo=303", "Texas Instruments")</f>
        <v>Texas Instruments</v>
      </c>
      <c r="C12105" s="5">
        <v>19105</v>
      </c>
      <c r="D12105" s="6">
        <v>29.11</v>
      </c>
      <c r="E12105" t="s">
        <v>18</v>
      </c>
    </row>
    <row r="12106" spans="1:5" x14ac:dyDescent="0.25">
      <c r="A12106" t="str">
        <f>HYPERLINK("https://www.773grp.com/globalSearch/SN65LV1224DB/page-1", "SN65LV1224DB")</f>
        <v>SN65LV1224DB</v>
      </c>
      <c r="B12106" s="3" t="str">
        <f>HYPERLINK("https://www.773grp.com/manufacturer/texas-instruments?pageNo=304", "Texas Instruments")</f>
        <v>Texas Instruments</v>
      </c>
      <c r="C12106" s="5">
        <v>6697</v>
      </c>
      <c r="D12106" s="6">
        <v>29.11</v>
      </c>
      <c r="E12106" t="s">
        <v>18</v>
      </c>
    </row>
    <row r="12107" spans="1:5" x14ac:dyDescent="0.25">
      <c r="A12107" t="str">
        <f>HYPERLINK("https://www.773grp.com/globalSearch/TB3R2D/page-1", "TB3R2D")</f>
        <v>TB3R2D</v>
      </c>
      <c r="B12107" s="3" t="str">
        <f>HYPERLINK("https://www.773grp.com/manufacturer/texas-instruments?pageNo=324", "Texas Instruments")</f>
        <v>Texas Instruments</v>
      </c>
      <c r="C12107" s="5">
        <v>67</v>
      </c>
      <c r="D12107" s="6">
        <v>29.25</v>
      </c>
      <c r="E12107" t="s">
        <v>18</v>
      </c>
    </row>
    <row r="12108" spans="1:5" x14ac:dyDescent="0.25">
      <c r="A12108" t="str">
        <f>HYPERLINK("https://www.773grp.com/globalSearch/TSB41BA3APFP/page-1", "TSB41BA3APFP")</f>
        <v>TSB41BA3APFP</v>
      </c>
      <c r="B12108" s="3" t="str">
        <f>HYPERLINK("https://www.773grp.com/manufacturer/texas-instruments?pageNo=389", "Texas Instruments")</f>
        <v>Texas Instruments</v>
      </c>
      <c r="C12108" s="5">
        <v>4380</v>
      </c>
      <c r="D12108" s="6">
        <v>29.54</v>
      </c>
      <c r="E12108" t="s">
        <v>18</v>
      </c>
    </row>
    <row r="12109" spans="1:5" x14ac:dyDescent="0.25">
      <c r="A12109" t="str">
        <f>HYPERLINK("https://www.773grp.com/globalSearch/TSB41BA3AIPFP/page-1", "TSB41BA3AIPFP")</f>
        <v>TSB41BA3AIPFP</v>
      </c>
      <c r="B12109" s="3" t="str">
        <f>HYPERLINK("https://www.773grp.com/manufacturer/texas-instruments?pageNo=413", "Texas Instruments")</f>
        <v>Texas Instruments</v>
      </c>
      <c r="C12109" s="5">
        <v>4708</v>
      </c>
      <c r="D12109" s="6">
        <v>29.81</v>
      </c>
      <c r="E12109" t="s">
        <v>18</v>
      </c>
    </row>
    <row r="12110" spans="1:5" x14ac:dyDescent="0.25">
      <c r="A12110" t="str">
        <f>HYPERLINK("https://www.773grp.com/globalSearch/5962-8864801FA/page-1", "5962-8864801FA")</f>
        <v>5962-8864801FA</v>
      </c>
      <c r="B12110" s="3" t="str">
        <f>HYPERLINK("https://www.773grp.com/manufacturer/texas-instruments?pageNo=449", "Texas Instruments")</f>
        <v>Texas Instruments</v>
      </c>
      <c r="C12110" s="5">
        <v>96</v>
      </c>
      <c r="D12110" s="6">
        <v>30.13</v>
      </c>
      <c r="E12110" t="s">
        <v>18</v>
      </c>
    </row>
    <row r="12111" spans="1:5" x14ac:dyDescent="0.25">
      <c r="A12111" t="str">
        <f>HYPERLINK("https://www.773grp.com/globalSearch/SNJ55ALS194W/page-1", "SNJ55ALS194W")</f>
        <v>SNJ55ALS194W</v>
      </c>
      <c r="B12111" s="3" t="str">
        <f>HYPERLINK("https://www.773grp.com/manufacturer/texas-instruments?pageNo=450", "Texas Instruments")</f>
        <v>Texas Instruments</v>
      </c>
      <c r="C12111" s="5">
        <v>92</v>
      </c>
      <c r="D12111" s="6">
        <v>30.13</v>
      </c>
      <c r="E12111" t="s">
        <v>18</v>
      </c>
    </row>
    <row r="12112" spans="1:5" x14ac:dyDescent="0.25">
      <c r="A12112" t="str">
        <f>HYPERLINK("https://www.773grp.com/globalSearch/5962-8864901FA/page-1", "5962-8864901FA")</f>
        <v>5962-8864901FA</v>
      </c>
      <c r="B12112" s="3" t="str">
        <f>HYPERLINK("https://www.773grp.com/manufacturer/texas-instruments?pageNo=453", "Texas Instruments")</f>
        <v>Texas Instruments</v>
      </c>
      <c r="C12112" s="5">
        <v>28</v>
      </c>
      <c r="D12112" s="6">
        <v>30.18</v>
      </c>
      <c r="E12112" t="s">
        <v>18</v>
      </c>
    </row>
    <row r="12113" spans="1:5" x14ac:dyDescent="0.25">
      <c r="A12113" t="str">
        <f>HYPERLINK("https://www.773grp.com/globalSearch/SN75976A1DLR/page-1", "SN75976A1DLR")</f>
        <v>SN75976A1DLR</v>
      </c>
      <c r="B12113" s="3" t="str">
        <f>HYPERLINK("https://www.773grp.com/manufacturer/texas-instruments?pageNo=464", "Texas Instruments")</f>
        <v>Texas Instruments</v>
      </c>
      <c r="C12113" s="5">
        <v>7000</v>
      </c>
      <c r="D12113" s="6">
        <v>30.24</v>
      </c>
      <c r="E12113" t="s">
        <v>18</v>
      </c>
    </row>
    <row r="12114" spans="1:5" x14ac:dyDescent="0.25">
      <c r="A12114" t="str">
        <f>HYPERLINK("https://www.773grp.com/globalSearch/SN75LVDM977DGGR/page-1", "SN75LVDM977DGGR")</f>
        <v>SN75LVDM977DGGR</v>
      </c>
      <c r="B12114" s="3" t="str">
        <f>HYPERLINK("https://www.773grp.com/manufacturer/texas-instruments?pageNo=628", "Texas Instruments")</f>
        <v>Texas Instruments</v>
      </c>
      <c r="C12114" s="5">
        <v>1965</v>
      </c>
      <c r="D12114" s="6">
        <v>30.94</v>
      </c>
      <c r="E12114" t="s">
        <v>18</v>
      </c>
    </row>
    <row r="12115" spans="1:5" x14ac:dyDescent="0.25">
      <c r="A12115" t="str">
        <f>HYPERLINK("https://www.773grp.com/globalSearch/5962-7802004MFA/page-1", "5962-7802004MFA")</f>
        <v>5962-7802004MFA</v>
      </c>
      <c r="B12115" s="3" t="str">
        <f>HYPERLINK("https://www.773grp.com/manufacturer/texas-instruments?pageNo=653", "Texas Instruments")</f>
        <v>Texas Instruments</v>
      </c>
      <c r="C12115" s="5">
        <v>314</v>
      </c>
      <c r="D12115" s="6">
        <v>31.16</v>
      </c>
      <c r="E12115" t="s">
        <v>18</v>
      </c>
    </row>
    <row r="12116" spans="1:5" x14ac:dyDescent="0.25">
      <c r="A12116" t="str">
        <f>HYPERLINK("https://www.773grp.com/globalSearch/AM26LS33AMWB/page-1", "AM26LS33AMWB")</f>
        <v>AM26LS33AMWB</v>
      </c>
      <c r="B12116" s="3" t="str">
        <f>HYPERLINK("https://www.773grp.com/manufacturer/texas-instruments?pageNo=654", "Texas Instruments")</f>
        <v>Texas Instruments</v>
      </c>
      <c r="C12116" s="5">
        <v>323</v>
      </c>
      <c r="D12116" s="6">
        <v>31.16</v>
      </c>
      <c r="E12116" t="s">
        <v>18</v>
      </c>
    </row>
    <row r="12117" spans="1:5" x14ac:dyDescent="0.25">
      <c r="A12117" t="str">
        <f>HYPERLINK("https://www.773grp.com/globalSearch/SN75LBC971ADL/page-1", "SN75LBC971ADL")</f>
        <v>SN75LBC971ADL</v>
      </c>
      <c r="B12117" s="3" t="str">
        <f>HYPERLINK("https://www.773grp.com/manufacturer/texas-instruments?pageNo=747", "Texas Instruments")</f>
        <v>Texas Instruments</v>
      </c>
      <c r="C12117" s="5">
        <v>174</v>
      </c>
      <c r="D12117" s="6">
        <v>31.86</v>
      </c>
      <c r="E12117" t="s">
        <v>18</v>
      </c>
    </row>
    <row r="12118" spans="1:5" x14ac:dyDescent="0.25">
      <c r="A12118" t="str">
        <f>HYPERLINK("https://www.773grp.com/globalSearch/JM38510-10401BCA/page-1", "JM38510-10401BCA")</f>
        <v>JM38510-10401BCA</v>
      </c>
      <c r="B12118" s="3" t="str">
        <f>HYPERLINK("https://www.773grp.com/manufacturer/texas-instruments?pageNo=820", "Texas Instruments")</f>
        <v>Texas Instruments</v>
      </c>
      <c r="C12118" s="5">
        <v>1433</v>
      </c>
      <c r="D12118" s="6">
        <v>32.31</v>
      </c>
      <c r="E12118" t="s">
        <v>18</v>
      </c>
    </row>
    <row r="12119" spans="1:5" x14ac:dyDescent="0.25">
      <c r="A12119" t="str">
        <f>HYPERLINK("https://www.773grp.com/globalSearch/SN75971B1DGG/page-1", "SN75971B1DGG")</f>
        <v>SN75971B1DGG</v>
      </c>
      <c r="B12119" s="3" t="str">
        <f>HYPERLINK("https://www.773grp.com/manufacturer/texas-instruments?pageNo=834", "Texas Instruments")</f>
        <v>Texas Instruments</v>
      </c>
      <c r="C12119" s="5">
        <v>665</v>
      </c>
      <c r="D12119" s="6">
        <v>32.35</v>
      </c>
      <c r="E12119" t="s">
        <v>18</v>
      </c>
    </row>
    <row r="12120" spans="1:5" x14ac:dyDescent="0.25">
      <c r="A12120" t="str">
        <f>HYPERLINK("https://www.773grp.com/globalSearch/SNJ55ALS192W/page-1", "SNJ55ALS192W")</f>
        <v>SNJ55ALS192W</v>
      </c>
      <c r="B12120" s="3" t="str">
        <f>HYPERLINK("https://www.773grp.com/manufacturer/texas-instruments?pageNo=848", "Texas Instruments")</f>
        <v>Texas Instruments</v>
      </c>
      <c r="C12120" s="5">
        <v>94</v>
      </c>
      <c r="D12120" s="6">
        <v>32.44</v>
      </c>
      <c r="E12120" t="s">
        <v>18</v>
      </c>
    </row>
    <row r="12121" spans="1:5" x14ac:dyDescent="0.25">
      <c r="A12121" t="str">
        <f>HYPERLINK("https://www.773grp.com/globalSearch/SNJ55107AW/page-1", "SNJ55107AW")</f>
        <v>SNJ55107AW</v>
      </c>
      <c r="B12121" s="3" t="s">
        <v>90</v>
      </c>
      <c r="C12121" s="5">
        <v>76</v>
      </c>
      <c r="D12121" s="6">
        <v>33.71</v>
      </c>
      <c r="E12121" t="s">
        <v>18</v>
      </c>
    </row>
    <row r="12122" spans="1:5" x14ac:dyDescent="0.25">
      <c r="A12122" t="str">
        <f>HYPERLINK("https://www.773grp.com/globalSearch/TLK3132ZEN/page-1", "TLK3132ZEN")</f>
        <v>TLK3132ZEN</v>
      </c>
      <c r="B12122" s="3" t="s">
        <v>90</v>
      </c>
      <c r="C12122" s="5">
        <v>172</v>
      </c>
      <c r="D12122" s="6">
        <v>33.75</v>
      </c>
      <c r="E12122" t="s">
        <v>18</v>
      </c>
    </row>
    <row r="12123" spans="1:5" x14ac:dyDescent="0.25">
      <c r="A12123" t="str">
        <f>HYPERLINK("https://www.773grp.com/globalSearch/SN75LBC968DL/page-1", "SN75LBC968DL")</f>
        <v>SN75LBC968DL</v>
      </c>
      <c r="B12123" s="3" t="s">
        <v>90</v>
      </c>
      <c r="C12123" s="5">
        <v>3936</v>
      </c>
      <c r="D12123" s="6">
        <v>33.979999999999997</v>
      </c>
      <c r="E12123" t="s">
        <v>18</v>
      </c>
    </row>
    <row r="12124" spans="1:5" x14ac:dyDescent="0.25">
      <c r="A12124" t="str">
        <f>HYPERLINK("https://www.773grp.com/globalSearch/5962-7802004MEA/page-1", "5962-7802004MEA")</f>
        <v>5962-7802004MEA</v>
      </c>
      <c r="B12124" s="3" t="s">
        <v>90</v>
      </c>
      <c r="C12124" s="5">
        <v>328</v>
      </c>
      <c r="D12124" s="6">
        <v>34</v>
      </c>
      <c r="E12124" t="s">
        <v>18</v>
      </c>
    </row>
    <row r="12125" spans="1:5" x14ac:dyDescent="0.25">
      <c r="A12125" t="str">
        <f>HYPERLINK("https://www.773grp.com/globalSearch/SN75976A1DGG/page-1", "SN75976A1DGG")</f>
        <v>SN75976A1DGG</v>
      </c>
      <c r="B12125" s="3" t="s">
        <v>90</v>
      </c>
      <c r="C12125" s="5">
        <v>96</v>
      </c>
      <c r="D12125" s="6">
        <v>35.86</v>
      </c>
      <c r="E12125" t="s">
        <v>18</v>
      </c>
    </row>
    <row r="12126" spans="1:5" x14ac:dyDescent="0.25">
      <c r="A12126" t="str">
        <f>HYPERLINK("https://www.773grp.com/globalSearch/SN75976A1DL/page-1", "SN75976A1DL")</f>
        <v>SN75976A1DL</v>
      </c>
      <c r="B12126" s="3" t="s">
        <v>90</v>
      </c>
      <c r="C12126" s="5">
        <v>29</v>
      </c>
      <c r="D12126" s="6">
        <v>35.86</v>
      </c>
      <c r="E12126" t="s">
        <v>18</v>
      </c>
    </row>
    <row r="12127" spans="1:5" x14ac:dyDescent="0.25">
      <c r="A12127" t="str">
        <f>HYPERLINK("https://www.773grp.com/globalSearch/TB3R1D/page-1", "TB3R1D")</f>
        <v>TB3R1D</v>
      </c>
      <c r="B12127" s="3" t="s">
        <v>90</v>
      </c>
      <c r="C12127" s="5">
        <v>17497</v>
      </c>
      <c r="D12127" s="6">
        <v>36</v>
      </c>
      <c r="E12127" t="s">
        <v>18</v>
      </c>
    </row>
    <row r="12128" spans="1:5" x14ac:dyDescent="0.25">
      <c r="A12128" t="str">
        <f>HYPERLINK("https://www.773grp.com/globalSearch/TB3R1LD/page-1", "TB3R1LD")</f>
        <v>TB3R1LD</v>
      </c>
      <c r="B12128" s="3" t="s">
        <v>90</v>
      </c>
      <c r="C12128" s="5">
        <v>1788</v>
      </c>
      <c r="D12128" s="6">
        <v>36</v>
      </c>
      <c r="E12128" t="s">
        <v>18</v>
      </c>
    </row>
    <row r="12129" spans="1:5" x14ac:dyDescent="0.25">
      <c r="A12129" t="str">
        <f>HYPERLINK("https://www.773grp.com/globalSearch/TB5R3D/page-1", "TB5R3D")</f>
        <v>TB5R3D</v>
      </c>
      <c r="B12129" s="3" t="s">
        <v>90</v>
      </c>
      <c r="C12129" s="5">
        <v>1293</v>
      </c>
      <c r="D12129" s="6">
        <v>36.15</v>
      </c>
      <c r="E12129" t="s">
        <v>18</v>
      </c>
    </row>
    <row r="12130" spans="1:5" x14ac:dyDescent="0.25">
      <c r="A12130" t="str">
        <f>HYPERLINK("https://www.773grp.com/globalSearch/TB5R3DW/page-1", "TB5R3DW")</f>
        <v>TB5R3DW</v>
      </c>
      <c r="B12130" s="3" t="s">
        <v>90</v>
      </c>
      <c r="C12130" s="5">
        <v>260</v>
      </c>
      <c r="D12130" s="6">
        <v>36.15</v>
      </c>
      <c r="E12130" t="s">
        <v>18</v>
      </c>
    </row>
    <row r="12131" spans="1:5" x14ac:dyDescent="0.25">
      <c r="A12131" t="str">
        <f>HYPERLINK("https://www.773grp.com/globalSearch/TB5R3LD/page-1", "TB5R3LD")</f>
        <v>TB5R3LD</v>
      </c>
      <c r="B12131" s="3" t="s">
        <v>90</v>
      </c>
      <c r="C12131" s="5">
        <v>4894</v>
      </c>
      <c r="D12131" s="6">
        <v>36.15</v>
      </c>
      <c r="E12131" t="s">
        <v>18</v>
      </c>
    </row>
    <row r="12132" spans="1:5" x14ac:dyDescent="0.25">
      <c r="A12132" t="str">
        <f>HYPERLINK("https://www.773grp.com/globalSearch/TB5R3LDW/page-1", "TB5R3LDW")</f>
        <v>TB5R3LDW</v>
      </c>
      <c r="B12132" s="3" t="s">
        <v>90</v>
      </c>
      <c r="C12132" s="5">
        <v>120</v>
      </c>
      <c r="D12132" s="6">
        <v>36.15</v>
      </c>
      <c r="E12132" t="s">
        <v>18</v>
      </c>
    </row>
    <row r="12133" spans="1:5" x14ac:dyDescent="0.25">
      <c r="A12133" t="str">
        <f>HYPERLINK("https://www.773grp.com/globalSearch/SN75LBC970ADL/page-1", "SN75LBC970ADL")</f>
        <v>SN75LBC970ADL</v>
      </c>
      <c r="B12133" s="3" t="s">
        <v>90</v>
      </c>
      <c r="C12133" s="5">
        <v>655</v>
      </c>
      <c r="D12133" s="6">
        <v>36.36</v>
      </c>
      <c r="E12133" t="s">
        <v>18</v>
      </c>
    </row>
    <row r="12134" spans="1:5" x14ac:dyDescent="0.25">
      <c r="A12134" t="str">
        <f>HYPERLINK("https://www.773grp.com/globalSearch/SN75LVDM976DGGG4/page-1", "SN75LVDM976DGGG4")</f>
        <v>SN75LVDM976DGGG4</v>
      </c>
      <c r="B12134" s="3" t="s">
        <v>90</v>
      </c>
      <c r="C12134" s="5">
        <v>9</v>
      </c>
      <c r="D12134" s="6">
        <v>36.56</v>
      </c>
      <c r="E12134" t="s">
        <v>18</v>
      </c>
    </row>
    <row r="12135" spans="1:5" x14ac:dyDescent="0.25">
      <c r="A12135" t="str">
        <f>HYPERLINK("https://www.773grp.com/globalSearch/SN75LVDM977DGG/page-1", "SN75LVDM977DGG")</f>
        <v>SN75LVDM977DGG</v>
      </c>
      <c r="B12135" s="3" t="s">
        <v>90</v>
      </c>
      <c r="C12135" s="5">
        <v>1045</v>
      </c>
      <c r="D12135" s="6">
        <v>36.56</v>
      </c>
      <c r="E12135" t="s">
        <v>18</v>
      </c>
    </row>
    <row r="12136" spans="1:5" x14ac:dyDescent="0.25">
      <c r="A12136" t="str">
        <f>HYPERLINK("https://www.773grp.com/globalSearch/SN75LVDM977DL/page-1", "SN75LVDM977DL")</f>
        <v>SN75LVDM977DL</v>
      </c>
      <c r="B12136" s="3" t="s">
        <v>90</v>
      </c>
      <c r="C12136" s="5">
        <v>15255</v>
      </c>
      <c r="D12136" s="6">
        <v>36.56</v>
      </c>
      <c r="E12136" t="s">
        <v>18</v>
      </c>
    </row>
    <row r="12137" spans="1:5" x14ac:dyDescent="0.25">
      <c r="A12137" t="str">
        <f>HYPERLINK("https://www.773grp.com/globalSearch/TSB17BA1PW/page-1", "TSB17BA1PW")</f>
        <v>TSB17BA1PW</v>
      </c>
      <c r="B12137" s="3" t="s">
        <v>90</v>
      </c>
      <c r="C12137" s="5">
        <v>2847</v>
      </c>
      <c r="D12137" s="6">
        <v>36.56</v>
      </c>
      <c r="E12137" t="s">
        <v>18</v>
      </c>
    </row>
    <row r="12138" spans="1:5" x14ac:dyDescent="0.25">
      <c r="A12138" t="str">
        <f>HYPERLINK("https://www.773grp.com/globalSearch/7900901CA/page-1", "7900901CA")</f>
        <v>7900901CA</v>
      </c>
      <c r="B12138" s="3" t="s">
        <v>90</v>
      </c>
      <c r="C12138" s="5">
        <v>294</v>
      </c>
      <c r="D12138" s="6">
        <v>37.89</v>
      </c>
      <c r="E12138" t="s">
        <v>18</v>
      </c>
    </row>
    <row r="12139" spans="1:5" x14ac:dyDescent="0.25">
      <c r="A12139" t="str">
        <f>HYPERLINK("https://www.773grp.com/globalSearch/SNJ55183J/page-1", "SNJ55183J")</f>
        <v>SNJ55183J</v>
      </c>
      <c r="B12139" s="3" t="s">
        <v>90</v>
      </c>
      <c r="C12139" s="5">
        <v>4</v>
      </c>
      <c r="D12139" s="6">
        <v>37.89</v>
      </c>
      <c r="E12139" t="s">
        <v>18</v>
      </c>
    </row>
    <row r="12140" spans="1:5" x14ac:dyDescent="0.25">
      <c r="A12140" t="str">
        <f>HYPERLINK("https://www.773grp.com/globalSearch/SN75LVDM976DGG/page-1", "SN75LVDM976DGG")</f>
        <v>SN75LVDM976DGG</v>
      </c>
      <c r="B12140" s="3" t="s">
        <v>90</v>
      </c>
      <c r="C12140" s="5">
        <v>3711</v>
      </c>
      <c r="D12140" s="6">
        <v>38.1</v>
      </c>
      <c r="E12140" t="s">
        <v>18</v>
      </c>
    </row>
    <row r="12141" spans="1:5" x14ac:dyDescent="0.25">
      <c r="A12141" t="str">
        <f>HYPERLINK("https://www.773grp.com/globalSearch/SN75LVDM976DL/page-1", "SN75LVDM976DL")</f>
        <v>SN75LVDM976DL</v>
      </c>
      <c r="B12141" s="3" t="s">
        <v>90</v>
      </c>
      <c r="C12141" s="5">
        <v>14663</v>
      </c>
      <c r="D12141" s="6">
        <v>38.1</v>
      </c>
      <c r="E12141" t="s">
        <v>18</v>
      </c>
    </row>
    <row r="12142" spans="1:5" x14ac:dyDescent="0.25">
      <c r="A12142" t="str">
        <f>HYPERLINK("https://www.773grp.com/globalSearch/SN75971B2DGGR/page-1", "SN75971B2DGGR")</f>
        <v>SN75971B2DGGR</v>
      </c>
      <c r="B12142" s="3" t="s">
        <v>90</v>
      </c>
      <c r="C12142" s="5">
        <v>2000</v>
      </c>
      <c r="D12142" s="6">
        <v>38.25</v>
      </c>
      <c r="E12142" t="s">
        <v>18</v>
      </c>
    </row>
    <row r="12143" spans="1:5" x14ac:dyDescent="0.25">
      <c r="A12143" t="str">
        <f>HYPERLINK("https://www.773grp.com/globalSearch/5962-9163901QFA/page-1", "5962-9163901QFA")</f>
        <v>5962-9163901QFA</v>
      </c>
      <c r="B12143" s="3" t="s">
        <v>90</v>
      </c>
      <c r="C12143" s="5">
        <v>191</v>
      </c>
      <c r="D12143" s="6">
        <v>40.28</v>
      </c>
      <c r="E12143" t="s">
        <v>18</v>
      </c>
    </row>
    <row r="12144" spans="1:5" x14ac:dyDescent="0.25">
      <c r="A12144" t="str">
        <f>HYPERLINK("https://www.773grp.com/globalSearch/5962-9164001QFA/page-1", "5962-9164001QFA")</f>
        <v>5962-9164001QFA</v>
      </c>
      <c r="B12144" s="3" t="s">
        <v>90</v>
      </c>
      <c r="C12144" s="5">
        <v>1056</v>
      </c>
      <c r="D12144" s="6">
        <v>40.5</v>
      </c>
      <c r="E12144" t="s">
        <v>18</v>
      </c>
    </row>
    <row r="12145" spans="1:5" x14ac:dyDescent="0.25">
      <c r="A12145" t="str">
        <f>HYPERLINK("https://www.773grp.com/globalSearch/AM26C32MWB/page-1", "AM26C32MWB")</f>
        <v>AM26C32MWB</v>
      </c>
      <c r="B12145" s="3" t="s">
        <v>90</v>
      </c>
      <c r="C12145" s="5">
        <v>70</v>
      </c>
      <c r="D12145" s="6">
        <v>40.5</v>
      </c>
      <c r="E12145" t="s">
        <v>18</v>
      </c>
    </row>
    <row r="12146" spans="1:5" x14ac:dyDescent="0.25">
      <c r="A12146" t="str">
        <f>HYPERLINK("https://www.773grp.com/globalSearch/SN75ALS085NT/page-1", "SN75ALS085NT")</f>
        <v>SN75ALS085NT</v>
      </c>
      <c r="B12146" s="3" t="s">
        <v>90</v>
      </c>
      <c r="C12146" s="5">
        <v>1762</v>
      </c>
      <c r="D12146" s="6">
        <v>41.51</v>
      </c>
      <c r="E12146" t="s">
        <v>18</v>
      </c>
    </row>
    <row r="12147" spans="1:5" x14ac:dyDescent="0.25">
      <c r="A12147" t="str">
        <f>HYPERLINK("https://www.773grp.com/globalSearch/SN75976A2DGGR/page-1", "SN75976A2DGGR")</f>
        <v>SN75976A2DGGR</v>
      </c>
      <c r="B12147" s="3" t="s">
        <v>90</v>
      </c>
      <c r="C12147" s="5">
        <v>4000</v>
      </c>
      <c r="D12147" s="6">
        <v>41.63</v>
      </c>
      <c r="E12147" t="s">
        <v>18</v>
      </c>
    </row>
    <row r="12148" spans="1:5" x14ac:dyDescent="0.25">
      <c r="A12148" t="str">
        <f>HYPERLINK("https://www.773grp.com/globalSearch/SN75976A2DLR/page-1", "SN75976A2DLR")</f>
        <v>SN75976A2DLR</v>
      </c>
      <c r="B12148" s="3" t="s">
        <v>90</v>
      </c>
      <c r="C12148" s="5">
        <v>55000</v>
      </c>
      <c r="D12148" s="6">
        <v>41.63</v>
      </c>
      <c r="E12148" t="s">
        <v>18</v>
      </c>
    </row>
    <row r="12149" spans="1:5" x14ac:dyDescent="0.25">
      <c r="A12149" t="str">
        <f>HYPERLINK("https://www.773grp.com/globalSearch/SN75970B1DGG/page-1", "SN75970B1DGG")</f>
        <v>SN75970B1DGG</v>
      </c>
      <c r="B12149" s="3" t="s">
        <v>90</v>
      </c>
      <c r="C12149" s="5">
        <v>665</v>
      </c>
      <c r="D12149" s="6">
        <v>43.16</v>
      </c>
      <c r="E12149" t="s">
        <v>18</v>
      </c>
    </row>
    <row r="12150" spans="1:5" x14ac:dyDescent="0.25">
      <c r="A12150" t="str">
        <f>HYPERLINK("https://www.773grp.com/globalSearch/SN75970B2DGGR/page-1", "SN75970B2DGGR")</f>
        <v>SN75970B2DGGR</v>
      </c>
      <c r="B12150" s="3" t="s">
        <v>90</v>
      </c>
      <c r="C12150" s="5">
        <v>5078</v>
      </c>
      <c r="D12150" s="6">
        <v>43.16</v>
      </c>
      <c r="E12150" t="s">
        <v>18</v>
      </c>
    </row>
    <row r="12151" spans="1:5" x14ac:dyDescent="0.25">
      <c r="A12151" t="str">
        <f>HYPERLINK("https://www.773grp.com/globalSearch/DS7831J/page-1", "DS7831J")</f>
        <v>DS7831J</v>
      </c>
      <c r="B12151" s="3" t="s">
        <v>90</v>
      </c>
      <c r="C12151" s="5">
        <v>401</v>
      </c>
      <c r="D12151" s="6">
        <v>45</v>
      </c>
      <c r="E12151" t="s">
        <v>18</v>
      </c>
    </row>
    <row r="12152" spans="1:5" x14ac:dyDescent="0.25">
      <c r="A12152" t="str">
        <f>HYPERLINK("https://www.773grp.com/globalSearch/SN75971B1DL/page-1", "SN75971B1DL")</f>
        <v>SN75971B1DL</v>
      </c>
      <c r="B12152" s="3" t="s">
        <v>90</v>
      </c>
      <c r="C12152" s="5">
        <v>840</v>
      </c>
      <c r="D12152" s="6">
        <v>45.99</v>
      </c>
      <c r="E12152" t="s">
        <v>18</v>
      </c>
    </row>
    <row r="12153" spans="1:5" x14ac:dyDescent="0.25">
      <c r="A12153" t="str">
        <f>HYPERLINK("https://www.773grp.com/globalSearch/SN75971B2DGG/page-1", "SN75971B2DGG")</f>
        <v>SN75971B2DGG</v>
      </c>
      <c r="B12153" s="3" t="s">
        <v>90</v>
      </c>
      <c r="C12153" s="5">
        <v>980</v>
      </c>
      <c r="D12153" s="6">
        <v>45.99</v>
      </c>
      <c r="E12153" t="s">
        <v>18</v>
      </c>
    </row>
    <row r="12154" spans="1:5" x14ac:dyDescent="0.25">
      <c r="A12154" t="str">
        <f>HYPERLINK("https://www.773grp.com/globalSearch/SN75971B2DL/page-1", "SN75971B2DL")</f>
        <v>SN75971B2DL</v>
      </c>
      <c r="B12154" s="3" t="s">
        <v>90</v>
      </c>
      <c r="C12154" s="5">
        <v>12850</v>
      </c>
      <c r="D12154" s="6">
        <v>45.99</v>
      </c>
      <c r="E12154" t="s">
        <v>18</v>
      </c>
    </row>
    <row r="12155" spans="1:5" x14ac:dyDescent="0.25">
      <c r="A12155" t="str">
        <f>HYPERLINK("https://www.773grp.com/globalSearch/SNJ55183FK/page-1", "SNJ55183FK")</f>
        <v>SNJ55183FK</v>
      </c>
      <c r="B12155" s="3" t="s">
        <v>90</v>
      </c>
      <c r="C12155" s="5">
        <v>75</v>
      </c>
      <c r="D12155" s="6">
        <v>47.21</v>
      </c>
      <c r="E12155" t="s">
        <v>18</v>
      </c>
    </row>
    <row r="12156" spans="1:5" x14ac:dyDescent="0.25">
      <c r="A12156" t="str">
        <f>HYPERLINK("https://www.773grp.com/globalSearch/5962-9164001QEA/page-1", "5962-9164001QEA")</f>
        <v>5962-9164001QEA</v>
      </c>
      <c r="B12156" s="3" t="s">
        <v>90</v>
      </c>
      <c r="C12156" s="5">
        <v>148</v>
      </c>
      <c r="D12156" s="6">
        <v>47.25</v>
      </c>
      <c r="E12156" t="s">
        <v>18</v>
      </c>
    </row>
    <row r="12157" spans="1:5" x14ac:dyDescent="0.25">
      <c r="A12157" t="str">
        <f>HYPERLINK("https://www.773grp.com/globalSearch/SN75976A2DGG/page-1", "SN75976A2DGG")</f>
        <v>SN75976A2DGG</v>
      </c>
      <c r="B12157" s="3" t="s">
        <v>90</v>
      </c>
      <c r="C12157" s="5">
        <v>1166</v>
      </c>
      <c r="D12157" s="6">
        <v>47.25</v>
      </c>
      <c r="E12157" t="s">
        <v>18</v>
      </c>
    </row>
    <row r="12158" spans="1:5" x14ac:dyDescent="0.25">
      <c r="A12158" t="str">
        <f>HYPERLINK("https://www.773grp.com/globalSearch/SN75976A2DGGG4/page-1", "SN75976A2DGGG4")</f>
        <v>SN75976A2DGGG4</v>
      </c>
      <c r="B12158" s="3" t="s">
        <v>90</v>
      </c>
      <c r="C12158" s="5">
        <v>31</v>
      </c>
      <c r="D12158" s="6">
        <v>47.25</v>
      </c>
      <c r="E12158" t="s">
        <v>18</v>
      </c>
    </row>
    <row r="12159" spans="1:5" x14ac:dyDescent="0.25">
      <c r="A12159" t="str">
        <f>HYPERLINK("https://www.773grp.com/globalSearch/SN75976A2DL/page-1", "SN75976A2DL")</f>
        <v>SN75976A2DL</v>
      </c>
      <c r="B12159" s="3" t="s">
        <v>90</v>
      </c>
      <c r="C12159" s="5">
        <v>2208</v>
      </c>
      <c r="D12159" s="6">
        <v>47.25</v>
      </c>
      <c r="E12159" t="s">
        <v>18</v>
      </c>
    </row>
    <row r="12160" spans="1:5" x14ac:dyDescent="0.25">
      <c r="A12160" t="str">
        <f>HYPERLINK("https://www.773grp.com/globalSearch/AM26LS32AMFKB/page-1", "AM26LS32AMFKB")</f>
        <v>AM26LS32AMFKB</v>
      </c>
      <c r="B12160" s="3" t="s">
        <v>90</v>
      </c>
      <c r="C12160" s="5">
        <v>96</v>
      </c>
      <c r="D12160" s="6">
        <v>48.26</v>
      </c>
      <c r="E12160" t="s">
        <v>18</v>
      </c>
    </row>
    <row r="12161" spans="1:5" x14ac:dyDescent="0.25">
      <c r="A12161" t="str">
        <f>HYPERLINK("https://www.773grp.com/globalSearch/5962-7802004M2A/page-1", "5962-7802004M2A")</f>
        <v>5962-7802004M2A</v>
      </c>
      <c r="B12161" s="3" t="s">
        <v>90</v>
      </c>
      <c r="C12161" s="5">
        <v>255</v>
      </c>
      <c r="D12161" s="6">
        <v>48.38</v>
      </c>
      <c r="E12161" t="s">
        <v>18</v>
      </c>
    </row>
    <row r="12162" spans="1:5" x14ac:dyDescent="0.25">
      <c r="A12162" t="str">
        <f>HYPERLINK("https://www.773grp.com/globalSearch/AM26LS33AMFKB/page-1", "AM26LS33AMFKB")</f>
        <v>AM26LS33AMFKB</v>
      </c>
      <c r="B12162" s="3" t="s">
        <v>90</v>
      </c>
      <c r="C12162" s="5">
        <v>23</v>
      </c>
      <c r="D12162" s="6">
        <v>48.38</v>
      </c>
      <c r="E12162" t="s">
        <v>18</v>
      </c>
    </row>
    <row r="12163" spans="1:5" x14ac:dyDescent="0.25">
      <c r="A12163" t="str">
        <f>HYPERLINK("https://www.773grp.com/globalSearch/SNJ55ALS161J/page-1", "SNJ55ALS161J")</f>
        <v>SNJ55ALS161J</v>
      </c>
      <c r="B12163" s="3" t="s">
        <v>90</v>
      </c>
      <c r="C12163" s="5">
        <v>812</v>
      </c>
      <c r="D12163" s="6">
        <v>48.55</v>
      </c>
      <c r="E12163" t="s">
        <v>18</v>
      </c>
    </row>
    <row r="12164" spans="1:5" x14ac:dyDescent="0.25">
      <c r="A12164" t="str">
        <f>HYPERLINK("https://www.773grp.com/globalSearch/SNJ95176BFK/page-1", "SNJ95176BFK")</f>
        <v>SNJ95176BFK</v>
      </c>
      <c r="B12164" s="3" t="s">
        <v>90</v>
      </c>
      <c r="C12164" s="5">
        <v>23</v>
      </c>
      <c r="D12164" s="6">
        <v>48.65</v>
      </c>
      <c r="E12164" t="s">
        <v>18</v>
      </c>
    </row>
    <row r="12165" spans="1:5" x14ac:dyDescent="0.25">
      <c r="A12165" t="str">
        <f>HYPERLINK("https://www.773grp.com/globalSearch/5962-8874401FA/page-1", "5962-8874401FA")</f>
        <v>5962-8874401FA</v>
      </c>
      <c r="B12165" s="3" t="s">
        <v>90</v>
      </c>
      <c r="C12165" s="5">
        <v>69</v>
      </c>
      <c r="D12165" s="6">
        <v>48.8</v>
      </c>
      <c r="E12165" t="s">
        <v>18</v>
      </c>
    </row>
    <row r="12166" spans="1:5" x14ac:dyDescent="0.25">
      <c r="A12166" t="str">
        <f>HYPERLINK("https://www.773grp.com/globalSearch/SN55LVDS32W/page-1", "SN55LVDS32W")</f>
        <v>SN55LVDS32W</v>
      </c>
      <c r="B12166" s="3" t="s">
        <v>90</v>
      </c>
      <c r="C12166" s="5">
        <v>1</v>
      </c>
      <c r="D12166" s="6">
        <v>48.8</v>
      </c>
      <c r="E12166" t="s">
        <v>18</v>
      </c>
    </row>
    <row r="12167" spans="1:5" x14ac:dyDescent="0.25">
      <c r="A12167" t="str">
        <f>HYPERLINK("https://www.773grp.com/globalSearch/SNJ55113W/page-1", "SNJ55113W")</f>
        <v>SNJ55113W</v>
      </c>
      <c r="B12167" s="3" t="s">
        <v>90</v>
      </c>
      <c r="C12167" s="5">
        <v>29</v>
      </c>
      <c r="D12167" s="6">
        <v>48.8</v>
      </c>
      <c r="E12167" t="s">
        <v>18</v>
      </c>
    </row>
    <row r="12168" spans="1:5" x14ac:dyDescent="0.25">
      <c r="A12168" t="str">
        <f>HYPERLINK("https://www.773grp.com/globalSearch/SNJ55114W/page-1", "SNJ55114W")</f>
        <v>SNJ55114W</v>
      </c>
      <c r="B12168" s="3" t="s">
        <v>90</v>
      </c>
      <c r="C12168" s="5">
        <v>26</v>
      </c>
      <c r="D12168" s="6">
        <v>48.8</v>
      </c>
      <c r="E12168" t="s">
        <v>18</v>
      </c>
    </row>
    <row r="12169" spans="1:5" x14ac:dyDescent="0.25">
      <c r="A12169" t="str">
        <f>HYPERLINK("https://www.773grp.com/globalSearch/5962-8874501FA/page-1", "5962-8874501FA")</f>
        <v>5962-8874501FA</v>
      </c>
      <c r="B12169" s="3" t="s">
        <v>90</v>
      </c>
      <c r="C12169" s="5">
        <v>6</v>
      </c>
      <c r="D12169" s="6">
        <v>48.85</v>
      </c>
      <c r="E12169" t="s">
        <v>18</v>
      </c>
    </row>
    <row r="12170" spans="1:5" x14ac:dyDescent="0.25">
      <c r="A12170" t="str">
        <f>HYPERLINK("https://www.773grp.com/globalSearch/5962-87547012A/page-1", "5962-87547012A")</f>
        <v>5962-87547012A</v>
      </c>
      <c r="B12170" s="3" t="s">
        <v>90</v>
      </c>
      <c r="C12170" s="5">
        <v>5</v>
      </c>
      <c r="D12170" s="6">
        <v>49.66</v>
      </c>
      <c r="E12170" t="s">
        <v>18</v>
      </c>
    </row>
    <row r="12171" spans="1:5" x14ac:dyDescent="0.25">
      <c r="A12171" t="str">
        <f>HYPERLINK("https://www.773grp.com/globalSearch/SNJ55110AFK/page-1", "SNJ55110AFK")</f>
        <v>SNJ55110AFK</v>
      </c>
      <c r="B12171" s="3" t="s">
        <v>90</v>
      </c>
      <c r="C12171" s="5">
        <v>5</v>
      </c>
      <c r="D12171" s="6">
        <v>49.66</v>
      </c>
      <c r="E12171" t="s">
        <v>18</v>
      </c>
    </row>
    <row r="12172" spans="1:5" x14ac:dyDescent="0.25">
      <c r="A12172" t="str">
        <f>HYPERLINK("https://www.773grp.com/globalSearch/5962-8754701DA/page-1", "5962-8754701DA")</f>
        <v>5962-8754701DA</v>
      </c>
      <c r="B12172" s="3" t="s">
        <v>90</v>
      </c>
      <c r="C12172" s="5">
        <v>8</v>
      </c>
      <c r="D12172" s="6">
        <v>50.38</v>
      </c>
      <c r="E12172" t="s">
        <v>18</v>
      </c>
    </row>
    <row r="12173" spans="1:5" x14ac:dyDescent="0.25">
      <c r="A12173" t="str">
        <f>HYPERLINK("https://www.773grp.com/globalSearch/5962-88744022A/page-1", "5962-88744022A")</f>
        <v>5962-88744022A</v>
      </c>
      <c r="B12173" s="3" t="s">
        <v>90</v>
      </c>
      <c r="C12173" s="5">
        <v>1000</v>
      </c>
      <c r="D12173" s="6">
        <v>50.46</v>
      </c>
      <c r="E12173" t="s">
        <v>18</v>
      </c>
    </row>
    <row r="12174" spans="1:5" x14ac:dyDescent="0.25">
      <c r="A12174" t="str">
        <f>HYPERLINK("https://www.773grp.com/globalSearch/SNJ55114FK/page-1", "SNJ55114FK")</f>
        <v>SNJ55114FK</v>
      </c>
      <c r="B12174" s="3" t="s">
        <v>90</v>
      </c>
      <c r="C12174" s="5">
        <v>168</v>
      </c>
      <c r="D12174" s="6">
        <v>50.46</v>
      </c>
      <c r="E12174" t="s">
        <v>18</v>
      </c>
    </row>
    <row r="12175" spans="1:5" x14ac:dyDescent="0.25">
      <c r="A12175" t="str">
        <f>HYPERLINK("https://www.773grp.com/globalSearch/SN75970B1DL/page-1", "SN75970B1DL")</f>
        <v>SN75970B1DL</v>
      </c>
      <c r="B12175" s="3" t="s">
        <v>90</v>
      </c>
      <c r="C12175" s="5">
        <v>940</v>
      </c>
      <c r="D12175" s="6">
        <v>50.49</v>
      </c>
      <c r="E12175" t="s">
        <v>18</v>
      </c>
    </row>
    <row r="12176" spans="1:5" x14ac:dyDescent="0.25">
      <c r="A12176" t="str">
        <f>HYPERLINK("https://www.773grp.com/globalSearch/SN75970B2DGG/page-1", "SN75970B2DGG")</f>
        <v>SN75970B2DGG</v>
      </c>
      <c r="B12176" s="3" t="s">
        <v>90</v>
      </c>
      <c r="C12176" s="5">
        <v>1070</v>
      </c>
      <c r="D12176" s="6">
        <v>50.49</v>
      </c>
      <c r="E12176" t="s">
        <v>18</v>
      </c>
    </row>
    <row r="12177" spans="1:5" x14ac:dyDescent="0.25">
      <c r="A12177" t="str">
        <f>HYPERLINK("https://www.773grp.com/globalSearch/SN75970B2DL/page-1", "SN75970B2DL")</f>
        <v>SN75970B2DL</v>
      </c>
      <c r="B12177" s="3" t="s">
        <v>90</v>
      </c>
      <c r="C12177" s="5">
        <v>8854</v>
      </c>
      <c r="D12177" s="6">
        <v>50.49</v>
      </c>
      <c r="E12177" t="s">
        <v>18</v>
      </c>
    </row>
    <row r="12178" spans="1:5" x14ac:dyDescent="0.25">
      <c r="A12178" t="str">
        <f>HYPERLINK("https://www.773grp.com/globalSearch/SN75ALS085DW/page-1", "SN75ALS085DW")</f>
        <v>SN75ALS085DW</v>
      </c>
      <c r="B12178" s="3" t="s">
        <v>90</v>
      </c>
      <c r="C12178" s="5">
        <v>6025</v>
      </c>
      <c r="D12178" s="6">
        <v>50.54</v>
      </c>
      <c r="E12178" t="s">
        <v>18</v>
      </c>
    </row>
    <row r="12179" spans="1:5" x14ac:dyDescent="0.25">
      <c r="A12179" t="str">
        <f>HYPERLINK("https://www.773grp.com/globalSearch/TSB11C01DL/page-1", "TSB11C01DL")</f>
        <v>TSB11C01DL</v>
      </c>
      <c r="B12179" s="3" t="s">
        <v>90</v>
      </c>
      <c r="C12179" s="5">
        <v>6320</v>
      </c>
      <c r="D12179" s="6">
        <v>52.79</v>
      </c>
      <c r="E12179" t="s">
        <v>18</v>
      </c>
    </row>
    <row r="12180" spans="1:5" x14ac:dyDescent="0.25">
      <c r="A12180" t="str">
        <f>HYPERLINK("https://www.773grp.com/globalSearch/5962-88744012A/page-1", "5962-88744012A")</f>
        <v>5962-88744012A</v>
      </c>
      <c r="B12180" s="3" t="s">
        <v>90</v>
      </c>
      <c r="C12180" s="5">
        <v>103</v>
      </c>
      <c r="D12180" s="6">
        <v>52.95</v>
      </c>
      <c r="E12180" t="s">
        <v>18</v>
      </c>
    </row>
    <row r="12181" spans="1:5" x14ac:dyDescent="0.25">
      <c r="A12181" t="str">
        <f>HYPERLINK("https://www.773grp.com/globalSearch/SNJ55113FK/page-1", "SNJ55113FK")</f>
        <v>SNJ55113FK</v>
      </c>
      <c r="B12181" s="3" t="s">
        <v>90</v>
      </c>
      <c r="C12181" s="5">
        <v>60</v>
      </c>
      <c r="D12181" s="6">
        <v>52.95</v>
      </c>
      <c r="E12181" t="s">
        <v>18</v>
      </c>
    </row>
    <row r="12182" spans="1:5" x14ac:dyDescent="0.25">
      <c r="A12182" t="str">
        <f>HYPERLINK("https://www.773grp.com/globalSearch/5962-88745012A/page-1", "5962-88745012A")</f>
        <v>5962-88745012A</v>
      </c>
      <c r="B12182" s="3" t="s">
        <v>90</v>
      </c>
      <c r="C12182" s="5">
        <v>240</v>
      </c>
      <c r="D12182" s="6">
        <v>53.1</v>
      </c>
      <c r="E12182" t="s">
        <v>18</v>
      </c>
    </row>
    <row r="12183" spans="1:5" x14ac:dyDescent="0.25">
      <c r="A12183" t="str">
        <f>HYPERLINK("https://www.773grp.com/globalSearch/TLK3101IRCP/page-1", "TLK3101IRCP")</f>
        <v>TLK3101IRCP</v>
      </c>
      <c r="B12183" s="3" t="s">
        <v>90</v>
      </c>
      <c r="C12183" s="5">
        <v>237</v>
      </c>
      <c r="D12183" s="6">
        <v>54</v>
      </c>
      <c r="E12183" t="s">
        <v>18</v>
      </c>
    </row>
    <row r="12184" spans="1:5" x14ac:dyDescent="0.25">
      <c r="A12184" t="str">
        <f>HYPERLINK("https://www.773grp.com/globalSearch/TLK3101IRCPG4/page-1", "TLK3101IRCPG4")</f>
        <v>TLK3101IRCPG4</v>
      </c>
      <c r="B12184" s="3" t="s">
        <v>90</v>
      </c>
      <c r="C12184" s="5">
        <v>1803</v>
      </c>
      <c r="D12184" s="6">
        <v>54</v>
      </c>
      <c r="E12184" t="s">
        <v>18</v>
      </c>
    </row>
    <row r="12185" spans="1:5" x14ac:dyDescent="0.25">
      <c r="A12185" t="str">
        <f>HYPERLINK("https://www.773grp.com/globalSearch/5962-8968101SA/page-1", "5962-8968101SA")</f>
        <v>5962-8968101SA</v>
      </c>
      <c r="B12185" s="3" t="s">
        <v>90</v>
      </c>
      <c r="C12185" s="5">
        <v>14</v>
      </c>
      <c r="D12185" s="6">
        <v>56.45</v>
      </c>
      <c r="E12185" t="s">
        <v>18</v>
      </c>
    </row>
    <row r="12186" spans="1:5" x14ac:dyDescent="0.25">
      <c r="A12186" t="str">
        <f>HYPERLINK("https://www.773grp.com/globalSearch/SN75LBC978DLR/page-1", "SN75LBC978DLR")</f>
        <v>SN75LBC978DLR</v>
      </c>
      <c r="B12186" s="3" t="s">
        <v>90</v>
      </c>
      <c r="C12186" s="5">
        <v>2000</v>
      </c>
      <c r="D12186" s="6">
        <v>56.84</v>
      </c>
      <c r="E12186" t="s">
        <v>18</v>
      </c>
    </row>
    <row r="12187" spans="1:5" x14ac:dyDescent="0.25">
      <c r="A12187" t="str">
        <f>HYPERLINK("https://www.773grp.com/globalSearch/5962-86889012A/page-1", "5962-86889012A")</f>
        <v>5962-86889012A</v>
      </c>
      <c r="B12187" s="3" t="s">
        <v>90</v>
      </c>
      <c r="C12187" s="5">
        <v>16</v>
      </c>
      <c r="D12187" s="6">
        <v>57.51</v>
      </c>
      <c r="E12187" t="s">
        <v>18</v>
      </c>
    </row>
    <row r="12188" spans="1:5" x14ac:dyDescent="0.25">
      <c r="A12188" t="str">
        <f>HYPERLINK("https://www.773grp.com/globalSearch/SNJ55188FK/page-1", "SNJ55188FK")</f>
        <v>SNJ55188FK</v>
      </c>
      <c r="B12188" s="3" t="s">
        <v>90</v>
      </c>
      <c r="C12188" s="5">
        <v>100</v>
      </c>
      <c r="D12188" s="6">
        <v>57.51</v>
      </c>
      <c r="E12188" t="s">
        <v>18</v>
      </c>
    </row>
    <row r="12189" spans="1:5" x14ac:dyDescent="0.25">
      <c r="A12189" t="str">
        <f>HYPERLINK("https://www.773grp.com/globalSearch/5962-8968101RA/page-1", "5962-8968101RA")</f>
        <v>5962-8968101RA</v>
      </c>
      <c r="B12189" s="3" t="s">
        <v>90</v>
      </c>
      <c r="C12189" s="5">
        <v>173</v>
      </c>
      <c r="D12189" s="6">
        <v>57.83</v>
      </c>
      <c r="E12189" t="s">
        <v>18</v>
      </c>
    </row>
    <row r="12190" spans="1:5" x14ac:dyDescent="0.25">
      <c r="A12190" t="str">
        <f>HYPERLINK("https://www.773grp.com/globalSearch/5962-86888022A/page-1", "5962-86888022A")</f>
        <v>5962-86888022A</v>
      </c>
      <c r="B12190" s="3" t="s">
        <v>90</v>
      </c>
      <c r="C12190" s="5">
        <v>14</v>
      </c>
      <c r="D12190" s="6">
        <v>57.85</v>
      </c>
      <c r="E12190" t="s">
        <v>18</v>
      </c>
    </row>
    <row r="12191" spans="1:5" x14ac:dyDescent="0.25">
      <c r="A12191" t="str">
        <f>HYPERLINK("https://www.773grp.com/globalSearch/SN55LBC175J/page-1", "SN55LBC175J")</f>
        <v>SN55LBC175J</v>
      </c>
      <c r="B12191" s="3" t="s">
        <v>90</v>
      </c>
      <c r="C12191" s="5">
        <v>87</v>
      </c>
      <c r="D12191" s="6">
        <v>58.28</v>
      </c>
      <c r="E12191" t="s">
        <v>18</v>
      </c>
    </row>
    <row r="12192" spans="1:5" x14ac:dyDescent="0.25">
      <c r="A12192" t="str">
        <f>HYPERLINK("https://www.773grp.com/globalSearch/5962-9762101QFA/page-1", "5962-9762101QFA")</f>
        <v>5962-9762101QFA</v>
      </c>
      <c r="B12192" s="3" t="s">
        <v>90</v>
      </c>
      <c r="C12192" s="5">
        <v>1</v>
      </c>
      <c r="D12192" s="6">
        <v>59.26</v>
      </c>
      <c r="E12192" t="s">
        <v>18</v>
      </c>
    </row>
    <row r="12193" spans="1:5" x14ac:dyDescent="0.25">
      <c r="A12193" t="str">
        <f>HYPERLINK("https://www.773grp.com/globalSearch/5962-9076503QFA/page-1", "5962-9076503QFA")</f>
        <v>5962-9076503QFA</v>
      </c>
      <c r="B12193" s="3" t="s">
        <v>90</v>
      </c>
      <c r="C12193" s="5">
        <v>56</v>
      </c>
      <c r="D12193" s="6">
        <v>59.6</v>
      </c>
      <c r="E12193" t="s">
        <v>18</v>
      </c>
    </row>
    <row r="12194" spans="1:5" x14ac:dyDescent="0.25">
      <c r="A12194" t="str">
        <f>HYPERLINK("https://www.773grp.com/globalSearch/SNJ55LBC175W/page-1", "SNJ55LBC175W")</f>
        <v>SNJ55LBC175W</v>
      </c>
      <c r="B12194" s="3" t="s">
        <v>90</v>
      </c>
      <c r="C12194" s="5">
        <v>15</v>
      </c>
      <c r="D12194" s="6">
        <v>59.94</v>
      </c>
      <c r="E12194" t="s">
        <v>18</v>
      </c>
    </row>
    <row r="12195" spans="1:5" x14ac:dyDescent="0.25">
      <c r="A12195" t="str">
        <f>HYPERLINK("https://www.773grp.com/globalSearch/5962-9164001Q2A/page-1", "5962-9164001Q2A")</f>
        <v>5962-9164001Q2A</v>
      </c>
      <c r="B12195" s="3" t="s">
        <v>90</v>
      </c>
      <c r="C12195" s="5">
        <v>26</v>
      </c>
      <c r="D12195" s="6">
        <v>60.13</v>
      </c>
      <c r="E12195" t="s">
        <v>18</v>
      </c>
    </row>
    <row r="12196" spans="1:5" x14ac:dyDescent="0.25">
      <c r="A12196" t="str">
        <f>HYPERLINK("https://www.773grp.com/globalSearch/5962-9076604QFA/page-1", "5962-9076604QFA")</f>
        <v>5962-9076604QFA</v>
      </c>
      <c r="B12196" s="3" t="s">
        <v>90</v>
      </c>
      <c r="C12196" s="5">
        <v>3</v>
      </c>
      <c r="D12196" s="6">
        <v>60.8</v>
      </c>
      <c r="E12196" t="s">
        <v>18</v>
      </c>
    </row>
    <row r="12197" spans="1:5" x14ac:dyDescent="0.25">
      <c r="A12197" t="str">
        <f>HYPERLINK("https://www.773grp.com/globalSearch/SNJ55LBC173W/page-1", "SNJ55LBC173W")</f>
        <v>SNJ55LBC173W</v>
      </c>
      <c r="B12197" s="3" t="s">
        <v>90</v>
      </c>
      <c r="C12197" s="5">
        <v>7</v>
      </c>
      <c r="D12197" s="6">
        <v>60.8</v>
      </c>
      <c r="E12197" t="s">
        <v>18</v>
      </c>
    </row>
    <row r="12198" spans="1:5" x14ac:dyDescent="0.25">
      <c r="A12198" t="str">
        <f>HYPERLINK("https://www.773grp.com/globalSearch/5962-9163901Q2A/page-1", "5962-9163901Q2A")</f>
        <v>5962-9163901Q2A</v>
      </c>
      <c r="B12198" s="3" t="s">
        <v>90</v>
      </c>
      <c r="C12198" s="5">
        <v>543</v>
      </c>
      <c r="D12198" s="6">
        <v>61.04</v>
      </c>
      <c r="E12198" t="s">
        <v>18</v>
      </c>
    </row>
    <row r="12199" spans="1:5" x14ac:dyDescent="0.25">
      <c r="A12199" t="str">
        <f>HYPERLINK("https://www.773grp.com/globalSearch/AM26C31MFKB/page-1", "AM26C31MFKB")</f>
        <v>AM26C31MFKB</v>
      </c>
      <c r="B12199" s="3" t="s">
        <v>90</v>
      </c>
      <c r="C12199" s="5">
        <v>36</v>
      </c>
      <c r="D12199" s="6">
        <v>61.04</v>
      </c>
      <c r="E12199" t="s">
        <v>18</v>
      </c>
    </row>
    <row r="12200" spans="1:5" x14ac:dyDescent="0.25">
      <c r="A12200" t="str">
        <f>HYPERLINK("https://www.773grp.com/globalSearch/5962-9163901M2A/page-1", "5962-9163901M2A")</f>
        <v>5962-9163901M2A</v>
      </c>
      <c r="B12200" s="3" t="s">
        <v>90</v>
      </c>
      <c r="C12200" s="5">
        <v>61</v>
      </c>
      <c r="D12200" s="6">
        <v>61.05</v>
      </c>
      <c r="E12200" t="s">
        <v>18</v>
      </c>
    </row>
    <row r="12201" spans="1:5" x14ac:dyDescent="0.25">
      <c r="A12201" t="str">
        <f>HYPERLINK("https://www.773grp.com/globalSearch/TLK4120IGPV/page-1", "TLK4120IGPV")</f>
        <v>TLK4120IGPV</v>
      </c>
      <c r="B12201" s="3" t="s">
        <v>90</v>
      </c>
      <c r="C12201" s="5">
        <v>8506</v>
      </c>
      <c r="D12201" s="6">
        <v>61.88</v>
      </c>
      <c r="E12201" t="s">
        <v>18</v>
      </c>
    </row>
    <row r="12202" spans="1:5" x14ac:dyDescent="0.25">
      <c r="A12202" t="str">
        <f>HYPERLINK("https://www.773grp.com/globalSearch/TLK4120IZPV/page-1", "TLK4120IZPV")</f>
        <v>TLK4120IZPV</v>
      </c>
      <c r="B12202" s="3" t="s">
        <v>90</v>
      </c>
      <c r="C12202" s="5">
        <v>48</v>
      </c>
      <c r="D12202" s="6">
        <v>61.88</v>
      </c>
      <c r="E12202" t="s">
        <v>18</v>
      </c>
    </row>
    <row r="12203" spans="1:5" x14ac:dyDescent="0.25">
      <c r="A12203" t="str">
        <f>HYPERLINK("https://www.773grp.com/globalSearch/5962-9076503QEA/page-1", "5962-9076503QEA")</f>
        <v>5962-9076503QEA</v>
      </c>
      <c r="B12203" s="3" t="s">
        <v>90</v>
      </c>
      <c r="C12203" s="5">
        <v>102</v>
      </c>
      <c r="D12203" s="6">
        <v>62.05</v>
      </c>
      <c r="E12203" t="s">
        <v>18</v>
      </c>
    </row>
    <row r="12204" spans="1:5" x14ac:dyDescent="0.25">
      <c r="A12204" t="str">
        <f>HYPERLINK("https://www.773grp.com/globalSearch/SN55LBC174J/page-1", "SN55LBC174J")</f>
        <v>SN55LBC174J</v>
      </c>
      <c r="B12204" s="3" t="s">
        <v>90</v>
      </c>
      <c r="C12204" s="5">
        <v>567</v>
      </c>
      <c r="D12204" s="6">
        <v>62.4</v>
      </c>
      <c r="E12204" t="s">
        <v>18</v>
      </c>
    </row>
    <row r="12205" spans="1:5" x14ac:dyDescent="0.25">
      <c r="A12205" t="str">
        <f>HYPERLINK("https://www.773grp.com/globalSearch/SN75LBC978DL/page-1", "SN75LBC978DL")</f>
        <v>SN75LBC978DL</v>
      </c>
      <c r="B12205" s="3" t="s">
        <v>90</v>
      </c>
      <c r="C12205" s="5">
        <v>639</v>
      </c>
      <c r="D12205" s="6">
        <v>62.48</v>
      </c>
      <c r="E12205" t="s">
        <v>18</v>
      </c>
    </row>
    <row r="12206" spans="1:5" x14ac:dyDescent="0.25">
      <c r="A12206" t="str">
        <f>HYPERLINK("https://www.773grp.com/globalSearch/5962-7802003MEA/page-1", "5962-7802003MEA")</f>
        <v>5962-7802003MEA</v>
      </c>
      <c r="B12206" s="3" t="s">
        <v>90</v>
      </c>
      <c r="C12206" s="5">
        <v>8</v>
      </c>
      <c r="D12206" s="6">
        <v>63.15</v>
      </c>
      <c r="E12206" t="s">
        <v>18</v>
      </c>
    </row>
    <row r="12207" spans="1:5" x14ac:dyDescent="0.25">
      <c r="A12207" t="str">
        <f>HYPERLINK("https://www.773grp.com/globalSearch/AM26LS32AMJB/page-1", "AM26LS32AMJB")</f>
        <v>AM26LS32AMJB</v>
      </c>
      <c r="B12207" s="3" t="s">
        <v>90</v>
      </c>
      <c r="C12207" s="5">
        <v>2</v>
      </c>
      <c r="D12207" s="6">
        <v>63.15</v>
      </c>
      <c r="E12207" t="s">
        <v>18</v>
      </c>
    </row>
    <row r="12208" spans="1:5" x14ac:dyDescent="0.25">
      <c r="A12208" t="str">
        <f>HYPERLINK("https://www.773grp.com/globalSearch/5962-9318301Q2A/page-1", "5962-9318301Q2A")</f>
        <v>5962-9318301Q2A</v>
      </c>
      <c r="B12208" s="3" t="s">
        <v>90</v>
      </c>
      <c r="C12208" s="5">
        <v>934</v>
      </c>
      <c r="D12208" s="6">
        <v>63.9</v>
      </c>
      <c r="E12208" t="s">
        <v>18</v>
      </c>
    </row>
    <row r="12209" spans="1:5" x14ac:dyDescent="0.25">
      <c r="A12209" t="str">
        <f>HYPERLINK("https://www.773grp.com/globalSearch/5962-9076604QEA/page-1", "5962-9076604QEA")</f>
        <v>5962-9076604QEA</v>
      </c>
      <c r="B12209" s="3" t="s">
        <v>90</v>
      </c>
      <c r="C12209" s="5">
        <v>150</v>
      </c>
      <c r="D12209" s="6">
        <v>64.849999999999994</v>
      </c>
      <c r="E12209" t="s">
        <v>18</v>
      </c>
    </row>
    <row r="12210" spans="1:5" x14ac:dyDescent="0.25">
      <c r="A12210" t="str">
        <f>HYPERLINK("https://www.773grp.com/globalSearch/SNJ55LBC173J/page-1", "SNJ55LBC173J")</f>
        <v>SNJ55LBC173J</v>
      </c>
      <c r="B12210" s="3" t="s">
        <v>90</v>
      </c>
      <c r="C12210" s="5">
        <v>40</v>
      </c>
      <c r="D12210" s="6">
        <v>64.849999999999994</v>
      </c>
      <c r="E12210" t="s">
        <v>18</v>
      </c>
    </row>
    <row r="12211" spans="1:5" x14ac:dyDescent="0.25">
      <c r="A12211" t="str">
        <f>HYPERLINK("https://www.773grp.com/globalSearch/5962-9762201Q2A/page-1", "5962-9762201Q2A")</f>
        <v>5962-9762201Q2A</v>
      </c>
      <c r="B12211" s="3" t="s">
        <v>90</v>
      </c>
      <c r="C12211" s="5">
        <v>139</v>
      </c>
      <c r="D12211" s="6">
        <v>65.05</v>
      </c>
      <c r="E12211" t="s">
        <v>18</v>
      </c>
    </row>
    <row r="12212" spans="1:5" x14ac:dyDescent="0.25">
      <c r="A12212" t="str">
        <f>HYPERLINK("https://www.773grp.com/globalSearch/SNJ55LVDS32FK/page-1", "SNJ55LVDS32FK")</f>
        <v>SNJ55LVDS32FK</v>
      </c>
      <c r="B12212" s="3" t="s">
        <v>90</v>
      </c>
      <c r="C12212" s="5">
        <v>10</v>
      </c>
      <c r="D12212" s="6">
        <v>65.05</v>
      </c>
      <c r="E12212" t="s">
        <v>18</v>
      </c>
    </row>
    <row r="12213" spans="1:5" x14ac:dyDescent="0.25">
      <c r="A12213" t="str">
        <f>HYPERLINK("https://www.773grp.com/globalSearch/5962-9762101Q2A/page-1", "5962-9762101Q2A")</f>
        <v>5962-9762101Q2A</v>
      </c>
      <c r="B12213" s="3" t="s">
        <v>90</v>
      </c>
      <c r="C12213" s="5">
        <v>76</v>
      </c>
      <c r="D12213" s="6">
        <v>65.81</v>
      </c>
      <c r="E12213" t="s">
        <v>18</v>
      </c>
    </row>
    <row r="12214" spans="1:5" x14ac:dyDescent="0.25">
      <c r="A12214" t="str">
        <f>HYPERLINK("https://www.773grp.com/globalSearch/SNJ55173J/page-1", "SNJ55173J")</f>
        <v>SNJ55173J</v>
      </c>
      <c r="B12214" s="3" t="s">
        <v>90</v>
      </c>
      <c r="C12214" s="5">
        <v>81</v>
      </c>
      <c r="D12214" s="6">
        <v>66.540000000000006</v>
      </c>
      <c r="E12214" t="s">
        <v>18</v>
      </c>
    </row>
    <row r="12215" spans="1:5" x14ac:dyDescent="0.25">
      <c r="A12215" t="str">
        <f>HYPERLINK("https://www.773grp.com/globalSearch/5962-9076503Q2A/page-1", "5962-9076503Q2A")</f>
        <v>5962-9076503Q2A</v>
      </c>
      <c r="B12215" s="3" t="s">
        <v>90</v>
      </c>
      <c r="C12215" s="5">
        <v>10</v>
      </c>
      <c r="D12215" s="6">
        <v>68.400000000000006</v>
      </c>
      <c r="E12215" t="s">
        <v>18</v>
      </c>
    </row>
    <row r="12216" spans="1:5" x14ac:dyDescent="0.25">
      <c r="A12216" t="str">
        <f>HYPERLINK("https://www.773grp.com/globalSearch/5962-9076604Q2A/page-1", "5962-9076604Q2A")</f>
        <v>5962-9076604Q2A</v>
      </c>
      <c r="B12216" s="3" t="s">
        <v>90</v>
      </c>
      <c r="C12216" s="5">
        <v>3</v>
      </c>
      <c r="D12216" s="6">
        <v>69.56</v>
      </c>
      <c r="E12216" t="s">
        <v>18</v>
      </c>
    </row>
    <row r="12217" spans="1:5" x14ac:dyDescent="0.25">
      <c r="A12217" t="str">
        <f>HYPERLINK("https://www.773grp.com/globalSearch/5962-7802301MEA/page-1", "5962-7802301MEA")</f>
        <v>5962-7802301MEA</v>
      </c>
      <c r="B12217" s="3" t="s">
        <v>90</v>
      </c>
      <c r="C12217" s="5">
        <v>929</v>
      </c>
      <c r="D12217" s="6">
        <v>80.08</v>
      </c>
      <c r="E12217" t="s">
        <v>18</v>
      </c>
    </row>
    <row r="12218" spans="1:5" x14ac:dyDescent="0.25">
      <c r="A12218" t="str">
        <f>HYPERLINK("https://www.773grp.com/globalSearch/AM26LS31MJB/page-1", "AM26LS31MJB")</f>
        <v>AM26LS31MJB</v>
      </c>
      <c r="B12218" s="3" t="s">
        <v>90</v>
      </c>
      <c r="C12218" s="5">
        <v>2</v>
      </c>
      <c r="D12218" s="6">
        <v>80.08</v>
      </c>
      <c r="E12218" t="s">
        <v>18</v>
      </c>
    </row>
    <row r="12219" spans="1:5" x14ac:dyDescent="0.25">
      <c r="A12219" t="str">
        <f>HYPERLINK("https://www.773grp.com/globalSearch/TLK4250IGPV/page-1", "TLK4250IGPV")</f>
        <v>TLK4250IGPV</v>
      </c>
      <c r="B12219" s="3" t="s">
        <v>90</v>
      </c>
      <c r="C12219" s="5">
        <v>9503</v>
      </c>
      <c r="D12219" s="6">
        <v>84.38</v>
      </c>
      <c r="E12219" t="s">
        <v>18</v>
      </c>
    </row>
    <row r="12220" spans="1:5" x14ac:dyDescent="0.25">
      <c r="A12220" t="str">
        <f>HYPERLINK("https://www.773grp.com/globalSearch/JM38510-10405BEA/page-1", "JM38510-10405BEA")</f>
        <v>JM38510-10405BEA</v>
      </c>
      <c r="B12220" s="3" t="s">
        <v>90</v>
      </c>
      <c r="C12220" s="5">
        <v>505</v>
      </c>
      <c r="D12220" s="6">
        <v>86.6</v>
      </c>
      <c r="E12220" t="s">
        <v>18</v>
      </c>
    </row>
    <row r="12221" spans="1:5" x14ac:dyDescent="0.25">
      <c r="A12221" t="str">
        <f>HYPERLINK("https://www.773grp.com/globalSearch/5962-7802301M2A/page-1", "5962-7802301M2A")</f>
        <v>5962-7802301M2A</v>
      </c>
      <c r="B12221" s="3" t="s">
        <v>90</v>
      </c>
      <c r="C12221" s="5">
        <v>70</v>
      </c>
      <c r="D12221" s="6">
        <v>93.66</v>
      </c>
      <c r="E12221" t="s">
        <v>18</v>
      </c>
    </row>
    <row r="12222" spans="1:5" x14ac:dyDescent="0.25">
      <c r="A12222" t="str">
        <f>HYPERLINK("https://www.773grp.com/globalSearch/5962-8688802DA/page-1", "5962-8688802DA")</f>
        <v>5962-8688802DA</v>
      </c>
      <c r="B12222" s="3" t="s">
        <v>90</v>
      </c>
      <c r="C12222" s="5">
        <v>151</v>
      </c>
      <c r="D12222" s="6">
        <v>96.3</v>
      </c>
      <c r="E12222" t="s">
        <v>18</v>
      </c>
    </row>
    <row r="12223" spans="1:5" x14ac:dyDescent="0.25">
      <c r="A12223" t="str">
        <f>HYPERLINK("https://www.773grp.com/globalSearch/SNJ55189AW/page-1", "SNJ55189AW")</f>
        <v>SNJ55189AW</v>
      </c>
      <c r="B12223" s="3" t="s">
        <v>90</v>
      </c>
      <c r="C12223" s="5">
        <v>32</v>
      </c>
      <c r="D12223" s="6">
        <v>96.3</v>
      </c>
      <c r="E12223" t="s">
        <v>18</v>
      </c>
    </row>
    <row r="12224" spans="1:5" x14ac:dyDescent="0.25">
      <c r="A12224" t="str">
        <f>HYPERLINK("https://www.773grp.com/globalSearch/SNJ55188W/page-1", "SNJ55188W")</f>
        <v>SNJ55188W</v>
      </c>
      <c r="B12224" s="3" t="s">
        <v>90</v>
      </c>
      <c r="C12224" s="5">
        <v>165</v>
      </c>
      <c r="D12224" s="6">
        <v>96.58</v>
      </c>
      <c r="E12224" t="s">
        <v>18</v>
      </c>
    </row>
    <row r="12225" spans="1:5" x14ac:dyDescent="0.25">
      <c r="A12225" t="str">
        <f>HYPERLINK("https://www.773grp.com/globalSearch/TSB21LV03CMHV/page-1", "TSB21LV03CMHV")</f>
        <v>TSB21LV03CMHV</v>
      </c>
      <c r="B12225" s="3" t="str">
        <f>HYPERLINK("https://www.773grp.com/manufacturer/texas-instruments?pageNo=747", "Texas Instruments")</f>
        <v>Texas Instruments</v>
      </c>
      <c r="C12225" s="5">
        <v>244</v>
      </c>
      <c r="D12225" s="6">
        <v>229.64</v>
      </c>
      <c r="E12225" t="s">
        <v>18</v>
      </c>
    </row>
    <row r="12226" spans="1:5" x14ac:dyDescent="0.25">
      <c r="A12226" t="str">
        <f>HYPERLINK("https://www.773grp.com/globalSearch/TSB21LV03CMHVB/page-1", "TSB21LV03CMHVB")</f>
        <v>TSB21LV03CMHVB</v>
      </c>
      <c r="B12226" s="3" t="str">
        <f>HYPERLINK("https://www.773grp.com/manufacturer/texas-instruments?pageNo=978", "Texas Instruments")</f>
        <v>Texas Instruments</v>
      </c>
      <c r="C12226" s="5">
        <v>448</v>
      </c>
      <c r="D12226" s="6">
        <v>240.93</v>
      </c>
      <c r="E12226" t="s">
        <v>18</v>
      </c>
    </row>
    <row r="12227" spans="1:5" x14ac:dyDescent="0.25">
      <c r="A12227" t="str">
        <f>HYPERLINK("https://www.773grp.com/globalSearch/TLK3104SAGNT/page-1", "TLK3104SAGNT")</f>
        <v>TLK3104SAGNT</v>
      </c>
      <c r="B12227" s="3" t="str">
        <f>HYPERLINK("https://www.773grp.com/manufacturer/texas-instruments?pageNo=983", "Texas Instruments")</f>
        <v>Texas Instruments</v>
      </c>
      <c r="C12227" s="5">
        <v>16208</v>
      </c>
      <c r="D12227" s="6">
        <v>280.26</v>
      </c>
      <c r="E12227" t="s">
        <v>18</v>
      </c>
    </row>
    <row r="12228" spans="1:5" x14ac:dyDescent="0.25">
      <c r="A12228" t="str">
        <f>HYPERLINK("https://www.773grp.com/globalSearch/ADS58C48IPFP/page-1", "ADS58C48IPFP")</f>
        <v>ADS58C48IPFP</v>
      </c>
      <c r="B12228" s="3" t="str">
        <f>HYPERLINK("https://www.773grp.com/manufacturer/texas-instruments?pageNo=986", "Texas Instruments")</f>
        <v>Texas Instruments</v>
      </c>
      <c r="C12228" s="5">
        <v>182</v>
      </c>
      <c r="D12228" s="6">
        <v>243.4</v>
      </c>
      <c r="E12228" t="s">
        <v>18</v>
      </c>
    </row>
    <row r="12229" spans="1:5" x14ac:dyDescent="0.25">
      <c r="A12229" t="str">
        <f>HYPERLINK("https://www.773grp.com/globalSearch/TLK3104SCGNT/page-1", "TLK3104SCGNT")</f>
        <v>TLK3104SCGNT</v>
      </c>
      <c r="B12229" s="3" t="s">
        <v>90</v>
      </c>
      <c r="C12229" s="5">
        <v>478</v>
      </c>
      <c r="D12229" s="6">
        <v>387.16</v>
      </c>
      <c r="E12229" t="s">
        <v>18</v>
      </c>
    </row>
    <row r="12230" spans="1:5" x14ac:dyDescent="0.25">
      <c r="A12230" t="str">
        <f>HYPERLINK("https://www.773grp.com/globalSearch/5962-9762101VFA/page-1", "5962-9762101VFA")</f>
        <v>5962-9762101VFA</v>
      </c>
      <c r="B12230" s="3" t="s">
        <v>90</v>
      </c>
      <c r="C12230" s="5">
        <v>3</v>
      </c>
      <c r="D12230" s="6">
        <v>454.99</v>
      </c>
      <c r="E12230" t="s">
        <v>18</v>
      </c>
    </row>
    <row r="12231" spans="1:5" x14ac:dyDescent="0.25">
      <c r="A12231" t="str">
        <f>HYPERLINK("https://www.773grp.com/globalSearch/UC5180CQTR/page-1", "UC5180CQTR")</f>
        <v>UC5180CQTR</v>
      </c>
      <c r="B12231" s="3" t="s">
        <v>112</v>
      </c>
      <c r="C12231" s="5">
        <v>1500</v>
      </c>
      <c r="D12231" s="6">
        <v>8.73</v>
      </c>
      <c r="E12231" t="s">
        <v>18</v>
      </c>
    </row>
    <row r="12232" spans="1:5" x14ac:dyDescent="0.25">
      <c r="A12232" t="str">
        <f>HYPERLINK("https://www.773grp.com/globalSearch/UC5180CQ/page-1", "UC5180CQ")</f>
        <v>UC5180CQ</v>
      </c>
      <c r="B12232" s="3" t="s">
        <v>112</v>
      </c>
      <c r="C12232" s="5">
        <v>4100</v>
      </c>
      <c r="D12232" s="6">
        <v>10.130000000000001</v>
      </c>
      <c r="E12232" t="s">
        <v>18</v>
      </c>
    </row>
    <row r="12233" spans="1:5" x14ac:dyDescent="0.25">
      <c r="A12233" t="str">
        <f>HYPERLINK("https://www.773grp.com/globalSearch/DRV1101U-2K5/page-1", "DRV1101U-2K5")</f>
        <v>DRV1101U-2K5</v>
      </c>
      <c r="B12233" s="3" t="s">
        <v>112</v>
      </c>
      <c r="C12233" s="5">
        <v>5000</v>
      </c>
      <c r="D12233" s="6">
        <v>11.1</v>
      </c>
      <c r="E12233" t="s">
        <v>18</v>
      </c>
    </row>
    <row r="12234" spans="1:5" x14ac:dyDescent="0.25">
      <c r="A12234" t="str">
        <f>HYPERLINK("https://www.773grp.com/globalSearch/TPIC6259DWR/page-1", "TPIC6259DWR")</f>
        <v>TPIC6259DWR</v>
      </c>
      <c r="B12234" s="3" t="str">
        <f>HYPERLINK("https://www.773grp.com/manufacturer/texas-instruments?pageNo=644", "Texas Instruments")</f>
        <v>Texas Instruments</v>
      </c>
      <c r="C12234" s="5">
        <v>4000</v>
      </c>
      <c r="D12234" s="6">
        <v>3.94</v>
      </c>
      <c r="E12234" t="s">
        <v>71</v>
      </c>
    </row>
    <row r="12235" spans="1:5" x14ac:dyDescent="0.25">
      <c r="A12235" t="str">
        <f>HYPERLINK("https://www.773grp.com/globalSearch/CD74ACT297M/page-1", "CD74ACT297M")</f>
        <v>CD74ACT297M</v>
      </c>
      <c r="B12235" s="3" t="str">
        <f>HYPERLINK("https://www.773grp.com/manufacturer/texas-instruments?pageNo=898", "Texas Instruments")</f>
        <v>Texas Instruments</v>
      </c>
      <c r="C12235" s="5">
        <v>1187</v>
      </c>
      <c r="D12235" s="6">
        <v>4.01</v>
      </c>
      <c r="E12235" t="s">
        <v>71</v>
      </c>
    </row>
    <row r="12236" spans="1:5" x14ac:dyDescent="0.25">
      <c r="A12236" t="str">
        <f>HYPERLINK("https://www.773grp.com/globalSearch/TPIC6A259DWR/page-1", "TPIC6A259DWR")</f>
        <v>TPIC6A259DWR</v>
      </c>
      <c r="B12236" s="3" t="s">
        <v>90</v>
      </c>
      <c r="C12236" s="5">
        <v>28116</v>
      </c>
      <c r="D12236" s="6">
        <v>4.3499999999999996</v>
      </c>
      <c r="E12236" t="s">
        <v>71</v>
      </c>
    </row>
    <row r="12237" spans="1:5" x14ac:dyDescent="0.25">
      <c r="A12237" t="str">
        <f>HYPERLINK("https://www.773grp.com/globalSearch/SN74TVC3010DGVR/page-1", "SN74TVC3010DGVR")</f>
        <v>SN74TVC3010DGVR</v>
      </c>
      <c r="B12237" s="3" t="str">
        <f>HYPERLINK("https://www.773grp.com/manufacturer/texas-instruments?pageNo=162", "Texas Instruments")</f>
        <v>Texas Instruments</v>
      </c>
      <c r="C12237" s="5">
        <v>16000</v>
      </c>
      <c r="D12237" s="6">
        <v>4.91</v>
      </c>
      <c r="E12237" t="s">
        <v>71</v>
      </c>
    </row>
    <row r="12238" spans="1:5" x14ac:dyDescent="0.25">
      <c r="A12238" t="str">
        <f>HYPERLINK("https://www.773grp.com/globalSearch/SN74TVC3010DWR/page-1", "SN74TVC3010DWR")</f>
        <v>SN74TVC3010DWR</v>
      </c>
      <c r="B12238" s="3" t="str">
        <f>HYPERLINK("https://www.773grp.com/manufacturer/texas-instruments?pageNo=163", "Texas Instruments")</f>
        <v>Texas Instruments</v>
      </c>
      <c r="C12238" s="5">
        <v>18000</v>
      </c>
      <c r="D12238" s="6">
        <v>4.91</v>
      </c>
      <c r="E12238" t="s">
        <v>71</v>
      </c>
    </row>
    <row r="12239" spans="1:5" x14ac:dyDescent="0.25">
      <c r="A12239" t="str">
        <f>HYPERLINK("https://www.773grp.com/globalSearch/TPIC6B259DW/page-1", "TPIC6B259DW")</f>
        <v>TPIC6B259DW</v>
      </c>
      <c r="B12239" s="3" t="str">
        <f>HYPERLINK("https://www.773grp.com/manufacturer/texas-instruments?pageNo=654", "Texas Instruments")</f>
        <v>Texas Instruments</v>
      </c>
      <c r="C12239" s="5">
        <v>8652</v>
      </c>
      <c r="D12239" s="6">
        <v>5.01</v>
      </c>
      <c r="E12239" t="s">
        <v>71</v>
      </c>
    </row>
    <row r="12240" spans="1:5" x14ac:dyDescent="0.25">
      <c r="A12240" t="str">
        <f>HYPERLINK("https://www.773grp.com/globalSearch/TPIC6B259DWG4/page-1", "TPIC6B259DWG4")</f>
        <v>TPIC6B259DWG4</v>
      </c>
      <c r="B12240" s="3" t="str">
        <f>HYPERLINK("https://www.773grp.com/manufacturer/texas-instruments?pageNo=655", "Texas Instruments")</f>
        <v>Texas Instruments</v>
      </c>
      <c r="C12240" s="5">
        <v>480</v>
      </c>
      <c r="D12240" s="6">
        <v>5.01</v>
      </c>
      <c r="E12240" t="s">
        <v>71</v>
      </c>
    </row>
    <row r="12241" spans="1:5" x14ac:dyDescent="0.25">
      <c r="A12241" t="str">
        <f>HYPERLINK("https://www.773grp.com/globalSearch/TPIC6B259N/page-1", "TPIC6B259N")</f>
        <v>TPIC6B259N</v>
      </c>
      <c r="B12241" s="3" t="str">
        <f>HYPERLINK("https://www.773grp.com/manufacturer/texas-instruments?pageNo=656", "Texas Instruments")</f>
        <v>Texas Instruments</v>
      </c>
      <c r="C12241" s="5">
        <v>721</v>
      </c>
      <c r="D12241" s="6">
        <v>5.01</v>
      </c>
      <c r="E12241" t="s">
        <v>71</v>
      </c>
    </row>
    <row r="12242" spans="1:5" x14ac:dyDescent="0.25">
      <c r="A12242" t="str">
        <f>HYPERLINK("https://www.773grp.com/globalSearch/SN74TVC16222DGGR/page-1", "SN74TVC16222DGGR")</f>
        <v>SN74TVC16222DGGR</v>
      </c>
      <c r="B12242" s="3" t="str">
        <f>HYPERLINK("https://www.773grp.com/manufacturer/texas-instruments?pageNo=979", "Texas Instruments")</f>
        <v>Texas Instruments</v>
      </c>
      <c r="C12242" s="5">
        <v>900</v>
      </c>
      <c r="D12242" s="6">
        <v>5.1100000000000003</v>
      </c>
      <c r="E12242" t="s">
        <v>71</v>
      </c>
    </row>
    <row r="12243" spans="1:5" x14ac:dyDescent="0.25">
      <c r="A12243" t="str">
        <f>HYPERLINK("https://www.773grp.com/globalSearch/SN74TVC16222DGVR/page-1", "SN74TVC16222DGVR")</f>
        <v>SN74TVC16222DGVR</v>
      </c>
      <c r="B12243" s="3" t="str">
        <f>HYPERLINK("https://www.773grp.com/manufacturer/texas-instruments?pageNo=980", "Texas Instruments")</f>
        <v>Texas Instruments</v>
      </c>
      <c r="C12243" s="5">
        <v>9650</v>
      </c>
      <c r="D12243" s="6">
        <v>5.1100000000000003</v>
      </c>
      <c r="E12243" t="s">
        <v>71</v>
      </c>
    </row>
    <row r="12244" spans="1:5" x14ac:dyDescent="0.25">
      <c r="A12244" t="str">
        <f>HYPERLINK("https://www.773grp.com/globalSearch/SN74TVC16222DL/page-1", "SN74TVC16222DL")</f>
        <v>SN74TVC16222DL</v>
      </c>
      <c r="B12244" s="3" t="str">
        <f>HYPERLINK("https://www.773grp.com/manufacturer/texas-instruments?pageNo=981", "Texas Instruments")</f>
        <v>Texas Instruments</v>
      </c>
      <c r="C12244" s="5">
        <v>5446</v>
      </c>
      <c r="D12244" s="6">
        <v>5.1100000000000003</v>
      </c>
      <c r="E12244" t="s">
        <v>71</v>
      </c>
    </row>
    <row r="12245" spans="1:5" x14ac:dyDescent="0.25">
      <c r="A12245" t="str">
        <f>HYPERLINK("https://www.773grp.com/globalSearch/CD74HC297E/page-1", "CD74HC297E")</f>
        <v>CD74HC297E</v>
      </c>
      <c r="B12245" s="3" t="s">
        <v>90</v>
      </c>
      <c r="C12245" s="5">
        <v>6017</v>
      </c>
      <c r="D12245" s="6">
        <v>4.68</v>
      </c>
      <c r="E12245" t="s">
        <v>71</v>
      </c>
    </row>
    <row r="12246" spans="1:5" x14ac:dyDescent="0.25">
      <c r="A12246" t="str">
        <f>HYPERLINK("https://www.773grp.com/globalSearch/TPIC6259DW/page-1", "TPIC6259DW")</f>
        <v>TPIC6259DW</v>
      </c>
      <c r="B12246" s="3" t="s">
        <v>90</v>
      </c>
      <c r="C12246" s="5">
        <v>5177</v>
      </c>
      <c r="D12246" s="6">
        <v>4.78</v>
      </c>
      <c r="E12246" t="s">
        <v>71</v>
      </c>
    </row>
    <row r="12247" spans="1:5" x14ac:dyDescent="0.25">
      <c r="A12247" t="str">
        <f>HYPERLINK("https://www.773grp.com/globalSearch/TPIC6259DWG4/page-1", "TPIC6259DWG4")</f>
        <v>TPIC6259DWG4</v>
      </c>
      <c r="B12247" s="3" t="s">
        <v>90</v>
      </c>
      <c r="C12247" s="5">
        <v>25</v>
      </c>
      <c r="D12247" s="6">
        <v>4.78</v>
      </c>
      <c r="E12247" t="s">
        <v>71</v>
      </c>
    </row>
    <row r="12248" spans="1:5" x14ac:dyDescent="0.25">
      <c r="A12248" t="str">
        <f>HYPERLINK("https://www.773grp.com/globalSearch/TPIC6259N/page-1", "TPIC6259N")</f>
        <v>TPIC6259N</v>
      </c>
      <c r="B12248" s="3" t="s">
        <v>90</v>
      </c>
      <c r="C12248" s="5">
        <v>1099</v>
      </c>
      <c r="D12248" s="6">
        <v>4.78</v>
      </c>
      <c r="E12248" t="s">
        <v>71</v>
      </c>
    </row>
    <row r="12249" spans="1:5" x14ac:dyDescent="0.25">
      <c r="A12249" t="str">
        <f>HYPERLINK("https://www.773grp.com/globalSearch/SN74LS624DR/page-1", "SN74LS624DR")</f>
        <v>SN74LS624DR</v>
      </c>
      <c r="B12249" s="3" t="s">
        <v>90</v>
      </c>
      <c r="C12249" s="5">
        <v>5000</v>
      </c>
      <c r="D12249" s="6">
        <v>5.03</v>
      </c>
      <c r="E12249" t="s">
        <v>71</v>
      </c>
    </row>
    <row r="12250" spans="1:5" x14ac:dyDescent="0.25">
      <c r="A12250" t="str">
        <f>HYPERLINK("https://www.773grp.com/globalSearch/TPIC6A259DWG4/page-1", "TPIC6A259DWG4")</f>
        <v>TPIC6A259DWG4</v>
      </c>
      <c r="B12250" s="3" t="s">
        <v>90</v>
      </c>
      <c r="C12250" s="5">
        <v>50</v>
      </c>
      <c r="D12250" s="6">
        <v>5.1100000000000003</v>
      </c>
      <c r="E12250" t="s">
        <v>71</v>
      </c>
    </row>
    <row r="12251" spans="1:5" x14ac:dyDescent="0.25">
      <c r="A12251" t="str">
        <f>HYPERLINK("https://www.773grp.com/globalSearch/CD74HCT297E/page-1", "CD74HCT297E")</f>
        <v>CD74HCT297E</v>
      </c>
      <c r="B12251" s="3" t="s">
        <v>90</v>
      </c>
      <c r="C12251" s="5">
        <v>11350</v>
      </c>
      <c r="D12251" s="6">
        <v>5.31</v>
      </c>
      <c r="E12251" t="s">
        <v>71</v>
      </c>
    </row>
    <row r="12252" spans="1:5" x14ac:dyDescent="0.25">
      <c r="A12252" t="str">
        <f>HYPERLINK("https://www.773grp.com/globalSearch/SN74LS628N/page-1", "SN74LS628N")</f>
        <v>SN74LS628N</v>
      </c>
      <c r="B12252" s="3" t="s">
        <v>90</v>
      </c>
      <c r="C12252" s="5">
        <v>2099</v>
      </c>
      <c r="D12252" s="6">
        <v>5.63</v>
      </c>
      <c r="E12252" t="s">
        <v>71</v>
      </c>
    </row>
    <row r="12253" spans="1:5" x14ac:dyDescent="0.25">
      <c r="A12253" t="str">
        <f>HYPERLINK("https://www.773grp.com/globalSearch/SN74LS629DR/page-1", "SN74LS629DR")</f>
        <v>SN74LS629DR</v>
      </c>
      <c r="B12253" s="3" t="s">
        <v>90</v>
      </c>
      <c r="C12253" s="5">
        <v>7500</v>
      </c>
      <c r="D12253" s="6">
        <v>5.83</v>
      </c>
      <c r="E12253" t="s">
        <v>71</v>
      </c>
    </row>
    <row r="12254" spans="1:5" x14ac:dyDescent="0.25">
      <c r="A12254" t="str">
        <f>HYPERLINK("https://www.773grp.com/globalSearch/SN74LS629NSR/page-1", "SN74LS629NSR")</f>
        <v>SN74LS629NSR</v>
      </c>
      <c r="B12254" s="3" t="s">
        <v>90</v>
      </c>
      <c r="C12254" s="5">
        <v>2000</v>
      </c>
      <c r="D12254" s="6">
        <v>5.83</v>
      </c>
      <c r="E12254" t="s">
        <v>71</v>
      </c>
    </row>
    <row r="12255" spans="1:5" x14ac:dyDescent="0.25">
      <c r="A12255" t="str">
        <f>HYPERLINK("https://www.773grp.com/globalSearch/SN74LS624D/page-1", "SN74LS624D")</f>
        <v>SN74LS624D</v>
      </c>
      <c r="B12255" s="3" t="s">
        <v>90</v>
      </c>
      <c r="C12255" s="5">
        <v>2913</v>
      </c>
      <c r="D12255" s="6">
        <v>6.03</v>
      </c>
      <c r="E12255" t="s">
        <v>71</v>
      </c>
    </row>
    <row r="12256" spans="1:5" x14ac:dyDescent="0.25">
      <c r="A12256" t="str">
        <f>HYPERLINK("https://www.773grp.com/globalSearch/SN74LS628D/page-1", "SN74LS628D")</f>
        <v>SN74LS628D</v>
      </c>
      <c r="B12256" s="3" t="s">
        <v>90</v>
      </c>
      <c r="C12256" s="5">
        <v>769</v>
      </c>
      <c r="D12256" s="6">
        <v>6.03</v>
      </c>
      <c r="E12256" t="s">
        <v>71</v>
      </c>
    </row>
    <row r="12257" spans="1:5" x14ac:dyDescent="0.25">
      <c r="A12257" t="str">
        <f>HYPERLINK("https://www.773grp.com/globalSearch/SN74LS396N/page-1", "SN74LS396N")</f>
        <v>SN74LS396N</v>
      </c>
      <c r="B12257" s="3" t="str">
        <f>HYPERLINK("https://www.773grp.com/manufacturer/texas-instruments?pageNo=612", "Texas Instruments")</f>
        <v>Texas Instruments</v>
      </c>
      <c r="C12257" s="5">
        <v>497</v>
      </c>
      <c r="D12257" s="6">
        <v>6.84</v>
      </c>
      <c r="E12257" t="s">
        <v>71</v>
      </c>
    </row>
    <row r="12258" spans="1:5" x14ac:dyDescent="0.25">
      <c r="A12258" t="str">
        <f>HYPERLINK("https://www.773grp.com/globalSearch/SN74S124N3/page-1", "SN74S124N3")</f>
        <v>SN74S124N3</v>
      </c>
      <c r="B12258" s="3" t="str">
        <f>HYPERLINK("https://www.773grp.com/manufacturer/texas-instruments?pageNo=839", "Texas Instruments")</f>
        <v>Texas Instruments</v>
      </c>
      <c r="C12258" s="5">
        <v>1337</v>
      </c>
      <c r="D12258" s="6">
        <v>7.04</v>
      </c>
      <c r="E12258" t="s">
        <v>71</v>
      </c>
    </row>
    <row r="12259" spans="1:5" x14ac:dyDescent="0.25">
      <c r="A12259" t="str">
        <f>HYPERLINK("https://www.773grp.com/globalSearch/SN74LS629N/page-1", "SN74LS629N")</f>
        <v>SN74LS629N</v>
      </c>
      <c r="B12259" s="3" t="s">
        <v>90</v>
      </c>
      <c r="C12259" s="5">
        <v>1761</v>
      </c>
      <c r="D12259" s="6">
        <v>8.44</v>
      </c>
      <c r="E12259" t="s">
        <v>71</v>
      </c>
    </row>
    <row r="12260" spans="1:5" x14ac:dyDescent="0.25">
      <c r="A12260" t="str">
        <f>HYPERLINK("https://www.773grp.com/globalSearch/SN74LS629NE4/page-1", "SN74LS629NE4")</f>
        <v>SN74LS629NE4</v>
      </c>
      <c r="B12260" s="3" t="s">
        <v>90</v>
      </c>
      <c r="C12260" s="5">
        <v>125</v>
      </c>
      <c r="D12260" s="6">
        <v>8.44</v>
      </c>
      <c r="E12260" t="s">
        <v>71</v>
      </c>
    </row>
    <row r="12261" spans="1:5" x14ac:dyDescent="0.25">
      <c r="A12261" t="str">
        <f>HYPERLINK("https://www.773grp.com/globalSearch/SN74S124DR/page-1", "SN74S124DR")</f>
        <v>SN74S124DR</v>
      </c>
      <c r="B12261" s="3" t="s">
        <v>90</v>
      </c>
      <c r="C12261" s="5">
        <v>10000</v>
      </c>
      <c r="D12261" s="6">
        <v>9</v>
      </c>
      <c r="E12261" t="s">
        <v>71</v>
      </c>
    </row>
    <row r="12262" spans="1:5" x14ac:dyDescent="0.25">
      <c r="A12262" t="str">
        <f>HYPERLINK("https://www.773grp.com/globalSearch/SN74LS629D/page-1", "SN74LS629D")</f>
        <v>SN74LS629D</v>
      </c>
      <c r="B12262" s="3" t="s">
        <v>90</v>
      </c>
      <c r="C12262" s="5">
        <v>11465</v>
      </c>
      <c r="D12262" s="6">
        <v>9.25</v>
      </c>
      <c r="E12262" t="s">
        <v>71</v>
      </c>
    </row>
    <row r="12263" spans="1:5" x14ac:dyDescent="0.25">
      <c r="A12263" t="str">
        <f>HYPERLINK("https://www.773grp.com/globalSearch/SN74S124N/page-1", "SN74S124N")</f>
        <v>SN74S124N</v>
      </c>
      <c r="B12263" s="3" t="str">
        <f>HYPERLINK("https://www.773grp.com/manufacturer/texas-instruments?pageNo=508", "Texas Instruments")</f>
        <v>Texas Instruments</v>
      </c>
      <c r="C12263" s="5">
        <v>10509</v>
      </c>
      <c r="D12263" s="6">
        <v>13.05</v>
      </c>
      <c r="E12263" t="s">
        <v>71</v>
      </c>
    </row>
    <row r="12264" spans="1:5" x14ac:dyDescent="0.25">
      <c r="A12264" t="str">
        <f>HYPERLINK("https://www.773grp.com/globalSearch/SN74LS627N/page-1", "SN74LS627N")</f>
        <v>SN74LS627N</v>
      </c>
      <c r="B12264" s="3" t="s">
        <v>90</v>
      </c>
      <c r="C12264" s="5">
        <v>150</v>
      </c>
      <c r="D12264" s="6">
        <v>14.21</v>
      </c>
      <c r="E12264" t="s">
        <v>71</v>
      </c>
    </row>
    <row r="12265" spans="1:5" x14ac:dyDescent="0.25">
      <c r="A12265" t="str">
        <f>HYPERLINK("https://www.773grp.com/globalSearch/SN74S124D/page-1", "SN74S124D")</f>
        <v>SN74S124D</v>
      </c>
      <c r="B12265" s="3" t="s">
        <v>90</v>
      </c>
      <c r="C12265" s="5">
        <v>2121</v>
      </c>
      <c r="D12265" s="6">
        <v>14.26</v>
      </c>
      <c r="E12265" t="s">
        <v>71</v>
      </c>
    </row>
    <row r="12266" spans="1:5" x14ac:dyDescent="0.25">
      <c r="A12266" t="str">
        <f>HYPERLINK("https://www.773grp.com/globalSearch/SN54LS629J/page-1", "SN54LS629J")</f>
        <v>SN54LS629J</v>
      </c>
      <c r="B12266" s="3" t="str">
        <f>HYPERLINK("https://www.773grp.com/manufacturer/texas-instruments?pageNo=606", "Texas Instruments")</f>
        <v>Texas Instruments</v>
      </c>
      <c r="C12266" s="5">
        <v>9</v>
      </c>
      <c r="D12266" s="6">
        <v>30.83</v>
      </c>
      <c r="E12266" t="s">
        <v>71</v>
      </c>
    </row>
    <row r="12267" spans="1:5" x14ac:dyDescent="0.25">
      <c r="A12267" t="str">
        <f>HYPERLINK("https://www.773grp.com/globalSearch/5962-9204601MCA/page-1", "5962-9204601MCA")</f>
        <v>5962-9204601MCA</v>
      </c>
      <c r="B12267" s="3" t="str">
        <f>HYPERLINK("https://www.773grp.com/manufacturer/texas-instruments?pageNo=795", "Texas Instruments")</f>
        <v>Texas Instruments</v>
      </c>
      <c r="C12267" s="5">
        <v>42</v>
      </c>
      <c r="D12267" s="6">
        <v>32.18</v>
      </c>
      <c r="E12267" t="s">
        <v>71</v>
      </c>
    </row>
    <row r="12268" spans="1:5" x14ac:dyDescent="0.25">
      <c r="A12268" t="str">
        <f>HYPERLINK("https://www.773grp.com/globalSearch/SNJ54LS628J/page-1", "SNJ54LS628J")</f>
        <v>SNJ54LS628J</v>
      </c>
      <c r="B12268" s="3" t="str">
        <f>HYPERLINK("https://www.773grp.com/manufacturer/texas-instruments?pageNo=800", "Texas Instruments")</f>
        <v>Texas Instruments</v>
      </c>
      <c r="C12268" s="5">
        <v>65</v>
      </c>
      <c r="D12268" s="6">
        <v>32.18</v>
      </c>
      <c r="E12268" t="s">
        <v>71</v>
      </c>
    </row>
    <row r="12269" spans="1:5" x14ac:dyDescent="0.25">
      <c r="A12269" t="str">
        <f>HYPERLINK("https://www.773grp.com/globalSearch/5962-9204601M2A/page-1", "5962-9204601M2A")</f>
        <v>5962-9204601M2A</v>
      </c>
      <c r="B12269" s="3" t="s">
        <v>90</v>
      </c>
      <c r="C12269" s="5">
        <v>78</v>
      </c>
      <c r="D12269" s="6">
        <v>33.46</v>
      </c>
      <c r="E12269" t="s">
        <v>71</v>
      </c>
    </row>
    <row r="12270" spans="1:5" x14ac:dyDescent="0.25">
      <c r="A12270" t="str">
        <f>HYPERLINK("https://www.773grp.com/globalSearch/8102101EA/page-1", "8102101EA")</f>
        <v>8102101EA</v>
      </c>
      <c r="B12270" s="3" t="s">
        <v>90</v>
      </c>
      <c r="C12270" s="5">
        <v>213</v>
      </c>
      <c r="D12270" s="6">
        <v>35.78</v>
      </c>
      <c r="E12270" t="s">
        <v>71</v>
      </c>
    </row>
    <row r="12271" spans="1:5" x14ac:dyDescent="0.25">
      <c r="A12271" t="str">
        <f>HYPERLINK("https://www.773grp.com/globalSearch/SNJ54LS629J/page-1", "SNJ54LS629J")</f>
        <v>SNJ54LS629J</v>
      </c>
      <c r="B12271" s="3" t="s">
        <v>90</v>
      </c>
      <c r="C12271" s="5">
        <v>220</v>
      </c>
      <c r="D12271" s="6">
        <v>35.78</v>
      </c>
      <c r="E12271" t="s">
        <v>71</v>
      </c>
    </row>
    <row r="12272" spans="1:5" x14ac:dyDescent="0.25">
      <c r="A12272" t="str">
        <f>HYPERLINK("https://www.773grp.com/globalSearch/5962-8999001EA/page-1", "5962-8999001EA")</f>
        <v>5962-8999001EA</v>
      </c>
      <c r="B12272" s="3" t="s">
        <v>90</v>
      </c>
      <c r="C12272" s="5">
        <v>5</v>
      </c>
      <c r="D12272" s="6">
        <v>36.840000000000003</v>
      </c>
      <c r="E12272" t="s">
        <v>71</v>
      </c>
    </row>
    <row r="12273" spans="1:5" x14ac:dyDescent="0.25">
      <c r="A12273" t="str">
        <f>HYPERLINK("https://www.773grp.com/globalSearch/SN74LS297N/page-1", "SN74LS297N")</f>
        <v>SN74LS297N</v>
      </c>
      <c r="B12273" s="3" t="s">
        <v>90</v>
      </c>
      <c r="C12273" s="5">
        <v>9094</v>
      </c>
      <c r="D12273" s="6">
        <v>55.6</v>
      </c>
      <c r="E12273" t="s">
        <v>71</v>
      </c>
    </row>
    <row r="12274" spans="1:5" x14ac:dyDescent="0.25">
      <c r="A12274" t="str">
        <f>HYPERLINK("https://www.773grp.com/globalSearch/SN74LS601AN/page-1", "SN74LS601AN")</f>
        <v>SN74LS601AN</v>
      </c>
      <c r="B12274" s="3" t="str">
        <f>HYPERLINK("https://www.773grp.com/manufacturer/texas-instruments?pageNo=626", "Texas Instruments")</f>
        <v>Texas Instruments</v>
      </c>
      <c r="C12274" s="5">
        <v>640</v>
      </c>
      <c r="D12274" s="6">
        <v>30.94</v>
      </c>
      <c r="E12274" t="s">
        <v>75</v>
      </c>
    </row>
    <row r="12275" spans="1:5" x14ac:dyDescent="0.25">
      <c r="A12275" t="str">
        <f>HYPERLINK("https://www.773grp.com/globalSearch/SN74LS603AN/page-1", "SN74LS603AN")</f>
        <v>SN74LS603AN</v>
      </c>
      <c r="B12275" s="3" t="str">
        <f>HYPERLINK("https://www.773grp.com/manufacturer/texas-instruments?pageNo=627", "Texas Instruments")</f>
        <v>Texas Instruments</v>
      </c>
      <c r="C12275" s="5">
        <v>10830</v>
      </c>
      <c r="D12275" s="6">
        <v>30.94</v>
      </c>
      <c r="E12275" t="s">
        <v>75</v>
      </c>
    </row>
    <row r="12276" spans="1:5" x14ac:dyDescent="0.25">
      <c r="A12276" t="str">
        <f>HYPERLINK("https://www.773grp.com/globalSearch/SN74ALS6301N/page-1", "SN74ALS6301N")</f>
        <v>SN74ALS6301N</v>
      </c>
      <c r="B12276" s="3" t="s">
        <v>90</v>
      </c>
      <c r="C12276" s="5">
        <v>453</v>
      </c>
      <c r="D12276" s="6">
        <v>37.08</v>
      </c>
      <c r="E12276" t="s">
        <v>75</v>
      </c>
    </row>
    <row r="12277" spans="1:5" x14ac:dyDescent="0.25">
      <c r="A12277" t="str">
        <f>HYPERLINK("https://www.773grp.com/globalSearch/SN74LS600ADW/page-1", "SN74LS600ADW")</f>
        <v>SN74LS600ADW</v>
      </c>
      <c r="B12277" s="3" t="s">
        <v>90</v>
      </c>
      <c r="C12277" s="5">
        <v>516</v>
      </c>
      <c r="D12277" s="6">
        <v>36.56</v>
      </c>
      <c r="E12277" t="s">
        <v>106</v>
      </c>
    </row>
    <row r="12278" spans="1:5" x14ac:dyDescent="0.25">
      <c r="A12278" t="str">
        <f>HYPERLINK("https://www.773grp.com/globalSearch/SN74LS601ADW/page-1", "SN74LS601ADW")</f>
        <v>SN74LS601ADW</v>
      </c>
      <c r="B12278" s="3" t="s">
        <v>90</v>
      </c>
      <c r="C12278" s="5">
        <v>1800</v>
      </c>
      <c r="D12278" s="6">
        <v>36.56</v>
      </c>
      <c r="E12278" t="s">
        <v>106</v>
      </c>
    </row>
    <row r="12279" spans="1:5" x14ac:dyDescent="0.25">
      <c r="A12279" t="str">
        <f>HYPERLINK("https://www.773grp.com/globalSearch/XC17S40XLSO20I/page-1", "XC17S40XLSO20I")</f>
        <v>XC17S40XLSO20I</v>
      </c>
      <c r="B12279" s="3" t="str">
        <f>HYPERLINK("https://www.773grp.com/manufacturer/amd?pageNo=82", "Xilinx")</f>
        <v>Xilinx</v>
      </c>
      <c r="C12279" s="5">
        <v>389</v>
      </c>
      <c r="D12279" s="6">
        <v>20.68</v>
      </c>
      <c r="E12279" t="s">
        <v>106</v>
      </c>
    </row>
    <row r="12280" spans="1:5" x14ac:dyDescent="0.25">
      <c r="A12280" t="str">
        <f>HYPERLINK("https://www.773grp.com/globalSearch/XC17S40SO20C/page-1", "XC17S40SO20C")</f>
        <v>XC17S40SO20C</v>
      </c>
      <c r="B12280" s="3" t="s">
        <v>115</v>
      </c>
      <c r="C12280" s="5">
        <v>966</v>
      </c>
      <c r="D12280" s="6">
        <v>28.69</v>
      </c>
      <c r="E12280" t="s">
        <v>106</v>
      </c>
    </row>
    <row r="12281" spans="1:5" x14ac:dyDescent="0.25">
      <c r="A12281" t="str">
        <f>HYPERLINK("https://www.773grp.com/globalSearch/XC17S100XLPD8I/page-1", "XC17S100XLPD8I")</f>
        <v>XC17S100XLPD8I</v>
      </c>
      <c r="B12281" s="3" t="s">
        <v>115</v>
      </c>
      <c r="C12281" s="5">
        <v>660</v>
      </c>
      <c r="D12281" s="6">
        <v>40.409999999999997</v>
      </c>
      <c r="E12281" t="s">
        <v>106</v>
      </c>
    </row>
    <row r="12282" spans="1:5" x14ac:dyDescent="0.25">
      <c r="A12282" t="str">
        <f>HYPERLINK("https://www.773grp.com/globalSearch/XC17S150XLPD8C/page-1", "XC17S150XLPD8C")</f>
        <v>XC17S150XLPD8C</v>
      </c>
      <c r="B12282" s="3" t="s">
        <v>115</v>
      </c>
      <c r="C12282" s="5">
        <v>693</v>
      </c>
      <c r="D12282" s="6">
        <v>43.15</v>
      </c>
      <c r="E12282" t="s">
        <v>106</v>
      </c>
    </row>
    <row r="12283" spans="1:5" x14ac:dyDescent="0.25">
      <c r="A12283" t="str">
        <f>HYPERLINK("https://www.773grp.com/globalSearch/XC17S150XLSO20C/page-1", "XC17S150XLSO20C")</f>
        <v>XC17S150XLSO20C</v>
      </c>
      <c r="B12283" s="3" t="s">
        <v>115</v>
      </c>
      <c r="C12283" s="5">
        <v>550</v>
      </c>
      <c r="D12283" s="6">
        <v>43.15</v>
      </c>
      <c r="E12283" t="s">
        <v>106</v>
      </c>
    </row>
    <row r="12284" spans="1:5" x14ac:dyDescent="0.25">
      <c r="A12284" t="str">
        <f>HYPERLINK("https://www.773grp.com/globalSearch/MSP430F2013QRSATEP/page-1", "MSP430F2013QRSATEP")</f>
        <v>MSP430F2013QRSATEP</v>
      </c>
      <c r="B12284" s="3" t="str">
        <f>HYPERLINK("https://www.773grp.com/manufacturer/texas-instruments?pageNo=499", "Texas Instruments")</f>
        <v>Texas Instruments</v>
      </c>
      <c r="C12284" s="5">
        <v>1710</v>
      </c>
      <c r="D12284" s="6">
        <v>3.66</v>
      </c>
      <c r="E12284" t="s">
        <v>45</v>
      </c>
    </row>
    <row r="12285" spans="1:5" x14ac:dyDescent="0.25">
      <c r="A12285" t="str">
        <f>HYPERLINK("https://www.773grp.com/globalSearch/MSP430F2013TRSAT/page-1", "MSP430F2013TRSAT")</f>
        <v>MSP430F2013TRSAT</v>
      </c>
      <c r="B12285" s="3" t="str">
        <f>HYPERLINK("https://www.773grp.com/manufacturer/texas-instruments?pageNo=500", "Texas Instruments")</f>
        <v>Texas Instruments</v>
      </c>
      <c r="C12285" s="5">
        <v>250</v>
      </c>
      <c r="D12285" s="6">
        <v>3.66</v>
      </c>
      <c r="E12285" t="s">
        <v>45</v>
      </c>
    </row>
    <row r="12286" spans="1:5" x14ac:dyDescent="0.25">
      <c r="A12286" t="str">
        <f>HYPERLINK("https://www.773grp.com/globalSearch/MSP430F412IPM/page-1", "MSP430F412IPM")</f>
        <v>MSP430F412IPM</v>
      </c>
      <c r="B12286" s="3" t="str">
        <f>HYPERLINK("https://www.773grp.com/manufacturer/texas-instruments?pageNo=502", "Texas Instruments")</f>
        <v>Texas Instruments</v>
      </c>
      <c r="C12286" s="5">
        <v>8046</v>
      </c>
      <c r="D12286" s="6">
        <v>3.66</v>
      </c>
      <c r="E12286" t="s">
        <v>45</v>
      </c>
    </row>
    <row r="12287" spans="1:5" x14ac:dyDescent="0.25">
      <c r="A12287" t="str">
        <f>HYPERLINK("https://www.773grp.com/globalSearch/MSP430F412IPMR/page-1", "MSP430F412IPMR")</f>
        <v>MSP430F412IPMR</v>
      </c>
      <c r="B12287" s="3" t="str">
        <f>HYPERLINK("https://www.773grp.com/manufacturer/texas-instruments?pageNo=503", "Texas Instruments")</f>
        <v>Texas Instruments</v>
      </c>
      <c r="C12287" s="5">
        <v>26000</v>
      </c>
      <c r="D12287" s="6">
        <v>3.66</v>
      </c>
      <c r="E12287" t="s">
        <v>45</v>
      </c>
    </row>
    <row r="12288" spans="1:5" x14ac:dyDescent="0.25">
      <c r="A12288" t="str">
        <f>HYPERLINK("https://www.773grp.com/globalSearch/MSP430F412IRTDR/page-1", "MSP430F412IRTDR")</f>
        <v>MSP430F412IRTDR</v>
      </c>
      <c r="B12288" s="3" t="str">
        <f>HYPERLINK("https://www.773grp.com/manufacturer/texas-instruments?pageNo=504", "Texas Instruments")</f>
        <v>Texas Instruments</v>
      </c>
      <c r="C12288" s="5">
        <v>27150</v>
      </c>
      <c r="D12288" s="6">
        <v>3.66</v>
      </c>
      <c r="E12288" t="s">
        <v>45</v>
      </c>
    </row>
    <row r="12289" spans="1:5" x14ac:dyDescent="0.25">
      <c r="A12289" t="str">
        <f>HYPERLINK("https://www.773grp.com/globalSearch/MSP430F2131TDGVR/page-1", "MSP430F2131TDGVR")</f>
        <v>MSP430F2131TDGVR</v>
      </c>
      <c r="B12289" s="3" t="s">
        <v>90</v>
      </c>
      <c r="C12289" s="5">
        <v>1067</v>
      </c>
      <c r="D12289" s="6">
        <v>3.8</v>
      </c>
      <c r="E12289" t="s">
        <v>45</v>
      </c>
    </row>
    <row r="12290" spans="1:5" x14ac:dyDescent="0.25">
      <c r="A12290" t="str">
        <f>HYPERLINK("https://www.773grp.com/globalSearch/MSP430F2131TPW/page-1", "MSP430F2131TPW")</f>
        <v>MSP430F2131TPW</v>
      </c>
      <c r="B12290" s="3" t="s">
        <v>90</v>
      </c>
      <c r="C12290" s="5">
        <v>7770</v>
      </c>
      <c r="D12290" s="6">
        <v>3.8</v>
      </c>
      <c r="E12290" t="s">
        <v>45</v>
      </c>
    </row>
    <row r="12291" spans="1:5" x14ac:dyDescent="0.25">
      <c r="A12291" t="str">
        <f>HYPERLINK("https://www.773grp.com/globalSearch/MSP430F2131TPWR/page-1", "MSP430F2131TPWR")</f>
        <v>MSP430F2131TPWR</v>
      </c>
      <c r="B12291" s="3" t="s">
        <v>90</v>
      </c>
      <c r="C12291" s="5">
        <v>10000</v>
      </c>
      <c r="D12291" s="6">
        <v>3.8</v>
      </c>
      <c r="E12291" t="s">
        <v>45</v>
      </c>
    </row>
    <row r="12292" spans="1:5" x14ac:dyDescent="0.25">
      <c r="A12292" t="str">
        <f>HYPERLINK("https://www.773grp.com/globalSearch/MSP430F413IPM/page-1", "MSP430F413IPM")</f>
        <v>MSP430F413IPM</v>
      </c>
      <c r="B12292" s="3" t="s">
        <v>90</v>
      </c>
      <c r="C12292" s="5">
        <v>2657</v>
      </c>
      <c r="D12292" s="6">
        <v>3.8</v>
      </c>
      <c r="E12292" t="s">
        <v>45</v>
      </c>
    </row>
    <row r="12293" spans="1:5" x14ac:dyDescent="0.25">
      <c r="A12293" t="str">
        <f>HYPERLINK("https://www.773grp.com/globalSearch/MSP430F413IPMR/page-1", "MSP430F413IPMR")</f>
        <v>MSP430F413IPMR</v>
      </c>
      <c r="B12293" s="3" t="s">
        <v>90</v>
      </c>
      <c r="C12293" s="5">
        <v>3000</v>
      </c>
      <c r="D12293" s="6">
        <v>3.8</v>
      </c>
      <c r="E12293" t="s">
        <v>45</v>
      </c>
    </row>
    <row r="12294" spans="1:5" x14ac:dyDescent="0.25">
      <c r="A12294" t="str">
        <f>HYPERLINK("https://www.773grp.com/globalSearch/MSP430F413IRTDR/page-1", "MSP430F413IRTDR")</f>
        <v>MSP430F413IRTDR</v>
      </c>
      <c r="B12294" s="3" t="s">
        <v>90</v>
      </c>
      <c r="C12294" s="5">
        <v>12500</v>
      </c>
      <c r="D12294" s="6">
        <v>3.8</v>
      </c>
      <c r="E12294" t="s">
        <v>45</v>
      </c>
    </row>
    <row r="12295" spans="1:5" x14ac:dyDescent="0.25">
      <c r="A12295" t="str">
        <f>HYPERLINK("https://www.773grp.com/globalSearch/MSP430F2002TRSAT/page-1", "MSP430F2002TRSAT")</f>
        <v>MSP430F2002TRSAT</v>
      </c>
      <c r="B12295" s="3" t="s">
        <v>90</v>
      </c>
      <c r="C12295" s="5">
        <v>975</v>
      </c>
      <c r="D12295" s="6">
        <v>4.2300000000000004</v>
      </c>
      <c r="E12295" t="s">
        <v>45</v>
      </c>
    </row>
    <row r="12296" spans="1:5" x14ac:dyDescent="0.25">
      <c r="A12296" t="str">
        <f>HYPERLINK("https://www.773grp.com/globalSearch/MSP430F2111TDGV/page-1", "MSP430F2111TDGV")</f>
        <v>MSP430F2111TDGV</v>
      </c>
      <c r="B12296" s="3" t="s">
        <v>90</v>
      </c>
      <c r="C12296" s="5">
        <v>270</v>
      </c>
      <c r="D12296" s="6">
        <v>4.2300000000000004</v>
      </c>
      <c r="E12296" t="s">
        <v>45</v>
      </c>
    </row>
    <row r="12297" spans="1:5" x14ac:dyDescent="0.25">
      <c r="A12297" t="str">
        <f>HYPERLINK("https://www.773grp.com/globalSearch/MSP430F2111TDGVR/page-1", "MSP430F2111TDGVR")</f>
        <v>MSP430F2111TDGVR</v>
      </c>
      <c r="B12297" s="3" t="s">
        <v>90</v>
      </c>
      <c r="C12297" s="5">
        <v>5351</v>
      </c>
      <c r="D12297" s="6">
        <v>4.2300000000000004</v>
      </c>
      <c r="E12297" t="s">
        <v>45</v>
      </c>
    </row>
    <row r="12298" spans="1:5" x14ac:dyDescent="0.25">
      <c r="A12298" t="str">
        <f>HYPERLINK("https://www.773grp.com/globalSearch/MSP430F2111TDW/page-1", "MSP430F2111TDW")</f>
        <v>MSP430F2111TDW</v>
      </c>
      <c r="B12298" s="3" t="s">
        <v>90</v>
      </c>
      <c r="C12298" s="5">
        <v>2050</v>
      </c>
      <c r="D12298" s="6">
        <v>4.2300000000000004</v>
      </c>
      <c r="E12298" t="s">
        <v>45</v>
      </c>
    </row>
    <row r="12299" spans="1:5" x14ac:dyDescent="0.25">
      <c r="A12299" t="str">
        <f>HYPERLINK("https://www.773grp.com/globalSearch/MSP430F2111TPW/page-1", "MSP430F2111TPW")</f>
        <v>MSP430F2111TPW</v>
      </c>
      <c r="B12299" s="3" t="s">
        <v>90</v>
      </c>
      <c r="C12299" s="5">
        <v>1050</v>
      </c>
      <c r="D12299" s="6">
        <v>4.2300000000000004</v>
      </c>
      <c r="E12299" t="s">
        <v>45</v>
      </c>
    </row>
    <row r="12300" spans="1:5" x14ac:dyDescent="0.25">
      <c r="A12300" t="str">
        <f>HYPERLINK("https://www.773grp.com/globalSearch/MSP430L092SPWR/page-1", "MSP430L092SPWR")</f>
        <v>MSP430L092SPWR</v>
      </c>
      <c r="B12300" s="3" t="s">
        <v>90</v>
      </c>
      <c r="C12300" s="5">
        <v>3624</v>
      </c>
      <c r="D12300" s="6">
        <v>4.2300000000000004</v>
      </c>
      <c r="E12300" t="s">
        <v>45</v>
      </c>
    </row>
    <row r="12301" spans="1:5" x14ac:dyDescent="0.25">
      <c r="A12301" t="str">
        <f>HYPERLINK("https://www.773grp.com/globalSearch/MSP430F2122IPWR/page-1", "MSP430F2122IPWR")</f>
        <v>MSP430F2122IPWR</v>
      </c>
      <c r="B12301" s="3" t="str">
        <f>HYPERLINK("https://www.773grp.com/manufacturer/texas-instruments?pageNo=557", "Texas Instruments")</f>
        <v>Texas Instruments</v>
      </c>
      <c r="C12301" s="5">
        <v>20000</v>
      </c>
      <c r="D12301" s="6">
        <v>3.94</v>
      </c>
      <c r="E12301" t="s">
        <v>45</v>
      </c>
    </row>
    <row r="12302" spans="1:5" x14ac:dyDescent="0.25">
      <c r="A12302" t="str">
        <f>HYPERLINK("https://www.773grp.com/globalSearch/MSP430F2131TRGET/page-1", "MSP430F2131TRGET")</f>
        <v>MSP430F2131TRGET</v>
      </c>
      <c r="B12302" s="3" t="str">
        <f>HYPERLINK("https://www.773grp.com/manufacturer/texas-instruments?pageNo=559", "Texas Instruments")</f>
        <v>Texas Instruments</v>
      </c>
      <c r="C12302" s="5">
        <v>4194</v>
      </c>
      <c r="D12302" s="6">
        <v>3.94</v>
      </c>
      <c r="E12302" t="s">
        <v>45</v>
      </c>
    </row>
    <row r="12303" spans="1:5" x14ac:dyDescent="0.25">
      <c r="A12303" t="str">
        <f>HYPERLINK("https://www.773grp.com/globalSearch/MSP430F412IRTDT/page-1", "MSP430F412IRTDT")</f>
        <v>MSP430F412IRTDT</v>
      </c>
      <c r="B12303" s="3" t="str">
        <f>HYPERLINK("https://www.773grp.com/manufacturer/texas-instruments?pageNo=560", "Texas Instruments")</f>
        <v>Texas Instruments</v>
      </c>
      <c r="C12303" s="5">
        <v>11063</v>
      </c>
      <c r="D12303" s="6">
        <v>3.94</v>
      </c>
      <c r="E12303" t="s">
        <v>45</v>
      </c>
    </row>
    <row r="12304" spans="1:5" x14ac:dyDescent="0.25">
      <c r="A12304" t="str">
        <f>HYPERLINK("https://www.773grp.com/globalSearch/MSP430F2012IN/page-1", "MSP430F2012IN")</f>
        <v>MSP430F2012IN</v>
      </c>
      <c r="B12304" s="3" t="s">
        <v>90</v>
      </c>
      <c r="C12304" s="5">
        <v>4220</v>
      </c>
      <c r="D12304" s="6">
        <v>4.49</v>
      </c>
      <c r="E12304" t="s">
        <v>45</v>
      </c>
    </row>
    <row r="12305" spans="1:5" x14ac:dyDescent="0.25">
      <c r="A12305" t="str">
        <f>HYPERLINK("https://www.773grp.com/globalSearch/MSP430F2122IRHBT/page-1", "MSP430F2122IRHBT")</f>
        <v>MSP430F2122IRHBT</v>
      </c>
      <c r="B12305" s="3" t="s">
        <v>90</v>
      </c>
      <c r="C12305" s="5">
        <v>750</v>
      </c>
      <c r="D12305" s="6">
        <v>4.09</v>
      </c>
      <c r="E12305" t="s">
        <v>45</v>
      </c>
    </row>
    <row r="12306" spans="1:5" x14ac:dyDescent="0.25">
      <c r="A12306" t="str">
        <f>HYPERLINK("https://www.773grp.com/globalSearch/MSP430F413IRTDT/page-1", "MSP430F413IRTDT")</f>
        <v>MSP430F413IRTDT</v>
      </c>
      <c r="B12306" s="3" t="s">
        <v>90</v>
      </c>
      <c r="C12306" s="5">
        <v>2000</v>
      </c>
      <c r="D12306" s="6">
        <v>4.09</v>
      </c>
      <c r="E12306" t="s">
        <v>45</v>
      </c>
    </row>
    <row r="12307" spans="1:5" x14ac:dyDescent="0.25">
      <c r="A12307" t="str">
        <f>HYPERLINK("https://www.773grp.com/globalSearch/MSP430F5500IRGZR/page-1", "MSP430F5500IRGZR")</f>
        <v>MSP430F5500IRGZR</v>
      </c>
      <c r="B12307" s="3" t="s">
        <v>90</v>
      </c>
      <c r="C12307" s="5">
        <v>6000</v>
      </c>
      <c r="D12307" s="6">
        <v>4.09</v>
      </c>
      <c r="E12307" t="s">
        <v>45</v>
      </c>
    </row>
    <row r="12308" spans="1:5" x14ac:dyDescent="0.25">
      <c r="A12308" t="str">
        <f>HYPERLINK("https://www.773grp.com/globalSearch/MSP430F2132IPWR/page-1", "MSP430F2132IPWR")</f>
        <v>MSP430F2132IPWR</v>
      </c>
      <c r="B12308" s="3" t="s">
        <v>90</v>
      </c>
      <c r="C12308" s="5">
        <v>20314</v>
      </c>
      <c r="D12308" s="6">
        <v>4.2300000000000004</v>
      </c>
      <c r="E12308" t="s">
        <v>45</v>
      </c>
    </row>
    <row r="12309" spans="1:5" x14ac:dyDescent="0.25">
      <c r="A12309" t="str">
        <f>HYPERLINK("https://www.773grp.com/globalSearch/MSP430F4132IPM/page-1", "MSP430F4132IPM")</f>
        <v>MSP430F4132IPM</v>
      </c>
      <c r="B12309" s="3" t="s">
        <v>90</v>
      </c>
      <c r="C12309" s="5">
        <v>800</v>
      </c>
      <c r="D12309" s="6">
        <v>4.2300000000000004</v>
      </c>
      <c r="E12309" t="s">
        <v>45</v>
      </c>
    </row>
    <row r="12310" spans="1:5" x14ac:dyDescent="0.25">
      <c r="A12310" t="str">
        <f>HYPERLINK("https://www.773grp.com/globalSearch/TSC2014IYZGT/page-1", "TSC2014IYZGT")</f>
        <v>TSC2014IYZGT</v>
      </c>
      <c r="B12310" s="3" t="s">
        <v>90</v>
      </c>
      <c r="C12310" s="5">
        <v>999</v>
      </c>
      <c r="D12310" s="6">
        <v>4.2300000000000004</v>
      </c>
      <c r="E12310" t="s">
        <v>45</v>
      </c>
    </row>
    <row r="12311" spans="1:5" x14ac:dyDescent="0.25">
      <c r="A12311" t="str">
        <f>HYPERLINK("https://www.773grp.com/globalSearch/MSP430F2012IRSAT/page-1", "MSP430F2012IRSAT")</f>
        <v>MSP430F2012IRSAT</v>
      </c>
      <c r="B12311" s="3" t="s">
        <v>90</v>
      </c>
      <c r="C12311" s="5">
        <v>1590</v>
      </c>
      <c r="D12311" s="6">
        <v>4.74</v>
      </c>
      <c r="E12311" t="s">
        <v>45</v>
      </c>
    </row>
    <row r="12312" spans="1:5" x14ac:dyDescent="0.25">
      <c r="A12312" t="str">
        <f>HYPERLINK("https://www.773grp.com/globalSearch/MSP430F2012TN/page-1", "MSP430F2012TN")</f>
        <v>MSP430F2012TN</v>
      </c>
      <c r="B12312" s="3" t="s">
        <v>90</v>
      </c>
      <c r="C12312" s="5">
        <v>3961</v>
      </c>
      <c r="D12312" s="6">
        <v>4.74</v>
      </c>
      <c r="E12312" t="s">
        <v>45</v>
      </c>
    </row>
    <row r="12313" spans="1:5" x14ac:dyDescent="0.25">
      <c r="A12313" t="str">
        <f>HYPERLINK("https://www.773grp.com/globalSearch/MSP430F2012TPWR/page-1", "MSP430F2012TPWR")</f>
        <v>MSP430F2012TPWR</v>
      </c>
      <c r="B12313" s="3" t="s">
        <v>90</v>
      </c>
      <c r="C12313" s="5">
        <v>12000</v>
      </c>
      <c r="D12313" s="6">
        <v>4.74</v>
      </c>
      <c r="E12313" t="s">
        <v>45</v>
      </c>
    </row>
    <row r="12314" spans="1:5" x14ac:dyDescent="0.25">
      <c r="A12314" t="str">
        <f>HYPERLINK("https://www.773grp.com/globalSearch/MSP430F2121IDW/page-1", "MSP430F2121IDW")</f>
        <v>MSP430F2121IDW</v>
      </c>
      <c r="B12314" s="3" t="s">
        <v>90</v>
      </c>
      <c r="C12314" s="5">
        <v>1650</v>
      </c>
      <c r="D12314" s="6">
        <v>4.74</v>
      </c>
      <c r="E12314" t="s">
        <v>45</v>
      </c>
    </row>
    <row r="12315" spans="1:5" x14ac:dyDescent="0.25">
      <c r="A12315" t="str">
        <f>HYPERLINK("https://www.773grp.com/globalSearch/MSP430F2121IPW/page-1", "MSP430F2121IPW")</f>
        <v>MSP430F2121IPW</v>
      </c>
      <c r="B12315" s="3" t="s">
        <v>90</v>
      </c>
      <c r="C12315" s="5">
        <v>73</v>
      </c>
      <c r="D12315" s="6">
        <v>4.74</v>
      </c>
      <c r="E12315" t="s">
        <v>45</v>
      </c>
    </row>
    <row r="12316" spans="1:5" x14ac:dyDescent="0.25">
      <c r="A12316" t="str">
        <f>HYPERLINK("https://www.773grp.com/globalSearch/MSP430F1121AIDGV/page-1", "MSP430F1121AIDGV")</f>
        <v>MSP430F1121AIDGV</v>
      </c>
      <c r="B12316" s="3" t="s">
        <v>90</v>
      </c>
      <c r="C12316" s="5">
        <v>13502</v>
      </c>
      <c r="D12316" s="6">
        <v>4.3899999999999997</v>
      </c>
      <c r="E12316" t="s">
        <v>45</v>
      </c>
    </row>
    <row r="12317" spans="1:5" x14ac:dyDescent="0.25">
      <c r="A12317" t="str">
        <f>HYPERLINK("https://www.773grp.com/globalSearch/MSP430F1121AIDGVR/page-1", "MSP430F1121AIDGVR")</f>
        <v>MSP430F1121AIDGVR</v>
      </c>
      <c r="B12317" s="3" t="s">
        <v>90</v>
      </c>
      <c r="C12317" s="5">
        <v>64000</v>
      </c>
      <c r="D12317" s="6">
        <v>4.3899999999999997</v>
      </c>
      <c r="E12317" t="s">
        <v>45</v>
      </c>
    </row>
    <row r="12318" spans="1:5" x14ac:dyDescent="0.25">
      <c r="A12318" t="str">
        <f>HYPERLINK("https://www.773grp.com/globalSearch/MSP430F1121AIDW/page-1", "MSP430F1121AIDW")</f>
        <v>MSP430F1121AIDW</v>
      </c>
      <c r="B12318" s="3" t="s">
        <v>90</v>
      </c>
      <c r="C12318" s="5">
        <v>4321</v>
      </c>
      <c r="D12318" s="6">
        <v>4.3899999999999997</v>
      </c>
      <c r="E12318" t="s">
        <v>45</v>
      </c>
    </row>
    <row r="12319" spans="1:5" x14ac:dyDescent="0.25">
      <c r="A12319" t="str">
        <f>HYPERLINK("https://www.773grp.com/globalSearch/MSP430F1121AIDWR/page-1", "MSP430F1121AIDWR")</f>
        <v>MSP430F1121AIDWR</v>
      </c>
      <c r="B12319" s="3" t="s">
        <v>90</v>
      </c>
      <c r="C12319" s="5">
        <v>4000</v>
      </c>
      <c r="D12319" s="6">
        <v>4.3899999999999997</v>
      </c>
      <c r="E12319" t="s">
        <v>45</v>
      </c>
    </row>
    <row r="12320" spans="1:5" x14ac:dyDescent="0.25">
      <c r="A12320" t="str">
        <f>HYPERLINK("https://www.773grp.com/globalSearch/MSP430F1121AIPW/page-1", "MSP430F1121AIPW")</f>
        <v>MSP430F1121AIPW</v>
      </c>
      <c r="B12320" s="3" t="s">
        <v>90</v>
      </c>
      <c r="C12320" s="5">
        <v>5037</v>
      </c>
      <c r="D12320" s="6">
        <v>4.3899999999999997</v>
      </c>
      <c r="E12320" t="s">
        <v>45</v>
      </c>
    </row>
    <row r="12321" spans="1:5" x14ac:dyDescent="0.25">
      <c r="A12321" t="str">
        <f>HYPERLINK("https://www.773grp.com/globalSearch/MSP430F1121AIPWR/page-1", "MSP430F1121AIPWR")</f>
        <v>MSP430F1121AIPWR</v>
      </c>
      <c r="B12321" s="3" t="s">
        <v>90</v>
      </c>
      <c r="C12321" s="5">
        <v>59153</v>
      </c>
      <c r="D12321" s="6">
        <v>4.3899999999999997</v>
      </c>
      <c r="E12321" t="s">
        <v>45</v>
      </c>
    </row>
    <row r="12322" spans="1:5" x14ac:dyDescent="0.25">
      <c r="A12322" t="str">
        <f>HYPERLINK("https://www.773grp.com/globalSearch/MSP430F1121AIRGER/page-1", "MSP430F1121AIRGER")</f>
        <v>MSP430F1121AIRGER</v>
      </c>
      <c r="B12322" s="3" t="s">
        <v>90</v>
      </c>
      <c r="C12322" s="5">
        <v>51575</v>
      </c>
      <c r="D12322" s="6">
        <v>4.3899999999999997</v>
      </c>
      <c r="E12322" t="s">
        <v>45</v>
      </c>
    </row>
    <row r="12323" spans="1:5" x14ac:dyDescent="0.25">
      <c r="A12323" t="str">
        <f>HYPERLINK("https://www.773grp.com/globalSearch/MSP430F112IDWR/page-1", "MSP430F112IDWR")</f>
        <v>MSP430F112IDWR</v>
      </c>
      <c r="B12323" s="3" t="s">
        <v>90</v>
      </c>
      <c r="C12323" s="5">
        <v>5900</v>
      </c>
      <c r="D12323" s="6">
        <v>4.3899999999999997</v>
      </c>
      <c r="E12323" t="s">
        <v>45</v>
      </c>
    </row>
    <row r="12324" spans="1:5" x14ac:dyDescent="0.25">
      <c r="A12324" t="str">
        <f>HYPERLINK("https://www.773grp.com/globalSearch/MSP430F2330IRHAR/page-1", "MSP430F2330IRHAR")</f>
        <v>MSP430F2330IRHAR</v>
      </c>
      <c r="B12324" s="3" t="str">
        <f>HYPERLINK("https://www.773grp.com/manufacturer/texas-instruments?pageNo=312", "Texas Instruments")</f>
        <v>Texas Instruments</v>
      </c>
      <c r="C12324" s="5">
        <v>2214</v>
      </c>
      <c r="D12324" s="6">
        <v>4.5</v>
      </c>
      <c r="E12324" t="s">
        <v>45</v>
      </c>
    </row>
    <row r="12325" spans="1:5" x14ac:dyDescent="0.25">
      <c r="A12325" t="str">
        <f>HYPERLINK("https://www.773grp.com/globalSearch/MSP430F1121AIRGET/page-1", "MSP430F1121AIRGET")</f>
        <v>MSP430F1121AIRGET</v>
      </c>
      <c r="B12325" s="3" t="str">
        <f>HYPERLINK("https://www.773grp.com/manufacturer/texas-instruments?pageNo=427", "Texas Instruments")</f>
        <v>Texas Instruments</v>
      </c>
      <c r="C12325" s="5">
        <v>50350</v>
      </c>
      <c r="D12325" s="6">
        <v>4.53</v>
      </c>
      <c r="E12325" t="s">
        <v>45</v>
      </c>
    </row>
    <row r="12326" spans="1:5" x14ac:dyDescent="0.25">
      <c r="A12326" t="str">
        <f>HYPERLINK("https://www.773grp.com/globalSearch/MSP430F2121IRGET/page-1", "MSP430F2121IRGET")</f>
        <v>MSP430F2121IRGET</v>
      </c>
      <c r="B12326" s="3" t="str">
        <f>HYPERLINK("https://www.773grp.com/manufacturer/texas-instruments?pageNo=525", "Texas Instruments")</f>
        <v>Texas Instruments</v>
      </c>
      <c r="C12326" s="5">
        <v>1985</v>
      </c>
      <c r="D12326" s="6">
        <v>5.01</v>
      </c>
      <c r="E12326" t="s">
        <v>45</v>
      </c>
    </row>
    <row r="12327" spans="1:5" x14ac:dyDescent="0.25">
      <c r="A12327" t="str">
        <f>HYPERLINK("https://www.773grp.com/globalSearch/MSP430F2121TRGET/page-1", "MSP430F2121TRGET")</f>
        <v>MSP430F2121TRGET</v>
      </c>
      <c r="B12327" s="3" t="str">
        <f>HYPERLINK("https://www.773grp.com/manufacturer/texas-instruments?pageNo=526", "Texas Instruments")</f>
        <v>Texas Instruments</v>
      </c>
      <c r="C12327" s="5">
        <v>250</v>
      </c>
      <c r="D12327" s="6">
        <v>5.01</v>
      </c>
      <c r="E12327" t="s">
        <v>45</v>
      </c>
    </row>
    <row r="12328" spans="1:5" x14ac:dyDescent="0.25">
      <c r="A12328" t="str">
        <f>HYPERLINK("https://www.773grp.com/globalSearch/MSP430F4132IRGZT/page-1", "MSP430F4132IRGZT")</f>
        <v>MSP430F4132IRGZT</v>
      </c>
      <c r="B12328" s="3" t="s">
        <v>90</v>
      </c>
      <c r="C12328" s="5">
        <v>3150</v>
      </c>
      <c r="D12328" s="6">
        <v>4.6399999999999997</v>
      </c>
      <c r="E12328" t="s">
        <v>45</v>
      </c>
    </row>
    <row r="12329" spans="1:5" x14ac:dyDescent="0.25">
      <c r="A12329" t="str">
        <f>HYPERLINK("https://www.773grp.com/globalSearch/MSP430F415IRTDT/page-1", "MSP430F415IRTDT")</f>
        <v>MSP430F415IRTDT</v>
      </c>
      <c r="B12329" s="3" t="s">
        <v>90</v>
      </c>
      <c r="C12329" s="5">
        <v>918</v>
      </c>
      <c r="D12329" s="6">
        <v>4.6399999999999997</v>
      </c>
      <c r="E12329" t="s">
        <v>45</v>
      </c>
    </row>
    <row r="12330" spans="1:5" x14ac:dyDescent="0.25">
      <c r="A12330" t="str">
        <f>HYPERLINK("https://www.773grp.com/globalSearch/MSP430F1122IPWR/page-1", "MSP430F1122IPWR")</f>
        <v>MSP430F1122IPWR</v>
      </c>
      <c r="B12330" s="3" t="s">
        <v>90</v>
      </c>
      <c r="C12330" s="5">
        <v>27000</v>
      </c>
      <c r="D12330" s="6">
        <v>4.6900000000000004</v>
      </c>
      <c r="E12330" t="s">
        <v>45</v>
      </c>
    </row>
    <row r="12331" spans="1:5" x14ac:dyDescent="0.25">
      <c r="A12331" t="str">
        <f>HYPERLINK("https://www.773grp.com/globalSearch/MSP430F1122IRHBR/page-1", "MSP430F1122IRHBR")</f>
        <v>MSP430F1122IRHBR</v>
      </c>
      <c r="B12331" s="3" t="s">
        <v>90</v>
      </c>
      <c r="C12331" s="5">
        <v>9000</v>
      </c>
      <c r="D12331" s="6">
        <v>4.6900000000000004</v>
      </c>
      <c r="E12331" t="s">
        <v>45</v>
      </c>
    </row>
    <row r="12332" spans="1:5" x14ac:dyDescent="0.25">
      <c r="A12332" t="str">
        <f>HYPERLINK("https://www.773grp.com/globalSearch/MSP430F122IDWR/page-1", "MSP430F122IDWR")</f>
        <v>MSP430F122IDWR</v>
      </c>
      <c r="B12332" s="3" t="s">
        <v>90</v>
      </c>
      <c r="C12332" s="5">
        <v>1000</v>
      </c>
      <c r="D12332" s="6">
        <v>4.6900000000000004</v>
      </c>
      <c r="E12332" t="s">
        <v>45</v>
      </c>
    </row>
    <row r="12333" spans="1:5" x14ac:dyDescent="0.25">
      <c r="A12333" t="str">
        <f>HYPERLINK("https://www.773grp.com/globalSearch/MSP430F122IPWR/page-1", "MSP430F122IPWR")</f>
        <v>MSP430F122IPWR</v>
      </c>
      <c r="B12333" s="3" t="s">
        <v>90</v>
      </c>
      <c r="C12333" s="5">
        <v>12000</v>
      </c>
      <c r="D12333" s="6">
        <v>4.6900000000000004</v>
      </c>
      <c r="E12333" t="s">
        <v>45</v>
      </c>
    </row>
    <row r="12334" spans="1:5" x14ac:dyDescent="0.25">
      <c r="A12334" t="str">
        <f>HYPERLINK("https://www.773grp.com/globalSearch/MSP430F122IRHBR/page-1", "MSP430F122IRHBR")</f>
        <v>MSP430F122IRHBR</v>
      </c>
      <c r="B12334" s="3" t="s">
        <v>90</v>
      </c>
      <c r="C12334" s="5">
        <v>60000</v>
      </c>
      <c r="D12334" s="6">
        <v>4.6900000000000004</v>
      </c>
      <c r="E12334" t="s">
        <v>45</v>
      </c>
    </row>
    <row r="12335" spans="1:5" x14ac:dyDescent="0.25">
      <c r="A12335" t="str">
        <f>HYPERLINK("https://www.773grp.com/globalSearch/MSP430F2003IN/page-1", "MSP430F2003IN")</f>
        <v>MSP430F2003IN</v>
      </c>
      <c r="B12335" s="3" t="s">
        <v>90</v>
      </c>
      <c r="C12335" s="5">
        <v>5369</v>
      </c>
      <c r="D12335" s="6">
        <v>5.21</v>
      </c>
      <c r="E12335" t="s">
        <v>45</v>
      </c>
    </row>
    <row r="12336" spans="1:5" x14ac:dyDescent="0.25">
      <c r="A12336" t="str">
        <f>HYPERLINK("https://www.773grp.com/globalSearch/MSP430F2003IPW/page-1", "MSP430F2003IPW")</f>
        <v>MSP430F2003IPW</v>
      </c>
      <c r="B12336" s="3" t="s">
        <v>90</v>
      </c>
      <c r="C12336" s="5">
        <v>2695</v>
      </c>
      <c r="D12336" s="6">
        <v>5.21</v>
      </c>
      <c r="E12336" t="s">
        <v>45</v>
      </c>
    </row>
    <row r="12337" spans="1:5" x14ac:dyDescent="0.25">
      <c r="A12337" t="str">
        <f>HYPERLINK("https://www.773grp.com/globalSearch/MSP430F2003IPWR/page-1", "MSP430F2003IPWR")</f>
        <v>MSP430F2003IPWR</v>
      </c>
      <c r="B12337" s="3" t="s">
        <v>90</v>
      </c>
      <c r="C12337" s="5">
        <v>22000</v>
      </c>
      <c r="D12337" s="6">
        <v>5.21</v>
      </c>
      <c r="E12337" t="s">
        <v>45</v>
      </c>
    </row>
    <row r="12338" spans="1:5" x14ac:dyDescent="0.25">
      <c r="A12338" t="str">
        <f>HYPERLINK("https://www.773grp.com/globalSearch/MSP430F2121TDGV/page-1", "MSP430F2121TDGV")</f>
        <v>MSP430F2121TDGV</v>
      </c>
      <c r="B12338" s="3" t="s">
        <v>90</v>
      </c>
      <c r="C12338" s="5">
        <v>3030</v>
      </c>
      <c r="D12338" s="6">
        <v>5.21</v>
      </c>
      <c r="E12338" t="s">
        <v>45</v>
      </c>
    </row>
    <row r="12339" spans="1:5" x14ac:dyDescent="0.25">
      <c r="A12339" t="str">
        <f>HYPERLINK("https://www.773grp.com/globalSearch/MSP430F2121TDGVR/page-1", "MSP430F2121TDGVR")</f>
        <v>MSP430F2121TDGVR</v>
      </c>
      <c r="B12339" s="3" t="s">
        <v>90</v>
      </c>
      <c r="C12339" s="5">
        <v>2000</v>
      </c>
      <c r="D12339" s="6">
        <v>5.21</v>
      </c>
      <c r="E12339" t="s">
        <v>45</v>
      </c>
    </row>
    <row r="12340" spans="1:5" x14ac:dyDescent="0.25">
      <c r="A12340" t="str">
        <f>HYPERLINK("https://www.773grp.com/globalSearch/MSP430F2121TDW/page-1", "MSP430F2121TDW")</f>
        <v>MSP430F2121TDW</v>
      </c>
      <c r="B12340" s="3" t="s">
        <v>90</v>
      </c>
      <c r="C12340" s="5">
        <v>1550</v>
      </c>
      <c r="D12340" s="6">
        <v>5.21</v>
      </c>
      <c r="E12340" t="s">
        <v>45</v>
      </c>
    </row>
    <row r="12341" spans="1:5" x14ac:dyDescent="0.25">
      <c r="A12341" t="str">
        <f>HYPERLINK("https://www.773grp.com/globalSearch/MSP430F2121TDWR/page-1", "MSP430F2121TDWR")</f>
        <v>MSP430F2121TDWR</v>
      </c>
      <c r="B12341" s="3" t="s">
        <v>90</v>
      </c>
      <c r="C12341" s="5">
        <v>6000</v>
      </c>
      <c r="D12341" s="6">
        <v>5.21</v>
      </c>
      <c r="E12341" t="s">
        <v>45</v>
      </c>
    </row>
    <row r="12342" spans="1:5" x14ac:dyDescent="0.25">
      <c r="A12342" t="str">
        <f>HYPERLINK("https://www.773grp.com/globalSearch/MSP430F2121TPW/page-1", "MSP430F2121TPW")</f>
        <v>MSP430F2121TPW</v>
      </c>
      <c r="B12342" s="3" t="s">
        <v>90</v>
      </c>
      <c r="C12342" s="5">
        <v>10</v>
      </c>
      <c r="D12342" s="6">
        <v>5.21</v>
      </c>
      <c r="E12342" t="s">
        <v>45</v>
      </c>
    </row>
    <row r="12343" spans="1:5" x14ac:dyDescent="0.25">
      <c r="A12343" t="str">
        <f>HYPERLINK("https://www.773grp.com/globalSearch/MSP430F4152IPMR/page-1", "MSP430F4152IPMR")</f>
        <v>MSP430F4152IPMR</v>
      </c>
      <c r="B12343" s="3" t="s">
        <v>90</v>
      </c>
      <c r="C12343" s="5">
        <v>5000</v>
      </c>
      <c r="D12343" s="6">
        <v>4.78</v>
      </c>
      <c r="E12343" t="s">
        <v>45</v>
      </c>
    </row>
    <row r="12344" spans="1:5" x14ac:dyDescent="0.25">
      <c r="A12344" t="str">
        <f>HYPERLINK("https://www.773grp.com/globalSearch/MSP430F112IPW/page-1", "MSP430F112IPW")</f>
        <v>MSP430F112IPW</v>
      </c>
      <c r="B12344" s="3" t="s">
        <v>90</v>
      </c>
      <c r="C12344" s="5">
        <v>18576</v>
      </c>
      <c r="D12344" s="6">
        <v>4.84</v>
      </c>
      <c r="E12344" t="s">
        <v>45</v>
      </c>
    </row>
    <row r="12345" spans="1:5" x14ac:dyDescent="0.25">
      <c r="A12345" t="str">
        <f>HYPERLINK("https://www.773grp.com/globalSearch/MSP430F1222IDWR/page-1", "MSP430F1222IDWR")</f>
        <v>MSP430F1222IDWR</v>
      </c>
      <c r="B12345" s="3" t="s">
        <v>90</v>
      </c>
      <c r="C12345" s="5">
        <v>1876</v>
      </c>
      <c r="D12345" s="6">
        <v>4.84</v>
      </c>
      <c r="E12345" t="s">
        <v>45</v>
      </c>
    </row>
    <row r="12346" spans="1:5" x14ac:dyDescent="0.25">
      <c r="A12346" t="str">
        <f>HYPERLINK("https://www.773grp.com/globalSearch/MSP430F1222IRHBR/page-1", "MSP430F1222IRHBR")</f>
        <v>MSP430F1222IRHBR</v>
      </c>
      <c r="B12346" s="3" t="s">
        <v>90</v>
      </c>
      <c r="C12346" s="5">
        <v>60000</v>
      </c>
      <c r="D12346" s="6">
        <v>4.84</v>
      </c>
      <c r="E12346" t="s">
        <v>45</v>
      </c>
    </row>
    <row r="12347" spans="1:5" x14ac:dyDescent="0.25">
      <c r="A12347" t="str">
        <f>HYPERLINK("https://www.773grp.com/globalSearch/MSP430F123IDWR/page-1", "MSP430F123IDWR")</f>
        <v>MSP430F123IDWR</v>
      </c>
      <c r="B12347" s="3" t="s">
        <v>90</v>
      </c>
      <c r="C12347" s="5">
        <v>93000</v>
      </c>
      <c r="D12347" s="6">
        <v>4.84</v>
      </c>
      <c r="E12347" t="s">
        <v>45</v>
      </c>
    </row>
    <row r="12348" spans="1:5" x14ac:dyDescent="0.25">
      <c r="A12348" t="str">
        <f>HYPERLINK("https://www.773grp.com/globalSearch/MSP430F417IPMR/page-1", "MSP430F417IPMR")</f>
        <v>MSP430F417IPMR</v>
      </c>
      <c r="B12348" s="3" t="s">
        <v>90</v>
      </c>
      <c r="C12348" s="5">
        <v>9300</v>
      </c>
      <c r="D12348" s="6">
        <v>4.93</v>
      </c>
      <c r="E12348" t="s">
        <v>45</v>
      </c>
    </row>
    <row r="12349" spans="1:5" x14ac:dyDescent="0.25">
      <c r="A12349" t="str">
        <f>HYPERLINK("https://www.773grp.com/globalSearch/MSP430F112AIPW/page-1", "MSP430F112AIPW")</f>
        <v>MSP430F112AIPW</v>
      </c>
      <c r="B12349" s="3" t="s">
        <v>90</v>
      </c>
      <c r="C12349" s="5">
        <v>1182</v>
      </c>
      <c r="D12349" s="6">
        <v>4.95</v>
      </c>
      <c r="E12349" t="s">
        <v>45</v>
      </c>
    </row>
    <row r="12350" spans="1:5" x14ac:dyDescent="0.25">
      <c r="A12350" t="str">
        <f>HYPERLINK("https://www.773grp.com/globalSearch/MSP430F1132IPWR/page-1", "MSP430F1132IPWR")</f>
        <v>MSP430F1132IPWR</v>
      </c>
      <c r="B12350" s="3" t="s">
        <v>90</v>
      </c>
      <c r="C12350" s="5">
        <v>83000</v>
      </c>
      <c r="D12350" s="6">
        <v>5.01</v>
      </c>
      <c r="E12350" t="s">
        <v>45</v>
      </c>
    </row>
    <row r="12351" spans="1:5" x14ac:dyDescent="0.25">
      <c r="A12351" t="str">
        <f>HYPERLINK("https://www.773grp.com/globalSearch/MSP430F1232IDWR/page-1", "MSP430F1232IDWR")</f>
        <v>MSP430F1232IDWR</v>
      </c>
      <c r="B12351" s="3" t="s">
        <v>90</v>
      </c>
      <c r="C12351" s="5">
        <v>6995</v>
      </c>
      <c r="D12351" s="6">
        <v>5.15</v>
      </c>
      <c r="E12351" t="s">
        <v>45</v>
      </c>
    </row>
    <row r="12352" spans="1:5" x14ac:dyDescent="0.25">
      <c r="A12352" t="str">
        <f>HYPERLINK("https://www.773grp.com/globalSearch/MSP430F1232IPWR/page-1", "MSP430F1232IPWR")</f>
        <v>MSP430F1232IPWR</v>
      </c>
      <c r="B12352" s="3" t="s">
        <v>90</v>
      </c>
      <c r="C12352" s="5">
        <v>20000</v>
      </c>
      <c r="D12352" s="6">
        <v>5.15</v>
      </c>
      <c r="E12352" t="s">
        <v>45</v>
      </c>
    </row>
    <row r="12353" spans="1:5" x14ac:dyDescent="0.25">
      <c r="A12353" t="str">
        <f>HYPERLINK("https://www.773grp.com/globalSearch/MSP430F1232IRHBR/page-1", "MSP430F1232IRHBR")</f>
        <v>MSP430F1232IRHBR</v>
      </c>
      <c r="B12353" s="3" t="s">
        <v>90</v>
      </c>
      <c r="C12353" s="5">
        <v>6995</v>
      </c>
      <c r="D12353" s="6">
        <v>5.15</v>
      </c>
      <c r="E12353" t="s">
        <v>45</v>
      </c>
    </row>
    <row r="12354" spans="1:5" x14ac:dyDescent="0.25">
      <c r="A12354" t="str">
        <f>HYPERLINK("https://www.773grp.com/globalSearch/MSP430F1121IDW/page-1", "MSP430F1121IDW")</f>
        <v>MSP430F1121IDW</v>
      </c>
      <c r="B12354" s="3" t="s">
        <v>90</v>
      </c>
      <c r="C12354" s="5">
        <v>7658</v>
      </c>
      <c r="D12354" s="6">
        <v>5.18</v>
      </c>
      <c r="E12354" t="s">
        <v>45</v>
      </c>
    </row>
    <row r="12355" spans="1:5" x14ac:dyDescent="0.25">
      <c r="A12355" t="str">
        <f>HYPERLINK("https://www.773grp.com/globalSearch/MSP430F1121IDWR/page-1", "MSP430F1121IDWR")</f>
        <v>MSP430F1121IDWR</v>
      </c>
      <c r="B12355" s="3" t="s">
        <v>90</v>
      </c>
      <c r="C12355" s="5">
        <v>66000</v>
      </c>
      <c r="D12355" s="6">
        <v>5.18</v>
      </c>
      <c r="E12355" t="s">
        <v>45</v>
      </c>
    </row>
    <row r="12356" spans="1:5" x14ac:dyDescent="0.25">
      <c r="A12356" t="str">
        <f>HYPERLINK("https://www.773grp.com/globalSearch/MSP430F1121IPW/page-1", "MSP430F1121IPW")</f>
        <v>MSP430F1121IPW</v>
      </c>
      <c r="B12356" s="3" t="s">
        <v>90</v>
      </c>
      <c r="C12356" s="5">
        <v>4116</v>
      </c>
      <c r="D12356" s="6">
        <v>5.18</v>
      </c>
      <c r="E12356" t="s">
        <v>45</v>
      </c>
    </row>
    <row r="12357" spans="1:5" x14ac:dyDescent="0.25">
      <c r="A12357" t="str">
        <f>HYPERLINK("https://www.773grp.com/globalSearch/MSP430F1121IPWR/page-1", "MSP430F1121IPWR")</f>
        <v>MSP430F1121IPWR</v>
      </c>
      <c r="B12357" s="3" t="s">
        <v>90</v>
      </c>
      <c r="C12357" s="5">
        <v>8000</v>
      </c>
      <c r="D12357" s="6">
        <v>5.18</v>
      </c>
      <c r="E12357" t="s">
        <v>45</v>
      </c>
    </row>
    <row r="12358" spans="1:5" x14ac:dyDescent="0.25">
      <c r="A12358" t="str">
        <f>HYPERLINK("https://www.773grp.com/globalSearch/MSP430F1122IDW/page-1", "MSP430F1122IDW")</f>
        <v>MSP430F1122IDW</v>
      </c>
      <c r="B12358" s="3" t="s">
        <v>90</v>
      </c>
      <c r="C12358" s="5">
        <v>638</v>
      </c>
      <c r="D12358" s="6">
        <v>5.18</v>
      </c>
      <c r="E12358" t="s">
        <v>45</v>
      </c>
    </row>
    <row r="12359" spans="1:5" x14ac:dyDescent="0.25">
      <c r="A12359" t="str">
        <f>HYPERLINK("https://www.773grp.com/globalSearch/MSP430F1122IPW/page-1", "MSP430F1122IPW")</f>
        <v>MSP430F1122IPW</v>
      </c>
      <c r="B12359" s="3" t="s">
        <v>90</v>
      </c>
      <c r="C12359" s="5">
        <v>5390</v>
      </c>
      <c r="D12359" s="6">
        <v>5.18</v>
      </c>
      <c r="E12359" t="s">
        <v>45</v>
      </c>
    </row>
    <row r="12360" spans="1:5" x14ac:dyDescent="0.25">
      <c r="A12360" t="str">
        <f>HYPERLINK("https://www.773grp.com/globalSearch/MSP430F1122IRHBT/page-1", "MSP430F1122IRHBT")</f>
        <v>MSP430F1122IRHBT</v>
      </c>
      <c r="B12360" s="3" t="s">
        <v>90</v>
      </c>
      <c r="C12360" s="5">
        <v>19830</v>
      </c>
      <c r="D12360" s="6">
        <v>5.18</v>
      </c>
      <c r="E12360" t="s">
        <v>45</v>
      </c>
    </row>
    <row r="12361" spans="1:5" x14ac:dyDescent="0.25">
      <c r="A12361" t="str">
        <f>HYPERLINK("https://www.773grp.com/globalSearch/MSP430F122IDW/page-1", "MSP430F122IDW")</f>
        <v>MSP430F122IDW</v>
      </c>
      <c r="B12361" s="3" t="s">
        <v>90</v>
      </c>
      <c r="C12361" s="5">
        <v>6834</v>
      </c>
      <c r="D12361" s="6">
        <v>5.18</v>
      </c>
      <c r="E12361" t="s">
        <v>45</v>
      </c>
    </row>
    <row r="12362" spans="1:5" x14ac:dyDescent="0.25">
      <c r="A12362" t="str">
        <f>HYPERLINK("https://www.773grp.com/globalSearch/MSP430F122IPW/page-1", "MSP430F122IPW")</f>
        <v>MSP430F122IPW</v>
      </c>
      <c r="B12362" s="3" t="s">
        <v>90</v>
      </c>
      <c r="C12362" s="5">
        <v>925</v>
      </c>
      <c r="D12362" s="6">
        <v>5.18</v>
      </c>
      <c r="E12362" t="s">
        <v>45</v>
      </c>
    </row>
    <row r="12363" spans="1:5" x14ac:dyDescent="0.25">
      <c r="A12363" t="str">
        <f>HYPERLINK("https://www.773grp.com/globalSearch/MSP430F122IRHBT/page-1", "MSP430F122IRHBT")</f>
        <v>MSP430F122IRHBT</v>
      </c>
      <c r="B12363" s="3" t="s">
        <v>90</v>
      </c>
      <c r="C12363" s="5">
        <v>13694</v>
      </c>
      <c r="D12363" s="6">
        <v>5.18</v>
      </c>
      <c r="E12363" t="s">
        <v>45</v>
      </c>
    </row>
    <row r="12364" spans="1:5" x14ac:dyDescent="0.25">
      <c r="A12364" t="str">
        <f>HYPERLINK("https://www.773grp.com/globalSearch/MSP430F2232TDA/page-1", "MSP430F2232TDA")</f>
        <v>MSP430F2232TDA</v>
      </c>
      <c r="B12364" s="3" t="s">
        <v>90</v>
      </c>
      <c r="C12364" s="5">
        <v>59</v>
      </c>
      <c r="D12364" s="6">
        <v>5.2</v>
      </c>
      <c r="E12364" t="s">
        <v>45</v>
      </c>
    </row>
    <row r="12365" spans="1:5" x14ac:dyDescent="0.25">
      <c r="A12365" t="str">
        <f>HYPERLINK("https://www.773grp.com/globalSearch/MSP430F2234IDA/page-1", "MSP430F2234IDA")</f>
        <v>MSP430F2234IDA</v>
      </c>
      <c r="B12365" s="3" t="s">
        <v>90</v>
      </c>
      <c r="C12365" s="5">
        <v>680</v>
      </c>
      <c r="D12365" s="6">
        <v>5.2</v>
      </c>
      <c r="E12365" t="s">
        <v>45</v>
      </c>
    </row>
    <row r="12366" spans="1:5" x14ac:dyDescent="0.25">
      <c r="A12366" t="str">
        <f>HYPERLINK("https://www.773grp.com/globalSearch/MSP430F1222IDW/page-1", "MSP430F1222IDW")</f>
        <v>MSP430F1222IDW</v>
      </c>
      <c r="B12366" s="3" t="s">
        <v>90</v>
      </c>
      <c r="C12366" s="5">
        <v>9</v>
      </c>
      <c r="D12366" s="6">
        <v>5.31</v>
      </c>
      <c r="E12366" t="s">
        <v>45</v>
      </c>
    </row>
    <row r="12367" spans="1:5" x14ac:dyDescent="0.25">
      <c r="A12367" t="str">
        <f>HYPERLINK("https://www.773grp.com/globalSearch/MSP430F1222IRHBT/page-1", "MSP430F1222IRHBT")</f>
        <v>MSP430F1222IRHBT</v>
      </c>
      <c r="B12367" s="3" t="s">
        <v>90</v>
      </c>
      <c r="C12367" s="5">
        <v>2787</v>
      </c>
      <c r="D12367" s="6">
        <v>5.31</v>
      </c>
      <c r="E12367" t="s">
        <v>45</v>
      </c>
    </row>
    <row r="12368" spans="1:5" x14ac:dyDescent="0.25">
      <c r="A12368" t="str">
        <f>HYPERLINK("https://www.773grp.com/globalSearch/MSP430F123IDW/page-1", "MSP430F123IDW")</f>
        <v>MSP430F123IDW</v>
      </c>
      <c r="B12368" s="3" t="s">
        <v>90</v>
      </c>
      <c r="C12368" s="5">
        <v>849</v>
      </c>
      <c r="D12368" s="6">
        <v>5.31</v>
      </c>
      <c r="E12368" t="s">
        <v>45</v>
      </c>
    </row>
    <row r="12369" spans="1:5" x14ac:dyDescent="0.25">
      <c r="A12369" t="str">
        <f>HYPERLINK("https://www.773grp.com/globalSearch/MSP430F123IDW/page-1", "MSP430F123IDW")</f>
        <v>MSP430F123IDW</v>
      </c>
      <c r="B12369" s="3" t="s">
        <v>90</v>
      </c>
      <c r="C12369" s="5">
        <v>1423</v>
      </c>
      <c r="D12369" s="6">
        <v>5.31</v>
      </c>
      <c r="E12369" t="s">
        <v>45</v>
      </c>
    </row>
    <row r="12370" spans="1:5" x14ac:dyDescent="0.25">
      <c r="A12370" t="str">
        <f>HYPERLINK("https://www.773grp.com/globalSearch/MSP430F123IRHBT/page-1", "MSP430F123IRHBT")</f>
        <v>MSP430F123IRHBT</v>
      </c>
      <c r="B12370" s="3" t="s">
        <v>90</v>
      </c>
      <c r="C12370" s="5">
        <v>1825</v>
      </c>
      <c r="D12370" s="6">
        <v>5.31</v>
      </c>
      <c r="E12370" t="s">
        <v>45</v>
      </c>
    </row>
    <row r="12371" spans="1:5" x14ac:dyDescent="0.25">
      <c r="A12371" t="str">
        <f>HYPERLINK("https://www.773grp.com/globalSearch/MSP430F2232TRHAT/page-1", "MSP430F2232TRHAT")</f>
        <v>MSP430F2232TRHAT</v>
      </c>
      <c r="B12371" s="3" t="s">
        <v>90</v>
      </c>
      <c r="C12371" s="5">
        <v>420</v>
      </c>
      <c r="D12371" s="6">
        <v>5.35</v>
      </c>
      <c r="E12371" t="s">
        <v>45</v>
      </c>
    </row>
    <row r="12372" spans="1:5" x14ac:dyDescent="0.25">
      <c r="A12372" t="str">
        <f>HYPERLINK("https://www.773grp.com/globalSearch/MSP430F2252IDA/page-1", "MSP430F2252IDA")</f>
        <v>MSP430F2252IDA</v>
      </c>
      <c r="B12372" s="3" t="s">
        <v>90</v>
      </c>
      <c r="C12372" s="5">
        <v>86</v>
      </c>
      <c r="D12372" s="6">
        <v>5.49</v>
      </c>
      <c r="E12372" t="s">
        <v>45</v>
      </c>
    </row>
    <row r="12373" spans="1:5" x14ac:dyDescent="0.25">
      <c r="A12373" t="str">
        <f>HYPERLINK("https://www.773grp.com/globalSearch/MSP430F2370IYFFR/page-1", "MSP430F2370IYFFR")</f>
        <v>MSP430F2370IYFFR</v>
      </c>
      <c r="B12373" s="3" t="s">
        <v>90</v>
      </c>
      <c r="C12373" s="5">
        <v>1414</v>
      </c>
      <c r="D12373" s="6">
        <v>5.49</v>
      </c>
      <c r="E12373" t="s">
        <v>45</v>
      </c>
    </row>
    <row r="12374" spans="1:5" x14ac:dyDescent="0.25">
      <c r="A12374" t="str">
        <f>HYPERLINK("https://www.773grp.com/globalSearch/MSP430F1132IDW/page-1", "MSP430F1132IDW")</f>
        <v>MSP430F1132IDW</v>
      </c>
      <c r="B12374" s="3" t="s">
        <v>90</v>
      </c>
      <c r="C12374" s="5">
        <v>3</v>
      </c>
      <c r="D12374" s="6">
        <v>5.51</v>
      </c>
      <c r="E12374" t="s">
        <v>45</v>
      </c>
    </row>
    <row r="12375" spans="1:5" x14ac:dyDescent="0.25">
      <c r="A12375" t="str">
        <f>HYPERLINK("https://www.773grp.com/globalSearch/MSP430F1132IPW/page-1", "MSP430F1132IPW")</f>
        <v>MSP430F1132IPW</v>
      </c>
      <c r="B12375" s="3" t="s">
        <v>90</v>
      </c>
      <c r="C12375" s="5">
        <v>653</v>
      </c>
      <c r="D12375" s="6">
        <v>5.51</v>
      </c>
      <c r="E12375" t="s">
        <v>45</v>
      </c>
    </row>
    <row r="12376" spans="1:5" x14ac:dyDescent="0.25">
      <c r="A12376" t="str">
        <f>HYPERLINK("https://www.773grp.com/globalSearch/MSP430F1132IRHBT/page-1", "MSP430F1132IRHBT")</f>
        <v>MSP430F1132IRHBT</v>
      </c>
      <c r="B12376" s="3" t="s">
        <v>90</v>
      </c>
      <c r="C12376" s="5">
        <v>8113</v>
      </c>
      <c r="D12376" s="6">
        <v>5.51</v>
      </c>
      <c r="E12376" t="s">
        <v>45</v>
      </c>
    </row>
    <row r="12377" spans="1:5" x14ac:dyDescent="0.25">
      <c r="A12377" t="str">
        <f>HYPERLINK("https://www.773grp.com/globalSearch/MSP430F2252IRHAT/page-1", "MSP430F2252IRHAT")</f>
        <v>MSP430F2252IRHAT</v>
      </c>
      <c r="B12377" s="3" t="s">
        <v>90</v>
      </c>
      <c r="C12377" s="5">
        <v>1390</v>
      </c>
      <c r="D12377" s="6">
        <v>5.63</v>
      </c>
      <c r="E12377" t="s">
        <v>45</v>
      </c>
    </row>
    <row r="12378" spans="1:5" x14ac:dyDescent="0.25">
      <c r="A12378" t="str">
        <f>HYPERLINK("https://www.773grp.com/globalSearch/MSP430F2350IRHAT/page-1", "MSP430F2350IRHAT")</f>
        <v>MSP430F2350IRHAT</v>
      </c>
      <c r="B12378" s="3" t="s">
        <v>90</v>
      </c>
      <c r="C12378" s="5">
        <v>2500</v>
      </c>
      <c r="D12378" s="6">
        <v>5.63</v>
      </c>
      <c r="E12378" t="s">
        <v>45</v>
      </c>
    </row>
    <row r="12379" spans="1:5" x14ac:dyDescent="0.25">
      <c r="A12379" t="str">
        <f>HYPERLINK("https://www.773grp.com/globalSearch/MSP430F2350TRHAR/page-1", "MSP430F2350TRHAR")</f>
        <v>MSP430F2350TRHAR</v>
      </c>
      <c r="B12379" s="3" t="s">
        <v>90</v>
      </c>
      <c r="C12379" s="5">
        <v>7500</v>
      </c>
      <c r="D12379" s="6">
        <v>5.63</v>
      </c>
      <c r="E12379" t="s">
        <v>45</v>
      </c>
    </row>
    <row r="12380" spans="1:5" x14ac:dyDescent="0.25">
      <c r="A12380" t="str">
        <f>HYPERLINK("https://www.773grp.com/globalSearch/TMS320F280200DAT/page-1", "TMS320F280200DAT")</f>
        <v>TMS320F280200DAT</v>
      </c>
      <c r="B12380" s="3" t="s">
        <v>90</v>
      </c>
      <c r="C12380" s="5">
        <v>578</v>
      </c>
      <c r="D12380" s="6">
        <v>5.63</v>
      </c>
      <c r="E12380" t="s">
        <v>45</v>
      </c>
    </row>
    <row r="12381" spans="1:5" x14ac:dyDescent="0.25">
      <c r="A12381" t="str">
        <f>HYPERLINK("https://www.773grp.com/globalSearch/MSP430F1232IDW/page-1", "MSP430F1232IDW")</f>
        <v>MSP430F1232IDW</v>
      </c>
      <c r="B12381" s="3" t="s">
        <v>90</v>
      </c>
      <c r="C12381" s="5">
        <v>882</v>
      </c>
      <c r="D12381" s="6">
        <v>5.65</v>
      </c>
      <c r="E12381" t="s">
        <v>45</v>
      </c>
    </row>
    <row r="12382" spans="1:5" x14ac:dyDescent="0.25">
      <c r="A12382" t="str">
        <f>HYPERLINK("https://www.773grp.com/globalSearch/MSP430F1232IPW/page-1", "MSP430F1232IPW")</f>
        <v>MSP430F1232IPW</v>
      </c>
      <c r="B12382" s="3" t="s">
        <v>90</v>
      </c>
      <c r="C12382" s="5">
        <v>1404</v>
      </c>
      <c r="D12382" s="6">
        <v>5.65</v>
      </c>
      <c r="E12382" t="s">
        <v>45</v>
      </c>
    </row>
    <row r="12383" spans="1:5" x14ac:dyDescent="0.25">
      <c r="A12383" t="str">
        <f>HYPERLINK("https://www.773grp.com/globalSearch/MSP430F1232IRHBT/page-1", "MSP430F1232IRHBT")</f>
        <v>MSP430F1232IRHBT</v>
      </c>
      <c r="B12383" s="3" t="s">
        <v>90</v>
      </c>
      <c r="C12383" s="5">
        <v>3600</v>
      </c>
      <c r="D12383" s="6">
        <v>5.65</v>
      </c>
      <c r="E12383" t="s">
        <v>45</v>
      </c>
    </row>
    <row r="12384" spans="1:5" x14ac:dyDescent="0.25">
      <c r="A12384" t="str">
        <f>HYPERLINK("https://www.773grp.com/globalSearch/MSP430F423AIPM/page-1", "MSP430F423AIPM")</f>
        <v>MSP430F423AIPM</v>
      </c>
      <c r="B12384" s="3" t="s">
        <v>90</v>
      </c>
      <c r="C12384" s="5">
        <v>134</v>
      </c>
      <c r="D12384" s="6">
        <v>5.78</v>
      </c>
      <c r="E12384" t="s">
        <v>45</v>
      </c>
    </row>
    <row r="12385" spans="1:5" x14ac:dyDescent="0.25">
      <c r="A12385" t="str">
        <f>HYPERLINK("https://www.773grp.com/globalSearch/MSP430F112IDW/page-1", "MSP430F112IDW")</f>
        <v>MSP430F112IDW</v>
      </c>
      <c r="B12385" s="3" t="s">
        <v>90</v>
      </c>
      <c r="C12385" s="5">
        <v>9865</v>
      </c>
      <c r="D12385" s="6">
        <v>5.91</v>
      </c>
      <c r="E12385" t="s">
        <v>45</v>
      </c>
    </row>
    <row r="12386" spans="1:5" x14ac:dyDescent="0.25">
      <c r="A12386" t="str">
        <f>HYPERLINK("https://www.773grp.com/globalSearch/MSP430F2252TDA/page-1", "MSP430F2252TDA")</f>
        <v>MSP430F2252TDA</v>
      </c>
      <c r="B12386" s="3" t="s">
        <v>90</v>
      </c>
      <c r="C12386" s="5">
        <v>34</v>
      </c>
      <c r="D12386" s="6">
        <v>6.04</v>
      </c>
      <c r="E12386" t="s">
        <v>45</v>
      </c>
    </row>
    <row r="12387" spans="1:5" x14ac:dyDescent="0.25">
      <c r="A12387" t="str">
        <f>HYPERLINK("https://www.773grp.com/globalSearch/MSP430F2254IDA/page-1", "MSP430F2254IDA")</f>
        <v>MSP430F2254IDA</v>
      </c>
      <c r="B12387" s="3" t="s">
        <v>90</v>
      </c>
      <c r="C12387" s="5">
        <v>134</v>
      </c>
      <c r="D12387" s="6">
        <v>6.04</v>
      </c>
      <c r="E12387" t="s">
        <v>45</v>
      </c>
    </row>
    <row r="12388" spans="1:5" x14ac:dyDescent="0.25">
      <c r="A12388" t="str">
        <f>HYPERLINK("https://www.773grp.com/globalSearch/MSP430FE4232IPMR/page-1", "MSP430FE4232IPMR")</f>
        <v>MSP430FE4232IPMR</v>
      </c>
      <c r="B12388" s="3" t="s">
        <v>90</v>
      </c>
      <c r="C12388" s="5">
        <v>5000</v>
      </c>
      <c r="D12388" s="6">
        <v>6.04</v>
      </c>
      <c r="E12388" t="s">
        <v>45</v>
      </c>
    </row>
    <row r="12389" spans="1:5" x14ac:dyDescent="0.25">
      <c r="A12389" t="str">
        <f>HYPERLINK("https://www.773grp.com/globalSearch/TMS320F280200DAS/page-1", "TMS320F280200DAS")</f>
        <v>TMS320F280200DAS</v>
      </c>
      <c r="B12389" s="3" t="s">
        <v>90</v>
      </c>
      <c r="C12389" s="5">
        <v>3280</v>
      </c>
      <c r="D12389" s="6">
        <v>6.04</v>
      </c>
      <c r="E12389" t="s">
        <v>45</v>
      </c>
    </row>
    <row r="12390" spans="1:5" x14ac:dyDescent="0.25">
      <c r="A12390" t="str">
        <f>HYPERLINK("https://www.773grp.com/globalSearch/MSP430F2350TRHAT/page-1", "MSP430F2350TRHAT")</f>
        <v>MSP430F2350TRHAT</v>
      </c>
      <c r="B12390" s="3" t="s">
        <v>90</v>
      </c>
      <c r="C12390" s="5">
        <v>17408</v>
      </c>
      <c r="D12390" s="6">
        <v>6.19</v>
      </c>
      <c r="E12390" t="s">
        <v>45</v>
      </c>
    </row>
    <row r="12391" spans="1:5" x14ac:dyDescent="0.25">
      <c r="A12391" t="str">
        <f>HYPERLINK("https://www.773grp.com/globalSearch/MSP430F2274IRHAR/page-1", "MSP430F2274IRHAR")</f>
        <v>MSP430F2274IRHAR</v>
      </c>
      <c r="B12391" s="3" t="s">
        <v>90</v>
      </c>
      <c r="C12391" s="5">
        <v>15000</v>
      </c>
      <c r="D12391" s="6">
        <v>6.33</v>
      </c>
      <c r="E12391" t="s">
        <v>45</v>
      </c>
    </row>
    <row r="12392" spans="1:5" x14ac:dyDescent="0.25">
      <c r="A12392" t="str">
        <f>HYPERLINK("https://www.773grp.com/globalSearch/MSP430F425AIPM/page-1", "MSP430F425AIPM")</f>
        <v>MSP430F425AIPM</v>
      </c>
      <c r="B12392" s="3" t="str">
        <f>HYPERLINK("https://www.773grp.com/manufacturer/texas-instruments?pageNo=76", "Texas Instruments")</f>
        <v>Texas Instruments</v>
      </c>
      <c r="C12392" s="5">
        <v>202</v>
      </c>
      <c r="D12392" s="6">
        <v>6.46</v>
      </c>
      <c r="E12392" t="s">
        <v>45</v>
      </c>
    </row>
    <row r="12393" spans="1:5" x14ac:dyDescent="0.25">
      <c r="A12393" t="str">
        <f>HYPERLINK("https://www.773grp.com/globalSearch/MSP430F233TRGCT/page-1", "MSP430F233TRGCT")</f>
        <v>MSP430F233TRGCT</v>
      </c>
      <c r="B12393" s="3" t="str">
        <f>HYPERLINK("https://www.773grp.com/manufacturer/texas-instruments?pageNo=282", "Texas Instruments")</f>
        <v>Texas Instruments</v>
      </c>
      <c r="C12393" s="5">
        <v>298</v>
      </c>
      <c r="D12393" s="6">
        <v>6.61</v>
      </c>
      <c r="E12393" t="s">
        <v>45</v>
      </c>
    </row>
    <row r="12394" spans="1:5" x14ac:dyDescent="0.25">
      <c r="A12394" t="str">
        <f>HYPERLINK("https://www.773grp.com/globalSearch/MSP430F2254TDA/page-1", "MSP430F2254TDA")</f>
        <v>MSP430F2254TDA</v>
      </c>
      <c r="B12394" s="3" t="str">
        <f>HYPERLINK("https://www.773grp.com/manufacturer/texas-instruments?pageNo=461", "Texas Instruments")</f>
        <v>Texas Instruments</v>
      </c>
      <c r="C12394" s="5">
        <v>1174</v>
      </c>
      <c r="D12394" s="6">
        <v>6.75</v>
      </c>
      <c r="E12394" t="s">
        <v>45</v>
      </c>
    </row>
    <row r="12395" spans="1:5" x14ac:dyDescent="0.25">
      <c r="A12395" t="str">
        <f>HYPERLINK("https://www.773grp.com/globalSearch/MSP430F2272TDA/page-1", "MSP430F2272TDA")</f>
        <v>MSP430F2272TDA</v>
      </c>
      <c r="B12395" s="3" t="str">
        <f>HYPERLINK("https://www.773grp.com/manufacturer/texas-instruments?pageNo=462", "Texas Instruments")</f>
        <v>Texas Instruments</v>
      </c>
      <c r="C12395" s="5">
        <v>5</v>
      </c>
      <c r="D12395" s="6">
        <v>6.75</v>
      </c>
      <c r="E12395" t="s">
        <v>45</v>
      </c>
    </row>
    <row r="12396" spans="1:5" x14ac:dyDescent="0.25">
      <c r="A12396" t="str">
        <f>HYPERLINK("https://www.773grp.com/globalSearch/MSP430F423IPM/page-1", "MSP430F423IPM")</f>
        <v>MSP430F423IPM</v>
      </c>
      <c r="B12396" s="3" t="str">
        <f>HYPERLINK("https://www.773grp.com/manufacturer/texas-instruments?pageNo=463", "Texas Instruments")</f>
        <v>Texas Instruments</v>
      </c>
      <c r="C12396" s="5">
        <v>6893</v>
      </c>
      <c r="D12396" s="6">
        <v>6.75</v>
      </c>
      <c r="E12396" t="s">
        <v>45</v>
      </c>
    </row>
    <row r="12397" spans="1:5" x14ac:dyDescent="0.25">
      <c r="A12397" t="str">
        <f>HYPERLINK("https://www.773grp.com/globalSearch/MSP430F423IPMR/page-1", "MSP430F423IPMR")</f>
        <v>MSP430F423IPMR</v>
      </c>
      <c r="B12397" s="3" t="str">
        <f>HYPERLINK("https://www.773grp.com/manufacturer/texas-instruments?pageNo=464", "Texas Instruments")</f>
        <v>Texas Instruments</v>
      </c>
      <c r="C12397" s="5">
        <v>2000</v>
      </c>
      <c r="D12397" s="6">
        <v>6.75</v>
      </c>
      <c r="E12397" t="s">
        <v>45</v>
      </c>
    </row>
    <row r="12398" spans="1:5" x14ac:dyDescent="0.25">
      <c r="A12398" t="str">
        <f>HYPERLINK("https://www.773grp.com/globalSearch/MSP430FE4232IPM/page-1", "MSP430FE4232IPM")</f>
        <v>MSP430FE4232IPM</v>
      </c>
      <c r="B12398" s="3" t="str">
        <f>HYPERLINK("https://www.773grp.com/manufacturer/texas-instruments?pageNo=465", "Texas Instruments")</f>
        <v>Texas Instruments</v>
      </c>
      <c r="C12398" s="5">
        <v>1120</v>
      </c>
      <c r="D12398" s="6">
        <v>6.75</v>
      </c>
      <c r="E12398" t="s">
        <v>45</v>
      </c>
    </row>
    <row r="12399" spans="1:5" x14ac:dyDescent="0.25">
      <c r="A12399" t="str">
        <f>HYPERLINK("https://www.773grp.com/globalSearch/MSP430P112IDW/page-1", "MSP430P112IDW")</f>
        <v>MSP430P112IDW</v>
      </c>
      <c r="B12399" s="3" t="str">
        <f>HYPERLINK("https://www.773grp.com/manufacturer/texas-instruments?pageNo=466", "Texas Instruments")</f>
        <v>Texas Instruments</v>
      </c>
      <c r="C12399" s="5">
        <v>2923</v>
      </c>
      <c r="D12399" s="6">
        <v>6.75</v>
      </c>
      <c r="E12399" t="s">
        <v>45</v>
      </c>
    </row>
    <row r="12400" spans="1:5" x14ac:dyDescent="0.25">
      <c r="A12400" t="str">
        <f>HYPERLINK("https://www.773grp.com/globalSearch/TMS320F28020PTS/page-1", "TMS320F28020PTS")</f>
        <v>TMS320F28020PTS</v>
      </c>
      <c r="B12400" s="3" t="str">
        <f>HYPERLINK("https://www.773grp.com/manufacturer/texas-instruments?pageNo=679", "Texas Instruments")</f>
        <v>Texas Instruments</v>
      </c>
      <c r="C12400" s="5">
        <v>2730</v>
      </c>
      <c r="D12400" s="6">
        <v>6.89</v>
      </c>
      <c r="E12400" t="s">
        <v>45</v>
      </c>
    </row>
    <row r="12401" spans="1:5" x14ac:dyDescent="0.25">
      <c r="A12401" t="str">
        <f>HYPERLINK("https://www.773grp.com/globalSearch/MSP430F5419AIZQWR/page-1", "MSP430F5419AIZQWR")</f>
        <v>MSP430F5419AIZQWR</v>
      </c>
      <c r="B12401" s="3" t="str">
        <f>HYPERLINK("https://www.773grp.com/manufacturer/texas-instruments?pageNo=788", "Texas Instruments")</f>
        <v>Texas Instruments</v>
      </c>
      <c r="C12401" s="5">
        <v>2279</v>
      </c>
      <c r="D12401" s="6">
        <v>7.04</v>
      </c>
      <c r="E12401" t="s">
        <v>45</v>
      </c>
    </row>
    <row r="12402" spans="1:5" x14ac:dyDescent="0.25">
      <c r="A12402" t="str">
        <f>HYPERLINK("https://www.773grp.com/globalSearch/MSP430FW423IPM/page-1", "MSP430FW423IPM")</f>
        <v>MSP430FW423IPM</v>
      </c>
      <c r="B12402" s="3" t="str">
        <f>HYPERLINK("https://www.773grp.com/manufacturer/texas-instruments?pageNo=790", "Texas Instruments")</f>
        <v>Texas Instruments</v>
      </c>
      <c r="C12402" s="5">
        <v>2680</v>
      </c>
      <c r="D12402" s="6">
        <v>7.04</v>
      </c>
      <c r="E12402" t="s">
        <v>45</v>
      </c>
    </row>
    <row r="12403" spans="1:5" x14ac:dyDescent="0.25">
      <c r="A12403" t="str">
        <f>HYPERLINK("https://www.773grp.com/globalSearch/LM3S628-IQN50-C2/page-1", "LM3S628-IQN50-C2")</f>
        <v>LM3S628-IQN50-C2</v>
      </c>
      <c r="B12403" s="3" t="str">
        <f>HYPERLINK("https://www.773grp.com/manufacturer/texas-instruments?pageNo=953", "Texas Instruments")</f>
        <v>Texas Instruments</v>
      </c>
      <c r="C12403" s="5">
        <v>2433</v>
      </c>
      <c r="D12403" s="6">
        <v>7.14</v>
      </c>
      <c r="E12403" t="s">
        <v>45</v>
      </c>
    </row>
    <row r="12404" spans="1:5" x14ac:dyDescent="0.25">
      <c r="A12404" t="str">
        <f>HYPERLINK("https://www.773grp.com/globalSearch/TMS320F28021DAS/page-1", "TMS320F28021DAS")</f>
        <v>TMS320F28021DAS</v>
      </c>
      <c r="B12404" s="3" t="s">
        <v>90</v>
      </c>
      <c r="C12404" s="5">
        <v>99</v>
      </c>
      <c r="D12404" s="6">
        <v>7.18</v>
      </c>
      <c r="E12404" t="s">
        <v>45</v>
      </c>
    </row>
    <row r="12405" spans="1:5" x14ac:dyDescent="0.25">
      <c r="A12405" t="str">
        <f>HYPERLINK("https://www.773grp.com/globalSearch/MSP430FE4252IPM/page-1", "MSP430FE4252IPM")</f>
        <v>MSP430FE4252IPM</v>
      </c>
      <c r="B12405" s="3" t="s">
        <v>90</v>
      </c>
      <c r="C12405" s="5">
        <v>172</v>
      </c>
      <c r="D12405" s="6">
        <v>7.31</v>
      </c>
      <c r="E12405" t="s">
        <v>45</v>
      </c>
    </row>
    <row r="12406" spans="1:5" x14ac:dyDescent="0.25">
      <c r="A12406" t="str">
        <f>HYPERLINK("https://www.773grp.com/globalSearch/TMS320F28022PTT/page-1", "TMS320F28022PTT")</f>
        <v>TMS320F28022PTT</v>
      </c>
      <c r="B12406" s="3" t="s">
        <v>90</v>
      </c>
      <c r="C12406" s="5">
        <v>5965</v>
      </c>
      <c r="D12406" s="6">
        <v>7.31</v>
      </c>
      <c r="E12406" t="s">
        <v>45</v>
      </c>
    </row>
    <row r="12407" spans="1:5" x14ac:dyDescent="0.25">
      <c r="A12407" t="str">
        <f>HYPERLINK("https://www.773grp.com/globalSearch/MSP430F5418AIPNR/page-1", "MSP430F5418AIPNR")</f>
        <v>MSP430F5418AIPNR</v>
      </c>
      <c r="B12407" s="3" t="s">
        <v>90</v>
      </c>
      <c r="C12407" s="5">
        <v>2137</v>
      </c>
      <c r="D12407" s="6">
        <v>7.46</v>
      </c>
      <c r="E12407" t="s">
        <v>45</v>
      </c>
    </row>
    <row r="12408" spans="1:5" x14ac:dyDescent="0.25">
      <c r="A12408" t="str">
        <f>HYPERLINK("https://www.773grp.com/globalSearch/LM3S316-IQN25-C2/page-1", "LM3S316-IQN25-C2")</f>
        <v>LM3S316-IQN25-C2</v>
      </c>
      <c r="B12408" s="3" t="s">
        <v>90</v>
      </c>
      <c r="C12408" s="5">
        <v>317</v>
      </c>
      <c r="D12408" s="6">
        <v>7.48</v>
      </c>
      <c r="E12408" t="s">
        <v>45</v>
      </c>
    </row>
    <row r="12409" spans="1:5" x14ac:dyDescent="0.25">
      <c r="A12409" t="str">
        <f>HYPERLINK("https://www.773grp.com/globalSearch/MSP430F2274TDA/page-1", "MSP430F2274TDA")</f>
        <v>MSP430F2274TDA</v>
      </c>
      <c r="B12409" s="3" t="s">
        <v>90</v>
      </c>
      <c r="C12409" s="5">
        <v>15</v>
      </c>
      <c r="D12409" s="6">
        <v>7.6</v>
      </c>
      <c r="E12409" t="s">
        <v>45</v>
      </c>
    </row>
    <row r="12410" spans="1:5" x14ac:dyDescent="0.25">
      <c r="A12410" t="str">
        <f>HYPERLINK("https://www.773grp.com/globalSearch/MSP430F425IPM/page-1", "MSP430F425IPM")</f>
        <v>MSP430F425IPM</v>
      </c>
      <c r="B12410" s="3" t="s">
        <v>90</v>
      </c>
      <c r="C12410" s="5">
        <v>6296</v>
      </c>
      <c r="D12410" s="6">
        <v>7.6</v>
      </c>
      <c r="E12410" t="s">
        <v>45</v>
      </c>
    </row>
    <row r="12411" spans="1:5" x14ac:dyDescent="0.25">
      <c r="A12411" t="str">
        <f>HYPERLINK("https://www.773grp.com/globalSearch/MSP430FE4272IPM/page-1", "MSP430FE4272IPM")</f>
        <v>MSP430FE4272IPM</v>
      </c>
      <c r="B12411" s="3" t="s">
        <v>90</v>
      </c>
      <c r="C12411" s="5">
        <v>801</v>
      </c>
      <c r="D12411" s="6">
        <v>7.6</v>
      </c>
      <c r="E12411" t="s">
        <v>45</v>
      </c>
    </row>
    <row r="12412" spans="1:5" x14ac:dyDescent="0.25">
      <c r="A12412" t="str">
        <f>HYPERLINK("https://www.773grp.com/globalSearch/LM3S315-IQN25-C2/page-1", "LM3S315-IQN25-C2")</f>
        <v>LM3S315-IQN25-C2</v>
      </c>
      <c r="B12412" s="3" t="s">
        <v>90</v>
      </c>
      <c r="C12412" s="5">
        <v>112</v>
      </c>
      <c r="D12412" s="6">
        <v>7.71</v>
      </c>
      <c r="E12412" t="s">
        <v>45</v>
      </c>
    </row>
    <row r="12413" spans="1:5" x14ac:dyDescent="0.25">
      <c r="A12413" t="str">
        <f>HYPERLINK("https://www.773grp.com/globalSearch/LM3S613-IQN50-C2/page-1", "LM3S613-IQN50-C2")</f>
        <v>LM3S613-IQN50-C2</v>
      </c>
      <c r="B12413" s="3" t="s">
        <v>90</v>
      </c>
      <c r="C12413" s="5">
        <v>19</v>
      </c>
      <c r="D12413" s="6">
        <v>7.71</v>
      </c>
      <c r="E12413" t="s">
        <v>45</v>
      </c>
    </row>
    <row r="12414" spans="1:5" x14ac:dyDescent="0.25">
      <c r="A12414" t="str">
        <f>HYPERLINK("https://www.773grp.com/globalSearch/LM3S300-IQN25-C2/page-1", "LM3S300-IQN25-C2")</f>
        <v>LM3S300-IQN25-C2</v>
      </c>
      <c r="B12414" s="3" t="s">
        <v>90</v>
      </c>
      <c r="C12414" s="5">
        <v>6</v>
      </c>
      <c r="D12414" s="6">
        <v>7.73</v>
      </c>
      <c r="E12414" t="s">
        <v>45</v>
      </c>
    </row>
    <row r="12415" spans="1:5" x14ac:dyDescent="0.25">
      <c r="A12415" t="str">
        <f>HYPERLINK("https://www.773grp.com/globalSearch/LM3S317-IQN25-C2/page-1", "LM3S317-IQN25-C2")</f>
        <v>LM3S317-IQN25-C2</v>
      </c>
      <c r="B12415" s="3" t="s">
        <v>90</v>
      </c>
      <c r="C12415" s="5">
        <v>308</v>
      </c>
      <c r="D12415" s="6">
        <v>7.73</v>
      </c>
      <c r="E12415" t="s">
        <v>45</v>
      </c>
    </row>
    <row r="12416" spans="1:5" x14ac:dyDescent="0.25">
      <c r="A12416" t="str">
        <f>HYPERLINK("https://www.773grp.com/globalSearch/MSP430F247TRGCR/page-1", "MSP430F247TRGCR")</f>
        <v>MSP430F247TRGCR</v>
      </c>
      <c r="B12416" s="3" t="s">
        <v>90</v>
      </c>
      <c r="C12416" s="5">
        <v>8800</v>
      </c>
      <c r="D12416" s="6">
        <v>7.73</v>
      </c>
      <c r="E12416" t="s">
        <v>45</v>
      </c>
    </row>
    <row r="12417" spans="1:5" x14ac:dyDescent="0.25">
      <c r="A12417" t="str">
        <f>HYPERLINK("https://www.773grp.com/globalSearch/MSP430F427IPM/page-1", "MSP430F427IPM")</f>
        <v>MSP430F427IPM</v>
      </c>
      <c r="B12417" s="3" t="s">
        <v>90</v>
      </c>
      <c r="C12417" s="5">
        <v>83</v>
      </c>
      <c r="D12417" s="6">
        <v>7.73</v>
      </c>
      <c r="E12417" t="s">
        <v>45</v>
      </c>
    </row>
    <row r="12418" spans="1:5" x14ac:dyDescent="0.25">
      <c r="A12418" t="str">
        <f>HYPERLINK("https://www.773grp.com/globalSearch/MSP430F427IPMR/page-1", "MSP430F427IPMR")</f>
        <v>MSP430F427IPMR</v>
      </c>
      <c r="B12418" s="3" t="s">
        <v>90</v>
      </c>
      <c r="C12418" s="5">
        <v>61000</v>
      </c>
      <c r="D12418" s="6">
        <v>7.73</v>
      </c>
      <c r="E12418" t="s">
        <v>45</v>
      </c>
    </row>
    <row r="12419" spans="1:5" x14ac:dyDescent="0.25">
      <c r="A12419" t="str">
        <f>HYPERLINK("https://www.773grp.com/globalSearch/MSP430F4351IPZ/page-1", "MSP430F4351IPZ")</f>
        <v>MSP430F4351IPZ</v>
      </c>
      <c r="B12419" s="3" t="s">
        <v>90</v>
      </c>
      <c r="C12419" s="5">
        <v>1890</v>
      </c>
      <c r="D12419" s="6">
        <v>7.73</v>
      </c>
      <c r="E12419" t="s">
        <v>45</v>
      </c>
    </row>
    <row r="12420" spans="1:5" x14ac:dyDescent="0.25">
      <c r="A12420" t="str">
        <f>HYPERLINK("https://www.773grp.com/globalSearch/TMS320F28022PTS/page-1", "TMS320F28022PTS")</f>
        <v>TMS320F28022PTS</v>
      </c>
      <c r="B12420" s="3" t="s">
        <v>90</v>
      </c>
      <c r="C12420" s="5">
        <v>715</v>
      </c>
      <c r="D12420" s="6">
        <v>7.73</v>
      </c>
      <c r="E12420" t="s">
        <v>45</v>
      </c>
    </row>
    <row r="12421" spans="1:5" x14ac:dyDescent="0.25">
      <c r="A12421" t="str">
        <f>HYPERLINK("https://www.773grp.com/globalSearch/LM3S300-IQN25-C2T/page-1", "LM3S300-IQN25-C2T")</f>
        <v>LM3S300-IQN25-C2T</v>
      </c>
      <c r="B12421" s="3" t="s">
        <v>90</v>
      </c>
      <c r="C12421" s="5">
        <v>2000</v>
      </c>
      <c r="D12421" s="6">
        <v>7.76</v>
      </c>
      <c r="E12421" t="s">
        <v>45</v>
      </c>
    </row>
    <row r="12422" spans="1:5" x14ac:dyDescent="0.25">
      <c r="A12422" t="str">
        <f>HYPERLINK("https://www.773grp.com/globalSearch/LM3S101-IQN20-C2/page-1", "LM3S101-IQN20-C2")</f>
        <v>LM3S101-IQN20-C2</v>
      </c>
      <c r="B12422" s="3" t="s">
        <v>90</v>
      </c>
      <c r="C12422" s="5">
        <v>415</v>
      </c>
      <c r="D12422" s="6">
        <v>7.8</v>
      </c>
      <c r="E12422" t="s">
        <v>45</v>
      </c>
    </row>
    <row r="12423" spans="1:5" x14ac:dyDescent="0.25">
      <c r="A12423" t="str">
        <f>HYPERLINK("https://www.773grp.com/globalSearch/LM3S800-IQN50-C2T/page-1", "LM3S800-IQN50-C2T")</f>
        <v>LM3S800-IQN50-C2T</v>
      </c>
      <c r="B12423" s="3" t="s">
        <v>90</v>
      </c>
      <c r="C12423" s="5">
        <v>4000</v>
      </c>
      <c r="D12423" s="6">
        <v>7.8</v>
      </c>
      <c r="E12423" t="s">
        <v>45</v>
      </c>
    </row>
    <row r="12424" spans="1:5" x14ac:dyDescent="0.25">
      <c r="A12424" t="str">
        <f>HYPERLINK("https://www.773grp.com/globalSearch/LM3S601-IQN50-C2/page-1", "LM3S601-IQN50-C2")</f>
        <v>LM3S601-IQN50-C2</v>
      </c>
      <c r="B12424" s="3" t="s">
        <v>90</v>
      </c>
      <c r="C12424" s="5">
        <v>14591</v>
      </c>
      <c r="D12424" s="6">
        <v>7.88</v>
      </c>
      <c r="E12424" t="s">
        <v>45</v>
      </c>
    </row>
    <row r="12425" spans="1:5" x14ac:dyDescent="0.25">
      <c r="A12425" t="str">
        <f>HYPERLINK("https://www.773grp.com/globalSearch/LM3S612-IQN50-C2/page-1", "LM3S612-IQN50-C2")</f>
        <v>LM3S612-IQN50-C2</v>
      </c>
      <c r="B12425" s="3" t="s">
        <v>90</v>
      </c>
      <c r="C12425" s="5">
        <v>30</v>
      </c>
      <c r="D12425" s="6">
        <v>7.88</v>
      </c>
      <c r="E12425" t="s">
        <v>45</v>
      </c>
    </row>
    <row r="12426" spans="1:5" x14ac:dyDescent="0.25">
      <c r="A12426" t="str">
        <f>HYPERLINK("https://www.773grp.com/globalSearch/MSP430FW425IPM/page-1", "MSP430FW425IPM")</f>
        <v>MSP430FW425IPM</v>
      </c>
      <c r="B12426" s="3" t="s">
        <v>90</v>
      </c>
      <c r="C12426" s="5">
        <v>1222</v>
      </c>
      <c r="D12426" s="6">
        <v>7.88</v>
      </c>
      <c r="E12426" t="s">
        <v>45</v>
      </c>
    </row>
    <row r="12427" spans="1:5" x14ac:dyDescent="0.25">
      <c r="A12427" t="str">
        <f>HYPERLINK("https://www.773grp.com/globalSearch/LM3S618-IQN50-C2/page-1", "LM3S618-IQN50-C2")</f>
        <v>LM3S618-IQN50-C2</v>
      </c>
      <c r="B12427" s="3" t="s">
        <v>90</v>
      </c>
      <c r="C12427" s="5">
        <v>765</v>
      </c>
      <c r="D12427" s="6">
        <v>8.01</v>
      </c>
      <c r="E12427" t="s">
        <v>45</v>
      </c>
    </row>
    <row r="12428" spans="1:5" x14ac:dyDescent="0.25">
      <c r="A12428" t="str">
        <f>HYPERLINK("https://www.773grp.com/globalSearch/MSP430F5513IRGCR/page-1", "MSP430F5513IRGCR")</f>
        <v>MSP430F5513IRGCR</v>
      </c>
      <c r="B12428" s="3" t="s">
        <v>90</v>
      </c>
      <c r="C12428" s="5">
        <v>2718</v>
      </c>
      <c r="D12428" s="6">
        <v>8.14</v>
      </c>
      <c r="E12428" t="s">
        <v>45</v>
      </c>
    </row>
    <row r="12429" spans="1:5" x14ac:dyDescent="0.25">
      <c r="A12429" t="str">
        <f>HYPERLINK("https://www.773grp.com/globalSearch/LM3S310-IQN25-C2/page-1", "LM3S310-IQN25-C2")</f>
        <v>LM3S310-IQN25-C2</v>
      </c>
      <c r="B12429" s="3" t="s">
        <v>90</v>
      </c>
      <c r="C12429" s="5">
        <v>5709</v>
      </c>
      <c r="D12429" s="6">
        <v>8.15</v>
      </c>
      <c r="E12429" t="s">
        <v>45</v>
      </c>
    </row>
    <row r="12430" spans="1:5" x14ac:dyDescent="0.25">
      <c r="A12430" t="str">
        <f>HYPERLINK("https://www.773grp.com/globalSearch/LM3S615-IQN50-C2/page-1", "LM3S615-IQN50-C2")</f>
        <v>LM3S615-IQN50-C2</v>
      </c>
      <c r="B12430" s="3" t="s">
        <v>90</v>
      </c>
      <c r="C12430" s="5">
        <v>18</v>
      </c>
      <c r="D12430" s="6">
        <v>8.2799999999999994</v>
      </c>
      <c r="E12430" t="s">
        <v>45</v>
      </c>
    </row>
    <row r="12431" spans="1:5" x14ac:dyDescent="0.25">
      <c r="A12431" t="str">
        <f>HYPERLINK("https://www.773grp.com/globalSearch/MSP430F133IRTDR/page-1", "MSP430F133IRTDR")</f>
        <v>MSP430F133IRTDR</v>
      </c>
      <c r="B12431" s="3" t="s">
        <v>90</v>
      </c>
      <c r="C12431" s="5">
        <v>56700</v>
      </c>
      <c r="D12431" s="6">
        <v>8.2799999999999994</v>
      </c>
      <c r="E12431" t="s">
        <v>45</v>
      </c>
    </row>
    <row r="12432" spans="1:5" x14ac:dyDescent="0.25">
      <c r="A12432" t="str">
        <f>HYPERLINK("https://www.773grp.com/globalSearch/MSP430F5418AIPN/page-1", "MSP430F5418AIPN")</f>
        <v>MSP430F5418AIPN</v>
      </c>
      <c r="B12432" s="3" t="s">
        <v>90</v>
      </c>
      <c r="C12432" s="5">
        <v>1013</v>
      </c>
      <c r="D12432" s="6">
        <v>8.3000000000000007</v>
      </c>
      <c r="E12432" t="s">
        <v>45</v>
      </c>
    </row>
    <row r="12433" spans="1:5" x14ac:dyDescent="0.25">
      <c r="A12433" t="str">
        <f>HYPERLINK("https://www.773grp.com/globalSearch/MSP430F247TRGCT/page-1", "MSP430F247TRGCT")</f>
        <v>MSP430F247TRGCT</v>
      </c>
      <c r="B12433" s="3" t="s">
        <v>90</v>
      </c>
      <c r="C12433" s="5">
        <v>1422</v>
      </c>
      <c r="D12433" s="6">
        <v>8.44</v>
      </c>
      <c r="E12433" t="s">
        <v>45</v>
      </c>
    </row>
    <row r="12434" spans="1:5" x14ac:dyDescent="0.25">
      <c r="A12434" t="str">
        <f>HYPERLINK("https://www.773grp.com/globalSearch/TMS320F28026PTT/page-1", "TMS320F28026PTT")</f>
        <v>TMS320F28026PTT</v>
      </c>
      <c r="B12434" s="3" t="s">
        <v>90</v>
      </c>
      <c r="C12434" s="5">
        <v>16627</v>
      </c>
      <c r="D12434" s="6">
        <v>8.44</v>
      </c>
      <c r="E12434" t="s">
        <v>45</v>
      </c>
    </row>
    <row r="12435" spans="1:5" x14ac:dyDescent="0.25">
      <c r="A12435" t="str">
        <f>HYPERLINK("https://www.773grp.com/globalSearch/MSP430F5522IRGCT/page-1", "MSP430F5522IRGCT")</f>
        <v>MSP430F5522IRGCT</v>
      </c>
      <c r="B12435" s="3" t="s">
        <v>90</v>
      </c>
      <c r="C12435" s="5">
        <v>250</v>
      </c>
      <c r="D12435" s="6">
        <v>8.5299999999999994</v>
      </c>
      <c r="E12435" t="s">
        <v>45</v>
      </c>
    </row>
    <row r="12436" spans="1:5" x14ac:dyDescent="0.25">
      <c r="A12436" t="str">
        <f>HYPERLINK("https://www.773grp.com/globalSearch/TAS1020PFB/page-1", "TAS1020PFB")</f>
        <v>TAS1020PFB</v>
      </c>
      <c r="B12436" s="3" t="s">
        <v>90</v>
      </c>
      <c r="C12436" s="5">
        <v>10641</v>
      </c>
      <c r="D12436" s="6">
        <v>8.5500000000000007</v>
      </c>
      <c r="E12436" t="s">
        <v>45</v>
      </c>
    </row>
    <row r="12437" spans="1:5" x14ac:dyDescent="0.25">
      <c r="A12437" t="str">
        <f>HYPERLINK("https://www.773grp.com/globalSearch/MSP430F4250IDLR/page-1", "MSP430F4250IDLR")</f>
        <v>MSP430F4250IDLR</v>
      </c>
      <c r="B12437" s="3" t="s">
        <v>90</v>
      </c>
      <c r="C12437" s="5">
        <v>738</v>
      </c>
      <c r="D12437" s="6">
        <v>8.58</v>
      </c>
      <c r="E12437" t="s">
        <v>45</v>
      </c>
    </row>
    <row r="12438" spans="1:5" x14ac:dyDescent="0.25">
      <c r="A12438" t="str">
        <f>HYPERLINK("https://www.773grp.com/globalSearch/TMS320F28027DAT/page-1", "TMS320F28027DAT")</f>
        <v>TMS320F28027DAT</v>
      </c>
      <c r="B12438" s="3" t="s">
        <v>90</v>
      </c>
      <c r="C12438" s="5">
        <v>52</v>
      </c>
      <c r="D12438" s="6">
        <v>8.58</v>
      </c>
      <c r="E12438" t="s">
        <v>45</v>
      </c>
    </row>
    <row r="12439" spans="1:5" x14ac:dyDescent="0.25">
      <c r="A12439" t="str">
        <f>HYPERLINK("https://www.773grp.com/globalSearch/LM3S328-IQN25-C2/page-1", "LM3S328-IQN25-C2")</f>
        <v>LM3S328-IQN25-C2</v>
      </c>
      <c r="B12439" s="3" t="s">
        <v>90</v>
      </c>
      <c r="C12439" s="5">
        <v>244</v>
      </c>
      <c r="D12439" s="6">
        <v>8.73</v>
      </c>
      <c r="E12439" t="s">
        <v>45</v>
      </c>
    </row>
    <row r="12440" spans="1:5" x14ac:dyDescent="0.25">
      <c r="A12440" t="str">
        <f>HYPERLINK("https://www.773grp.com/globalSearch/LM3S328-IQN25-C2T/page-1", "LM3S328-IQN25-C2T")</f>
        <v>LM3S328-IQN25-C2T</v>
      </c>
      <c r="B12440" s="3" t="s">
        <v>90</v>
      </c>
      <c r="C12440" s="5">
        <v>3900</v>
      </c>
      <c r="D12440" s="6">
        <v>8.73</v>
      </c>
      <c r="E12440" t="s">
        <v>45</v>
      </c>
    </row>
    <row r="12441" spans="1:5" x14ac:dyDescent="0.25">
      <c r="A12441" t="str">
        <f>HYPERLINK("https://www.773grp.com/globalSearch/MSP430F4250IRGZT/page-1", "MSP430F4250IRGZT")</f>
        <v>MSP430F4250IRGZT</v>
      </c>
      <c r="B12441" s="3" t="s">
        <v>90</v>
      </c>
      <c r="C12441" s="5">
        <v>35</v>
      </c>
      <c r="D12441" s="6">
        <v>8.73</v>
      </c>
      <c r="E12441" t="s">
        <v>45</v>
      </c>
    </row>
    <row r="12442" spans="1:5" x14ac:dyDescent="0.25">
      <c r="A12442" t="str">
        <f>HYPERLINK("https://www.773grp.com/globalSearch/LM3S617-IQN50-C2/page-1", "LM3S617-IQN50-C2")</f>
        <v>LM3S617-IQN50-C2</v>
      </c>
      <c r="B12442" s="3" t="s">
        <v>90</v>
      </c>
      <c r="C12442" s="5">
        <v>8</v>
      </c>
      <c r="D12442" s="6">
        <v>8.74</v>
      </c>
      <c r="E12442" t="s">
        <v>45</v>
      </c>
    </row>
    <row r="12443" spans="1:5" x14ac:dyDescent="0.25">
      <c r="A12443" t="str">
        <f>HYPERLINK("https://www.773grp.com/globalSearch/LM3S611-IQN50-C2/page-1", "LM3S611-IQN50-C2")</f>
        <v>LM3S611-IQN50-C2</v>
      </c>
      <c r="B12443" s="3" t="s">
        <v>90</v>
      </c>
      <c r="C12443" s="5">
        <v>251</v>
      </c>
      <c r="D12443" s="6">
        <v>8.83</v>
      </c>
      <c r="E12443" t="s">
        <v>45</v>
      </c>
    </row>
    <row r="12444" spans="1:5" x14ac:dyDescent="0.25">
      <c r="A12444" t="str">
        <f>HYPERLINK("https://www.773grp.com/globalSearch/MSP430F2471TRGCR/page-1", "MSP430F2471TRGCR")</f>
        <v>MSP430F2471TRGCR</v>
      </c>
      <c r="B12444" s="3" t="s">
        <v>90</v>
      </c>
      <c r="C12444" s="5">
        <v>4300</v>
      </c>
      <c r="D12444" s="6">
        <v>8.86</v>
      </c>
      <c r="E12444" t="s">
        <v>45</v>
      </c>
    </row>
    <row r="12445" spans="1:5" x14ac:dyDescent="0.25">
      <c r="A12445" t="str">
        <f>HYPERLINK("https://www.773grp.com/globalSearch/MSP430F5514IRGCT/page-1", "MSP430F5514IRGCT")</f>
        <v>MSP430F5514IRGCT</v>
      </c>
      <c r="B12445" s="3" t="s">
        <v>90</v>
      </c>
      <c r="C12445" s="5">
        <v>860</v>
      </c>
      <c r="D12445" s="6">
        <v>8.89</v>
      </c>
      <c r="E12445" t="s">
        <v>45</v>
      </c>
    </row>
    <row r="12446" spans="1:5" x14ac:dyDescent="0.25">
      <c r="A12446" t="str">
        <f>HYPERLINK("https://www.773grp.com/globalSearch/LM3S301-IQN20-C2/page-1", "LM3S301-IQN20-C2")</f>
        <v>LM3S301-IQN20-C2</v>
      </c>
      <c r="B12446" s="3" t="s">
        <v>90</v>
      </c>
      <c r="C12446" s="5">
        <v>570</v>
      </c>
      <c r="D12446" s="6">
        <v>8.91</v>
      </c>
      <c r="E12446" t="s">
        <v>45</v>
      </c>
    </row>
    <row r="12447" spans="1:5" x14ac:dyDescent="0.25">
      <c r="A12447" t="str">
        <f>HYPERLINK("https://www.773grp.com/globalSearch/LM3S301-IQN20-C2/page-1", "LM3S301-IQN20-C2")</f>
        <v>LM3S301-IQN20-C2</v>
      </c>
      <c r="B12447" s="3" t="s">
        <v>90</v>
      </c>
      <c r="C12447" s="5">
        <v>123</v>
      </c>
      <c r="D12447" s="6">
        <v>8.91</v>
      </c>
      <c r="E12447" t="s">
        <v>45</v>
      </c>
    </row>
    <row r="12448" spans="1:5" x14ac:dyDescent="0.25">
      <c r="A12448" t="str">
        <f>HYPERLINK("https://www.773grp.com/globalSearch/MSP430F2471TRGCT/page-1", "MSP430F2471TRGCT")</f>
        <v>MSP430F2471TRGCT</v>
      </c>
      <c r="B12448" s="3" t="s">
        <v>90</v>
      </c>
      <c r="C12448" s="5">
        <v>500</v>
      </c>
      <c r="D12448" s="6">
        <v>9</v>
      </c>
      <c r="E12448" t="s">
        <v>45</v>
      </c>
    </row>
    <row r="12449" spans="1:5" x14ac:dyDescent="0.25">
      <c r="A12449" t="str">
        <f>HYPERLINK("https://www.773grp.com/globalSearch/TMS320F28026PTS/page-1", "TMS320F28026PTS")</f>
        <v>TMS320F28026PTS</v>
      </c>
      <c r="B12449" s="3" t="s">
        <v>90</v>
      </c>
      <c r="C12449" s="5">
        <v>5459</v>
      </c>
      <c r="D12449" s="6">
        <v>9</v>
      </c>
      <c r="E12449" t="s">
        <v>45</v>
      </c>
    </row>
    <row r="12450" spans="1:5" x14ac:dyDescent="0.25">
      <c r="A12450" t="str">
        <f>HYPERLINK("https://www.773grp.com/globalSearch/MSP430F133IPAG/page-1", "MSP430F133IPAG")</f>
        <v>MSP430F133IPAG</v>
      </c>
      <c r="B12450" s="3" t="s">
        <v>90</v>
      </c>
      <c r="C12450" s="5">
        <v>29000</v>
      </c>
      <c r="D12450" s="6">
        <v>9.08</v>
      </c>
      <c r="E12450" t="s">
        <v>45</v>
      </c>
    </row>
    <row r="12451" spans="1:5" x14ac:dyDescent="0.25">
      <c r="A12451" t="str">
        <f>HYPERLINK("https://www.773grp.com/globalSearch/MSP430F133IPM/page-1", "MSP430F133IPM")</f>
        <v>MSP430F133IPM</v>
      </c>
      <c r="B12451" s="3" t="s">
        <v>90</v>
      </c>
      <c r="C12451" s="5">
        <v>870</v>
      </c>
      <c r="D12451" s="6">
        <v>9.08</v>
      </c>
      <c r="E12451" t="s">
        <v>45</v>
      </c>
    </row>
    <row r="12452" spans="1:5" x14ac:dyDescent="0.25">
      <c r="A12452" t="str">
        <f>HYPERLINK("https://www.773grp.com/globalSearch/LM3S812-IQN50-C2/page-1", "LM3S812-IQN50-C2")</f>
        <v>LM3S812-IQN50-C2</v>
      </c>
      <c r="B12452" s="3" t="s">
        <v>90</v>
      </c>
      <c r="C12452" s="5">
        <v>146</v>
      </c>
      <c r="D12452" s="6">
        <v>9.15</v>
      </c>
      <c r="E12452" t="s">
        <v>45</v>
      </c>
    </row>
    <row r="12453" spans="1:5" x14ac:dyDescent="0.25">
      <c r="A12453" t="str">
        <f>HYPERLINK("https://www.773grp.com/globalSearch/LM3S812-IQN50-C2/page-1", "LM3S812-IQN50-C2")</f>
        <v>LM3S812-IQN50-C2</v>
      </c>
      <c r="B12453" s="3" t="s">
        <v>90</v>
      </c>
      <c r="C12453" s="5">
        <v>483</v>
      </c>
      <c r="D12453" s="6">
        <v>9.15</v>
      </c>
      <c r="E12453" t="s">
        <v>45</v>
      </c>
    </row>
    <row r="12454" spans="1:5" x14ac:dyDescent="0.25">
      <c r="A12454" t="str">
        <f>HYPERLINK("https://www.773grp.com/globalSearch/LM3S617-EQN50-C2/page-1", "LM3S617-EQN50-C2")</f>
        <v>LM3S617-EQN50-C2</v>
      </c>
      <c r="B12454" s="3" t="s">
        <v>90</v>
      </c>
      <c r="C12454" s="5">
        <v>1995</v>
      </c>
      <c r="D12454" s="6">
        <v>9.16</v>
      </c>
      <c r="E12454" t="s">
        <v>45</v>
      </c>
    </row>
    <row r="12455" spans="1:5" x14ac:dyDescent="0.25">
      <c r="A12455" t="str">
        <f>HYPERLINK("https://www.773grp.com/globalSearch/MSP430F135IPMR/page-1", "MSP430F135IPMR")</f>
        <v>MSP430F135IPMR</v>
      </c>
      <c r="B12455" s="3" t="s">
        <v>90</v>
      </c>
      <c r="C12455" s="5">
        <v>8481</v>
      </c>
      <c r="D12455" s="6">
        <v>9.23</v>
      </c>
      <c r="E12455" t="s">
        <v>45</v>
      </c>
    </row>
    <row r="12456" spans="1:5" x14ac:dyDescent="0.25">
      <c r="A12456" t="str">
        <f>HYPERLINK("https://www.773grp.com/globalSearch/MSP430F135IRTDR/page-1", "MSP430F135IRTDR")</f>
        <v>MSP430F135IRTDR</v>
      </c>
      <c r="B12456" s="3" t="s">
        <v>90</v>
      </c>
      <c r="C12456" s="5">
        <v>1810</v>
      </c>
      <c r="D12456" s="6">
        <v>9.23</v>
      </c>
      <c r="E12456" t="s">
        <v>45</v>
      </c>
    </row>
    <row r="12457" spans="1:5" x14ac:dyDescent="0.25">
      <c r="A12457" t="str">
        <f>HYPERLINK("https://www.773grp.com/globalSearch/MSP430FG4250IRGZT/page-1", "MSP430FG4250IRGZT")</f>
        <v>MSP430FG4250IRGZT</v>
      </c>
      <c r="B12457" s="3" t="s">
        <v>90</v>
      </c>
      <c r="C12457" s="5">
        <v>2250</v>
      </c>
      <c r="D12457" s="6">
        <v>9.41</v>
      </c>
      <c r="E12457" t="s">
        <v>45</v>
      </c>
    </row>
    <row r="12458" spans="1:5" x14ac:dyDescent="0.25">
      <c r="A12458" t="str">
        <f>HYPERLINK("https://www.773grp.com/globalSearch/MSP430F4260IDL/page-1", "MSP430F4260IDL")</f>
        <v>MSP430F4260IDL</v>
      </c>
      <c r="B12458" s="3" t="s">
        <v>90</v>
      </c>
      <c r="C12458" s="5">
        <v>1950</v>
      </c>
      <c r="D12458" s="6">
        <v>9.56</v>
      </c>
      <c r="E12458" t="s">
        <v>45</v>
      </c>
    </row>
    <row r="12459" spans="1:5" x14ac:dyDescent="0.25">
      <c r="A12459" t="str">
        <f>HYPERLINK("https://www.773grp.com/globalSearch/MSP430F4260IDLR/page-1", "MSP430F4260IDLR")</f>
        <v>MSP430F4260IDLR</v>
      </c>
      <c r="B12459" s="3" t="s">
        <v>90</v>
      </c>
      <c r="C12459" s="5">
        <v>882</v>
      </c>
      <c r="D12459" s="6">
        <v>9.56</v>
      </c>
      <c r="E12459" t="s">
        <v>45</v>
      </c>
    </row>
    <row r="12460" spans="1:5" x14ac:dyDescent="0.25">
      <c r="A12460" t="str">
        <f>HYPERLINK("https://www.773grp.com/globalSearch/MSP430F435IPN/page-1", "MSP430F435IPN")</f>
        <v>MSP430F435IPN</v>
      </c>
      <c r="B12460" s="3" t="s">
        <v>90</v>
      </c>
      <c r="C12460" s="5">
        <v>6408</v>
      </c>
      <c r="D12460" s="6">
        <v>9.56</v>
      </c>
      <c r="E12460" t="s">
        <v>45</v>
      </c>
    </row>
    <row r="12461" spans="1:5" x14ac:dyDescent="0.25">
      <c r="A12461" t="str">
        <f>HYPERLINK("https://www.773grp.com/globalSearch/LM3S801-EQN50-C2/page-1", "LM3S801-EQN50-C2")</f>
        <v>LM3S801-EQN50-C2</v>
      </c>
      <c r="B12461" s="3" t="s">
        <v>90</v>
      </c>
      <c r="C12461" s="5">
        <v>1018</v>
      </c>
      <c r="D12461" s="6">
        <v>9.59</v>
      </c>
      <c r="E12461" t="s">
        <v>45</v>
      </c>
    </row>
    <row r="12462" spans="1:5" x14ac:dyDescent="0.25">
      <c r="A12462" t="str">
        <f>HYPERLINK("https://www.773grp.com/globalSearch/LM3S600-IQN50-C2/page-1", "LM3S600-IQN50-C2")</f>
        <v>LM3S600-IQN50-C2</v>
      </c>
      <c r="B12462" s="3" t="s">
        <v>90</v>
      </c>
      <c r="C12462" s="5">
        <v>381</v>
      </c>
      <c r="D12462" s="6">
        <v>9.6300000000000008</v>
      </c>
      <c r="E12462" t="s">
        <v>45</v>
      </c>
    </row>
    <row r="12463" spans="1:5" x14ac:dyDescent="0.25">
      <c r="A12463" t="str">
        <f>HYPERLINK("https://www.773grp.com/globalSearch/LM3S5P31-IQC80-C3/page-1", "LM3S5P31-IQC80-C3")</f>
        <v>LM3S5P31-IQC80-C3</v>
      </c>
      <c r="B12463" s="3" t="s">
        <v>90</v>
      </c>
      <c r="C12463" s="5">
        <v>90</v>
      </c>
      <c r="D12463" s="6">
        <v>9.6999999999999993</v>
      </c>
      <c r="E12463" t="s">
        <v>45</v>
      </c>
    </row>
    <row r="12464" spans="1:5" x14ac:dyDescent="0.25">
      <c r="A12464" t="str">
        <f>HYPERLINK("https://www.773grp.com/globalSearch/MSP430F4260IRGZT/page-1", "MSP430F4260IRGZT")</f>
        <v>MSP430F4260IRGZT</v>
      </c>
      <c r="B12464" s="3" t="s">
        <v>90</v>
      </c>
      <c r="C12464" s="5">
        <v>65</v>
      </c>
      <c r="D12464" s="6">
        <v>9.6999999999999993</v>
      </c>
      <c r="E12464" t="s">
        <v>45</v>
      </c>
    </row>
    <row r="12465" spans="1:5" x14ac:dyDescent="0.25">
      <c r="A12465" t="str">
        <f>HYPERLINK("https://www.773grp.com/globalSearch/MSP430F5519IPN/page-1", "MSP430F5519IPN")</f>
        <v>MSP430F5519IPN</v>
      </c>
      <c r="B12465" s="3" t="s">
        <v>90</v>
      </c>
      <c r="C12465" s="5">
        <v>504</v>
      </c>
      <c r="D12465" s="6">
        <v>9.7899999999999991</v>
      </c>
      <c r="E12465" t="s">
        <v>45</v>
      </c>
    </row>
    <row r="12466" spans="1:5" x14ac:dyDescent="0.25">
      <c r="A12466" t="str">
        <f>HYPERLINK("https://www.773grp.com/globalSearch/MSP430F435IPZ/page-1", "MSP430F435IPZ")</f>
        <v>MSP430F435IPZ</v>
      </c>
      <c r="B12466" s="3" t="s">
        <v>90</v>
      </c>
      <c r="C12466" s="5">
        <v>2074</v>
      </c>
      <c r="D12466" s="6">
        <v>9.84</v>
      </c>
      <c r="E12466" t="s">
        <v>45</v>
      </c>
    </row>
    <row r="12467" spans="1:5" x14ac:dyDescent="0.25">
      <c r="A12467" t="str">
        <f>HYPERLINK("https://www.773grp.com/globalSearch/MSP430F435IPZR/page-1", "MSP430F435IPZR")</f>
        <v>MSP430F435IPZR</v>
      </c>
      <c r="B12467" s="3" t="s">
        <v>90</v>
      </c>
      <c r="C12467" s="5">
        <v>5000</v>
      </c>
      <c r="D12467" s="6">
        <v>9.84</v>
      </c>
      <c r="E12467" t="s">
        <v>45</v>
      </c>
    </row>
    <row r="12468" spans="1:5" x14ac:dyDescent="0.25">
      <c r="A12468" t="str">
        <f>HYPERLINK("https://www.773grp.com/globalSearch/MSP430F4361IPN/page-1", "MSP430F4361IPN")</f>
        <v>MSP430F4361IPN</v>
      </c>
      <c r="B12468" s="3" t="s">
        <v>90</v>
      </c>
      <c r="C12468" s="5">
        <v>70</v>
      </c>
      <c r="D12468" s="6">
        <v>9.84</v>
      </c>
      <c r="E12468" t="s">
        <v>45</v>
      </c>
    </row>
    <row r="12469" spans="1:5" x14ac:dyDescent="0.25">
      <c r="A12469" t="str">
        <f>HYPERLINK("https://www.773grp.com/globalSearch/MSP430F5529IPN/page-1", "MSP430F5529IPN")</f>
        <v>MSP430F5529IPN</v>
      </c>
      <c r="B12469" s="3" t="s">
        <v>90</v>
      </c>
      <c r="C12469" s="5">
        <v>41</v>
      </c>
      <c r="D12469" s="6">
        <v>10.08</v>
      </c>
      <c r="E12469" t="s">
        <v>45</v>
      </c>
    </row>
    <row r="12470" spans="1:5" x14ac:dyDescent="0.25">
      <c r="A12470" t="str">
        <f>HYPERLINK("https://www.773grp.com/globalSearch/LM3S600-EQN50-C2/page-1", "LM3S600-EQN50-C2")</f>
        <v>LM3S600-EQN50-C2</v>
      </c>
      <c r="B12470" s="3" t="s">
        <v>90</v>
      </c>
      <c r="C12470" s="5">
        <v>57</v>
      </c>
      <c r="D12470" s="6">
        <v>10.09</v>
      </c>
      <c r="E12470" t="s">
        <v>45</v>
      </c>
    </row>
    <row r="12471" spans="1:5" x14ac:dyDescent="0.25">
      <c r="A12471" t="str">
        <f>HYPERLINK("https://www.773grp.com/globalSearch/MSP430F4361IPZ/page-1", "MSP430F4361IPZ")</f>
        <v>MSP430F4361IPZ</v>
      </c>
      <c r="B12471" s="3" t="s">
        <v>90</v>
      </c>
      <c r="C12471" s="5">
        <v>40</v>
      </c>
      <c r="D12471" s="6">
        <v>10.130000000000001</v>
      </c>
      <c r="E12471" t="s">
        <v>45</v>
      </c>
    </row>
    <row r="12472" spans="1:5" x14ac:dyDescent="0.25">
      <c r="A12472" t="str">
        <f>HYPERLINK("https://www.773grp.com/globalSearch/MSP430F4361IPZR/page-1", "MSP430F4361IPZR")</f>
        <v>MSP430F4361IPZR</v>
      </c>
      <c r="B12472" s="3" t="s">
        <v>90</v>
      </c>
      <c r="C12472" s="5">
        <v>1000</v>
      </c>
      <c r="D12472" s="6">
        <v>10.130000000000001</v>
      </c>
      <c r="E12472" t="s">
        <v>45</v>
      </c>
    </row>
    <row r="12473" spans="1:5" x14ac:dyDescent="0.25">
      <c r="A12473" t="str">
        <f>HYPERLINK("https://www.773grp.com/globalSearch/MSP430F4371IPN/page-1", "MSP430F4371IPN")</f>
        <v>MSP430F4371IPN</v>
      </c>
      <c r="B12473" s="3" t="s">
        <v>90</v>
      </c>
      <c r="C12473" s="5">
        <v>1389</v>
      </c>
      <c r="D12473" s="6">
        <v>10.130000000000001</v>
      </c>
      <c r="E12473" t="s">
        <v>45</v>
      </c>
    </row>
    <row r="12474" spans="1:5" x14ac:dyDescent="0.25">
      <c r="A12474" t="str">
        <f>HYPERLINK("https://www.773grp.com/globalSearch/MSP430FG4260IDL/page-1", "MSP430FG4260IDL")</f>
        <v>MSP430FG4260IDL</v>
      </c>
      <c r="B12474" s="3" t="s">
        <v>90</v>
      </c>
      <c r="C12474" s="5">
        <v>1725</v>
      </c>
      <c r="D12474" s="6">
        <v>10.130000000000001</v>
      </c>
      <c r="E12474" t="s">
        <v>45</v>
      </c>
    </row>
    <row r="12475" spans="1:5" x14ac:dyDescent="0.25">
      <c r="A12475" t="str">
        <f>HYPERLINK("https://www.773grp.com/globalSearch/MSP430FG4260IDLR/page-1", "MSP430FG4260IDLR")</f>
        <v>MSP430FG4260IDLR</v>
      </c>
      <c r="B12475" s="3" t="s">
        <v>90</v>
      </c>
      <c r="C12475" s="5">
        <v>1000</v>
      </c>
      <c r="D12475" s="6">
        <v>10.130000000000001</v>
      </c>
      <c r="E12475" t="s">
        <v>45</v>
      </c>
    </row>
    <row r="12476" spans="1:5" x14ac:dyDescent="0.25">
      <c r="A12476" t="str">
        <f>HYPERLINK("https://www.773grp.com/globalSearch/MSP430F135IPAG/page-1", "MSP430F135IPAG")</f>
        <v>MSP430F135IPAG</v>
      </c>
      <c r="B12476" s="3" t="s">
        <v>90</v>
      </c>
      <c r="C12476" s="5">
        <v>2503</v>
      </c>
      <c r="D12476" s="6">
        <v>10.16</v>
      </c>
      <c r="E12476" t="s">
        <v>45</v>
      </c>
    </row>
    <row r="12477" spans="1:5" x14ac:dyDescent="0.25">
      <c r="A12477" t="str">
        <f>HYPERLINK("https://www.773grp.com/globalSearch/MSP430F135IPM/page-1", "MSP430F135IPM")</f>
        <v>MSP430F135IPM</v>
      </c>
      <c r="B12477" s="3" t="s">
        <v>90</v>
      </c>
      <c r="C12477" s="5">
        <v>33301</v>
      </c>
      <c r="D12477" s="6">
        <v>10.16</v>
      </c>
      <c r="E12477" t="s">
        <v>45</v>
      </c>
    </row>
    <row r="12478" spans="1:5" x14ac:dyDescent="0.25">
      <c r="A12478" t="str">
        <f>HYPERLINK("https://www.773grp.com/globalSearch/MSP430F135IRTDT/page-1", "MSP430F135IRTDT")</f>
        <v>MSP430F135IRTDT</v>
      </c>
      <c r="B12478" s="3" t="s">
        <v>90</v>
      </c>
      <c r="C12478" s="5">
        <v>490</v>
      </c>
      <c r="D12478" s="6">
        <v>10.16</v>
      </c>
      <c r="E12478" t="s">
        <v>45</v>
      </c>
    </row>
    <row r="12479" spans="1:5" x14ac:dyDescent="0.25">
      <c r="A12479" t="str">
        <f>HYPERLINK("https://www.773grp.com/globalSearch/MSP430F4270IDLR/page-1", "MSP430F4270IDLR")</f>
        <v>MSP430F4270IDLR</v>
      </c>
      <c r="B12479" s="3" t="s">
        <v>90</v>
      </c>
      <c r="C12479" s="5">
        <v>5698</v>
      </c>
      <c r="D12479" s="6">
        <v>10.26</v>
      </c>
      <c r="E12479" t="s">
        <v>45</v>
      </c>
    </row>
    <row r="12480" spans="1:5" x14ac:dyDescent="0.25">
      <c r="A12480" t="str">
        <f>HYPERLINK("https://www.773grp.com/globalSearch/MSP430F4270IRGZR/page-1", "MSP430F4270IRGZR")</f>
        <v>MSP430F4270IRGZR</v>
      </c>
      <c r="B12480" s="3" t="s">
        <v>90</v>
      </c>
      <c r="C12480" s="5">
        <v>20000</v>
      </c>
      <c r="D12480" s="6">
        <v>10.26</v>
      </c>
      <c r="E12480" t="s">
        <v>45</v>
      </c>
    </row>
    <row r="12481" spans="1:5" x14ac:dyDescent="0.25">
      <c r="A12481" t="str">
        <f>HYPERLINK("https://www.773grp.com/globalSearch/MSP430F5419IPZ/page-1", "MSP430F5419IPZ")</f>
        <v>MSP430F5419IPZ</v>
      </c>
      <c r="B12481" s="3" t="s">
        <v>90</v>
      </c>
      <c r="C12481" s="5">
        <v>190</v>
      </c>
      <c r="D12481" s="6">
        <v>10.26</v>
      </c>
      <c r="E12481" t="s">
        <v>45</v>
      </c>
    </row>
    <row r="12482" spans="1:5" x14ac:dyDescent="0.25">
      <c r="A12482" t="str">
        <f>HYPERLINK("https://www.773grp.com/globalSearch/MSP430F5528IZQER/page-1", "MSP430F5528IZQER")</f>
        <v>MSP430F5528IZQER</v>
      </c>
      <c r="B12482" s="3" t="s">
        <v>90</v>
      </c>
      <c r="C12482" s="5">
        <v>39700</v>
      </c>
      <c r="D12482" s="6">
        <v>10.26</v>
      </c>
      <c r="E12482" t="s">
        <v>45</v>
      </c>
    </row>
    <row r="12483" spans="1:5" x14ac:dyDescent="0.25">
      <c r="A12483" t="str">
        <f>HYPERLINK("https://www.773grp.com/globalSearch/MSP430F249TPMR/page-1", "MSP430F249TPMR")</f>
        <v>MSP430F249TPMR</v>
      </c>
      <c r="B12483" s="3" t="s">
        <v>90</v>
      </c>
      <c r="C12483" s="5">
        <v>3439</v>
      </c>
      <c r="D12483" s="6">
        <v>10.41</v>
      </c>
      <c r="E12483" t="s">
        <v>45</v>
      </c>
    </row>
    <row r="12484" spans="1:5" x14ac:dyDescent="0.25">
      <c r="A12484" t="str">
        <f>HYPERLINK("https://www.773grp.com/globalSearch/MSP430F436IPN/page-1", "MSP430F436IPN")</f>
        <v>MSP430F436IPN</v>
      </c>
      <c r="B12484" s="3" t="s">
        <v>90</v>
      </c>
      <c r="C12484" s="5">
        <v>4840</v>
      </c>
      <c r="D12484" s="6">
        <v>10.41</v>
      </c>
      <c r="E12484" t="s">
        <v>45</v>
      </c>
    </row>
    <row r="12485" spans="1:5" x14ac:dyDescent="0.25">
      <c r="A12485" t="str">
        <f>HYPERLINK("https://www.773grp.com/globalSearch/MSP430F4371IPNR/page-1", "MSP430F4371IPNR")</f>
        <v>MSP430F4371IPNR</v>
      </c>
      <c r="B12485" s="3" t="s">
        <v>90</v>
      </c>
      <c r="C12485" s="5">
        <v>1000</v>
      </c>
      <c r="D12485" s="6">
        <v>10.41</v>
      </c>
      <c r="E12485" t="s">
        <v>45</v>
      </c>
    </row>
    <row r="12486" spans="1:5" x14ac:dyDescent="0.25">
      <c r="A12486" t="str">
        <f>HYPERLINK("https://www.773grp.com/globalSearch/MSP430F4371IPZ/page-1", "MSP430F4371IPZ")</f>
        <v>MSP430F4371IPZ</v>
      </c>
      <c r="B12486" s="3" t="s">
        <v>90</v>
      </c>
      <c r="C12486" s="5">
        <v>70</v>
      </c>
      <c r="D12486" s="6">
        <v>10.41</v>
      </c>
      <c r="E12486" t="s">
        <v>45</v>
      </c>
    </row>
    <row r="12487" spans="1:5" x14ac:dyDescent="0.25">
      <c r="A12487" t="str">
        <f>HYPERLINK("https://www.773grp.com/globalSearch/MSP430F248TRGCT/page-1", "MSP430F248TRGCT")</f>
        <v>MSP430F248TRGCT</v>
      </c>
      <c r="B12487" s="3" t="s">
        <v>90</v>
      </c>
      <c r="C12487" s="5">
        <v>1470</v>
      </c>
      <c r="D12487" s="6">
        <v>10.55</v>
      </c>
      <c r="E12487" t="s">
        <v>45</v>
      </c>
    </row>
    <row r="12488" spans="1:5" x14ac:dyDescent="0.25">
      <c r="A12488" t="str">
        <f>HYPERLINK("https://www.773grp.com/globalSearch/LM3S828-IQN50-C2/page-1", "LM3S828-IQN50-C2")</f>
        <v>LM3S828-IQN50-C2</v>
      </c>
      <c r="B12488" s="3" t="s">
        <v>90</v>
      </c>
      <c r="C12488" s="5">
        <v>112</v>
      </c>
      <c r="D12488" s="6">
        <v>10.6</v>
      </c>
      <c r="E12488" t="s">
        <v>45</v>
      </c>
    </row>
    <row r="12489" spans="1:5" x14ac:dyDescent="0.25">
      <c r="A12489" t="str">
        <f>HYPERLINK("https://www.773grp.com/globalSearch/MSP430FE423AIPM/page-1", "MSP430FE423AIPM")</f>
        <v>MSP430FE423AIPM</v>
      </c>
      <c r="B12489" s="3" t="s">
        <v>90</v>
      </c>
      <c r="C12489" s="5">
        <v>160</v>
      </c>
      <c r="D12489" s="6">
        <v>10.64</v>
      </c>
      <c r="E12489" t="s">
        <v>45</v>
      </c>
    </row>
    <row r="12490" spans="1:5" x14ac:dyDescent="0.25">
      <c r="A12490" t="str">
        <f>HYPERLINK("https://www.773grp.com/globalSearch/MSP430F436IPNR/page-1", "MSP430F436IPNR")</f>
        <v>MSP430F436IPNR</v>
      </c>
      <c r="B12490" s="3" t="s">
        <v>90</v>
      </c>
      <c r="C12490" s="5">
        <v>1000</v>
      </c>
      <c r="D12490" s="6">
        <v>10.69</v>
      </c>
      <c r="E12490" t="s">
        <v>45</v>
      </c>
    </row>
    <row r="12491" spans="1:5" x14ac:dyDescent="0.25">
      <c r="A12491" t="str">
        <f>HYPERLINK("https://www.773grp.com/globalSearch/MSP430F436IPZ/page-1", "MSP430F436IPZ")</f>
        <v>MSP430F436IPZ</v>
      </c>
      <c r="B12491" s="3" t="s">
        <v>90</v>
      </c>
      <c r="C12491" s="5">
        <v>358</v>
      </c>
      <c r="D12491" s="6">
        <v>10.69</v>
      </c>
      <c r="E12491" t="s">
        <v>45</v>
      </c>
    </row>
    <row r="12492" spans="1:5" x14ac:dyDescent="0.25">
      <c r="A12492" t="str">
        <f>HYPERLINK("https://www.773grp.com/globalSearch/MSP430F2491TRGCT/page-1", "MSP430F2491TRGCT")</f>
        <v>MSP430F2491TRGCT</v>
      </c>
      <c r="B12492" s="3" t="s">
        <v>90</v>
      </c>
      <c r="C12492" s="5">
        <v>700</v>
      </c>
      <c r="D12492" s="6">
        <v>10.84</v>
      </c>
      <c r="E12492" t="s">
        <v>45</v>
      </c>
    </row>
    <row r="12493" spans="1:5" x14ac:dyDescent="0.25">
      <c r="A12493" t="str">
        <f>HYPERLINK("https://www.773grp.com/globalSearch/MSP430F437IPNR/page-1", "MSP430F437IPNR")</f>
        <v>MSP430F437IPNR</v>
      </c>
      <c r="B12493" s="3" t="s">
        <v>90</v>
      </c>
      <c r="C12493" s="5">
        <v>36367</v>
      </c>
      <c r="D12493" s="6">
        <v>10.98</v>
      </c>
      <c r="E12493" t="s">
        <v>45</v>
      </c>
    </row>
    <row r="12494" spans="1:5" x14ac:dyDescent="0.25">
      <c r="A12494" t="str">
        <f>HYPERLINK("https://www.773grp.com/globalSearch/MSP430F147IPMR/page-1", "MSP430F147IPMR")</f>
        <v>MSP430F147IPMR</v>
      </c>
      <c r="B12494" s="3" t="s">
        <v>90</v>
      </c>
      <c r="C12494" s="5">
        <v>19353</v>
      </c>
      <c r="D12494" s="6">
        <v>11.25</v>
      </c>
      <c r="E12494" t="s">
        <v>45</v>
      </c>
    </row>
    <row r="12495" spans="1:5" x14ac:dyDescent="0.25">
      <c r="A12495" t="str">
        <f>HYPERLINK("https://www.773grp.com/globalSearch/MSP430F4784IPZR/page-1", "MSP430F4784IPZR")</f>
        <v>MSP430F4784IPZR</v>
      </c>
      <c r="B12495" s="3" t="s">
        <v>90</v>
      </c>
      <c r="C12495" s="5">
        <v>2000</v>
      </c>
      <c r="D12495" s="6">
        <v>11.25</v>
      </c>
      <c r="E12495" t="s">
        <v>45</v>
      </c>
    </row>
    <row r="12496" spans="1:5" x14ac:dyDescent="0.25">
      <c r="A12496" t="str">
        <f>HYPERLINK("https://www.773grp.com/globalSearch/MSP430FE423IPM/page-1", "MSP430FE423IPM")</f>
        <v>MSP430FE423IPM</v>
      </c>
      <c r="B12496" s="3" t="s">
        <v>90</v>
      </c>
      <c r="C12496" s="5">
        <v>780</v>
      </c>
      <c r="D12496" s="6">
        <v>11.25</v>
      </c>
      <c r="E12496" t="s">
        <v>45</v>
      </c>
    </row>
    <row r="12497" spans="1:5" x14ac:dyDescent="0.25">
      <c r="A12497" t="str">
        <f>HYPERLINK("https://www.773grp.com/globalSearch/MSP430FG4270IDL/page-1", "MSP430FG4270IDL")</f>
        <v>MSP430FG4270IDL</v>
      </c>
      <c r="B12497" s="3" t="s">
        <v>90</v>
      </c>
      <c r="C12497" s="5">
        <v>1212</v>
      </c>
      <c r="D12497" s="6">
        <v>11.25</v>
      </c>
      <c r="E12497" t="s">
        <v>45</v>
      </c>
    </row>
    <row r="12498" spans="1:5" x14ac:dyDescent="0.25">
      <c r="A12498" t="str">
        <f>HYPERLINK("https://www.773grp.com/globalSearch/LM3S1816-IQR50-C1/page-1", "LM3S1816-IQR50-C1")</f>
        <v>LM3S1816-IQR50-C1</v>
      </c>
      <c r="B12498" s="3" t="s">
        <v>90</v>
      </c>
      <c r="C12498" s="5">
        <v>160</v>
      </c>
      <c r="D12498" s="6">
        <v>11.39</v>
      </c>
      <c r="E12498" t="s">
        <v>45</v>
      </c>
    </row>
    <row r="12499" spans="1:5" x14ac:dyDescent="0.25">
      <c r="A12499" t="str">
        <f>HYPERLINK("https://www.773grp.com/globalSearch/MSP430F447IPZR/page-1", "MSP430F447IPZR")</f>
        <v>MSP430F447IPZR</v>
      </c>
      <c r="B12499" s="3" t="s">
        <v>90</v>
      </c>
      <c r="C12499" s="5">
        <v>4000</v>
      </c>
      <c r="D12499" s="6">
        <v>11.39</v>
      </c>
      <c r="E12499" t="s">
        <v>45</v>
      </c>
    </row>
    <row r="12500" spans="1:5" x14ac:dyDescent="0.25">
      <c r="A12500" t="str">
        <f>HYPERLINK("https://www.773grp.com/globalSearch/MSP430F4481IPZ/page-1", "MSP430F4481IPZ")</f>
        <v>MSP430F4481IPZ</v>
      </c>
      <c r="B12500" s="3" t="s">
        <v>90</v>
      </c>
      <c r="C12500" s="5">
        <v>90</v>
      </c>
      <c r="D12500" s="6">
        <v>11.39</v>
      </c>
      <c r="E12500" t="s">
        <v>45</v>
      </c>
    </row>
    <row r="12501" spans="1:5" x14ac:dyDescent="0.25">
      <c r="A12501" t="str">
        <f>HYPERLINK("https://www.773grp.com/globalSearch/MSP430FG4270IRGZT/page-1", "MSP430FG4270IRGZT")</f>
        <v>MSP430FG4270IRGZT</v>
      </c>
      <c r="B12501" s="3" t="s">
        <v>90</v>
      </c>
      <c r="C12501" s="5">
        <v>195</v>
      </c>
      <c r="D12501" s="6">
        <v>11.39</v>
      </c>
      <c r="E12501" t="s">
        <v>45</v>
      </c>
    </row>
    <row r="12502" spans="1:5" x14ac:dyDescent="0.25">
      <c r="A12502" t="str">
        <f>HYPERLINK("https://www.773grp.com/globalSearch/LM3S1811-IBZ50-C3/page-1", "LM3S1811-IBZ50-C3")</f>
        <v>LM3S1811-IBZ50-C3</v>
      </c>
      <c r="B12502" s="3" t="s">
        <v>90</v>
      </c>
      <c r="C12502" s="5">
        <v>2</v>
      </c>
      <c r="D12502" s="6">
        <v>11.68</v>
      </c>
      <c r="E12502" t="s">
        <v>45</v>
      </c>
    </row>
    <row r="12503" spans="1:5" x14ac:dyDescent="0.25">
      <c r="A12503" t="str">
        <f>HYPERLINK("https://www.773grp.com/globalSearch/MSP430F437IPZ/page-1", "MSP430F437IPZ")</f>
        <v>MSP430F437IPZ</v>
      </c>
      <c r="B12503" s="3" t="s">
        <v>90</v>
      </c>
      <c r="C12503" s="5">
        <v>70</v>
      </c>
      <c r="D12503" s="6">
        <v>12.1</v>
      </c>
      <c r="E12503" t="s">
        <v>45</v>
      </c>
    </row>
    <row r="12504" spans="1:5" x14ac:dyDescent="0.25">
      <c r="A12504" t="str">
        <f>HYPERLINK("https://www.773grp.com/globalSearch/MSP430F4794IPZR/page-1", "MSP430F4794IPZR")</f>
        <v>MSP430F4794IPZR</v>
      </c>
      <c r="B12504" s="3" t="s">
        <v>90</v>
      </c>
      <c r="C12504" s="5">
        <v>86697</v>
      </c>
      <c r="D12504" s="6">
        <v>12.1</v>
      </c>
      <c r="E12504" t="s">
        <v>45</v>
      </c>
    </row>
    <row r="12505" spans="1:5" x14ac:dyDescent="0.25">
      <c r="A12505" t="str">
        <f>HYPERLINK("https://www.773grp.com/globalSearch/LM3S1R26-IQR80-C3/page-1", "LM3S1R26-IQR80-C3")</f>
        <v>LM3S1R26-IQR80-C3</v>
      </c>
      <c r="B12505" s="3" t="str">
        <f>HYPERLINK("https://www.773grp.com/manufacturer/texas-instruments?pageNo=46", "Texas Instruments")</f>
        <v>Texas Instruments</v>
      </c>
      <c r="C12505" s="5">
        <v>25</v>
      </c>
      <c r="D12505" s="6">
        <v>12.24</v>
      </c>
      <c r="E12505" t="s">
        <v>45</v>
      </c>
    </row>
    <row r="12506" spans="1:5" x14ac:dyDescent="0.25">
      <c r="A12506" t="str">
        <f>HYPERLINK("https://www.773grp.com/globalSearch/MSP430F448IPZR/page-1", "MSP430F448IPZR")</f>
        <v>MSP430F448IPZR</v>
      </c>
      <c r="B12506" s="3" t="str">
        <f>HYPERLINK("https://www.773grp.com/manufacturer/texas-instruments?pageNo=47", "Texas Instruments")</f>
        <v>Texas Instruments</v>
      </c>
      <c r="C12506" s="5">
        <v>7000</v>
      </c>
      <c r="D12506" s="6">
        <v>12.24</v>
      </c>
      <c r="E12506" t="s">
        <v>45</v>
      </c>
    </row>
    <row r="12507" spans="1:5" x14ac:dyDescent="0.25">
      <c r="A12507" t="str">
        <f>HYPERLINK("https://www.773grp.com/globalSearch/MSP430A002IPM/page-1", "MSP430A002IPM")</f>
        <v>MSP430A002IPM</v>
      </c>
      <c r="B12507" s="3" t="str">
        <f>HYPERLINK("https://www.773grp.com/manufacturer/texas-instruments?pageNo=124", "Texas Instruments")</f>
        <v>Texas Instruments</v>
      </c>
      <c r="C12507" s="5">
        <v>770</v>
      </c>
      <c r="D12507" s="6">
        <v>12.38</v>
      </c>
      <c r="E12507" t="s">
        <v>45</v>
      </c>
    </row>
    <row r="12508" spans="1:5" x14ac:dyDescent="0.25">
      <c r="A12508" t="str">
        <f>HYPERLINK("https://www.773grp.com/globalSearch/MSP430F147IPAG/page-1", "MSP430F147IPAG")</f>
        <v>MSP430F147IPAG</v>
      </c>
      <c r="B12508" s="3" t="str">
        <f>HYPERLINK("https://www.773grp.com/manufacturer/texas-instruments?pageNo=125", "Texas Instruments")</f>
        <v>Texas Instruments</v>
      </c>
      <c r="C12508" s="5">
        <v>8</v>
      </c>
      <c r="D12508" s="6">
        <v>12.38</v>
      </c>
      <c r="E12508" t="s">
        <v>45</v>
      </c>
    </row>
    <row r="12509" spans="1:5" x14ac:dyDescent="0.25">
      <c r="A12509" t="str">
        <f>HYPERLINK("https://www.773grp.com/globalSearch/MSP430F147IPAG/page-1", "MSP430F147IPAG")</f>
        <v>MSP430F147IPAG</v>
      </c>
      <c r="B12509" s="3" t="str">
        <f>HYPERLINK("https://www.773grp.com/manufacturer/texas-instruments?pageNo=126", "Texas Instruments")</f>
        <v>Texas Instruments</v>
      </c>
      <c r="C12509" s="5">
        <v>8002</v>
      </c>
      <c r="D12509" s="6">
        <v>12.38</v>
      </c>
      <c r="E12509" t="s">
        <v>45</v>
      </c>
    </row>
    <row r="12510" spans="1:5" x14ac:dyDescent="0.25">
      <c r="A12510" t="str">
        <f>HYPERLINK("https://www.773grp.com/globalSearch/MSP430F147IPM/page-1", "MSP430F147IPM")</f>
        <v>MSP430F147IPM</v>
      </c>
      <c r="B12510" s="3" t="str">
        <f>HYPERLINK("https://www.773grp.com/manufacturer/texas-instruments?pageNo=127", "Texas Instruments")</f>
        <v>Texas Instruments</v>
      </c>
      <c r="C12510" s="5">
        <v>3367</v>
      </c>
      <c r="D12510" s="6">
        <v>12.38</v>
      </c>
      <c r="E12510" t="s">
        <v>45</v>
      </c>
    </row>
    <row r="12511" spans="1:5" x14ac:dyDescent="0.25">
      <c r="A12511" t="str">
        <f>HYPERLINK("https://www.773grp.com/globalSearch/MSP430F147IRTDT/page-1", "MSP430F147IRTDT")</f>
        <v>MSP430F147IRTDT</v>
      </c>
      <c r="B12511" s="3" t="str">
        <f>HYPERLINK("https://www.773grp.com/manufacturer/texas-instruments?pageNo=128", "Texas Instruments")</f>
        <v>Texas Instruments</v>
      </c>
      <c r="C12511" s="5">
        <v>20474</v>
      </c>
      <c r="D12511" s="6">
        <v>12.38</v>
      </c>
      <c r="E12511" t="s">
        <v>45</v>
      </c>
    </row>
    <row r="12512" spans="1:5" x14ac:dyDescent="0.25">
      <c r="A12512" t="str">
        <f>HYPERLINK("https://www.773grp.com/globalSearch/MSP430F4491IPZR/page-1", "MSP430F4491IPZR")</f>
        <v>MSP430F4491IPZR</v>
      </c>
      <c r="B12512" s="3" t="str">
        <f>HYPERLINK("https://www.773grp.com/manufacturer/texas-instruments?pageNo=129", "Texas Instruments")</f>
        <v>Texas Instruments</v>
      </c>
      <c r="C12512" s="5">
        <v>406</v>
      </c>
      <c r="D12512" s="6">
        <v>12.38</v>
      </c>
      <c r="E12512" t="s">
        <v>45</v>
      </c>
    </row>
    <row r="12513" spans="1:5" x14ac:dyDescent="0.25">
      <c r="A12513" t="str">
        <f>HYPERLINK("https://www.773grp.com/globalSearch/MSP430F4784IPZ/page-1", "MSP430F4784IPZ")</f>
        <v>MSP430F4784IPZ</v>
      </c>
      <c r="B12513" s="3" t="str">
        <f>HYPERLINK("https://www.773grp.com/manufacturer/texas-instruments?pageNo=130", "Texas Instruments")</f>
        <v>Texas Instruments</v>
      </c>
      <c r="C12513" s="5">
        <v>606</v>
      </c>
      <c r="D12513" s="6">
        <v>12.38</v>
      </c>
      <c r="E12513" t="s">
        <v>45</v>
      </c>
    </row>
    <row r="12514" spans="1:5" x14ac:dyDescent="0.25">
      <c r="A12514" t="str">
        <f>HYPERLINK("https://www.773grp.com/globalSearch/MSP430FE425IPM/page-1", "MSP430FE425IPM")</f>
        <v>MSP430FE425IPM</v>
      </c>
      <c r="B12514" s="3" t="str">
        <f>HYPERLINK("https://www.773grp.com/manufacturer/texas-instruments?pageNo=171", "Texas Instruments")</f>
        <v>Texas Instruments</v>
      </c>
      <c r="C12514" s="5">
        <v>356</v>
      </c>
      <c r="D12514" s="6">
        <v>12.45</v>
      </c>
      <c r="E12514" t="s">
        <v>45</v>
      </c>
    </row>
    <row r="12515" spans="1:5" x14ac:dyDescent="0.25">
      <c r="A12515" t="str">
        <f>HYPERLINK("https://www.773grp.com/globalSearch/MSP430FE425IPMR/page-1", "MSP430FE425IPMR")</f>
        <v>MSP430FE425IPMR</v>
      </c>
      <c r="B12515" s="3" t="str">
        <f>HYPERLINK("https://www.773grp.com/manufacturer/texas-instruments?pageNo=172", "Texas Instruments")</f>
        <v>Texas Instruments</v>
      </c>
      <c r="C12515" s="5">
        <v>12000</v>
      </c>
      <c r="D12515" s="6">
        <v>12.45</v>
      </c>
      <c r="E12515" t="s">
        <v>45</v>
      </c>
    </row>
    <row r="12516" spans="1:5" x14ac:dyDescent="0.25">
      <c r="A12516" t="str">
        <f>HYPERLINK("https://www.773grp.com/globalSearch/TMS470R1A64PNT/page-1", "TMS470R1A64PNT")</f>
        <v>TMS470R1A64PNT</v>
      </c>
      <c r="B12516" s="3" t="str">
        <f>HYPERLINK("https://www.773grp.com/manufacturer/texas-instruments?pageNo=250", "Texas Instruments")</f>
        <v>Texas Instruments</v>
      </c>
      <c r="C12516" s="5">
        <v>267</v>
      </c>
      <c r="D12516" s="6">
        <v>12.54</v>
      </c>
      <c r="E12516" t="s">
        <v>45</v>
      </c>
    </row>
    <row r="12517" spans="1:5" x14ac:dyDescent="0.25">
      <c r="A12517" t="str">
        <f>HYPERLINK("https://www.773grp.com/globalSearch/MSP430F447IPZ/page-1", "MSP430F447IPZ")</f>
        <v>MSP430F447IPZ</v>
      </c>
      <c r="B12517" s="3" t="str">
        <f>HYPERLINK("https://www.773grp.com/manufacturer/texas-instruments?pageNo=277", "Texas Instruments")</f>
        <v>Texas Instruments</v>
      </c>
      <c r="C12517" s="5">
        <v>22471</v>
      </c>
      <c r="D12517" s="6">
        <v>12.66</v>
      </c>
      <c r="E12517" t="s">
        <v>45</v>
      </c>
    </row>
    <row r="12518" spans="1:5" x14ac:dyDescent="0.25">
      <c r="A12518" t="str">
        <f>HYPERLINK("https://www.773grp.com/globalSearch/TAS1020BPFB/page-1", "TAS1020BPFB")</f>
        <v>TAS1020BPFB</v>
      </c>
      <c r="B12518" s="3" t="str">
        <f>HYPERLINK("https://www.773grp.com/manufacturer/texas-instruments?pageNo=302", "Texas Instruments")</f>
        <v>Texas Instruments</v>
      </c>
      <c r="C12518" s="5">
        <v>500</v>
      </c>
      <c r="D12518" s="6">
        <v>12.66</v>
      </c>
      <c r="E12518" t="s">
        <v>45</v>
      </c>
    </row>
    <row r="12519" spans="1:5" x14ac:dyDescent="0.25">
      <c r="A12519" t="str">
        <f>HYPERLINK("https://www.773grp.com/globalSearch/TAS1020BPFBR/page-1", "TAS1020BPFBR")</f>
        <v>TAS1020BPFBR</v>
      </c>
      <c r="B12519" s="3" t="str">
        <f>HYPERLINK("https://www.773grp.com/manufacturer/texas-instruments?pageNo=303", "Texas Instruments")</f>
        <v>Texas Instruments</v>
      </c>
      <c r="C12519" s="5">
        <v>9903</v>
      </c>
      <c r="D12519" s="6">
        <v>12.66</v>
      </c>
      <c r="E12519" t="s">
        <v>45</v>
      </c>
    </row>
    <row r="12520" spans="1:5" x14ac:dyDescent="0.25">
      <c r="A12520" t="str">
        <f>HYPERLINK("https://www.773grp.com/globalSearch/MSP430F1471IPM/page-1", "MSP430F1471IPM")</f>
        <v>MSP430F1471IPM</v>
      </c>
      <c r="B12520" s="3" t="str">
        <f>HYPERLINK("https://www.773grp.com/manufacturer/texas-instruments?pageNo=370", "Texas Instruments")</f>
        <v>Texas Instruments</v>
      </c>
      <c r="C12520" s="5">
        <v>43526</v>
      </c>
      <c r="D12520" s="6">
        <v>12.79</v>
      </c>
      <c r="E12520" t="s">
        <v>45</v>
      </c>
    </row>
    <row r="12521" spans="1:5" x14ac:dyDescent="0.25">
      <c r="A12521" t="str">
        <f>HYPERLINK("https://www.773grp.com/globalSearch/MSP430F1471IPMR/page-1", "MSP430F1471IPMR")</f>
        <v>MSP430F1471IPMR</v>
      </c>
      <c r="B12521" s="3" t="str">
        <f>HYPERLINK("https://www.773grp.com/manufacturer/texas-instruments?pageNo=371", "Texas Instruments")</f>
        <v>Texas Instruments</v>
      </c>
      <c r="C12521" s="5">
        <v>17000</v>
      </c>
      <c r="D12521" s="6">
        <v>12.79</v>
      </c>
      <c r="E12521" t="s">
        <v>45</v>
      </c>
    </row>
    <row r="12522" spans="1:5" x14ac:dyDescent="0.25">
      <c r="A12522" t="str">
        <f>HYPERLINK("https://www.773grp.com/globalSearch/MSP430F1471IRTDR/page-1", "MSP430F1471IRTDR")</f>
        <v>MSP430F1471IRTDR</v>
      </c>
      <c r="B12522" s="3" t="str">
        <f>HYPERLINK("https://www.773grp.com/manufacturer/texas-instruments?pageNo=372", "Texas Instruments")</f>
        <v>Texas Instruments</v>
      </c>
      <c r="C12522" s="5">
        <v>2500</v>
      </c>
      <c r="D12522" s="6">
        <v>12.79</v>
      </c>
      <c r="E12522" t="s">
        <v>45</v>
      </c>
    </row>
    <row r="12523" spans="1:5" x14ac:dyDescent="0.25">
      <c r="A12523" t="str">
        <f>HYPERLINK("https://www.773grp.com/globalSearch/MSP430F2410TPM/page-1", "MSP430F2410TPM")</f>
        <v>MSP430F2410TPM</v>
      </c>
      <c r="B12523" s="3" t="str">
        <f>HYPERLINK("https://www.773grp.com/manufacturer/texas-instruments?pageNo=440", "Texas Instruments")</f>
        <v>Texas Instruments</v>
      </c>
      <c r="C12523" s="5">
        <v>705</v>
      </c>
      <c r="D12523" s="6">
        <v>12.94</v>
      </c>
      <c r="E12523" t="s">
        <v>45</v>
      </c>
    </row>
    <row r="12524" spans="1:5" x14ac:dyDescent="0.25">
      <c r="A12524" t="str">
        <f>HYPERLINK("https://www.773grp.com/globalSearch/MSP430F2410TRGCR/page-1", "MSP430F2410TRGCR")</f>
        <v>MSP430F2410TRGCR</v>
      </c>
      <c r="B12524" s="3" t="str">
        <f>HYPERLINK("https://www.773grp.com/manufacturer/texas-instruments?pageNo=441", "Texas Instruments")</f>
        <v>Texas Instruments</v>
      </c>
      <c r="C12524" s="5">
        <v>1605</v>
      </c>
      <c r="D12524" s="6">
        <v>12.94</v>
      </c>
      <c r="E12524" t="s">
        <v>45</v>
      </c>
    </row>
    <row r="12525" spans="1:5" x14ac:dyDescent="0.25">
      <c r="A12525" t="str">
        <f>HYPERLINK("https://www.773grp.com/globalSearch/MSP430F477IPN/page-1", "MSP430F477IPN")</f>
        <v>MSP430F477IPN</v>
      </c>
      <c r="B12525" s="3" t="str">
        <f>HYPERLINK("https://www.773grp.com/manufacturer/texas-instruments?pageNo=442", "Texas Instruments")</f>
        <v>Texas Instruments</v>
      </c>
      <c r="C12525" s="5">
        <v>899</v>
      </c>
      <c r="D12525" s="6">
        <v>12.94</v>
      </c>
      <c r="E12525" t="s">
        <v>45</v>
      </c>
    </row>
    <row r="12526" spans="1:5" x14ac:dyDescent="0.25">
      <c r="A12526" t="str">
        <f>HYPERLINK("https://www.773grp.com/globalSearch/TMS320F28033PNT/page-1", "TMS320F28033PNT")</f>
        <v>TMS320F28033PNT</v>
      </c>
      <c r="B12526" s="3" t="str">
        <f>HYPERLINK("https://www.773grp.com/manufacturer/texas-instruments?pageNo=454", "Texas Instruments")</f>
        <v>Texas Instruments</v>
      </c>
      <c r="C12526" s="5">
        <v>3451</v>
      </c>
      <c r="D12526" s="6">
        <v>12.94</v>
      </c>
      <c r="E12526" t="s">
        <v>45</v>
      </c>
    </row>
    <row r="12527" spans="1:5" x14ac:dyDescent="0.25">
      <c r="A12527" t="str">
        <f>HYPERLINK("https://www.773grp.com/globalSearch/MSP430F449IPZR/page-1", "MSP430F449IPZR")</f>
        <v>MSP430F449IPZR</v>
      </c>
      <c r="B12527" s="3" t="str">
        <f>HYPERLINK("https://www.773grp.com/manufacturer/texas-instruments?pageNo=520", "Texas Instruments")</f>
        <v>Texas Instruments</v>
      </c>
      <c r="C12527" s="5">
        <v>200</v>
      </c>
      <c r="D12527" s="6">
        <v>13.08</v>
      </c>
      <c r="E12527" t="s">
        <v>45</v>
      </c>
    </row>
    <row r="12528" spans="1:5" x14ac:dyDescent="0.25">
      <c r="A12528" t="str">
        <f>HYPERLINK("https://www.773grp.com/globalSearch/MSP430F149IPMR/page-1", "MSP430F149IPMR")</f>
        <v>MSP430F149IPMR</v>
      </c>
      <c r="B12528" s="3" t="str">
        <f>HYPERLINK("https://www.773grp.com/manufacturer/texas-instruments?pageNo=540", "Texas Instruments")</f>
        <v>Texas Instruments</v>
      </c>
      <c r="C12528" s="5">
        <v>53812</v>
      </c>
      <c r="D12528" s="6">
        <v>13.11</v>
      </c>
      <c r="E12528" t="s">
        <v>45</v>
      </c>
    </row>
    <row r="12529" spans="1:5" x14ac:dyDescent="0.25">
      <c r="A12529" t="str">
        <f>HYPERLINK("https://www.773grp.com/globalSearch/MSP430F2416TPN/page-1", "MSP430F2416TPN")</f>
        <v>MSP430F2416TPN</v>
      </c>
      <c r="B12529" s="3" t="str">
        <f>HYPERLINK("https://www.773grp.com/manufacturer/texas-instruments?pageNo=568", "Texas Instruments")</f>
        <v>Texas Instruments</v>
      </c>
      <c r="C12529" s="5">
        <v>522</v>
      </c>
      <c r="D12529" s="6">
        <v>13.21</v>
      </c>
      <c r="E12529" t="s">
        <v>45</v>
      </c>
    </row>
    <row r="12530" spans="1:5" x14ac:dyDescent="0.25">
      <c r="A12530" t="str">
        <f>HYPERLINK("https://www.773grp.com/globalSearch/MSP430FE427IPM/page-1", "MSP430FE427IPM")</f>
        <v>MSP430FE427IPM</v>
      </c>
      <c r="B12530" s="3" t="str">
        <f>HYPERLINK("https://www.773grp.com/manufacturer/texas-instruments?pageNo=588", "Texas Instruments")</f>
        <v>Texas Instruments</v>
      </c>
      <c r="C12530" s="5">
        <v>887</v>
      </c>
      <c r="D12530" s="6">
        <v>13.25</v>
      </c>
      <c r="E12530" t="s">
        <v>45</v>
      </c>
    </row>
    <row r="12531" spans="1:5" x14ac:dyDescent="0.25">
      <c r="A12531" t="str">
        <f>HYPERLINK("https://www.773grp.com/globalSearch/MSP430F148IPAG/page-1", "MSP430F148IPAG")</f>
        <v>MSP430F148IPAG</v>
      </c>
      <c r="B12531" s="3" t="str">
        <f>HYPERLINK("https://www.773grp.com/manufacturer/texas-instruments?pageNo=689", "Texas Instruments")</f>
        <v>Texas Instruments</v>
      </c>
      <c r="C12531" s="5">
        <v>2953</v>
      </c>
      <c r="D12531" s="6">
        <v>13.39</v>
      </c>
      <c r="E12531" t="s">
        <v>45</v>
      </c>
    </row>
    <row r="12532" spans="1:5" x14ac:dyDescent="0.25">
      <c r="A12532" t="str">
        <f>HYPERLINK("https://www.773grp.com/globalSearch/MSP430F148IPM/page-1", "MSP430F148IPM")</f>
        <v>MSP430F148IPM</v>
      </c>
      <c r="B12532" s="3" t="str">
        <f>HYPERLINK("https://www.773grp.com/manufacturer/texas-instruments?pageNo=690", "Texas Instruments")</f>
        <v>Texas Instruments</v>
      </c>
      <c r="C12532" s="5">
        <v>266</v>
      </c>
      <c r="D12532" s="6">
        <v>13.39</v>
      </c>
      <c r="E12532" t="s">
        <v>45</v>
      </c>
    </row>
    <row r="12533" spans="1:5" x14ac:dyDescent="0.25">
      <c r="A12533" t="str">
        <f>HYPERLINK("https://www.773grp.com/globalSearch/MSP430F2416TZQW/page-1", "MSP430F2416TZQW")</f>
        <v>MSP430F2416TZQW</v>
      </c>
      <c r="B12533" s="3" t="str">
        <f>HYPERLINK("https://www.773grp.com/manufacturer/texas-instruments?pageNo=732", "Texas Instruments")</f>
        <v>Texas Instruments</v>
      </c>
      <c r="C12533" s="5">
        <v>238</v>
      </c>
      <c r="D12533" s="6">
        <v>13.5</v>
      </c>
      <c r="E12533" t="s">
        <v>45</v>
      </c>
    </row>
    <row r="12534" spans="1:5" x14ac:dyDescent="0.25">
      <c r="A12534" t="str">
        <f>HYPERLINK("https://www.773grp.com/globalSearch/MSP430F2417TPN/page-1", "MSP430F2417TPN")</f>
        <v>MSP430F2417TPN</v>
      </c>
      <c r="B12534" s="3" t="str">
        <f>HYPERLINK("https://www.773grp.com/manufacturer/texas-instruments?pageNo=734", "Texas Instruments")</f>
        <v>Texas Instruments</v>
      </c>
      <c r="C12534" s="5">
        <v>503</v>
      </c>
      <c r="D12534" s="6">
        <v>13.5</v>
      </c>
      <c r="E12534" t="s">
        <v>45</v>
      </c>
    </row>
    <row r="12535" spans="1:5" x14ac:dyDescent="0.25">
      <c r="A12535" t="str">
        <f>HYPERLINK("https://www.773grp.com/globalSearch/MSP430F2417TPNR/page-1", "MSP430F2417TPNR")</f>
        <v>MSP430F2417TPNR</v>
      </c>
      <c r="B12535" s="3" t="str">
        <f>HYPERLINK("https://www.773grp.com/manufacturer/texas-instruments?pageNo=735", "Texas Instruments")</f>
        <v>Texas Instruments</v>
      </c>
      <c r="C12535" s="5">
        <v>1950</v>
      </c>
      <c r="D12535" s="6">
        <v>13.5</v>
      </c>
      <c r="E12535" t="s">
        <v>45</v>
      </c>
    </row>
    <row r="12536" spans="1:5" x14ac:dyDescent="0.25">
      <c r="A12536" t="str">
        <f>HYPERLINK("https://www.773grp.com/globalSearch/MSP430F5435IPN/page-1", "MSP430F5435IPN")</f>
        <v>MSP430F5435IPN</v>
      </c>
      <c r="B12536" s="3" t="str">
        <f>HYPERLINK("https://www.773grp.com/manufacturer/texas-instruments?pageNo=736", "Texas Instruments")</f>
        <v>Texas Instruments</v>
      </c>
      <c r="C12536" s="5">
        <v>517</v>
      </c>
      <c r="D12536" s="6">
        <v>13.5</v>
      </c>
      <c r="E12536" t="s">
        <v>45</v>
      </c>
    </row>
    <row r="12537" spans="1:5" x14ac:dyDescent="0.25">
      <c r="A12537" t="str">
        <f>HYPERLINK("https://www.773grp.com/globalSearch/TAS1020APFB/page-1", "TAS1020APFB")</f>
        <v>TAS1020APFB</v>
      </c>
      <c r="B12537" s="3" t="str">
        <f>HYPERLINK("https://www.773grp.com/manufacturer/texas-instruments?pageNo=748", "Texas Instruments")</f>
        <v>Texas Instruments</v>
      </c>
      <c r="C12537" s="5">
        <v>9833</v>
      </c>
      <c r="D12537" s="6">
        <v>13.5</v>
      </c>
      <c r="E12537" t="s">
        <v>45</v>
      </c>
    </row>
    <row r="12538" spans="1:5" x14ac:dyDescent="0.25">
      <c r="A12538" t="str">
        <f>HYPERLINK("https://www.773grp.com/globalSearch/TAS1020APFBG4/page-1", "TAS1020APFBG4")</f>
        <v>TAS1020APFBG4</v>
      </c>
      <c r="B12538" s="3" t="str">
        <f>HYPERLINK("https://www.773grp.com/manufacturer/texas-instruments?pageNo=749", "Texas Instruments")</f>
        <v>Texas Instruments</v>
      </c>
      <c r="C12538" s="5">
        <v>180</v>
      </c>
      <c r="D12538" s="6">
        <v>13.5</v>
      </c>
      <c r="E12538" t="s">
        <v>45</v>
      </c>
    </row>
    <row r="12539" spans="1:5" x14ac:dyDescent="0.25">
      <c r="A12539" t="str">
        <f>HYPERLINK("https://www.773grp.com/globalSearch/TMS470R1A128PZ-T/page-1", "TMS470R1A128PZ-T")</f>
        <v>TMS470R1A128PZ-T</v>
      </c>
      <c r="B12539" s="3" t="str">
        <f>HYPERLINK("https://www.773grp.com/manufacturer/texas-instruments?pageNo=756", "Texas Instruments")</f>
        <v>Texas Instruments</v>
      </c>
      <c r="C12539" s="5">
        <v>17063</v>
      </c>
      <c r="D12539" s="6">
        <v>13.5</v>
      </c>
      <c r="E12539" t="s">
        <v>45</v>
      </c>
    </row>
    <row r="12540" spans="1:5" x14ac:dyDescent="0.25">
      <c r="A12540" t="str">
        <f>HYPERLINK("https://www.773grp.com/globalSearch/MSP430F2417TZQWR/page-1", "MSP430F2417TZQWR")</f>
        <v>MSP430F2417TZQWR</v>
      </c>
      <c r="B12540" s="3" t="str">
        <f>HYPERLINK("https://www.773grp.com/manufacturer/texas-instruments?pageNo=883", "Texas Instruments")</f>
        <v>Texas Instruments</v>
      </c>
      <c r="C12540" s="5">
        <v>2500</v>
      </c>
      <c r="D12540" s="6">
        <v>13.79</v>
      </c>
      <c r="E12540" t="s">
        <v>45</v>
      </c>
    </row>
    <row r="12541" spans="1:5" x14ac:dyDescent="0.25">
      <c r="A12541" t="str">
        <f>HYPERLINK("https://www.773grp.com/globalSearch/MSP430BT5190IPZ/page-1", "MSP430BT5190IPZ")</f>
        <v>MSP430BT5190IPZ</v>
      </c>
      <c r="B12541" s="3" t="str">
        <f>HYPERLINK("https://www.773grp.com/manufacturer/texas-instruments?pageNo=958", "Texas Instruments")</f>
        <v>Texas Instruments</v>
      </c>
      <c r="C12541" s="5">
        <v>62970</v>
      </c>
      <c r="D12541" s="6">
        <v>13.93</v>
      </c>
      <c r="E12541" t="s">
        <v>45</v>
      </c>
    </row>
    <row r="12542" spans="1:5" x14ac:dyDescent="0.25">
      <c r="A12542" t="str">
        <f>HYPERLINK("https://www.773grp.com/globalSearch/MSP430F5437IPNR/page-1", "MSP430F5437IPNR")</f>
        <v>MSP430F5437IPNR</v>
      </c>
      <c r="B12542" s="3" t="str">
        <f>HYPERLINK("https://www.773grp.com/manufacturer/texas-instruments?pageNo=961", "Texas Instruments")</f>
        <v>Texas Instruments</v>
      </c>
      <c r="C12542" s="5">
        <v>63000</v>
      </c>
      <c r="D12542" s="6">
        <v>13.93</v>
      </c>
      <c r="E12542" t="s">
        <v>45</v>
      </c>
    </row>
    <row r="12543" spans="1:5" x14ac:dyDescent="0.25">
      <c r="A12543" t="str">
        <f>HYPERLINK("https://www.773grp.com/globalSearch/MSP430FG438IPN/page-1", "MSP430FG438IPN")</f>
        <v>MSP430FG438IPN</v>
      </c>
      <c r="B12543" s="3" t="str">
        <f>HYPERLINK("https://www.773grp.com/manufacturer/texas-instruments?pageNo=962", "Texas Instruments")</f>
        <v>Texas Instruments</v>
      </c>
      <c r="C12543" s="5">
        <v>1</v>
      </c>
      <c r="D12543" s="6">
        <v>13.93</v>
      </c>
      <c r="E12543" t="s">
        <v>45</v>
      </c>
    </row>
    <row r="12544" spans="1:5" x14ac:dyDescent="0.25">
      <c r="A12544" t="str">
        <f>HYPERLINK("https://www.773grp.com/globalSearch/MSP430F2418TPN/page-1", "MSP430F2418TPN")</f>
        <v>MSP430F2418TPN</v>
      </c>
      <c r="B12544" s="3" t="s">
        <v>90</v>
      </c>
      <c r="C12544" s="5">
        <v>853</v>
      </c>
      <c r="D12544" s="6">
        <v>14.06</v>
      </c>
      <c r="E12544" t="s">
        <v>45</v>
      </c>
    </row>
    <row r="12545" spans="1:5" x14ac:dyDescent="0.25">
      <c r="A12545" t="str">
        <f>HYPERLINK("https://www.773grp.com/globalSearch/MSP430F6638IPZ/page-1", "MSP430F6638IPZ")</f>
        <v>MSP430F6638IPZ</v>
      </c>
      <c r="B12545" s="3" t="s">
        <v>90</v>
      </c>
      <c r="C12545" s="5">
        <v>170</v>
      </c>
      <c r="D12545" s="6">
        <v>14.18</v>
      </c>
      <c r="E12545" t="s">
        <v>45</v>
      </c>
    </row>
    <row r="12546" spans="1:5" x14ac:dyDescent="0.25">
      <c r="A12546" t="str">
        <f>HYPERLINK("https://www.773grp.com/globalSearch/MSP430F5438AIPZ/page-1", "MSP430F5438AIPZ")</f>
        <v>MSP430F5438AIPZ</v>
      </c>
      <c r="B12546" s="3" t="s">
        <v>90</v>
      </c>
      <c r="C12546" s="5">
        <v>546</v>
      </c>
      <c r="D12546" s="6">
        <v>14.21</v>
      </c>
      <c r="E12546" t="s">
        <v>45</v>
      </c>
    </row>
    <row r="12547" spans="1:5" x14ac:dyDescent="0.25">
      <c r="A12547" t="str">
        <f>HYPERLINK("https://www.773grp.com/globalSearch/MSP430F2418TZQW/page-1", "MSP430F2418TZQW")</f>
        <v>MSP430F2418TZQW</v>
      </c>
      <c r="B12547" s="3" t="s">
        <v>90</v>
      </c>
      <c r="C12547" s="5">
        <v>300</v>
      </c>
      <c r="D12547" s="6">
        <v>14.35</v>
      </c>
      <c r="E12547" t="s">
        <v>45</v>
      </c>
    </row>
    <row r="12548" spans="1:5" x14ac:dyDescent="0.25">
      <c r="A12548" t="str">
        <f>HYPERLINK("https://www.773grp.com/globalSearch/MSP430F1481IPM/page-1", "MSP430F1481IPM")</f>
        <v>MSP430F1481IPM</v>
      </c>
      <c r="B12548" s="3" t="s">
        <v>90</v>
      </c>
      <c r="C12548" s="5">
        <v>1161</v>
      </c>
      <c r="D12548" s="6">
        <v>14.38</v>
      </c>
      <c r="E12548" t="s">
        <v>45</v>
      </c>
    </row>
    <row r="12549" spans="1:5" x14ac:dyDescent="0.25">
      <c r="A12549" t="str">
        <f>HYPERLINK("https://www.773grp.com/globalSearch/MSP430F1481IPMR/page-1", "MSP430F1481IPMR")</f>
        <v>MSP430F1481IPMR</v>
      </c>
      <c r="B12549" s="3" t="s">
        <v>90</v>
      </c>
      <c r="C12549" s="5">
        <v>1800</v>
      </c>
      <c r="D12549" s="6">
        <v>14.38</v>
      </c>
      <c r="E12549" t="s">
        <v>45</v>
      </c>
    </row>
    <row r="12550" spans="1:5" x14ac:dyDescent="0.25">
      <c r="A12550" t="str">
        <f>HYPERLINK("https://www.773grp.com/globalSearch/MSP430F1481IRTDR/page-1", "MSP430F1481IRTDR")</f>
        <v>MSP430F1481IRTDR</v>
      </c>
      <c r="B12550" s="3" t="s">
        <v>90</v>
      </c>
      <c r="C12550" s="5">
        <v>10000</v>
      </c>
      <c r="D12550" s="6">
        <v>14.38</v>
      </c>
      <c r="E12550" t="s">
        <v>45</v>
      </c>
    </row>
    <row r="12551" spans="1:5" x14ac:dyDescent="0.25">
      <c r="A12551" t="str">
        <f>HYPERLINK("https://www.773grp.com/globalSearch/MSP430F1491IPM/page-1", "MSP430F1491IPM")</f>
        <v>MSP430F1491IPM</v>
      </c>
      <c r="B12551" s="3" t="s">
        <v>90</v>
      </c>
      <c r="C12551" s="5">
        <v>4320</v>
      </c>
      <c r="D12551" s="6">
        <v>14.38</v>
      </c>
      <c r="E12551" t="s">
        <v>45</v>
      </c>
    </row>
    <row r="12552" spans="1:5" x14ac:dyDescent="0.25">
      <c r="A12552" t="str">
        <f>HYPERLINK("https://www.773grp.com/globalSearch/MSP430F149IPM/page-1", "MSP430F149IPM")</f>
        <v>MSP430F149IPM</v>
      </c>
      <c r="B12552" s="3" t="s">
        <v>90</v>
      </c>
      <c r="C12552" s="5">
        <v>713</v>
      </c>
      <c r="D12552" s="6">
        <v>14.43</v>
      </c>
      <c r="E12552" t="s">
        <v>45</v>
      </c>
    </row>
    <row r="12553" spans="1:5" x14ac:dyDescent="0.25">
      <c r="A12553" t="str">
        <f>HYPERLINK("https://www.773grp.com/globalSearch/MSP430F149IPMG4/page-1", "MSP430F149IPMG4")</f>
        <v>MSP430F149IPMG4</v>
      </c>
      <c r="B12553" s="3" t="s">
        <v>90</v>
      </c>
      <c r="C12553" s="5">
        <v>177</v>
      </c>
      <c r="D12553" s="6">
        <v>14.43</v>
      </c>
      <c r="E12553" t="s">
        <v>45</v>
      </c>
    </row>
    <row r="12554" spans="1:5" x14ac:dyDescent="0.25">
      <c r="A12554" t="str">
        <f>HYPERLINK("https://www.773grp.com/globalSearch/MSP430F449IPZ/page-1", "MSP430F449IPZ")</f>
        <v>MSP430F449IPZ</v>
      </c>
      <c r="B12554" s="3" t="s">
        <v>90</v>
      </c>
      <c r="C12554" s="5">
        <v>750</v>
      </c>
      <c r="D12554" s="6">
        <v>14.48</v>
      </c>
      <c r="E12554" t="s">
        <v>45</v>
      </c>
    </row>
    <row r="12555" spans="1:5" x14ac:dyDescent="0.25">
      <c r="A12555" t="str">
        <f>HYPERLINK("https://www.773grp.com/globalSearch/MSP430F1481IRTDT/page-1", "MSP430F1481IRTDT")</f>
        <v>MSP430F1481IRTDT</v>
      </c>
      <c r="B12555" s="3" t="s">
        <v>90</v>
      </c>
      <c r="C12555" s="5">
        <v>7350</v>
      </c>
      <c r="D12555" s="6">
        <v>14.51</v>
      </c>
      <c r="E12555" t="s">
        <v>45</v>
      </c>
    </row>
    <row r="12556" spans="1:5" x14ac:dyDescent="0.25">
      <c r="A12556" t="str">
        <f>HYPERLINK("https://www.773grp.com/globalSearch/MSP430F1491IRTDT/page-1", "MSP430F1491IRTDT")</f>
        <v>MSP430F1491IRTDT</v>
      </c>
      <c r="B12556" s="3" t="s">
        <v>90</v>
      </c>
      <c r="C12556" s="5">
        <v>503</v>
      </c>
      <c r="D12556" s="6">
        <v>14.51</v>
      </c>
      <c r="E12556" t="s">
        <v>45</v>
      </c>
    </row>
    <row r="12557" spans="1:5" x14ac:dyDescent="0.25">
      <c r="A12557" t="str">
        <f>HYPERLINK("https://www.773grp.com/globalSearch/MSP430F47127IPZ/page-1", "MSP430F47127IPZ")</f>
        <v>MSP430F47127IPZ</v>
      </c>
      <c r="B12557" s="3" t="s">
        <v>90</v>
      </c>
      <c r="C12557" s="5">
        <v>40</v>
      </c>
      <c r="D12557" s="6">
        <v>14.63</v>
      </c>
      <c r="E12557" t="s">
        <v>45</v>
      </c>
    </row>
    <row r="12558" spans="1:5" x14ac:dyDescent="0.25">
      <c r="A12558" t="str">
        <f>HYPERLINK("https://www.773grp.com/globalSearch/TMS370C250AFNT/page-1", "TMS370C250AFNT")</f>
        <v>TMS370C250AFNT</v>
      </c>
      <c r="B12558" s="3" t="s">
        <v>90</v>
      </c>
      <c r="C12558" s="5">
        <v>812</v>
      </c>
      <c r="D12558" s="6">
        <v>14.63</v>
      </c>
      <c r="E12558" t="s">
        <v>45</v>
      </c>
    </row>
    <row r="12559" spans="1:5" x14ac:dyDescent="0.25">
      <c r="A12559" t="str">
        <f>HYPERLINK("https://www.773grp.com/globalSearch/MSP430F47177IPZ/page-1", "MSP430F47177IPZ")</f>
        <v>MSP430F47177IPZ</v>
      </c>
      <c r="B12559" s="3" t="s">
        <v>90</v>
      </c>
      <c r="C12559" s="5">
        <v>90</v>
      </c>
      <c r="D12559" s="6">
        <v>15.05</v>
      </c>
      <c r="E12559" t="s">
        <v>45</v>
      </c>
    </row>
    <row r="12560" spans="1:5" x14ac:dyDescent="0.25">
      <c r="A12560" t="str">
        <f>HYPERLINK("https://www.773grp.com/globalSearch/MSP430F155IPMR/page-1", "MSP430F155IPMR")</f>
        <v>MSP430F155IPMR</v>
      </c>
      <c r="B12560" s="3" t="s">
        <v>90</v>
      </c>
      <c r="C12560" s="5">
        <v>2428</v>
      </c>
      <c r="D12560" s="6">
        <v>15.14</v>
      </c>
      <c r="E12560" t="s">
        <v>45</v>
      </c>
    </row>
    <row r="12561" spans="1:5" x14ac:dyDescent="0.25">
      <c r="A12561" t="str">
        <f>HYPERLINK("https://www.773grp.com/globalSearch/MSP430F2419TZQW/page-1", "MSP430F2419TZQW")</f>
        <v>MSP430F2419TZQW</v>
      </c>
      <c r="B12561" s="3" t="s">
        <v>90</v>
      </c>
      <c r="C12561" s="5">
        <v>1150</v>
      </c>
      <c r="D12561" s="6">
        <v>15.19</v>
      </c>
      <c r="E12561" t="s">
        <v>45</v>
      </c>
    </row>
    <row r="12562" spans="1:5" x14ac:dyDescent="0.25">
      <c r="A12562" t="str">
        <f>HYPERLINK("https://www.773grp.com/globalSearch/MSP430F438IPN/page-1", "MSP430F438IPN")</f>
        <v>MSP430F438IPN</v>
      </c>
      <c r="B12562" s="3" t="s">
        <v>90</v>
      </c>
      <c r="C12562" s="5">
        <v>2380</v>
      </c>
      <c r="D12562" s="6">
        <v>15.19</v>
      </c>
      <c r="E12562" t="s">
        <v>45</v>
      </c>
    </row>
    <row r="12563" spans="1:5" x14ac:dyDescent="0.25">
      <c r="A12563" t="str">
        <f>HYPERLINK("https://www.773grp.com/globalSearch/MSP430F155IRTDT/page-1", "MSP430F155IRTDT")</f>
        <v>MSP430F155IRTDT</v>
      </c>
      <c r="B12563" s="3" t="s">
        <v>90</v>
      </c>
      <c r="C12563" s="5">
        <v>293</v>
      </c>
      <c r="D12563" s="6">
        <v>15.28</v>
      </c>
      <c r="E12563" t="s">
        <v>45</v>
      </c>
    </row>
    <row r="12564" spans="1:5" x14ac:dyDescent="0.25">
      <c r="A12564" t="str">
        <f>HYPERLINK("https://www.773grp.com/globalSearch/MSP430F156IPM/page-1", "MSP430F156IPM")</f>
        <v>MSP430F156IPM</v>
      </c>
      <c r="B12564" s="3" t="s">
        <v>90</v>
      </c>
      <c r="C12564" s="5">
        <v>534</v>
      </c>
      <c r="D12564" s="6">
        <v>15.78</v>
      </c>
      <c r="E12564" t="s">
        <v>45</v>
      </c>
    </row>
    <row r="12565" spans="1:5" x14ac:dyDescent="0.25">
      <c r="A12565" t="str">
        <f>HYPERLINK("https://www.773grp.com/globalSearch/LM3S5956-IQR80-C1/page-1", "LM3S5956-IQR80-C1")</f>
        <v>LM3S5956-IQR80-C1</v>
      </c>
      <c r="B12565" s="3" t="s">
        <v>90</v>
      </c>
      <c r="C12565" s="5">
        <v>1</v>
      </c>
      <c r="D12565" s="6">
        <v>15.9</v>
      </c>
      <c r="E12565" t="s">
        <v>45</v>
      </c>
    </row>
    <row r="12566" spans="1:5" x14ac:dyDescent="0.25">
      <c r="A12566" t="str">
        <f>HYPERLINK("https://www.773grp.com/globalSearch/LM3S5662-IQR50-A0/page-1", "LM3S5662-IQR50-A0")</f>
        <v>LM3S5662-IQR50-A0</v>
      </c>
      <c r="B12566" s="3" t="s">
        <v>90</v>
      </c>
      <c r="C12566" s="5">
        <v>644</v>
      </c>
      <c r="D12566" s="6">
        <v>16.16</v>
      </c>
      <c r="E12566" t="s">
        <v>45</v>
      </c>
    </row>
    <row r="12567" spans="1:5" x14ac:dyDescent="0.25">
      <c r="A12567" t="str">
        <f>HYPERLINK("https://www.773grp.com/globalSearch/LM3S5752-IQR50-A0/page-1", "LM3S5752-IQR50-A0")</f>
        <v>LM3S5752-IQR50-A0</v>
      </c>
      <c r="B12567" s="3" t="s">
        <v>90</v>
      </c>
      <c r="C12567" s="5">
        <v>608</v>
      </c>
      <c r="D12567" s="6">
        <v>16.29</v>
      </c>
      <c r="E12567" t="s">
        <v>45</v>
      </c>
    </row>
    <row r="12568" spans="1:5" x14ac:dyDescent="0.25">
      <c r="A12568" t="str">
        <f>HYPERLINK("https://www.773grp.com/globalSearch/LM3S5762-IQR50-A0/page-1", "LM3S5762-IQR50-A0")</f>
        <v>LM3S5762-IQR50-A0</v>
      </c>
      <c r="B12568" s="3" t="s">
        <v>90</v>
      </c>
      <c r="C12568" s="5">
        <v>168</v>
      </c>
      <c r="D12568" s="6">
        <v>16.29</v>
      </c>
      <c r="E12568" t="s">
        <v>45</v>
      </c>
    </row>
    <row r="12569" spans="1:5" x14ac:dyDescent="0.25">
      <c r="A12569" t="str">
        <f>HYPERLINK("https://www.773grp.com/globalSearch/MSP430FG439IPN/page-1", "MSP430FG439IPN")</f>
        <v>MSP430FG439IPN</v>
      </c>
      <c r="B12569" s="3" t="s">
        <v>90</v>
      </c>
      <c r="C12569" s="5">
        <v>11148</v>
      </c>
      <c r="D12569" s="6">
        <v>16.309999999999999</v>
      </c>
      <c r="E12569" t="s">
        <v>45</v>
      </c>
    </row>
    <row r="12570" spans="1:5" x14ac:dyDescent="0.25">
      <c r="A12570" t="str">
        <f>HYPERLINK("https://www.773grp.com/globalSearch/LM3S3651-IQR50-A0/page-1", "LM3S3651-IQR50-A0")</f>
        <v>LM3S3651-IQR50-A0</v>
      </c>
      <c r="B12570" s="3" t="s">
        <v>90</v>
      </c>
      <c r="C12570" s="5">
        <v>125</v>
      </c>
      <c r="D12570" s="6">
        <v>16.34</v>
      </c>
      <c r="E12570" t="s">
        <v>45</v>
      </c>
    </row>
    <row r="12571" spans="1:5" x14ac:dyDescent="0.25">
      <c r="A12571" t="str">
        <f>HYPERLINK("https://www.773grp.com/globalSearch/LM3S1626-IQR50-A0/page-1", "LM3S1626-IQR50-A0")</f>
        <v>LM3S1626-IQR50-A0</v>
      </c>
      <c r="B12571" s="3" t="s">
        <v>90</v>
      </c>
      <c r="C12571" s="5">
        <v>75</v>
      </c>
      <c r="D12571" s="6">
        <v>16.38</v>
      </c>
      <c r="E12571" t="s">
        <v>45</v>
      </c>
    </row>
    <row r="12572" spans="1:5" x14ac:dyDescent="0.25">
      <c r="A12572" t="str">
        <f>HYPERLINK("https://www.773grp.com/globalSearch/MSP430F2616TPN/page-1", "MSP430F2616TPN")</f>
        <v>MSP430F2616TPN</v>
      </c>
      <c r="B12572" s="3" t="s">
        <v>90</v>
      </c>
      <c r="C12572" s="5">
        <v>526</v>
      </c>
      <c r="D12572" s="6">
        <v>16.45</v>
      </c>
      <c r="E12572" t="s">
        <v>45</v>
      </c>
    </row>
    <row r="12573" spans="1:5" x14ac:dyDescent="0.25">
      <c r="A12573" t="str">
        <f>HYPERLINK("https://www.773grp.com/globalSearch/LM3S5652-IQR50-A0/page-1", "LM3S5652-IQR50-A0")</f>
        <v>LM3S5652-IQR50-A0</v>
      </c>
      <c r="B12573" s="3" t="s">
        <v>90</v>
      </c>
      <c r="C12573" s="5">
        <v>556</v>
      </c>
      <c r="D12573" s="6">
        <v>16.489999999999998</v>
      </c>
      <c r="E12573" t="s">
        <v>45</v>
      </c>
    </row>
    <row r="12574" spans="1:5" x14ac:dyDescent="0.25">
      <c r="A12574" t="str">
        <f>HYPERLINK("https://www.773grp.com/globalSearch/TMS370C6C2ANT/page-1", "TMS370C6C2ANT")</f>
        <v>TMS370C6C2ANT</v>
      </c>
      <c r="B12574" s="3" t="s">
        <v>90</v>
      </c>
      <c r="C12574" s="5">
        <v>364</v>
      </c>
      <c r="D12574" s="6">
        <v>16.54</v>
      </c>
      <c r="E12574" t="s">
        <v>45</v>
      </c>
    </row>
    <row r="12575" spans="1:5" x14ac:dyDescent="0.25">
      <c r="A12575" t="str">
        <f>HYPERLINK("https://www.773grp.com/globalSearch/MSP430F2616TZQW/page-1", "MSP430F2616TZQW")</f>
        <v>MSP430F2616TZQW</v>
      </c>
      <c r="B12575" s="3" t="s">
        <v>90</v>
      </c>
      <c r="C12575" s="5">
        <v>795</v>
      </c>
      <c r="D12575" s="6">
        <v>16.739999999999998</v>
      </c>
      <c r="E12575" t="s">
        <v>45</v>
      </c>
    </row>
    <row r="12576" spans="1:5" x14ac:dyDescent="0.25">
      <c r="A12576" t="str">
        <f>HYPERLINK("https://www.773grp.com/globalSearch/MSP430F157IRTDT/page-1", "MSP430F157IRTDT")</f>
        <v>MSP430F157IRTDT</v>
      </c>
      <c r="B12576" s="3" t="s">
        <v>90</v>
      </c>
      <c r="C12576" s="5">
        <v>1000</v>
      </c>
      <c r="D12576" s="6">
        <v>16.88</v>
      </c>
      <c r="E12576" t="s">
        <v>45</v>
      </c>
    </row>
    <row r="12577" spans="1:5" x14ac:dyDescent="0.25">
      <c r="A12577" t="str">
        <f>HYPERLINK("https://www.773grp.com/globalSearch/MSP430F2617TPM/page-1", "MSP430F2617TPM")</f>
        <v>MSP430F2617TPM</v>
      </c>
      <c r="B12577" s="3" t="s">
        <v>90</v>
      </c>
      <c r="C12577" s="5">
        <v>507</v>
      </c>
      <c r="D12577" s="6">
        <v>17.010000000000002</v>
      </c>
      <c r="E12577" t="s">
        <v>45</v>
      </c>
    </row>
    <row r="12578" spans="1:5" x14ac:dyDescent="0.25">
      <c r="A12578" t="str">
        <f>HYPERLINK("https://www.773grp.com/globalSearch/MSP430F2617TZQW/page-1", "MSP430F2617TZQW")</f>
        <v>MSP430F2617TZQW</v>
      </c>
      <c r="B12578" s="3" t="s">
        <v>90</v>
      </c>
      <c r="C12578" s="5">
        <v>52</v>
      </c>
      <c r="D12578" s="6">
        <v>17.3</v>
      </c>
      <c r="E12578" t="s">
        <v>45</v>
      </c>
    </row>
    <row r="12579" spans="1:5" x14ac:dyDescent="0.25">
      <c r="A12579" t="str">
        <f>HYPERLINK("https://www.773grp.com/globalSearch/MSP430F2617TZQWR/page-1", "MSP430F2617TZQWR")</f>
        <v>MSP430F2617TZQWR</v>
      </c>
      <c r="B12579" s="3" t="s">
        <v>90</v>
      </c>
      <c r="C12579" s="5">
        <v>2500</v>
      </c>
      <c r="D12579" s="6">
        <v>17.3</v>
      </c>
      <c r="E12579" t="s">
        <v>45</v>
      </c>
    </row>
    <row r="12580" spans="1:5" x14ac:dyDescent="0.25">
      <c r="A12580" t="str">
        <f>HYPERLINK("https://www.773grp.com/globalSearch/MSP430P315CY/page-1", "MSP430P315CY")</f>
        <v>MSP430P315CY</v>
      </c>
      <c r="B12580" s="3" t="s">
        <v>90</v>
      </c>
      <c r="C12580" s="5">
        <v>260</v>
      </c>
      <c r="D12580" s="6">
        <v>17.3</v>
      </c>
      <c r="E12580" t="s">
        <v>45</v>
      </c>
    </row>
    <row r="12581" spans="1:5" x14ac:dyDescent="0.25">
      <c r="A12581" t="str">
        <f>HYPERLINK("https://www.773grp.com/globalSearch/MSP430P315IDL/page-1", "MSP430P315IDL")</f>
        <v>MSP430P315IDL</v>
      </c>
      <c r="B12581" s="3" t="s">
        <v>90</v>
      </c>
      <c r="C12581" s="5">
        <v>1103</v>
      </c>
      <c r="D12581" s="6">
        <v>17.3</v>
      </c>
      <c r="E12581" t="s">
        <v>45</v>
      </c>
    </row>
    <row r="12582" spans="1:5" x14ac:dyDescent="0.25">
      <c r="A12582" t="str">
        <f>HYPERLINK("https://www.773grp.com/globalSearch/MSP430P315SIDL/page-1", "MSP430P315SIDL")</f>
        <v>MSP430P315SIDL</v>
      </c>
      <c r="B12582" s="3" t="s">
        <v>90</v>
      </c>
      <c r="C12582" s="5">
        <v>4425</v>
      </c>
      <c r="D12582" s="6">
        <v>17.3</v>
      </c>
      <c r="E12582" t="s">
        <v>45</v>
      </c>
    </row>
    <row r="12583" spans="1:5" x14ac:dyDescent="0.25">
      <c r="A12583" t="str">
        <f>HYPERLINK("https://www.773grp.com/globalSearch/MSP430P315SIDLR/page-1", "MSP430P315SIDLR")</f>
        <v>MSP430P315SIDLR</v>
      </c>
      <c r="B12583" s="3" t="s">
        <v>90</v>
      </c>
      <c r="C12583" s="5">
        <v>2000</v>
      </c>
      <c r="D12583" s="6">
        <v>17.3</v>
      </c>
      <c r="E12583" t="s">
        <v>45</v>
      </c>
    </row>
    <row r="12584" spans="1:5" x14ac:dyDescent="0.25">
      <c r="A12584" t="str">
        <f>HYPERLINK("https://www.773grp.com/globalSearch/LM3S5P36-IQR80-C5/page-1", "LM3S5P36-IQR80-C5")</f>
        <v>LM3S5P36-IQR80-C5</v>
      </c>
      <c r="B12584" s="3" t="s">
        <v>90</v>
      </c>
      <c r="C12584" s="5">
        <v>523</v>
      </c>
      <c r="D12584" s="6">
        <v>17.350000000000001</v>
      </c>
      <c r="E12584" t="s">
        <v>45</v>
      </c>
    </row>
    <row r="12585" spans="1:5" x14ac:dyDescent="0.25">
      <c r="A12585" t="str">
        <f>HYPERLINK("https://www.773grp.com/globalSearch/LM3S3Z26-IQR50-C5T/page-1", "LM3S3Z26-IQR50-C5T")</f>
        <v>LM3S3Z26-IQR50-C5T</v>
      </c>
      <c r="B12585" s="3" t="s">
        <v>90</v>
      </c>
      <c r="C12585" s="5">
        <v>850</v>
      </c>
      <c r="D12585" s="6">
        <v>17.440000000000001</v>
      </c>
      <c r="E12585" t="s">
        <v>45</v>
      </c>
    </row>
    <row r="12586" spans="1:5" x14ac:dyDescent="0.25">
      <c r="A12586" t="str">
        <f>HYPERLINK("https://www.773grp.com/globalSearch/LM3S5951-IQC80-C1/page-1", "LM3S5951-IQC80-C1")</f>
        <v>LM3S5951-IQC80-C1</v>
      </c>
      <c r="B12586" s="3" t="s">
        <v>90</v>
      </c>
      <c r="C12586" s="5">
        <v>31</v>
      </c>
      <c r="D12586" s="6">
        <v>17.440000000000001</v>
      </c>
      <c r="E12586" t="s">
        <v>45</v>
      </c>
    </row>
    <row r="12587" spans="1:5" x14ac:dyDescent="0.25">
      <c r="A12587" t="str">
        <f>HYPERLINK("https://www.773grp.com/globalSearch/LM3S5951-IQC80-C3/page-1", "LM3S5951-IQC80-C3")</f>
        <v>LM3S5951-IQC80-C3</v>
      </c>
      <c r="B12587" s="3" t="s">
        <v>90</v>
      </c>
      <c r="C12587" s="5">
        <v>20</v>
      </c>
      <c r="D12587" s="6">
        <v>17.440000000000001</v>
      </c>
      <c r="E12587" t="s">
        <v>45</v>
      </c>
    </row>
    <row r="12588" spans="1:5" x14ac:dyDescent="0.25">
      <c r="A12588" t="str">
        <f>HYPERLINK("https://www.773grp.com/globalSearch/MSP430F149IPMG4/page-1", "MSP430F149IPMG4")</f>
        <v>MSP430F149IPMG4</v>
      </c>
      <c r="B12588" s="3" t="s">
        <v>90</v>
      </c>
      <c r="C12588" s="5">
        <v>12</v>
      </c>
      <c r="D12588" s="6">
        <v>17.64</v>
      </c>
      <c r="E12588" t="s">
        <v>45</v>
      </c>
    </row>
    <row r="12589" spans="1:5" x14ac:dyDescent="0.25">
      <c r="A12589" t="str">
        <f>HYPERLINK("https://www.773grp.com/globalSearch/MSP430F2618TPM/page-1", "MSP430F2618TPM")</f>
        <v>MSP430F2618TPM</v>
      </c>
      <c r="B12589" s="3" t="s">
        <v>90</v>
      </c>
      <c r="C12589" s="5">
        <v>160</v>
      </c>
      <c r="D12589" s="6">
        <v>17.850000000000001</v>
      </c>
      <c r="E12589" t="s">
        <v>45</v>
      </c>
    </row>
    <row r="12590" spans="1:5" x14ac:dyDescent="0.25">
      <c r="A12590" t="str">
        <f>HYPERLINK("https://www.773grp.com/globalSearch/LM3S2276-IQR50-A0/page-1", "LM3S2276-IQR50-A0")</f>
        <v>LM3S2276-IQR50-A0</v>
      </c>
      <c r="B12590" s="3" t="s">
        <v>90</v>
      </c>
      <c r="C12590" s="5">
        <v>345</v>
      </c>
      <c r="D12590" s="6">
        <v>17.940000000000001</v>
      </c>
      <c r="E12590" t="s">
        <v>45</v>
      </c>
    </row>
    <row r="12591" spans="1:5" x14ac:dyDescent="0.25">
      <c r="A12591" t="str">
        <f>HYPERLINK("https://www.773grp.com/globalSearch/LM3S2671-IQR50-A0/page-1", "LM3S2671-IQR50-A0")</f>
        <v>LM3S2671-IQR50-A0</v>
      </c>
      <c r="B12591" s="3" t="s">
        <v>90</v>
      </c>
      <c r="C12591" s="5">
        <v>1927</v>
      </c>
      <c r="D12591" s="6">
        <v>17.940000000000001</v>
      </c>
      <c r="E12591" t="s">
        <v>45</v>
      </c>
    </row>
    <row r="12592" spans="1:5" x14ac:dyDescent="0.25">
      <c r="A12592" t="str">
        <f>HYPERLINK("https://www.773grp.com/globalSearch/TMS370C156AFNT/page-1", "TMS370C156AFNT")</f>
        <v>TMS370C156AFNT</v>
      </c>
      <c r="B12592" s="3" t="s">
        <v>90</v>
      </c>
      <c r="C12592" s="5">
        <v>2820</v>
      </c>
      <c r="D12592" s="6">
        <v>18</v>
      </c>
      <c r="E12592" t="s">
        <v>45</v>
      </c>
    </row>
    <row r="12593" spans="1:5" x14ac:dyDescent="0.25">
      <c r="A12593" t="str">
        <f>HYPERLINK("https://www.773grp.com/globalSearch/MSP430F2618TZQW/page-1", "MSP430F2618TZQW")</f>
        <v>MSP430F2618TZQW</v>
      </c>
      <c r="B12593" s="3" t="s">
        <v>90</v>
      </c>
      <c r="C12593" s="5">
        <v>19</v>
      </c>
      <c r="D12593" s="6">
        <v>18.14</v>
      </c>
      <c r="E12593" t="s">
        <v>45</v>
      </c>
    </row>
    <row r="12594" spans="1:5" x14ac:dyDescent="0.25">
      <c r="A12594" t="str">
        <f>HYPERLINK("https://www.773grp.com/globalSearch/LM3S2D93-IQC80-A1T/page-1", "LM3S2D93-IQC80-A1T")</f>
        <v>LM3S2D93-IQC80-A1T</v>
      </c>
      <c r="B12594" s="3" t="s">
        <v>90</v>
      </c>
      <c r="C12594" s="5">
        <v>1000</v>
      </c>
      <c r="D12594" s="6">
        <v>18.559999999999999</v>
      </c>
      <c r="E12594" t="s">
        <v>45</v>
      </c>
    </row>
    <row r="12595" spans="1:5" x14ac:dyDescent="0.25">
      <c r="A12595" t="str">
        <f>HYPERLINK("https://www.773grp.com/globalSearch/MSP430F2619TPM/page-1", "MSP430F2619TPM")</f>
        <v>MSP430F2619TPM</v>
      </c>
      <c r="B12595" s="3" t="s">
        <v>90</v>
      </c>
      <c r="C12595" s="5">
        <v>218</v>
      </c>
      <c r="D12595" s="6">
        <v>18.7</v>
      </c>
      <c r="E12595" t="s">
        <v>45</v>
      </c>
    </row>
    <row r="12596" spans="1:5" x14ac:dyDescent="0.25">
      <c r="A12596" t="str">
        <f>HYPERLINK("https://www.773grp.com/globalSearch/MSP430F2619TPMR/page-1", "MSP430F2619TPMR")</f>
        <v>MSP430F2619TPMR</v>
      </c>
      <c r="B12596" s="3" t="s">
        <v>90</v>
      </c>
      <c r="C12596" s="5">
        <v>2000</v>
      </c>
      <c r="D12596" s="6">
        <v>18.7</v>
      </c>
      <c r="E12596" t="s">
        <v>45</v>
      </c>
    </row>
    <row r="12597" spans="1:5" x14ac:dyDescent="0.25">
      <c r="A12597" t="str">
        <f>HYPERLINK("https://www.773grp.com/globalSearch/LM3S5956-IQR80-C5/page-1", "LM3S5956-IQR80-C5")</f>
        <v>LM3S5956-IQR80-C5</v>
      </c>
      <c r="B12597" s="3" t="s">
        <v>90</v>
      </c>
      <c r="C12597" s="5">
        <v>2522</v>
      </c>
      <c r="D12597" s="6">
        <v>18.850000000000001</v>
      </c>
      <c r="E12597" t="s">
        <v>45</v>
      </c>
    </row>
    <row r="12598" spans="1:5" x14ac:dyDescent="0.25">
      <c r="A12598" t="str">
        <f>HYPERLINK("https://www.773grp.com/globalSearch/LM3S9790-IBZ80-C1/page-1", "LM3S9790-IBZ80-C1")</f>
        <v>LM3S9790-IBZ80-C1</v>
      </c>
      <c r="B12598" s="3" t="s">
        <v>90</v>
      </c>
      <c r="C12598" s="5">
        <v>237</v>
      </c>
      <c r="D12598" s="6">
        <v>18.989999999999998</v>
      </c>
      <c r="E12598" t="s">
        <v>45</v>
      </c>
    </row>
    <row r="12599" spans="1:5" x14ac:dyDescent="0.25">
      <c r="A12599" t="str">
        <f>HYPERLINK("https://www.773grp.com/globalSearch/LM3S9790-IBZ80-C3/page-1", "LM3S9790-IBZ80-C3")</f>
        <v>LM3S9790-IBZ80-C3</v>
      </c>
      <c r="B12599" s="3" t="s">
        <v>90</v>
      </c>
      <c r="C12599" s="5">
        <v>342</v>
      </c>
      <c r="D12599" s="6">
        <v>18.989999999999998</v>
      </c>
      <c r="E12599" t="s">
        <v>45</v>
      </c>
    </row>
    <row r="12600" spans="1:5" x14ac:dyDescent="0.25">
      <c r="A12600" t="str">
        <f>HYPERLINK("https://www.773grp.com/globalSearch/LM3S9790-IQC80-C3/page-1", "LM3S9790-IQC80-C3")</f>
        <v>LM3S9790-IQC80-C3</v>
      </c>
      <c r="B12600" s="3" t="s">
        <v>90</v>
      </c>
      <c r="C12600" s="5">
        <v>5324</v>
      </c>
      <c r="D12600" s="6">
        <v>18.989999999999998</v>
      </c>
      <c r="E12600" t="s">
        <v>45</v>
      </c>
    </row>
    <row r="12601" spans="1:5" x14ac:dyDescent="0.25">
      <c r="A12601" t="str">
        <f>HYPERLINK("https://www.773grp.com/globalSearch/MSP430F2619TZQW/page-1", "MSP430F2619TZQW")</f>
        <v>MSP430F2619TZQW</v>
      </c>
      <c r="B12601" s="3" t="s">
        <v>90</v>
      </c>
      <c r="C12601" s="5">
        <v>376</v>
      </c>
      <c r="D12601" s="6">
        <v>18.989999999999998</v>
      </c>
      <c r="E12601" t="s">
        <v>45</v>
      </c>
    </row>
    <row r="12602" spans="1:5" x14ac:dyDescent="0.25">
      <c r="A12602" t="str">
        <f>HYPERLINK("https://www.773grp.com/globalSearch/MSP430F2619TZQWR/page-1", "MSP430F2619TZQWR")</f>
        <v>MSP430F2619TZQWR</v>
      </c>
      <c r="B12602" s="3" t="s">
        <v>90</v>
      </c>
      <c r="C12602" s="5">
        <v>155000</v>
      </c>
      <c r="D12602" s="6">
        <v>18.989999999999998</v>
      </c>
      <c r="E12602" t="s">
        <v>45</v>
      </c>
    </row>
    <row r="12603" spans="1:5" x14ac:dyDescent="0.25">
      <c r="A12603" t="str">
        <f>HYPERLINK("https://www.773grp.com/globalSearch/TMS470R1A288PZ-T/page-1", "TMS470R1A288PZ-T")</f>
        <v>TMS470R1A288PZ-T</v>
      </c>
      <c r="B12603" s="3" t="s">
        <v>90</v>
      </c>
      <c r="C12603" s="5">
        <v>6669</v>
      </c>
      <c r="D12603" s="6">
        <v>19.149999999999999</v>
      </c>
      <c r="E12603" t="s">
        <v>45</v>
      </c>
    </row>
    <row r="12604" spans="1:5" x14ac:dyDescent="0.25">
      <c r="A12604" t="str">
        <f>HYPERLINK("https://www.773grp.com/globalSearch/LM3S5737-IQC50-A0/page-1", "LM3S5737-IQC50-A0")</f>
        <v>LM3S5737-IQC50-A0</v>
      </c>
      <c r="B12604" s="3" t="s">
        <v>90</v>
      </c>
      <c r="C12604" s="5">
        <v>1022</v>
      </c>
      <c r="D12604" s="6">
        <v>19.46</v>
      </c>
      <c r="E12604" t="s">
        <v>45</v>
      </c>
    </row>
    <row r="12605" spans="1:5" x14ac:dyDescent="0.25">
      <c r="A12605" t="str">
        <f>HYPERLINK("https://www.773grp.com/globalSearch/MSP430F167IRTDT/page-1", "MSP430F167IRTDT")</f>
        <v>MSP430F167IRTDT</v>
      </c>
      <c r="B12605" s="3" t="s">
        <v>90</v>
      </c>
      <c r="C12605" s="5">
        <v>3000</v>
      </c>
      <c r="D12605" s="6">
        <v>19.489999999999998</v>
      </c>
      <c r="E12605" t="s">
        <v>45</v>
      </c>
    </row>
    <row r="12606" spans="1:5" x14ac:dyDescent="0.25">
      <c r="A12606" t="str">
        <f>HYPERLINK("https://www.773grp.com/globalSearch/MSP430F47197IPZ/page-1", "MSP430F47197IPZ")</f>
        <v>MSP430F47197IPZ</v>
      </c>
      <c r="B12606" s="3" t="s">
        <v>90</v>
      </c>
      <c r="C12606" s="5">
        <v>942</v>
      </c>
      <c r="D12606" s="6">
        <v>19.690000000000001</v>
      </c>
      <c r="E12606" t="s">
        <v>45</v>
      </c>
    </row>
    <row r="12607" spans="1:5" x14ac:dyDescent="0.25">
      <c r="A12607" t="str">
        <f>HYPERLINK("https://www.773grp.com/globalSearch/TMS470R1A288PGEA/page-1", "TMS470R1A288PGEA")</f>
        <v>TMS470R1A288PGEA</v>
      </c>
      <c r="B12607" s="3" t="s">
        <v>90</v>
      </c>
      <c r="C12607" s="5">
        <v>1031</v>
      </c>
      <c r="D12607" s="6">
        <v>20</v>
      </c>
      <c r="E12607" t="s">
        <v>45</v>
      </c>
    </row>
    <row r="12608" spans="1:5" x14ac:dyDescent="0.25">
      <c r="A12608" t="str">
        <f>HYPERLINK("https://www.773grp.com/globalSearch/MSC1202Y3RHHT/page-1", "MSC1202Y3RHHT")</f>
        <v>MSC1202Y3RHHT</v>
      </c>
      <c r="B12608" s="3" t="s">
        <v>90</v>
      </c>
      <c r="C12608" s="5">
        <v>1000</v>
      </c>
      <c r="D12608" s="6">
        <v>20.93</v>
      </c>
      <c r="E12608" t="s">
        <v>45</v>
      </c>
    </row>
    <row r="12609" spans="1:5" x14ac:dyDescent="0.25">
      <c r="A12609" t="str">
        <f>HYPERLINK("https://www.773grp.com/globalSearch/MSP430FG4616IPZ/page-1", "MSP430FG4616IPZ")</f>
        <v>MSP430FG4616IPZ</v>
      </c>
      <c r="B12609" s="3" t="s">
        <v>90</v>
      </c>
      <c r="C12609" s="5">
        <v>264</v>
      </c>
      <c r="D12609" s="6">
        <v>20.96</v>
      </c>
      <c r="E12609" t="s">
        <v>45</v>
      </c>
    </row>
    <row r="12610" spans="1:5" x14ac:dyDescent="0.25">
      <c r="A12610" t="str">
        <f>HYPERLINK("https://www.773grp.com/globalSearch/MSP430FG4616IZQW/page-1", "MSP430FG4616IZQW")</f>
        <v>MSP430FG4616IZQW</v>
      </c>
      <c r="B12610" s="3" t="s">
        <v>90</v>
      </c>
      <c r="C12610" s="5">
        <v>600</v>
      </c>
      <c r="D12610" s="6">
        <v>21.23</v>
      </c>
      <c r="E12610" t="s">
        <v>45</v>
      </c>
    </row>
    <row r="12611" spans="1:5" x14ac:dyDescent="0.25">
      <c r="A12611" t="str">
        <f>HYPERLINK("https://www.773grp.com/globalSearch/MSP430F168IRTDR/page-1", "MSP430F168IRTDR")</f>
        <v>MSP430F168IRTDR</v>
      </c>
      <c r="B12611" s="3" t="s">
        <v>90</v>
      </c>
      <c r="C12611" s="5">
        <v>2500</v>
      </c>
      <c r="D12611" s="6">
        <v>21.4</v>
      </c>
      <c r="E12611" t="s">
        <v>45</v>
      </c>
    </row>
    <row r="12612" spans="1:5" x14ac:dyDescent="0.25">
      <c r="A12612" t="str">
        <f>HYPERLINK("https://www.773grp.com/globalSearch/LM3S1512-IQC25-A2/page-1", "LM3S1512-IQC25-A2")</f>
        <v>LM3S1512-IQC25-A2</v>
      </c>
      <c r="B12612" s="3" t="s">
        <v>90</v>
      </c>
      <c r="C12612" s="5">
        <v>28</v>
      </c>
      <c r="D12612" s="6">
        <v>21.64</v>
      </c>
      <c r="E12612" t="s">
        <v>45</v>
      </c>
    </row>
    <row r="12613" spans="1:5" x14ac:dyDescent="0.25">
      <c r="A12613" t="str">
        <f>HYPERLINK("https://www.773grp.com/globalSearch/LM3S9B90-IQC80-C1/page-1", "LM3S9B90-IQC80-C1")</f>
        <v>LM3S9B90-IQC80-C1</v>
      </c>
      <c r="B12613" s="3" t="s">
        <v>90</v>
      </c>
      <c r="C12613" s="5">
        <v>277</v>
      </c>
      <c r="D12613" s="6">
        <v>21.65</v>
      </c>
      <c r="E12613" t="s">
        <v>45</v>
      </c>
    </row>
    <row r="12614" spans="1:5" x14ac:dyDescent="0.25">
      <c r="A12614" t="str">
        <f>HYPERLINK("https://www.773grp.com/globalSearch/LM3S9B90-IQC80-C3/page-1", "LM3S9B90-IQC80-C3")</f>
        <v>LM3S9B90-IQC80-C3</v>
      </c>
      <c r="B12614" s="3" t="s">
        <v>90</v>
      </c>
      <c r="C12614" s="5">
        <v>56</v>
      </c>
      <c r="D12614" s="6">
        <v>21.65</v>
      </c>
      <c r="E12614" t="s">
        <v>45</v>
      </c>
    </row>
    <row r="12615" spans="1:5" x14ac:dyDescent="0.25">
      <c r="A12615" t="str">
        <f>HYPERLINK("https://www.773grp.com/globalSearch/LM3S1608-IBZ50-A2/page-1", "LM3S1608-IBZ50-A2")</f>
        <v>LM3S1608-IBZ50-A2</v>
      </c>
      <c r="B12615" s="3" t="s">
        <v>90</v>
      </c>
      <c r="C12615" s="5">
        <v>258</v>
      </c>
      <c r="D12615" s="6">
        <v>21.69</v>
      </c>
      <c r="E12615" t="s">
        <v>45</v>
      </c>
    </row>
    <row r="12616" spans="1:5" x14ac:dyDescent="0.25">
      <c r="A12616" t="str">
        <f>HYPERLINK("https://www.773grp.com/globalSearch/LM3S1911-IQC50-A2/page-1", "LM3S1911-IQC50-A2")</f>
        <v>LM3S1911-IQC50-A2</v>
      </c>
      <c r="B12616" s="3" t="s">
        <v>90</v>
      </c>
      <c r="C12616" s="5">
        <v>2900</v>
      </c>
      <c r="D12616" s="6">
        <v>21.69</v>
      </c>
      <c r="E12616" t="s">
        <v>45</v>
      </c>
    </row>
    <row r="12617" spans="1:5" x14ac:dyDescent="0.25">
      <c r="A12617" t="str">
        <f>HYPERLINK("https://www.773grp.com/globalSearch/LM3S1601-IQC50-A2/page-1", "LM3S1601-IQC50-A2")</f>
        <v>LM3S1601-IQC50-A2</v>
      </c>
      <c r="B12617" s="3" t="s">
        <v>90</v>
      </c>
      <c r="C12617" s="5">
        <v>216</v>
      </c>
      <c r="D12617" s="6">
        <v>21.71</v>
      </c>
      <c r="E12617" t="s">
        <v>45</v>
      </c>
    </row>
    <row r="12618" spans="1:5" x14ac:dyDescent="0.25">
      <c r="A12618" t="str">
        <f>HYPERLINK("https://www.773grp.com/globalSearch/LM3S1601-IQC50-A2T/page-1", "LM3S1601-IQC50-A2T")</f>
        <v>LM3S1601-IQC50-A2T</v>
      </c>
      <c r="B12618" s="3" t="s">
        <v>90</v>
      </c>
      <c r="C12618" s="5">
        <v>2000</v>
      </c>
      <c r="D12618" s="6">
        <v>21.71</v>
      </c>
      <c r="E12618" t="s">
        <v>45</v>
      </c>
    </row>
    <row r="12619" spans="1:5" x14ac:dyDescent="0.25">
      <c r="A12619" t="str">
        <f>HYPERLINK("https://www.773grp.com/globalSearch/LM3S2793-IQC80-C5/page-1", "LM3S2793-IQC80-C5")</f>
        <v>LM3S2793-IQC80-C5</v>
      </c>
      <c r="B12619" s="3" t="s">
        <v>90</v>
      </c>
      <c r="C12619" s="5">
        <v>185</v>
      </c>
      <c r="D12619" s="6">
        <v>21.83</v>
      </c>
      <c r="E12619" t="s">
        <v>45</v>
      </c>
    </row>
    <row r="12620" spans="1:5" x14ac:dyDescent="0.25">
      <c r="A12620" t="str">
        <f>HYPERLINK("https://www.773grp.com/globalSearch/LM3S2739-IQC50-A2/page-1", "LM3S2739-IQC50-A2")</f>
        <v>LM3S2739-IQC50-A2</v>
      </c>
      <c r="B12620" s="3" t="s">
        <v>90</v>
      </c>
      <c r="C12620" s="5">
        <v>9</v>
      </c>
      <c r="D12620" s="6">
        <v>22.19</v>
      </c>
      <c r="E12620" t="s">
        <v>45</v>
      </c>
    </row>
    <row r="12621" spans="1:5" x14ac:dyDescent="0.25">
      <c r="A12621" t="str">
        <f>HYPERLINK("https://www.773grp.com/globalSearch/LM3S9B95-IQC80-C1/page-1", "LM3S9B95-IQC80-C1")</f>
        <v>LM3S9B95-IQC80-C1</v>
      </c>
      <c r="B12621" s="3" t="s">
        <v>90</v>
      </c>
      <c r="C12621" s="5">
        <v>233</v>
      </c>
      <c r="D12621" s="6">
        <v>22.36</v>
      </c>
      <c r="E12621" t="s">
        <v>45</v>
      </c>
    </row>
    <row r="12622" spans="1:5" x14ac:dyDescent="0.25">
      <c r="A12622" t="str">
        <f>HYPERLINK("https://www.773grp.com/globalSearch/MSP430FG4617IPZ/page-1", "MSP430FG4617IPZ")</f>
        <v>MSP430FG4617IPZ</v>
      </c>
      <c r="B12622" s="3" t="s">
        <v>90</v>
      </c>
      <c r="C12622" s="5">
        <v>376</v>
      </c>
      <c r="D12622" s="6">
        <v>22.36</v>
      </c>
      <c r="E12622" t="s">
        <v>45</v>
      </c>
    </row>
    <row r="12623" spans="1:5" x14ac:dyDescent="0.25">
      <c r="A12623" t="str">
        <f>HYPERLINK("https://www.773grp.com/globalSearch/MSP430FG4619IPZR/page-1", "MSP430FG4619IPZR")</f>
        <v>MSP430FG4619IPZR</v>
      </c>
      <c r="B12623" s="3" t="s">
        <v>90</v>
      </c>
      <c r="C12623" s="5">
        <v>44000</v>
      </c>
      <c r="D12623" s="6">
        <v>22.36</v>
      </c>
      <c r="E12623" t="s">
        <v>45</v>
      </c>
    </row>
    <row r="12624" spans="1:5" x14ac:dyDescent="0.25">
      <c r="A12624" t="str">
        <f>HYPERLINK("https://www.773grp.com/globalSearch/LM3S1110-IQC25-A2/page-1", "LM3S1110-IQC25-A2")</f>
        <v>LM3S1110-IQC25-A2</v>
      </c>
      <c r="B12624" s="3" t="s">
        <v>90</v>
      </c>
      <c r="C12624" s="5">
        <v>6</v>
      </c>
      <c r="D12624" s="6">
        <v>22.39</v>
      </c>
      <c r="E12624" t="s">
        <v>45</v>
      </c>
    </row>
    <row r="12625" spans="1:5" x14ac:dyDescent="0.25">
      <c r="A12625" t="str">
        <f>HYPERLINK("https://www.773grp.com/globalSearch/LM3S1165-IQC50-A2/page-1", "LM3S1165-IQC50-A2")</f>
        <v>LM3S1165-IQC50-A2</v>
      </c>
      <c r="B12625" s="3" t="s">
        <v>90</v>
      </c>
      <c r="C12625" s="5">
        <v>185</v>
      </c>
      <c r="D12625" s="6">
        <v>22.45</v>
      </c>
      <c r="E12625" t="s">
        <v>45</v>
      </c>
    </row>
    <row r="12626" spans="1:5" x14ac:dyDescent="0.25">
      <c r="A12626" t="str">
        <f>HYPERLINK("https://www.773grp.com/globalSearch/MSP430FG4619IZQW/page-1", "MSP430FG4619IZQW")</f>
        <v>MSP430FG4619IZQW</v>
      </c>
      <c r="B12626" s="3" t="s">
        <v>90</v>
      </c>
      <c r="C12626" s="5">
        <v>5000</v>
      </c>
      <c r="D12626" s="6">
        <v>22.65</v>
      </c>
      <c r="E12626" t="s">
        <v>45</v>
      </c>
    </row>
    <row r="12627" spans="1:5" x14ac:dyDescent="0.25">
      <c r="A12627" t="str">
        <f>HYPERLINK("https://www.773grp.com/globalSearch/MSP430FG4619IZQWT/page-1", "MSP430FG4619IZQWT")</f>
        <v>MSP430FG4619IZQWT</v>
      </c>
      <c r="B12627" s="3" t="s">
        <v>90</v>
      </c>
      <c r="C12627" s="5">
        <v>1250</v>
      </c>
      <c r="D12627" s="6">
        <v>22.79</v>
      </c>
      <c r="E12627" t="s">
        <v>45</v>
      </c>
    </row>
    <row r="12628" spans="1:5" x14ac:dyDescent="0.25">
      <c r="A12628" t="str">
        <f>HYPERLINK("https://www.773grp.com/globalSearch/LM3S1538-IQC50-A2/page-1", "LM3S1538-IQC50-A2")</f>
        <v>LM3S1538-IQC50-A2</v>
      </c>
      <c r="B12628" s="3" t="s">
        <v>90</v>
      </c>
      <c r="C12628" s="5">
        <v>25</v>
      </c>
      <c r="D12628" s="6">
        <v>22.81</v>
      </c>
      <c r="E12628" t="s">
        <v>45</v>
      </c>
    </row>
    <row r="12629" spans="1:5" x14ac:dyDescent="0.25">
      <c r="A12629" t="str">
        <f>HYPERLINK("https://www.773grp.com/globalSearch/LM3S2730-IQC50-A2/page-1", "LM3S2730-IQC50-A2")</f>
        <v>LM3S2730-IQC50-A2</v>
      </c>
      <c r="B12629" s="3" t="s">
        <v>90</v>
      </c>
      <c r="C12629" s="5">
        <v>90</v>
      </c>
      <c r="D12629" s="6">
        <v>22.9</v>
      </c>
      <c r="E12629" t="s">
        <v>45</v>
      </c>
    </row>
    <row r="12630" spans="1:5" x14ac:dyDescent="0.25">
      <c r="A12630" t="str">
        <f>HYPERLINK("https://www.773grp.com/globalSearch/LM3S1138-IQC50-A2/page-1", "LM3S1138-IQC50-A2")</f>
        <v>LM3S1138-IQC50-A2</v>
      </c>
      <c r="B12630" s="3" t="s">
        <v>90</v>
      </c>
      <c r="C12630" s="5">
        <v>140</v>
      </c>
      <c r="D12630" s="6">
        <v>22.91</v>
      </c>
      <c r="E12630" t="s">
        <v>45</v>
      </c>
    </row>
    <row r="12631" spans="1:5" x14ac:dyDescent="0.25">
      <c r="A12631" t="str">
        <f>HYPERLINK("https://www.773grp.com/globalSearch/LM3S1138-IQC50-A2T/page-1", "LM3S1138-IQC50-A2T")</f>
        <v>LM3S1138-IQC50-A2T</v>
      </c>
      <c r="B12631" s="3" t="s">
        <v>90</v>
      </c>
      <c r="C12631" s="5">
        <v>3000</v>
      </c>
      <c r="D12631" s="6">
        <v>22.91</v>
      </c>
      <c r="E12631" t="s">
        <v>45</v>
      </c>
    </row>
    <row r="12632" spans="1:5" x14ac:dyDescent="0.25">
      <c r="A12632" t="str">
        <f>HYPERLINK("https://www.773grp.com/globalSearch/LM3S2950-IQC50-A2/page-1", "LM3S2950-IQC50-A2")</f>
        <v>LM3S2950-IQC50-A2</v>
      </c>
      <c r="B12632" s="3" t="s">
        <v>90</v>
      </c>
      <c r="C12632" s="5">
        <v>8</v>
      </c>
      <c r="D12632" s="6">
        <v>22.95</v>
      </c>
      <c r="E12632" t="s">
        <v>45</v>
      </c>
    </row>
    <row r="12633" spans="1:5" x14ac:dyDescent="0.25">
      <c r="A12633" t="str">
        <f>HYPERLINK("https://www.773grp.com/globalSearch/MSP430F169IPM/page-1", "MSP430F169IPM")</f>
        <v>MSP430F169IPM</v>
      </c>
      <c r="B12633" s="3" t="s">
        <v>90</v>
      </c>
      <c r="C12633" s="5">
        <v>345</v>
      </c>
      <c r="D12633" s="6">
        <v>22.95</v>
      </c>
      <c r="E12633" t="s">
        <v>45</v>
      </c>
    </row>
    <row r="12634" spans="1:5" x14ac:dyDescent="0.25">
      <c r="A12634" t="str">
        <f>HYPERLINK("https://www.773grp.com/globalSearch/LM3S1918-IBZ50-A2/page-1", "LM3S1918-IBZ50-A2")</f>
        <v>LM3S1918-IBZ50-A2</v>
      </c>
      <c r="B12634" s="3" t="s">
        <v>90</v>
      </c>
      <c r="C12634" s="5">
        <v>161</v>
      </c>
      <c r="D12634" s="6">
        <v>23.06</v>
      </c>
      <c r="E12634" t="s">
        <v>45</v>
      </c>
    </row>
    <row r="12635" spans="1:5" x14ac:dyDescent="0.25">
      <c r="A12635" t="str">
        <f>HYPERLINK("https://www.773grp.com/globalSearch/MSP430P325AIFN/page-1", "MSP430P325AIFN")</f>
        <v>MSP430P325AIFN</v>
      </c>
      <c r="B12635" s="3" t="s">
        <v>90</v>
      </c>
      <c r="C12635" s="5">
        <v>1632</v>
      </c>
      <c r="D12635" s="6">
        <v>23.06</v>
      </c>
      <c r="E12635" t="s">
        <v>45</v>
      </c>
    </row>
    <row r="12636" spans="1:5" x14ac:dyDescent="0.25">
      <c r="A12636" t="str">
        <f>HYPERLINK("https://www.773grp.com/globalSearch/MSP430P325IFN/page-1", "MSP430P325IFN")</f>
        <v>MSP430P325IFN</v>
      </c>
      <c r="B12636" s="3" t="s">
        <v>90</v>
      </c>
      <c r="C12636" s="5">
        <v>38</v>
      </c>
      <c r="D12636" s="6">
        <v>23.06</v>
      </c>
      <c r="E12636" t="s">
        <v>45</v>
      </c>
    </row>
    <row r="12637" spans="1:5" x14ac:dyDescent="0.25">
      <c r="A12637" t="str">
        <f>HYPERLINK("https://www.773grp.com/globalSearch/LM3S2939-IQC50-A2/page-1", "LM3S2939-IQC50-A2")</f>
        <v>LM3S2939-IQC50-A2</v>
      </c>
      <c r="B12637" s="3" t="s">
        <v>90</v>
      </c>
      <c r="C12637" s="5">
        <v>172</v>
      </c>
      <c r="D12637" s="6">
        <v>23.18</v>
      </c>
      <c r="E12637" t="s">
        <v>45</v>
      </c>
    </row>
    <row r="12638" spans="1:5" x14ac:dyDescent="0.25">
      <c r="A12638" t="str">
        <f>HYPERLINK("https://www.773grp.com/globalSearch/LM3S2939-IQC50-A2T/page-1", "LM3S2939-IQC50-A2T")</f>
        <v>LM3S2939-IQC50-A2T</v>
      </c>
      <c r="B12638" s="3" t="s">
        <v>90</v>
      </c>
      <c r="C12638" s="5">
        <v>7650</v>
      </c>
      <c r="D12638" s="6">
        <v>23.18</v>
      </c>
      <c r="E12638" t="s">
        <v>45</v>
      </c>
    </row>
    <row r="12639" spans="1:5" x14ac:dyDescent="0.25">
      <c r="A12639" t="str">
        <f>HYPERLINK("https://www.773grp.com/globalSearch/LM3S9B96-IQC80-C3/page-1", "LM3S9B96-IQC80-C3")</f>
        <v>LM3S9B96-IQC80-C3</v>
      </c>
      <c r="B12639" s="3" t="s">
        <v>90</v>
      </c>
      <c r="C12639" s="5">
        <v>5932</v>
      </c>
      <c r="D12639" s="6">
        <v>23.34</v>
      </c>
      <c r="E12639" t="s">
        <v>45</v>
      </c>
    </row>
    <row r="12640" spans="1:5" x14ac:dyDescent="0.25">
      <c r="A12640" t="str">
        <f>HYPERLINK("https://www.773grp.com/globalSearch/LM3S5739-IQC50-A0/page-1", "LM3S5739-IQC50-A0")</f>
        <v>LM3S5739-IQC50-A0</v>
      </c>
      <c r="B12640" s="3" t="s">
        <v>90</v>
      </c>
      <c r="C12640" s="5">
        <v>720</v>
      </c>
      <c r="D12640" s="6">
        <v>23.46</v>
      </c>
      <c r="E12640" t="s">
        <v>45</v>
      </c>
    </row>
    <row r="12641" spans="1:5" x14ac:dyDescent="0.25">
      <c r="A12641" t="str">
        <f>HYPERLINK("https://www.773grp.com/globalSearch/MSP430FG4618IPZ/page-1", "MSP430FG4618IPZ")</f>
        <v>MSP430FG4618IPZ</v>
      </c>
      <c r="B12641" s="3" t="s">
        <v>90</v>
      </c>
      <c r="C12641" s="5">
        <v>2513</v>
      </c>
      <c r="D12641" s="6">
        <v>23.49</v>
      </c>
      <c r="E12641" t="s">
        <v>45</v>
      </c>
    </row>
    <row r="12642" spans="1:5" x14ac:dyDescent="0.25">
      <c r="A12642" t="str">
        <f>HYPERLINK("https://www.773grp.com/globalSearch/LM3S5747-IQC50-A0/page-1", "LM3S5747-IQC50-A0")</f>
        <v>LM3S5747-IQC50-A0</v>
      </c>
      <c r="B12642" s="3" t="s">
        <v>90</v>
      </c>
      <c r="C12642" s="5">
        <v>182</v>
      </c>
      <c r="D12642" s="6">
        <v>23.63</v>
      </c>
      <c r="E12642" t="s">
        <v>45</v>
      </c>
    </row>
    <row r="12643" spans="1:5" x14ac:dyDescent="0.25">
      <c r="A12643" t="str">
        <f>HYPERLINK("https://www.773grp.com/globalSearch/MSP430FG4618IZQW/page-1", "MSP430FG4618IZQW")</f>
        <v>MSP430FG4618IZQW</v>
      </c>
      <c r="B12643" s="3" t="s">
        <v>90</v>
      </c>
      <c r="C12643" s="5">
        <v>1067</v>
      </c>
      <c r="D12643" s="6">
        <v>23.76</v>
      </c>
      <c r="E12643" t="s">
        <v>45</v>
      </c>
    </row>
    <row r="12644" spans="1:5" x14ac:dyDescent="0.25">
      <c r="A12644" t="str">
        <f>HYPERLINK("https://www.773grp.com/globalSearch/MSP430FG4618IZQWR/page-1", "MSP430FG4618IZQWR")</f>
        <v>MSP430FG4618IZQWR</v>
      </c>
      <c r="B12644" s="3" t="s">
        <v>90</v>
      </c>
      <c r="C12644" s="5">
        <v>4995</v>
      </c>
      <c r="D12644" s="6">
        <v>23.76</v>
      </c>
      <c r="E12644" t="s">
        <v>45</v>
      </c>
    </row>
    <row r="12645" spans="1:5" x14ac:dyDescent="0.25">
      <c r="A12645" t="str">
        <f>HYPERLINK("https://www.773grp.com/globalSearch/LM3S5R31-IQC80-C5/page-1", "LM3S5R31-IQC80-C5")</f>
        <v>LM3S5R31-IQC80-C5</v>
      </c>
      <c r="B12645" s="3" t="s">
        <v>90</v>
      </c>
      <c r="C12645" s="5">
        <v>250</v>
      </c>
      <c r="D12645" s="6">
        <v>23.93</v>
      </c>
      <c r="E12645" t="s">
        <v>45</v>
      </c>
    </row>
    <row r="12646" spans="1:5" x14ac:dyDescent="0.25">
      <c r="A12646" t="str">
        <f>HYPERLINK("https://www.773grp.com/globalSearch/LM3S1937-IBZ50-A2/page-1", "LM3S1937-IBZ50-A2")</f>
        <v>LM3S1937-IBZ50-A2</v>
      </c>
      <c r="B12646" s="3" t="s">
        <v>90</v>
      </c>
      <c r="C12646" s="5">
        <v>5</v>
      </c>
      <c r="D12646" s="6">
        <v>24.01</v>
      </c>
      <c r="E12646" t="s">
        <v>45</v>
      </c>
    </row>
    <row r="12647" spans="1:5" x14ac:dyDescent="0.25">
      <c r="A12647" t="str">
        <f>HYPERLINK("https://www.773grp.com/globalSearch/LM3S2432-IQC50-A2/page-1", "LM3S2432-IQC50-A2")</f>
        <v>LM3S2432-IQC50-A2</v>
      </c>
      <c r="B12647" s="3" t="s">
        <v>90</v>
      </c>
      <c r="C12647" s="5">
        <v>454</v>
      </c>
      <c r="D12647" s="6">
        <v>24.26</v>
      </c>
      <c r="E12647" t="s">
        <v>45</v>
      </c>
    </row>
    <row r="12648" spans="1:5" x14ac:dyDescent="0.25">
      <c r="A12648" t="str">
        <f>HYPERLINK("https://www.773grp.com/globalSearch/MSC1202Y2RHHT/page-1", "MSC1202Y2RHHT")</f>
        <v>MSC1202Y2RHHT</v>
      </c>
      <c r="B12648" s="3" t="s">
        <v>90</v>
      </c>
      <c r="C12648" s="5">
        <v>1250</v>
      </c>
      <c r="D12648" s="6">
        <v>24.3</v>
      </c>
      <c r="E12648" t="s">
        <v>45</v>
      </c>
    </row>
    <row r="12649" spans="1:5" x14ac:dyDescent="0.25">
      <c r="A12649" t="str">
        <f>HYPERLINK("https://www.773grp.com/globalSearch/LM3S2601-IQC50-A2/page-1", "LM3S2601-IQC50-A2")</f>
        <v>LM3S2601-IQC50-A2</v>
      </c>
      <c r="B12649" s="3" t="s">
        <v>90</v>
      </c>
      <c r="C12649" s="5">
        <v>367</v>
      </c>
      <c r="D12649" s="6">
        <v>24.53</v>
      </c>
      <c r="E12649" t="s">
        <v>45</v>
      </c>
    </row>
    <row r="12650" spans="1:5" x14ac:dyDescent="0.25">
      <c r="A12650" t="str">
        <f>HYPERLINK("https://www.773grp.com/globalSearch/LM3S2637-IQC50-A2/page-1", "LM3S2637-IQC50-A2")</f>
        <v>LM3S2637-IQC50-A2</v>
      </c>
      <c r="B12650" s="3" t="s">
        <v>90</v>
      </c>
      <c r="C12650" s="5">
        <v>9</v>
      </c>
      <c r="D12650" s="6">
        <v>24.55</v>
      </c>
      <c r="E12650" t="s">
        <v>45</v>
      </c>
    </row>
    <row r="12651" spans="1:5" x14ac:dyDescent="0.25">
      <c r="A12651" t="str">
        <f>HYPERLINK("https://www.773grp.com/globalSearch/LM3S9D92-IQC80-A1T/page-1", "LM3S9D92-IQC80-A1T")</f>
        <v>LM3S9D92-IQC80-A1T</v>
      </c>
      <c r="B12651" s="3" t="s">
        <v>90</v>
      </c>
      <c r="C12651" s="5">
        <v>800</v>
      </c>
      <c r="D12651" s="6">
        <v>24.6</v>
      </c>
      <c r="E12651" t="s">
        <v>45</v>
      </c>
    </row>
    <row r="12652" spans="1:5" x14ac:dyDescent="0.25">
      <c r="A12652" t="str">
        <f>HYPERLINK("https://www.773grp.com/globalSearch/LM3S2911-IQC50-A2/page-1", "LM3S2911-IQC50-A2")</f>
        <v>LM3S2911-IQC50-A2</v>
      </c>
      <c r="B12652" s="3" t="s">
        <v>90</v>
      </c>
      <c r="C12652" s="5">
        <v>2660</v>
      </c>
      <c r="D12652" s="6">
        <v>24.64</v>
      </c>
      <c r="E12652" t="s">
        <v>45</v>
      </c>
    </row>
    <row r="12653" spans="1:5" x14ac:dyDescent="0.25">
      <c r="A12653" t="str">
        <f>HYPERLINK("https://www.773grp.com/globalSearch/LM3S9997-IQC80-C5/page-1", "LM3S9997-IQC80-C5")</f>
        <v>LM3S9997-IQC80-C5</v>
      </c>
      <c r="B12653" s="3" t="s">
        <v>90</v>
      </c>
      <c r="C12653" s="5">
        <v>340</v>
      </c>
      <c r="D12653" s="6">
        <v>24.64</v>
      </c>
      <c r="E12653" t="s">
        <v>45</v>
      </c>
    </row>
    <row r="12654" spans="1:5" x14ac:dyDescent="0.25">
      <c r="A12654" t="str">
        <f>HYPERLINK("https://www.773grp.com/globalSearch/MSP430F1610IRTDT/page-1", "MSP430F1610IRTDT")</f>
        <v>MSP430F1610IRTDT</v>
      </c>
      <c r="B12654" s="3" t="s">
        <v>90</v>
      </c>
      <c r="C12654" s="5">
        <v>876</v>
      </c>
      <c r="D12654" s="6">
        <v>24.68</v>
      </c>
      <c r="E12654" t="s">
        <v>45</v>
      </c>
    </row>
    <row r="12655" spans="1:5" x14ac:dyDescent="0.25">
      <c r="A12655" t="str">
        <f>HYPERLINK("https://www.773grp.com/globalSearch/LM3S2948-IBZ50-A2/page-1", "LM3S2948-IBZ50-A2")</f>
        <v>LM3S2948-IBZ50-A2</v>
      </c>
      <c r="B12655" s="3" t="s">
        <v>90</v>
      </c>
      <c r="C12655" s="5">
        <v>200</v>
      </c>
      <c r="D12655" s="6">
        <v>25.18</v>
      </c>
      <c r="E12655" t="s">
        <v>45</v>
      </c>
    </row>
    <row r="12656" spans="1:5" x14ac:dyDescent="0.25">
      <c r="A12656" t="str">
        <f>HYPERLINK("https://www.773grp.com/globalSearch/TMS320C28341ZFET/page-1", "TMS320C28341ZFET")</f>
        <v>TMS320C28341ZFET</v>
      </c>
      <c r="B12656" s="3" t="s">
        <v>90</v>
      </c>
      <c r="C12656" s="5">
        <v>2163</v>
      </c>
      <c r="D12656" s="6">
        <v>25.18</v>
      </c>
      <c r="E12656" t="s">
        <v>45</v>
      </c>
    </row>
    <row r="12657" spans="1:5" x14ac:dyDescent="0.25">
      <c r="A12657" t="str">
        <f>HYPERLINK("https://www.773grp.com/globalSearch/TMS320C28341ZHHT/page-1", "TMS320C28341ZHHT")</f>
        <v>TMS320C28341ZHHT</v>
      </c>
      <c r="B12657" s="3" t="s">
        <v>90</v>
      </c>
      <c r="C12657" s="5">
        <v>1709</v>
      </c>
      <c r="D12657" s="6">
        <v>25.18</v>
      </c>
      <c r="E12657" t="s">
        <v>45</v>
      </c>
    </row>
    <row r="12658" spans="1:5" x14ac:dyDescent="0.25">
      <c r="A12658" t="str">
        <f>HYPERLINK("https://www.773grp.com/globalSearch/MSP430P337IPJM/page-1", "MSP430P337IPJM")</f>
        <v>MSP430P337IPJM</v>
      </c>
      <c r="B12658" s="3" t="s">
        <v>90</v>
      </c>
      <c r="C12658" s="5">
        <v>1265</v>
      </c>
      <c r="D12658" s="6">
        <v>25.31</v>
      </c>
      <c r="E12658" t="s">
        <v>45</v>
      </c>
    </row>
    <row r="12659" spans="1:5" x14ac:dyDescent="0.25">
      <c r="A12659" t="str">
        <f>HYPERLINK("https://www.773grp.com/globalSearch/LM3S2410-IQC25-A2/page-1", "LM3S2410-IQC25-A2")</f>
        <v>LM3S2410-IQC25-A2</v>
      </c>
      <c r="B12659" s="3" t="s">
        <v>90</v>
      </c>
      <c r="C12659" s="5">
        <v>7</v>
      </c>
      <c r="D12659" s="6">
        <v>25.51</v>
      </c>
      <c r="E12659" t="s">
        <v>45</v>
      </c>
    </row>
    <row r="12660" spans="1:5" x14ac:dyDescent="0.25">
      <c r="A12660" t="str">
        <f>HYPERLINK("https://www.773grp.com/globalSearch/MSP430F1611IRTDR/page-1", "MSP430F1611IRTDR")</f>
        <v>MSP430F1611IRTDR</v>
      </c>
      <c r="B12660" s="3" t="s">
        <v>90</v>
      </c>
      <c r="C12660" s="5">
        <v>2209</v>
      </c>
      <c r="D12660" s="6">
        <v>25.76</v>
      </c>
      <c r="E12660" t="s">
        <v>45</v>
      </c>
    </row>
    <row r="12661" spans="1:5" x14ac:dyDescent="0.25">
      <c r="A12661" t="str">
        <f>HYPERLINK("https://www.773grp.com/globalSearch/MSC1201Y3RHHR/page-1", "MSC1201Y3RHHR")</f>
        <v>MSC1201Y3RHHR</v>
      </c>
      <c r="B12661" s="3" t="s">
        <v>90</v>
      </c>
      <c r="C12661" s="5">
        <v>4950</v>
      </c>
      <c r="D12661" s="6">
        <v>26.16</v>
      </c>
      <c r="E12661" t="s">
        <v>45</v>
      </c>
    </row>
    <row r="12662" spans="1:5" x14ac:dyDescent="0.25">
      <c r="A12662" t="str">
        <f>HYPERLINK("https://www.773grp.com/globalSearch/LM3S8730-IQC50-A2/page-1", "LM3S8730-IQC50-A2")</f>
        <v>LM3S8730-IQC50-A2</v>
      </c>
      <c r="B12662" s="3" t="s">
        <v>90</v>
      </c>
      <c r="C12662" s="5">
        <v>66</v>
      </c>
      <c r="D12662" s="6">
        <v>26.44</v>
      </c>
      <c r="E12662" t="s">
        <v>45</v>
      </c>
    </row>
    <row r="12663" spans="1:5" x14ac:dyDescent="0.25">
      <c r="A12663" t="str">
        <f>HYPERLINK("https://www.773grp.com/globalSearch/LM3S8730-IQC50-A2/page-1", "LM3S8730-IQC50-A2")</f>
        <v>LM3S8730-IQC50-A2</v>
      </c>
      <c r="B12663" s="3" t="s">
        <v>90</v>
      </c>
      <c r="C12663" s="5">
        <v>90</v>
      </c>
      <c r="D12663" s="6">
        <v>26.44</v>
      </c>
      <c r="E12663" t="s">
        <v>45</v>
      </c>
    </row>
    <row r="12664" spans="1:5" x14ac:dyDescent="0.25">
      <c r="A12664" t="str">
        <f>HYPERLINK("https://www.773grp.com/globalSearch/TMS320F28069PZPS/page-1", "TMS320F28069PZPS")</f>
        <v>TMS320F28069PZPS</v>
      </c>
      <c r="B12664" s="3" t="s">
        <v>90</v>
      </c>
      <c r="C12664" s="5">
        <v>434</v>
      </c>
      <c r="D12664" s="6">
        <v>26.44</v>
      </c>
      <c r="E12664" t="s">
        <v>45</v>
      </c>
    </row>
    <row r="12665" spans="1:5" x14ac:dyDescent="0.25">
      <c r="A12665" t="str">
        <f>HYPERLINK("https://www.773grp.com/globalSearch/TMS370C686AFNT/page-1", "TMS370C686AFNT")</f>
        <v>TMS370C686AFNT</v>
      </c>
      <c r="B12665" s="3" t="s">
        <v>90</v>
      </c>
      <c r="C12665" s="5">
        <v>5130</v>
      </c>
      <c r="D12665" s="6">
        <v>26.75</v>
      </c>
      <c r="E12665" t="s">
        <v>45</v>
      </c>
    </row>
    <row r="12666" spans="1:5" x14ac:dyDescent="0.25">
      <c r="A12666" t="str">
        <f>HYPERLINK("https://www.773grp.com/globalSearch/MSP430F1612IRTDT/page-1", "MSP430F1612IRTDT")</f>
        <v>MSP430F1612IRTDT</v>
      </c>
      <c r="B12666" s="3" t="s">
        <v>90</v>
      </c>
      <c r="C12666" s="5">
        <v>2238</v>
      </c>
      <c r="D12666" s="6">
        <v>26.86</v>
      </c>
      <c r="E12666" t="s">
        <v>45</v>
      </c>
    </row>
    <row r="12667" spans="1:5" x14ac:dyDescent="0.25">
      <c r="A12667" t="str">
        <f>HYPERLINK("https://www.773grp.com/globalSearch/LM3S8930-IQC50-A2/page-1", "LM3S8930-IQC50-A2")</f>
        <v>LM3S8930-IQC50-A2</v>
      </c>
      <c r="B12667" s="3" t="s">
        <v>90</v>
      </c>
      <c r="C12667" s="5">
        <v>1</v>
      </c>
      <c r="D12667" s="6">
        <v>26.96</v>
      </c>
      <c r="E12667" t="s">
        <v>45</v>
      </c>
    </row>
    <row r="12668" spans="1:5" x14ac:dyDescent="0.25">
      <c r="A12668" t="str">
        <f>HYPERLINK("https://www.773grp.com/globalSearch/LM3S6110-IQC25-A2/page-1", "LM3S6110-IQC25-A2")</f>
        <v>LM3S6110-IQC25-A2</v>
      </c>
      <c r="B12668" s="3" t="s">
        <v>90</v>
      </c>
      <c r="C12668" s="5">
        <v>93</v>
      </c>
      <c r="D12668" s="6">
        <v>27.2</v>
      </c>
      <c r="E12668" t="s">
        <v>45</v>
      </c>
    </row>
    <row r="12669" spans="1:5" x14ac:dyDescent="0.25">
      <c r="A12669" t="str">
        <f>HYPERLINK("https://www.773grp.com/globalSearch/LM3S6952-IQC50-A2/page-1", "LM3S6952-IQC50-A2")</f>
        <v>LM3S6952-IQC50-A2</v>
      </c>
      <c r="B12669" s="3" t="s">
        <v>90</v>
      </c>
      <c r="C12669" s="5">
        <v>2</v>
      </c>
      <c r="D12669" s="6">
        <v>27.2</v>
      </c>
      <c r="E12669" t="s">
        <v>45</v>
      </c>
    </row>
    <row r="12670" spans="1:5" x14ac:dyDescent="0.25">
      <c r="A12670" t="str">
        <f>HYPERLINK("https://www.773grp.com/globalSearch/LM3S6432-IQC50-A2/page-1", "LM3S6432-IQC50-A2")</f>
        <v>LM3S6432-IQC50-A2</v>
      </c>
      <c r="B12670" s="3" t="s">
        <v>90</v>
      </c>
      <c r="C12670" s="5">
        <v>831</v>
      </c>
      <c r="D12670" s="6">
        <v>27.3</v>
      </c>
      <c r="E12670" t="s">
        <v>45</v>
      </c>
    </row>
    <row r="12671" spans="1:5" x14ac:dyDescent="0.25">
      <c r="A12671" t="str">
        <f>HYPERLINK("https://www.773grp.com/globalSearch/LM3S6432-IQC50-A2T/page-1", "LM3S6432-IQC50-A2T")</f>
        <v>LM3S6432-IQC50-A2T</v>
      </c>
      <c r="B12671" s="3" t="s">
        <v>90</v>
      </c>
      <c r="C12671" s="5">
        <v>910</v>
      </c>
      <c r="D12671" s="6">
        <v>27.3</v>
      </c>
      <c r="E12671" t="s">
        <v>45</v>
      </c>
    </row>
    <row r="12672" spans="1:5" x14ac:dyDescent="0.25">
      <c r="A12672" t="str">
        <f>HYPERLINK("https://www.773grp.com/globalSearch/LM3S6918-IBZ50-A2/page-1", "LM3S6918-IBZ50-A2")</f>
        <v>LM3S6918-IBZ50-A2</v>
      </c>
      <c r="B12672" s="3" t="str">
        <f>HYPERLINK("https://www.773grp.com/manufacturer/texas-instruments?pageNo=23", "Texas Instruments")</f>
        <v>Texas Instruments</v>
      </c>
      <c r="C12672" s="5">
        <v>174</v>
      </c>
      <c r="D12672" s="6">
        <v>27.45</v>
      </c>
      <c r="E12672" t="s">
        <v>45</v>
      </c>
    </row>
    <row r="12673" spans="1:5" x14ac:dyDescent="0.25">
      <c r="A12673" t="str">
        <f>HYPERLINK("https://www.773grp.com/globalSearch/LM3S8630-IQC50-A2/page-1", "LM3S8630-IQC50-A2")</f>
        <v>LM3S8630-IQC50-A2</v>
      </c>
      <c r="B12673" s="3" t="str">
        <f>HYPERLINK("https://www.773grp.com/manufacturer/texas-instruments?pageNo=43", "Texas Instruments")</f>
        <v>Texas Instruments</v>
      </c>
      <c r="C12673" s="5">
        <v>47</v>
      </c>
      <c r="D12673" s="6">
        <v>27.68</v>
      </c>
      <c r="E12673" t="s">
        <v>45</v>
      </c>
    </row>
    <row r="12674" spans="1:5" x14ac:dyDescent="0.25">
      <c r="A12674" t="str">
        <f>HYPERLINK("https://www.773grp.com/globalSearch/LM3S8630-IQC50-A2/page-1", "LM3S8630-IQC50-A2")</f>
        <v>LM3S8630-IQC50-A2</v>
      </c>
      <c r="B12674" s="3" t="str">
        <f>HYPERLINK("https://www.773grp.com/manufacturer/texas-instruments?pageNo=44", "Texas Instruments")</f>
        <v>Texas Instruments</v>
      </c>
      <c r="C12674" s="5">
        <v>10</v>
      </c>
      <c r="D12674" s="6">
        <v>27.68</v>
      </c>
      <c r="E12674" t="s">
        <v>45</v>
      </c>
    </row>
    <row r="12675" spans="1:5" x14ac:dyDescent="0.25">
      <c r="A12675" t="str">
        <f>HYPERLINK("https://www.773grp.com/globalSearch/CC1010PAGR/page-1", "CC1010PAGR")</f>
        <v>CC1010PAGR</v>
      </c>
      <c r="B12675" s="3" t="str">
        <f>HYPERLINK("https://www.773grp.com/manufacturer/texas-instruments?pageNo=88", "Texas Instruments")</f>
        <v>Texas Instruments</v>
      </c>
      <c r="C12675" s="5">
        <v>1400</v>
      </c>
      <c r="D12675" s="6">
        <v>27.9</v>
      </c>
      <c r="E12675" t="s">
        <v>45</v>
      </c>
    </row>
    <row r="12676" spans="1:5" x14ac:dyDescent="0.25">
      <c r="A12676" t="str">
        <f>HYPERLINK("https://www.773grp.com/globalSearch/LM3S6637-IQC50-A2/page-1", "LM3S6637-IQC50-A2")</f>
        <v>LM3S6637-IQC50-A2</v>
      </c>
      <c r="B12676" s="3" t="str">
        <f>HYPERLINK("https://www.773grp.com/manufacturer/texas-instruments?pageNo=115", "Texas Instruments")</f>
        <v>Texas Instruments</v>
      </c>
      <c r="C12676" s="5">
        <v>180</v>
      </c>
      <c r="D12676" s="6">
        <v>28.01</v>
      </c>
      <c r="E12676" t="s">
        <v>45</v>
      </c>
    </row>
    <row r="12677" spans="1:5" x14ac:dyDescent="0.25">
      <c r="A12677" t="str">
        <f>HYPERLINK("https://www.773grp.com/globalSearch/LM3S6420-IQC25-A2/page-1", "LM3S6420-IQC25-A2")</f>
        <v>LM3S6420-IQC25-A2</v>
      </c>
      <c r="B12677" s="3" t="str">
        <f>HYPERLINK("https://www.773grp.com/manufacturer/texas-instruments?pageNo=118", "Texas Instruments")</f>
        <v>Texas Instruments</v>
      </c>
      <c r="C12677" s="5">
        <v>201</v>
      </c>
      <c r="D12677" s="6">
        <v>28.06</v>
      </c>
      <c r="E12677" t="s">
        <v>45</v>
      </c>
    </row>
    <row r="12678" spans="1:5" x14ac:dyDescent="0.25">
      <c r="A12678" t="str">
        <f>HYPERLINK("https://www.773grp.com/globalSearch/LM3S8538-IQC50-A2/page-1", "LM3S8538-IQC50-A2")</f>
        <v>LM3S8538-IQC50-A2</v>
      </c>
      <c r="B12678" s="3" t="str">
        <f>HYPERLINK("https://www.773grp.com/manufacturer/texas-instruments?pageNo=124", "Texas Instruments")</f>
        <v>Texas Instruments</v>
      </c>
      <c r="C12678" s="5">
        <v>158</v>
      </c>
      <c r="D12678" s="6">
        <v>28.1</v>
      </c>
      <c r="E12678" t="s">
        <v>45</v>
      </c>
    </row>
    <row r="12679" spans="1:5" x14ac:dyDescent="0.25">
      <c r="A12679" t="str">
        <f>HYPERLINK("https://www.773grp.com/globalSearch/LM3S8538-IQC50-A2/page-1", "LM3S8538-IQC50-A2")</f>
        <v>LM3S8538-IQC50-A2</v>
      </c>
      <c r="B12679" s="3" t="str">
        <f>HYPERLINK("https://www.773grp.com/manufacturer/texas-instruments?pageNo=125", "Texas Instruments")</f>
        <v>Texas Instruments</v>
      </c>
      <c r="C12679" s="5">
        <v>90</v>
      </c>
      <c r="D12679" s="6">
        <v>28.1</v>
      </c>
      <c r="E12679" t="s">
        <v>45</v>
      </c>
    </row>
    <row r="12680" spans="1:5" x14ac:dyDescent="0.25">
      <c r="A12680" t="str">
        <f>HYPERLINK("https://www.773grp.com/globalSearch/LM3S5D91-IQC80-A2/page-1", "LM3S5D91-IQC80-A2")</f>
        <v>LM3S5D91-IQC80-A2</v>
      </c>
      <c r="B12680" s="3" t="str">
        <f>HYPERLINK("https://www.773grp.com/manufacturer/texas-instruments?pageNo=185", "Texas Instruments")</f>
        <v>Texas Instruments</v>
      </c>
      <c r="C12680" s="5">
        <v>289</v>
      </c>
      <c r="D12680" s="6">
        <v>28.21</v>
      </c>
      <c r="E12680" t="s">
        <v>45</v>
      </c>
    </row>
    <row r="12681" spans="1:5" x14ac:dyDescent="0.25">
      <c r="A12681" t="str">
        <f>HYPERLINK("https://www.773grp.com/globalSearch/MSC1201Y2RHHT/page-1", "MSC1201Y2RHHT")</f>
        <v>MSC1201Y2RHHT</v>
      </c>
      <c r="B12681" s="3" t="str">
        <f>HYPERLINK("https://www.773grp.com/manufacturer/texas-instruments?pageNo=218", "Texas Instruments")</f>
        <v>Texas Instruments</v>
      </c>
      <c r="C12681" s="5">
        <v>1000</v>
      </c>
      <c r="D12681" s="6">
        <v>28.4</v>
      </c>
      <c r="E12681" t="s">
        <v>45</v>
      </c>
    </row>
    <row r="12682" spans="1:5" x14ac:dyDescent="0.25">
      <c r="A12682" t="str">
        <f>HYPERLINK("https://www.773grp.com/globalSearch/TMS320C28342ZFET/page-1", "TMS320C28342ZFET")</f>
        <v>TMS320C28342ZFET</v>
      </c>
      <c r="B12682" s="3" t="str">
        <f>HYPERLINK("https://www.773grp.com/manufacturer/texas-instruments?pageNo=250", "Texas Instruments")</f>
        <v>Texas Instruments</v>
      </c>
      <c r="C12682" s="5">
        <v>1736</v>
      </c>
      <c r="D12682" s="6">
        <v>28.69</v>
      </c>
      <c r="E12682" t="s">
        <v>45</v>
      </c>
    </row>
    <row r="12683" spans="1:5" x14ac:dyDescent="0.25">
      <c r="A12683" t="str">
        <f>HYPERLINK("https://www.773grp.com/globalSearch/LM3S6730-IQC50-A2/page-1", "LM3S6730-IQC50-A2")</f>
        <v>LM3S6730-IQC50-A2</v>
      </c>
      <c r="B12683" s="3" t="str">
        <f>HYPERLINK("https://www.773grp.com/manufacturer/texas-instruments?pageNo=317", "Texas Instruments")</f>
        <v>Texas Instruments</v>
      </c>
      <c r="C12683" s="5">
        <v>4</v>
      </c>
      <c r="D12683" s="6">
        <v>29.25</v>
      </c>
      <c r="E12683" t="s">
        <v>45</v>
      </c>
    </row>
    <row r="12684" spans="1:5" x14ac:dyDescent="0.25">
      <c r="A12684" t="str">
        <f>HYPERLINK("https://www.773grp.com/globalSearch/LM3S5D51-IQC80-A2T/page-1", "LM3S5D51-IQC80-A2T")</f>
        <v>LM3S5D51-IQC80-A2T</v>
      </c>
      <c r="B12684" s="3" t="str">
        <f>HYPERLINK("https://www.773grp.com/manufacturer/texas-instruments?pageNo=438", "Texas Instruments")</f>
        <v>Texas Instruments</v>
      </c>
      <c r="C12684" s="5">
        <v>2000</v>
      </c>
      <c r="D12684" s="6">
        <v>30.04</v>
      </c>
      <c r="E12684" t="s">
        <v>45</v>
      </c>
    </row>
    <row r="12685" spans="1:5" x14ac:dyDescent="0.25">
      <c r="A12685" t="str">
        <f>HYPERLINK("https://www.773grp.com/globalSearch/LM3S8738-IBZ50-A2/page-1", "LM3S8738-IBZ50-A2")</f>
        <v>LM3S8738-IBZ50-A2</v>
      </c>
      <c r="B12685" s="3" t="str">
        <f>HYPERLINK("https://www.773grp.com/manufacturer/texas-instruments?pageNo=650", "Texas Instruments")</f>
        <v>Texas Instruments</v>
      </c>
      <c r="C12685" s="5">
        <v>115</v>
      </c>
      <c r="D12685" s="6">
        <v>31.1</v>
      </c>
      <c r="E12685" t="s">
        <v>45</v>
      </c>
    </row>
    <row r="12686" spans="1:5" x14ac:dyDescent="0.25">
      <c r="A12686" t="str">
        <f>HYPERLINK("https://www.773grp.com/globalSearch/LM3S6422-IQC25-A2/page-1", "LM3S6422-IQC25-A2")</f>
        <v>LM3S6422-IQC25-A2</v>
      </c>
      <c r="B12686" s="3" t="str">
        <f>HYPERLINK("https://www.773grp.com/manufacturer/texas-instruments?pageNo=675", "Texas Instruments")</f>
        <v>Texas Instruments</v>
      </c>
      <c r="C12686" s="5">
        <v>5</v>
      </c>
      <c r="D12686" s="6">
        <v>31.35</v>
      </c>
      <c r="E12686" t="s">
        <v>45</v>
      </c>
    </row>
    <row r="12687" spans="1:5" x14ac:dyDescent="0.25">
      <c r="A12687" t="str">
        <f>HYPERLINK("https://www.773grp.com/globalSearch/MSC1200Y2PFBT/page-1", "MSC1200Y2PFBT")</f>
        <v>MSC1200Y2PFBT</v>
      </c>
      <c r="B12687" s="3" t="str">
        <f>HYPERLINK("https://www.773grp.com/manufacturer/texas-instruments?pageNo=681", "Texas Instruments")</f>
        <v>Texas Instruments</v>
      </c>
      <c r="C12687" s="5">
        <v>285</v>
      </c>
      <c r="D12687" s="6">
        <v>31.39</v>
      </c>
      <c r="E12687" t="s">
        <v>45</v>
      </c>
    </row>
    <row r="12688" spans="1:5" x14ac:dyDescent="0.25">
      <c r="A12688" t="str">
        <f>HYPERLINK("https://www.773grp.com/globalSearch/MSC1201Y3RHHT/page-1", "MSC1201Y3RHHT")</f>
        <v>MSC1201Y3RHHT</v>
      </c>
      <c r="B12688" s="3" t="str">
        <f>HYPERLINK("https://www.773grp.com/manufacturer/texas-instruments?pageNo=682", "Texas Instruments")</f>
        <v>Texas Instruments</v>
      </c>
      <c r="C12688" s="5">
        <v>2304</v>
      </c>
      <c r="D12688" s="6">
        <v>31.39</v>
      </c>
      <c r="E12688" t="s">
        <v>45</v>
      </c>
    </row>
    <row r="12689" spans="1:5" x14ac:dyDescent="0.25">
      <c r="A12689" t="str">
        <f>HYPERLINK("https://www.773grp.com/globalSearch/TMS320C28343ZHHT/page-1", "TMS320C28343ZHHT")</f>
        <v>TMS320C28343ZHHT</v>
      </c>
      <c r="B12689" s="3" t="str">
        <f>HYPERLINK("https://www.773grp.com/manufacturer/texas-instruments?pageNo=711", "Texas Instruments")</f>
        <v>Texas Instruments</v>
      </c>
      <c r="C12689" s="5">
        <v>616</v>
      </c>
      <c r="D12689" s="6">
        <v>31.64</v>
      </c>
      <c r="E12689" t="s">
        <v>45</v>
      </c>
    </row>
    <row r="12690" spans="1:5" x14ac:dyDescent="0.25">
      <c r="A12690" t="str">
        <f>HYPERLINK("https://www.773grp.com/globalSearch/CC1010PAG/page-1", "CC1010PAG")</f>
        <v>CC1010PAG</v>
      </c>
      <c r="B12690" s="3" t="str">
        <f>HYPERLINK("https://www.773grp.com/manufacturer/texas-instruments?pageNo=930", "Texas Instruments")</f>
        <v>Texas Instruments</v>
      </c>
      <c r="C12690" s="5">
        <v>245</v>
      </c>
      <c r="D12690" s="6">
        <v>33.21</v>
      </c>
      <c r="E12690" t="s">
        <v>45</v>
      </c>
    </row>
    <row r="12691" spans="1:5" x14ac:dyDescent="0.25">
      <c r="A12691" t="str">
        <f>HYPERLINK("https://www.773grp.com/globalSearch/CC1010-RTY1/page-1", "CC1010-RTY1")</f>
        <v>CC1010-RTY1</v>
      </c>
      <c r="B12691" s="3" t="str">
        <f>HYPERLINK("https://www.773grp.com/manufacturer/texas-instruments?pageNo=931", "Texas Instruments")</f>
        <v>Texas Instruments</v>
      </c>
      <c r="C12691" s="5">
        <v>127</v>
      </c>
      <c r="D12691" s="6">
        <v>33.21</v>
      </c>
      <c r="E12691" t="s">
        <v>45</v>
      </c>
    </row>
    <row r="12692" spans="1:5" x14ac:dyDescent="0.25">
      <c r="A12692" t="str">
        <f>HYPERLINK("https://www.773grp.com/globalSearch/TMS370C736AFNT/page-1", "TMS370C736AFNT")</f>
        <v>TMS370C736AFNT</v>
      </c>
      <c r="B12692" s="3" t="s">
        <v>90</v>
      </c>
      <c r="C12692" s="5">
        <v>561</v>
      </c>
      <c r="D12692" s="6">
        <v>33.409999999999997</v>
      </c>
      <c r="E12692" t="s">
        <v>45</v>
      </c>
    </row>
    <row r="12693" spans="1:5" x14ac:dyDescent="0.25">
      <c r="A12693" t="str">
        <f>HYPERLINK("https://www.773grp.com/globalSearch/LM3S8933-IQC50-A2/page-1", "LM3S8933-IQC50-A2")</f>
        <v>LM3S8933-IQC50-A2</v>
      </c>
      <c r="B12693" s="3" t="s">
        <v>90</v>
      </c>
      <c r="C12693" s="5">
        <v>90</v>
      </c>
      <c r="D12693" s="6">
        <v>33.61</v>
      </c>
      <c r="E12693" t="s">
        <v>45</v>
      </c>
    </row>
    <row r="12694" spans="1:5" x14ac:dyDescent="0.25">
      <c r="A12694" t="str">
        <f>HYPERLINK("https://www.773grp.com/globalSearch/TMS470R1B768PGET/page-1", "TMS470R1B768PGET")</f>
        <v>TMS470R1B768PGET</v>
      </c>
      <c r="B12694" s="3" t="s">
        <v>90</v>
      </c>
      <c r="C12694" s="5">
        <v>1</v>
      </c>
      <c r="D12694" s="6">
        <v>34.46</v>
      </c>
      <c r="E12694" t="s">
        <v>45</v>
      </c>
    </row>
    <row r="12695" spans="1:5" x14ac:dyDescent="0.25">
      <c r="A12695" t="str">
        <f>HYPERLINK("https://www.773grp.com/globalSearch/TMS370C792FNT/page-1", "TMS370C792FNT")</f>
        <v>TMS370C792FNT</v>
      </c>
      <c r="B12695" s="3" t="s">
        <v>90</v>
      </c>
      <c r="C12695" s="5">
        <v>1063</v>
      </c>
      <c r="D12695" s="6">
        <v>34.81</v>
      </c>
      <c r="E12695" t="s">
        <v>45</v>
      </c>
    </row>
    <row r="12696" spans="1:5" x14ac:dyDescent="0.25">
      <c r="A12696" t="str">
        <f>HYPERLINK("https://www.773grp.com/globalSearch/LM3S8733-IQC50-A2/page-1", "LM3S8733-IQC50-A2")</f>
        <v>LM3S8733-IQC50-A2</v>
      </c>
      <c r="B12696" s="3" t="s">
        <v>90</v>
      </c>
      <c r="C12696" s="5">
        <v>270</v>
      </c>
      <c r="D12696" s="6">
        <v>34.96</v>
      </c>
      <c r="E12696" t="s">
        <v>45</v>
      </c>
    </row>
    <row r="12697" spans="1:5" x14ac:dyDescent="0.25">
      <c r="A12697" t="str">
        <f>HYPERLINK("https://www.773grp.com/globalSearch/MSC1210Y2PAGT/page-1", "MSC1210Y2PAGT")</f>
        <v>MSC1210Y2PAGT</v>
      </c>
      <c r="B12697" s="3" t="s">
        <v>90</v>
      </c>
      <c r="C12697" s="5">
        <v>250</v>
      </c>
      <c r="D12697" s="6">
        <v>37.01</v>
      </c>
      <c r="E12697" t="s">
        <v>45</v>
      </c>
    </row>
    <row r="12698" spans="1:5" x14ac:dyDescent="0.25">
      <c r="A12698" t="str">
        <f>HYPERLINK("https://www.773grp.com/globalSearch/TMX320C28343ZHH/page-1", "TMX320C28343ZHH")</f>
        <v>TMX320C28343ZHH</v>
      </c>
      <c r="B12698" s="3" t="s">
        <v>90</v>
      </c>
      <c r="C12698" s="5">
        <v>519</v>
      </c>
      <c r="D12698" s="6">
        <v>37.979999999999997</v>
      </c>
      <c r="E12698" t="s">
        <v>45</v>
      </c>
    </row>
    <row r="12699" spans="1:5" x14ac:dyDescent="0.25">
      <c r="A12699" t="str">
        <f>HYPERLINK("https://www.773grp.com/globalSearch/TMS370C792N2T/page-1", "TMS370C792N2T")</f>
        <v>TMS370C792N2T</v>
      </c>
      <c r="B12699" s="3" t="s">
        <v>90</v>
      </c>
      <c r="C12699" s="5">
        <v>222</v>
      </c>
      <c r="D12699" s="6">
        <v>38.31</v>
      </c>
      <c r="E12699" t="s">
        <v>45</v>
      </c>
    </row>
    <row r="12700" spans="1:5" x14ac:dyDescent="0.25">
      <c r="A12700" t="str">
        <f>HYPERLINK("https://www.773grp.com/globalSearch/MSC1210Y4PAGR/page-1", "MSC1210Y4PAGR")</f>
        <v>MSC1210Y4PAGR</v>
      </c>
      <c r="B12700" s="3" t="s">
        <v>90</v>
      </c>
      <c r="C12700" s="5">
        <v>1500</v>
      </c>
      <c r="D12700" s="6">
        <v>39.380000000000003</v>
      </c>
      <c r="E12700" t="s">
        <v>45</v>
      </c>
    </row>
    <row r="12701" spans="1:5" x14ac:dyDescent="0.25">
      <c r="A12701" t="str">
        <f>HYPERLINK("https://www.773grp.com/globalSearch/TMS470R1B1MPGEA/page-1", "TMS470R1B1MPGEA")</f>
        <v>TMS470R1B1MPGEA</v>
      </c>
      <c r="B12701" s="3" t="s">
        <v>90</v>
      </c>
      <c r="C12701" s="5">
        <v>61</v>
      </c>
      <c r="D12701" s="6">
        <v>39.79</v>
      </c>
      <c r="E12701" t="s">
        <v>45</v>
      </c>
    </row>
    <row r="12702" spans="1:5" x14ac:dyDescent="0.25">
      <c r="A12702" t="str">
        <f>HYPERLINK("https://www.773grp.com/globalSearch/MSC1210Y3PAGT/page-1", "MSC1210Y3PAGT")</f>
        <v>MSC1210Y3PAGT</v>
      </c>
      <c r="B12702" s="3" t="s">
        <v>90</v>
      </c>
      <c r="C12702" s="5">
        <v>1250</v>
      </c>
      <c r="D12702" s="6">
        <v>40.450000000000003</v>
      </c>
      <c r="E12702" t="s">
        <v>45</v>
      </c>
    </row>
    <row r="12703" spans="1:5" x14ac:dyDescent="0.25">
      <c r="A12703" t="str">
        <f>HYPERLINK("https://www.773grp.com/globalSearch/TMS320C28345ZFET/page-1", "TMS320C28345ZFET")</f>
        <v>TMS320C28345ZFET</v>
      </c>
      <c r="B12703" s="3" t="s">
        <v>90</v>
      </c>
      <c r="C12703" s="5">
        <v>721</v>
      </c>
      <c r="D12703" s="6">
        <v>40.64</v>
      </c>
      <c r="E12703" t="s">
        <v>45</v>
      </c>
    </row>
    <row r="12704" spans="1:5" x14ac:dyDescent="0.25">
      <c r="A12704" t="str">
        <f>HYPERLINK("https://www.773grp.com/globalSearch/TMS370C777AFNT/page-1", "TMS370C777AFNT")</f>
        <v>TMS370C777AFNT</v>
      </c>
      <c r="B12704" s="3" t="s">
        <v>90</v>
      </c>
      <c r="C12704" s="5">
        <v>16</v>
      </c>
      <c r="D12704" s="6">
        <v>42.61</v>
      </c>
      <c r="E12704" t="s">
        <v>45</v>
      </c>
    </row>
    <row r="12705" spans="1:5" x14ac:dyDescent="0.25">
      <c r="A12705" t="str">
        <f>HYPERLINK("https://www.773grp.com/globalSearch/MSC1210Y4PAGT/page-1", "MSC1210Y4PAGT")</f>
        <v>MSC1210Y4PAGT</v>
      </c>
      <c r="B12705" s="3" t="s">
        <v>90</v>
      </c>
      <c r="C12705" s="5">
        <v>345</v>
      </c>
      <c r="D12705" s="6">
        <v>43.59</v>
      </c>
      <c r="E12705" t="s">
        <v>45</v>
      </c>
    </row>
    <row r="12706" spans="1:5" x14ac:dyDescent="0.25">
      <c r="A12706" t="str">
        <f>HYPERLINK("https://www.773grp.com/globalSearch/AM1810BZWTA3/page-1", "AM1810BZWTA3")</f>
        <v>AM1810BZWTA3</v>
      </c>
      <c r="B12706" s="3" t="s">
        <v>90</v>
      </c>
      <c r="C12706" s="5">
        <v>2652</v>
      </c>
      <c r="D12706" s="6">
        <v>45.86</v>
      </c>
      <c r="E12706" t="s">
        <v>45</v>
      </c>
    </row>
    <row r="12707" spans="1:5" x14ac:dyDescent="0.25">
      <c r="A12707" t="str">
        <f>HYPERLINK("https://www.773grp.com/globalSearch/MSC1210Y5PAGT/page-1", "MSC1210Y5PAGT")</f>
        <v>MSC1210Y5PAGT</v>
      </c>
      <c r="B12707" s="3" t="s">
        <v>90</v>
      </c>
      <c r="C12707" s="5">
        <v>490</v>
      </c>
      <c r="D12707" s="6">
        <v>48.01</v>
      </c>
      <c r="E12707" t="s">
        <v>45</v>
      </c>
    </row>
    <row r="12708" spans="1:5" x14ac:dyDescent="0.25">
      <c r="A12708" t="str">
        <f>HYPERLINK("https://www.773grp.com/globalSearch/TMS370C777ANMT/page-1", "TMS370C777ANMT")</f>
        <v>TMS370C777ANMT</v>
      </c>
      <c r="B12708" s="3" t="s">
        <v>90</v>
      </c>
      <c r="C12708" s="5">
        <v>1588</v>
      </c>
      <c r="D12708" s="6">
        <v>48.99</v>
      </c>
      <c r="E12708" t="s">
        <v>45</v>
      </c>
    </row>
    <row r="12709" spans="1:5" x14ac:dyDescent="0.25">
      <c r="A12709" t="str">
        <f>HYPERLINK("https://www.773grp.com/globalSearch/TMS370C758BFNT/page-1", "TMS370C758BFNT")</f>
        <v>TMS370C758BFNT</v>
      </c>
      <c r="B12709" s="3" t="s">
        <v>90</v>
      </c>
      <c r="C12709" s="5">
        <v>346</v>
      </c>
      <c r="D12709" s="6">
        <v>49.28</v>
      </c>
      <c r="E12709" t="s">
        <v>45</v>
      </c>
    </row>
    <row r="12710" spans="1:5" x14ac:dyDescent="0.25">
      <c r="A12710" t="str">
        <f>HYPERLINK("https://www.773grp.com/globalSearch/TMS370C768AFNT/page-1", "TMS370C768AFNT")</f>
        <v>TMS370C768AFNT</v>
      </c>
      <c r="B12710" s="3" t="s">
        <v>90</v>
      </c>
      <c r="C12710" s="5">
        <v>1589</v>
      </c>
      <c r="D12710" s="6">
        <v>53.91</v>
      </c>
      <c r="E12710" t="s">
        <v>45</v>
      </c>
    </row>
    <row r="12711" spans="1:5" x14ac:dyDescent="0.25">
      <c r="A12711" t="str">
        <f>HYPERLINK("https://www.773grp.com/globalSearch/TMS370C758ANMT/page-1", "TMS370C758ANMT")</f>
        <v>TMS370C758ANMT</v>
      </c>
      <c r="B12711" s="3" t="s">
        <v>90</v>
      </c>
      <c r="C12711" s="5">
        <v>46</v>
      </c>
      <c r="D12711" s="6">
        <v>56.65</v>
      </c>
      <c r="E12711" t="s">
        <v>45</v>
      </c>
    </row>
    <row r="12712" spans="1:5" x14ac:dyDescent="0.25">
      <c r="A12712" t="str">
        <f>HYPERLINK("https://www.773grp.com/globalSearch/TMS370C758BNMT/page-1", "TMS370C758BNMT")</f>
        <v>TMS370C758BNMT</v>
      </c>
      <c r="B12712" s="3" t="s">
        <v>90</v>
      </c>
      <c r="C12712" s="5">
        <v>769</v>
      </c>
      <c r="D12712" s="6">
        <v>56.65</v>
      </c>
      <c r="E12712" t="s">
        <v>45</v>
      </c>
    </row>
    <row r="12713" spans="1:5" x14ac:dyDescent="0.25">
      <c r="A12713" t="str">
        <f>HYPERLINK("https://www.773grp.com/globalSearch/MSP430F2618TGQWTEP/page-1", "MSP430F2618TGQWTEP")</f>
        <v>MSP430F2618TGQWTEP</v>
      </c>
      <c r="B12713" s="3" t="s">
        <v>90</v>
      </c>
      <c r="C12713" s="5">
        <v>463</v>
      </c>
      <c r="D12713" s="6">
        <v>58.5</v>
      </c>
      <c r="E12713" t="s">
        <v>45</v>
      </c>
    </row>
    <row r="12714" spans="1:5" x14ac:dyDescent="0.25">
      <c r="A12714" t="str">
        <f>HYPERLINK("https://www.773grp.com/globalSearch/TMS320C28346ZFEQ/page-1", "TMS320C28346ZFEQ")</f>
        <v>TMS320C28346ZFEQ</v>
      </c>
      <c r="B12714" s="3" t="s">
        <v>90</v>
      </c>
      <c r="C12714" s="5">
        <v>8374</v>
      </c>
      <c r="D12714" s="6">
        <v>58.64</v>
      </c>
      <c r="E12714" t="s">
        <v>45</v>
      </c>
    </row>
    <row r="12715" spans="1:5" x14ac:dyDescent="0.25">
      <c r="A12715" t="str">
        <f>HYPERLINK("https://www.773grp.com/globalSearch/MSC1212Y2PAGR/page-1", "MSC1212Y2PAGR")</f>
        <v>MSC1212Y2PAGR</v>
      </c>
      <c r="B12715" s="3" t="s">
        <v>90</v>
      </c>
      <c r="C12715" s="5">
        <v>1500</v>
      </c>
      <c r="D12715" s="6">
        <v>59.63</v>
      </c>
      <c r="E12715" t="s">
        <v>45</v>
      </c>
    </row>
    <row r="12716" spans="1:5" x14ac:dyDescent="0.25">
      <c r="A12716" t="str">
        <f>HYPERLINK("https://www.773grp.com/globalSearch/MSC1211Y3PAGR/page-1", "MSC1211Y3PAGR")</f>
        <v>MSC1211Y3PAGR</v>
      </c>
      <c r="B12716" s="3" t="s">
        <v>90</v>
      </c>
      <c r="C12716" s="5">
        <v>1500</v>
      </c>
      <c r="D12716" s="6">
        <v>63.15</v>
      </c>
      <c r="E12716" t="s">
        <v>45</v>
      </c>
    </row>
    <row r="12717" spans="1:5" x14ac:dyDescent="0.25">
      <c r="A12717" t="str">
        <f>HYPERLINK("https://www.773grp.com/globalSearch/MSC1211Y4PAGR/page-1", "MSC1211Y4PAGR")</f>
        <v>MSC1211Y4PAGR</v>
      </c>
      <c r="B12717" s="3" t="s">
        <v>90</v>
      </c>
      <c r="C12717" s="5">
        <v>1470</v>
      </c>
      <c r="D12717" s="6">
        <v>68.06</v>
      </c>
      <c r="E12717" t="s">
        <v>45</v>
      </c>
    </row>
    <row r="12718" spans="1:5" x14ac:dyDescent="0.25">
      <c r="A12718" t="str">
        <f>HYPERLINK("https://www.773grp.com/globalSearch/MSC1214Y2PAGT/page-1", "MSC1214Y2PAGT")</f>
        <v>MSC1214Y2PAGT</v>
      </c>
      <c r="B12718" s="3" t="s">
        <v>90</v>
      </c>
      <c r="C12718" s="5">
        <v>8871</v>
      </c>
      <c r="D12718" s="6">
        <v>68.349999999999994</v>
      </c>
      <c r="E12718" t="s">
        <v>45</v>
      </c>
    </row>
    <row r="12719" spans="1:5" x14ac:dyDescent="0.25">
      <c r="A12719" t="str">
        <f>HYPERLINK("https://www.773grp.com/globalSearch/MSC1213Y2PAGT/page-1", "MSC1213Y2PAGT")</f>
        <v>MSC1213Y2PAGT</v>
      </c>
      <c r="B12719" s="3" t="s">
        <v>90</v>
      </c>
      <c r="C12719" s="5">
        <v>9691</v>
      </c>
      <c r="D12719" s="6">
        <v>74.36</v>
      </c>
      <c r="E12719" t="s">
        <v>45</v>
      </c>
    </row>
    <row r="12720" spans="1:5" x14ac:dyDescent="0.25">
      <c r="A12720" t="str">
        <f>HYPERLINK("https://www.773grp.com/globalSearch/MSC1214Y3PAGT/page-1", "MSC1214Y3PAGT")</f>
        <v>MSC1214Y3PAGT</v>
      </c>
      <c r="B12720" s="3" t="s">
        <v>90</v>
      </c>
      <c r="C12720" s="5">
        <v>1711</v>
      </c>
      <c r="D12720" s="6">
        <v>74.64</v>
      </c>
      <c r="E12720" t="s">
        <v>45</v>
      </c>
    </row>
    <row r="12721" spans="1:5" x14ac:dyDescent="0.25">
      <c r="A12721" t="str">
        <f>HYPERLINK("https://www.773grp.com/globalSearch/MSC1213Y3PAGT/page-1", "MSC1213Y3PAGT")</f>
        <v>MSC1213Y3PAGT</v>
      </c>
      <c r="B12721" s="3" t="s">
        <v>90</v>
      </c>
      <c r="C12721" s="5">
        <v>4203</v>
      </c>
      <c r="D12721" s="6">
        <v>77.33</v>
      </c>
      <c r="E12721" t="s">
        <v>45</v>
      </c>
    </row>
    <row r="12722" spans="1:5" x14ac:dyDescent="0.25">
      <c r="A12722" t="str">
        <f>HYPERLINK("https://www.773grp.com/globalSearch/TMS370C769AFNT/page-1", "TMS370C769AFNT")</f>
        <v>TMS370C769AFNT</v>
      </c>
      <c r="B12722" s="3" t="s">
        <v>90</v>
      </c>
      <c r="C12722" s="5">
        <v>5689</v>
      </c>
      <c r="D12722" s="6">
        <v>79.95</v>
      </c>
      <c r="E12722" t="s">
        <v>45</v>
      </c>
    </row>
    <row r="12723" spans="1:5" x14ac:dyDescent="0.25">
      <c r="A12723" t="str">
        <f>HYPERLINK("https://www.773grp.com/globalSearch/MSC1214Y4PAGT/page-1", "MSC1214Y4PAGT")</f>
        <v>MSC1214Y4PAGT</v>
      </c>
      <c r="B12723" s="3" t="s">
        <v>90</v>
      </c>
      <c r="C12723" s="5">
        <v>649</v>
      </c>
      <c r="D12723" s="6">
        <v>81.59</v>
      </c>
      <c r="E12723" t="s">
        <v>45</v>
      </c>
    </row>
    <row r="12724" spans="1:5" x14ac:dyDescent="0.25">
      <c r="A12724" t="str">
        <f>HYPERLINK("https://www.773grp.com/globalSearch/MSC1213Y4PAGT/page-1", "MSC1213Y4PAGT")</f>
        <v>MSC1213Y4PAGT</v>
      </c>
      <c r="B12724" s="3" t="s">
        <v>90</v>
      </c>
      <c r="C12724" s="5">
        <v>1932</v>
      </c>
      <c r="D12724" s="6">
        <v>84.26</v>
      </c>
      <c r="E12724" t="s">
        <v>45</v>
      </c>
    </row>
    <row r="12725" spans="1:5" x14ac:dyDescent="0.25">
      <c r="A12725" t="str">
        <f>HYPERLINK("https://www.773grp.com/globalSearch/MSC1213Y5PAGT/page-1", "MSC1213Y5PAGT")</f>
        <v>MSC1213Y5PAGT</v>
      </c>
      <c r="B12725" s="3" t="s">
        <v>90</v>
      </c>
      <c r="C12725" s="5">
        <v>57</v>
      </c>
      <c r="D12725" s="6">
        <v>92.68</v>
      </c>
      <c r="E12725" t="s">
        <v>45</v>
      </c>
    </row>
    <row r="12726" spans="1:5" x14ac:dyDescent="0.25">
      <c r="A12726" t="str">
        <f>HYPERLINK("https://www.773grp.com/globalSearch/MSC1212Y2PAGT/page-1", "MSC1212Y2PAGT")</f>
        <v>MSC1212Y2PAGT</v>
      </c>
      <c r="B12726" s="3" t="s">
        <v>90</v>
      </c>
      <c r="C12726" s="5">
        <v>9000</v>
      </c>
      <c r="D12726" s="6">
        <v>93.66</v>
      </c>
      <c r="E12726" t="s">
        <v>45</v>
      </c>
    </row>
    <row r="12727" spans="1:5" x14ac:dyDescent="0.25">
      <c r="A12727" t="str">
        <f>HYPERLINK("https://www.773grp.com/globalSearch/MSC1211Y2PAGT/page-1", "MSC1211Y2PAGT")</f>
        <v>MSC1211Y2PAGT</v>
      </c>
      <c r="B12727" s="3" t="s">
        <v>90</v>
      </c>
      <c r="C12727" s="5">
        <v>6750</v>
      </c>
      <c r="D12727" s="6">
        <v>101.21</v>
      </c>
      <c r="E12727" t="s">
        <v>45</v>
      </c>
    </row>
    <row r="12728" spans="1:5" x14ac:dyDescent="0.25">
      <c r="A12728" t="str">
        <f>HYPERLINK("https://www.773grp.com/globalSearch/MSC1212Y3PAGT/page-1", "MSC1212Y3PAGT")</f>
        <v>MSC1212Y3PAGT</v>
      </c>
      <c r="B12728" s="3" t="s">
        <v>90</v>
      </c>
      <c r="C12728" s="5">
        <v>259</v>
      </c>
      <c r="D12728" s="6">
        <v>101.54</v>
      </c>
      <c r="E12728" t="s">
        <v>45</v>
      </c>
    </row>
    <row r="12729" spans="1:5" x14ac:dyDescent="0.25">
      <c r="A12729" t="str">
        <f>HYPERLINK("https://www.773grp.com/globalSearch/MSC1211Y3PAGT/page-1", "MSC1211Y3PAGT")</f>
        <v>MSC1211Y3PAGT</v>
      </c>
      <c r="B12729" s="3" t="s">
        <v>90</v>
      </c>
      <c r="C12729" s="5">
        <v>1000</v>
      </c>
      <c r="D12729" s="6">
        <v>103.75</v>
      </c>
      <c r="E12729" t="s">
        <v>45</v>
      </c>
    </row>
    <row r="12730" spans="1:5" x14ac:dyDescent="0.25">
      <c r="A12730" t="str">
        <f>HYPERLINK("https://www.773grp.com/globalSearch/MSC1212Y4PAGT/page-1", "MSC1212Y4PAGT")</f>
        <v>MSC1212Y4PAGT</v>
      </c>
      <c r="B12730" s="3" t="s">
        <v>90</v>
      </c>
      <c r="C12730" s="5">
        <v>2610</v>
      </c>
      <c r="D12730" s="6">
        <v>108.63</v>
      </c>
      <c r="E12730" t="s">
        <v>45</v>
      </c>
    </row>
    <row r="12731" spans="1:5" x14ac:dyDescent="0.25">
      <c r="A12731" t="str">
        <f>HYPERLINK("https://www.773grp.com/globalSearch/MSC1211Y4PAGT/page-1", "MSC1211Y4PAGT")</f>
        <v>MSC1211Y4PAGT</v>
      </c>
      <c r="B12731" s="3" t="s">
        <v>90</v>
      </c>
      <c r="C12731" s="5">
        <v>722</v>
      </c>
      <c r="D12731" s="6">
        <v>111.43</v>
      </c>
      <c r="E12731" t="s">
        <v>45</v>
      </c>
    </row>
    <row r="12732" spans="1:5" x14ac:dyDescent="0.25">
      <c r="A12732" t="str">
        <f>HYPERLINK("https://www.773grp.com/globalSearch/MSC1212Y5PAGT/page-1", "MSC1212Y5PAGT")</f>
        <v>MSC1212Y5PAGT</v>
      </c>
      <c r="B12732" s="3" t="s">
        <v>90</v>
      </c>
      <c r="C12732" s="5">
        <v>6490</v>
      </c>
      <c r="D12732" s="6">
        <v>117.16</v>
      </c>
      <c r="E12732" t="s">
        <v>45</v>
      </c>
    </row>
    <row r="12733" spans="1:5" x14ac:dyDescent="0.25">
      <c r="A12733" t="str">
        <f>HYPERLINK("https://www.773grp.com/globalSearch/MSC1211Y5PAGT/page-1", "MSC1211Y5PAGT")</f>
        <v>MSC1211Y5PAGT</v>
      </c>
      <c r="B12733" s="3" t="s">
        <v>90</v>
      </c>
      <c r="C12733" s="5">
        <v>3307</v>
      </c>
      <c r="D12733" s="6">
        <v>120.29</v>
      </c>
      <c r="E12733" t="s">
        <v>45</v>
      </c>
    </row>
    <row r="12734" spans="1:5" x14ac:dyDescent="0.25">
      <c r="A12734" t="str">
        <f>HYPERLINK("https://www.773grp.com/globalSearch/PMS430E112JL/page-1", "PMS430E112JL")</f>
        <v>PMS430E112JL</v>
      </c>
      <c r="B12734" s="3" t="s">
        <v>90</v>
      </c>
      <c r="C12734" s="5">
        <v>165</v>
      </c>
      <c r="D12734" s="6">
        <v>137.81</v>
      </c>
      <c r="E12734" t="s">
        <v>45</v>
      </c>
    </row>
    <row r="12735" spans="1:5" x14ac:dyDescent="0.25">
      <c r="A12735" t="str">
        <f>HYPERLINK("https://www.773grp.com/globalSearch/PMS430E325AFZ/page-1", "PMS430E325AFZ")</f>
        <v>PMS430E325AFZ</v>
      </c>
      <c r="B12735" s="3" t="str">
        <f>HYPERLINK("https://www.773grp.com/manufacturer/texas-instruments?pageNo=918", "Texas Instruments")</f>
        <v>Texas Instruments</v>
      </c>
      <c r="C12735" s="5">
        <v>54</v>
      </c>
      <c r="D12735" s="6">
        <v>278.44</v>
      </c>
      <c r="E12735" t="s">
        <v>45</v>
      </c>
    </row>
    <row r="12736" spans="1:5" x14ac:dyDescent="0.25">
      <c r="A12736" t="str">
        <f>HYPERLINK("https://www.773grp.com/globalSearch/Z86E132PZ016EC/page-1", "Z86E132PZ016EC")</f>
        <v>Z86E132PZ016EC</v>
      </c>
      <c r="B12736" s="3" t="s">
        <v>121</v>
      </c>
      <c r="C12736" s="5">
        <v>398</v>
      </c>
      <c r="D12736" s="6">
        <v>5.94</v>
      </c>
      <c r="E12736" t="s">
        <v>45</v>
      </c>
    </row>
    <row r="12737" spans="1:5" x14ac:dyDescent="0.25">
      <c r="A12737" t="str">
        <f>HYPERLINK("https://www.773grp.com/globalSearch/Z86E142PZ016EC/page-1", "Z86E142PZ016EC")</f>
        <v>Z86E142PZ016EC</v>
      </c>
      <c r="B12737" s="3" t="s">
        <v>121</v>
      </c>
      <c r="C12737" s="5">
        <v>515</v>
      </c>
      <c r="D12737" s="6">
        <v>6.25</v>
      </c>
      <c r="E12737" t="s">
        <v>45</v>
      </c>
    </row>
    <row r="12738" spans="1:5" x14ac:dyDescent="0.25">
      <c r="A12738" t="str">
        <f>HYPERLINK("https://www.773grp.com/globalSearch/Z86E145FZ016SC/page-1", "Z86E145FZ016SC")</f>
        <v>Z86E145FZ016SC</v>
      </c>
      <c r="B12738" s="3" t="s">
        <v>121</v>
      </c>
      <c r="C12738" s="5">
        <v>130</v>
      </c>
      <c r="D12738" s="6">
        <v>7.38</v>
      </c>
      <c r="E12738" t="s">
        <v>45</v>
      </c>
    </row>
    <row r="12739" spans="1:5" x14ac:dyDescent="0.25">
      <c r="A12739" t="str">
        <f>HYPERLINK("https://www.773grp.com/globalSearch/Z86C9016FSC/page-1", "Z86C9016FSC")</f>
        <v>Z86C9016FSC</v>
      </c>
      <c r="B12739" s="3" t="s">
        <v>121</v>
      </c>
      <c r="C12739" s="5">
        <v>26</v>
      </c>
      <c r="D12739" s="6">
        <v>0</v>
      </c>
      <c r="E12739" t="s">
        <v>45</v>
      </c>
    </row>
    <row r="12740" spans="1:5" x14ac:dyDescent="0.25">
      <c r="A12740" t="str">
        <f>HYPERLINK("https://www.773grp.com/globalSearch/Z0868112PSC/page-1", "Z0868112PSC")</f>
        <v>Z0868112PSC</v>
      </c>
      <c r="B12740" s="3" t="s">
        <v>121</v>
      </c>
      <c r="C12740" s="5">
        <v>305</v>
      </c>
      <c r="D12740" s="6">
        <v>4.93</v>
      </c>
      <c r="E12740" t="s">
        <v>45</v>
      </c>
    </row>
    <row r="12741" spans="1:5" x14ac:dyDescent="0.25">
      <c r="A12741" t="str">
        <f>HYPERLINK("https://www.773grp.com/globalSearch/Z0868112VSC/page-1", "Z0868112VSC")</f>
        <v>Z0868112VSC</v>
      </c>
      <c r="B12741" s="3" t="s">
        <v>121</v>
      </c>
      <c r="C12741" s="5">
        <v>901</v>
      </c>
      <c r="D12741" s="6">
        <v>5.2</v>
      </c>
      <c r="E12741" t="s">
        <v>45</v>
      </c>
    </row>
    <row r="12742" spans="1:5" x14ac:dyDescent="0.25">
      <c r="A12742" t="str">
        <f>HYPERLINK("https://www.773grp.com/globalSearch/Z86E132SZ016SC/page-1", "Z86E132SZ016SC")</f>
        <v>Z86E132SZ016SC</v>
      </c>
      <c r="B12742" s="3" t="s">
        <v>121</v>
      </c>
      <c r="C12742" s="5">
        <v>905</v>
      </c>
      <c r="D12742" s="6">
        <v>5.24</v>
      </c>
      <c r="E12742" t="s">
        <v>45</v>
      </c>
    </row>
    <row r="12743" spans="1:5" x14ac:dyDescent="0.25">
      <c r="A12743" t="str">
        <f>HYPERLINK("https://www.773grp.com/globalSearch/Z86E123PZ016SC/page-1", "Z86E123PZ016SC")</f>
        <v>Z86E123PZ016SC</v>
      </c>
      <c r="B12743" s="3" t="s">
        <v>121</v>
      </c>
      <c r="C12743" s="5">
        <v>471</v>
      </c>
      <c r="D12743" s="6">
        <v>5.26</v>
      </c>
      <c r="E12743" t="s">
        <v>45</v>
      </c>
    </row>
    <row r="12744" spans="1:5" x14ac:dyDescent="0.25">
      <c r="A12744" t="str">
        <f>HYPERLINK("https://www.773grp.com/globalSearch/Z86E124PZ016SC/page-1", "Z86E124PZ016SC")</f>
        <v>Z86E124PZ016SC</v>
      </c>
      <c r="B12744" s="3" t="s">
        <v>121</v>
      </c>
      <c r="C12744" s="5">
        <v>694</v>
      </c>
      <c r="D12744" s="6">
        <v>5.54</v>
      </c>
      <c r="E12744" t="s">
        <v>45</v>
      </c>
    </row>
    <row r="12745" spans="1:5" x14ac:dyDescent="0.25">
      <c r="A12745" t="str">
        <f>HYPERLINK("https://www.773grp.com/globalSearch/Z86E132PZ016SC/page-1", "Z86E132PZ016SC")</f>
        <v>Z86E132PZ016SC</v>
      </c>
      <c r="B12745" s="3" t="s">
        <v>121</v>
      </c>
      <c r="C12745" s="5">
        <v>9638</v>
      </c>
      <c r="D12745" s="6">
        <v>5.54</v>
      </c>
      <c r="E12745" t="s">
        <v>45</v>
      </c>
    </row>
    <row r="12746" spans="1:5" x14ac:dyDescent="0.25">
      <c r="A12746" t="str">
        <f>HYPERLINK("https://www.773grp.com/globalSearch/Z86E133PZ016SC/page-1", "Z86E133PZ016SC")</f>
        <v>Z86E133PZ016SC</v>
      </c>
      <c r="B12746" s="3" t="s">
        <v>121</v>
      </c>
      <c r="C12746" s="5">
        <v>8664</v>
      </c>
      <c r="D12746" s="6">
        <v>5.65</v>
      </c>
      <c r="E12746" t="s">
        <v>45</v>
      </c>
    </row>
    <row r="12747" spans="1:5" x14ac:dyDescent="0.25">
      <c r="A12747" t="str">
        <f>HYPERLINK("https://www.773grp.com/globalSearch/Z86E142PZ016SC/page-1", "Z86E142PZ016SC")</f>
        <v>Z86E142PZ016SC</v>
      </c>
      <c r="B12747" s="3" t="s">
        <v>121</v>
      </c>
      <c r="C12747" s="5">
        <v>1126</v>
      </c>
      <c r="D12747" s="6">
        <v>5.69</v>
      </c>
      <c r="E12747" t="s">
        <v>45</v>
      </c>
    </row>
    <row r="12748" spans="1:5" x14ac:dyDescent="0.25">
      <c r="A12748" t="str">
        <f>HYPERLINK("https://www.773grp.com/globalSearch/Z86E132SZ016EC/page-1", "Z86E132SZ016EC")</f>
        <v>Z86E132SZ016EC</v>
      </c>
      <c r="B12748" s="3" t="s">
        <v>121</v>
      </c>
      <c r="C12748" s="5">
        <v>179</v>
      </c>
      <c r="D12748" s="6">
        <v>5.74</v>
      </c>
      <c r="E12748" t="s">
        <v>45</v>
      </c>
    </row>
    <row r="12749" spans="1:5" x14ac:dyDescent="0.25">
      <c r="A12749" t="str">
        <f>HYPERLINK("https://www.773grp.com/globalSearch/Z86E143PZ016SC/page-1", "Z86E143PZ016SC")</f>
        <v>Z86E143PZ016SC</v>
      </c>
      <c r="B12749" s="3" t="s">
        <v>121</v>
      </c>
      <c r="C12749" s="5">
        <v>261</v>
      </c>
      <c r="D12749" s="6">
        <v>5.85</v>
      </c>
      <c r="E12749" t="s">
        <v>45</v>
      </c>
    </row>
    <row r="12750" spans="1:5" x14ac:dyDescent="0.25">
      <c r="A12750" t="str">
        <f>HYPERLINK("https://www.773grp.com/globalSearch/Z86E133SZ016EC/page-1", "Z86E133SZ016EC")</f>
        <v>Z86E133SZ016EC</v>
      </c>
      <c r="B12750" s="3" t="s">
        <v>121</v>
      </c>
      <c r="C12750" s="5">
        <v>923</v>
      </c>
      <c r="D12750" s="6">
        <v>5.88</v>
      </c>
      <c r="E12750" t="s">
        <v>45</v>
      </c>
    </row>
    <row r="12751" spans="1:5" x14ac:dyDescent="0.25">
      <c r="A12751" t="str">
        <f>HYPERLINK("https://www.773grp.com/globalSearch/Z86E133SZ016SC/page-1", "Z86E133SZ016SC")</f>
        <v>Z86E133SZ016SC</v>
      </c>
      <c r="B12751" s="3" t="s">
        <v>121</v>
      </c>
      <c r="C12751" s="5">
        <v>11</v>
      </c>
      <c r="D12751" s="6">
        <v>5.88</v>
      </c>
      <c r="E12751" t="s">
        <v>45</v>
      </c>
    </row>
    <row r="12752" spans="1:5" x14ac:dyDescent="0.25">
      <c r="A12752" t="str">
        <f>HYPERLINK("https://www.773grp.com/globalSearch/Z86E134PZ016SC/page-1", "Z86E134PZ016SC")</f>
        <v>Z86E134PZ016SC</v>
      </c>
      <c r="B12752" s="3" t="s">
        <v>121</v>
      </c>
      <c r="C12752" s="5">
        <v>1745</v>
      </c>
      <c r="D12752" s="6">
        <v>5.96</v>
      </c>
      <c r="E12752" t="s">
        <v>45</v>
      </c>
    </row>
    <row r="12753" spans="1:5" x14ac:dyDescent="0.25">
      <c r="A12753" t="str">
        <f>HYPERLINK("https://www.773grp.com/globalSearch/Z86E125PZ016SC/page-1", "Z86E125PZ016SC")</f>
        <v>Z86E125PZ016SC</v>
      </c>
      <c r="B12753" s="3" t="s">
        <v>121</v>
      </c>
      <c r="C12753" s="5">
        <v>771</v>
      </c>
      <c r="D12753" s="6">
        <v>6.08</v>
      </c>
      <c r="E12753" t="s">
        <v>45</v>
      </c>
    </row>
    <row r="12754" spans="1:5" x14ac:dyDescent="0.25">
      <c r="A12754" t="str">
        <f>HYPERLINK("https://www.773grp.com/globalSearch/Z86E144PZ016SC/page-1", "Z86E144PZ016SC")</f>
        <v>Z86E144PZ016SC</v>
      </c>
      <c r="B12754" s="3" t="s">
        <v>121</v>
      </c>
      <c r="C12754" s="5">
        <v>180</v>
      </c>
      <c r="D12754" s="6">
        <v>6.13</v>
      </c>
      <c r="E12754" t="s">
        <v>45</v>
      </c>
    </row>
    <row r="12755" spans="1:5" x14ac:dyDescent="0.25">
      <c r="A12755" t="str">
        <f>HYPERLINK("https://www.773grp.com/globalSearch/Z0869112PSC/page-1", "Z0869112PSC")</f>
        <v>Z0869112PSC</v>
      </c>
      <c r="B12755" s="3" t="s">
        <v>121</v>
      </c>
      <c r="C12755" s="5">
        <v>877</v>
      </c>
      <c r="D12755" s="6">
        <v>6.33</v>
      </c>
      <c r="E12755" t="s">
        <v>45</v>
      </c>
    </row>
    <row r="12756" spans="1:5" x14ac:dyDescent="0.25">
      <c r="A12756" t="str">
        <f>HYPERLINK("https://www.773grp.com/globalSearch/Z0869112VSC/page-1", "Z0869112VSC")</f>
        <v>Z0869112VSC</v>
      </c>
      <c r="B12756" s="3" t="s">
        <v>121</v>
      </c>
      <c r="C12756" s="5">
        <v>445</v>
      </c>
      <c r="D12756" s="6">
        <v>6.33</v>
      </c>
      <c r="E12756" t="s">
        <v>45</v>
      </c>
    </row>
    <row r="12757" spans="1:5" x14ac:dyDescent="0.25">
      <c r="A12757" t="str">
        <f>HYPERLINK("https://www.773grp.com/globalSearch/Z86E143FZ016SC/page-1", "Z86E143FZ016SC")</f>
        <v>Z86E143FZ016SC</v>
      </c>
      <c r="B12757" s="3" t="s">
        <v>121</v>
      </c>
      <c r="C12757" s="5">
        <v>871</v>
      </c>
      <c r="D12757" s="6">
        <v>6.38</v>
      </c>
      <c r="E12757" t="s">
        <v>45</v>
      </c>
    </row>
    <row r="12758" spans="1:5" x14ac:dyDescent="0.25">
      <c r="A12758" t="str">
        <f>HYPERLINK("https://www.773grp.com/globalSearch/Z86E126PZ016SC/page-1", "Z86E126PZ016SC")</f>
        <v>Z86E126PZ016SC</v>
      </c>
      <c r="B12758" s="3" t="s">
        <v>121</v>
      </c>
      <c r="C12758" s="5">
        <v>693</v>
      </c>
      <c r="D12758" s="6">
        <v>6.41</v>
      </c>
      <c r="E12758" t="s">
        <v>45</v>
      </c>
    </row>
    <row r="12759" spans="1:5" x14ac:dyDescent="0.25">
      <c r="A12759" t="str">
        <f>HYPERLINK("https://www.773grp.com/globalSearch/Z86E143PZ016EC/page-1", "Z86E143PZ016EC")</f>
        <v>Z86E143PZ016EC</v>
      </c>
      <c r="B12759" s="3" t="s">
        <v>121</v>
      </c>
      <c r="C12759" s="5">
        <v>586</v>
      </c>
      <c r="D12759" s="6">
        <v>6.41</v>
      </c>
      <c r="E12759" t="s">
        <v>45</v>
      </c>
    </row>
    <row r="12760" spans="1:5" x14ac:dyDescent="0.25">
      <c r="A12760" t="str">
        <f>HYPERLINK("https://www.773grp.com/globalSearch/Z86E144FZ016SC/page-1", "Z86E144FZ016SC")</f>
        <v>Z86E144FZ016SC</v>
      </c>
      <c r="B12760" s="3" t="s">
        <v>121</v>
      </c>
      <c r="C12760" s="5">
        <v>309</v>
      </c>
      <c r="D12760" s="6">
        <v>6.7</v>
      </c>
      <c r="E12760" t="s">
        <v>45</v>
      </c>
    </row>
    <row r="12761" spans="1:5" x14ac:dyDescent="0.25">
      <c r="A12761" t="str">
        <f>HYPERLINK("https://www.773grp.com/globalSearch/Z86E144PZ016EC/page-1", "Z86E144PZ016EC")</f>
        <v>Z86E144PZ016EC</v>
      </c>
      <c r="B12761" s="3" t="s">
        <v>121</v>
      </c>
      <c r="C12761" s="5">
        <v>679</v>
      </c>
      <c r="D12761" s="6">
        <v>6.75</v>
      </c>
      <c r="E12761" t="s">
        <v>45</v>
      </c>
    </row>
    <row r="12762" spans="1:5" x14ac:dyDescent="0.25">
      <c r="A12762" t="str">
        <f>HYPERLINK("https://www.773grp.com/globalSearch/Z86E145PZ016SC/page-1", "Z86E145PZ016SC")</f>
        <v>Z86E145PZ016SC</v>
      </c>
      <c r="B12762" s="3" t="s">
        <v>121</v>
      </c>
      <c r="C12762" s="5">
        <v>184</v>
      </c>
      <c r="D12762" s="6">
        <v>6.75</v>
      </c>
      <c r="E12762" t="s">
        <v>45</v>
      </c>
    </row>
    <row r="12763" spans="1:5" x14ac:dyDescent="0.25">
      <c r="A12763" t="str">
        <f>HYPERLINK("https://www.773grp.com/globalSearch/Z86E145PZ016EC/page-1", "Z86E145PZ016EC")</f>
        <v>Z86E145PZ016EC</v>
      </c>
      <c r="B12763" s="3" t="s">
        <v>121</v>
      </c>
      <c r="C12763" s="5">
        <v>418</v>
      </c>
      <c r="D12763" s="6">
        <v>7.43</v>
      </c>
      <c r="E12763" t="s">
        <v>45</v>
      </c>
    </row>
    <row r="12764" spans="1:5" x14ac:dyDescent="0.25">
      <c r="A12764" t="str">
        <f>HYPERLINK("https://www.773grp.com/globalSearch/Z86E146FZ016SC/page-1", "Z86E146FZ016SC")</f>
        <v>Z86E146FZ016SC</v>
      </c>
      <c r="B12764" s="3" t="s">
        <v>121</v>
      </c>
      <c r="C12764" s="5">
        <v>744</v>
      </c>
      <c r="D12764" s="6">
        <v>7.9</v>
      </c>
      <c r="E12764" t="s">
        <v>45</v>
      </c>
    </row>
    <row r="12765" spans="1:5" x14ac:dyDescent="0.25">
      <c r="A12765" t="str">
        <f>HYPERLINK("https://www.773grp.com/globalSearch/Z86C9012FSC/page-1", "Z86C9012FSC")</f>
        <v>Z86C9012FSC</v>
      </c>
      <c r="B12765" s="3" t="s">
        <v>121</v>
      </c>
      <c r="C12765" s="5">
        <v>316</v>
      </c>
      <c r="D12765" s="6">
        <v>7.96</v>
      </c>
      <c r="E12765" t="s">
        <v>45</v>
      </c>
    </row>
    <row r="12766" spans="1:5" x14ac:dyDescent="0.25">
      <c r="A12766" t="str">
        <f>HYPERLINK("https://www.773grp.com/globalSearch/Z86E146PZ016EC/page-1", "Z86E146PZ016EC")</f>
        <v>Z86E146PZ016EC</v>
      </c>
      <c r="B12766" s="3" t="s">
        <v>121</v>
      </c>
      <c r="C12766" s="5">
        <v>461</v>
      </c>
      <c r="D12766" s="6">
        <v>7.96</v>
      </c>
      <c r="E12766" t="s">
        <v>45</v>
      </c>
    </row>
    <row r="12767" spans="1:5" x14ac:dyDescent="0.25">
      <c r="A12767" t="str">
        <f>HYPERLINK("https://www.773grp.com/globalSearch/Z86E4312FSC/page-1", "Z86E4312FSC")</f>
        <v>Z86E4312FSC</v>
      </c>
      <c r="B12767" s="3" t="s">
        <v>121</v>
      </c>
      <c r="C12767" s="5">
        <v>114</v>
      </c>
      <c r="D12767" s="6">
        <v>10.6</v>
      </c>
      <c r="E12767" t="s">
        <v>45</v>
      </c>
    </row>
    <row r="12768" spans="1:5" x14ac:dyDescent="0.25">
      <c r="A12768" t="str">
        <f>HYPERLINK("https://www.773grp.com/globalSearch/Z86E4312FSG/page-1", "Z86E4312FSG")</f>
        <v>Z86E4312FSG</v>
      </c>
      <c r="B12768" s="3" t="s">
        <v>121</v>
      </c>
      <c r="C12768" s="5">
        <v>3422</v>
      </c>
      <c r="D12768" s="6">
        <v>10.6</v>
      </c>
      <c r="E12768" t="s">
        <v>45</v>
      </c>
    </row>
    <row r="12769" spans="1:5" x14ac:dyDescent="0.25">
      <c r="A12769" t="str">
        <f>HYPERLINK("https://www.773grp.com/globalSearch/Z86E4016FEC/page-1", "Z86E4016FEC")</f>
        <v>Z86E4016FEC</v>
      </c>
      <c r="B12769" s="3" t="s">
        <v>121</v>
      </c>
      <c r="C12769" s="5">
        <v>579</v>
      </c>
      <c r="D12769" s="6">
        <v>10.98</v>
      </c>
      <c r="E12769" t="s">
        <v>45</v>
      </c>
    </row>
    <row r="12770" spans="1:5" x14ac:dyDescent="0.25">
      <c r="A12770" t="str">
        <f>HYPERLINK("https://www.773grp.com/globalSearch/Z86E4016FEG/page-1", "Z86E4016FEG")</f>
        <v>Z86E4016FEG</v>
      </c>
      <c r="B12770" s="3" t="s">
        <v>121</v>
      </c>
      <c r="C12770" s="5">
        <v>1130</v>
      </c>
      <c r="D12770" s="6">
        <v>10.98</v>
      </c>
      <c r="E12770" t="s">
        <v>45</v>
      </c>
    </row>
    <row r="12771" spans="1:5" x14ac:dyDescent="0.25">
      <c r="A12771" t="str">
        <f>HYPERLINK("https://www.773grp.com/globalSearch/Z86C9116FSC/page-1", "Z86C9116FSC")</f>
        <v>Z86C9116FSC</v>
      </c>
      <c r="B12771" s="3" t="s">
        <v>121</v>
      </c>
      <c r="C12771" s="5">
        <v>477</v>
      </c>
      <c r="D12771" s="6">
        <v>11.36</v>
      </c>
      <c r="E12771" t="s">
        <v>45</v>
      </c>
    </row>
    <row r="12772" spans="1:5" x14ac:dyDescent="0.25">
      <c r="A12772" t="str">
        <f>HYPERLINK("https://www.773grp.com/globalSearch/Z86C9116FSG/page-1", "Z86C9116FSG")</f>
        <v>Z86C9116FSG</v>
      </c>
      <c r="B12772" s="3" t="s">
        <v>121</v>
      </c>
      <c r="C12772" s="5">
        <v>487</v>
      </c>
      <c r="D12772" s="6">
        <v>11.36</v>
      </c>
      <c r="E12772" t="s">
        <v>45</v>
      </c>
    </row>
    <row r="12773" spans="1:5" x14ac:dyDescent="0.25">
      <c r="A12773" t="str">
        <f>HYPERLINK("https://www.773grp.com/globalSearch/Z86C9116FEC/page-1", "Z86C9116FEC")</f>
        <v>Z86C9116FEC</v>
      </c>
      <c r="B12773" s="3" t="s">
        <v>121</v>
      </c>
      <c r="C12773" s="5">
        <v>230</v>
      </c>
      <c r="D12773" s="6">
        <v>11.59</v>
      </c>
      <c r="E12773" t="s">
        <v>45</v>
      </c>
    </row>
    <row r="12774" spans="1:5" x14ac:dyDescent="0.25">
      <c r="A12774" t="str">
        <f>HYPERLINK("https://www.773grp.com/globalSearch/Z86C9116FEG/page-1", "Z86C9116FEG")</f>
        <v>Z86C9116FEG</v>
      </c>
      <c r="B12774" s="3" t="s">
        <v>121</v>
      </c>
      <c r="C12774" s="5">
        <v>531</v>
      </c>
      <c r="D12774" s="6">
        <v>11.59</v>
      </c>
      <c r="E12774" t="s">
        <v>45</v>
      </c>
    </row>
    <row r="12775" spans="1:5" x14ac:dyDescent="0.25">
      <c r="A12775" t="str">
        <f>HYPERLINK("https://www.773grp.com/globalSearch/Z86C9320FSC/page-1", "Z86C9320FSC")</f>
        <v>Z86C9320FSC</v>
      </c>
      <c r="B12775" s="3" t="s">
        <v>121</v>
      </c>
      <c r="C12775" s="5">
        <v>3255</v>
      </c>
      <c r="D12775" s="6">
        <v>12.91</v>
      </c>
      <c r="E12775" t="s">
        <v>45</v>
      </c>
    </row>
    <row r="12776" spans="1:5" x14ac:dyDescent="0.25">
      <c r="A12776" t="str">
        <f>HYPERLINK("https://www.773grp.com/globalSearch/Z86C9333FSC/page-1", "Z86C9333FSC")</f>
        <v>Z86C9333FSC</v>
      </c>
      <c r="B12776" s="3" t="s">
        <v>121</v>
      </c>
      <c r="C12776" s="5">
        <v>290</v>
      </c>
      <c r="D12776" s="6">
        <v>13.88</v>
      </c>
      <c r="E12776" t="s">
        <v>45</v>
      </c>
    </row>
    <row r="12777" spans="1:5" x14ac:dyDescent="0.25">
      <c r="A12777" t="str">
        <f>HYPERLINK("https://www.773grp.com/globalSearch/Z8F1601AN020SC/page-1", "Z8F1601AN020SC")</f>
        <v>Z8F1601AN020SC</v>
      </c>
      <c r="B12777" s="3" t="s">
        <v>121</v>
      </c>
      <c r="C12777" s="5">
        <v>761</v>
      </c>
      <c r="D12777" s="6">
        <v>14.35</v>
      </c>
      <c r="E12777" t="s">
        <v>45</v>
      </c>
    </row>
    <row r="12778" spans="1:5" x14ac:dyDescent="0.25">
      <c r="A12778" t="str">
        <f>HYPERLINK("https://www.773grp.com/globalSearch/Z8F1601PM020SC/page-1", "Z8F1601PM020SC")</f>
        <v>Z8F1601PM020SC</v>
      </c>
      <c r="B12778" s="3" t="s">
        <v>121</v>
      </c>
      <c r="C12778" s="5">
        <v>1575</v>
      </c>
      <c r="D12778" s="6">
        <v>14.43</v>
      </c>
      <c r="E12778" t="s">
        <v>45</v>
      </c>
    </row>
    <row r="12779" spans="1:5" x14ac:dyDescent="0.25">
      <c r="A12779" t="str">
        <f>HYPERLINK("https://www.773grp.com/globalSearch/Z8F1601VN020SC/page-1", "Z8F1601VN020SC")</f>
        <v>Z8F1601VN020SC</v>
      </c>
      <c r="B12779" s="3" t="s">
        <v>121</v>
      </c>
      <c r="C12779" s="5">
        <v>3888</v>
      </c>
      <c r="D12779" s="6">
        <v>14.43</v>
      </c>
      <c r="E12779" t="s">
        <v>45</v>
      </c>
    </row>
    <row r="12780" spans="1:5" x14ac:dyDescent="0.25">
      <c r="A12780" t="str">
        <f>HYPERLINK("https://www.773grp.com/globalSearch/Z8F1602AR020SC/page-1", "Z8F1602AR020SC")</f>
        <v>Z8F1602AR020SC</v>
      </c>
      <c r="B12780" s="3" t="s">
        <v>121</v>
      </c>
      <c r="C12780" s="5">
        <v>1154</v>
      </c>
      <c r="D12780" s="6">
        <v>14.99</v>
      </c>
      <c r="E12780" t="s">
        <v>45</v>
      </c>
    </row>
    <row r="12781" spans="1:5" x14ac:dyDescent="0.25">
      <c r="A12781" t="str">
        <f>HYPERLINK("https://www.773grp.com/globalSearch/Z8F1602VS020SC/page-1", "Z8F1602VS020SC")</f>
        <v>Z8F1602VS020SC</v>
      </c>
      <c r="B12781" s="3" t="s">
        <v>121</v>
      </c>
      <c r="C12781" s="5">
        <v>3116</v>
      </c>
      <c r="D12781" s="6">
        <v>15.14</v>
      </c>
      <c r="E12781" t="s">
        <v>45</v>
      </c>
    </row>
    <row r="12782" spans="1:5" x14ac:dyDescent="0.25">
      <c r="A12782" t="str">
        <f>HYPERLINK("https://www.773grp.com/globalSearch/Z8F1601AN020EC/page-1", "Z8F1601AN020EC")</f>
        <v>Z8F1601AN020EC</v>
      </c>
      <c r="B12782" s="3" t="s">
        <v>121</v>
      </c>
      <c r="C12782" s="5">
        <v>159</v>
      </c>
      <c r="D12782" s="6">
        <v>15.78</v>
      </c>
      <c r="E12782" t="s">
        <v>45</v>
      </c>
    </row>
    <row r="12783" spans="1:5" x14ac:dyDescent="0.25">
      <c r="A12783" t="str">
        <f>HYPERLINK("https://www.773grp.com/globalSearch/Z8F1601PM020EC/page-1", "Z8F1601PM020EC")</f>
        <v>Z8F1601PM020EC</v>
      </c>
      <c r="B12783" s="3" t="s">
        <v>121</v>
      </c>
      <c r="C12783" s="5">
        <v>64</v>
      </c>
      <c r="D12783" s="6">
        <v>15.86</v>
      </c>
      <c r="E12783" t="s">
        <v>45</v>
      </c>
    </row>
    <row r="12784" spans="1:5" x14ac:dyDescent="0.25">
      <c r="A12784" t="str">
        <f>HYPERLINK("https://www.773grp.com/globalSearch/Z8F1601VN020EC/page-1", "Z8F1601VN020EC")</f>
        <v>Z8F1601VN020EC</v>
      </c>
      <c r="B12784" s="3" t="s">
        <v>121</v>
      </c>
      <c r="C12784" s="5">
        <v>274</v>
      </c>
      <c r="D12784" s="6">
        <v>15.86</v>
      </c>
      <c r="E12784" t="s">
        <v>45</v>
      </c>
    </row>
    <row r="12785" spans="1:5" x14ac:dyDescent="0.25">
      <c r="A12785" t="str">
        <f>HYPERLINK("https://www.773grp.com/globalSearch/Z8F1602AR020EC/page-1", "Z8F1602AR020EC")</f>
        <v>Z8F1602AR020EC</v>
      </c>
      <c r="B12785" s="3" t="s">
        <v>121</v>
      </c>
      <c r="C12785" s="5">
        <v>8</v>
      </c>
      <c r="D12785" s="6">
        <v>16.489999999999998</v>
      </c>
      <c r="E12785" t="s">
        <v>45</v>
      </c>
    </row>
    <row r="12786" spans="1:5" x14ac:dyDescent="0.25">
      <c r="A12786" t="str">
        <f>HYPERLINK("https://www.773grp.com/globalSearch/Z8F2401AN020SC/page-1", "Z8F2401AN020SC")</f>
        <v>Z8F2401AN020SC</v>
      </c>
      <c r="B12786" s="3" t="s">
        <v>121</v>
      </c>
      <c r="C12786" s="5">
        <v>1842</v>
      </c>
      <c r="D12786" s="6">
        <v>16.54</v>
      </c>
      <c r="E12786" t="s">
        <v>45</v>
      </c>
    </row>
    <row r="12787" spans="1:5" x14ac:dyDescent="0.25">
      <c r="A12787" t="str">
        <f>HYPERLINK("https://www.773grp.com/globalSearch/Z8F1602VS020EC/page-1", "Z8F1602VS020EC")</f>
        <v>Z8F1602VS020EC</v>
      </c>
      <c r="B12787" s="3" t="s">
        <v>121</v>
      </c>
      <c r="C12787" s="5">
        <v>134</v>
      </c>
      <c r="D12787" s="6">
        <v>16.649999999999999</v>
      </c>
      <c r="E12787" t="s">
        <v>45</v>
      </c>
    </row>
    <row r="12788" spans="1:5" x14ac:dyDescent="0.25">
      <c r="A12788" t="str">
        <f>HYPERLINK("https://www.773grp.com/globalSearch/Z8F2401PM020SC/page-1", "Z8F2401PM020SC")</f>
        <v>Z8F2401PM020SC</v>
      </c>
      <c r="B12788" s="3" t="s">
        <v>121</v>
      </c>
      <c r="C12788" s="5">
        <v>324</v>
      </c>
      <c r="D12788" s="6">
        <v>16.649999999999999</v>
      </c>
      <c r="E12788" t="s">
        <v>45</v>
      </c>
    </row>
    <row r="12789" spans="1:5" x14ac:dyDescent="0.25">
      <c r="A12789" t="str">
        <f>HYPERLINK("https://www.773grp.com/globalSearch/Z8F2401VN020SC/page-1", "Z8F2401VN020SC")</f>
        <v>Z8F2401VN020SC</v>
      </c>
      <c r="B12789" s="3" t="s">
        <v>121</v>
      </c>
      <c r="C12789" s="5">
        <v>1976</v>
      </c>
      <c r="D12789" s="6">
        <v>16.649999999999999</v>
      </c>
      <c r="E12789" t="s">
        <v>45</v>
      </c>
    </row>
    <row r="12790" spans="1:5" x14ac:dyDescent="0.25">
      <c r="A12790" t="str">
        <f>HYPERLINK("https://www.773grp.com/globalSearch/Z8F2402AR020SC/page-1", "Z8F2402AR020SC")</f>
        <v>Z8F2402AR020SC</v>
      </c>
      <c r="B12790" s="3" t="s">
        <v>121</v>
      </c>
      <c r="C12790" s="5">
        <v>548</v>
      </c>
      <c r="D12790" s="6">
        <v>17.21</v>
      </c>
      <c r="E12790" t="s">
        <v>45</v>
      </c>
    </row>
    <row r="12791" spans="1:5" x14ac:dyDescent="0.25">
      <c r="A12791" t="str">
        <f>HYPERLINK("https://www.773grp.com/globalSearch/Z8F2402VS020SC/page-1", "Z8F2402VS020SC")</f>
        <v>Z8F2402VS020SC</v>
      </c>
      <c r="B12791" s="3" t="s">
        <v>121</v>
      </c>
      <c r="C12791" s="5">
        <v>2137</v>
      </c>
      <c r="D12791" s="6">
        <v>17.350000000000001</v>
      </c>
      <c r="E12791" t="s">
        <v>45</v>
      </c>
    </row>
    <row r="12792" spans="1:5" x14ac:dyDescent="0.25">
      <c r="A12792" t="str">
        <f>HYPERLINK("https://www.773grp.com/globalSearch/Z8F3201AN020SC/page-1", "Z8F3201AN020SC")</f>
        <v>Z8F3201AN020SC</v>
      </c>
      <c r="B12792" s="3" t="s">
        <v>121</v>
      </c>
      <c r="C12792" s="5">
        <v>1487</v>
      </c>
      <c r="D12792" s="6">
        <v>17.66</v>
      </c>
      <c r="E12792" t="s">
        <v>45</v>
      </c>
    </row>
    <row r="12793" spans="1:5" x14ac:dyDescent="0.25">
      <c r="A12793" t="str">
        <f>HYPERLINK("https://www.773grp.com/globalSearch/Z8F3201PM020SC/page-1", "Z8F3201PM020SC")</f>
        <v>Z8F3201PM020SC</v>
      </c>
      <c r="B12793" s="3" t="s">
        <v>121</v>
      </c>
      <c r="C12793" s="5">
        <v>1379</v>
      </c>
      <c r="D12793" s="6">
        <v>17.75</v>
      </c>
      <c r="E12793" t="s">
        <v>45</v>
      </c>
    </row>
    <row r="12794" spans="1:5" x14ac:dyDescent="0.25">
      <c r="A12794" t="str">
        <f>HYPERLINK("https://www.773grp.com/globalSearch/Z8F3201VN020SC/page-1", "Z8F3201VN020SC")</f>
        <v>Z8F3201VN020SC</v>
      </c>
      <c r="B12794" s="3" t="s">
        <v>121</v>
      </c>
      <c r="C12794" s="5">
        <v>3234</v>
      </c>
      <c r="D12794" s="6">
        <v>17.75</v>
      </c>
      <c r="E12794" t="s">
        <v>45</v>
      </c>
    </row>
    <row r="12795" spans="1:5" x14ac:dyDescent="0.25">
      <c r="A12795" t="str">
        <f>HYPERLINK("https://www.773grp.com/globalSearch/Z8F2401AN020EC/page-1", "Z8F2401AN020EC")</f>
        <v>Z8F2401AN020EC</v>
      </c>
      <c r="B12795" s="3" t="s">
        <v>121</v>
      </c>
      <c r="C12795" s="5">
        <v>193</v>
      </c>
      <c r="D12795" s="6">
        <v>18.190000000000001</v>
      </c>
      <c r="E12795" t="s">
        <v>45</v>
      </c>
    </row>
    <row r="12796" spans="1:5" x14ac:dyDescent="0.25">
      <c r="A12796" t="str">
        <f>HYPERLINK("https://www.773grp.com/globalSearch/Z8F2401PM020EC/page-1", "Z8F2401PM020EC")</f>
        <v>Z8F2401PM020EC</v>
      </c>
      <c r="B12796" s="3" t="s">
        <v>121</v>
      </c>
      <c r="C12796" s="5">
        <v>28</v>
      </c>
      <c r="D12796" s="6">
        <v>18.309999999999999</v>
      </c>
      <c r="E12796" t="s">
        <v>45</v>
      </c>
    </row>
    <row r="12797" spans="1:5" x14ac:dyDescent="0.25">
      <c r="A12797" t="str">
        <f>HYPERLINK("https://www.773grp.com/globalSearch/Z8F2401VN020EC/page-1", "Z8F2401VN020EC")</f>
        <v>Z8F2401VN020EC</v>
      </c>
      <c r="B12797" s="3" t="s">
        <v>121</v>
      </c>
      <c r="C12797" s="5">
        <v>462</v>
      </c>
      <c r="D12797" s="6">
        <v>18.309999999999999</v>
      </c>
      <c r="E12797" t="s">
        <v>45</v>
      </c>
    </row>
    <row r="12798" spans="1:5" x14ac:dyDescent="0.25">
      <c r="A12798" t="str">
        <f>HYPERLINK("https://www.773grp.com/globalSearch/Z8F3202AR020SC/page-1", "Z8F3202AR020SC")</f>
        <v>Z8F3202AR020SC</v>
      </c>
      <c r="B12798" s="3" t="s">
        <v>121</v>
      </c>
      <c r="C12798" s="5">
        <v>2234</v>
      </c>
      <c r="D12798" s="6">
        <v>18.309999999999999</v>
      </c>
      <c r="E12798" t="s">
        <v>45</v>
      </c>
    </row>
    <row r="12799" spans="1:5" x14ac:dyDescent="0.25">
      <c r="A12799" t="str">
        <f>HYPERLINK("https://www.773grp.com/globalSearch/Z8F3202VS020SC/page-1", "Z8F3202VS020SC")</f>
        <v>Z8F3202VS020SC</v>
      </c>
      <c r="B12799" s="3" t="s">
        <v>121</v>
      </c>
      <c r="C12799" s="5">
        <v>2072</v>
      </c>
      <c r="D12799" s="6">
        <v>18.45</v>
      </c>
      <c r="E12799" t="s">
        <v>45</v>
      </c>
    </row>
    <row r="12800" spans="1:5" x14ac:dyDescent="0.25">
      <c r="A12800" t="str">
        <f>HYPERLINK("https://www.773grp.com/globalSearch/Z8F2402AR020EC/page-1", "Z8F2402AR020EC")</f>
        <v>Z8F2402AR020EC</v>
      </c>
      <c r="B12800" s="3" t="s">
        <v>121</v>
      </c>
      <c r="C12800" s="5">
        <v>8</v>
      </c>
      <c r="D12800" s="6">
        <v>18.940000000000001</v>
      </c>
      <c r="E12800" t="s">
        <v>45</v>
      </c>
    </row>
    <row r="12801" spans="1:5" x14ac:dyDescent="0.25">
      <c r="A12801" t="str">
        <f>HYPERLINK("https://www.773grp.com/globalSearch/Z8F2402VS020EC/page-1", "Z8F2402VS020EC")</f>
        <v>Z8F2402VS020EC</v>
      </c>
      <c r="B12801" s="3" t="s">
        <v>121</v>
      </c>
      <c r="C12801" s="5">
        <v>512</v>
      </c>
      <c r="D12801" s="6">
        <v>19.079999999999998</v>
      </c>
      <c r="E12801" t="s">
        <v>45</v>
      </c>
    </row>
    <row r="12802" spans="1:5" x14ac:dyDescent="0.25">
      <c r="A12802" t="str">
        <f>HYPERLINK("https://www.773grp.com/globalSearch/Z86E7316FSG/page-1", "Z86E7316FSG")</f>
        <v>Z86E7316FSG</v>
      </c>
      <c r="B12802" s="3" t="s">
        <v>121</v>
      </c>
      <c r="C12802" s="5">
        <v>2</v>
      </c>
      <c r="D12802" s="6">
        <v>19.29</v>
      </c>
      <c r="E12802" t="s">
        <v>45</v>
      </c>
    </row>
    <row r="12803" spans="1:5" x14ac:dyDescent="0.25">
      <c r="A12803" t="str">
        <f>HYPERLINK("https://www.773grp.com/globalSearch/Z86E7316FSC/page-1", "Z86E7316FSC")</f>
        <v>Z86E7316FSC</v>
      </c>
      <c r="B12803" s="3" t="s">
        <v>121</v>
      </c>
      <c r="C12803" s="5">
        <v>1925</v>
      </c>
      <c r="D12803" s="6">
        <v>19.38</v>
      </c>
      <c r="E12803" t="s">
        <v>45</v>
      </c>
    </row>
    <row r="12804" spans="1:5" x14ac:dyDescent="0.25">
      <c r="A12804" t="str">
        <f>HYPERLINK("https://www.773grp.com/globalSearch/Z8F3201AN020EC/page-1", "Z8F3201AN020EC")</f>
        <v>Z8F3201AN020EC</v>
      </c>
      <c r="B12804" s="3" t="s">
        <v>121</v>
      </c>
      <c r="C12804" s="5">
        <v>140</v>
      </c>
      <c r="D12804" s="6">
        <v>19.41</v>
      </c>
      <c r="E12804" t="s">
        <v>45</v>
      </c>
    </row>
    <row r="12805" spans="1:5" x14ac:dyDescent="0.25">
      <c r="A12805" t="str">
        <f>HYPERLINK("https://www.773grp.com/globalSearch/Z8F3201PM020EC/page-1", "Z8F3201PM020EC")</f>
        <v>Z8F3201PM020EC</v>
      </c>
      <c r="B12805" s="3" t="s">
        <v>121</v>
      </c>
      <c r="C12805" s="5">
        <v>30</v>
      </c>
      <c r="D12805" s="6">
        <v>19.53</v>
      </c>
      <c r="E12805" t="s">
        <v>45</v>
      </c>
    </row>
    <row r="12806" spans="1:5" x14ac:dyDescent="0.25">
      <c r="A12806" t="str">
        <f>HYPERLINK("https://www.773grp.com/globalSearch/Z8F3201VN020EC/page-1", "Z8F3201VN020EC")</f>
        <v>Z8F3201VN020EC</v>
      </c>
      <c r="B12806" s="3" t="s">
        <v>121</v>
      </c>
      <c r="C12806" s="5">
        <v>526</v>
      </c>
      <c r="D12806" s="6">
        <v>19.53</v>
      </c>
      <c r="E12806" t="s">
        <v>45</v>
      </c>
    </row>
    <row r="12807" spans="1:5" x14ac:dyDescent="0.25">
      <c r="A12807" t="str">
        <f>HYPERLINK("https://www.773grp.com/globalSearch/Z8F4801AN020SC/page-1", "Z8F4801AN020SC")</f>
        <v>Z8F4801AN020SC</v>
      </c>
      <c r="B12807" s="3" t="s">
        <v>121</v>
      </c>
      <c r="C12807" s="5">
        <v>1199</v>
      </c>
      <c r="D12807" s="6">
        <v>19.86</v>
      </c>
      <c r="E12807" t="s">
        <v>45</v>
      </c>
    </row>
    <row r="12808" spans="1:5" x14ac:dyDescent="0.25">
      <c r="A12808" t="str">
        <f>HYPERLINK("https://www.773grp.com/globalSearch/Z8F4801PM020SC/page-1", "Z8F4801PM020SC")</f>
        <v>Z8F4801PM020SC</v>
      </c>
      <c r="B12808" s="3" t="s">
        <v>121</v>
      </c>
      <c r="C12808" s="5">
        <v>1364</v>
      </c>
      <c r="D12808" s="6">
        <v>19.96</v>
      </c>
      <c r="E12808" t="s">
        <v>45</v>
      </c>
    </row>
    <row r="12809" spans="1:5" x14ac:dyDescent="0.25">
      <c r="A12809" t="str">
        <f>HYPERLINK("https://www.773grp.com/globalSearch/Z8F4801VN020SC/page-1", "Z8F4801VN020SC")</f>
        <v>Z8F4801VN020SC</v>
      </c>
      <c r="B12809" s="3" t="s">
        <v>121</v>
      </c>
      <c r="C12809" s="5">
        <v>867</v>
      </c>
      <c r="D12809" s="6">
        <v>19.96</v>
      </c>
      <c r="E12809" t="s">
        <v>45</v>
      </c>
    </row>
    <row r="12810" spans="1:5" x14ac:dyDescent="0.25">
      <c r="A12810" t="str">
        <f>HYPERLINK("https://www.773grp.com/globalSearch/Z8F3202AR020EC/page-1", "Z8F3202AR020EC")</f>
        <v>Z8F3202AR020EC</v>
      </c>
      <c r="B12810" s="3" t="s">
        <v>121</v>
      </c>
      <c r="C12810" s="5">
        <v>128</v>
      </c>
      <c r="D12810" s="6">
        <v>20.14</v>
      </c>
      <c r="E12810" t="s">
        <v>45</v>
      </c>
    </row>
    <row r="12811" spans="1:5" x14ac:dyDescent="0.25">
      <c r="A12811" t="str">
        <f>HYPERLINK("https://www.773grp.com/globalSearch/Z86L9208FSC/page-1", "Z86L9208FSC")</f>
        <v>Z86L9208FSC</v>
      </c>
      <c r="B12811" s="3" t="s">
        <v>121</v>
      </c>
      <c r="C12811" s="5">
        <v>432</v>
      </c>
      <c r="D12811" s="6">
        <v>20.2</v>
      </c>
      <c r="E12811" t="s">
        <v>45</v>
      </c>
    </row>
    <row r="12812" spans="1:5" x14ac:dyDescent="0.25">
      <c r="A12812" t="str">
        <f>HYPERLINK("https://www.773grp.com/globalSearch/Z8F3202VS020EC/page-1", "Z8F3202VS020EC")</f>
        <v>Z8F3202VS020EC</v>
      </c>
      <c r="B12812" s="3" t="s">
        <v>121</v>
      </c>
      <c r="C12812" s="5">
        <v>69</v>
      </c>
      <c r="D12812" s="6">
        <v>20.3</v>
      </c>
      <c r="E12812" t="s">
        <v>45</v>
      </c>
    </row>
    <row r="12813" spans="1:5" x14ac:dyDescent="0.25">
      <c r="A12813" t="str">
        <f>HYPERLINK("https://www.773grp.com/globalSearch/Z8F4802AR020SC/page-1", "Z8F4802AR020SC")</f>
        <v>Z8F4802AR020SC</v>
      </c>
      <c r="B12813" s="3" t="s">
        <v>121</v>
      </c>
      <c r="C12813" s="5">
        <v>976</v>
      </c>
      <c r="D12813" s="6">
        <v>20.54</v>
      </c>
      <c r="E12813" t="s">
        <v>45</v>
      </c>
    </row>
    <row r="12814" spans="1:5" x14ac:dyDescent="0.25">
      <c r="A12814" t="str">
        <f>HYPERLINK("https://www.773grp.com/globalSearch/Z8F4802VS020SC/page-1", "Z8F4802VS020SC")</f>
        <v>Z8F4802VS020SC</v>
      </c>
      <c r="B12814" s="3" t="s">
        <v>121</v>
      </c>
      <c r="C12814" s="5">
        <v>437</v>
      </c>
      <c r="D12814" s="6">
        <v>20.68</v>
      </c>
      <c r="E12814" t="s">
        <v>45</v>
      </c>
    </row>
    <row r="12815" spans="1:5" x14ac:dyDescent="0.25">
      <c r="A12815" t="str">
        <f>HYPERLINK("https://www.773grp.com/globalSearch/Z8F4803FT020SC/page-1", "Z8F4803FT020SC")</f>
        <v>Z8F4803FT020SC</v>
      </c>
      <c r="B12815" s="3" t="s">
        <v>121</v>
      </c>
      <c r="C12815" s="5">
        <v>2156</v>
      </c>
      <c r="D12815" s="6">
        <v>21.15</v>
      </c>
      <c r="E12815" t="s">
        <v>45</v>
      </c>
    </row>
    <row r="12816" spans="1:5" x14ac:dyDescent="0.25">
      <c r="A12816" t="str">
        <f>HYPERLINK("https://www.773grp.com/globalSearch/Z8F4801AN020EC/page-1", "Z8F4801AN020EC")</f>
        <v>Z8F4801AN020EC</v>
      </c>
      <c r="B12816" s="3" t="s">
        <v>121</v>
      </c>
      <c r="C12816" s="5">
        <v>129</v>
      </c>
      <c r="D12816" s="6">
        <v>21.89</v>
      </c>
      <c r="E12816" t="s">
        <v>45</v>
      </c>
    </row>
    <row r="12817" spans="1:5" x14ac:dyDescent="0.25">
      <c r="A12817" t="str">
        <f>HYPERLINK("https://www.773grp.com/globalSearch/Z8F4801PM020EC/page-1", "Z8F4801PM020EC")</f>
        <v>Z8F4801PM020EC</v>
      </c>
      <c r="B12817" s="3" t="s">
        <v>121</v>
      </c>
      <c r="C12817" s="5">
        <v>173</v>
      </c>
      <c r="D12817" s="6">
        <v>21.98</v>
      </c>
      <c r="E12817" t="s">
        <v>45</v>
      </c>
    </row>
    <row r="12818" spans="1:5" x14ac:dyDescent="0.25">
      <c r="A12818" t="str">
        <f>HYPERLINK("https://www.773grp.com/globalSearch/Z8F4801VN020EC/page-1", "Z8F4801VN020EC")</f>
        <v>Z8F4801VN020EC</v>
      </c>
      <c r="B12818" s="3" t="s">
        <v>121</v>
      </c>
      <c r="C12818" s="5">
        <v>643</v>
      </c>
      <c r="D12818" s="6">
        <v>21.98</v>
      </c>
      <c r="E12818" t="s">
        <v>45</v>
      </c>
    </row>
    <row r="12819" spans="1:5" x14ac:dyDescent="0.25">
      <c r="A12819" t="str">
        <f>HYPERLINK("https://www.773grp.com/globalSearch/Z8F6401AN020SC/page-1", "Z8F6401AN020SC")</f>
        <v>Z8F6401AN020SC</v>
      </c>
      <c r="B12819" s="3" t="s">
        <v>121</v>
      </c>
      <c r="C12819" s="5">
        <v>785</v>
      </c>
      <c r="D12819" s="6">
        <v>22.11</v>
      </c>
      <c r="E12819" t="s">
        <v>45</v>
      </c>
    </row>
    <row r="12820" spans="1:5" x14ac:dyDescent="0.25">
      <c r="A12820" t="str">
        <f>HYPERLINK("https://www.773grp.com/globalSearch/Z8F6401PM020SC/page-1", "Z8F6401PM020SC")</f>
        <v>Z8F6401PM020SC</v>
      </c>
      <c r="B12820" s="3" t="s">
        <v>121</v>
      </c>
      <c r="C12820" s="5">
        <v>283</v>
      </c>
      <c r="D12820" s="6">
        <v>22.19</v>
      </c>
      <c r="E12820" t="s">
        <v>45</v>
      </c>
    </row>
    <row r="12821" spans="1:5" x14ac:dyDescent="0.25">
      <c r="A12821" t="str">
        <f>HYPERLINK("https://www.773grp.com/globalSearch/Z8F6401VN020SC/page-1", "Z8F6401VN020SC")</f>
        <v>Z8F6401VN020SC</v>
      </c>
      <c r="B12821" s="3" t="s">
        <v>121</v>
      </c>
      <c r="C12821" s="5">
        <v>245</v>
      </c>
      <c r="D12821" s="6">
        <v>22.19</v>
      </c>
      <c r="E12821" t="s">
        <v>45</v>
      </c>
    </row>
    <row r="12822" spans="1:5" x14ac:dyDescent="0.25">
      <c r="A12822" t="str">
        <f>HYPERLINK("https://www.773grp.com/globalSearch/Z8F4802AR020EC/page-1", "Z8F4802AR020EC")</f>
        <v>Z8F4802AR020EC</v>
      </c>
      <c r="B12822" s="3" t="s">
        <v>121</v>
      </c>
      <c r="C12822" s="5">
        <v>8</v>
      </c>
      <c r="D12822" s="6">
        <v>22.58</v>
      </c>
      <c r="E12822" t="s">
        <v>45</v>
      </c>
    </row>
    <row r="12823" spans="1:5" x14ac:dyDescent="0.25">
      <c r="A12823" t="str">
        <f>HYPERLINK("https://www.773grp.com/globalSearch/Z8F4802VS020EC/page-1", "Z8F4802VS020EC")</f>
        <v>Z8F4802VS020EC</v>
      </c>
      <c r="B12823" s="3" t="s">
        <v>121</v>
      </c>
      <c r="C12823" s="5">
        <v>575</v>
      </c>
      <c r="D12823" s="6">
        <v>22.75</v>
      </c>
      <c r="E12823" t="s">
        <v>45</v>
      </c>
    </row>
    <row r="12824" spans="1:5" x14ac:dyDescent="0.25">
      <c r="A12824" t="str">
        <f>HYPERLINK("https://www.773grp.com/globalSearch/Z8F6402AR020SC/page-1", "Z8F6402AR020SC")</f>
        <v>Z8F6402AR020SC</v>
      </c>
      <c r="B12824" s="3" t="s">
        <v>121</v>
      </c>
      <c r="C12824" s="5">
        <v>367</v>
      </c>
      <c r="D12824" s="6">
        <v>22.75</v>
      </c>
      <c r="E12824" t="s">
        <v>45</v>
      </c>
    </row>
    <row r="12825" spans="1:5" x14ac:dyDescent="0.25">
      <c r="A12825" t="str">
        <f>HYPERLINK("https://www.773grp.com/globalSearch/Z8F6402VS020SC/page-1", "Z8F6402VS020SC")</f>
        <v>Z8F6402VS020SC</v>
      </c>
      <c r="B12825" s="3" t="s">
        <v>121</v>
      </c>
      <c r="C12825" s="5">
        <v>1602</v>
      </c>
      <c r="D12825" s="6">
        <v>22.9</v>
      </c>
      <c r="E12825" t="s">
        <v>45</v>
      </c>
    </row>
    <row r="12826" spans="1:5" x14ac:dyDescent="0.25">
      <c r="A12826" t="str">
        <f>HYPERLINK("https://www.773grp.com/globalSearch/Z8F4803FT020EC/page-1", "Z8F4803FT020EC")</f>
        <v>Z8F4803FT020EC</v>
      </c>
      <c r="B12826" s="3" t="s">
        <v>121</v>
      </c>
      <c r="C12826" s="5">
        <v>228</v>
      </c>
      <c r="D12826" s="6">
        <v>23.25</v>
      </c>
      <c r="E12826" t="s">
        <v>45</v>
      </c>
    </row>
    <row r="12827" spans="1:5" x14ac:dyDescent="0.25">
      <c r="A12827" t="str">
        <f>HYPERLINK("https://www.773grp.com/globalSearch/Z8F6403FT020SC/page-1", "Z8F6403FT020SC")</f>
        <v>Z8F6403FT020SC</v>
      </c>
      <c r="B12827" s="3" t="s">
        <v>121</v>
      </c>
      <c r="C12827" s="5">
        <v>191</v>
      </c>
      <c r="D12827" s="6">
        <v>23.34</v>
      </c>
      <c r="E12827" t="s">
        <v>45</v>
      </c>
    </row>
    <row r="12828" spans="1:5" x14ac:dyDescent="0.25">
      <c r="A12828" t="str">
        <f>HYPERLINK("https://www.773grp.com/globalSearch/Z86E6116FSC/page-1", "Z86E6116FSC")</f>
        <v>Z86E6116FSC</v>
      </c>
      <c r="B12828" s="3" t="s">
        <v>121</v>
      </c>
      <c r="C12828" s="5">
        <v>412</v>
      </c>
      <c r="D12828" s="6">
        <v>23.96</v>
      </c>
      <c r="E12828" t="s">
        <v>45</v>
      </c>
    </row>
    <row r="12829" spans="1:5" x14ac:dyDescent="0.25">
      <c r="A12829" t="str">
        <f>HYPERLINK("https://www.773grp.com/globalSearch/Z86E6116FSG/page-1", "Z86E6116FSG")</f>
        <v>Z86E6116FSG</v>
      </c>
      <c r="B12829" s="3" t="s">
        <v>121</v>
      </c>
      <c r="C12829" s="5">
        <v>9</v>
      </c>
      <c r="D12829" s="6">
        <v>23.96</v>
      </c>
      <c r="E12829" t="s">
        <v>45</v>
      </c>
    </row>
    <row r="12830" spans="1:5" x14ac:dyDescent="0.25">
      <c r="A12830" t="str">
        <f>HYPERLINK("https://www.773grp.com/globalSearch/Z8F6401AN020EC/page-1", "Z8F6401AN020EC")</f>
        <v>Z8F6401AN020EC</v>
      </c>
      <c r="B12830" s="3" t="s">
        <v>121</v>
      </c>
      <c r="C12830" s="5">
        <v>1844</v>
      </c>
      <c r="D12830" s="6">
        <v>24.3</v>
      </c>
      <c r="E12830" t="s">
        <v>45</v>
      </c>
    </row>
    <row r="12831" spans="1:5" x14ac:dyDescent="0.25">
      <c r="A12831" t="str">
        <f>HYPERLINK("https://www.773grp.com/globalSearch/Z8F6401PM020EC/page-1", "Z8F6401PM020EC")</f>
        <v>Z8F6401PM020EC</v>
      </c>
      <c r="B12831" s="3" t="s">
        <v>121</v>
      </c>
      <c r="C12831" s="5">
        <v>81</v>
      </c>
      <c r="D12831" s="6">
        <v>24.41</v>
      </c>
      <c r="E12831" t="s">
        <v>45</v>
      </c>
    </row>
    <row r="12832" spans="1:5" x14ac:dyDescent="0.25">
      <c r="A12832" t="str">
        <f>HYPERLINK("https://www.773grp.com/globalSearch/Z8F6401VN020EC/page-1", "Z8F6401VN020EC")</f>
        <v>Z8F6401VN020EC</v>
      </c>
      <c r="B12832" s="3" t="s">
        <v>121</v>
      </c>
      <c r="C12832" s="5">
        <v>811</v>
      </c>
      <c r="D12832" s="6">
        <v>24.41</v>
      </c>
      <c r="E12832" t="s">
        <v>45</v>
      </c>
    </row>
    <row r="12833" spans="1:5" x14ac:dyDescent="0.25">
      <c r="A12833" t="str">
        <f>HYPERLINK("https://www.773grp.com/globalSearch/Z8F6402AR020EC/page-1", "Z8F6402AR020EC")</f>
        <v>Z8F6402AR020EC</v>
      </c>
      <c r="B12833" s="3" t="s">
        <v>121</v>
      </c>
      <c r="C12833" s="5">
        <v>210</v>
      </c>
      <c r="D12833" s="6">
        <v>25.03</v>
      </c>
      <c r="E12833" t="s">
        <v>45</v>
      </c>
    </row>
    <row r="12834" spans="1:5" x14ac:dyDescent="0.25">
      <c r="A12834" t="str">
        <f>HYPERLINK("https://www.773grp.com/globalSearch/Z8F6402VS020EC/page-1", "Z8F6402VS020EC")</f>
        <v>Z8F6402VS020EC</v>
      </c>
      <c r="B12834" s="3" t="s">
        <v>121</v>
      </c>
      <c r="C12834" s="5">
        <v>1155</v>
      </c>
      <c r="D12834" s="6">
        <v>25.18</v>
      </c>
      <c r="E12834" t="s">
        <v>45</v>
      </c>
    </row>
    <row r="12835" spans="1:5" x14ac:dyDescent="0.25">
      <c r="A12835" t="str">
        <f>HYPERLINK("https://www.773grp.com/globalSearch/Z8F6403FT020EC/page-1", "Z8F6403FT020EC")</f>
        <v>Z8F6403FT020EC</v>
      </c>
      <c r="B12835" s="3" t="s">
        <v>121</v>
      </c>
      <c r="C12835" s="5">
        <v>111</v>
      </c>
      <c r="D12835" s="6">
        <v>25.7</v>
      </c>
      <c r="E12835" t="s">
        <v>45</v>
      </c>
    </row>
    <row r="12836" spans="1:5" x14ac:dyDescent="0.25">
      <c r="A12836" t="str">
        <f>HYPERLINK("https://www.773grp.com/globalSearch/Z86E6316FSG/page-1", "Z86E6316FSG")</f>
        <v>Z86E6316FSG</v>
      </c>
      <c r="B12836" s="3" t="s">
        <v>121</v>
      </c>
      <c r="C12836" s="5">
        <v>4</v>
      </c>
      <c r="D12836" s="6">
        <v>30.43</v>
      </c>
      <c r="E12836" t="s">
        <v>45</v>
      </c>
    </row>
    <row r="12837" spans="1:5" x14ac:dyDescent="0.25">
      <c r="A12837" t="str">
        <f>HYPERLINK("https://www.773grp.com/globalSearch/Z9036112PSC/page-1", "Z9036112PSC")</f>
        <v>Z9036112PSC</v>
      </c>
      <c r="B12837" s="3" t="s">
        <v>121</v>
      </c>
      <c r="C12837" s="5">
        <v>184</v>
      </c>
      <c r="D12837" s="6">
        <v>39.11</v>
      </c>
      <c r="E12837" t="s">
        <v>45</v>
      </c>
    </row>
    <row r="12838" spans="1:5" x14ac:dyDescent="0.25">
      <c r="A12838" t="str">
        <f>HYPERLINK("https://www.773grp.com/globalSearch/AM1707BZKB3/page-1", "AM1707BZKB3")</f>
        <v>AM1707BZKB3</v>
      </c>
      <c r="B12838" s="3" t="s">
        <v>90</v>
      </c>
      <c r="C12838" s="5">
        <v>492</v>
      </c>
      <c r="D12838" s="6">
        <v>16.739999999999998</v>
      </c>
      <c r="E12838" t="s">
        <v>69</v>
      </c>
    </row>
    <row r="12839" spans="1:5" x14ac:dyDescent="0.25">
      <c r="A12839" t="str">
        <f>HYPERLINK("https://www.773grp.com/globalSearch/AM1707BZKBA3/page-1", "AM1707BZKBA3")</f>
        <v>AM1707BZKBA3</v>
      </c>
      <c r="B12839" s="3" t="s">
        <v>90</v>
      </c>
      <c r="C12839" s="5">
        <v>5347</v>
      </c>
      <c r="D12839" s="6">
        <v>20.11</v>
      </c>
      <c r="E12839" t="s">
        <v>69</v>
      </c>
    </row>
    <row r="12840" spans="1:5" x14ac:dyDescent="0.25">
      <c r="A12840" t="str">
        <f>HYPERLINK("https://www.773grp.com/globalSearch/AM1808BZCE3/page-1", "AM1808BZCE3")</f>
        <v>AM1808BZCE3</v>
      </c>
      <c r="B12840" s="3" t="s">
        <v>90</v>
      </c>
      <c r="C12840" s="5">
        <v>70146</v>
      </c>
      <c r="D12840" s="6">
        <v>22.99</v>
      </c>
      <c r="E12840" t="s">
        <v>69</v>
      </c>
    </row>
    <row r="12841" spans="1:5" x14ac:dyDescent="0.25">
      <c r="A12841" t="str">
        <f>HYPERLINK("https://www.773grp.com/globalSearch/AM1808BZWT3/page-1", "AM1808BZWT3")</f>
        <v>AM1808BZWT3</v>
      </c>
      <c r="B12841" s="3" t="s">
        <v>90</v>
      </c>
      <c r="C12841" s="5">
        <v>7640</v>
      </c>
      <c r="D12841" s="6">
        <v>22.99</v>
      </c>
      <c r="E12841" t="s">
        <v>69</v>
      </c>
    </row>
    <row r="12842" spans="1:5" x14ac:dyDescent="0.25">
      <c r="A12842" t="str">
        <f>HYPERLINK("https://www.773grp.com/globalSearch/AM1808BZWT4/page-1", "AM1808BZWT4")</f>
        <v>AM1808BZWT4</v>
      </c>
      <c r="B12842" s="3" t="s">
        <v>90</v>
      </c>
      <c r="C12842" s="5">
        <v>32529</v>
      </c>
      <c r="D12842" s="6">
        <v>24.59</v>
      </c>
      <c r="E12842" t="s">
        <v>69</v>
      </c>
    </row>
    <row r="12843" spans="1:5" x14ac:dyDescent="0.25">
      <c r="A12843" t="str">
        <f>HYPERLINK("https://www.773grp.com/globalSearch/AM1808BZCE4/page-1", "AM1808BZCE4")</f>
        <v>AM1808BZCE4</v>
      </c>
      <c r="B12843" s="3" t="s">
        <v>90</v>
      </c>
      <c r="C12843" s="5">
        <v>6127</v>
      </c>
      <c r="D12843" s="6">
        <v>24.75</v>
      </c>
      <c r="E12843" t="s">
        <v>69</v>
      </c>
    </row>
    <row r="12844" spans="1:5" x14ac:dyDescent="0.25">
      <c r="A12844" t="str">
        <f>HYPERLINK("https://www.773grp.com/globalSearch/AM1808BZWTA3/page-1", "AM1808BZWTA3")</f>
        <v>AM1808BZWTA3</v>
      </c>
      <c r="B12844" s="3" t="str">
        <f>HYPERLINK("https://www.773grp.com/manufacturer/texas-instruments?pageNo=26", "Texas Instruments")</f>
        <v>Texas Instruments</v>
      </c>
      <c r="C12844" s="5">
        <v>2910</v>
      </c>
      <c r="D12844" s="6">
        <v>27.48</v>
      </c>
      <c r="E12844" t="s">
        <v>69</v>
      </c>
    </row>
    <row r="12845" spans="1:5" x14ac:dyDescent="0.25">
      <c r="A12845" t="str">
        <f>HYPERLINK("https://www.773grp.com/globalSearch/AM1808BZCED4/page-1", "AM1808BZCED4")</f>
        <v>AM1808BZCED4</v>
      </c>
      <c r="B12845" s="3" t="str">
        <f>HYPERLINK("https://www.773grp.com/manufacturer/texas-instruments?pageNo=89", "Texas Instruments")</f>
        <v>Texas Instruments</v>
      </c>
      <c r="C12845" s="5">
        <v>301</v>
      </c>
      <c r="D12845" s="6">
        <v>27.96</v>
      </c>
      <c r="E12845" t="s">
        <v>69</v>
      </c>
    </row>
    <row r="12846" spans="1:5" x14ac:dyDescent="0.25">
      <c r="A12846" t="str">
        <f>HYPERLINK("https://www.773grp.com/globalSearch/AM1808BZWTD4/page-1", "AM1808BZWTD4")</f>
        <v>AM1808BZWTD4</v>
      </c>
      <c r="B12846" s="3" t="str">
        <f>HYPERLINK("https://www.773grp.com/manufacturer/texas-instruments?pageNo=104", "Texas Instruments")</f>
        <v>Texas Instruments</v>
      </c>
      <c r="C12846" s="5">
        <v>605</v>
      </c>
      <c r="D12846" s="6">
        <v>27.98</v>
      </c>
      <c r="E12846" t="s">
        <v>69</v>
      </c>
    </row>
    <row r="12847" spans="1:5" x14ac:dyDescent="0.25">
      <c r="A12847" t="str">
        <f>HYPERLINK("https://www.773grp.com/globalSearch/XAM3517AZER/page-1", "XAM3517AZER")</f>
        <v>XAM3517AZER</v>
      </c>
      <c r="B12847" s="3" t="s">
        <v>90</v>
      </c>
      <c r="C12847" s="5">
        <v>90</v>
      </c>
      <c r="D12847" s="6">
        <v>44.59</v>
      </c>
      <c r="E12847" t="s">
        <v>69</v>
      </c>
    </row>
    <row r="12848" spans="1:5" x14ac:dyDescent="0.25">
      <c r="A12848" t="str">
        <f>HYPERLINK("https://www.773grp.com/globalSearch/XAM3517ZCN/page-1", "XAM3517ZCN")</f>
        <v>XAM3517ZCN</v>
      </c>
      <c r="B12848" s="3" t="s">
        <v>90</v>
      </c>
      <c r="C12848" s="5">
        <v>1112</v>
      </c>
      <c r="D12848" s="6">
        <v>44.59</v>
      </c>
      <c r="E12848" t="s">
        <v>69</v>
      </c>
    </row>
    <row r="12849" spans="1:5" x14ac:dyDescent="0.25">
      <c r="A12849" t="str">
        <f>HYPERLINK("https://www.773grp.com/globalSearch/AM3703CBCA/page-1", "AM3703CBCA")</f>
        <v>AM3703CBCA</v>
      </c>
      <c r="B12849" s="3" t="s">
        <v>90</v>
      </c>
      <c r="C12849" s="5">
        <v>15</v>
      </c>
      <c r="D12849" s="6">
        <v>46.41</v>
      </c>
      <c r="E12849" t="s">
        <v>69</v>
      </c>
    </row>
    <row r="12850" spans="1:5" x14ac:dyDescent="0.25">
      <c r="A12850" t="str">
        <f>HYPERLINK("https://www.773grp.com/globalSearch/AM3703CBP100/page-1", "AM3703CBP100")</f>
        <v>AM3703CBP100</v>
      </c>
      <c r="B12850" s="3" t="s">
        <v>90</v>
      </c>
      <c r="C12850" s="5">
        <v>14</v>
      </c>
      <c r="D12850" s="6">
        <v>46.41</v>
      </c>
      <c r="E12850" t="s">
        <v>69</v>
      </c>
    </row>
    <row r="12851" spans="1:5" x14ac:dyDescent="0.25">
      <c r="A12851" t="str">
        <f>HYPERLINK("https://www.773grp.com/globalSearch/AM3715CBC100/page-1", "AM3715CBC100")</f>
        <v>AM3715CBC100</v>
      </c>
      <c r="B12851" s="3" t="s">
        <v>90</v>
      </c>
      <c r="C12851" s="5">
        <v>96</v>
      </c>
      <c r="D12851" s="6">
        <v>66.53</v>
      </c>
      <c r="E12851" t="s">
        <v>69</v>
      </c>
    </row>
    <row r="12852" spans="1:5" x14ac:dyDescent="0.25">
      <c r="A12852" t="str">
        <f>HYPERLINK("https://www.773grp.com/globalSearch/DM3730CBC/page-1", "DM3730CBC")</f>
        <v>DM3730CBC</v>
      </c>
      <c r="B12852" s="3" t="s">
        <v>90</v>
      </c>
      <c r="C12852" s="5">
        <v>81</v>
      </c>
      <c r="D12852" s="6">
        <v>72</v>
      </c>
      <c r="E12852" t="s">
        <v>69</v>
      </c>
    </row>
    <row r="12853" spans="1:5" x14ac:dyDescent="0.25">
      <c r="A12853" t="str">
        <f>HYPERLINK("https://www.773grp.com/globalSearch/OMAP3525DCUS/page-1", "OMAP3525DCUS")</f>
        <v>OMAP3525DCUS</v>
      </c>
      <c r="B12853" s="3" t="s">
        <v>90</v>
      </c>
      <c r="C12853" s="5">
        <v>18074</v>
      </c>
      <c r="D12853" s="6">
        <v>81.56</v>
      </c>
      <c r="E12853" t="s">
        <v>69</v>
      </c>
    </row>
    <row r="12854" spans="1:5" x14ac:dyDescent="0.25">
      <c r="A12854" t="str">
        <f>HYPERLINK("https://www.773grp.com/globalSearch/DM3730CBC100/page-1", "DM3730CBC100")</f>
        <v>DM3730CBC100</v>
      </c>
      <c r="B12854" s="3" t="s">
        <v>90</v>
      </c>
      <c r="C12854" s="5">
        <v>951</v>
      </c>
      <c r="D12854" s="6">
        <v>86.49</v>
      </c>
      <c r="E12854" t="s">
        <v>69</v>
      </c>
    </row>
    <row r="12855" spans="1:5" x14ac:dyDescent="0.25">
      <c r="A12855" t="str">
        <f>HYPERLINK("https://www.773grp.com/globalSearch/DM3730CBP100/page-1", "DM3730CBP100")</f>
        <v>DM3730CBP100</v>
      </c>
      <c r="B12855" s="3" t="s">
        <v>90</v>
      </c>
      <c r="C12855" s="5">
        <v>120</v>
      </c>
      <c r="D12855" s="6">
        <v>86.49</v>
      </c>
      <c r="E12855" t="s">
        <v>69</v>
      </c>
    </row>
    <row r="12856" spans="1:5" x14ac:dyDescent="0.25">
      <c r="A12856" t="str">
        <f>HYPERLINK("https://www.773grp.com/globalSearch/OMAP3530DCBC/page-1", "OMAP3530DCBC")</f>
        <v>OMAP3530DCBC</v>
      </c>
      <c r="B12856" s="3" t="s">
        <v>90</v>
      </c>
      <c r="C12856" s="5">
        <v>5014</v>
      </c>
      <c r="D12856" s="6">
        <v>90</v>
      </c>
      <c r="E12856" t="s">
        <v>69</v>
      </c>
    </row>
    <row r="12857" spans="1:5" x14ac:dyDescent="0.25">
      <c r="A12857" t="str">
        <f>HYPERLINK("https://www.773grp.com/globalSearch/OMAP3530DCUS/page-1", "OMAP3530DCUS")</f>
        <v>OMAP3530DCUS</v>
      </c>
      <c r="B12857" s="3" t="s">
        <v>90</v>
      </c>
      <c r="C12857" s="5">
        <v>3958</v>
      </c>
      <c r="D12857" s="6">
        <v>90</v>
      </c>
      <c r="E12857" t="s">
        <v>69</v>
      </c>
    </row>
    <row r="12858" spans="1:5" x14ac:dyDescent="0.25">
      <c r="A12858" t="str">
        <f>HYPERLINK("https://www.773grp.com/globalSearch/AM3894ACYG120/page-1", "AM3894ACYG120")</f>
        <v>AM3894ACYG120</v>
      </c>
      <c r="B12858" s="3" t="s">
        <v>90</v>
      </c>
      <c r="C12858" s="5">
        <v>346</v>
      </c>
      <c r="D12858" s="6">
        <v>97.04</v>
      </c>
      <c r="E12858" t="s">
        <v>69</v>
      </c>
    </row>
    <row r="12859" spans="1:5" x14ac:dyDescent="0.25">
      <c r="A12859" t="str">
        <f>HYPERLINK("https://www.773grp.com/globalSearch/OMAP3530DCBC72/page-1", "OMAP3530DCBC72")</f>
        <v>OMAP3530DCBC72</v>
      </c>
      <c r="B12859" s="3" t="s">
        <v>90</v>
      </c>
      <c r="C12859" s="5">
        <v>1022</v>
      </c>
      <c r="D12859" s="6">
        <v>108</v>
      </c>
      <c r="E12859" t="s">
        <v>69</v>
      </c>
    </row>
    <row r="12860" spans="1:5" x14ac:dyDescent="0.25">
      <c r="A12860" t="str">
        <f>HYPERLINK("https://www.773grp.com/globalSearch/OMAP3530DCBCA/page-1", "OMAP3530DCBCA")</f>
        <v>OMAP3530DCBCA</v>
      </c>
      <c r="B12860" s="3" t="s">
        <v>90</v>
      </c>
      <c r="C12860" s="5">
        <v>12</v>
      </c>
      <c r="D12860" s="6">
        <v>108</v>
      </c>
      <c r="E12860" t="s">
        <v>69</v>
      </c>
    </row>
    <row r="12861" spans="1:5" x14ac:dyDescent="0.25">
      <c r="A12861" t="str">
        <f>HYPERLINK("https://www.773grp.com/globalSearch/XOMAP3525BCBB/page-1", "XOMAP3525BCBB")</f>
        <v>XOMAP3525BCBB</v>
      </c>
      <c r="B12861" s="3" t="s">
        <v>90</v>
      </c>
      <c r="C12861" s="5">
        <v>15</v>
      </c>
      <c r="D12861" s="6">
        <v>126.56</v>
      </c>
      <c r="E12861" t="s">
        <v>69</v>
      </c>
    </row>
    <row r="12862" spans="1:5" x14ac:dyDescent="0.25">
      <c r="A12862" t="str">
        <f>HYPERLINK("https://www.773grp.com/globalSearch/XOMAP3530BCBB/page-1", "XOMAP3530BCBB")</f>
        <v>XOMAP3530BCBB</v>
      </c>
      <c r="B12862" s="3" t="str">
        <f>HYPERLINK("https://www.773grp.com/manufacturer/texas-instruments?pageNo=81", "Texas Instruments")</f>
        <v>Texas Instruments</v>
      </c>
      <c r="C12862" s="5">
        <v>1</v>
      </c>
      <c r="D12862" s="6">
        <v>140.78</v>
      </c>
      <c r="E12862" t="s">
        <v>69</v>
      </c>
    </row>
    <row r="12863" spans="1:5" x14ac:dyDescent="0.25">
      <c r="A12863" t="str">
        <f>HYPERLINK("https://www.773grp.com/globalSearch/OMAP3530DZCBB/page-1", "OMAP3530DZCBB")</f>
        <v>OMAP3530DZCBB</v>
      </c>
      <c r="B12863" s="3" t="str">
        <f>HYPERLINK("https://www.773grp.com/manufacturer/texas-instruments?pageNo=569", "Texas Instruments")</f>
        <v>Texas Instruments</v>
      </c>
      <c r="C12863" s="5">
        <v>168</v>
      </c>
      <c r="D12863" s="6">
        <v>226.64</v>
      </c>
      <c r="E12863" t="s">
        <v>69</v>
      </c>
    </row>
    <row r="12864" spans="1:5" x14ac:dyDescent="0.25">
      <c r="A12864" t="str">
        <f>HYPERLINK("https://www.773grp.com/globalSearch/TMS320C6474FZUN8/page-1", "TMS320C6474FZUN8")</f>
        <v>TMS320C6474FZUN8</v>
      </c>
      <c r="B12864" s="3" t="s">
        <v>90</v>
      </c>
      <c r="C12864" s="5">
        <v>1413</v>
      </c>
      <c r="D12864" s="6">
        <v>292.33</v>
      </c>
      <c r="E12864" t="s">
        <v>69</v>
      </c>
    </row>
    <row r="12865" spans="1:5" x14ac:dyDescent="0.25">
      <c r="A12865" t="str">
        <f>HYPERLINK("https://www.773grp.com/globalSearch/TMS320C6474FGUN/page-1", "TMS320C6474FGUN")</f>
        <v>TMS320C6474FGUN</v>
      </c>
      <c r="B12865" s="3" t="s">
        <v>90</v>
      </c>
      <c r="C12865" s="5">
        <v>43</v>
      </c>
      <c r="D12865" s="6">
        <v>343.91</v>
      </c>
      <c r="E12865" t="s">
        <v>69</v>
      </c>
    </row>
    <row r="12866" spans="1:5" x14ac:dyDescent="0.25">
      <c r="A12866" t="str">
        <f>HYPERLINK("https://www.773grp.com/globalSearch/TMS320C6474FZUNA/page-1", "TMS320C6474FZUNA")</f>
        <v>TMS320C6474FZUNA</v>
      </c>
      <c r="B12866" s="3" t="s">
        <v>90</v>
      </c>
      <c r="C12866" s="5">
        <v>20</v>
      </c>
      <c r="D12866" s="6">
        <v>505.83</v>
      </c>
      <c r="E12866" t="s">
        <v>69</v>
      </c>
    </row>
    <row r="12867" spans="1:5" x14ac:dyDescent="0.25">
      <c r="A12867" t="str">
        <f>HYPERLINK("https://www.773grp.com/globalSearch/Z0840006VSC/page-1", "Z0840006VSC")</f>
        <v>Z0840006VSC</v>
      </c>
      <c r="B12867" s="3" t="s">
        <v>121</v>
      </c>
      <c r="C12867" s="5">
        <v>1273</v>
      </c>
      <c r="D12867" s="6">
        <v>3.34</v>
      </c>
      <c r="E12867" t="s">
        <v>69</v>
      </c>
    </row>
    <row r="12868" spans="1:5" x14ac:dyDescent="0.25">
      <c r="A12868" t="str">
        <f>HYPERLINK("https://www.773grp.com/globalSearch/Z0840008PSC/page-1", "Z0840008PSC")</f>
        <v>Z0840008PSC</v>
      </c>
      <c r="B12868" s="3" t="s">
        <v>121</v>
      </c>
      <c r="C12868" s="5">
        <v>311</v>
      </c>
      <c r="D12868" s="6">
        <v>4.5</v>
      </c>
      <c r="E12868" t="s">
        <v>69</v>
      </c>
    </row>
    <row r="12869" spans="1:5" x14ac:dyDescent="0.25">
      <c r="A12869" t="str">
        <f>HYPERLINK("https://www.773grp.com/globalSearch/Z0840008VSC/page-1", "Z0840008VSC")</f>
        <v>Z0840008VSC</v>
      </c>
      <c r="B12869" s="3" t="s">
        <v>121</v>
      </c>
      <c r="C12869" s="5">
        <v>383</v>
      </c>
      <c r="D12869" s="6">
        <v>4.5</v>
      </c>
      <c r="E12869" t="s">
        <v>69</v>
      </c>
    </row>
    <row r="12870" spans="1:5" x14ac:dyDescent="0.25">
      <c r="A12870" t="str">
        <f>HYPERLINK("https://www.773grp.com/globalSearch/Z84C0008FEG/page-1", "Z84C0008FEG")</f>
        <v>Z84C0008FEG</v>
      </c>
      <c r="B12870" s="3" t="s">
        <v>121</v>
      </c>
      <c r="C12870" s="5">
        <v>25</v>
      </c>
      <c r="D12870" s="6">
        <v>5.85</v>
      </c>
      <c r="E12870" t="s">
        <v>69</v>
      </c>
    </row>
    <row r="12871" spans="1:5" x14ac:dyDescent="0.25">
      <c r="A12871" t="str">
        <f>HYPERLINK("https://www.773grp.com/globalSearch/Z84C0020FEC/page-1", "Z84C0020FEC")</f>
        <v>Z84C0020FEC</v>
      </c>
      <c r="B12871" s="3" t="s">
        <v>121</v>
      </c>
      <c r="C12871" s="5">
        <v>45</v>
      </c>
      <c r="D12871" s="6">
        <v>13.84</v>
      </c>
      <c r="E12871" t="s">
        <v>69</v>
      </c>
    </row>
    <row r="12872" spans="1:5" x14ac:dyDescent="0.25">
      <c r="A12872" t="str">
        <f>HYPERLINK("https://www.773grp.com/globalSearch/Z84C0020FEG/page-1", "Z84C0020FEG")</f>
        <v>Z84C0020FEG</v>
      </c>
      <c r="B12872" s="3" t="s">
        <v>121</v>
      </c>
      <c r="C12872" s="5">
        <v>108</v>
      </c>
      <c r="D12872" s="6">
        <v>13.84</v>
      </c>
      <c r="E12872" t="s">
        <v>69</v>
      </c>
    </row>
    <row r="12873" spans="1:5" x14ac:dyDescent="0.25">
      <c r="A12873" t="str">
        <f>HYPERLINK("https://www.773grp.com/globalSearch/TIR1000PS/page-1", "TIR1000PS")</f>
        <v>TIR1000PS</v>
      </c>
      <c r="B12873" s="3" t="s">
        <v>90</v>
      </c>
      <c r="C12873" s="5">
        <v>14588</v>
      </c>
      <c r="D12873" s="6">
        <v>4.05</v>
      </c>
      <c r="E12873" t="s">
        <v>37</v>
      </c>
    </row>
    <row r="12874" spans="1:5" x14ac:dyDescent="0.25">
      <c r="A12874" t="str">
        <f>HYPERLINK("https://www.773grp.com/globalSearch/P82B715P/page-1", "P82B715P")</f>
        <v>P82B715P</v>
      </c>
      <c r="B12874" s="3" t="str">
        <f>HYPERLINK("https://www.773grp.com/manufacturer/texas-instruments?pageNo=213", "Texas Instruments")</f>
        <v>Texas Instruments</v>
      </c>
      <c r="C12874" s="5">
        <v>650</v>
      </c>
      <c r="D12874" s="6">
        <v>4.4400000000000004</v>
      </c>
      <c r="E12874" t="s">
        <v>37</v>
      </c>
    </row>
    <row r="12875" spans="1:5" x14ac:dyDescent="0.25">
      <c r="A12875" t="str">
        <f>HYPERLINK("https://www.773grp.com/globalSearch/TIR1000IPW/page-1", "TIR1000IPW")</f>
        <v>TIR1000IPW</v>
      </c>
      <c r="B12875" s="3" t="str">
        <f>HYPERLINK("https://www.773grp.com/manufacturer/texas-instruments?pageNo=772", "Texas Instruments")</f>
        <v>Texas Instruments</v>
      </c>
      <c r="C12875" s="5">
        <v>2407</v>
      </c>
      <c r="D12875" s="6">
        <v>4.5599999999999996</v>
      </c>
      <c r="E12875" t="s">
        <v>37</v>
      </c>
    </row>
    <row r="12876" spans="1:5" x14ac:dyDescent="0.25">
      <c r="A12876" t="str">
        <f>HYPERLINK("https://www.773grp.com/globalSearch/CC2540F128RHAT/page-1", "CC2540F128RHAT")</f>
        <v>CC2540F128RHAT</v>
      </c>
      <c r="B12876" s="3" t="s">
        <v>90</v>
      </c>
      <c r="C12876" s="5">
        <v>498</v>
      </c>
      <c r="D12876" s="6">
        <v>6.33</v>
      </c>
      <c r="E12876" t="s">
        <v>37</v>
      </c>
    </row>
    <row r="12877" spans="1:5" x14ac:dyDescent="0.25">
      <c r="A12877" t="str">
        <f>HYPERLINK("https://www.773grp.com/globalSearch/TL16PNP100AFN/page-1", "TL16PNP100AFN")</f>
        <v>TL16PNP100AFN</v>
      </c>
      <c r="B12877" s="3" t="s">
        <v>90</v>
      </c>
      <c r="C12877" s="5">
        <v>566</v>
      </c>
      <c r="D12877" s="6">
        <v>7.48</v>
      </c>
      <c r="E12877" t="s">
        <v>37</v>
      </c>
    </row>
    <row r="12878" spans="1:5" x14ac:dyDescent="0.25">
      <c r="A12878" t="str">
        <f>HYPERLINK("https://www.773grp.com/globalSearch/PCI950PT/page-1", "PCI950PT")</f>
        <v>PCI950PT</v>
      </c>
      <c r="B12878" s="3" t="s">
        <v>90</v>
      </c>
      <c r="C12878" s="5">
        <v>22957</v>
      </c>
      <c r="D12878" s="6">
        <v>7.73</v>
      </c>
      <c r="E12878" t="s">
        <v>37</v>
      </c>
    </row>
    <row r="12879" spans="1:5" x14ac:dyDescent="0.25">
      <c r="A12879" t="str">
        <f>HYPERLINK("https://www.773grp.com/globalSearch/TL16PNP100APT/page-1", "TL16PNP100APT")</f>
        <v>TL16PNP100APT</v>
      </c>
      <c r="B12879" s="3" t="s">
        <v>90</v>
      </c>
      <c r="C12879" s="5">
        <v>418</v>
      </c>
      <c r="D12879" s="6">
        <v>8.0500000000000007</v>
      </c>
      <c r="E12879" t="s">
        <v>37</v>
      </c>
    </row>
    <row r="12880" spans="1:5" x14ac:dyDescent="0.25">
      <c r="A12880" t="str">
        <f>HYPERLINK("https://www.773grp.com/globalSearch/TUSB2040APT/page-1", "TUSB2040APT")</f>
        <v>TUSB2040APT</v>
      </c>
      <c r="B12880" s="3" t="s">
        <v>90</v>
      </c>
      <c r="C12880" s="5">
        <v>1</v>
      </c>
      <c r="D12880" s="6">
        <v>8.0500000000000007</v>
      </c>
      <c r="E12880" t="s">
        <v>37</v>
      </c>
    </row>
    <row r="12881" spans="1:5" x14ac:dyDescent="0.25">
      <c r="A12881" t="str">
        <f>HYPERLINK("https://www.773grp.com/globalSearch/TUSB2040N/page-1", "TUSB2040N")</f>
        <v>TUSB2040N</v>
      </c>
      <c r="B12881" s="3" t="s">
        <v>90</v>
      </c>
      <c r="C12881" s="5">
        <v>754</v>
      </c>
      <c r="D12881" s="6">
        <v>8.0500000000000007</v>
      </c>
      <c r="E12881" t="s">
        <v>37</v>
      </c>
    </row>
    <row r="12882" spans="1:5" x14ac:dyDescent="0.25">
      <c r="A12882" t="str">
        <f>HYPERLINK("https://www.773grp.com/globalSearch/TUSB2040AN/page-1", "TUSB2040AN")</f>
        <v>TUSB2040AN</v>
      </c>
      <c r="B12882" s="3" t="s">
        <v>90</v>
      </c>
      <c r="C12882" s="5">
        <v>2079</v>
      </c>
      <c r="D12882" s="6">
        <v>9.6999999999999993</v>
      </c>
      <c r="E12882" t="s">
        <v>37</v>
      </c>
    </row>
    <row r="12883" spans="1:5" x14ac:dyDescent="0.25">
      <c r="A12883" t="str">
        <f>HYPERLINK("https://www.773grp.com/globalSearch/SN74LVT18512DGGR/page-1", "SN74LVT18512DGGR")</f>
        <v>SN74LVT18512DGGR</v>
      </c>
      <c r="B12883" s="3" t="s">
        <v>90</v>
      </c>
      <c r="C12883" s="5">
        <v>6276</v>
      </c>
      <c r="D12883" s="6">
        <v>10.98</v>
      </c>
      <c r="E12883" t="s">
        <v>37</v>
      </c>
    </row>
    <row r="12884" spans="1:5" x14ac:dyDescent="0.25">
      <c r="A12884" t="str">
        <f>HYPERLINK("https://www.773grp.com/globalSearch/SN75LVDS88BRDD/page-1", "SN75LVDS88BRDD")</f>
        <v>SN75LVDS88BRDD</v>
      </c>
      <c r="B12884" s="3" t="s">
        <v>90</v>
      </c>
      <c r="C12884" s="5">
        <v>180</v>
      </c>
      <c r="D12884" s="6">
        <v>11.14</v>
      </c>
      <c r="E12884" t="s">
        <v>37</v>
      </c>
    </row>
    <row r="12885" spans="1:5" x14ac:dyDescent="0.25">
      <c r="A12885" t="str">
        <f>HYPERLINK("https://www.773grp.com/globalSearch/SN75LVDS88PFD/page-1", "SN75LVDS88PFD")</f>
        <v>SN75LVDS88PFD</v>
      </c>
      <c r="B12885" s="3" t="s">
        <v>90</v>
      </c>
      <c r="C12885" s="5">
        <v>2406</v>
      </c>
      <c r="D12885" s="6">
        <v>11.14</v>
      </c>
      <c r="E12885" t="s">
        <v>37</v>
      </c>
    </row>
    <row r="12886" spans="1:5" x14ac:dyDescent="0.25">
      <c r="A12886" t="str">
        <f>HYPERLINK("https://www.773grp.com/globalSearch/TUSB2136PM/page-1", "TUSB2136PM")</f>
        <v>TUSB2136PM</v>
      </c>
      <c r="B12886" s="3" t="s">
        <v>90</v>
      </c>
      <c r="C12886" s="5">
        <v>5164</v>
      </c>
      <c r="D12886" s="6">
        <v>11.53</v>
      </c>
      <c r="E12886" t="s">
        <v>37</v>
      </c>
    </row>
    <row r="12887" spans="1:5" x14ac:dyDescent="0.25">
      <c r="A12887" t="str">
        <f>HYPERLINK("https://www.773grp.com/globalSearch/SN75LVDS88BPFD/page-1", "SN75LVDS88BPFD")</f>
        <v>SN75LVDS88BPFD</v>
      </c>
      <c r="B12887" s="3" t="s">
        <v>90</v>
      </c>
      <c r="C12887" s="5">
        <v>32220</v>
      </c>
      <c r="D12887" s="6">
        <v>11.95</v>
      </c>
      <c r="E12887" t="s">
        <v>37</v>
      </c>
    </row>
    <row r="12888" spans="1:5" x14ac:dyDescent="0.25">
      <c r="A12888" t="str">
        <f>HYPERLINK("https://www.773grp.com/globalSearch/SN74LVT18512DGG/page-1", "SN74LVT18512DGG")</f>
        <v>SN74LVT18512DGG</v>
      </c>
      <c r="B12888" s="3" t="s">
        <v>90</v>
      </c>
      <c r="C12888" s="5">
        <v>535</v>
      </c>
      <c r="D12888" s="6">
        <v>12.06</v>
      </c>
      <c r="E12888" t="s">
        <v>37</v>
      </c>
    </row>
    <row r="12889" spans="1:5" x14ac:dyDescent="0.25">
      <c r="A12889" t="str">
        <f>HYPERLINK("https://www.773grp.com/globalSearch/SN74LVT8980ADW/page-1", "SN74LVT8980ADW")</f>
        <v>SN74LVT8980ADW</v>
      </c>
      <c r="B12889" s="3" t="str">
        <f>HYPERLINK("https://www.773grp.com/manufacturer/texas-instruments?pageNo=245", "Texas Instruments")</f>
        <v>Texas Instruments</v>
      </c>
      <c r="C12889" s="5">
        <v>1452</v>
      </c>
      <c r="D12889" s="6">
        <v>12.54</v>
      </c>
      <c r="E12889" t="s">
        <v>37</v>
      </c>
    </row>
    <row r="12890" spans="1:5" x14ac:dyDescent="0.25">
      <c r="A12890" t="str">
        <f>HYPERLINK("https://www.773grp.com/globalSearch/SN74LVT8980ADWR/page-1", "SN74LVT8980ADWR")</f>
        <v>SN74LVT8980ADWR</v>
      </c>
      <c r="B12890" s="3" t="str">
        <f>HYPERLINK("https://www.773grp.com/manufacturer/texas-instruments?pageNo=246", "Texas Instruments")</f>
        <v>Texas Instruments</v>
      </c>
      <c r="C12890" s="5">
        <v>3451</v>
      </c>
      <c r="D12890" s="6">
        <v>12.54</v>
      </c>
      <c r="E12890" t="s">
        <v>37</v>
      </c>
    </row>
    <row r="12891" spans="1:5" x14ac:dyDescent="0.25">
      <c r="A12891" t="str">
        <f>HYPERLINK("https://www.773grp.com/globalSearch/SN74LVT8996DW/page-1", "SN74LVT8996DW")</f>
        <v>SN74LVT8996DW</v>
      </c>
      <c r="B12891" s="3" t="str">
        <f>HYPERLINK("https://www.773grp.com/manufacturer/texas-instruments?pageNo=300", "Texas Instruments")</f>
        <v>Texas Instruments</v>
      </c>
      <c r="C12891" s="5">
        <v>262</v>
      </c>
      <c r="D12891" s="6">
        <v>12.66</v>
      </c>
      <c r="E12891" t="s">
        <v>37</v>
      </c>
    </row>
    <row r="12892" spans="1:5" x14ac:dyDescent="0.25">
      <c r="A12892" t="str">
        <f>HYPERLINK("https://www.773grp.com/globalSearch/SN74LVT8996PW/page-1", "SN74LVT8996PW")</f>
        <v>SN74LVT8996PW</v>
      </c>
      <c r="B12892" s="3" t="str">
        <f>HYPERLINK("https://www.773grp.com/manufacturer/texas-instruments?pageNo=301", "Texas Instruments")</f>
        <v>Texas Instruments</v>
      </c>
      <c r="C12892" s="5">
        <v>89</v>
      </c>
      <c r="D12892" s="6">
        <v>12.66</v>
      </c>
      <c r="E12892" t="s">
        <v>37</v>
      </c>
    </row>
    <row r="12893" spans="1:5" x14ac:dyDescent="0.25">
      <c r="A12893" t="str">
        <f>HYPERLINK("https://www.773grp.com/globalSearch/SN74ABT8996DW/page-1", "SN74ABT8996DW")</f>
        <v>SN74ABT8996DW</v>
      </c>
      <c r="B12893" s="3" t="s">
        <v>90</v>
      </c>
      <c r="C12893" s="5">
        <v>4286</v>
      </c>
      <c r="D12893" s="6">
        <v>14.06</v>
      </c>
      <c r="E12893" t="s">
        <v>37</v>
      </c>
    </row>
    <row r="12894" spans="1:5" x14ac:dyDescent="0.25">
      <c r="A12894" t="str">
        <f>HYPERLINK("https://www.773grp.com/globalSearch/SN74ABT8996DWR/page-1", "SN74ABT8996DWR")</f>
        <v>SN74ABT8996DWR</v>
      </c>
      <c r="B12894" s="3" t="s">
        <v>90</v>
      </c>
      <c r="C12894" s="5">
        <v>4000</v>
      </c>
      <c r="D12894" s="6">
        <v>14.06</v>
      </c>
      <c r="E12894" t="s">
        <v>37</v>
      </c>
    </row>
    <row r="12895" spans="1:5" x14ac:dyDescent="0.25">
      <c r="A12895" t="str">
        <f>HYPERLINK("https://www.773grp.com/globalSearch/SN74ABT8996PW/page-1", "SN74ABT8996PW")</f>
        <v>SN74ABT8996PW</v>
      </c>
      <c r="B12895" s="3" t="s">
        <v>90</v>
      </c>
      <c r="C12895" s="5">
        <v>2152</v>
      </c>
      <c r="D12895" s="6">
        <v>14.06</v>
      </c>
      <c r="E12895" t="s">
        <v>37</v>
      </c>
    </row>
    <row r="12896" spans="1:5" x14ac:dyDescent="0.25">
      <c r="A12896" t="str">
        <f>HYPERLINK("https://www.773grp.com/globalSearch/SN74ABT8996PWR/page-1", "SN74ABT8996PWR")</f>
        <v>SN74ABT8996PWR</v>
      </c>
      <c r="B12896" s="3" t="s">
        <v>90</v>
      </c>
      <c r="C12896" s="5">
        <v>37738</v>
      </c>
      <c r="D12896" s="6">
        <v>14.06</v>
      </c>
      <c r="E12896" t="s">
        <v>37</v>
      </c>
    </row>
    <row r="12897" spans="1:5" x14ac:dyDescent="0.25">
      <c r="A12897" t="str">
        <f>HYPERLINK("https://www.773grp.com/globalSearch/SN74ACT8997DW/page-1", "SN74ACT8997DW")</f>
        <v>SN74ACT8997DW</v>
      </c>
      <c r="B12897" s="3" t="s">
        <v>90</v>
      </c>
      <c r="C12897" s="5">
        <v>1024</v>
      </c>
      <c r="D12897" s="6">
        <v>14.06</v>
      </c>
      <c r="E12897" t="s">
        <v>37</v>
      </c>
    </row>
    <row r="12898" spans="1:5" x14ac:dyDescent="0.25">
      <c r="A12898" t="str">
        <f>HYPERLINK("https://www.773grp.com/globalSearch/SN74ACT8997DWR/page-1", "SN74ACT8997DWR")</f>
        <v>SN74ACT8997DWR</v>
      </c>
      <c r="B12898" s="3" t="s">
        <v>90</v>
      </c>
      <c r="C12898" s="5">
        <v>8000</v>
      </c>
      <c r="D12898" s="6">
        <v>14.06</v>
      </c>
      <c r="E12898" t="s">
        <v>37</v>
      </c>
    </row>
    <row r="12899" spans="1:5" x14ac:dyDescent="0.25">
      <c r="A12899" t="str">
        <f>HYPERLINK("https://www.773grp.com/globalSearch/TVP9900PFP/page-1", "TVP9900PFP")</f>
        <v>TVP9900PFP</v>
      </c>
      <c r="B12899" s="3" t="s">
        <v>90</v>
      </c>
      <c r="C12899" s="5">
        <v>3097</v>
      </c>
      <c r="D12899" s="6">
        <v>16.88</v>
      </c>
      <c r="E12899" t="s">
        <v>37</v>
      </c>
    </row>
    <row r="12900" spans="1:5" x14ac:dyDescent="0.25">
      <c r="A12900" t="str">
        <f>HYPERLINK("https://www.773grp.com/globalSearch/SN74LVT8980AIDWREP/page-1", "SN74LVT8980AIDWREP")</f>
        <v>SN74LVT8980AIDWREP</v>
      </c>
      <c r="B12900" s="3" t="s">
        <v>90</v>
      </c>
      <c r="C12900" s="5">
        <v>1765</v>
      </c>
      <c r="D12900" s="6">
        <v>18.43</v>
      </c>
      <c r="E12900" t="s">
        <v>37</v>
      </c>
    </row>
    <row r="12901" spans="1:5" x14ac:dyDescent="0.25">
      <c r="A12901" t="str">
        <f>HYPERLINK("https://www.773grp.com/globalSearch/SN74ACT8997NT/page-1", "SN74ACT8997NT")</f>
        <v>SN74ACT8997NT</v>
      </c>
      <c r="B12901" s="3" t="s">
        <v>90</v>
      </c>
      <c r="C12901" s="5">
        <v>2484</v>
      </c>
      <c r="D12901" s="6">
        <v>20.09</v>
      </c>
      <c r="E12901" t="s">
        <v>37</v>
      </c>
    </row>
    <row r="12902" spans="1:5" x14ac:dyDescent="0.25">
      <c r="A12902" t="str">
        <f>HYPERLINK("https://www.773grp.com/globalSearch/AM1806BZWT3/page-1", "AM1806BZWT3")</f>
        <v>AM1806BZWT3</v>
      </c>
      <c r="B12902" s="3" t="s">
        <v>90</v>
      </c>
      <c r="C12902" s="5">
        <v>3588</v>
      </c>
      <c r="D12902" s="6">
        <v>20.7</v>
      </c>
      <c r="E12902" t="s">
        <v>37</v>
      </c>
    </row>
    <row r="12903" spans="1:5" x14ac:dyDescent="0.25">
      <c r="A12903" t="str">
        <f>HYPERLINK("https://www.773grp.com/globalSearch/SN74LVT8986PM/page-1", "SN74LVT8986PM")</f>
        <v>SN74LVT8986PM</v>
      </c>
      <c r="B12903" s="3" t="s">
        <v>90</v>
      </c>
      <c r="C12903" s="5">
        <v>986</v>
      </c>
      <c r="D12903" s="6">
        <v>20.96</v>
      </c>
      <c r="E12903" t="s">
        <v>37</v>
      </c>
    </row>
    <row r="12904" spans="1:5" x14ac:dyDescent="0.25">
      <c r="A12904" t="str">
        <f>HYPERLINK("https://www.773grp.com/globalSearch/SN74LVT8986GGV/page-1", "SN74LVT8986GGV")</f>
        <v>SN74LVT8986GGV</v>
      </c>
      <c r="B12904" s="3" t="s">
        <v>90</v>
      </c>
      <c r="C12904" s="5">
        <v>1515</v>
      </c>
      <c r="D12904" s="6">
        <v>21.31</v>
      </c>
      <c r="E12904" t="s">
        <v>37</v>
      </c>
    </row>
    <row r="12905" spans="1:5" x14ac:dyDescent="0.25">
      <c r="A12905" t="str">
        <f>HYPERLINK("https://www.773grp.com/globalSearch/AM1806BZWTD4/page-1", "AM1806BZWTD4")</f>
        <v>AM1806BZWTD4</v>
      </c>
      <c r="B12905" s="3" t="s">
        <v>90</v>
      </c>
      <c r="C12905" s="5">
        <v>13227</v>
      </c>
      <c r="D12905" s="6">
        <v>25.4</v>
      </c>
      <c r="E12905" t="s">
        <v>37</v>
      </c>
    </row>
    <row r="12906" spans="1:5" x14ac:dyDescent="0.25">
      <c r="A12906" t="str">
        <f>HYPERLINK("https://www.773grp.com/globalSearch/TMS320DM335ZCE135/page-1", "TMS320DM335ZCE135")</f>
        <v>TMS320DM335ZCE135</v>
      </c>
      <c r="B12906" s="3" t="s">
        <v>90</v>
      </c>
      <c r="C12906" s="5">
        <v>544</v>
      </c>
      <c r="D12906" s="6">
        <v>25.45</v>
      </c>
      <c r="E12906" t="s">
        <v>37</v>
      </c>
    </row>
    <row r="12907" spans="1:5" x14ac:dyDescent="0.25">
      <c r="A12907" t="str">
        <f>HYPERLINK("https://www.773grp.com/globalSearch/TMS320DM335ZCE270/page-1", "TMS320DM335ZCE270")</f>
        <v>TMS320DM335ZCE270</v>
      </c>
      <c r="B12907" s="3" t="str">
        <f>HYPERLINK("https://www.773grp.com/manufacturer/texas-instruments?pageNo=927", "Texas Instruments")</f>
        <v>Texas Instruments</v>
      </c>
      <c r="C12907" s="5">
        <v>44612</v>
      </c>
      <c r="D12907" s="6">
        <v>33.19</v>
      </c>
      <c r="E12907" t="s">
        <v>37</v>
      </c>
    </row>
    <row r="12908" spans="1:5" x14ac:dyDescent="0.25">
      <c r="A12908" t="str">
        <f>HYPERLINK("https://www.773grp.com/globalSearch/TMS320DM365ZCE21/page-1", "TMS320DM365ZCE21")</f>
        <v>TMS320DM365ZCE21</v>
      </c>
      <c r="B12908" s="3" t="s">
        <v>90</v>
      </c>
      <c r="C12908" s="5">
        <v>1301</v>
      </c>
      <c r="D12908" s="6">
        <v>35.86</v>
      </c>
      <c r="E12908" t="s">
        <v>37</v>
      </c>
    </row>
    <row r="12909" spans="1:5" x14ac:dyDescent="0.25">
      <c r="A12909" t="str">
        <f>HYPERLINK("https://www.773grp.com/globalSearch/SN74LVT8980DW/page-1", "SN74LVT8980DW")</f>
        <v>SN74LVT8980DW</v>
      </c>
      <c r="B12909" s="3" t="s">
        <v>90</v>
      </c>
      <c r="C12909" s="5">
        <v>3298</v>
      </c>
      <c r="D12909" s="6">
        <v>38.18</v>
      </c>
      <c r="E12909" t="s">
        <v>37</v>
      </c>
    </row>
    <row r="12910" spans="1:5" x14ac:dyDescent="0.25">
      <c r="A12910" t="str">
        <f>HYPERLINK("https://www.773grp.com/globalSearch/TMS320DM6433ZDU4/page-1", "TMS320DM6433ZDU4")</f>
        <v>TMS320DM6433ZDU4</v>
      </c>
      <c r="B12910" s="3" t="s">
        <v>90</v>
      </c>
      <c r="C12910" s="5">
        <v>831</v>
      </c>
      <c r="D12910" s="6">
        <v>43.04</v>
      </c>
      <c r="E12910" t="s">
        <v>37</v>
      </c>
    </row>
    <row r="12911" spans="1:5" x14ac:dyDescent="0.25">
      <c r="A12911" t="str">
        <f>HYPERLINK("https://www.773grp.com/globalSearch/TNETX15AEPGE/page-1", "TNETX15AEPGE")</f>
        <v>TNETX15AEPGE</v>
      </c>
      <c r="B12911" s="3" t="s">
        <v>90</v>
      </c>
      <c r="C12911" s="5">
        <v>120</v>
      </c>
      <c r="D12911" s="6">
        <v>44.89</v>
      </c>
      <c r="E12911" t="s">
        <v>37</v>
      </c>
    </row>
    <row r="12912" spans="1:5" x14ac:dyDescent="0.25">
      <c r="A12912" t="str">
        <f>HYPERLINK("https://www.773grp.com/globalSearch/TMS320DM365ZCE27/page-1", "TMS320DM365ZCE27")</f>
        <v>TMS320DM365ZCE27</v>
      </c>
      <c r="B12912" s="3" t="s">
        <v>90</v>
      </c>
      <c r="C12912" s="5">
        <v>13502</v>
      </c>
      <c r="D12912" s="6">
        <v>46.28</v>
      </c>
      <c r="E12912" t="s">
        <v>37</v>
      </c>
    </row>
    <row r="12913" spans="1:5" x14ac:dyDescent="0.25">
      <c r="A12913" t="str">
        <f>HYPERLINK("https://www.773grp.com/globalSearch/TMX320DM355ZCE270/page-1", "TMX320DM355ZCE270")</f>
        <v>TMX320DM355ZCE270</v>
      </c>
      <c r="B12913" s="3" t="s">
        <v>90</v>
      </c>
      <c r="C12913" s="5">
        <v>20</v>
      </c>
      <c r="D12913" s="6">
        <v>47.39</v>
      </c>
      <c r="E12913" t="s">
        <v>37</v>
      </c>
    </row>
    <row r="12914" spans="1:5" x14ac:dyDescent="0.25">
      <c r="A12914" t="str">
        <f>HYPERLINK("https://www.773grp.com/globalSearch/SN74ACT8990FN/page-1", "SN74ACT8990FN")</f>
        <v>SN74ACT8990FN</v>
      </c>
      <c r="B12914" s="3" t="s">
        <v>90</v>
      </c>
      <c r="C12914" s="5">
        <v>80</v>
      </c>
      <c r="D12914" s="6">
        <v>50.63</v>
      </c>
      <c r="E12914" t="s">
        <v>37</v>
      </c>
    </row>
    <row r="12915" spans="1:5" x14ac:dyDescent="0.25">
      <c r="A12915" t="str">
        <f>HYPERLINK("https://www.773grp.com/globalSearch/SN74ACT8990FNR/page-1", "SN74ACT8990FNR")</f>
        <v>SN74ACT8990FNR</v>
      </c>
      <c r="B12915" s="3" t="s">
        <v>90</v>
      </c>
      <c r="C12915" s="5">
        <v>1000</v>
      </c>
      <c r="D12915" s="6">
        <v>50.63</v>
      </c>
      <c r="E12915" t="s">
        <v>37</v>
      </c>
    </row>
    <row r="12916" spans="1:5" x14ac:dyDescent="0.25">
      <c r="A12916" t="str">
        <f>HYPERLINK("https://www.773grp.com/globalSearch/TMS320DM357ZWT/page-1", "TMS320DM357ZWT")</f>
        <v>TMS320DM357ZWT</v>
      </c>
      <c r="B12916" s="3" t="s">
        <v>90</v>
      </c>
      <c r="C12916" s="5">
        <v>3112</v>
      </c>
      <c r="D12916" s="6">
        <v>51.48</v>
      </c>
      <c r="E12916" t="s">
        <v>37</v>
      </c>
    </row>
    <row r="12917" spans="1:5" x14ac:dyDescent="0.25">
      <c r="A12917" t="str">
        <f>HYPERLINK("https://www.773grp.com/globalSearch/TMS320DM355ZCE135/page-1", "TMS320DM355ZCE135")</f>
        <v>TMS320DM355ZCE135</v>
      </c>
      <c r="B12917" s="3" t="s">
        <v>90</v>
      </c>
      <c r="C12917" s="5">
        <v>10387</v>
      </c>
      <c r="D12917" s="6">
        <v>51.75</v>
      </c>
      <c r="E12917" t="s">
        <v>37</v>
      </c>
    </row>
    <row r="12918" spans="1:5" x14ac:dyDescent="0.25">
      <c r="A12918" t="str">
        <f>HYPERLINK("https://www.773grp.com/globalSearch/TMS320DM355DZCE135/page-1", "TMS320DM355DZCE135")</f>
        <v>TMS320DM355DZCE135</v>
      </c>
      <c r="B12918" s="3" t="s">
        <v>90</v>
      </c>
      <c r="C12918" s="5">
        <v>6630</v>
      </c>
      <c r="D12918" s="6">
        <v>52.79</v>
      </c>
      <c r="E12918" t="s">
        <v>37</v>
      </c>
    </row>
    <row r="12919" spans="1:5" x14ac:dyDescent="0.25">
      <c r="A12919" t="str">
        <f>HYPERLINK("https://www.773grp.com/globalSearch/TMS320DM355DZCE270/page-1", "TMS320DM355DZCE270")</f>
        <v>TMS320DM355DZCE270</v>
      </c>
      <c r="B12919" s="3" t="s">
        <v>90</v>
      </c>
      <c r="C12919" s="5">
        <v>2167</v>
      </c>
      <c r="D12919" s="6">
        <v>53.13</v>
      </c>
      <c r="E12919" t="s">
        <v>37</v>
      </c>
    </row>
    <row r="12920" spans="1:5" x14ac:dyDescent="0.25">
      <c r="A12920" t="str">
        <f>HYPERLINK("https://www.773grp.com/globalSearch/TMS320DM365ZCEF/page-1", "TMS320DM365ZCEF")</f>
        <v>TMS320DM365ZCEF</v>
      </c>
      <c r="B12920" s="3" t="s">
        <v>90</v>
      </c>
      <c r="C12920" s="5">
        <v>234</v>
      </c>
      <c r="D12920" s="6">
        <v>55.26</v>
      </c>
      <c r="E12920" t="s">
        <v>37</v>
      </c>
    </row>
    <row r="12921" spans="1:5" x14ac:dyDescent="0.25">
      <c r="A12921" t="str">
        <f>HYPERLINK("https://www.773grp.com/globalSearch/TMS320DM355CZCE216/page-1", "TMS320DM355CZCE216")</f>
        <v>TMS320DM355CZCE216</v>
      </c>
      <c r="B12921" s="3" t="s">
        <v>90</v>
      </c>
      <c r="C12921" s="5">
        <v>800</v>
      </c>
      <c r="D12921" s="6">
        <v>55.98</v>
      </c>
      <c r="E12921" t="s">
        <v>37</v>
      </c>
    </row>
    <row r="12922" spans="1:5" x14ac:dyDescent="0.25">
      <c r="A12922" t="str">
        <f>HYPERLINK("https://www.773grp.com/globalSearch/TMS320DM355ZCE216/page-1", "TMS320DM355ZCE216")</f>
        <v>TMS320DM355ZCE216</v>
      </c>
      <c r="B12922" s="3" t="s">
        <v>90</v>
      </c>
      <c r="C12922" s="5">
        <v>1567</v>
      </c>
      <c r="D12922" s="6">
        <v>55.98</v>
      </c>
      <c r="E12922" t="s">
        <v>37</v>
      </c>
    </row>
    <row r="12923" spans="1:5" x14ac:dyDescent="0.25">
      <c r="A12923" t="str">
        <f>HYPERLINK("https://www.773grp.com/globalSearch/TMS320DM355ZCEA135/page-1", "TMS320DM355ZCEA135")</f>
        <v>TMS320DM355ZCEA135</v>
      </c>
      <c r="B12923" s="3" t="s">
        <v>90</v>
      </c>
      <c r="C12923" s="5">
        <v>633</v>
      </c>
      <c r="D12923" s="6">
        <v>58.23</v>
      </c>
      <c r="E12923" t="s">
        <v>37</v>
      </c>
    </row>
    <row r="12924" spans="1:5" x14ac:dyDescent="0.25">
      <c r="A12924" t="str">
        <f>HYPERLINK("https://www.773grp.com/globalSearch/TMS320DM355ZCEA216/page-1", "TMS320DM355ZCEA216")</f>
        <v>TMS320DM355ZCEA216</v>
      </c>
      <c r="B12924" s="3" t="s">
        <v>90</v>
      </c>
      <c r="C12924" s="5">
        <v>4160</v>
      </c>
      <c r="D12924" s="6">
        <v>62.44</v>
      </c>
      <c r="E12924" t="s">
        <v>37</v>
      </c>
    </row>
    <row r="12925" spans="1:5" x14ac:dyDescent="0.25">
      <c r="A12925" t="str">
        <f>HYPERLINK("https://www.773grp.com/globalSearch/TMS320DM335ZCE216/page-1", "TMS320DM335ZCE216")</f>
        <v>TMS320DM335ZCE216</v>
      </c>
      <c r="B12925" s="3" t="s">
        <v>90</v>
      </c>
      <c r="C12925" s="5">
        <v>4730</v>
      </c>
      <c r="D12925" s="6">
        <v>67.64</v>
      </c>
      <c r="E12925" t="s">
        <v>37</v>
      </c>
    </row>
    <row r="12926" spans="1:5" x14ac:dyDescent="0.25">
      <c r="A12926" t="str">
        <f>HYPERLINK("https://www.773grp.com/globalSearch/TNETX15VEPGE/page-1", "TNETX15VEPGE")</f>
        <v>TNETX15VEPGE</v>
      </c>
      <c r="B12926" s="3" t="s">
        <v>90</v>
      </c>
      <c r="C12926" s="5">
        <v>560</v>
      </c>
      <c r="D12926" s="6">
        <v>68.69</v>
      </c>
      <c r="E12926" t="s">
        <v>37</v>
      </c>
    </row>
    <row r="12927" spans="1:5" x14ac:dyDescent="0.25">
      <c r="A12927" t="str">
        <f>HYPERLINK("https://www.773grp.com/globalSearch/TMS320DM355ZCE270/page-1", "TMS320DM355ZCE270")</f>
        <v>TMS320DM355ZCE270</v>
      </c>
      <c r="B12927" s="3" t="s">
        <v>90</v>
      </c>
      <c r="C12927" s="5">
        <v>304</v>
      </c>
      <c r="D12927" s="6">
        <v>71.59</v>
      </c>
      <c r="E12927" t="s">
        <v>37</v>
      </c>
    </row>
    <row r="12928" spans="1:5" x14ac:dyDescent="0.25">
      <c r="A12928" t="str">
        <f>HYPERLINK("https://www.773grp.com/globalSearch/TMS320DM6441ZWT/page-1", "TMS320DM6441ZWT")</f>
        <v>TMS320DM6441ZWT</v>
      </c>
      <c r="B12928" s="3" t="s">
        <v>90</v>
      </c>
      <c r="C12928" s="5">
        <v>16223</v>
      </c>
      <c r="D12928" s="6">
        <v>79.31</v>
      </c>
      <c r="E12928" t="s">
        <v>37</v>
      </c>
    </row>
    <row r="12929" spans="1:5" x14ac:dyDescent="0.25">
      <c r="A12929" t="str">
        <f>HYPERLINK("https://www.773grp.com/globalSearch/SN74ACT8994FN/page-1", "SN74ACT8994FN")</f>
        <v>SN74ACT8994FN</v>
      </c>
      <c r="B12929" s="3" t="s">
        <v>90</v>
      </c>
      <c r="C12929" s="5">
        <v>10285</v>
      </c>
      <c r="D12929" s="6">
        <v>80.36</v>
      </c>
      <c r="E12929" t="s">
        <v>37</v>
      </c>
    </row>
    <row r="12930" spans="1:5" x14ac:dyDescent="0.25">
      <c r="A12930" t="str">
        <f>HYPERLINK("https://www.773grp.com/globalSearch/TMS320DM368ZCE/page-1", "TMS320DM368ZCE")</f>
        <v>TMS320DM368ZCE</v>
      </c>
      <c r="B12930" s="3" t="s">
        <v>90</v>
      </c>
      <c r="C12930" s="5">
        <v>616</v>
      </c>
      <c r="D12930" s="6">
        <v>81.56</v>
      </c>
      <c r="E12930" t="s">
        <v>37</v>
      </c>
    </row>
    <row r="12931" spans="1:5" x14ac:dyDescent="0.25">
      <c r="A12931" t="str">
        <f>HYPERLINK("https://www.773grp.com/globalSearch/TMX320DM365BZCE/page-1", "TMX320DM365BZCE")</f>
        <v>TMX320DM365BZCE</v>
      </c>
      <c r="B12931" s="3" t="s">
        <v>90</v>
      </c>
      <c r="C12931" s="5">
        <v>1444</v>
      </c>
      <c r="D12931" s="6">
        <v>83.54</v>
      </c>
      <c r="E12931" t="s">
        <v>37</v>
      </c>
    </row>
    <row r="12932" spans="1:5" x14ac:dyDescent="0.25">
      <c r="A12932" t="str">
        <f>HYPERLINK("https://www.773grp.com/globalSearch/TMS320DM6441AZWT/page-1", "TMS320DM6441AZWT")</f>
        <v>TMS320DM6441AZWT</v>
      </c>
      <c r="B12932" s="3" t="s">
        <v>90</v>
      </c>
      <c r="C12932" s="5">
        <v>19</v>
      </c>
      <c r="D12932" s="6">
        <v>85.35</v>
      </c>
      <c r="E12932" t="s">
        <v>37</v>
      </c>
    </row>
    <row r="12933" spans="1:5" x14ac:dyDescent="0.25">
      <c r="A12933" t="str">
        <f>HYPERLINK("https://www.773grp.com/globalSearch/TMS320DM6443AZWT/page-1", "TMS320DM6443AZWT")</f>
        <v>TMS320DM6443AZWT</v>
      </c>
      <c r="B12933" s="3" t="s">
        <v>90</v>
      </c>
      <c r="C12933" s="5">
        <v>87</v>
      </c>
      <c r="D12933" s="6">
        <v>85.93</v>
      </c>
      <c r="E12933" t="s">
        <v>37</v>
      </c>
    </row>
    <row r="12934" spans="1:5" x14ac:dyDescent="0.25">
      <c r="A12934" t="str">
        <f>HYPERLINK("https://www.773grp.com/globalSearch/TMS320DM6446AZWT/page-1", "TMS320DM6446AZWT")</f>
        <v>TMS320DM6446AZWT</v>
      </c>
      <c r="B12934" s="3" t="s">
        <v>90</v>
      </c>
      <c r="C12934" s="5">
        <v>874</v>
      </c>
      <c r="D12934" s="6">
        <v>100.28</v>
      </c>
      <c r="E12934" t="s">
        <v>37</v>
      </c>
    </row>
    <row r="12935" spans="1:5" x14ac:dyDescent="0.25">
      <c r="A12935" t="str">
        <f>HYPERLINK("https://www.773grp.com/globalSearch/TMS320DM6446AZWTA/page-1", "TMS320DM6446AZWTA")</f>
        <v>TMS320DM6446AZWTA</v>
      </c>
      <c r="B12935" s="3" t="s">
        <v>90</v>
      </c>
      <c r="C12935" s="5">
        <v>346</v>
      </c>
      <c r="D12935" s="6">
        <v>100.28</v>
      </c>
      <c r="E12935" t="s">
        <v>37</v>
      </c>
    </row>
    <row r="12936" spans="1:5" x14ac:dyDescent="0.25">
      <c r="A12936" t="str">
        <f>HYPERLINK("https://www.773grp.com/globalSearch/TMS320DM6446BZWT/page-1", "TMS320DM6446BZWT")</f>
        <v>TMS320DM6446BZWT</v>
      </c>
      <c r="B12936" s="3" t="s">
        <v>90</v>
      </c>
      <c r="C12936" s="5">
        <v>26779</v>
      </c>
      <c r="D12936" s="6">
        <v>100.28</v>
      </c>
      <c r="E12936" t="s">
        <v>37</v>
      </c>
    </row>
    <row r="12937" spans="1:5" x14ac:dyDescent="0.25">
      <c r="A12937" t="str">
        <f>HYPERLINK("https://www.773grp.com/globalSearch/TMS320DM6446ZWT/page-1", "TMS320DM6446ZWT")</f>
        <v>TMS320DM6446ZWT</v>
      </c>
      <c r="B12937" s="3" t="s">
        <v>90</v>
      </c>
      <c r="C12937" s="5">
        <v>13263</v>
      </c>
      <c r="D12937" s="6">
        <v>105.48</v>
      </c>
      <c r="E12937" t="s">
        <v>37</v>
      </c>
    </row>
    <row r="12938" spans="1:5" x14ac:dyDescent="0.25">
      <c r="A12938" t="str">
        <f>HYPERLINK("https://www.773grp.com/globalSearch/TMX320DM6446ZWT/page-1", "TMX320DM6446ZWT")</f>
        <v>TMX320DM6446ZWT</v>
      </c>
      <c r="B12938" s="3" t="s">
        <v>90</v>
      </c>
      <c r="C12938" s="5">
        <v>12</v>
      </c>
      <c r="D12938" s="6">
        <v>105.48</v>
      </c>
      <c r="E12938" t="s">
        <v>37</v>
      </c>
    </row>
    <row r="12939" spans="1:5" x14ac:dyDescent="0.25">
      <c r="A12939" t="str">
        <f>HYPERLINK("https://www.773grp.com/globalSearch/TMX320DM6443AZWT/page-1", "TMX320DM6443AZWT")</f>
        <v>TMX320DM6443AZWT</v>
      </c>
      <c r="B12939" s="3" t="s">
        <v>90</v>
      </c>
      <c r="C12939" s="5">
        <v>86</v>
      </c>
      <c r="D12939" s="6">
        <v>114.46</v>
      </c>
      <c r="E12939" t="s">
        <v>37</v>
      </c>
    </row>
    <row r="12940" spans="1:5" x14ac:dyDescent="0.25">
      <c r="A12940" t="str">
        <f>HYPERLINK("https://www.773grp.com/globalSearch/SM320DM6446AZWTA/page-1", "SM320DM6446AZWTA")</f>
        <v>SM320DM6446AZWTA</v>
      </c>
      <c r="B12940" s="3" t="s">
        <v>90</v>
      </c>
      <c r="C12940" s="5">
        <v>520</v>
      </c>
      <c r="D12940" s="6">
        <v>123.75</v>
      </c>
      <c r="E12940" t="s">
        <v>37</v>
      </c>
    </row>
    <row r="12941" spans="1:5" x14ac:dyDescent="0.25">
      <c r="A12941" t="str">
        <f>HYPERLINK("https://www.773grp.com/globalSearch/5962-9323901Q3A/page-1", "5962-9323901Q3A")</f>
        <v>5962-9323901Q3A</v>
      </c>
      <c r="B12941" s="3" t="str">
        <f>HYPERLINK("https://www.773grp.com/manufacturer/texas-instruments?pageNo=334", "Texas Instruments")</f>
        <v>Texas Instruments</v>
      </c>
      <c r="C12941" s="5">
        <v>194</v>
      </c>
      <c r="D12941" s="6">
        <v>178.34</v>
      </c>
      <c r="E12941" t="s">
        <v>37</v>
      </c>
    </row>
    <row r="12942" spans="1:5" x14ac:dyDescent="0.25">
      <c r="A12942" t="str">
        <f>HYPERLINK("https://www.773grp.com/globalSearch/TMS320DM6467CZUT/page-1", "TMS320DM6467CZUT")</f>
        <v>TMS320DM6467CZUT</v>
      </c>
      <c r="B12942" s="3" t="str">
        <f>HYPERLINK("https://www.773grp.com/manufacturer/texas-instruments?pageNo=371", "Texas Instruments")</f>
        <v>Texas Instruments</v>
      </c>
      <c r="C12942" s="5">
        <v>35</v>
      </c>
      <c r="D12942" s="6">
        <v>188.03</v>
      </c>
      <c r="E12942" t="s">
        <v>37</v>
      </c>
    </row>
    <row r="12943" spans="1:5" x14ac:dyDescent="0.25">
      <c r="A12943" t="str">
        <f>HYPERLINK("https://www.773grp.com/globalSearch/TMS320DM6467CZUTA/page-1", "TMS320DM6467CZUTA")</f>
        <v>TMS320DM6467CZUTA</v>
      </c>
      <c r="B12943" s="3" t="str">
        <f>HYPERLINK("https://www.773grp.com/manufacturer/texas-instruments?pageNo=566", "Texas Instruments")</f>
        <v>Texas Instruments</v>
      </c>
      <c r="C12943" s="5">
        <v>1392</v>
      </c>
      <c r="D12943" s="6">
        <v>225.56</v>
      </c>
      <c r="E12943" t="s">
        <v>37</v>
      </c>
    </row>
    <row r="12944" spans="1:5" x14ac:dyDescent="0.25">
      <c r="A12944" t="str">
        <f>HYPERLINK("https://www.773grp.com/globalSearch/TMS320DM6467CZUTAV/page-1", "TMS320DM6467CZUTAV")</f>
        <v>TMS320DM6467CZUTAV</v>
      </c>
      <c r="B12944" s="3" t="str">
        <f>HYPERLINK("https://www.773grp.com/manufacturer/texas-instruments?pageNo=567", "Texas Instruments")</f>
        <v>Texas Instruments</v>
      </c>
      <c r="C12944" s="5">
        <v>883</v>
      </c>
      <c r="D12944" s="6">
        <v>225.56</v>
      </c>
      <c r="E12944" t="s">
        <v>37</v>
      </c>
    </row>
    <row r="12945" spans="1:5" x14ac:dyDescent="0.25">
      <c r="A12945" t="str">
        <f>HYPERLINK("https://www.773grp.com/globalSearch/TMS320DM6467CZUT7/page-1", "TMS320DM6467CZUT7")</f>
        <v>TMS320DM6467CZUT7</v>
      </c>
      <c r="B12945" s="3" t="str">
        <f>HYPERLINK("https://www.773grp.com/manufacturer/texas-instruments?pageNo=603", "Texas Instruments")</f>
        <v>Texas Instruments</v>
      </c>
      <c r="C12945" s="5">
        <v>796</v>
      </c>
      <c r="D12945" s="6">
        <v>234.99</v>
      </c>
      <c r="E12945" t="s">
        <v>37</v>
      </c>
    </row>
    <row r="12946" spans="1:5" x14ac:dyDescent="0.25">
      <c r="A12946" t="str">
        <f>HYPERLINK("https://www.773grp.com/globalSearch/TMS320DM6467CZUTD7/page-1", "TMS320DM6467CZUTD7")</f>
        <v>TMS320DM6467CZUTD7</v>
      </c>
      <c r="B12946" s="3" t="str">
        <f>HYPERLINK("https://www.773grp.com/manufacturer/texas-instruments?pageNo=733", "Texas Instruments")</f>
        <v>Texas Instruments</v>
      </c>
      <c r="C12946" s="5">
        <v>455</v>
      </c>
      <c r="D12946" s="6">
        <v>263.11</v>
      </c>
      <c r="E12946" t="s">
        <v>37</v>
      </c>
    </row>
    <row r="12947" spans="1:5" x14ac:dyDescent="0.25">
      <c r="A12947" t="str">
        <f>HYPERLINK("https://www.773grp.com/globalSearch/TMS320DM6467TZUT1/page-1", "TMS320DM6467TZUT1")</f>
        <v>TMS320DM6467TZUT1</v>
      </c>
      <c r="B12947" s="3" t="str">
        <f>HYPERLINK("https://www.773grp.com/manufacturer/texas-instruments?pageNo=742", "Texas Instruments")</f>
        <v>Texas Instruments</v>
      </c>
      <c r="C12947" s="5">
        <v>5</v>
      </c>
      <c r="D12947" s="6">
        <v>228.45</v>
      </c>
      <c r="E12947" t="s">
        <v>37</v>
      </c>
    </row>
    <row r="12948" spans="1:5" x14ac:dyDescent="0.25">
      <c r="A12948" t="str">
        <f>HYPERLINK("https://www.773grp.com/globalSearch/TNETEL1200PPB/page-1", "TNETEL1200PPB")</f>
        <v>TNETEL1200PPB</v>
      </c>
      <c r="B12948" s="3" t="s">
        <v>90</v>
      </c>
      <c r="C12948" s="5">
        <v>39091</v>
      </c>
      <c r="D12948" s="6">
        <v>84.38</v>
      </c>
      <c r="E12948" t="s">
        <v>86</v>
      </c>
    </row>
    <row r="12949" spans="1:5" x14ac:dyDescent="0.25">
      <c r="A12949" t="str">
        <f>HYPERLINK("https://www.773grp.com/globalSearch/MT8840AE/page-1", "MT8840AE")</f>
        <v>MT8840AE</v>
      </c>
      <c r="B12949" s="3" t="s">
        <v>116</v>
      </c>
      <c r="C12949" s="5">
        <v>682</v>
      </c>
      <c r="D12949" s="6">
        <v>4.28</v>
      </c>
      <c r="E12949" t="s">
        <v>86</v>
      </c>
    </row>
    <row r="12950" spans="1:5" x14ac:dyDescent="0.25">
      <c r="A12950" t="str">
        <f>HYPERLINK("https://www.773grp.com/globalSearch/MH88434-P/page-1", "MH88434-P")</f>
        <v>MH88434-P</v>
      </c>
      <c r="B12950" s="3" t="s">
        <v>116</v>
      </c>
      <c r="C12950" s="5">
        <v>586</v>
      </c>
      <c r="D12950" s="6">
        <v>33.86</v>
      </c>
      <c r="E12950" t="s">
        <v>86</v>
      </c>
    </row>
    <row r="12951" spans="1:5" x14ac:dyDescent="0.25">
      <c r="A12951" t="str">
        <f>HYPERLINK("https://www.773grp.com/globalSearch/TPS2815PWR/page-1", "TPS2815PWR")</f>
        <v>TPS2815PWR</v>
      </c>
      <c r="B12951" s="3" t="str">
        <f>HYPERLINK("https://www.773grp.com/manufacturer/texas-instruments?pageNo=147", "Texas Instruments")</f>
        <v>Texas Instruments</v>
      </c>
      <c r="C12951" s="5">
        <v>7300</v>
      </c>
      <c r="D12951" s="6">
        <v>3.95</v>
      </c>
      <c r="E12951" t="s">
        <v>13</v>
      </c>
    </row>
    <row r="12952" spans="1:5" x14ac:dyDescent="0.25">
      <c r="A12952" t="str">
        <f>HYPERLINK("https://www.773grp.com/globalSearch/TPS2817DBVR/page-1", "TPS2817DBVR")</f>
        <v>TPS2817DBVR</v>
      </c>
      <c r="B12952" s="3" t="str">
        <f>HYPERLINK("https://www.773grp.com/manufacturer/texas-instruments?pageNo=148", "Texas Instruments")</f>
        <v>Texas Instruments</v>
      </c>
      <c r="C12952" s="5">
        <v>16077</v>
      </c>
      <c r="D12952" s="6">
        <v>3.95</v>
      </c>
      <c r="E12952" t="s">
        <v>13</v>
      </c>
    </row>
    <row r="12953" spans="1:5" x14ac:dyDescent="0.25">
      <c r="A12953" t="str">
        <f>HYPERLINK("https://www.773grp.com/globalSearch/TPS2818DBVR/page-1", "TPS2818DBVR")</f>
        <v>TPS2818DBVR</v>
      </c>
      <c r="B12953" s="3" t="str">
        <f>HYPERLINK("https://www.773grp.com/manufacturer/texas-instruments?pageNo=149", "Texas Instruments")</f>
        <v>Texas Instruments</v>
      </c>
      <c r="C12953" s="5">
        <v>17975</v>
      </c>
      <c r="D12953" s="6">
        <v>3.95</v>
      </c>
      <c r="E12953" t="s">
        <v>13</v>
      </c>
    </row>
    <row r="12954" spans="1:5" x14ac:dyDescent="0.25">
      <c r="A12954" t="str">
        <f>HYPERLINK("https://www.773grp.com/globalSearch/TPS2819DBVR/page-1", "TPS2819DBVR")</f>
        <v>TPS2819DBVR</v>
      </c>
      <c r="B12954" s="3" t="str">
        <f>HYPERLINK("https://www.773grp.com/manufacturer/texas-instruments?pageNo=150", "Texas Instruments")</f>
        <v>Texas Instruments</v>
      </c>
      <c r="C12954" s="5">
        <v>58257</v>
      </c>
      <c r="D12954" s="6">
        <v>3.95</v>
      </c>
      <c r="E12954" t="s">
        <v>13</v>
      </c>
    </row>
    <row r="12955" spans="1:5" x14ac:dyDescent="0.25">
      <c r="A12955" t="str">
        <f>HYPERLINK("https://www.773grp.com/globalSearch/UCC27323DGNR/page-1", "UCC27323DGNR")</f>
        <v>UCC27323DGNR</v>
      </c>
      <c r="B12955" s="3" t="str">
        <f>HYPERLINK("https://www.773grp.com/manufacturer/texas-instruments?pageNo=219", "Texas Instruments")</f>
        <v>Texas Instruments</v>
      </c>
      <c r="C12955" s="5">
        <v>8110</v>
      </c>
      <c r="D12955" s="6">
        <v>3.95</v>
      </c>
      <c r="E12955" t="s">
        <v>13</v>
      </c>
    </row>
    <row r="12956" spans="1:5" x14ac:dyDescent="0.25">
      <c r="A12956" t="str">
        <f>HYPERLINK("https://www.773grp.com/globalSearch/UCC27324DR/page-1", "UCC27324DR")</f>
        <v>UCC27324DR</v>
      </c>
      <c r="B12956" s="3" t="str">
        <f>HYPERLINK("https://www.773grp.com/manufacturer/texas-instruments?pageNo=220", "Texas Instruments")</f>
        <v>Texas Instruments</v>
      </c>
      <c r="C12956" s="5">
        <v>14203</v>
      </c>
      <c r="D12956" s="6">
        <v>3.95</v>
      </c>
      <c r="E12956" t="s">
        <v>13</v>
      </c>
    </row>
    <row r="12957" spans="1:5" x14ac:dyDescent="0.25">
      <c r="A12957" t="str">
        <f>HYPERLINK("https://www.773grp.com/globalSearch/UCC27325DR/page-1", "UCC27325DR")</f>
        <v>UCC27325DR</v>
      </c>
      <c r="B12957" s="3" t="str">
        <f>HYPERLINK("https://www.773grp.com/manufacturer/texas-instruments?pageNo=222", "Texas Instruments")</f>
        <v>Texas Instruments</v>
      </c>
      <c r="C12957" s="5">
        <v>2500</v>
      </c>
      <c r="D12957" s="6">
        <v>3.95</v>
      </c>
      <c r="E12957" t="s">
        <v>13</v>
      </c>
    </row>
    <row r="12958" spans="1:5" x14ac:dyDescent="0.25">
      <c r="A12958" t="str">
        <f>HYPERLINK("https://www.773grp.com/globalSearch/UCC27423DGNR/page-1", "UCC27423DGNR")</f>
        <v>UCC27423DGNR</v>
      </c>
      <c r="B12958" s="3" t="str">
        <f>HYPERLINK("https://www.773grp.com/manufacturer/texas-instruments?pageNo=223", "Texas Instruments")</f>
        <v>Texas Instruments</v>
      </c>
      <c r="C12958" s="5">
        <v>2000</v>
      </c>
      <c r="D12958" s="6">
        <v>3.95</v>
      </c>
      <c r="E12958" t="s">
        <v>13</v>
      </c>
    </row>
    <row r="12959" spans="1:5" x14ac:dyDescent="0.25">
      <c r="A12959" t="str">
        <f>HYPERLINK("https://www.773grp.com/globalSearch/UCC27423DR/page-1", "UCC27423DR")</f>
        <v>UCC27423DR</v>
      </c>
      <c r="B12959" s="3" t="str">
        <f>HYPERLINK("https://www.773grp.com/manufacturer/texas-instruments?pageNo=224", "Texas Instruments")</f>
        <v>Texas Instruments</v>
      </c>
      <c r="C12959" s="5">
        <v>14450</v>
      </c>
      <c r="D12959" s="6">
        <v>3.95</v>
      </c>
      <c r="E12959" t="s">
        <v>13</v>
      </c>
    </row>
    <row r="12960" spans="1:5" x14ac:dyDescent="0.25">
      <c r="A12960" t="str">
        <f>HYPERLINK("https://www.773grp.com/globalSearch/UCC27425DGNR/page-1", "UCC27425DGNR")</f>
        <v>UCC27425DGNR</v>
      </c>
      <c r="B12960" s="3" t="str">
        <f>HYPERLINK("https://www.773grp.com/manufacturer/texas-instruments?pageNo=226", "Texas Instruments")</f>
        <v>Texas Instruments</v>
      </c>
      <c r="C12960" s="5">
        <v>9700</v>
      </c>
      <c r="D12960" s="6">
        <v>3.95</v>
      </c>
      <c r="E12960" t="s">
        <v>13</v>
      </c>
    </row>
    <row r="12961" spans="1:5" x14ac:dyDescent="0.25">
      <c r="A12961" t="str">
        <f>HYPERLINK("https://www.773grp.com/globalSearch/UCC27425DR/page-1", "UCC27425DR")</f>
        <v>UCC27425DR</v>
      </c>
      <c r="B12961" s="3" t="str">
        <f>HYPERLINK("https://www.773grp.com/manufacturer/texas-instruments?pageNo=227", "Texas Instruments")</f>
        <v>Texas Instruments</v>
      </c>
      <c r="C12961" s="5">
        <v>5000</v>
      </c>
      <c r="D12961" s="6">
        <v>3.95</v>
      </c>
      <c r="E12961" t="s">
        <v>13</v>
      </c>
    </row>
    <row r="12962" spans="1:5" x14ac:dyDescent="0.25">
      <c r="A12962" t="str">
        <f>HYPERLINK("https://www.773grp.com/globalSearch/UCC37323DGNR/page-1", "UCC37323DGNR")</f>
        <v>UCC37323DGNR</v>
      </c>
      <c r="B12962" s="3" t="str">
        <f>HYPERLINK("https://www.773grp.com/manufacturer/texas-instruments?pageNo=235", "Texas Instruments")</f>
        <v>Texas Instruments</v>
      </c>
      <c r="C12962" s="5">
        <v>82100</v>
      </c>
      <c r="D12962" s="6">
        <v>3.95</v>
      </c>
      <c r="E12962" t="s">
        <v>13</v>
      </c>
    </row>
    <row r="12963" spans="1:5" x14ac:dyDescent="0.25">
      <c r="A12963" t="str">
        <f>HYPERLINK("https://www.773grp.com/globalSearch/UCC37323DR/page-1", "UCC37323DR")</f>
        <v>UCC37323DR</v>
      </c>
      <c r="B12963" s="3" t="str">
        <f>HYPERLINK("https://www.773grp.com/manufacturer/texas-instruments?pageNo=236", "Texas Instruments")</f>
        <v>Texas Instruments</v>
      </c>
      <c r="C12963" s="5">
        <v>4200</v>
      </c>
      <c r="D12963" s="6">
        <v>3.95</v>
      </c>
      <c r="E12963" t="s">
        <v>13</v>
      </c>
    </row>
    <row r="12964" spans="1:5" x14ac:dyDescent="0.25">
      <c r="A12964" t="str">
        <f>HYPERLINK("https://www.773grp.com/globalSearch/UCC37325DR/page-1", "UCC37325DR")</f>
        <v>UCC37325DR</v>
      </c>
      <c r="B12964" s="3" t="str">
        <f>HYPERLINK("https://www.773grp.com/manufacturer/texas-instruments?pageNo=238", "Texas Instruments")</f>
        <v>Texas Instruments</v>
      </c>
      <c r="C12964" s="5">
        <v>5000</v>
      </c>
      <c r="D12964" s="6">
        <v>3.95</v>
      </c>
      <c r="E12964" t="s">
        <v>13</v>
      </c>
    </row>
    <row r="12965" spans="1:5" x14ac:dyDescent="0.25">
      <c r="A12965" t="str">
        <f>HYPERLINK("https://www.773grp.com/globalSearch/UC3714N/page-1", "UC3714N")</f>
        <v>UC3714N</v>
      </c>
      <c r="B12965" s="3" t="str">
        <f>HYPERLINK("https://www.773grp.com/manufacturer/texas-instruments?pageNo=256", "Texas Instruments")</f>
        <v>Texas Instruments</v>
      </c>
      <c r="C12965" s="5">
        <v>1827</v>
      </c>
      <c r="D12965" s="6">
        <v>3.6</v>
      </c>
      <c r="E12965" t="s">
        <v>13</v>
      </c>
    </row>
    <row r="12966" spans="1:5" x14ac:dyDescent="0.25">
      <c r="A12966" t="str">
        <f>HYPERLINK("https://www.773grp.com/globalSearch/SN75372P/page-1", "SN75372P")</f>
        <v>SN75372P</v>
      </c>
      <c r="B12966" s="3" t="str">
        <f>HYPERLINK("https://www.773grp.com/manufacturer/texas-instruments?pageNo=395", "Texas Instruments")</f>
        <v>Texas Instruments</v>
      </c>
      <c r="C12966" s="5">
        <v>675</v>
      </c>
      <c r="D12966" s="6">
        <v>3.63</v>
      </c>
      <c r="E12966" t="s">
        <v>13</v>
      </c>
    </row>
    <row r="12967" spans="1:5" x14ac:dyDescent="0.25">
      <c r="A12967" t="str">
        <f>HYPERLINK("https://www.773grp.com/globalSearch/UC2715N/page-1", "UC2715N")</f>
        <v>UC2715N</v>
      </c>
      <c r="B12967" s="3" t="str">
        <f>HYPERLINK("https://www.773grp.com/manufacturer/texas-instruments?pageNo=432", "Texas Instruments")</f>
        <v>Texas Instruments</v>
      </c>
      <c r="C12967" s="5">
        <v>8006</v>
      </c>
      <c r="D12967" s="6">
        <v>3.63</v>
      </c>
      <c r="E12967" t="s">
        <v>13</v>
      </c>
    </row>
    <row r="12968" spans="1:5" x14ac:dyDescent="0.25">
      <c r="A12968" t="str">
        <f>HYPERLINK("https://www.773grp.com/globalSearch/TPS2830D/page-1", "TPS2830D")</f>
        <v>TPS2830D</v>
      </c>
      <c r="B12968" s="3" t="str">
        <f>HYPERLINK("https://www.773grp.com/manufacturer/texas-instruments?pageNo=621", "Texas Instruments")</f>
        <v>Texas Instruments</v>
      </c>
      <c r="C12968" s="5">
        <v>9484</v>
      </c>
      <c r="D12968" s="6">
        <v>3.66</v>
      </c>
      <c r="E12968" t="s">
        <v>13</v>
      </c>
    </row>
    <row r="12969" spans="1:5" x14ac:dyDescent="0.25">
      <c r="A12969" t="str">
        <f>HYPERLINK("https://www.773grp.com/globalSearch/TPS2830PWP/page-1", "TPS2830PWP")</f>
        <v>TPS2830PWP</v>
      </c>
      <c r="B12969" s="3" t="str">
        <f>HYPERLINK("https://www.773grp.com/manufacturer/texas-instruments?pageNo=622", "Texas Instruments")</f>
        <v>Texas Instruments</v>
      </c>
      <c r="C12969" s="5">
        <v>18129</v>
      </c>
      <c r="D12969" s="6">
        <v>3.66</v>
      </c>
      <c r="E12969" t="s">
        <v>13</v>
      </c>
    </row>
    <row r="12970" spans="1:5" x14ac:dyDescent="0.25">
      <c r="A12970" t="str">
        <f>HYPERLINK("https://www.773grp.com/globalSearch/TPS2831D/page-1", "TPS2831D")</f>
        <v>TPS2831D</v>
      </c>
      <c r="B12970" s="3" t="str">
        <f>HYPERLINK("https://www.773grp.com/manufacturer/texas-instruments?pageNo=623", "Texas Instruments")</f>
        <v>Texas Instruments</v>
      </c>
      <c r="C12970" s="5">
        <v>8270</v>
      </c>
      <c r="D12970" s="6">
        <v>3.66</v>
      </c>
      <c r="E12970" t="s">
        <v>13</v>
      </c>
    </row>
    <row r="12971" spans="1:5" x14ac:dyDescent="0.25">
      <c r="A12971" t="str">
        <f>HYPERLINK("https://www.773grp.com/globalSearch/TPS2831PWP/page-1", "TPS2831PWP")</f>
        <v>TPS2831PWP</v>
      </c>
      <c r="B12971" s="3" t="str">
        <f>HYPERLINK("https://www.773grp.com/manufacturer/texas-instruments?pageNo=624", "Texas Instruments")</f>
        <v>Texas Instruments</v>
      </c>
      <c r="C12971" s="5">
        <v>28502</v>
      </c>
      <c r="D12971" s="6">
        <v>3.66</v>
      </c>
      <c r="E12971" t="s">
        <v>13</v>
      </c>
    </row>
    <row r="12972" spans="1:5" x14ac:dyDescent="0.25">
      <c r="A12972" t="str">
        <f>HYPERLINK("https://www.773grp.com/globalSearch/TPS2834D/page-1", "TPS2834D")</f>
        <v>TPS2834D</v>
      </c>
      <c r="B12972" s="3" t="str">
        <f>HYPERLINK("https://www.773grp.com/manufacturer/texas-instruments?pageNo=625", "Texas Instruments")</f>
        <v>Texas Instruments</v>
      </c>
      <c r="C12972" s="5">
        <v>2609</v>
      </c>
      <c r="D12972" s="6">
        <v>3.66</v>
      </c>
      <c r="E12972" t="s">
        <v>13</v>
      </c>
    </row>
    <row r="12973" spans="1:5" x14ac:dyDescent="0.25">
      <c r="A12973" t="str">
        <f>HYPERLINK("https://www.773grp.com/globalSearch/TPS2834PWP/page-1", "TPS2834PWP")</f>
        <v>TPS2834PWP</v>
      </c>
      <c r="B12973" s="3" t="str">
        <f>HYPERLINK("https://www.773grp.com/manufacturer/texas-instruments?pageNo=626", "Texas Instruments")</f>
        <v>Texas Instruments</v>
      </c>
      <c r="C12973" s="5">
        <v>14847</v>
      </c>
      <c r="D12973" s="6">
        <v>3.66</v>
      </c>
      <c r="E12973" t="s">
        <v>13</v>
      </c>
    </row>
    <row r="12974" spans="1:5" x14ac:dyDescent="0.25">
      <c r="A12974" t="str">
        <f>HYPERLINK("https://www.773grp.com/globalSearch/TPS2835D/page-1", "TPS2835D")</f>
        <v>TPS2835D</v>
      </c>
      <c r="B12974" s="3" t="str">
        <f>HYPERLINK("https://www.773grp.com/manufacturer/texas-instruments?pageNo=627", "Texas Instruments")</f>
        <v>Texas Instruments</v>
      </c>
      <c r="C12974" s="5">
        <v>13599</v>
      </c>
      <c r="D12974" s="6">
        <v>3.66</v>
      </c>
      <c r="E12974" t="s">
        <v>13</v>
      </c>
    </row>
    <row r="12975" spans="1:5" x14ac:dyDescent="0.25">
      <c r="A12975" t="str">
        <f>HYPERLINK("https://www.773grp.com/globalSearch/TPS2835PWP/page-1", "TPS2835PWP")</f>
        <v>TPS2835PWP</v>
      </c>
      <c r="B12975" s="3" t="str">
        <f>HYPERLINK("https://www.773grp.com/manufacturer/texas-instruments?pageNo=628", "Texas Instruments")</f>
        <v>Texas Instruments</v>
      </c>
      <c r="C12975" s="5">
        <v>12658</v>
      </c>
      <c r="D12975" s="6">
        <v>3.66</v>
      </c>
      <c r="E12975" t="s">
        <v>13</v>
      </c>
    </row>
    <row r="12976" spans="1:5" x14ac:dyDescent="0.25">
      <c r="A12976" t="str">
        <f>HYPERLINK("https://www.773grp.com/globalSearch/UCC37321DGN/page-1", "UCC37321DGN")</f>
        <v>UCC37321DGN</v>
      </c>
      <c r="B12976" s="3" t="str">
        <f>HYPERLINK("https://www.773grp.com/manufacturer/texas-instruments?pageNo=682", "Texas Instruments")</f>
        <v>Texas Instruments</v>
      </c>
      <c r="C12976" s="5">
        <v>4555</v>
      </c>
      <c r="D12976" s="6">
        <v>3.66</v>
      </c>
      <c r="E12976" t="s">
        <v>13</v>
      </c>
    </row>
    <row r="12977" spans="1:5" x14ac:dyDescent="0.25">
      <c r="A12977" t="str">
        <f>HYPERLINK("https://www.773grp.com/globalSearch/UCC37322DGN/page-1", "UCC37322DGN")</f>
        <v>UCC37322DGN</v>
      </c>
      <c r="B12977" s="3" t="str">
        <f>HYPERLINK("https://www.773grp.com/manufacturer/texas-instruments?pageNo=683", "Texas Instruments")</f>
        <v>Texas Instruments</v>
      </c>
      <c r="C12977" s="5">
        <v>8</v>
      </c>
      <c r="D12977" s="6">
        <v>3.66</v>
      </c>
      <c r="E12977" t="s">
        <v>13</v>
      </c>
    </row>
    <row r="12978" spans="1:5" x14ac:dyDescent="0.25">
      <c r="A12978" t="str">
        <f>HYPERLINK("https://www.773grp.com/globalSearch/UCC37321P/page-1", "UCC37321P")</f>
        <v>UCC37321P</v>
      </c>
      <c r="B12978" s="3" t="s">
        <v>90</v>
      </c>
      <c r="C12978" s="5">
        <v>392</v>
      </c>
      <c r="D12978" s="6">
        <v>3.76</v>
      </c>
      <c r="E12978" t="s">
        <v>13</v>
      </c>
    </row>
    <row r="12979" spans="1:5" x14ac:dyDescent="0.25">
      <c r="A12979" t="str">
        <f>HYPERLINK("https://www.773grp.com/globalSearch/UCC37322P/page-1", "UCC37322P")</f>
        <v>UCC37322P</v>
      </c>
      <c r="B12979" s="3" t="s">
        <v>90</v>
      </c>
      <c r="C12979" s="5">
        <v>4279</v>
      </c>
      <c r="D12979" s="6">
        <v>3.76</v>
      </c>
      <c r="E12979" t="s">
        <v>13</v>
      </c>
    </row>
    <row r="12980" spans="1:5" x14ac:dyDescent="0.25">
      <c r="A12980" t="str">
        <f>HYPERLINK("https://www.773grp.com/globalSearch/TPS2830DR/page-1", "TPS2830DR")</f>
        <v>TPS2830DR</v>
      </c>
      <c r="B12980" s="3" t="s">
        <v>90</v>
      </c>
      <c r="C12980" s="5">
        <v>2500</v>
      </c>
      <c r="D12980" s="6">
        <v>3.8</v>
      </c>
      <c r="E12980" t="s">
        <v>13</v>
      </c>
    </row>
    <row r="12981" spans="1:5" x14ac:dyDescent="0.25">
      <c r="A12981" t="str">
        <f>HYPERLINK("https://www.773grp.com/globalSearch/TPIC44L01DB/page-1", "TPIC44L01DB")</f>
        <v>TPIC44L01DB</v>
      </c>
      <c r="B12981" s="3" t="str">
        <f>HYPERLINK("https://www.773grp.com/manufacturer/texas-instruments?pageNo=138", "Texas Instruments")</f>
        <v>Texas Instruments</v>
      </c>
      <c r="C12981" s="5">
        <v>260</v>
      </c>
      <c r="D12981" s="6">
        <v>4.2300000000000004</v>
      </c>
      <c r="E12981" t="s">
        <v>13</v>
      </c>
    </row>
    <row r="12982" spans="1:5" x14ac:dyDescent="0.25">
      <c r="A12982" t="str">
        <f>HYPERLINK("https://www.773grp.com/globalSearch/TPIC44L01DBRG4/page-1", "TPIC44L01DBRG4")</f>
        <v>TPIC44L01DBRG4</v>
      </c>
      <c r="B12982" s="3" t="str">
        <f>HYPERLINK("https://www.773grp.com/manufacturer/texas-instruments?pageNo=139", "Texas Instruments")</f>
        <v>Texas Instruments</v>
      </c>
      <c r="C12982" s="5">
        <v>47946</v>
      </c>
      <c r="D12982" s="6">
        <v>4.2300000000000004</v>
      </c>
      <c r="E12982" t="s">
        <v>13</v>
      </c>
    </row>
    <row r="12983" spans="1:5" x14ac:dyDescent="0.25">
      <c r="A12983" t="str">
        <f>HYPERLINK("https://www.773grp.com/globalSearch/TPIC44L02DB/page-1", "TPIC44L02DB")</f>
        <v>TPIC44L02DB</v>
      </c>
      <c r="B12983" s="3" t="str">
        <f>HYPERLINK("https://www.773grp.com/manufacturer/texas-instruments?pageNo=140", "Texas Instruments")</f>
        <v>Texas Instruments</v>
      </c>
      <c r="C12983" s="5">
        <v>24007</v>
      </c>
      <c r="D12983" s="6">
        <v>4.2300000000000004</v>
      </c>
      <c r="E12983" t="s">
        <v>13</v>
      </c>
    </row>
    <row r="12984" spans="1:5" x14ac:dyDescent="0.25">
      <c r="A12984" t="str">
        <f>HYPERLINK("https://www.773grp.com/globalSearch/TPS2814D/page-1", "TPS2814D")</f>
        <v>TPS2814D</v>
      </c>
      <c r="B12984" s="3" t="str">
        <f>HYPERLINK("https://www.773grp.com/manufacturer/texas-instruments?pageNo=151", "Texas Instruments")</f>
        <v>Texas Instruments</v>
      </c>
      <c r="C12984" s="5">
        <v>1275</v>
      </c>
      <c r="D12984" s="6">
        <v>4.2300000000000004</v>
      </c>
      <c r="E12984" t="s">
        <v>13</v>
      </c>
    </row>
    <row r="12985" spans="1:5" x14ac:dyDescent="0.25">
      <c r="A12985" t="str">
        <f>HYPERLINK("https://www.773grp.com/globalSearch/TPS2814PW/page-1", "TPS2814PW")</f>
        <v>TPS2814PW</v>
      </c>
      <c r="B12985" s="3" t="str">
        <f>HYPERLINK("https://www.773grp.com/manufacturer/texas-instruments?pageNo=153", "Texas Instruments")</f>
        <v>Texas Instruments</v>
      </c>
      <c r="C12985" s="5">
        <v>1297</v>
      </c>
      <c r="D12985" s="6">
        <v>4.2300000000000004</v>
      </c>
      <c r="E12985" t="s">
        <v>13</v>
      </c>
    </row>
    <row r="12986" spans="1:5" x14ac:dyDescent="0.25">
      <c r="A12986" t="str">
        <f>HYPERLINK("https://www.773grp.com/globalSearch/UCD7230RGWT/page-1", "UCD7230RGWT")</f>
        <v>UCD7230RGWT</v>
      </c>
      <c r="B12986" s="3" t="str">
        <f>HYPERLINK("https://www.773grp.com/manufacturer/texas-instruments?pageNo=404", "Texas Instruments")</f>
        <v>Texas Instruments</v>
      </c>
      <c r="C12986" s="5">
        <v>55500</v>
      </c>
      <c r="D12986" s="6">
        <v>4.28</v>
      </c>
      <c r="E12986" t="s">
        <v>13</v>
      </c>
    </row>
    <row r="12987" spans="1:5" x14ac:dyDescent="0.25">
      <c r="A12987" t="str">
        <f>HYPERLINK("https://www.773grp.com/globalSearch/TPS2813P/page-1", "TPS2813P")</f>
        <v>TPS2813P</v>
      </c>
      <c r="B12987" s="3" t="str">
        <f>HYPERLINK("https://www.773grp.com/manufacturer/texas-instruments?pageNo=439", "Texas Instruments")</f>
        <v>Texas Instruments</v>
      </c>
      <c r="C12987" s="5">
        <v>30092</v>
      </c>
      <c r="D12987" s="6">
        <v>3.89</v>
      </c>
      <c r="E12987" t="s">
        <v>13</v>
      </c>
    </row>
    <row r="12988" spans="1:5" x14ac:dyDescent="0.25">
      <c r="A12988" t="str">
        <f>HYPERLINK("https://www.773grp.com/globalSearch/UC2714N/page-1", "UC2714N")</f>
        <v>UC2714N</v>
      </c>
      <c r="B12988" s="3" t="str">
        <f>HYPERLINK("https://www.773grp.com/manufacturer/texas-instruments?pageNo=474", "Texas Instruments")</f>
        <v>Texas Instruments</v>
      </c>
      <c r="C12988" s="5">
        <v>4000</v>
      </c>
      <c r="D12988" s="6">
        <v>3.89</v>
      </c>
      <c r="E12988" t="s">
        <v>13</v>
      </c>
    </row>
    <row r="12989" spans="1:5" x14ac:dyDescent="0.25">
      <c r="A12989" t="str">
        <f>HYPERLINK("https://www.773grp.com/globalSearch/UCC27321DGN/page-1", "UCC27321DGN")</f>
        <v>UCC27321DGN</v>
      </c>
      <c r="B12989" s="3" t="str">
        <f>HYPERLINK("https://www.773grp.com/manufacturer/texas-instruments?pageNo=686", "Texas Instruments")</f>
        <v>Texas Instruments</v>
      </c>
      <c r="C12989" s="5">
        <v>2306</v>
      </c>
      <c r="D12989" s="6">
        <v>3.94</v>
      </c>
      <c r="E12989" t="s">
        <v>13</v>
      </c>
    </row>
    <row r="12990" spans="1:5" x14ac:dyDescent="0.25">
      <c r="A12990" t="str">
        <f>HYPERLINK("https://www.773grp.com/globalSearch/SN75374DE4/page-1", "SN75374DE4")</f>
        <v>SN75374DE4</v>
      </c>
      <c r="B12990" s="3" t="s">
        <v>90</v>
      </c>
      <c r="C12990" s="5">
        <v>40</v>
      </c>
      <c r="D12990" s="6">
        <v>4.01</v>
      </c>
      <c r="E12990" t="s">
        <v>13</v>
      </c>
    </row>
    <row r="12991" spans="1:5" x14ac:dyDescent="0.25">
      <c r="A12991" t="str">
        <f>HYPERLINK("https://www.773grp.com/globalSearch/SN75374DR/page-1", "SN75374DR")</f>
        <v>SN75374DR</v>
      </c>
      <c r="B12991" s="3" t="s">
        <v>90</v>
      </c>
      <c r="C12991" s="5">
        <v>3200</v>
      </c>
      <c r="D12991" s="6">
        <v>4.01</v>
      </c>
      <c r="E12991" t="s">
        <v>13</v>
      </c>
    </row>
    <row r="12992" spans="1:5" x14ac:dyDescent="0.25">
      <c r="A12992" t="str">
        <f>HYPERLINK("https://www.773grp.com/globalSearch/UCC27321P/page-1", "UCC27321P")</f>
        <v>UCC27321P</v>
      </c>
      <c r="B12992" s="3" t="s">
        <v>90</v>
      </c>
      <c r="C12992" s="5">
        <v>19180</v>
      </c>
      <c r="D12992" s="6">
        <v>4.05</v>
      </c>
      <c r="E12992" t="s">
        <v>13</v>
      </c>
    </row>
    <row r="12993" spans="1:5" x14ac:dyDescent="0.25">
      <c r="A12993" t="str">
        <f>HYPERLINK("https://www.773grp.com/globalSearch/UCC27322P/page-1", "UCC27322P")</f>
        <v>UCC27322P</v>
      </c>
      <c r="B12993" s="3" t="s">
        <v>90</v>
      </c>
      <c r="C12993" s="5">
        <v>9237</v>
      </c>
      <c r="D12993" s="6">
        <v>4.05</v>
      </c>
      <c r="E12993" t="s">
        <v>13</v>
      </c>
    </row>
    <row r="12994" spans="1:5" x14ac:dyDescent="0.25">
      <c r="A12994" t="str">
        <f>HYPERLINK("https://www.773grp.com/globalSearch/UCC27322P/page-1", "UCC27322P")</f>
        <v>UCC27322P</v>
      </c>
      <c r="B12994" s="3" t="s">
        <v>90</v>
      </c>
      <c r="C12994" s="5">
        <v>663</v>
      </c>
      <c r="D12994" s="6">
        <v>4.05</v>
      </c>
      <c r="E12994" t="s">
        <v>13</v>
      </c>
    </row>
    <row r="12995" spans="1:5" x14ac:dyDescent="0.25">
      <c r="A12995" t="str">
        <f>HYPERLINK("https://www.773grp.com/globalSearch/TPS2812D/page-1", "TPS2812D")</f>
        <v>TPS2812D</v>
      </c>
      <c r="B12995" s="3" t="s">
        <v>90</v>
      </c>
      <c r="C12995" s="5">
        <v>14991</v>
      </c>
      <c r="D12995" s="6">
        <v>4.49</v>
      </c>
      <c r="E12995" t="s">
        <v>13</v>
      </c>
    </row>
    <row r="12996" spans="1:5" x14ac:dyDescent="0.25">
      <c r="A12996" t="str">
        <f>HYPERLINK("https://www.773grp.com/globalSearch/UCC27423QDRQ1/page-1", "UCC27423QDRQ1")</f>
        <v>UCC27423QDRQ1</v>
      </c>
      <c r="B12996" s="3" t="s">
        <v>90</v>
      </c>
      <c r="C12996" s="5">
        <v>25000</v>
      </c>
      <c r="D12996" s="6">
        <v>4.49</v>
      </c>
      <c r="E12996" t="s">
        <v>13</v>
      </c>
    </row>
    <row r="12997" spans="1:5" x14ac:dyDescent="0.25">
      <c r="A12997" t="str">
        <f>HYPERLINK("https://www.773grp.com/globalSearch/UCD7230PWP/page-1", "UCD7230PWP")</f>
        <v>UCD7230PWP</v>
      </c>
      <c r="B12997" s="3" t="s">
        <v>90</v>
      </c>
      <c r="C12997" s="5">
        <v>18970</v>
      </c>
      <c r="D12997" s="6">
        <v>4.49</v>
      </c>
      <c r="E12997" t="s">
        <v>13</v>
      </c>
    </row>
    <row r="12998" spans="1:5" x14ac:dyDescent="0.25">
      <c r="A12998" t="str">
        <f>HYPERLINK("https://www.773grp.com/globalSearch/UCD7201PWPR/page-1", "UCD7201PWPR")</f>
        <v>UCD7201PWPR</v>
      </c>
      <c r="B12998" s="3" t="s">
        <v>90</v>
      </c>
      <c r="C12998" s="5">
        <v>54000</v>
      </c>
      <c r="D12998" s="6">
        <v>4.09</v>
      </c>
      <c r="E12998" t="s">
        <v>13</v>
      </c>
    </row>
    <row r="12999" spans="1:5" x14ac:dyDescent="0.25">
      <c r="A12999" t="str">
        <f>HYPERLINK("https://www.773grp.com/globalSearch/TPS2814P/page-1", "TPS2814P")</f>
        <v>TPS2814P</v>
      </c>
      <c r="B12999" s="3" t="s">
        <v>90</v>
      </c>
      <c r="C12999" s="5">
        <v>25616</v>
      </c>
      <c r="D12999" s="6">
        <v>4.54</v>
      </c>
      <c r="E12999" t="s">
        <v>13</v>
      </c>
    </row>
    <row r="13000" spans="1:5" x14ac:dyDescent="0.25">
      <c r="A13000" t="str">
        <f>HYPERLINK("https://www.773grp.com/globalSearch/UCC27323P/page-1", "UCC27323P")</f>
        <v>UCC27323P</v>
      </c>
      <c r="B13000" s="3" t="s">
        <v>90</v>
      </c>
      <c r="C13000" s="5">
        <v>514</v>
      </c>
      <c r="D13000" s="6">
        <v>4.54</v>
      </c>
      <c r="E13000" t="s">
        <v>13</v>
      </c>
    </row>
    <row r="13001" spans="1:5" x14ac:dyDescent="0.25">
      <c r="A13001" t="str">
        <f>HYPERLINK("https://www.773grp.com/globalSearch/UCC27324P/page-1", "UCC27324P")</f>
        <v>UCC27324P</v>
      </c>
      <c r="B13001" s="3" t="s">
        <v>90</v>
      </c>
      <c r="C13001" s="5">
        <v>929</v>
      </c>
      <c r="D13001" s="6">
        <v>4.54</v>
      </c>
      <c r="E13001" t="s">
        <v>13</v>
      </c>
    </row>
    <row r="13002" spans="1:5" x14ac:dyDescent="0.25">
      <c r="A13002" t="str">
        <f>HYPERLINK("https://www.773grp.com/globalSearch/UCC27325P/page-1", "UCC27325P")</f>
        <v>UCC27325P</v>
      </c>
      <c r="B13002" s="3" t="s">
        <v>90</v>
      </c>
      <c r="C13002" s="5">
        <v>8961</v>
      </c>
      <c r="D13002" s="6">
        <v>4.54</v>
      </c>
      <c r="E13002" t="s">
        <v>13</v>
      </c>
    </row>
    <row r="13003" spans="1:5" x14ac:dyDescent="0.25">
      <c r="A13003" t="str">
        <f>HYPERLINK("https://www.773grp.com/globalSearch/UCC27325P/page-1", "UCC27325P")</f>
        <v>UCC27325P</v>
      </c>
      <c r="B13003" s="3" t="s">
        <v>90</v>
      </c>
      <c r="C13003" s="5">
        <v>1550</v>
      </c>
      <c r="D13003" s="6">
        <v>4.54</v>
      </c>
      <c r="E13003" t="s">
        <v>13</v>
      </c>
    </row>
    <row r="13004" spans="1:5" x14ac:dyDescent="0.25">
      <c r="A13004" t="str">
        <f>HYPERLINK("https://www.773grp.com/globalSearch/UCC27423P/page-1", "UCC27423P")</f>
        <v>UCC27423P</v>
      </c>
      <c r="B13004" s="3" t="s">
        <v>90</v>
      </c>
      <c r="C13004" s="5">
        <v>19459</v>
      </c>
      <c r="D13004" s="6">
        <v>4.54</v>
      </c>
      <c r="E13004" t="s">
        <v>13</v>
      </c>
    </row>
    <row r="13005" spans="1:5" x14ac:dyDescent="0.25">
      <c r="A13005" t="str">
        <f>HYPERLINK("https://www.773grp.com/globalSearch/UCC27424P/page-1", "UCC27424P")</f>
        <v>UCC27424P</v>
      </c>
      <c r="B13005" s="3" t="s">
        <v>90</v>
      </c>
      <c r="C13005" s="5">
        <v>540</v>
      </c>
      <c r="D13005" s="6">
        <v>4.54</v>
      </c>
      <c r="E13005" t="s">
        <v>13</v>
      </c>
    </row>
    <row r="13006" spans="1:5" x14ac:dyDescent="0.25">
      <c r="A13006" t="str">
        <f>HYPERLINK("https://www.773grp.com/globalSearch/UCC27424P/page-1", "UCC27424P")</f>
        <v>UCC27424P</v>
      </c>
      <c r="B13006" s="3" t="s">
        <v>90</v>
      </c>
      <c r="C13006" s="5">
        <v>5500</v>
      </c>
      <c r="D13006" s="6">
        <v>4.54</v>
      </c>
      <c r="E13006" t="s">
        <v>13</v>
      </c>
    </row>
    <row r="13007" spans="1:5" x14ac:dyDescent="0.25">
      <c r="A13007" t="str">
        <f>HYPERLINK("https://www.773grp.com/globalSearch/UCC27425P/page-1", "UCC27425P")</f>
        <v>UCC27425P</v>
      </c>
      <c r="B13007" s="3" t="s">
        <v>90</v>
      </c>
      <c r="C13007" s="5">
        <v>1230</v>
      </c>
      <c r="D13007" s="6">
        <v>4.54</v>
      </c>
      <c r="E13007" t="s">
        <v>13</v>
      </c>
    </row>
    <row r="13008" spans="1:5" x14ac:dyDescent="0.25">
      <c r="A13008" t="str">
        <f>HYPERLINK("https://www.773grp.com/globalSearch/UCC27425P/page-1", "UCC27425P")</f>
        <v>UCC27425P</v>
      </c>
      <c r="B13008" s="3" t="s">
        <v>90</v>
      </c>
      <c r="C13008" s="5">
        <v>5250</v>
      </c>
      <c r="D13008" s="6">
        <v>4.54</v>
      </c>
      <c r="E13008" t="s">
        <v>13</v>
      </c>
    </row>
    <row r="13009" spans="1:5" x14ac:dyDescent="0.25">
      <c r="A13009" t="str">
        <f>HYPERLINK("https://www.773grp.com/globalSearch/UCC37323P/page-1", "UCC37323P")</f>
        <v>UCC37323P</v>
      </c>
      <c r="B13009" s="3" t="s">
        <v>90</v>
      </c>
      <c r="C13009" s="5">
        <v>28089</v>
      </c>
      <c r="D13009" s="6">
        <v>4.54</v>
      </c>
      <c r="E13009" t="s">
        <v>13</v>
      </c>
    </row>
    <row r="13010" spans="1:5" x14ac:dyDescent="0.25">
      <c r="A13010" t="str">
        <f>HYPERLINK("https://www.773grp.com/globalSearch/UCC37324P/page-1", "UCC37324P")</f>
        <v>UCC37324P</v>
      </c>
      <c r="B13010" s="3" t="s">
        <v>90</v>
      </c>
      <c r="C13010" s="5">
        <v>14805</v>
      </c>
      <c r="D13010" s="6">
        <v>4.54</v>
      </c>
      <c r="E13010" t="s">
        <v>13</v>
      </c>
    </row>
    <row r="13011" spans="1:5" x14ac:dyDescent="0.25">
      <c r="A13011" t="str">
        <f>HYPERLINK("https://www.773grp.com/globalSearch/UCC37324P/page-1", "UCC37324P")</f>
        <v>UCC37324P</v>
      </c>
      <c r="B13011" s="3" t="s">
        <v>90</v>
      </c>
      <c r="C13011" s="5">
        <v>1350</v>
      </c>
      <c r="D13011" s="6">
        <v>4.54</v>
      </c>
      <c r="E13011" t="s">
        <v>13</v>
      </c>
    </row>
    <row r="13012" spans="1:5" x14ac:dyDescent="0.25">
      <c r="A13012" t="str">
        <f>HYPERLINK("https://www.773grp.com/globalSearch/UCC37325P/page-1", "UCC37325P")</f>
        <v>UCC37325P</v>
      </c>
      <c r="B13012" s="3" t="s">
        <v>90</v>
      </c>
      <c r="C13012" s="5">
        <v>9420</v>
      </c>
      <c r="D13012" s="6">
        <v>4.54</v>
      </c>
      <c r="E13012" t="s">
        <v>13</v>
      </c>
    </row>
    <row r="13013" spans="1:5" x14ac:dyDescent="0.25">
      <c r="A13013" t="str">
        <f>HYPERLINK("https://www.773grp.com/globalSearch/TPS2811PWR/page-1", "TPS2811PWR")</f>
        <v>TPS2811PWR</v>
      </c>
      <c r="B13013" s="3" t="s">
        <v>90</v>
      </c>
      <c r="C13013" s="5">
        <v>8000</v>
      </c>
      <c r="D13013" s="6">
        <v>4.59</v>
      </c>
      <c r="E13013" t="s">
        <v>13</v>
      </c>
    </row>
    <row r="13014" spans="1:5" x14ac:dyDescent="0.25">
      <c r="A13014" t="str">
        <f>HYPERLINK("https://www.773grp.com/globalSearch/TPS2837D/page-1", "TPS2837D")</f>
        <v>TPS2837D</v>
      </c>
      <c r="B13014" s="3" t="s">
        <v>90</v>
      </c>
      <c r="C13014" s="5">
        <v>24851</v>
      </c>
      <c r="D13014" s="6">
        <v>4.2300000000000004</v>
      </c>
      <c r="E13014" t="s">
        <v>13</v>
      </c>
    </row>
    <row r="13015" spans="1:5" x14ac:dyDescent="0.25">
      <c r="A13015" t="str">
        <f>HYPERLINK("https://www.773grp.com/globalSearch/TPS2815D/page-1", "TPS2815D")</f>
        <v>TPS2815D</v>
      </c>
      <c r="B13015" s="3" t="s">
        <v>90</v>
      </c>
      <c r="C13015" s="5">
        <v>2425</v>
      </c>
      <c r="D13015" s="6">
        <v>4.74</v>
      </c>
      <c r="E13015" t="s">
        <v>13</v>
      </c>
    </row>
    <row r="13016" spans="1:5" x14ac:dyDescent="0.25">
      <c r="A13016" t="str">
        <f>HYPERLINK("https://www.773grp.com/globalSearch/TPS2817DBVT/page-1", "TPS2817DBVT")</f>
        <v>TPS2817DBVT</v>
      </c>
      <c r="B13016" s="3" t="s">
        <v>90</v>
      </c>
      <c r="C13016" s="5">
        <v>1483</v>
      </c>
      <c r="D13016" s="6">
        <v>4.74</v>
      </c>
      <c r="E13016" t="s">
        <v>13</v>
      </c>
    </row>
    <row r="13017" spans="1:5" x14ac:dyDescent="0.25">
      <c r="A13017" t="str">
        <f>HYPERLINK("https://www.773grp.com/globalSearch/UCC27323DGN/page-1", "UCC27323DGN")</f>
        <v>UCC27323DGN</v>
      </c>
      <c r="B13017" s="3" t="s">
        <v>90</v>
      </c>
      <c r="C13017" s="5">
        <v>1114</v>
      </c>
      <c r="D13017" s="6">
        <v>4.74</v>
      </c>
      <c r="E13017" t="s">
        <v>13</v>
      </c>
    </row>
    <row r="13018" spans="1:5" x14ac:dyDescent="0.25">
      <c r="A13018" t="str">
        <f>HYPERLINK("https://www.773grp.com/globalSearch/UCC27323DGN/page-1", "UCC27323DGN")</f>
        <v>UCC27323DGN</v>
      </c>
      <c r="B13018" s="3" t="s">
        <v>90</v>
      </c>
      <c r="C13018" s="5">
        <v>6630</v>
      </c>
      <c r="D13018" s="6">
        <v>4.74</v>
      </c>
      <c r="E13018" t="s">
        <v>13</v>
      </c>
    </row>
    <row r="13019" spans="1:5" x14ac:dyDescent="0.25">
      <c r="A13019" t="str">
        <f>HYPERLINK("https://www.773grp.com/globalSearch/UCC27325D/page-1", "UCC27325D")</f>
        <v>UCC27325D</v>
      </c>
      <c r="B13019" s="3" t="s">
        <v>90</v>
      </c>
      <c r="C13019" s="5">
        <v>443</v>
      </c>
      <c r="D13019" s="6">
        <v>4.74</v>
      </c>
      <c r="E13019" t="s">
        <v>13</v>
      </c>
    </row>
    <row r="13020" spans="1:5" x14ac:dyDescent="0.25">
      <c r="A13020" t="str">
        <f>HYPERLINK("https://www.773grp.com/globalSearch/UCC27325DGN/page-1", "UCC27325DGN")</f>
        <v>UCC27325DGN</v>
      </c>
      <c r="B13020" s="3" t="s">
        <v>90</v>
      </c>
      <c r="C13020" s="5">
        <v>319</v>
      </c>
      <c r="D13020" s="6">
        <v>4.74</v>
      </c>
      <c r="E13020" t="s">
        <v>13</v>
      </c>
    </row>
    <row r="13021" spans="1:5" x14ac:dyDescent="0.25">
      <c r="A13021" t="str">
        <f>HYPERLINK("https://www.773grp.com/globalSearch/UCC27423D/page-1", "UCC27423D")</f>
        <v>UCC27423D</v>
      </c>
      <c r="B13021" s="3" t="s">
        <v>90</v>
      </c>
      <c r="C13021" s="5">
        <v>288</v>
      </c>
      <c r="D13021" s="6">
        <v>4.74</v>
      </c>
      <c r="E13021" t="s">
        <v>13</v>
      </c>
    </row>
    <row r="13022" spans="1:5" x14ac:dyDescent="0.25">
      <c r="A13022" t="str">
        <f>HYPERLINK("https://www.773grp.com/globalSearch/UCC27423DGN/page-1", "UCC27423DGN")</f>
        <v>UCC27423DGN</v>
      </c>
      <c r="B13022" s="3" t="s">
        <v>90</v>
      </c>
      <c r="C13022" s="5">
        <v>4396</v>
      </c>
      <c r="D13022" s="6">
        <v>4.74</v>
      </c>
      <c r="E13022" t="s">
        <v>13</v>
      </c>
    </row>
    <row r="13023" spans="1:5" x14ac:dyDescent="0.25">
      <c r="A13023" t="str">
        <f>HYPERLINK("https://www.773grp.com/globalSearch/UCC27425D/page-1", "UCC27425D")</f>
        <v>UCC27425D</v>
      </c>
      <c r="B13023" s="3" t="s">
        <v>90</v>
      </c>
      <c r="C13023" s="5">
        <v>73</v>
      </c>
      <c r="D13023" s="6">
        <v>4.74</v>
      </c>
      <c r="E13023" t="s">
        <v>13</v>
      </c>
    </row>
    <row r="13024" spans="1:5" x14ac:dyDescent="0.25">
      <c r="A13024" t="str">
        <f>HYPERLINK("https://www.773grp.com/globalSearch/UCC27425D/page-1", "UCC27425D")</f>
        <v>UCC27425D</v>
      </c>
      <c r="B13024" s="3" t="s">
        <v>90</v>
      </c>
      <c r="C13024" s="5">
        <v>2901</v>
      </c>
      <c r="D13024" s="6">
        <v>4.74</v>
      </c>
      <c r="E13024" t="s">
        <v>13</v>
      </c>
    </row>
    <row r="13025" spans="1:5" x14ac:dyDescent="0.25">
      <c r="A13025" t="str">
        <f>HYPERLINK("https://www.773grp.com/globalSearch/UCC27425DGN/page-1", "UCC27425DGN")</f>
        <v>UCC27425DGN</v>
      </c>
      <c r="B13025" s="3" t="s">
        <v>90</v>
      </c>
      <c r="C13025" s="5">
        <v>3915</v>
      </c>
      <c r="D13025" s="6">
        <v>4.74</v>
      </c>
      <c r="E13025" t="s">
        <v>13</v>
      </c>
    </row>
    <row r="13026" spans="1:5" x14ac:dyDescent="0.25">
      <c r="A13026" t="str">
        <f>HYPERLINK("https://www.773grp.com/globalSearch/UCC37323D/page-1", "UCC37323D")</f>
        <v>UCC37323D</v>
      </c>
      <c r="B13026" s="3" t="s">
        <v>90</v>
      </c>
      <c r="C13026" s="5">
        <v>1</v>
      </c>
      <c r="D13026" s="6">
        <v>4.74</v>
      </c>
      <c r="E13026" t="s">
        <v>13</v>
      </c>
    </row>
    <row r="13027" spans="1:5" x14ac:dyDescent="0.25">
      <c r="A13027" t="str">
        <f>HYPERLINK("https://www.773grp.com/globalSearch/UCC37323DGN/page-1", "UCC37323DGN")</f>
        <v>UCC37323DGN</v>
      </c>
      <c r="B13027" s="3" t="s">
        <v>90</v>
      </c>
      <c r="C13027" s="5">
        <v>3420</v>
      </c>
      <c r="D13027" s="6">
        <v>4.74</v>
      </c>
      <c r="E13027" t="s">
        <v>13</v>
      </c>
    </row>
    <row r="13028" spans="1:5" x14ac:dyDescent="0.25">
      <c r="A13028" t="str">
        <f>HYPERLINK("https://www.773grp.com/globalSearch/UCC37323DGN/page-1", "UCC37323DGN")</f>
        <v>UCC37323DGN</v>
      </c>
      <c r="B13028" s="3" t="s">
        <v>90</v>
      </c>
      <c r="C13028" s="5">
        <v>21148</v>
      </c>
      <c r="D13028" s="6">
        <v>4.74</v>
      </c>
      <c r="E13028" t="s">
        <v>13</v>
      </c>
    </row>
    <row r="13029" spans="1:5" x14ac:dyDescent="0.25">
      <c r="A13029" t="str">
        <f>HYPERLINK("https://www.773grp.com/globalSearch/UCC37324D/page-1", "UCC37324D")</f>
        <v>UCC37324D</v>
      </c>
      <c r="B13029" s="3" t="s">
        <v>90</v>
      </c>
      <c r="C13029" s="5">
        <v>317</v>
      </c>
      <c r="D13029" s="6">
        <v>4.74</v>
      </c>
      <c r="E13029" t="s">
        <v>13</v>
      </c>
    </row>
    <row r="13030" spans="1:5" x14ac:dyDescent="0.25">
      <c r="A13030" t="str">
        <f>HYPERLINK("https://www.773grp.com/globalSearch/UCC37325D/page-1", "UCC37325D")</f>
        <v>UCC37325D</v>
      </c>
      <c r="B13030" s="3" t="s">
        <v>90</v>
      </c>
      <c r="C13030" s="5">
        <v>8665</v>
      </c>
      <c r="D13030" s="6">
        <v>4.74</v>
      </c>
      <c r="E13030" t="s">
        <v>13</v>
      </c>
    </row>
    <row r="13031" spans="1:5" x14ac:dyDescent="0.25">
      <c r="A13031" t="str">
        <f>HYPERLINK("https://www.773grp.com/globalSearch/UCC37325DGN/page-1", "UCC37325DGN")</f>
        <v>UCC37325DGN</v>
      </c>
      <c r="B13031" s="3" t="s">
        <v>90</v>
      </c>
      <c r="C13031" s="5">
        <v>342</v>
      </c>
      <c r="D13031" s="6">
        <v>4.74</v>
      </c>
      <c r="E13031" t="s">
        <v>13</v>
      </c>
    </row>
    <row r="13032" spans="1:5" x14ac:dyDescent="0.25">
      <c r="A13032" t="str">
        <f>HYPERLINK("https://www.773grp.com/globalSearch/TPS2838PWP/page-1", "TPS2838PWP")</f>
        <v>TPS2838PWP</v>
      </c>
      <c r="B13032" s="3" t="s">
        <v>90</v>
      </c>
      <c r="C13032" s="5">
        <v>7380</v>
      </c>
      <c r="D13032" s="6">
        <v>4.3499999999999996</v>
      </c>
      <c r="E13032" t="s">
        <v>13</v>
      </c>
    </row>
    <row r="13033" spans="1:5" x14ac:dyDescent="0.25">
      <c r="A13033" t="str">
        <f>HYPERLINK("https://www.773grp.com/globalSearch/SN75374N/page-1", "SN75374N")</f>
        <v>SN75374N</v>
      </c>
      <c r="B13033" s="3" t="s">
        <v>90</v>
      </c>
      <c r="C13033" s="5">
        <v>14274</v>
      </c>
      <c r="D13033" s="6">
        <v>4.43</v>
      </c>
      <c r="E13033" t="s">
        <v>13</v>
      </c>
    </row>
    <row r="13034" spans="1:5" x14ac:dyDescent="0.25">
      <c r="A13034" t="str">
        <f>HYPERLINK("https://www.773grp.com/globalSearch/UCC27222PWPR/page-1", "UCC27222PWPR")</f>
        <v>UCC27222PWPR</v>
      </c>
      <c r="B13034" s="3" t="str">
        <f>HYPERLINK("https://www.773grp.com/manufacturer/texas-instruments?pageNo=419", "Texas Instruments")</f>
        <v>Texas Instruments</v>
      </c>
      <c r="C13034" s="5">
        <v>40000</v>
      </c>
      <c r="D13034" s="6">
        <v>4.5</v>
      </c>
      <c r="E13034" t="s">
        <v>13</v>
      </c>
    </row>
    <row r="13035" spans="1:5" x14ac:dyDescent="0.25">
      <c r="A13035" t="str">
        <f>HYPERLINK("https://www.773grp.com/globalSearch/UC3714DTR/page-1", "UC3714DTR")</f>
        <v>UC3714DTR</v>
      </c>
      <c r="B13035" s="3" t="str">
        <f>HYPERLINK("https://www.773grp.com/manufacturer/texas-instruments?pageNo=750", "Texas Instruments")</f>
        <v>Texas Instruments</v>
      </c>
      <c r="C13035" s="5">
        <v>37500</v>
      </c>
      <c r="D13035" s="6">
        <v>5.01</v>
      </c>
      <c r="E13035" t="s">
        <v>13</v>
      </c>
    </row>
    <row r="13036" spans="1:5" x14ac:dyDescent="0.25">
      <c r="A13036" t="str">
        <f>HYPERLINK("https://www.773grp.com/globalSearch/UCD7100PWPR/page-1", "UCD7100PWPR")</f>
        <v>UCD7100PWPR</v>
      </c>
      <c r="B13036" s="3" t="str">
        <f>HYPERLINK("https://www.773grp.com/manufacturer/texas-instruments?pageNo=757", "Texas Instruments")</f>
        <v>Texas Instruments</v>
      </c>
      <c r="C13036" s="5">
        <v>1792</v>
      </c>
      <c r="D13036" s="6">
        <v>5.01</v>
      </c>
      <c r="E13036" t="s">
        <v>13</v>
      </c>
    </row>
    <row r="13037" spans="1:5" x14ac:dyDescent="0.25">
      <c r="A13037" t="str">
        <f>HYPERLINK("https://www.773grp.com/globalSearch/UCD7100PWPRG4/page-1", "UCD7100PWPRG4")</f>
        <v>UCD7100PWPRG4</v>
      </c>
      <c r="B13037" s="3" t="str">
        <f>HYPERLINK("https://www.773grp.com/manufacturer/texas-instruments?pageNo=758", "Texas Instruments")</f>
        <v>Texas Instruments</v>
      </c>
      <c r="C13037" s="5">
        <v>1500</v>
      </c>
      <c r="D13037" s="6">
        <v>5.01</v>
      </c>
      <c r="E13037" t="s">
        <v>13</v>
      </c>
    </row>
    <row r="13038" spans="1:5" x14ac:dyDescent="0.25">
      <c r="A13038" t="str">
        <f>HYPERLINK("https://www.773grp.com/globalSearch/TPIC44H01DA/page-1", "TPIC44H01DA")</f>
        <v>TPIC44H01DA</v>
      </c>
      <c r="B13038" s="3" t="s">
        <v>90</v>
      </c>
      <c r="C13038" s="5">
        <v>339</v>
      </c>
      <c r="D13038" s="6">
        <v>4.78</v>
      </c>
      <c r="E13038" t="s">
        <v>13</v>
      </c>
    </row>
    <row r="13039" spans="1:5" x14ac:dyDescent="0.25">
      <c r="A13039" t="str">
        <f>HYPERLINK("https://www.773grp.com/globalSearch/TPIC44H01DAG4/page-1", "TPIC44H01DAG4")</f>
        <v>TPIC44H01DAG4</v>
      </c>
      <c r="B13039" s="3" t="s">
        <v>90</v>
      </c>
      <c r="C13039" s="5">
        <v>10282</v>
      </c>
      <c r="D13039" s="6">
        <v>4.78</v>
      </c>
      <c r="E13039" t="s">
        <v>13</v>
      </c>
    </row>
    <row r="13040" spans="1:5" x14ac:dyDescent="0.25">
      <c r="A13040" t="str">
        <f>HYPERLINK("https://www.773grp.com/globalSearch/TPIC44H01DAR/page-1", "TPIC44H01DAR")</f>
        <v>TPIC44H01DAR</v>
      </c>
      <c r="B13040" s="3" t="s">
        <v>90</v>
      </c>
      <c r="C13040" s="5">
        <v>44000</v>
      </c>
      <c r="D13040" s="6">
        <v>4.78</v>
      </c>
      <c r="E13040" t="s">
        <v>13</v>
      </c>
    </row>
    <row r="13041" spans="1:5" x14ac:dyDescent="0.25">
      <c r="A13041" t="str">
        <f>HYPERLINK("https://www.773grp.com/globalSearch/TPS2848PWP/page-1", "TPS2848PWP")</f>
        <v>TPS2848PWP</v>
      </c>
      <c r="B13041" s="3" t="s">
        <v>90</v>
      </c>
      <c r="C13041" s="5">
        <v>5144</v>
      </c>
      <c r="D13041" s="6">
        <v>4.93</v>
      </c>
      <c r="E13041" t="s">
        <v>13</v>
      </c>
    </row>
    <row r="13042" spans="1:5" x14ac:dyDescent="0.25">
      <c r="A13042" t="str">
        <f>HYPERLINK("https://www.773grp.com/globalSearch/TPS2848PWP/page-1", "TPS2848PWP")</f>
        <v>TPS2848PWP</v>
      </c>
      <c r="B13042" s="3" t="s">
        <v>90</v>
      </c>
      <c r="C13042" s="5">
        <v>7007</v>
      </c>
      <c r="D13042" s="6">
        <v>4.93</v>
      </c>
      <c r="E13042" t="s">
        <v>13</v>
      </c>
    </row>
    <row r="13043" spans="1:5" x14ac:dyDescent="0.25">
      <c r="A13043" t="str">
        <f>HYPERLINK("https://www.773grp.com/globalSearch/TPS2849PWP/page-1", "TPS2849PWP")</f>
        <v>TPS2849PWP</v>
      </c>
      <c r="B13043" s="3" t="s">
        <v>90</v>
      </c>
      <c r="C13043" s="5">
        <v>4676</v>
      </c>
      <c r="D13043" s="6">
        <v>4.93</v>
      </c>
      <c r="E13043" t="s">
        <v>13</v>
      </c>
    </row>
    <row r="13044" spans="1:5" x14ac:dyDescent="0.25">
      <c r="A13044" t="str">
        <f>HYPERLINK("https://www.773grp.com/globalSearch/UCD7201PWP/page-1", "UCD7201PWP")</f>
        <v>UCD7201PWP</v>
      </c>
      <c r="B13044" s="3" t="s">
        <v>90</v>
      </c>
      <c r="C13044" s="5">
        <v>9536</v>
      </c>
      <c r="D13044" s="6">
        <v>4.93</v>
      </c>
      <c r="E13044" t="s">
        <v>13</v>
      </c>
    </row>
    <row r="13045" spans="1:5" x14ac:dyDescent="0.25">
      <c r="A13045" t="str">
        <f>HYPERLINK("https://www.773grp.com/globalSearch/UCC27221PWP/page-1", "UCC27221PWP")</f>
        <v>UCC27221PWP</v>
      </c>
      <c r="B13045" s="3" t="s">
        <v>90</v>
      </c>
      <c r="C13045" s="5">
        <v>85</v>
      </c>
      <c r="D13045" s="6">
        <v>5.35</v>
      </c>
      <c r="E13045" t="s">
        <v>13</v>
      </c>
    </row>
    <row r="13046" spans="1:5" x14ac:dyDescent="0.25">
      <c r="A13046" t="str">
        <f>HYPERLINK("https://www.773grp.com/globalSearch/UCC27222PWP/page-1", "UCC27222PWP")</f>
        <v>UCC27222PWP</v>
      </c>
      <c r="B13046" s="3" t="s">
        <v>90</v>
      </c>
      <c r="C13046" s="5">
        <v>6480</v>
      </c>
      <c r="D13046" s="6">
        <v>5.35</v>
      </c>
      <c r="E13046" t="s">
        <v>13</v>
      </c>
    </row>
    <row r="13047" spans="1:5" x14ac:dyDescent="0.25">
      <c r="A13047" t="str">
        <f>HYPERLINK("https://www.773grp.com/globalSearch/TPS2839PWP/page-1", "TPS2839PWP")</f>
        <v>TPS2839PWP</v>
      </c>
      <c r="B13047" s="3" t="s">
        <v>90</v>
      </c>
      <c r="C13047" s="5">
        <v>14646</v>
      </c>
      <c r="D13047" s="6">
        <v>5.91</v>
      </c>
      <c r="E13047" t="s">
        <v>13</v>
      </c>
    </row>
    <row r="13048" spans="1:5" x14ac:dyDescent="0.25">
      <c r="A13048" t="str">
        <f>HYPERLINK("https://www.773grp.com/globalSearch/UC3706DWTR/page-1", "UC3706DWTR")</f>
        <v>UC3706DWTR</v>
      </c>
      <c r="B13048" s="3" t="str">
        <f>HYPERLINK("https://www.773grp.com/manufacturer/texas-instruments?pageNo=585", "Texas Instruments")</f>
        <v>Texas Instruments</v>
      </c>
      <c r="C13048" s="5">
        <v>8000</v>
      </c>
      <c r="D13048" s="6">
        <v>6.8</v>
      </c>
      <c r="E13048" t="s">
        <v>13</v>
      </c>
    </row>
    <row r="13049" spans="1:5" x14ac:dyDescent="0.25">
      <c r="A13049" t="str">
        <f>HYPERLINK("https://www.773grp.com/globalSearch/UC3707DWTR/page-1", "UC3707DWTR")</f>
        <v>UC3707DWTR</v>
      </c>
      <c r="B13049" s="3" t="s">
        <v>90</v>
      </c>
      <c r="C13049" s="5">
        <v>2000</v>
      </c>
      <c r="D13049" s="6">
        <v>7.54</v>
      </c>
      <c r="E13049" t="s">
        <v>13</v>
      </c>
    </row>
    <row r="13050" spans="1:5" x14ac:dyDescent="0.25">
      <c r="A13050" t="str">
        <f>HYPERLINK("https://www.773grp.com/globalSearch/UC3706DW/page-1", "UC3706DW")</f>
        <v>UC3706DW</v>
      </c>
      <c r="B13050" s="3" t="s">
        <v>90</v>
      </c>
      <c r="C13050" s="5">
        <v>18720</v>
      </c>
      <c r="D13050" s="6">
        <v>8.1</v>
      </c>
      <c r="E13050" t="s">
        <v>13</v>
      </c>
    </row>
    <row r="13051" spans="1:5" x14ac:dyDescent="0.25">
      <c r="A13051" t="str">
        <f>HYPERLINK("https://www.773grp.com/globalSearch/UC3705DTR/page-1", "UC3705DTR")</f>
        <v>UC3705DTR</v>
      </c>
      <c r="B13051" s="3" t="s">
        <v>90</v>
      </c>
      <c r="C13051" s="5">
        <v>15000</v>
      </c>
      <c r="D13051" s="6">
        <v>8.2799999999999994</v>
      </c>
      <c r="E13051" t="s">
        <v>13</v>
      </c>
    </row>
    <row r="13052" spans="1:5" x14ac:dyDescent="0.25">
      <c r="A13052" t="str">
        <f>HYPERLINK("https://www.773grp.com/globalSearch/UC2706DW/page-1", "UC2706DW")</f>
        <v>UC2706DW</v>
      </c>
      <c r="B13052" s="3" t="s">
        <v>90</v>
      </c>
      <c r="C13052" s="5">
        <v>6766</v>
      </c>
      <c r="D13052" s="6">
        <v>8.4</v>
      </c>
      <c r="E13052" t="s">
        <v>13</v>
      </c>
    </row>
    <row r="13053" spans="1:5" x14ac:dyDescent="0.25">
      <c r="A13053" t="str">
        <f>HYPERLINK("https://www.773grp.com/globalSearch/UC2706DW/page-1", "UC2706DW")</f>
        <v>UC2706DW</v>
      </c>
      <c r="B13053" s="3" t="s">
        <v>90</v>
      </c>
      <c r="C13053" s="5">
        <v>1025</v>
      </c>
      <c r="D13053" s="6">
        <v>8.4</v>
      </c>
      <c r="E13053" t="s">
        <v>13</v>
      </c>
    </row>
    <row r="13054" spans="1:5" x14ac:dyDescent="0.25">
      <c r="A13054" t="str">
        <f>HYPERLINK("https://www.773grp.com/globalSearch/UC3724DW/page-1", "UC3724DW")</f>
        <v>UC3724DW</v>
      </c>
      <c r="B13054" s="3" t="s">
        <v>90</v>
      </c>
      <c r="C13054" s="5">
        <v>3638</v>
      </c>
      <c r="D13054" s="6">
        <v>8.4</v>
      </c>
      <c r="E13054" t="s">
        <v>13</v>
      </c>
    </row>
    <row r="13055" spans="1:5" x14ac:dyDescent="0.25">
      <c r="A13055" t="str">
        <f>HYPERLINK("https://www.773grp.com/globalSearch/UC2724N/page-1", "UC2724N")</f>
        <v>UC2724N</v>
      </c>
      <c r="B13055" s="3" t="s">
        <v>90</v>
      </c>
      <c r="C13055" s="5">
        <v>4011</v>
      </c>
      <c r="D13055" s="6">
        <v>8.69</v>
      </c>
      <c r="E13055" t="s">
        <v>13</v>
      </c>
    </row>
    <row r="13056" spans="1:5" x14ac:dyDescent="0.25">
      <c r="A13056" t="str">
        <f>HYPERLINK("https://www.773grp.com/globalSearch/UC2707DWTR/page-1", "UC2707DWTR")</f>
        <v>UC2707DWTR</v>
      </c>
      <c r="B13056" s="3" t="s">
        <v>90</v>
      </c>
      <c r="C13056" s="5">
        <v>4000</v>
      </c>
      <c r="D13056" s="6">
        <v>8.98</v>
      </c>
      <c r="E13056" t="s">
        <v>13</v>
      </c>
    </row>
    <row r="13057" spans="1:5" x14ac:dyDescent="0.25">
      <c r="A13057" t="str">
        <f>HYPERLINK("https://www.773grp.com/globalSearch/UC3707DW/page-1", "UC3707DW")</f>
        <v>UC3707DW</v>
      </c>
      <c r="B13057" s="3" t="s">
        <v>90</v>
      </c>
      <c r="C13057" s="5">
        <v>40952</v>
      </c>
      <c r="D13057" s="6">
        <v>8.98</v>
      </c>
      <c r="E13057" t="s">
        <v>13</v>
      </c>
    </row>
    <row r="13058" spans="1:5" x14ac:dyDescent="0.25">
      <c r="A13058" t="str">
        <f>HYPERLINK("https://www.773grp.com/globalSearch/UC3706N/page-1", "UC3706N")</f>
        <v>UC3706N</v>
      </c>
      <c r="B13058" s="3" t="s">
        <v>90</v>
      </c>
      <c r="C13058" s="5">
        <v>25</v>
      </c>
      <c r="D13058" s="6">
        <v>9.06</v>
      </c>
      <c r="E13058" t="s">
        <v>13</v>
      </c>
    </row>
    <row r="13059" spans="1:5" x14ac:dyDescent="0.25">
      <c r="A13059" t="str">
        <f>HYPERLINK("https://www.773grp.com/globalSearch/UC3706N/page-1", "UC3706N")</f>
        <v>UC3706N</v>
      </c>
      <c r="B13059" s="3" t="s">
        <v>90</v>
      </c>
      <c r="C13059" s="5">
        <v>18</v>
      </c>
      <c r="D13059" s="6">
        <v>9.06</v>
      </c>
      <c r="E13059" t="s">
        <v>13</v>
      </c>
    </row>
    <row r="13060" spans="1:5" x14ac:dyDescent="0.25">
      <c r="A13060" t="str">
        <f>HYPERLINK("https://www.773grp.com/globalSearch/UC3708DWTR/page-1", "UC3708DWTR")</f>
        <v>UC3708DWTR</v>
      </c>
      <c r="B13060" s="3" t="s">
        <v>90</v>
      </c>
      <c r="C13060" s="5">
        <v>1750</v>
      </c>
      <c r="D13060" s="6">
        <v>9.16</v>
      </c>
      <c r="E13060" t="s">
        <v>13</v>
      </c>
    </row>
    <row r="13061" spans="1:5" x14ac:dyDescent="0.25">
      <c r="A13061" t="str">
        <f>HYPERLINK("https://www.773grp.com/globalSearch/UC3707Q/page-1", "UC3707Q")</f>
        <v>UC3707Q</v>
      </c>
      <c r="B13061" s="3" t="s">
        <v>90</v>
      </c>
      <c r="C13061" s="5">
        <v>6854</v>
      </c>
      <c r="D13061" s="6">
        <v>9.2899999999999991</v>
      </c>
      <c r="E13061" t="s">
        <v>13</v>
      </c>
    </row>
    <row r="13062" spans="1:5" x14ac:dyDescent="0.25">
      <c r="A13062" t="str">
        <f>HYPERLINK("https://www.773grp.com/globalSearch/UC2706N/page-1", "UC2706N")</f>
        <v>UC2706N</v>
      </c>
      <c r="B13062" s="3" t="s">
        <v>90</v>
      </c>
      <c r="C13062" s="5">
        <v>20244</v>
      </c>
      <c r="D13062" s="6">
        <v>9.4</v>
      </c>
      <c r="E13062" t="s">
        <v>13</v>
      </c>
    </row>
    <row r="13063" spans="1:5" x14ac:dyDescent="0.25">
      <c r="A13063" t="str">
        <f>HYPERLINK("https://www.773grp.com/globalSearch/UC3710DWTR/page-1", "UC3710DWTR")</f>
        <v>UC3710DWTR</v>
      </c>
      <c r="B13063" s="3" t="s">
        <v>90</v>
      </c>
      <c r="C13063" s="5">
        <v>1000</v>
      </c>
      <c r="D13063" s="6">
        <v>9.41</v>
      </c>
      <c r="E13063" t="s">
        <v>13</v>
      </c>
    </row>
    <row r="13064" spans="1:5" x14ac:dyDescent="0.25">
      <c r="A13064" t="str">
        <f>HYPERLINK("https://www.773grp.com/globalSearch/UC3710T/page-1", "UC3710T")</f>
        <v>UC3710T</v>
      </c>
      <c r="B13064" s="3" t="s">
        <v>90</v>
      </c>
      <c r="C13064" s="5">
        <v>8879</v>
      </c>
      <c r="D13064" s="6">
        <v>9.59</v>
      </c>
      <c r="E13064" t="s">
        <v>13</v>
      </c>
    </row>
    <row r="13065" spans="1:5" x14ac:dyDescent="0.25">
      <c r="A13065" t="str">
        <f>HYPERLINK("https://www.773grp.com/globalSearch/UC3705D/page-1", "UC3705D")</f>
        <v>UC3705D</v>
      </c>
      <c r="B13065" s="3" t="s">
        <v>90</v>
      </c>
      <c r="C13065" s="5">
        <v>23525</v>
      </c>
      <c r="D13065" s="6">
        <v>9.84</v>
      </c>
      <c r="E13065" t="s">
        <v>13</v>
      </c>
    </row>
    <row r="13066" spans="1:5" x14ac:dyDescent="0.25">
      <c r="A13066" t="str">
        <f>HYPERLINK("https://www.773grp.com/globalSearch/UC3705T/page-1", "UC3705T")</f>
        <v>UC3705T</v>
      </c>
      <c r="B13066" s="3" t="s">
        <v>90</v>
      </c>
      <c r="C13066" s="5">
        <v>40231</v>
      </c>
      <c r="D13066" s="6">
        <v>9.84</v>
      </c>
      <c r="E13066" t="s">
        <v>13</v>
      </c>
    </row>
    <row r="13067" spans="1:5" x14ac:dyDescent="0.25">
      <c r="A13067" t="str">
        <f>HYPERLINK("https://www.773grp.com/globalSearch/UC3705T/page-1", "UC3705T")</f>
        <v>UC3705T</v>
      </c>
      <c r="B13067" s="3" t="s">
        <v>90</v>
      </c>
      <c r="C13067" s="5">
        <v>200</v>
      </c>
      <c r="D13067" s="6">
        <v>9.84</v>
      </c>
      <c r="E13067" t="s">
        <v>13</v>
      </c>
    </row>
    <row r="13068" spans="1:5" x14ac:dyDescent="0.25">
      <c r="A13068" t="str">
        <f>HYPERLINK("https://www.773grp.com/globalSearch/UC3705TG3/page-1", "UC3705TG3")</f>
        <v>UC3705TG3</v>
      </c>
      <c r="B13068" s="3" t="s">
        <v>90</v>
      </c>
      <c r="C13068" s="5">
        <v>25</v>
      </c>
      <c r="D13068" s="6">
        <v>9.84</v>
      </c>
      <c r="E13068" t="s">
        <v>13</v>
      </c>
    </row>
    <row r="13069" spans="1:5" x14ac:dyDescent="0.25">
      <c r="A13069" t="str">
        <f>HYPERLINK("https://www.773grp.com/globalSearch/UC3709DW/page-1", "UC3709DW")</f>
        <v>UC3709DW</v>
      </c>
      <c r="B13069" s="3" t="s">
        <v>90</v>
      </c>
      <c r="C13069" s="5">
        <v>1010</v>
      </c>
      <c r="D13069" s="6">
        <v>10.210000000000001</v>
      </c>
      <c r="E13069" t="s">
        <v>13</v>
      </c>
    </row>
    <row r="13070" spans="1:5" x14ac:dyDescent="0.25">
      <c r="A13070" t="str">
        <f>HYPERLINK("https://www.773grp.com/globalSearch/UC2707DW/page-1", "UC2707DW")</f>
        <v>UC2707DW</v>
      </c>
      <c r="B13070" s="3" t="s">
        <v>90</v>
      </c>
      <c r="C13070" s="5">
        <v>160</v>
      </c>
      <c r="D13070" s="6">
        <v>10.41</v>
      </c>
      <c r="E13070" t="s">
        <v>13</v>
      </c>
    </row>
    <row r="13071" spans="1:5" x14ac:dyDescent="0.25">
      <c r="A13071" t="str">
        <f>HYPERLINK("https://www.773grp.com/globalSearch/UC2707DW/page-1", "UC2707DW")</f>
        <v>UC2707DW</v>
      </c>
      <c r="B13071" s="3" t="s">
        <v>90</v>
      </c>
      <c r="C13071" s="5">
        <v>560</v>
      </c>
      <c r="D13071" s="6">
        <v>10.41</v>
      </c>
      <c r="E13071" t="s">
        <v>13</v>
      </c>
    </row>
    <row r="13072" spans="1:5" x14ac:dyDescent="0.25">
      <c r="A13072" t="str">
        <f>HYPERLINK("https://www.773grp.com/globalSearch/UC2707Q/page-1", "UC2707Q")</f>
        <v>UC2707Q</v>
      </c>
      <c r="B13072" s="3" t="s">
        <v>90</v>
      </c>
      <c r="C13072" s="5">
        <v>9946</v>
      </c>
      <c r="D13072" s="6">
        <v>10.41</v>
      </c>
      <c r="E13072" t="s">
        <v>13</v>
      </c>
    </row>
    <row r="13073" spans="1:5" x14ac:dyDescent="0.25">
      <c r="A13073" t="str">
        <f>HYPERLINK("https://www.773grp.com/globalSearch/UCC3776N/page-1", "UCC3776N")</f>
        <v>UCC3776N</v>
      </c>
      <c r="B13073" s="3" t="s">
        <v>90</v>
      </c>
      <c r="C13073" s="5">
        <v>15695</v>
      </c>
      <c r="D13073" s="6">
        <v>10.43</v>
      </c>
      <c r="E13073" t="s">
        <v>13</v>
      </c>
    </row>
    <row r="13074" spans="1:5" x14ac:dyDescent="0.25">
      <c r="A13074" t="str">
        <f>HYPERLINK("https://www.773grp.com/globalSearch/UC2710T/page-1", "UC2710T")</f>
        <v>UC2710T</v>
      </c>
      <c r="B13074" s="3" t="s">
        <v>90</v>
      </c>
      <c r="C13074" s="5">
        <v>20527</v>
      </c>
      <c r="D13074" s="6">
        <v>10.51</v>
      </c>
      <c r="E13074" t="s">
        <v>13</v>
      </c>
    </row>
    <row r="13075" spans="1:5" x14ac:dyDescent="0.25">
      <c r="A13075" t="str">
        <f>HYPERLINK("https://www.773grp.com/globalSearch/UC2708NE/page-1", "UC2708NE")</f>
        <v>UC2708NE</v>
      </c>
      <c r="B13075" s="3" t="s">
        <v>90</v>
      </c>
      <c r="C13075" s="5">
        <v>2111</v>
      </c>
      <c r="D13075" s="6">
        <v>10.55</v>
      </c>
      <c r="E13075" t="s">
        <v>13</v>
      </c>
    </row>
    <row r="13076" spans="1:5" x14ac:dyDescent="0.25">
      <c r="A13076" t="str">
        <f>HYPERLINK("https://www.773grp.com/globalSearch/UC2709DW/page-1", "UC2709DW")</f>
        <v>UC2709DW</v>
      </c>
      <c r="B13076" s="3" t="s">
        <v>90</v>
      </c>
      <c r="C13076" s="5">
        <v>4094</v>
      </c>
      <c r="D13076" s="6">
        <v>10.6</v>
      </c>
      <c r="E13076" t="s">
        <v>13</v>
      </c>
    </row>
    <row r="13077" spans="1:5" x14ac:dyDescent="0.25">
      <c r="A13077" t="str">
        <f>HYPERLINK("https://www.773grp.com/globalSearch/UC2709DW/page-1", "UC2709DW")</f>
        <v>UC2709DW</v>
      </c>
      <c r="B13077" s="3" t="s">
        <v>90</v>
      </c>
      <c r="C13077" s="5">
        <v>40</v>
      </c>
      <c r="D13077" s="6">
        <v>10.6</v>
      </c>
      <c r="E13077" t="s">
        <v>13</v>
      </c>
    </row>
    <row r="13078" spans="1:5" x14ac:dyDescent="0.25">
      <c r="A13078" t="str">
        <f>HYPERLINK("https://www.773grp.com/globalSearch/UC2705D/page-1", "UC2705D")</f>
        <v>UC2705D</v>
      </c>
      <c r="B13078" s="3" t="s">
        <v>90</v>
      </c>
      <c r="C13078" s="5">
        <v>270</v>
      </c>
      <c r="D13078" s="6">
        <v>10.64</v>
      </c>
      <c r="E13078" t="s">
        <v>13</v>
      </c>
    </row>
    <row r="13079" spans="1:5" x14ac:dyDescent="0.25">
      <c r="A13079" t="str">
        <f>HYPERLINK("https://www.773grp.com/globalSearch/UC2708DWTR/page-1", "UC2708DWTR")</f>
        <v>UC2708DWTR</v>
      </c>
      <c r="B13079" s="3" t="s">
        <v>90</v>
      </c>
      <c r="C13079" s="5">
        <v>2000</v>
      </c>
      <c r="D13079" s="6">
        <v>10.91</v>
      </c>
      <c r="E13079" t="s">
        <v>13</v>
      </c>
    </row>
    <row r="13080" spans="1:5" x14ac:dyDescent="0.25">
      <c r="A13080" t="str">
        <f>HYPERLINK("https://www.773grp.com/globalSearch/UC3708DW/page-1", "UC3708DW")</f>
        <v>UC3708DW</v>
      </c>
      <c r="B13080" s="3" t="s">
        <v>90</v>
      </c>
      <c r="C13080" s="5">
        <v>2187</v>
      </c>
      <c r="D13080" s="6">
        <v>10.91</v>
      </c>
      <c r="E13080" t="s">
        <v>13</v>
      </c>
    </row>
    <row r="13081" spans="1:5" x14ac:dyDescent="0.25">
      <c r="A13081" t="str">
        <f>HYPERLINK("https://www.773grp.com/globalSearch/UC3710N/page-1", "UC3710N")</f>
        <v>UC3710N</v>
      </c>
      <c r="B13081" s="3" t="s">
        <v>90</v>
      </c>
      <c r="C13081" s="5">
        <v>43</v>
      </c>
      <c r="D13081" s="6">
        <v>10.98</v>
      </c>
      <c r="E13081" t="s">
        <v>13</v>
      </c>
    </row>
    <row r="13082" spans="1:5" x14ac:dyDescent="0.25">
      <c r="A13082" t="str">
        <f>HYPERLINK("https://www.773grp.com/globalSearch/UC3705N/page-1", "UC3705N")</f>
        <v>UC3705N</v>
      </c>
      <c r="B13082" s="3" t="s">
        <v>90</v>
      </c>
      <c r="C13082" s="5">
        <v>320</v>
      </c>
      <c r="D13082" s="6">
        <v>11.03</v>
      </c>
      <c r="E13082" t="s">
        <v>13</v>
      </c>
    </row>
    <row r="13083" spans="1:5" x14ac:dyDescent="0.25">
      <c r="A13083" t="str">
        <f>HYPERLINK("https://www.773grp.com/globalSearch/UC3705NG4/page-1", "UC3705NG4")</f>
        <v>UC3705NG4</v>
      </c>
      <c r="B13083" s="3" t="s">
        <v>90</v>
      </c>
      <c r="C13083" s="5">
        <v>550</v>
      </c>
      <c r="D13083" s="6">
        <v>11.03</v>
      </c>
      <c r="E13083" t="s">
        <v>13</v>
      </c>
    </row>
    <row r="13084" spans="1:5" x14ac:dyDescent="0.25">
      <c r="A13084" t="str">
        <f>HYPERLINK("https://www.773grp.com/globalSearch/UC3710DW/page-1", "UC3710DW")</f>
        <v>UC3710DW</v>
      </c>
      <c r="B13084" s="3" t="s">
        <v>90</v>
      </c>
      <c r="C13084" s="5">
        <v>765</v>
      </c>
      <c r="D13084" s="6">
        <v>11.43</v>
      </c>
      <c r="E13084" t="s">
        <v>13</v>
      </c>
    </row>
    <row r="13085" spans="1:5" x14ac:dyDescent="0.25">
      <c r="A13085" t="str">
        <f>HYPERLINK("https://www.773grp.com/globalSearch/UC3710DW/page-1", "UC3710DW")</f>
        <v>UC3710DW</v>
      </c>
      <c r="B13085" s="3" t="s">
        <v>90</v>
      </c>
      <c r="C13085" s="5">
        <v>660</v>
      </c>
      <c r="D13085" s="6">
        <v>11.43</v>
      </c>
      <c r="E13085" t="s">
        <v>13</v>
      </c>
    </row>
    <row r="13086" spans="1:5" x14ac:dyDescent="0.25">
      <c r="A13086" t="str">
        <f>HYPERLINK("https://www.773grp.com/globalSearch/UC3710DW/page-1", "UC3710DW")</f>
        <v>UC3710DW</v>
      </c>
      <c r="B13086" s="3" t="s">
        <v>90</v>
      </c>
      <c r="C13086" s="5">
        <v>3513</v>
      </c>
      <c r="D13086" s="6">
        <v>11.43</v>
      </c>
      <c r="E13086" t="s">
        <v>13</v>
      </c>
    </row>
    <row r="13087" spans="1:5" x14ac:dyDescent="0.25">
      <c r="A13087" t="str">
        <f>HYPERLINK("https://www.773grp.com/globalSearch/UC2707N/page-1", "UC2707N")</f>
        <v>UC2707N</v>
      </c>
      <c r="B13087" s="3" t="s">
        <v>90</v>
      </c>
      <c r="C13087" s="5">
        <v>126</v>
      </c>
      <c r="D13087" s="6">
        <v>11.48</v>
      </c>
      <c r="E13087" t="s">
        <v>13</v>
      </c>
    </row>
    <row r="13088" spans="1:5" x14ac:dyDescent="0.25">
      <c r="A13088" t="str">
        <f>HYPERLINK("https://www.773grp.com/globalSearch/UC2707N/page-1", "UC2707N")</f>
        <v>UC2707N</v>
      </c>
      <c r="B13088" s="3" t="s">
        <v>90</v>
      </c>
      <c r="C13088" s="5">
        <v>725</v>
      </c>
      <c r="D13088" s="6">
        <v>11.48</v>
      </c>
      <c r="E13088" t="s">
        <v>13</v>
      </c>
    </row>
    <row r="13089" spans="1:5" x14ac:dyDescent="0.25">
      <c r="A13089" t="str">
        <f>HYPERLINK("https://www.773grp.com/globalSearch/UC2707N/page-1", "UC2707N")</f>
        <v>UC2707N</v>
      </c>
      <c r="B13089" s="3" t="s">
        <v>90</v>
      </c>
      <c r="C13089" s="5">
        <v>5725</v>
      </c>
      <c r="D13089" s="6">
        <v>11.48</v>
      </c>
      <c r="E13089" t="s">
        <v>13</v>
      </c>
    </row>
    <row r="13090" spans="1:5" x14ac:dyDescent="0.25">
      <c r="A13090" t="str">
        <f>HYPERLINK("https://www.773grp.com/globalSearch/UC2705N/page-1", "UC2705N")</f>
        <v>UC2705N</v>
      </c>
      <c r="B13090" s="3" t="s">
        <v>90</v>
      </c>
      <c r="C13090" s="5">
        <v>6545</v>
      </c>
      <c r="D13090" s="6">
        <v>11.81</v>
      </c>
      <c r="E13090" t="s">
        <v>13</v>
      </c>
    </row>
    <row r="13091" spans="1:5" x14ac:dyDescent="0.25">
      <c r="A13091" t="str">
        <f>HYPERLINK("https://www.773grp.com/globalSearch/UC2705N/page-1", "UC2705N")</f>
        <v>UC2705N</v>
      </c>
      <c r="B13091" s="3" t="s">
        <v>90</v>
      </c>
      <c r="C13091" s="5">
        <v>367</v>
      </c>
      <c r="D13091" s="6">
        <v>11.81</v>
      </c>
      <c r="E13091" t="s">
        <v>13</v>
      </c>
    </row>
    <row r="13092" spans="1:5" x14ac:dyDescent="0.25">
      <c r="A13092" t="str">
        <f>HYPERLINK("https://www.773grp.com/globalSearch/UC3708N/page-1", "UC3708N")</f>
        <v>UC3708N</v>
      </c>
      <c r="B13092" s="3" t="str">
        <f>HYPERLINK("https://www.773grp.com/manufacturer/texas-instruments?pageNo=41", "Texas Instruments")</f>
        <v>Texas Instruments</v>
      </c>
      <c r="C13092" s="5">
        <v>21</v>
      </c>
      <c r="D13092" s="6">
        <v>12.2</v>
      </c>
      <c r="E13092" t="s">
        <v>13</v>
      </c>
    </row>
    <row r="13093" spans="1:5" x14ac:dyDescent="0.25">
      <c r="A13093" t="str">
        <f>HYPERLINK("https://www.773grp.com/globalSearch/UC3708NE/page-1", "UC3708NE")</f>
        <v>UC3708NE</v>
      </c>
      <c r="B13093" s="3" t="str">
        <f>HYPERLINK("https://www.773grp.com/manufacturer/texas-instruments?pageNo=42", "Texas Instruments")</f>
        <v>Texas Instruments</v>
      </c>
      <c r="C13093" s="5">
        <v>3696</v>
      </c>
      <c r="D13093" s="6">
        <v>12.2</v>
      </c>
      <c r="E13093" t="s">
        <v>13</v>
      </c>
    </row>
    <row r="13094" spans="1:5" x14ac:dyDescent="0.25">
      <c r="A13094" t="str">
        <f>HYPERLINK("https://www.773grp.com/globalSearch/UC2708DW/page-1", "UC2708DW")</f>
        <v>UC2708DW</v>
      </c>
      <c r="B13094" s="3" t="str">
        <f>HYPERLINK("https://www.773grp.com/manufacturer/texas-instruments?pageNo=322", "Texas Instruments")</f>
        <v>Texas Instruments</v>
      </c>
      <c r="C13094" s="5">
        <v>13236</v>
      </c>
      <c r="D13094" s="6">
        <v>12.66</v>
      </c>
      <c r="E13094" t="s">
        <v>13</v>
      </c>
    </row>
    <row r="13095" spans="1:5" x14ac:dyDescent="0.25">
      <c r="A13095" t="str">
        <f>HYPERLINK("https://www.773grp.com/globalSearch/UC2710N/page-1", "UC2710N")</f>
        <v>UC2710N</v>
      </c>
      <c r="B13095" s="3" t="str">
        <f>HYPERLINK("https://www.773grp.com/manufacturer/texas-instruments?pageNo=862", "Texas Instruments")</f>
        <v>Texas Instruments</v>
      </c>
      <c r="C13095" s="5">
        <v>2650</v>
      </c>
      <c r="D13095" s="6">
        <v>13.73</v>
      </c>
      <c r="E13095" t="s">
        <v>13</v>
      </c>
    </row>
    <row r="13096" spans="1:5" x14ac:dyDescent="0.25">
      <c r="A13096" t="str">
        <f>HYPERLINK("https://www.773grp.com/globalSearch/UC1706J-883B/page-1", "UC1706J-883B")</f>
        <v>UC1706J-883B</v>
      </c>
      <c r="B13096" s="3" t="str">
        <f>HYPERLINK("https://www.773grp.com/manufacturer/texas-instruments?pageNo=67", "Texas Instruments")</f>
        <v>Texas Instruments</v>
      </c>
      <c r="C13096" s="5">
        <v>1</v>
      </c>
      <c r="D13096" s="6">
        <v>27.76</v>
      </c>
      <c r="E13096" t="s">
        <v>13</v>
      </c>
    </row>
    <row r="13097" spans="1:5" x14ac:dyDescent="0.25">
      <c r="A13097" t="str">
        <f>HYPERLINK("https://www.773grp.com/globalSearch/TMS3472ADW/page-1", "TMS3472ADW")</f>
        <v>TMS3472ADW</v>
      </c>
      <c r="B13097" s="3" t="str">
        <f>HYPERLINK("https://www.773grp.com/manufacturer/texas-instruments?pageNo=314", "Texas Instruments")</f>
        <v>Texas Instruments</v>
      </c>
      <c r="C13097" s="5">
        <v>772</v>
      </c>
      <c r="D13097" s="6">
        <v>29.16</v>
      </c>
      <c r="E13097" t="s">
        <v>13</v>
      </c>
    </row>
    <row r="13098" spans="1:5" x14ac:dyDescent="0.25">
      <c r="A13098" t="str">
        <f>HYPERLINK("https://www.773grp.com/globalSearch/UC1707J/page-1", "UC1707J")</f>
        <v>UC1707J</v>
      </c>
      <c r="B13098" s="3" t="str">
        <f>HYPERLINK("https://www.773grp.com/manufacturer/texas-instruments?pageNo=802", "Texas Instruments")</f>
        <v>Texas Instruments</v>
      </c>
      <c r="C13098" s="5">
        <v>11</v>
      </c>
      <c r="D13098" s="6">
        <v>32.18</v>
      </c>
      <c r="E13098" t="s">
        <v>13</v>
      </c>
    </row>
    <row r="13099" spans="1:5" x14ac:dyDescent="0.25">
      <c r="A13099" t="str">
        <f>HYPERLINK("https://www.773grp.com/globalSearch/UC3706J/page-1", "UC3706J")</f>
        <v>UC3706J</v>
      </c>
      <c r="B13099" s="3" t="str">
        <f>HYPERLINK("https://www.773grp.com/manufacturer/texas-instruments?pageNo=888", "Texas Instruments")</f>
        <v>Texas Instruments</v>
      </c>
      <c r="C13099" s="5">
        <v>111</v>
      </c>
      <c r="D13099" s="6">
        <v>32.85</v>
      </c>
      <c r="E13099" t="s">
        <v>13</v>
      </c>
    </row>
    <row r="13100" spans="1:5" x14ac:dyDescent="0.25">
      <c r="A13100" t="str">
        <f>HYPERLINK("https://www.773grp.com/globalSearch/UC1710J/page-1", "UC1710J")</f>
        <v>UC1710J</v>
      </c>
      <c r="B13100" s="3" t="str">
        <f>HYPERLINK("https://www.773grp.com/manufacturer/texas-instruments?pageNo=914", "Texas Instruments")</f>
        <v>Texas Instruments</v>
      </c>
      <c r="C13100" s="5">
        <v>1</v>
      </c>
      <c r="D13100" s="6">
        <v>33.130000000000003</v>
      </c>
      <c r="E13100" t="s">
        <v>13</v>
      </c>
    </row>
    <row r="13101" spans="1:5" x14ac:dyDescent="0.25">
      <c r="A13101" t="str">
        <f>HYPERLINK("https://www.773grp.com/globalSearch/UC1708JE/page-1", "UC1708JE")</f>
        <v>UC1708JE</v>
      </c>
      <c r="B13101" s="3" t="s">
        <v>90</v>
      </c>
      <c r="C13101" s="5">
        <v>12</v>
      </c>
      <c r="D13101" s="6">
        <v>35.01</v>
      </c>
      <c r="E13101" t="s">
        <v>13</v>
      </c>
    </row>
    <row r="13102" spans="1:5" x14ac:dyDescent="0.25">
      <c r="A13102" t="str">
        <f>HYPERLINK("https://www.773grp.com/globalSearch/UC1707J883B/page-1", "UC1707J883B")</f>
        <v>UC1707J883B</v>
      </c>
      <c r="B13102" s="3" t="s">
        <v>90</v>
      </c>
      <c r="C13102" s="5">
        <v>37</v>
      </c>
      <c r="D13102" s="6">
        <v>38.090000000000003</v>
      </c>
      <c r="E13102" t="s">
        <v>13</v>
      </c>
    </row>
    <row r="13103" spans="1:5" x14ac:dyDescent="0.25">
      <c r="A13103" t="str">
        <f>HYPERLINK("https://www.773grp.com/globalSearch/5962-8761901EA/page-1", "5962-8761901EA")</f>
        <v>5962-8761901EA</v>
      </c>
      <c r="B13103" s="3" t="s">
        <v>90</v>
      </c>
      <c r="C13103" s="5">
        <v>212</v>
      </c>
      <c r="D13103" s="6">
        <v>38.18</v>
      </c>
      <c r="E13103" t="s">
        <v>13</v>
      </c>
    </row>
    <row r="13104" spans="1:5" x14ac:dyDescent="0.25">
      <c r="A13104" t="str">
        <f>HYPERLINK("https://www.773grp.com/globalSearch/UC1714J/page-1", "UC1714J")</f>
        <v>UC1714J</v>
      </c>
      <c r="B13104" s="3" t="s">
        <v>90</v>
      </c>
      <c r="C13104" s="5">
        <v>120</v>
      </c>
      <c r="D13104" s="6">
        <v>39.49</v>
      </c>
      <c r="E13104" t="s">
        <v>13</v>
      </c>
    </row>
    <row r="13105" spans="1:5" x14ac:dyDescent="0.25">
      <c r="A13105" t="str">
        <f>HYPERLINK("https://www.773grp.com/globalSearch/5962-0051401QPA/page-1", "5962-0051401QPA")</f>
        <v>5962-0051401QPA</v>
      </c>
      <c r="B13105" s="3" t="s">
        <v>90</v>
      </c>
      <c r="C13105" s="5">
        <v>12</v>
      </c>
      <c r="D13105" s="6">
        <v>41.09</v>
      </c>
      <c r="E13105" t="s">
        <v>13</v>
      </c>
    </row>
    <row r="13106" spans="1:5" x14ac:dyDescent="0.25">
      <c r="A13106" t="str">
        <f>HYPERLINK("https://www.773grp.com/globalSearch/UC1708JE883B/page-1", "UC1708JE883B")</f>
        <v>UC1708JE883B</v>
      </c>
      <c r="B13106" s="3" t="s">
        <v>90</v>
      </c>
      <c r="C13106" s="5">
        <v>85</v>
      </c>
      <c r="D13106" s="6">
        <v>41.46</v>
      </c>
      <c r="E13106" t="s">
        <v>13</v>
      </c>
    </row>
    <row r="13107" spans="1:5" x14ac:dyDescent="0.25">
      <c r="A13107" t="str">
        <f>HYPERLINK("https://www.773grp.com/globalSearch/UC1709J/page-1", "UC1709J")</f>
        <v>UC1709J</v>
      </c>
      <c r="B13107" s="3" t="s">
        <v>90</v>
      </c>
      <c r="C13107" s="5">
        <v>3</v>
      </c>
      <c r="D13107" s="6">
        <v>41.74</v>
      </c>
      <c r="E13107" t="s">
        <v>13</v>
      </c>
    </row>
    <row r="13108" spans="1:5" x14ac:dyDescent="0.25">
      <c r="A13108" t="str">
        <f>HYPERLINK("https://www.773grp.com/globalSearch/5962-9579801MPA/page-1", "5962-9579801MPA")</f>
        <v>5962-9579801MPA</v>
      </c>
      <c r="B13108" s="3" t="s">
        <v>90</v>
      </c>
      <c r="C13108" s="5">
        <v>309</v>
      </c>
      <c r="D13108" s="6">
        <v>44.55</v>
      </c>
      <c r="E13108" t="s">
        <v>13</v>
      </c>
    </row>
    <row r="13109" spans="1:5" x14ac:dyDescent="0.25">
      <c r="A13109" t="str">
        <f>HYPERLINK("https://www.773grp.com/globalSearch/UC1707L/page-1", "UC1707L")</f>
        <v>UC1707L</v>
      </c>
      <c r="B13109" s="3" t="s">
        <v>90</v>
      </c>
      <c r="C13109" s="5">
        <v>17</v>
      </c>
      <c r="D13109" s="6">
        <v>45</v>
      </c>
      <c r="E13109" t="s">
        <v>13</v>
      </c>
    </row>
    <row r="13110" spans="1:5" x14ac:dyDescent="0.25">
      <c r="A13110" t="str">
        <f>HYPERLINK("https://www.773grp.com/globalSearch/UC1707J-80313/page-1", "UC1707J-80313")</f>
        <v>UC1707J-80313</v>
      </c>
      <c r="B13110" s="3" t="s">
        <v>90</v>
      </c>
      <c r="C13110" s="5">
        <v>138</v>
      </c>
      <c r="D13110" s="6">
        <v>45.76</v>
      </c>
      <c r="E13110" t="s">
        <v>13</v>
      </c>
    </row>
    <row r="13111" spans="1:5" x14ac:dyDescent="0.25">
      <c r="A13111" t="str">
        <f>HYPERLINK("https://www.773grp.com/globalSearch/5962-8961101EA/page-1", "5962-8961101EA")</f>
        <v>5962-8961101EA</v>
      </c>
      <c r="B13111" s="3" t="s">
        <v>90</v>
      </c>
      <c r="C13111" s="5">
        <v>107</v>
      </c>
      <c r="D13111" s="6">
        <v>49.84</v>
      </c>
      <c r="E13111" t="s">
        <v>13</v>
      </c>
    </row>
    <row r="13112" spans="1:5" x14ac:dyDescent="0.25">
      <c r="A13112" t="str">
        <f>HYPERLINK("https://www.773grp.com/globalSearch/UC1707L883B/page-1", "UC1707L883B")</f>
        <v>UC1707L883B</v>
      </c>
      <c r="B13112" s="3" t="s">
        <v>90</v>
      </c>
      <c r="C13112" s="5">
        <v>20</v>
      </c>
      <c r="D13112" s="6">
        <v>51.25</v>
      </c>
      <c r="E13112" t="s">
        <v>13</v>
      </c>
    </row>
    <row r="13113" spans="1:5" x14ac:dyDescent="0.25">
      <c r="A13113" t="str">
        <f>HYPERLINK("https://www.773grp.com/globalSearch/UC1709L/page-1", "UC1709L")</f>
        <v>UC1709L</v>
      </c>
      <c r="B13113" s="3" t="s">
        <v>90</v>
      </c>
      <c r="C13113" s="5">
        <v>801</v>
      </c>
      <c r="D13113" s="6">
        <v>51.26</v>
      </c>
      <c r="E13113" t="s">
        <v>13</v>
      </c>
    </row>
    <row r="13114" spans="1:5" x14ac:dyDescent="0.25">
      <c r="A13114" t="str">
        <f>HYPERLINK("https://www.773grp.com/globalSearch/UC1708L883B/page-1", "UC1708L883B")</f>
        <v>UC1708L883B</v>
      </c>
      <c r="B13114" s="3" t="s">
        <v>90</v>
      </c>
      <c r="C13114" s="5">
        <v>32</v>
      </c>
      <c r="D13114" s="6">
        <v>54.81</v>
      </c>
      <c r="E13114" t="s">
        <v>13</v>
      </c>
    </row>
    <row r="13115" spans="1:5" x14ac:dyDescent="0.25">
      <c r="A13115" t="str">
        <f>HYPERLINK("https://www.773grp.com/globalSearch/5962-87619012A/page-1", "5962-87619012A")</f>
        <v>5962-87619012A</v>
      </c>
      <c r="B13115" s="3" t="s">
        <v>90</v>
      </c>
      <c r="C13115" s="5">
        <v>51</v>
      </c>
      <c r="D13115" s="6">
        <v>62.74</v>
      </c>
      <c r="E13115" t="s">
        <v>13</v>
      </c>
    </row>
    <row r="13116" spans="1:5" x14ac:dyDescent="0.25">
      <c r="A13116" t="str">
        <f>HYPERLINK("https://www.773grp.com/globalSearch/UC1710SP/page-1", "UC1710SP")</f>
        <v>UC1710SP</v>
      </c>
      <c r="B13116" s="3" t="str">
        <f>HYPERLINK("https://www.773grp.com/manufacturer/texas-instruments?pageNo=427", "Texas Instruments")</f>
        <v>Texas Instruments</v>
      </c>
      <c r="C13116" s="5">
        <v>95</v>
      </c>
      <c r="D13116" s="6">
        <v>196.39</v>
      </c>
      <c r="E13116" t="s">
        <v>13</v>
      </c>
    </row>
    <row r="13117" spans="1:5" x14ac:dyDescent="0.25">
      <c r="A13117" t="str">
        <f>HYPERLINK("https://www.773grp.com/globalSearch/5962-0051401VPA/page-1", "5962-0051401VPA")</f>
        <v>5962-0051401VPA</v>
      </c>
      <c r="B13117" s="3" t="s">
        <v>90</v>
      </c>
      <c r="C13117" s="5">
        <v>134</v>
      </c>
      <c r="D13117" s="6">
        <v>275.45</v>
      </c>
      <c r="E13117" t="s">
        <v>13</v>
      </c>
    </row>
    <row r="13118" spans="1:5" x14ac:dyDescent="0.25">
      <c r="A13118" t="str">
        <f>HYPERLINK("https://www.773grp.com/globalSearch/5962-0151201VPA/page-1", "5962-0151201VPA")</f>
        <v>5962-0151201VPA</v>
      </c>
      <c r="B13118" s="3" t="s">
        <v>90</v>
      </c>
      <c r="C13118" s="5">
        <v>9</v>
      </c>
      <c r="D13118" s="6">
        <v>300</v>
      </c>
      <c r="E13118" t="s">
        <v>13</v>
      </c>
    </row>
    <row r="13119" spans="1:5" x14ac:dyDescent="0.25">
      <c r="A13119" t="str">
        <f>HYPERLINK("https://www.773grp.com/globalSearch/5962-8761901V2A/page-1", "5962-8761901V2A")</f>
        <v>5962-8761901V2A</v>
      </c>
      <c r="B13119" s="3" t="s">
        <v>90</v>
      </c>
      <c r="C13119" s="5">
        <v>40</v>
      </c>
      <c r="D13119" s="6">
        <v>538.89</v>
      </c>
      <c r="E13119" t="s">
        <v>13</v>
      </c>
    </row>
    <row r="13120" spans="1:5" x14ac:dyDescent="0.25">
      <c r="A13120" t="str">
        <f>HYPERLINK("https://www.773grp.com/globalSearch/UC2714DP/page-1", "UC2714DP")</f>
        <v>UC2714DP</v>
      </c>
      <c r="B13120" s="3" t="s">
        <v>112</v>
      </c>
      <c r="C13120" s="5">
        <v>2920</v>
      </c>
      <c r="D13120" s="6">
        <v>2.95</v>
      </c>
      <c r="E13120" t="s">
        <v>13</v>
      </c>
    </row>
    <row r="13121" spans="1:5" x14ac:dyDescent="0.25">
      <c r="A13121" t="str">
        <f>HYPERLINK("https://www.773grp.com/globalSearch/UC2714DPTR/page-1", "UC2714DPTR")</f>
        <v>UC2714DPTR</v>
      </c>
      <c r="B13121" s="3" t="s">
        <v>112</v>
      </c>
      <c r="C13121" s="5">
        <v>2500</v>
      </c>
      <c r="D13121" s="6">
        <v>2.95</v>
      </c>
      <c r="E13121" t="s">
        <v>13</v>
      </c>
    </row>
    <row r="13122" spans="1:5" x14ac:dyDescent="0.25">
      <c r="A13122" t="str">
        <f>HYPERLINK("https://www.773grp.com/globalSearch/UC3715DP/page-1", "UC3715DP")</f>
        <v>UC3715DP</v>
      </c>
      <c r="B13122" s="3" t="s">
        <v>112</v>
      </c>
      <c r="C13122" s="5">
        <v>2275</v>
      </c>
      <c r="D13122" s="6">
        <v>3.09</v>
      </c>
      <c r="E13122" t="s">
        <v>13</v>
      </c>
    </row>
    <row r="13123" spans="1:5" x14ac:dyDescent="0.25">
      <c r="A13123" t="str">
        <f>HYPERLINK("https://www.773grp.com/globalSearch/UC3714D/page-1", "UC3714D")</f>
        <v>UC3714D</v>
      </c>
      <c r="B13123" s="3" t="s">
        <v>112</v>
      </c>
      <c r="C13123" s="5">
        <v>603</v>
      </c>
      <c r="D13123" s="6">
        <v>3.24</v>
      </c>
      <c r="E13123" t="s">
        <v>13</v>
      </c>
    </row>
    <row r="13124" spans="1:5" x14ac:dyDescent="0.25">
      <c r="A13124" t="str">
        <f>HYPERLINK("https://www.773grp.com/globalSearch/UC3714DP/page-1", "UC3714DP")</f>
        <v>UC3714DP</v>
      </c>
      <c r="B13124" s="3" t="s">
        <v>112</v>
      </c>
      <c r="C13124" s="5">
        <v>5130</v>
      </c>
      <c r="D13124" s="6">
        <v>3.24</v>
      </c>
      <c r="E13124" t="s">
        <v>13</v>
      </c>
    </row>
    <row r="13125" spans="1:5" x14ac:dyDescent="0.25">
      <c r="A13125" t="str">
        <f>HYPERLINK("https://www.773grp.com/globalSearch/UC2715DP/page-1", "UC2715DP")</f>
        <v>UC2715DP</v>
      </c>
      <c r="B13125" s="3" t="s">
        <v>112</v>
      </c>
      <c r="C13125" s="5">
        <v>3200</v>
      </c>
      <c r="D13125" s="6">
        <v>3.38</v>
      </c>
      <c r="E13125" t="s">
        <v>13</v>
      </c>
    </row>
    <row r="13126" spans="1:5" x14ac:dyDescent="0.25">
      <c r="A13126" t="str">
        <f>HYPERLINK("https://www.773grp.com/globalSearch/UC3714N/page-1", "UC3714N")</f>
        <v>UC3714N</v>
      </c>
      <c r="B13126" s="3" t="s">
        <v>112</v>
      </c>
      <c r="C13126" s="5">
        <v>4512</v>
      </c>
      <c r="D13126" s="6">
        <v>3.6</v>
      </c>
      <c r="E13126" t="s">
        <v>13</v>
      </c>
    </row>
    <row r="13127" spans="1:5" x14ac:dyDescent="0.25">
      <c r="A13127" t="str">
        <f>HYPERLINK("https://www.773grp.com/globalSearch/UC2714N/page-1", "UC2714N")</f>
        <v>UC2714N</v>
      </c>
      <c r="B13127" s="3" t="s">
        <v>112</v>
      </c>
      <c r="C13127" s="5">
        <v>3350</v>
      </c>
      <c r="D13127" s="6">
        <v>3.89</v>
      </c>
      <c r="E13127" t="s">
        <v>13</v>
      </c>
    </row>
    <row r="13128" spans="1:5" x14ac:dyDescent="0.25">
      <c r="A13128" t="str">
        <f>HYPERLINK("https://www.773grp.com/globalSearch/UCC27324P/page-1", "UCC27324P")</f>
        <v>UCC27324P</v>
      </c>
      <c r="B13128" s="3" t="s">
        <v>112</v>
      </c>
      <c r="C13128" s="5">
        <v>1304</v>
      </c>
      <c r="D13128" s="6">
        <v>4.54</v>
      </c>
      <c r="E13128" t="s">
        <v>13</v>
      </c>
    </row>
    <row r="13129" spans="1:5" x14ac:dyDescent="0.25">
      <c r="A13129" t="str">
        <f>HYPERLINK("https://www.773grp.com/globalSearch/UCC27325P/page-1", "UCC27325P")</f>
        <v>UCC27325P</v>
      </c>
      <c r="B13129" s="3" t="s">
        <v>112</v>
      </c>
      <c r="C13129" s="5">
        <v>3500</v>
      </c>
      <c r="D13129" s="6">
        <v>4.54</v>
      </c>
      <c r="E13129" t="s">
        <v>13</v>
      </c>
    </row>
    <row r="13130" spans="1:5" x14ac:dyDescent="0.25">
      <c r="A13130" t="str">
        <f>HYPERLINK("https://www.773grp.com/globalSearch/UCC27323DGN/page-1", "UCC27323DGN")</f>
        <v>UCC27323DGN</v>
      </c>
      <c r="B13130" s="3" t="s">
        <v>112</v>
      </c>
      <c r="C13130" s="5">
        <v>110</v>
      </c>
      <c r="D13130" s="6">
        <v>4.74</v>
      </c>
      <c r="E13130" t="s">
        <v>13</v>
      </c>
    </row>
    <row r="13131" spans="1:5" x14ac:dyDescent="0.25">
      <c r="A13131" t="str">
        <f>HYPERLINK("https://www.773grp.com/globalSearch/UCC37323DGN/page-1", "UCC37323DGN")</f>
        <v>UCC37323DGN</v>
      </c>
      <c r="B13131" s="3" t="s">
        <v>112</v>
      </c>
      <c r="C13131" s="5">
        <v>240</v>
      </c>
      <c r="D13131" s="6">
        <v>4.74</v>
      </c>
      <c r="E13131" t="s">
        <v>13</v>
      </c>
    </row>
    <row r="13132" spans="1:5" x14ac:dyDescent="0.25">
      <c r="A13132" t="str">
        <f>HYPERLINK("https://www.773grp.com/globalSearch/UC3706Q/page-1", "UC3706Q")</f>
        <v>UC3706Q</v>
      </c>
      <c r="B13132" s="3" t="s">
        <v>112</v>
      </c>
      <c r="C13132" s="5">
        <v>3128</v>
      </c>
      <c r="D13132" s="6">
        <v>6.46</v>
      </c>
      <c r="E13132" t="s">
        <v>13</v>
      </c>
    </row>
    <row r="13133" spans="1:5" x14ac:dyDescent="0.25">
      <c r="A13133" t="str">
        <f>HYPERLINK("https://www.773grp.com/globalSearch/UC2706DW/page-1", "UC2706DW")</f>
        <v>UC2706DW</v>
      </c>
      <c r="B13133" s="3" t="s">
        <v>112</v>
      </c>
      <c r="C13133" s="5">
        <v>707</v>
      </c>
      <c r="D13133" s="6">
        <v>8.4</v>
      </c>
      <c r="E13133" t="s">
        <v>13</v>
      </c>
    </row>
    <row r="13134" spans="1:5" x14ac:dyDescent="0.25">
      <c r="A13134" t="str">
        <f>HYPERLINK("https://www.773grp.com/globalSearch/UC2706QTR/page-1", "UC2706QTR")</f>
        <v>UC2706QTR</v>
      </c>
      <c r="B13134" s="3" t="s">
        <v>112</v>
      </c>
      <c r="C13134" s="5">
        <v>2000</v>
      </c>
      <c r="D13134" s="6">
        <v>9</v>
      </c>
      <c r="E13134" t="s">
        <v>13</v>
      </c>
    </row>
    <row r="13135" spans="1:5" x14ac:dyDescent="0.25">
      <c r="A13135" t="str">
        <f>HYPERLINK("https://www.773grp.com/globalSearch/UC3706N/page-1", "UC3706N")</f>
        <v>UC3706N</v>
      </c>
      <c r="B13135" s="3" t="s">
        <v>112</v>
      </c>
      <c r="C13135" s="5">
        <v>31</v>
      </c>
      <c r="D13135" s="6">
        <v>9.06</v>
      </c>
      <c r="E13135" t="s">
        <v>13</v>
      </c>
    </row>
    <row r="13136" spans="1:5" x14ac:dyDescent="0.25">
      <c r="A13136" t="str">
        <f>HYPERLINK("https://www.773grp.com/globalSearch/UC3706N/page-1", "UC3706N")</f>
        <v>UC3706N</v>
      </c>
      <c r="B13136" s="3" t="s">
        <v>112</v>
      </c>
      <c r="C13136" s="5">
        <v>75</v>
      </c>
      <c r="D13136" s="6">
        <v>9.06</v>
      </c>
      <c r="E13136" t="s">
        <v>13</v>
      </c>
    </row>
    <row r="13137" spans="1:5" x14ac:dyDescent="0.25">
      <c r="A13137" t="str">
        <f>HYPERLINK("https://www.773grp.com/globalSearch/UC3705T/page-1", "UC3705T")</f>
        <v>UC3705T</v>
      </c>
      <c r="B13137" s="3" t="s">
        <v>112</v>
      </c>
      <c r="C13137" s="5">
        <v>50</v>
      </c>
      <c r="D13137" s="6">
        <v>9.84</v>
      </c>
      <c r="E13137" t="s">
        <v>13</v>
      </c>
    </row>
    <row r="13138" spans="1:5" x14ac:dyDescent="0.25">
      <c r="A13138" t="str">
        <f>HYPERLINK("https://www.773grp.com/globalSearch/UC3705T/page-1", "UC3705T")</f>
        <v>UC3705T</v>
      </c>
      <c r="B13138" s="3" t="s">
        <v>112</v>
      </c>
      <c r="C13138" s="5">
        <v>10723</v>
      </c>
      <c r="D13138" s="6">
        <v>9.84</v>
      </c>
      <c r="E13138" t="s">
        <v>13</v>
      </c>
    </row>
    <row r="13139" spans="1:5" x14ac:dyDescent="0.25">
      <c r="A13139" t="str">
        <f>HYPERLINK("https://www.773grp.com/globalSearch/UC2707DW/page-1", "UC2707DW")</f>
        <v>UC2707DW</v>
      </c>
      <c r="B13139" s="3" t="s">
        <v>112</v>
      </c>
      <c r="C13139" s="5">
        <v>960</v>
      </c>
      <c r="D13139" s="6">
        <v>10.41</v>
      </c>
      <c r="E13139" t="s">
        <v>13</v>
      </c>
    </row>
    <row r="13140" spans="1:5" x14ac:dyDescent="0.25">
      <c r="A13140" t="str">
        <f>HYPERLINK("https://www.773grp.com/globalSearch/UC2709DW/page-1", "UC2709DW")</f>
        <v>UC2709DW</v>
      </c>
      <c r="B13140" s="3" t="s">
        <v>112</v>
      </c>
      <c r="C13140" s="5">
        <v>615</v>
      </c>
      <c r="D13140" s="6">
        <v>10.6</v>
      </c>
      <c r="E13140" t="s">
        <v>13</v>
      </c>
    </row>
    <row r="13141" spans="1:5" x14ac:dyDescent="0.25">
      <c r="A13141" t="str">
        <f>HYPERLINK("https://www.773grp.com/globalSearch/UC3705N/page-1", "UC3705N")</f>
        <v>UC3705N</v>
      </c>
      <c r="B13141" s="3" t="s">
        <v>112</v>
      </c>
      <c r="C13141" s="5">
        <v>10</v>
      </c>
      <c r="D13141" s="6">
        <v>11.03</v>
      </c>
      <c r="E13141" t="s">
        <v>13</v>
      </c>
    </row>
    <row r="13142" spans="1:5" x14ac:dyDescent="0.25">
      <c r="A13142" t="str">
        <f>HYPERLINK("https://www.773grp.com/globalSearch/UC3711Q/page-1", "UC3711Q")</f>
        <v>UC3711Q</v>
      </c>
      <c r="B13142" s="3" t="s">
        <v>112</v>
      </c>
      <c r="C13142" s="5">
        <v>1358</v>
      </c>
      <c r="D13142" s="6">
        <v>11.03</v>
      </c>
      <c r="E13142" t="s">
        <v>13</v>
      </c>
    </row>
    <row r="13143" spans="1:5" x14ac:dyDescent="0.25">
      <c r="A13143" t="str">
        <f>HYPERLINK("https://www.773grp.com/globalSearch/UC3710DW/page-1", "UC3710DW")</f>
        <v>UC3710DW</v>
      </c>
      <c r="B13143" s="3" t="s">
        <v>112</v>
      </c>
      <c r="C13143" s="5">
        <v>20</v>
      </c>
      <c r="D13143" s="6">
        <v>11.43</v>
      </c>
      <c r="E13143" t="s">
        <v>13</v>
      </c>
    </row>
    <row r="13144" spans="1:5" x14ac:dyDescent="0.25">
      <c r="A13144" t="str">
        <f>HYPERLINK("https://www.773grp.com/globalSearch/UC3710DW/page-1", "UC3710DW")</f>
        <v>UC3710DW</v>
      </c>
      <c r="B13144" s="3" t="s">
        <v>112</v>
      </c>
      <c r="C13144" s="5">
        <v>3240</v>
      </c>
      <c r="D13144" s="6">
        <v>11.43</v>
      </c>
      <c r="E13144" t="s">
        <v>13</v>
      </c>
    </row>
    <row r="13145" spans="1:5" x14ac:dyDescent="0.25">
      <c r="A13145" t="str">
        <f>HYPERLINK("https://www.773grp.com/globalSearch/UC2707N/page-1", "UC2707N")</f>
        <v>UC2707N</v>
      </c>
      <c r="B13145" s="3" t="s">
        <v>112</v>
      </c>
      <c r="C13145" s="5">
        <v>25</v>
      </c>
      <c r="D13145" s="6">
        <v>11.48</v>
      </c>
      <c r="E13145" t="s">
        <v>13</v>
      </c>
    </row>
    <row r="13146" spans="1:5" x14ac:dyDescent="0.25">
      <c r="A13146" t="str">
        <f>HYPERLINK("https://www.773grp.com/globalSearch/UC2707N/page-1", "UC2707N")</f>
        <v>UC2707N</v>
      </c>
      <c r="B13146" s="3" t="s">
        <v>112</v>
      </c>
      <c r="C13146" s="5">
        <v>9</v>
      </c>
      <c r="D13146" s="6">
        <v>11.48</v>
      </c>
      <c r="E13146" t="s">
        <v>13</v>
      </c>
    </row>
    <row r="13147" spans="1:5" x14ac:dyDescent="0.25">
      <c r="A13147" t="str">
        <f>HYPERLINK("https://www.773grp.com/globalSearch/UC2705N/page-1", "UC2705N")</f>
        <v>UC2705N</v>
      </c>
      <c r="B13147" s="3" t="s">
        <v>112</v>
      </c>
      <c r="C13147" s="5">
        <v>500</v>
      </c>
      <c r="D13147" s="6">
        <v>11.81</v>
      </c>
      <c r="E13147" t="s">
        <v>13</v>
      </c>
    </row>
    <row r="13148" spans="1:5" x14ac:dyDescent="0.25">
      <c r="A13148" t="str">
        <f>HYPERLINK("https://www.773grp.com/globalSearch/UC3708JE/page-1", "UC3708JE")</f>
        <v>UC3708JE</v>
      </c>
      <c r="B13148" s="3" t="s">
        <v>112</v>
      </c>
      <c r="C13148" s="5">
        <v>100</v>
      </c>
      <c r="D13148" s="6">
        <v>17.73</v>
      </c>
      <c r="E13148" t="s">
        <v>13</v>
      </c>
    </row>
    <row r="13149" spans="1:5" x14ac:dyDescent="0.25">
      <c r="A13149" t="str">
        <f>HYPERLINK("https://www.773grp.com/globalSearch/UC1710J883B/page-1", "UC1710J883B")</f>
        <v>UC1710J883B</v>
      </c>
      <c r="B13149" s="3" t="s">
        <v>112</v>
      </c>
      <c r="C13149" s="5">
        <v>131</v>
      </c>
      <c r="D13149" s="6">
        <v>35.58</v>
      </c>
      <c r="E13149" t="s">
        <v>13</v>
      </c>
    </row>
    <row r="13150" spans="1:5" x14ac:dyDescent="0.25">
      <c r="A13150" t="str">
        <f>HYPERLINK("https://www.773grp.com/globalSearch/UC1708JE883B/page-1", "UC1708JE883B")</f>
        <v>UC1708JE883B</v>
      </c>
      <c r="B13150" s="3" t="s">
        <v>112</v>
      </c>
      <c r="C13150" s="5">
        <v>49</v>
      </c>
      <c r="D13150" s="6">
        <v>41.46</v>
      </c>
      <c r="E13150" t="s">
        <v>13</v>
      </c>
    </row>
    <row r="13151" spans="1:5" x14ac:dyDescent="0.25">
      <c r="A13151" t="str">
        <f>HYPERLINK("https://www.773grp.com/globalSearch/UC1707L883B/page-1", "UC1707L883B")</f>
        <v>UC1707L883B</v>
      </c>
      <c r="B13151" s="3" t="s">
        <v>112</v>
      </c>
      <c r="C13151" s="5">
        <v>64</v>
      </c>
      <c r="D13151" s="6">
        <v>51.25</v>
      </c>
      <c r="E13151" t="s">
        <v>13</v>
      </c>
    </row>
    <row r="13152" spans="1:5" x14ac:dyDescent="0.25">
      <c r="A13152" t="str">
        <f>HYPERLINK("https://www.773grp.com/globalSearch/UC1709L/page-1", "UC1709L")</f>
        <v>UC1709L</v>
      </c>
      <c r="B13152" s="3" t="s">
        <v>112</v>
      </c>
      <c r="C13152" s="5">
        <v>383</v>
      </c>
      <c r="D13152" s="6">
        <v>51.26</v>
      </c>
      <c r="E13152" t="s">
        <v>13</v>
      </c>
    </row>
    <row r="13153" spans="1:5" x14ac:dyDescent="0.25">
      <c r="A13153" t="str">
        <f>HYPERLINK("https://www.773grp.com/globalSearch/UC1708L883B/page-1", "UC1708L883B")</f>
        <v>UC1708L883B</v>
      </c>
      <c r="B13153" s="3" t="s">
        <v>112</v>
      </c>
      <c r="C13153" s="5">
        <v>14</v>
      </c>
      <c r="D13153" s="6">
        <v>54.81</v>
      </c>
      <c r="E13153" t="s">
        <v>13</v>
      </c>
    </row>
    <row r="13154" spans="1:5" x14ac:dyDescent="0.25">
      <c r="A13154" t="str">
        <f>HYPERLINK("https://www.773grp.com/globalSearch/DRV8801RTYT/page-1", "DRV8801RTYT")</f>
        <v>DRV8801RTYT</v>
      </c>
      <c r="B13154" s="3" t="s">
        <v>90</v>
      </c>
      <c r="C13154" s="5">
        <v>7500</v>
      </c>
      <c r="D13154" s="6">
        <v>4.09</v>
      </c>
      <c r="E13154" t="s">
        <v>51</v>
      </c>
    </row>
    <row r="13155" spans="1:5" x14ac:dyDescent="0.25">
      <c r="A13155" t="str">
        <f>HYPERLINK("https://www.773grp.com/globalSearch/DRV8801PWP/page-1", "DRV8801PWP")</f>
        <v>DRV8801PWP</v>
      </c>
      <c r="B13155" s="3" t="s">
        <v>90</v>
      </c>
      <c r="C13155" s="5">
        <v>4401</v>
      </c>
      <c r="D13155" s="6">
        <v>4.2300000000000004</v>
      </c>
      <c r="E13155" t="s">
        <v>51</v>
      </c>
    </row>
    <row r="13156" spans="1:5" x14ac:dyDescent="0.25">
      <c r="A13156" t="str">
        <f>HYPERLINK("https://www.773grp.com/globalSearch/DRV8812PWPR/page-1", "DRV8812PWPR")</f>
        <v>DRV8812PWPR</v>
      </c>
      <c r="B13156" s="3" t="s">
        <v>90</v>
      </c>
      <c r="C13156" s="5">
        <v>2000</v>
      </c>
      <c r="D13156" s="6">
        <v>4.6399999999999997</v>
      </c>
      <c r="E13156" t="s">
        <v>51</v>
      </c>
    </row>
    <row r="13157" spans="1:5" x14ac:dyDescent="0.25">
      <c r="A13157" t="str">
        <f>HYPERLINK("https://www.773grp.com/globalSearch/DRV8812PWP/page-1", "DRV8812PWP")</f>
        <v>DRV8812PWP</v>
      </c>
      <c r="B13157" s="3" t="s">
        <v>90</v>
      </c>
      <c r="C13157" s="5">
        <v>150</v>
      </c>
      <c r="D13157" s="6">
        <v>5.49</v>
      </c>
      <c r="E13157" t="s">
        <v>51</v>
      </c>
    </row>
    <row r="13158" spans="1:5" x14ac:dyDescent="0.25">
      <c r="A13158" t="str">
        <f>HYPERLINK("https://www.773grp.com/globalSearch/DRV8828PWP/page-1", "DRV8828PWP")</f>
        <v>DRV8828PWP</v>
      </c>
      <c r="B13158" s="3" t="s">
        <v>90</v>
      </c>
      <c r="C13158" s="5">
        <v>1053</v>
      </c>
      <c r="D13158" s="6">
        <v>5.49</v>
      </c>
      <c r="E13158" t="s">
        <v>51</v>
      </c>
    </row>
    <row r="13159" spans="1:5" x14ac:dyDescent="0.25">
      <c r="A13159" t="str">
        <f>HYPERLINK("https://www.773grp.com/globalSearch/DRV8821DCAR/page-1", "DRV8821DCAR")</f>
        <v>DRV8821DCAR</v>
      </c>
      <c r="B13159" s="3" t="s">
        <v>90</v>
      </c>
      <c r="C13159" s="5">
        <v>6000</v>
      </c>
      <c r="D13159" s="6">
        <v>5.63</v>
      </c>
      <c r="E13159" t="s">
        <v>51</v>
      </c>
    </row>
    <row r="13160" spans="1:5" x14ac:dyDescent="0.25">
      <c r="A13160" t="str">
        <f>HYPERLINK("https://www.773grp.com/globalSearch/TPIC0108BDWP/page-1", "TPIC0108BDWP")</f>
        <v>TPIC0108BDWP</v>
      </c>
      <c r="B13160" s="3" t="str">
        <f>HYPERLINK("https://www.773grp.com/manufacturer/texas-instruments?pageNo=129", "Texas Instruments")</f>
        <v>Texas Instruments</v>
      </c>
      <c r="C13160" s="5">
        <v>10</v>
      </c>
      <c r="D13160" s="6">
        <v>6.46</v>
      </c>
      <c r="E13160" t="s">
        <v>51</v>
      </c>
    </row>
    <row r="13161" spans="1:5" x14ac:dyDescent="0.25">
      <c r="A13161" t="str">
        <f>HYPERLINK("https://www.773grp.com/globalSearch/DRV8821DCA/page-1", "DRV8821DCA")</f>
        <v>DRV8821DCA</v>
      </c>
      <c r="B13161" s="3" t="str">
        <f>HYPERLINK("https://www.773grp.com/manufacturer/texas-instruments?pageNo=455", "Texas Instruments")</f>
        <v>Texas Instruments</v>
      </c>
      <c r="C13161" s="5">
        <v>98</v>
      </c>
      <c r="D13161" s="6">
        <v>6.75</v>
      </c>
      <c r="E13161" t="s">
        <v>51</v>
      </c>
    </row>
    <row r="13162" spans="1:5" x14ac:dyDescent="0.25">
      <c r="A13162" t="str">
        <f>HYPERLINK("https://www.773grp.com/globalSearch/DRV8823DCA/page-1", "DRV8823DCA")</f>
        <v>DRV8823DCA</v>
      </c>
      <c r="B13162" s="3" t="str">
        <f>HYPERLINK("https://www.773grp.com/manufacturer/texas-instruments?pageNo=456", "Texas Instruments")</f>
        <v>Texas Instruments</v>
      </c>
      <c r="C13162" s="5">
        <v>620</v>
      </c>
      <c r="D13162" s="6">
        <v>6.75</v>
      </c>
      <c r="E13162" t="s">
        <v>51</v>
      </c>
    </row>
    <row r="13163" spans="1:5" x14ac:dyDescent="0.25">
      <c r="A13163" t="str">
        <f>HYPERLINK("https://www.773grp.com/globalSearch/TPIC43T02DA/page-1", "TPIC43T02DA")</f>
        <v>TPIC43T02DA</v>
      </c>
      <c r="B13163" s="3" t="s">
        <v>90</v>
      </c>
      <c r="C13163" s="5">
        <v>400</v>
      </c>
      <c r="D13163" s="6">
        <v>7.46</v>
      </c>
      <c r="E13163" t="s">
        <v>51</v>
      </c>
    </row>
    <row r="13164" spans="1:5" x14ac:dyDescent="0.25">
      <c r="A13164" t="str">
        <f>HYPERLINK("https://www.773grp.com/globalSearch/UC3717Q/page-1", "UC3717Q")</f>
        <v>UC3717Q</v>
      </c>
      <c r="B13164" s="3" t="s">
        <v>90</v>
      </c>
      <c r="C13164" s="5">
        <v>6298</v>
      </c>
      <c r="D13164" s="6">
        <v>8.0500000000000007</v>
      </c>
      <c r="E13164" t="s">
        <v>51</v>
      </c>
    </row>
    <row r="13165" spans="1:5" x14ac:dyDescent="0.25">
      <c r="A13165" t="str">
        <f>HYPERLINK("https://www.773grp.com/globalSearch/ADS1202IPWT/page-1", "ADS1202IPWT")</f>
        <v>ADS1202IPWT</v>
      </c>
      <c r="B13165" s="3" t="s">
        <v>90</v>
      </c>
      <c r="C13165" s="5">
        <v>500</v>
      </c>
      <c r="D13165" s="6">
        <v>8.15</v>
      </c>
      <c r="E13165" t="s">
        <v>51</v>
      </c>
    </row>
    <row r="13166" spans="1:5" x14ac:dyDescent="0.25">
      <c r="A13166" t="str">
        <f>HYPERLINK("https://www.773grp.com/globalSearch/UC3178QPTR/page-1", "UC3178QPTR")</f>
        <v>UC3178QPTR</v>
      </c>
      <c r="B13166" s="3" t="s">
        <v>90</v>
      </c>
      <c r="C13166" s="5">
        <v>12000</v>
      </c>
      <c r="D13166" s="6">
        <v>8.3000000000000007</v>
      </c>
      <c r="E13166" t="s">
        <v>51</v>
      </c>
    </row>
    <row r="13167" spans="1:5" x14ac:dyDescent="0.25">
      <c r="A13167" t="str">
        <f>HYPERLINK("https://www.773grp.com/globalSearch/UC3172ADWP/page-1", "UC3172ADWP")</f>
        <v>UC3172ADWP</v>
      </c>
      <c r="B13167" s="3" t="s">
        <v>90</v>
      </c>
      <c r="C13167" s="5">
        <v>2609</v>
      </c>
      <c r="D13167" s="6">
        <v>8.44</v>
      </c>
      <c r="E13167" t="s">
        <v>51</v>
      </c>
    </row>
    <row r="13168" spans="1:5" x14ac:dyDescent="0.25">
      <c r="A13168" t="str">
        <f>HYPERLINK("https://www.773grp.com/globalSearch/UC3770AQTR/page-1", "UC3770AQTR")</f>
        <v>UC3770AQTR</v>
      </c>
      <c r="B13168" s="3" t="s">
        <v>90</v>
      </c>
      <c r="C13168" s="5">
        <v>9750</v>
      </c>
      <c r="D13168" s="6">
        <v>9.25</v>
      </c>
      <c r="E13168" t="s">
        <v>51</v>
      </c>
    </row>
    <row r="13169" spans="1:5" x14ac:dyDescent="0.25">
      <c r="A13169" t="str">
        <f>HYPERLINK("https://www.773grp.com/globalSearch/UC3638DWTR/page-1", "UC3638DWTR")</f>
        <v>UC3638DWTR</v>
      </c>
      <c r="B13169" s="3" t="s">
        <v>90</v>
      </c>
      <c r="C13169" s="5">
        <v>12750</v>
      </c>
      <c r="D13169" s="6">
        <v>9.2899999999999991</v>
      </c>
      <c r="E13169" t="s">
        <v>51</v>
      </c>
    </row>
    <row r="13170" spans="1:5" x14ac:dyDescent="0.25">
      <c r="A13170" t="str">
        <f>HYPERLINK("https://www.773grp.com/globalSearch/UC3637DWTR/page-1", "UC3637DWTR")</f>
        <v>UC3637DWTR</v>
      </c>
      <c r="B13170" s="3" t="s">
        <v>90</v>
      </c>
      <c r="C13170" s="5">
        <v>18000</v>
      </c>
      <c r="D13170" s="6">
        <v>9.4499999999999993</v>
      </c>
      <c r="E13170" t="s">
        <v>51</v>
      </c>
    </row>
    <row r="13171" spans="1:5" x14ac:dyDescent="0.25">
      <c r="A13171" t="str">
        <f>HYPERLINK("https://www.773grp.com/globalSearch/UC3172AQP/page-1", "UC3172AQP")</f>
        <v>UC3172AQP</v>
      </c>
      <c r="B13171" s="3" t="s">
        <v>90</v>
      </c>
      <c r="C13171" s="5">
        <v>346</v>
      </c>
      <c r="D13171" s="6">
        <v>9.6999999999999993</v>
      </c>
      <c r="E13171" t="s">
        <v>51</v>
      </c>
    </row>
    <row r="13172" spans="1:5" x14ac:dyDescent="0.25">
      <c r="A13172" t="str">
        <f>HYPERLINK("https://www.773grp.com/globalSearch/UC2637DWTR/page-1", "UC2637DWTR")</f>
        <v>UC2637DWTR</v>
      </c>
      <c r="B13172" s="3" t="s">
        <v>90</v>
      </c>
      <c r="C13172" s="5">
        <v>113494</v>
      </c>
      <c r="D13172" s="6">
        <v>10.35</v>
      </c>
      <c r="E13172" t="s">
        <v>51</v>
      </c>
    </row>
    <row r="13173" spans="1:5" x14ac:dyDescent="0.25">
      <c r="A13173" t="str">
        <f>HYPERLINK("https://www.773grp.com/globalSearch/UC2637QTR/page-1", "UC2637QTR")</f>
        <v>UC2637QTR</v>
      </c>
      <c r="B13173" s="3" t="s">
        <v>90</v>
      </c>
      <c r="C13173" s="5">
        <v>5000</v>
      </c>
      <c r="D13173" s="6">
        <v>10.35</v>
      </c>
      <c r="E13173" t="s">
        <v>51</v>
      </c>
    </row>
    <row r="13174" spans="1:5" x14ac:dyDescent="0.25">
      <c r="A13174" t="str">
        <f>HYPERLINK("https://www.773grp.com/globalSearch/UC3178QP/page-1", "UC3178QP")</f>
        <v>UC3178QP</v>
      </c>
      <c r="B13174" s="3" t="s">
        <v>90</v>
      </c>
      <c r="C13174" s="5">
        <v>6830</v>
      </c>
      <c r="D13174" s="6">
        <v>10.38</v>
      </c>
      <c r="E13174" t="s">
        <v>51</v>
      </c>
    </row>
    <row r="13175" spans="1:5" x14ac:dyDescent="0.25">
      <c r="A13175" t="str">
        <f>HYPERLINK("https://www.773grp.com/globalSearch/UC2638DWTR/page-1", "UC2638DWTR")</f>
        <v>UC2638DWTR</v>
      </c>
      <c r="B13175" s="3" t="s">
        <v>90</v>
      </c>
      <c r="C13175" s="5">
        <v>28000</v>
      </c>
      <c r="D13175" s="6">
        <v>10.55</v>
      </c>
      <c r="E13175" t="s">
        <v>51</v>
      </c>
    </row>
    <row r="13176" spans="1:5" x14ac:dyDescent="0.25">
      <c r="A13176" t="str">
        <f>HYPERLINK("https://www.773grp.com/globalSearch/UC3770AQ/page-1", "UC3770AQ")</f>
        <v>UC3770AQ</v>
      </c>
      <c r="B13176" s="3" t="s">
        <v>90</v>
      </c>
      <c r="C13176" s="5">
        <v>1961</v>
      </c>
      <c r="D13176" s="6">
        <v>11</v>
      </c>
      <c r="E13176" t="s">
        <v>51</v>
      </c>
    </row>
    <row r="13177" spans="1:5" x14ac:dyDescent="0.25">
      <c r="A13177" t="str">
        <f>HYPERLINK("https://www.773grp.com/globalSearch/UC3638DW/page-1", "UC3638DW")</f>
        <v>UC3638DW</v>
      </c>
      <c r="B13177" s="3" t="s">
        <v>90</v>
      </c>
      <c r="C13177" s="5">
        <v>51</v>
      </c>
      <c r="D13177" s="6">
        <v>11.1</v>
      </c>
      <c r="E13177" t="s">
        <v>51</v>
      </c>
    </row>
    <row r="13178" spans="1:5" x14ac:dyDescent="0.25">
      <c r="A13178" t="str">
        <f>HYPERLINK("https://www.773grp.com/globalSearch/UC3638Q/page-1", "UC3638Q")</f>
        <v>UC3638Q</v>
      </c>
      <c r="B13178" s="3" t="s">
        <v>90</v>
      </c>
      <c r="C13178" s="5">
        <v>6890</v>
      </c>
      <c r="D13178" s="6">
        <v>11.1</v>
      </c>
      <c r="E13178" t="s">
        <v>51</v>
      </c>
    </row>
    <row r="13179" spans="1:5" x14ac:dyDescent="0.25">
      <c r="A13179" t="str">
        <f>HYPERLINK("https://www.773grp.com/globalSearch/UC3637DW/page-1", "UC3637DW")</f>
        <v>UC3637DW</v>
      </c>
      <c r="B13179" s="3" t="s">
        <v>90</v>
      </c>
      <c r="C13179" s="5">
        <v>24250</v>
      </c>
      <c r="D13179" s="6">
        <v>11.25</v>
      </c>
      <c r="E13179" t="s">
        <v>51</v>
      </c>
    </row>
    <row r="13180" spans="1:5" x14ac:dyDescent="0.25">
      <c r="A13180" t="str">
        <f>HYPERLINK("https://www.773grp.com/globalSearch/UC3637DW/page-1", "UC3637DW")</f>
        <v>UC3637DW</v>
      </c>
      <c r="B13180" s="3" t="s">
        <v>90</v>
      </c>
      <c r="C13180" s="5">
        <v>3039</v>
      </c>
      <c r="D13180" s="6">
        <v>11.25</v>
      </c>
      <c r="E13180" t="s">
        <v>51</v>
      </c>
    </row>
    <row r="13181" spans="1:5" x14ac:dyDescent="0.25">
      <c r="A13181" t="str">
        <f>HYPERLINK("https://www.773grp.com/globalSearch/UC3637Q/page-1", "UC3637Q")</f>
        <v>UC3637Q</v>
      </c>
      <c r="B13181" s="3" t="s">
        <v>90</v>
      </c>
      <c r="C13181" s="5">
        <v>3588</v>
      </c>
      <c r="D13181" s="6">
        <v>11.25</v>
      </c>
      <c r="E13181" t="s">
        <v>51</v>
      </c>
    </row>
    <row r="13182" spans="1:5" x14ac:dyDescent="0.25">
      <c r="A13182" t="str">
        <f>HYPERLINK("https://www.773grp.com/globalSearch/UC2637DW/page-1", "UC2637DW")</f>
        <v>UC2637DW</v>
      </c>
      <c r="B13182" s="3" t="str">
        <f>HYPERLINK("https://www.773grp.com/manufacturer/texas-instruments?pageNo=26", "Texas Instruments")</f>
        <v>Texas Instruments</v>
      </c>
      <c r="C13182" s="5">
        <v>19715</v>
      </c>
      <c r="D13182" s="6">
        <v>12.15</v>
      </c>
      <c r="E13182" t="s">
        <v>51</v>
      </c>
    </row>
    <row r="13183" spans="1:5" x14ac:dyDescent="0.25">
      <c r="A13183" t="str">
        <f>HYPERLINK("https://www.773grp.com/globalSearch/UC2637Q/page-1", "UC2637Q")</f>
        <v>UC2637Q</v>
      </c>
      <c r="B13183" s="3" t="str">
        <f>HYPERLINK("https://www.773grp.com/manufacturer/texas-instruments?pageNo=27", "Texas Instruments")</f>
        <v>Texas Instruments</v>
      </c>
      <c r="C13183" s="5">
        <v>5327</v>
      </c>
      <c r="D13183" s="6">
        <v>12.15</v>
      </c>
      <c r="E13183" t="s">
        <v>51</v>
      </c>
    </row>
    <row r="13184" spans="1:5" x14ac:dyDescent="0.25">
      <c r="A13184" t="str">
        <f>HYPERLINK("https://www.773grp.com/globalSearch/UC3770AN/page-1", "UC3770AN")</f>
        <v>UC3770AN</v>
      </c>
      <c r="B13184" s="3" t="str">
        <f>HYPERLINK("https://www.773grp.com/manufacturer/texas-instruments?pageNo=88", "Texas Instruments")</f>
        <v>Texas Instruments</v>
      </c>
      <c r="C13184" s="5">
        <v>39857</v>
      </c>
      <c r="D13184" s="6">
        <v>12.33</v>
      </c>
      <c r="E13184" t="s">
        <v>51</v>
      </c>
    </row>
    <row r="13185" spans="1:5" x14ac:dyDescent="0.25">
      <c r="A13185" t="str">
        <f>HYPERLINK("https://www.773grp.com/globalSearch/UC3638N/page-1", "UC3638N")</f>
        <v>UC3638N</v>
      </c>
      <c r="B13185" s="3" t="str">
        <f>HYPERLINK("https://www.773grp.com/manufacturer/texas-instruments?pageNo=157", "Texas Instruments")</f>
        <v>Texas Instruments</v>
      </c>
      <c r="C13185" s="5">
        <v>9420</v>
      </c>
      <c r="D13185" s="6">
        <v>12.38</v>
      </c>
      <c r="E13185" t="s">
        <v>51</v>
      </c>
    </row>
    <row r="13186" spans="1:5" x14ac:dyDescent="0.25">
      <c r="A13186" t="str">
        <f>HYPERLINK("https://www.773grp.com/globalSearch/UC3770BN/page-1", "UC3770BN")</f>
        <v>UC3770BN</v>
      </c>
      <c r="B13186" s="3" t="str">
        <f>HYPERLINK("https://www.773grp.com/manufacturer/texas-instruments?pageNo=652", "Texas Instruments")</f>
        <v>Texas Instruments</v>
      </c>
      <c r="C13186" s="5">
        <v>2726</v>
      </c>
      <c r="D13186" s="6">
        <v>13.34</v>
      </c>
      <c r="E13186" t="s">
        <v>51</v>
      </c>
    </row>
    <row r="13187" spans="1:5" x14ac:dyDescent="0.25">
      <c r="A13187" t="str">
        <f>HYPERLINK("https://www.773grp.com/globalSearch/UC3770BNG4/page-1", "UC3770BNG4")</f>
        <v>UC3770BNG4</v>
      </c>
      <c r="B13187" s="3" t="str">
        <f>HYPERLINK("https://www.773grp.com/manufacturer/texas-instruments?pageNo=653", "Texas Instruments")</f>
        <v>Texas Instruments</v>
      </c>
      <c r="C13187" s="5">
        <v>2068</v>
      </c>
      <c r="D13187" s="6">
        <v>13.34</v>
      </c>
      <c r="E13187" t="s">
        <v>51</v>
      </c>
    </row>
    <row r="13188" spans="1:5" x14ac:dyDescent="0.25">
      <c r="A13188" t="str">
        <f>HYPERLINK("https://www.773grp.com/globalSearch/UC2637N/page-1", "UC2637N")</f>
        <v>UC2637N</v>
      </c>
      <c r="B13188" s="3" t="str">
        <f>HYPERLINK("https://www.773grp.com/manufacturer/texas-instruments?pageNo=758", "Texas Instruments")</f>
        <v>Texas Instruments</v>
      </c>
      <c r="C13188" s="5">
        <v>7</v>
      </c>
      <c r="D13188" s="6">
        <v>13.5</v>
      </c>
      <c r="E13188" t="s">
        <v>51</v>
      </c>
    </row>
    <row r="13189" spans="1:5" x14ac:dyDescent="0.25">
      <c r="A13189" t="str">
        <f>HYPERLINK("https://www.773grp.com/globalSearch/UC2637N/page-1", "UC2637N")</f>
        <v>UC2637N</v>
      </c>
      <c r="B13189" s="3" t="str">
        <f>HYPERLINK("https://www.773grp.com/manufacturer/texas-instruments?pageNo=759", "Texas Instruments")</f>
        <v>Texas Instruments</v>
      </c>
      <c r="C13189" s="5">
        <v>6</v>
      </c>
      <c r="D13189" s="6">
        <v>13.5</v>
      </c>
      <c r="E13189" t="s">
        <v>51</v>
      </c>
    </row>
    <row r="13190" spans="1:5" x14ac:dyDescent="0.25">
      <c r="A13190" t="str">
        <f>HYPERLINK("https://www.773grp.com/globalSearch/UC2638DW/page-1", "UC2638DW")</f>
        <v>UC2638DW</v>
      </c>
      <c r="B13190" s="3" t="str">
        <f>HYPERLINK("https://www.773grp.com/manufacturer/texas-instruments?pageNo=760", "Texas Instruments")</f>
        <v>Texas Instruments</v>
      </c>
      <c r="C13190" s="5">
        <v>9325</v>
      </c>
      <c r="D13190" s="6">
        <v>13.5</v>
      </c>
      <c r="E13190" t="s">
        <v>51</v>
      </c>
    </row>
    <row r="13191" spans="1:5" x14ac:dyDescent="0.25">
      <c r="A13191" t="str">
        <f>HYPERLINK("https://www.773grp.com/globalSearch/UC2638DW/page-1", "UC2638DW")</f>
        <v>UC2638DW</v>
      </c>
      <c r="B13191" s="3" t="str">
        <f>HYPERLINK("https://www.773grp.com/manufacturer/texas-instruments?pageNo=761", "Texas Instruments")</f>
        <v>Texas Instruments</v>
      </c>
      <c r="C13191" s="5">
        <v>400</v>
      </c>
      <c r="D13191" s="6">
        <v>13.5</v>
      </c>
      <c r="E13191" t="s">
        <v>51</v>
      </c>
    </row>
    <row r="13192" spans="1:5" x14ac:dyDescent="0.25">
      <c r="A13192" t="str">
        <f>HYPERLINK("https://www.773grp.com/globalSearch/UC2638N/page-1", "UC2638N")</f>
        <v>UC2638N</v>
      </c>
      <c r="B13192" s="3" t="str">
        <f>HYPERLINK("https://www.773grp.com/manufacturer/texas-instruments?pageNo=875", "Texas Instruments")</f>
        <v>Texas Instruments</v>
      </c>
      <c r="C13192" s="5">
        <v>1660</v>
      </c>
      <c r="D13192" s="6">
        <v>13.75</v>
      </c>
      <c r="E13192" t="s">
        <v>51</v>
      </c>
    </row>
    <row r="13193" spans="1:5" x14ac:dyDescent="0.25">
      <c r="A13193" t="str">
        <f>HYPERLINK("https://www.773grp.com/globalSearch/UC3625DWTR/page-1", "UC3625DWTR")</f>
        <v>UC3625DWTR</v>
      </c>
      <c r="B13193" s="3" t="s">
        <v>90</v>
      </c>
      <c r="C13193" s="5">
        <v>2000</v>
      </c>
      <c r="D13193" s="6">
        <v>14.76</v>
      </c>
      <c r="E13193" t="s">
        <v>51</v>
      </c>
    </row>
    <row r="13194" spans="1:5" x14ac:dyDescent="0.25">
      <c r="A13194" t="str">
        <f>HYPERLINK("https://www.773grp.com/globalSearch/UC3625QTR/page-1", "UC3625QTR")</f>
        <v>UC3625QTR</v>
      </c>
      <c r="B13194" s="3" t="s">
        <v>90</v>
      </c>
      <c r="C13194" s="5">
        <v>47070</v>
      </c>
      <c r="D13194" s="6">
        <v>14.76</v>
      </c>
      <c r="E13194" t="s">
        <v>51</v>
      </c>
    </row>
    <row r="13195" spans="1:5" x14ac:dyDescent="0.25">
      <c r="A13195" t="str">
        <f>HYPERLINK("https://www.773grp.com/globalSearch/UC2625DWTR/page-1", "UC2625DWTR")</f>
        <v>UC2625DWTR</v>
      </c>
      <c r="B13195" s="3" t="s">
        <v>90</v>
      </c>
      <c r="C13195" s="5">
        <v>2000</v>
      </c>
      <c r="D13195" s="6">
        <v>16.16</v>
      </c>
      <c r="E13195" t="s">
        <v>51</v>
      </c>
    </row>
    <row r="13196" spans="1:5" x14ac:dyDescent="0.25">
      <c r="A13196" t="str">
        <f>HYPERLINK("https://www.773grp.com/globalSearch/UC3717J/page-1", "UC3717J")</f>
        <v>UC3717J</v>
      </c>
      <c r="B13196" s="3" t="s">
        <v>90</v>
      </c>
      <c r="C13196" s="5">
        <v>238</v>
      </c>
      <c r="D13196" s="6">
        <v>17.39</v>
      </c>
      <c r="E13196" t="s">
        <v>51</v>
      </c>
    </row>
    <row r="13197" spans="1:5" x14ac:dyDescent="0.25">
      <c r="A13197" t="str">
        <f>HYPERLINK("https://www.773grp.com/globalSearch/UC3625Q/page-1", "UC3625Q")</f>
        <v>UC3625Q</v>
      </c>
      <c r="B13197" s="3" t="s">
        <v>90</v>
      </c>
      <c r="C13197" s="5">
        <v>24227</v>
      </c>
      <c r="D13197" s="6">
        <v>17.59</v>
      </c>
      <c r="E13197" t="s">
        <v>51</v>
      </c>
    </row>
    <row r="13198" spans="1:5" x14ac:dyDescent="0.25">
      <c r="A13198" t="str">
        <f>HYPERLINK("https://www.773grp.com/globalSearch/UC3625Q/page-1", "UC3625Q")</f>
        <v>UC3625Q</v>
      </c>
      <c r="B13198" s="3" t="s">
        <v>90</v>
      </c>
      <c r="C13198" s="5">
        <v>98</v>
      </c>
      <c r="D13198" s="6">
        <v>17.59</v>
      </c>
      <c r="E13198" t="s">
        <v>51</v>
      </c>
    </row>
    <row r="13199" spans="1:5" x14ac:dyDescent="0.25">
      <c r="A13199" t="str">
        <f>HYPERLINK("https://www.773grp.com/globalSearch/UC3717AQ/page-1", "UC3717AQ")</f>
        <v>UC3717AQ</v>
      </c>
      <c r="B13199" s="3" t="s">
        <v>90</v>
      </c>
      <c r="C13199" s="5">
        <v>4151</v>
      </c>
      <c r="D13199" s="6">
        <v>17.59</v>
      </c>
      <c r="E13199" t="s">
        <v>51</v>
      </c>
    </row>
    <row r="13200" spans="1:5" x14ac:dyDescent="0.25">
      <c r="A13200" t="str">
        <f>HYPERLINK("https://www.773grp.com/globalSearch/UC2625DW/page-1", "UC2625DW")</f>
        <v>UC2625DW</v>
      </c>
      <c r="B13200" s="3" t="s">
        <v>90</v>
      </c>
      <c r="C13200" s="5">
        <v>20</v>
      </c>
      <c r="D13200" s="6">
        <v>18.989999999999998</v>
      </c>
      <c r="E13200" t="s">
        <v>51</v>
      </c>
    </row>
    <row r="13201" spans="1:5" x14ac:dyDescent="0.25">
      <c r="A13201" t="str">
        <f>HYPERLINK("https://www.773grp.com/globalSearch/UC3625N/page-1", "UC3625N")</f>
        <v>UC3625N</v>
      </c>
      <c r="B13201" s="3" t="s">
        <v>90</v>
      </c>
      <c r="C13201" s="5">
        <v>21806</v>
      </c>
      <c r="D13201" s="6">
        <v>19.690000000000001</v>
      </c>
      <c r="E13201" t="s">
        <v>51</v>
      </c>
    </row>
    <row r="13202" spans="1:5" x14ac:dyDescent="0.25">
      <c r="A13202" t="str">
        <f>HYPERLINK("https://www.773grp.com/globalSearch/UC3717AN/page-1", "UC3717AN")</f>
        <v>UC3717AN</v>
      </c>
      <c r="B13202" s="3" t="s">
        <v>90</v>
      </c>
      <c r="C13202" s="5">
        <v>4234</v>
      </c>
      <c r="D13202" s="6">
        <v>19.690000000000001</v>
      </c>
      <c r="E13202" t="s">
        <v>51</v>
      </c>
    </row>
    <row r="13203" spans="1:5" x14ac:dyDescent="0.25">
      <c r="A13203" t="str">
        <f>HYPERLINK("https://www.773grp.com/globalSearch/UC3717ANG4/page-1", "UC3717ANG4")</f>
        <v>UC3717ANG4</v>
      </c>
      <c r="B13203" s="3" t="s">
        <v>90</v>
      </c>
      <c r="C13203" s="5">
        <v>425</v>
      </c>
      <c r="D13203" s="6">
        <v>19.690000000000001</v>
      </c>
      <c r="E13203" t="s">
        <v>51</v>
      </c>
    </row>
    <row r="13204" spans="1:5" x14ac:dyDescent="0.25">
      <c r="A13204" t="str">
        <f>HYPERLINK("https://www.773grp.com/globalSearch/UCC3626DW/page-1", "UCC3626DW")</f>
        <v>UCC3626DW</v>
      </c>
      <c r="B13204" s="3" t="s">
        <v>90</v>
      </c>
      <c r="C13204" s="5">
        <v>2765</v>
      </c>
      <c r="D13204" s="6">
        <v>20.68</v>
      </c>
      <c r="E13204" t="s">
        <v>51</v>
      </c>
    </row>
    <row r="13205" spans="1:5" x14ac:dyDescent="0.25">
      <c r="A13205" t="str">
        <f>HYPERLINK("https://www.773grp.com/globalSearch/UCC3626PW/page-1", "UCC3626PW")</f>
        <v>UCC3626PW</v>
      </c>
      <c r="B13205" s="3" t="s">
        <v>90</v>
      </c>
      <c r="C13205" s="5">
        <v>6425</v>
      </c>
      <c r="D13205" s="6">
        <v>20.81</v>
      </c>
      <c r="E13205" t="s">
        <v>51</v>
      </c>
    </row>
    <row r="13206" spans="1:5" x14ac:dyDescent="0.25">
      <c r="A13206" t="str">
        <f>HYPERLINK("https://www.773grp.com/globalSearch/UC2625N/page-1", "UC2625N")</f>
        <v>UC2625N</v>
      </c>
      <c r="B13206" s="3" t="s">
        <v>90</v>
      </c>
      <c r="C13206" s="5">
        <v>1573</v>
      </c>
      <c r="D13206" s="6">
        <v>21.1</v>
      </c>
      <c r="E13206" t="s">
        <v>51</v>
      </c>
    </row>
    <row r="13207" spans="1:5" x14ac:dyDescent="0.25">
      <c r="A13207" t="str">
        <f>HYPERLINK("https://www.773grp.com/globalSearch/UC2625NG4/page-1", "UC2625NG4")</f>
        <v>UC2625NG4</v>
      </c>
      <c r="B13207" s="3" t="s">
        <v>90</v>
      </c>
      <c r="C13207" s="5">
        <v>3</v>
      </c>
      <c r="D13207" s="6">
        <v>21.1</v>
      </c>
      <c r="E13207" t="s">
        <v>51</v>
      </c>
    </row>
    <row r="13208" spans="1:5" x14ac:dyDescent="0.25">
      <c r="A13208" t="str">
        <f>HYPERLINK("https://www.773grp.com/globalSearch/DRV8402DKDR/page-1", "DRV8402DKDR")</f>
        <v>DRV8402DKDR</v>
      </c>
      <c r="B13208" s="3" t="s">
        <v>90</v>
      </c>
      <c r="C13208" s="5">
        <v>6500</v>
      </c>
      <c r="D13208" s="6">
        <v>21.94</v>
      </c>
      <c r="E13208" t="s">
        <v>51</v>
      </c>
    </row>
    <row r="13209" spans="1:5" x14ac:dyDescent="0.25">
      <c r="A13209" t="str">
        <f>HYPERLINK("https://www.773grp.com/globalSearch/UCC3626PWTR/page-1", "UCC3626PWTR")</f>
        <v>UCC3626PWTR</v>
      </c>
      <c r="B13209" s="3" t="s">
        <v>90</v>
      </c>
      <c r="C13209" s="5">
        <v>2000</v>
      </c>
      <c r="D13209" s="6">
        <v>22.5</v>
      </c>
      <c r="E13209" t="s">
        <v>51</v>
      </c>
    </row>
    <row r="13210" spans="1:5" x14ac:dyDescent="0.25">
      <c r="A13210" t="str">
        <f>HYPERLINK("https://www.773grp.com/globalSearch/UCC3626N/page-1", "UCC3626N")</f>
        <v>UCC3626N</v>
      </c>
      <c r="B13210" s="3" t="s">
        <v>90</v>
      </c>
      <c r="C13210" s="5">
        <v>963</v>
      </c>
      <c r="D13210" s="6">
        <v>23.18</v>
      </c>
      <c r="E13210" t="s">
        <v>51</v>
      </c>
    </row>
    <row r="13211" spans="1:5" x14ac:dyDescent="0.25">
      <c r="A13211" t="str">
        <f>HYPERLINK("https://www.773grp.com/globalSearch/DRV8402DKD/page-1", "DRV8402DKD")</f>
        <v>DRV8402DKD</v>
      </c>
      <c r="B13211" s="3" t="s">
        <v>90</v>
      </c>
      <c r="C13211" s="5">
        <v>1682</v>
      </c>
      <c r="D13211" s="6">
        <v>26.44</v>
      </c>
      <c r="E13211" t="s">
        <v>51</v>
      </c>
    </row>
    <row r="13212" spans="1:5" x14ac:dyDescent="0.25">
      <c r="A13212" t="str">
        <f>HYPERLINK("https://www.773grp.com/globalSearch/UC3176QP/page-1", "UC3176QP")</f>
        <v>UC3176QP</v>
      </c>
      <c r="B13212" s="3" t="s">
        <v>90</v>
      </c>
      <c r="C13212" s="5">
        <v>1632</v>
      </c>
      <c r="D13212" s="6">
        <v>26.71</v>
      </c>
      <c r="E13212" t="s">
        <v>51</v>
      </c>
    </row>
    <row r="13213" spans="1:5" x14ac:dyDescent="0.25">
      <c r="A13213" t="str">
        <f>HYPERLINK("https://www.773grp.com/globalSearch/UCC2626DW/page-1", "UCC2626DW")</f>
        <v>UCC2626DW</v>
      </c>
      <c r="B13213" s="3" t="s">
        <v>90</v>
      </c>
      <c r="C13213" s="5">
        <v>8260</v>
      </c>
      <c r="D13213" s="6">
        <v>26.71</v>
      </c>
      <c r="E13213" t="s">
        <v>51</v>
      </c>
    </row>
    <row r="13214" spans="1:5" x14ac:dyDescent="0.25">
      <c r="A13214" t="str">
        <f>HYPERLINK("https://www.773grp.com/globalSearch/UCC2626DW/page-1", "UCC2626DW")</f>
        <v>UCC2626DW</v>
      </c>
      <c r="B13214" s="3" t="s">
        <v>90</v>
      </c>
      <c r="C13214" s="5">
        <v>3252</v>
      </c>
      <c r="D13214" s="6">
        <v>26.71</v>
      </c>
      <c r="E13214" t="s">
        <v>51</v>
      </c>
    </row>
    <row r="13215" spans="1:5" x14ac:dyDescent="0.25">
      <c r="A13215" t="str">
        <f>HYPERLINK("https://www.773grp.com/globalSearch/5962-8995701VA/page-1", "5962-8995701VA")</f>
        <v>5962-8995701VA</v>
      </c>
      <c r="B13215" s="3" t="str">
        <f>HYPERLINK("https://www.773grp.com/manufacturer/texas-instruments?pageNo=698", "Texas Instruments")</f>
        <v>Texas Instruments</v>
      </c>
      <c r="C13215" s="5">
        <v>4</v>
      </c>
      <c r="D13215" s="6">
        <v>31.59</v>
      </c>
      <c r="E13215" t="s">
        <v>51</v>
      </c>
    </row>
    <row r="13216" spans="1:5" x14ac:dyDescent="0.25">
      <c r="A13216" t="str">
        <f>HYPERLINK("https://www.773grp.com/globalSearch/UC1637J883B/page-1", "UC1637J883B")</f>
        <v>UC1637J883B</v>
      </c>
      <c r="B13216" s="3" t="str">
        <f>HYPERLINK("https://www.773grp.com/manufacturer/texas-instruments?pageNo=699", "Texas Instruments")</f>
        <v>Texas Instruments</v>
      </c>
      <c r="C13216" s="5">
        <v>4</v>
      </c>
      <c r="D13216" s="6">
        <v>31.59</v>
      </c>
      <c r="E13216" t="s">
        <v>51</v>
      </c>
    </row>
    <row r="13217" spans="1:5" x14ac:dyDescent="0.25">
      <c r="A13217" t="str">
        <f>HYPERLINK("https://www.773grp.com/globalSearch/UC1638J/page-1", "UC1638J")</f>
        <v>UC1638J</v>
      </c>
      <c r="B13217" s="3" t="str">
        <f>HYPERLINK("https://www.773grp.com/manufacturer/texas-instruments?pageNo=929", "Texas Instruments")</f>
        <v>Texas Instruments</v>
      </c>
      <c r="C13217" s="5">
        <v>253</v>
      </c>
      <c r="D13217" s="6">
        <v>33.19</v>
      </c>
      <c r="E13217" t="s">
        <v>51</v>
      </c>
    </row>
    <row r="13218" spans="1:5" x14ac:dyDescent="0.25">
      <c r="A13218" t="str">
        <f>HYPERLINK("https://www.773grp.com/globalSearch/UC1637L883B/page-1", "UC1637L883B")</f>
        <v>UC1637L883B</v>
      </c>
      <c r="B13218" s="3" t="s">
        <v>90</v>
      </c>
      <c r="C13218" s="5">
        <v>4</v>
      </c>
      <c r="D13218" s="6">
        <v>59.18</v>
      </c>
      <c r="E13218" t="s">
        <v>51</v>
      </c>
    </row>
    <row r="13219" spans="1:5" x14ac:dyDescent="0.25">
      <c r="A13219" t="str">
        <f>HYPERLINK("https://www.773grp.com/globalSearch/UC3638N/page-1", "UC3638N")</f>
        <v>UC3638N</v>
      </c>
      <c r="B13219" s="3" t="s">
        <v>112</v>
      </c>
      <c r="C13219" s="5">
        <v>517</v>
      </c>
      <c r="D13219" s="6">
        <v>12.38</v>
      </c>
      <c r="E13219" t="s">
        <v>51</v>
      </c>
    </row>
    <row r="13220" spans="1:5" x14ac:dyDescent="0.25">
      <c r="A13220" t="str">
        <f>HYPERLINK("https://www.773grp.com/globalSearch/UC2637N/page-1", "UC2637N")</f>
        <v>UC2637N</v>
      </c>
      <c r="B13220" s="3" t="s">
        <v>112</v>
      </c>
      <c r="C13220" s="5">
        <v>17</v>
      </c>
      <c r="D13220" s="6">
        <v>13.5</v>
      </c>
      <c r="E13220" t="s">
        <v>51</v>
      </c>
    </row>
    <row r="13221" spans="1:5" x14ac:dyDescent="0.25">
      <c r="A13221" t="str">
        <f>HYPERLINK("https://www.773grp.com/globalSearch/UC2638DW/page-1", "UC2638DW")</f>
        <v>UC2638DW</v>
      </c>
      <c r="B13221" s="3" t="s">
        <v>112</v>
      </c>
      <c r="C13221" s="5">
        <v>3425</v>
      </c>
      <c r="D13221" s="6">
        <v>13.5</v>
      </c>
      <c r="E13221" t="s">
        <v>51</v>
      </c>
    </row>
    <row r="13222" spans="1:5" x14ac:dyDescent="0.25">
      <c r="A13222" t="str">
        <f>HYPERLINK("https://www.773grp.com/globalSearch/UCC2626N/page-1", "UCC2626N")</f>
        <v>UCC2626N</v>
      </c>
      <c r="B13222" s="3" t="s">
        <v>112</v>
      </c>
      <c r="C13222" s="5">
        <v>2496</v>
      </c>
      <c r="D13222" s="6">
        <v>23.2</v>
      </c>
      <c r="E13222" t="s">
        <v>51</v>
      </c>
    </row>
    <row r="13223" spans="1:5" x14ac:dyDescent="0.25">
      <c r="A13223" t="str">
        <f>HYPERLINK("https://www.773grp.com/globalSearch/UC1717J/page-1", "UC1717J")</f>
        <v>UC1717J</v>
      </c>
      <c r="B13223" s="3" t="s">
        <v>112</v>
      </c>
      <c r="C13223" s="5">
        <v>1557</v>
      </c>
      <c r="D13223" s="6">
        <v>36.99</v>
      </c>
      <c r="E13223" t="s">
        <v>51</v>
      </c>
    </row>
    <row r="13224" spans="1:5" x14ac:dyDescent="0.25">
      <c r="A13224" t="str">
        <f>HYPERLINK("https://www.773grp.com/globalSearch/UC1717J883B/page-1", "UC1717J883B")</f>
        <v>UC1717J883B</v>
      </c>
      <c r="B13224" s="3" t="s">
        <v>112</v>
      </c>
      <c r="C13224" s="5">
        <v>2469</v>
      </c>
      <c r="D13224" s="6">
        <v>72.510000000000005</v>
      </c>
      <c r="E13224" t="s">
        <v>51</v>
      </c>
    </row>
    <row r="13225" spans="1:5" x14ac:dyDescent="0.25">
      <c r="A13225" t="str">
        <f>HYPERLINK("https://www.773grp.com/globalSearch/UC1717L883B/page-1", "UC1717L883B")</f>
        <v>UC1717L883B</v>
      </c>
      <c r="B13225" s="3" t="s">
        <v>112</v>
      </c>
      <c r="C13225" s="5">
        <v>1131</v>
      </c>
      <c r="D13225" s="6">
        <v>141.75</v>
      </c>
      <c r="E13225" t="s">
        <v>51</v>
      </c>
    </row>
    <row r="13226" spans="1:5" x14ac:dyDescent="0.25">
      <c r="A13226" t="str">
        <f>HYPERLINK("https://www.773grp.com/globalSearch/AVCE6467TZUTL1/page-1", "AVCE6467TZUTL1")</f>
        <v>AVCE6467TZUTL1</v>
      </c>
      <c r="B13226" s="3" t="str">
        <f>HYPERLINK("https://www.773grp.com/manufacturer/texas-instruments?pageNo=775", "Texas Instruments")</f>
        <v>Texas Instruments</v>
      </c>
      <c r="C13226" s="5">
        <v>30446</v>
      </c>
      <c r="D13226" s="6">
        <v>234.86</v>
      </c>
      <c r="E13226" t="s">
        <v>61</v>
      </c>
    </row>
    <row r="13227" spans="1:5" x14ac:dyDescent="0.25">
      <c r="A13227" t="str">
        <f>HYPERLINK("https://www.773grp.com/globalSearch/TS3DV421DGVR/page-1", "TS3DV421DGVR")</f>
        <v>TS3DV421DGVR</v>
      </c>
      <c r="B13227" s="3" t="str">
        <f>HYPERLINK("https://www.773grp.com/manufacturer/texas-instruments?pageNo=213", "Texas Instruments")</f>
        <v>Texas Instruments</v>
      </c>
      <c r="C13227" s="5">
        <v>592000</v>
      </c>
      <c r="D13227" s="6">
        <v>3.95</v>
      </c>
      <c r="E13227" t="s">
        <v>48</v>
      </c>
    </row>
    <row r="13228" spans="1:5" x14ac:dyDescent="0.25">
      <c r="A13228" t="str">
        <f>HYPERLINK("https://www.773grp.com/globalSearch/TS3DV421RUAR/page-1", "TS3DV421RUAR")</f>
        <v>TS3DV421RUAR</v>
      </c>
      <c r="B13228" s="3" t="str">
        <f>HYPERLINK("https://www.773grp.com/manufacturer/texas-instruments?pageNo=214", "Texas Instruments")</f>
        <v>Texas Instruments</v>
      </c>
      <c r="C13228" s="5">
        <v>612000</v>
      </c>
      <c r="D13228" s="6">
        <v>3.95</v>
      </c>
      <c r="E13228" t="s">
        <v>48</v>
      </c>
    </row>
    <row r="13229" spans="1:5" x14ac:dyDescent="0.25">
      <c r="A13229" t="str">
        <f>HYPERLINK("https://www.773grp.com/globalSearch/TS3L500RHUR/page-1", "TS3L500RHUR")</f>
        <v>TS3L500RHUR</v>
      </c>
      <c r="B13229" s="3" t="str">
        <f>HYPERLINK("https://www.773grp.com/manufacturer/texas-instruments?pageNo=431", "Texas Instruments")</f>
        <v>Texas Instruments</v>
      </c>
      <c r="C13229" s="5">
        <v>82000</v>
      </c>
      <c r="D13229" s="6">
        <v>3.63</v>
      </c>
      <c r="E13229" t="s">
        <v>48</v>
      </c>
    </row>
    <row r="13230" spans="1:5" x14ac:dyDescent="0.25">
      <c r="A13230" t="str">
        <f>HYPERLINK("https://www.773grp.com/globalSearch/TS3DV520RHUR/page-1", "TS3DV520RHUR")</f>
        <v>TS3DV520RHUR</v>
      </c>
      <c r="B13230" s="3" t="str">
        <f>HYPERLINK("https://www.773grp.com/manufacturer/texas-instruments?pageNo=659", "Texas Instruments")</f>
        <v>Texas Instruments</v>
      </c>
      <c r="C13230" s="5">
        <v>14000</v>
      </c>
      <c r="D13230" s="6">
        <v>3.66</v>
      </c>
      <c r="E13230" t="s">
        <v>48</v>
      </c>
    </row>
    <row r="13231" spans="1:5" x14ac:dyDescent="0.25">
      <c r="A13231" t="str">
        <f>HYPERLINK("https://www.773grp.com/globalSearch/SN74LV4066APWT/page-1", "SN74LV4066APWT")</f>
        <v>SN74LV4066APWT</v>
      </c>
      <c r="B13231" s="3" t="s">
        <v>90</v>
      </c>
      <c r="C13231" s="5">
        <v>250</v>
      </c>
      <c r="D13231" s="6">
        <v>4.16</v>
      </c>
      <c r="E13231" t="s">
        <v>48</v>
      </c>
    </row>
    <row r="13232" spans="1:5" x14ac:dyDescent="0.25">
      <c r="A13232" t="str">
        <f>HYPERLINK("https://www.773grp.com/globalSearch/TS3L100DBQR/page-1", "TS3L100DBQR")</f>
        <v>TS3L100DBQR</v>
      </c>
      <c r="B13232" s="3" t="s">
        <v>90</v>
      </c>
      <c r="C13232" s="5">
        <v>30000</v>
      </c>
      <c r="D13232" s="6">
        <v>4.16</v>
      </c>
      <c r="E13232" t="s">
        <v>48</v>
      </c>
    </row>
    <row r="13233" spans="1:5" x14ac:dyDescent="0.25">
      <c r="A13233" t="str">
        <f>HYPERLINK("https://www.773grp.com/globalSearch/TS3L100DGVR/page-1", "TS3L100DGVR")</f>
        <v>TS3L100DGVR</v>
      </c>
      <c r="B13233" s="3" t="s">
        <v>90</v>
      </c>
      <c r="C13233" s="5">
        <v>12000</v>
      </c>
      <c r="D13233" s="6">
        <v>4.16</v>
      </c>
      <c r="E13233" t="s">
        <v>48</v>
      </c>
    </row>
    <row r="13234" spans="1:5" x14ac:dyDescent="0.25">
      <c r="A13234" t="str">
        <f>HYPERLINK("https://www.773grp.com/globalSearch/TS3L100DR/page-1", "TS3L100DR")</f>
        <v>TS3L100DR</v>
      </c>
      <c r="B13234" s="3" t="s">
        <v>90</v>
      </c>
      <c r="C13234" s="5">
        <v>2500</v>
      </c>
      <c r="D13234" s="6">
        <v>4.16</v>
      </c>
      <c r="E13234" t="s">
        <v>48</v>
      </c>
    </row>
    <row r="13235" spans="1:5" x14ac:dyDescent="0.25">
      <c r="A13235" t="str">
        <f>HYPERLINK("https://www.773grp.com/globalSearch/TS3L100RGYR/page-1", "TS3L100RGYR")</f>
        <v>TS3L100RGYR</v>
      </c>
      <c r="B13235" s="3" t="s">
        <v>90</v>
      </c>
      <c r="C13235" s="5">
        <v>21000</v>
      </c>
      <c r="D13235" s="6">
        <v>4.16</v>
      </c>
      <c r="E13235" t="s">
        <v>48</v>
      </c>
    </row>
    <row r="13236" spans="1:5" x14ac:dyDescent="0.25">
      <c r="A13236" t="str">
        <f>HYPERLINK("https://www.773grp.com/globalSearch/TS3L110D/page-1", "TS3L110D")</f>
        <v>TS3L110D</v>
      </c>
      <c r="B13236" s="3" t="s">
        <v>90</v>
      </c>
      <c r="C13236" s="5">
        <v>36492</v>
      </c>
      <c r="D13236" s="6">
        <v>4.16</v>
      </c>
      <c r="E13236" t="s">
        <v>48</v>
      </c>
    </row>
    <row r="13237" spans="1:5" x14ac:dyDescent="0.25">
      <c r="A13237" t="str">
        <f>HYPERLINK("https://www.773grp.com/globalSearch/TS5N118PW/page-1", "TS5N118PW")</f>
        <v>TS5N118PW</v>
      </c>
      <c r="B13237" s="3" t="str">
        <f>HYPERLINK("https://www.773grp.com/manufacturer/texas-instruments?pageNo=683", "Texas Instruments")</f>
        <v>Texas Instruments</v>
      </c>
      <c r="C13237" s="5">
        <v>8859</v>
      </c>
      <c r="D13237" s="6">
        <v>3.94</v>
      </c>
      <c r="E13237" t="s">
        <v>48</v>
      </c>
    </row>
    <row r="13238" spans="1:5" x14ac:dyDescent="0.25">
      <c r="A13238" t="str">
        <f>HYPERLINK("https://www.773grp.com/globalSearch/TS5N214PW/page-1", "TS5N214PW")</f>
        <v>TS5N214PW</v>
      </c>
      <c r="B13238" s="3" t="str">
        <f>HYPERLINK("https://www.773grp.com/manufacturer/texas-instruments?pageNo=684", "Texas Instruments")</f>
        <v>Texas Instruments</v>
      </c>
      <c r="C13238" s="5">
        <v>90</v>
      </c>
      <c r="D13238" s="6">
        <v>3.94</v>
      </c>
      <c r="E13238" t="s">
        <v>48</v>
      </c>
    </row>
    <row r="13239" spans="1:5" x14ac:dyDescent="0.25">
      <c r="A13239" t="str">
        <f>HYPERLINK("https://www.773grp.com/globalSearch/TS5N412PW/page-1", "TS5N412PW")</f>
        <v>TS5N412PW</v>
      </c>
      <c r="B13239" s="3" t="str">
        <f>HYPERLINK("https://www.773grp.com/manufacturer/texas-instruments?pageNo=685", "Texas Instruments")</f>
        <v>Texas Instruments</v>
      </c>
      <c r="C13239" s="5">
        <v>6470</v>
      </c>
      <c r="D13239" s="6">
        <v>3.94</v>
      </c>
      <c r="E13239" t="s">
        <v>48</v>
      </c>
    </row>
    <row r="13240" spans="1:5" x14ac:dyDescent="0.25">
      <c r="A13240" t="str">
        <f>HYPERLINK("https://www.773grp.com/globalSearch/TS3A27518EPWR/page-1", "TS3A27518EPWR")</f>
        <v>TS3A27518EPWR</v>
      </c>
      <c r="B13240" s="3" t="s">
        <v>90</v>
      </c>
      <c r="C13240" s="5">
        <v>5585</v>
      </c>
      <c r="D13240" s="6">
        <v>4.74</v>
      </c>
      <c r="E13240" t="s">
        <v>48</v>
      </c>
    </row>
    <row r="13241" spans="1:5" x14ac:dyDescent="0.25">
      <c r="A13241" t="str">
        <f>HYPERLINK("https://www.773grp.com/globalSearch/TS3A27518ERTWR/page-1", "TS3A27518ERTWR")</f>
        <v>TS3A27518ERTWR</v>
      </c>
      <c r="B13241" s="3" t="s">
        <v>90</v>
      </c>
      <c r="C13241" s="5">
        <v>5898</v>
      </c>
      <c r="D13241" s="6">
        <v>4.74</v>
      </c>
      <c r="E13241" t="s">
        <v>48</v>
      </c>
    </row>
    <row r="13242" spans="1:5" x14ac:dyDescent="0.25">
      <c r="A13242" t="str">
        <f>HYPERLINK("https://www.773grp.com/globalSearch/TS3L301DGGR/page-1", "TS3L301DGGR")</f>
        <v>TS3L301DGGR</v>
      </c>
      <c r="B13242" s="3" t="s">
        <v>90</v>
      </c>
      <c r="C13242" s="5">
        <v>8800</v>
      </c>
      <c r="D13242" s="6">
        <v>4.3499999999999996</v>
      </c>
      <c r="E13242" t="s">
        <v>48</v>
      </c>
    </row>
    <row r="13243" spans="1:5" x14ac:dyDescent="0.25">
      <c r="A13243" t="str">
        <f>HYPERLINK("https://www.773grp.com/globalSearch/TS3L301DGVR/page-1", "TS3L301DGVR")</f>
        <v>TS3L301DGVR</v>
      </c>
      <c r="B13243" s="3" t="s">
        <v>90</v>
      </c>
      <c r="C13243" s="5">
        <v>23899</v>
      </c>
      <c r="D13243" s="6">
        <v>4.3499999999999996</v>
      </c>
      <c r="E13243" t="s">
        <v>48</v>
      </c>
    </row>
    <row r="13244" spans="1:5" x14ac:dyDescent="0.25">
      <c r="A13244" t="str">
        <f>HYPERLINK("https://www.773grp.com/globalSearch/OPA875IDGKR/page-1", "OPA875IDGKR")</f>
        <v>OPA875IDGKR</v>
      </c>
      <c r="B13244" s="3" t="str">
        <f>HYPERLINK("https://www.773grp.com/manufacturer/texas-instruments?pageNo=248", "Texas Instruments")</f>
        <v>Texas Instruments</v>
      </c>
      <c r="C13244" s="5">
        <v>5000</v>
      </c>
      <c r="D13244" s="6">
        <v>4.4800000000000004</v>
      </c>
      <c r="E13244" t="s">
        <v>48</v>
      </c>
    </row>
    <row r="13245" spans="1:5" x14ac:dyDescent="0.25">
      <c r="A13245" t="str">
        <f>HYPERLINK("https://www.773grp.com/globalSearch/TS3L500AERHUR/page-1", "TS3L500AERHUR")</f>
        <v>TS3L500AERHUR</v>
      </c>
      <c r="B13245" s="3" t="str">
        <f>HYPERLINK("https://www.773grp.com/manufacturer/texas-instruments?pageNo=746", "Texas Instruments")</f>
        <v>Texas Instruments</v>
      </c>
      <c r="C13245" s="5">
        <v>100000</v>
      </c>
      <c r="D13245" s="6">
        <v>5.01</v>
      </c>
      <c r="E13245" t="s">
        <v>48</v>
      </c>
    </row>
    <row r="13246" spans="1:5" x14ac:dyDescent="0.25">
      <c r="A13246" t="str">
        <f>HYPERLINK("https://www.773grp.com/globalSearch/TS3A27518EZQSR/page-1", "TS3A27518EZQSR")</f>
        <v>TS3A27518EZQSR</v>
      </c>
      <c r="B13246" s="3" t="s">
        <v>90</v>
      </c>
      <c r="C13246" s="5">
        <v>235000</v>
      </c>
      <c r="D13246" s="6">
        <v>5.21</v>
      </c>
      <c r="E13246" t="s">
        <v>48</v>
      </c>
    </row>
    <row r="13247" spans="1:5" x14ac:dyDescent="0.25">
      <c r="A13247" t="str">
        <f>HYPERLINK("https://www.773grp.com/globalSearch/TS3V712ELRTGR/page-1", "TS3V712ELRTGR")</f>
        <v>TS3V712ELRTGR</v>
      </c>
      <c r="B13247" s="3" t="s">
        <v>90</v>
      </c>
      <c r="C13247" s="5">
        <v>10995</v>
      </c>
      <c r="D13247" s="6">
        <v>4.93</v>
      </c>
      <c r="E13247" t="s">
        <v>48</v>
      </c>
    </row>
    <row r="13248" spans="1:5" x14ac:dyDescent="0.25">
      <c r="A13248" t="str">
        <f>HYPERLINK("https://www.773grp.com/globalSearch/TS3V712ERTGR/page-1", "TS3V712ERTGR")</f>
        <v>TS3V712ERTGR</v>
      </c>
      <c r="B13248" s="3" t="s">
        <v>90</v>
      </c>
      <c r="C13248" s="5">
        <v>12488</v>
      </c>
      <c r="D13248" s="6">
        <v>4.93</v>
      </c>
      <c r="E13248" t="s">
        <v>48</v>
      </c>
    </row>
    <row r="13249" spans="1:5" x14ac:dyDescent="0.25">
      <c r="A13249" t="str">
        <f>HYPERLINK("https://www.773grp.com/globalSearch/OPA875IDGKT/page-1", "OPA875IDGKT")</f>
        <v>OPA875IDGKT</v>
      </c>
      <c r="B13249" s="3" t="s">
        <v>90</v>
      </c>
      <c r="C13249" s="5">
        <v>5000</v>
      </c>
      <c r="D13249" s="6">
        <v>5.0999999999999996</v>
      </c>
      <c r="E13249" t="s">
        <v>48</v>
      </c>
    </row>
    <row r="13250" spans="1:5" x14ac:dyDescent="0.25">
      <c r="A13250" t="str">
        <f>HYPERLINK("https://www.773grp.com/globalSearch/TS3L301DGG/page-1", "TS3L301DGG")</f>
        <v>TS3L301DGG</v>
      </c>
      <c r="B13250" s="3" t="s">
        <v>90</v>
      </c>
      <c r="C13250" s="5">
        <v>5209</v>
      </c>
      <c r="D13250" s="6">
        <v>5.2</v>
      </c>
      <c r="E13250" t="s">
        <v>48</v>
      </c>
    </row>
    <row r="13251" spans="1:5" x14ac:dyDescent="0.25">
      <c r="A13251" t="str">
        <f>HYPERLINK("https://www.773grp.com/globalSearch/OPA875ID/page-1", "OPA875ID")</f>
        <v>OPA875ID</v>
      </c>
      <c r="B13251" s="3" t="s">
        <v>90</v>
      </c>
      <c r="C13251" s="5">
        <v>4645</v>
      </c>
      <c r="D13251" s="6">
        <v>5.29</v>
      </c>
      <c r="E13251" t="s">
        <v>48</v>
      </c>
    </row>
    <row r="13252" spans="1:5" x14ac:dyDescent="0.25">
      <c r="A13252" t="str">
        <f>HYPERLINK("https://www.773grp.com/globalSearch/TMDS351PAGR/page-1", "TMDS351PAGR")</f>
        <v>TMDS351PAGR</v>
      </c>
      <c r="B13252" s="3" t="s">
        <v>90</v>
      </c>
      <c r="C13252" s="5">
        <v>4500</v>
      </c>
      <c r="D13252" s="6">
        <v>5.35</v>
      </c>
      <c r="E13252" t="s">
        <v>48</v>
      </c>
    </row>
    <row r="13253" spans="1:5" x14ac:dyDescent="0.25">
      <c r="A13253" t="str">
        <f>HYPERLINK("https://www.773grp.com/globalSearch/OPA4872IDR/page-1", "OPA4872IDR")</f>
        <v>OPA4872IDR</v>
      </c>
      <c r="B13253" s="3" t="s">
        <v>90</v>
      </c>
      <c r="C13253" s="5">
        <v>5000</v>
      </c>
      <c r="D13253" s="6">
        <v>6.04</v>
      </c>
      <c r="E13253" t="s">
        <v>48</v>
      </c>
    </row>
    <row r="13254" spans="1:5" x14ac:dyDescent="0.25">
      <c r="A13254" t="str">
        <f>HYPERLINK("https://www.773grp.com/globalSearch/TMDS341APFCR/page-1", "TMDS341APFCR")</f>
        <v>TMDS341APFCR</v>
      </c>
      <c r="B13254" s="3" t="s">
        <v>90</v>
      </c>
      <c r="C13254" s="5">
        <v>27992</v>
      </c>
      <c r="D13254" s="6">
        <v>6.33</v>
      </c>
      <c r="E13254" t="s">
        <v>48</v>
      </c>
    </row>
    <row r="13255" spans="1:5" x14ac:dyDescent="0.25">
      <c r="A13255" t="str">
        <f>HYPERLINK("https://www.773grp.com/globalSearch/TMDS341PFCR/page-1", "TMDS341PFCR")</f>
        <v>TMDS341PFCR</v>
      </c>
      <c r="B13255" s="3" t="s">
        <v>90</v>
      </c>
      <c r="C13255" s="5">
        <v>77000</v>
      </c>
      <c r="D13255" s="6">
        <v>6.33</v>
      </c>
      <c r="E13255" t="s">
        <v>48</v>
      </c>
    </row>
    <row r="13256" spans="1:5" x14ac:dyDescent="0.25">
      <c r="A13256" t="str">
        <f>HYPERLINK("https://www.773grp.com/globalSearch/TMDS341PFCRG4/page-1", "TMDS341PFCRG4")</f>
        <v>TMDS341PFCRG4</v>
      </c>
      <c r="B13256" s="3" t="s">
        <v>90</v>
      </c>
      <c r="C13256" s="5">
        <v>36000</v>
      </c>
      <c r="D13256" s="6">
        <v>6.33</v>
      </c>
      <c r="E13256" t="s">
        <v>48</v>
      </c>
    </row>
    <row r="13257" spans="1:5" x14ac:dyDescent="0.25">
      <c r="A13257" t="str">
        <f>HYPERLINK("https://www.773grp.com/globalSearch/TMDS351PAG/page-1", "TMDS351PAG")</f>
        <v>TMDS351PAG</v>
      </c>
      <c r="B13257" s="3" t="str">
        <f>HYPERLINK("https://www.773grp.com/manufacturer/texas-instruments?pageNo=127", "Texas Instruments")</f>
        <v>Texas Instruments</v>
      </c>
      <c r="C13257" s="5">
        <v>20037</v>
      </c>
      <c r="D13257" s="6">
        <v>6.46</v>
      </c>
      <c r="E13257" t="s">
        <v>48</v>
      </c>
    </row>
    <row r="13258" spans="1:5" x14ac:dyDescent="0.25">
      <c r="A13258" t="str">
        <f>HYPERLINK("https://www.773grp.com/globalSearch/OPA3875IDBQR/page-1", "OPA3875IDBQR")</f>
        <v>OPA3875IDBQR</v>
      </c>
      <c r="B13258" s="3" t="str">
        <f>HYPERLINK("https://www.773grp.com/manufacturer/texas-instruments?pageNo=982", "Texas Instruments")</f>
        <v>Texas Instruments</v>
      </c>
      <c r="C13258" s="5">
        <v>2500</v>
      </c>
      <c r="D13258" s="6">
        <v>7.18</v>
      </c>
      <c r="E13258" t="s">
        <v>48</v>
      </c>
    </row>
    <row r="13259" spans="1:5" x14ac:dyDescent="0.25">
      <c r="A13259" t="str">
        <f>HYPERLINK("https://www.773grp.com/globalSearch/OPA4872ID/page-1", "OPA4872ID")</f>
        <v>OPA4872ID</v>
      </c>
      <c r="B13259" s="3" t="s">
        <v>90</v>
      </c>
      <c r="C13259" s="5">
        <v>36</v>
      </c>
      <c r="D13259" s="6">
        <v>7.31</v>
      </c>
      <c r="E13259" t="s">
        <v>48</v>
      </c>
    </row>
    <row r="13260" spans="1:5" x14ac:dyDescent="0.25">
      <c r="A13260" t="str">
        <f>HYPERLINK("https://www.773grp.com/globalSearch/SN65LVCP22D/page-1", "SN65LVCP22D")</f>
        <v>SN65LVCP22D</v>
      </c>
      <c r="B13260" s="3" t="s">
        <v>90</v>
      </c>
      <c r="C13260" s="5">
        <v>591</v>
      </c>
      <c r="D13260" s="6">
        <v>7.6</v>
      </c>
      <c r="E13260" t="s">
        <v>48</v>
      </c>
    </row>
    <row r="13261" spans="1:5" x14ac:dyDescent="0.25">
      <c r="A13261" t="str">
        <f>HYPERLINK("https://www.773grp.com/globalSearch/SN65LVCP22PW/page-1", "SN65LVCP22PW")</f>
        <v>SN65LVCP22PW</v>
      </c>
      <c r="B13261" s="3" t="s">
        <v>90</v>
      </c>
      <c r="C13261" s="5">
        <v>16618</v>
      </c>
      <c r="D13261" s="6">
        <v>7.6</v>
      </c>
      <c r="E13261" t="s">
        <v>48</v>
      </c>
    </row>
    <row r="13262" spans="1:5" x14ac:dyDescent="0.25">
      <c r="A13262" t="str">
        <f>HYPERLINK("https://www.773grp.com/globalSearch/SN65LVCP22PWG4/page-1", "SN65LVCP22PWG4")</f>
        <v>SN65LVCP22PWG4</v>
      </c>
      <c r="B13262" s="3" t="s">
        <v>90</v>
      </c>
      <c r="C13262" s="5">
        <v>13</v>
      </c>
      <c r="D13262" s="6">
        <v>7.6</v>
      </c>
      <c r="E13262" t="s">
        <v>48</v>
      </c>
    </row>
    <row r="13263" spans="1:5" x14ac:dyDescent="0.25">
      <c r="A13263" t="str">
        <f>HYPERLINK("https://www.773grp.com/globalSearch/TMDS341APFC/page-1", "TMDS341APFC")</f>
        <v>TMDS341APFC</v>
      </c>
      <c r="B13263" s="3" t="s">
        <v>90</v>
      </c>
      <c r="C13263" s="5">
        <v>10263</v>
      </c>
      <c r="D13263" s="6">
        <v>7.6</v>
      </c>
      <c r="E13263" t="s">
        <v>48</v>
      </c>
    </row>
    <row r="13264" spans="1:5" x14ac:dyDescent="0.25">
      <c r="A13264" t="str">
        <f>HYPERLINK("https://www.773grp.com/globalSearch/TMDS341APFCG4/page-1", "TMDS341APFCG4")</f>
        <v>TMDS341APFCG4</v>
      </c>
      <c r="B13264" s="3" t="s">
        <v>90</v>
      </c>
      <c r="C13264" s="5">
        <v>72</v>
      </c>
      <c r="D13264" s="6">
        <v>7.6</v>
      </c>
      <c r="E13264" t="s">
        <v>48</v>
      </c>
    </row>
    <row r="13265" spans="1:5" x14ac:dyDescent="0.25">
      <c r="A13265" t="str">
        <f>HYPERLINK("https://www.773grp.com/globalSearch/TMDS341PFC/page-1", "TMDS341PFC")</f>
        <v>TMDS341PFC</v>
      </c>
      <c r="B13265" s="3" t="s">
        <v>90</v>
      </c>
      <c r="C13265" s="5">
        <v>1868</v>
      </c>
      <c r="D13265" s="6">
        <v>7.6</v>
      </c>
      <c r="E13265" t="s">
        <v>48</v>
      </c>
    </row>
    <row r="13266" spans="1:5" x14ac:dyDescent="0.25">
      <c r="A13266" t="str">
        <f>HYPERLINK("https://www.773grp.com/globalSearch/MPC508AU-1K/page-1", "MPC508AU-1K")</f>
        <v>MPC508AU-1K</v>
      </c>
      <c r="B13266" s="3" t="s">
        <v>90</v>
      </c>
      <c r="C13266" s="5">
        <v>6000</v>
      </c>
      <c r="D13266" s="6">
        <v>7.88</v>
      </c>
      <c r="E13266" t="s">
        <v>48</v>
      </c>
    </row>
    <row r="13267" spans="1:5" x14ac:dyDescent="0.25">
      <c r="A13267" t="str">
        <f>HYPERLINK("https://www.773grp.com/globalSearch/SN74CBTU4411ZSTR/page-1", "SN74CBTU4411ZSTR")</f>
        <v>SN74CBTU4411ZSTR</v>
      </c>
      <c r="B13267" s="3" t="s">
        <v>90</v>
      </c>
      <c r="C13267" s="5">
        <v>233500</v>
      </c>
      <c r="D13267" s="6">
        <v>7.88</v>
      </c>
      <c r="E13267" t="s">
        <v>48</v>
      </c>
    </row>
    <row r="13268" spans="1:5" x14ac:dyDescent="0.25">
      <c r="A13268" t="str">
        <f>HYPERLINK("https://www.773grp.com/globalSearch/OPA3875IDBQ/page-1", "OPA3875IDBQ")</f>
        <v>OPA3875IDBQ</v>
      </c>
      <c r="B13268" s="3" t="s">
        <v>90</v>
      </c>
      <c r="C13268" s="5">
        <v>8548</v>
      </c>
      <c r="D13268" s="6">
        <v>8.58</v>
      </c>
      <c r="E13268" t="s">
        <v>48</v>
      </c>
    </row>
    <row r="13269" spans="1:5" x14ac:dyDescent="0.25">
      <c r="A13269" t="str">
        <f>HYPERLINK("https://www.773grp.com/globalSearch/MPC509AP/page-1", "MPC509AP")</f>
        <v>MPC509AP</v>
      </c>
      <c r="B13269" s="3" t="s">
        <v>90</v>
      </c>
      <c r="C13269" s="5">
        <v>13</v>
      </c>
      <c r="D13269" s="6">
        <v>9.06</v>
      </c>
      <c r="E13269" t="s">
        <v>48</v>
      </c>
    </row>
    <row r="13270" spans="1:5" x14ac:dyDescent="0.25">
      <c r="A13270" t="str">
        <f>HYPERLINK("https://www.773grp.com/globalSearch/MPC508AU/page-1", "MPC508AU")</f>
        <v>MPC508AU</v>
      </c>
      <c r="B13270" s="3" t="s">
        <v>90</v>
      </c>
      <c r="C13270" s="5">
        <v>88</v>
      </c>
      <c r="D13270" s="6">
        <v>9.41</v>
      </c>
      <c r="E13270" t="s">
        <v>48</v>
      </c>
    </row>
    <row r="13271" spans="1:5" x14ac:dyDescent="0.25">
      <c r="A13271" t="str">
        <f>HYPERLINK("https://www.773grp.com/globalSearch/MPC509AU/page-1", "MPC509AU")</f>
        <v>MPC509AU</v>
      </c>
      <c r="B13271" s="3" t="s">
        <v>90</v>
      </c>
      <c r="C13271" s="5">
        <v>9680</v>
      </c>
      <c r="D13271" s="6">
        <v>10.41</v>
      </c>
      <c r="E13271" t="s">
        <v>48</v>
      </c>
    </row>
    <row r="13272" spans="1:5" x14ac:dyDescent="0.25">
      <c r="A13272" t="str">
        <f>HYPERLINK("https://www.773grp.com/globalSearch/MPC509AU/page-1", "MPC509AU")</f>
        <v>MPC509AU</v>
      </c>
      <c r="B13272" s="3" t="s">
        <v>90</v>
      </c>
      <c r="C13272" s="5">
        <v>4</v>
      </c>
      <c r="D13272" s="6">
        <v>10.41</v>
      </c>
      <c r="E13272" t="s">
        <v>48</v>
      </c>
    </row>
    <row r="13273" spans="1:5" x14ac:dyDescent="0.25">
      <c r="A13273" t="str">
        <f>HYPERLINK("https://www.773grp.com/globalSearch/CD4097BE/page-1", "CD4097BE")</f>
        <v>CD4097BE</v>
      </c>
      <c r="B13273" s="3" t="s">
        <v>90</v>
      </c>
      <c r="C13273" s="5">
        <v>48009</v>
      </c>
      <c r="D13273" s="6">
        <v>11</v>
      </c>
      <c r="E13273" t="s">
        <v>48</v>
      </c>
    </row>
    <row r="13274" spans="1:5" x14ac:dyDescent="0.25">
      <c r="A13274" t="str">
        <f>HYPERLINK("https://www.773grp.com/globalSearch/SN65LVCP23PWR/page-1", "SN65LVCP23PWR")</f>
        <v>SN65LVCP23PWR</v>
      </c>
      <c r="B13274" s="3" t="s">
        <v>90</v>
      </c>
      <c r="C13274" s="5">
        <v>4130</v>
      </c>
      <c r="D13274" s="6">
        <v>11.25</v>
      </c>
      <c r="E13274" t="s">
        <v>48</v>
      </c>
    </row>
    <row r="13275" spans="1:5" x14ac:dyDescent="0.25">
      <c r="A13275" t="str">
        <f>HYPERLINK("https://www.773grp.com/globalSearch/PCI930PBK/page-1", "PCI930PBK")</f>
        <v>PCI930PBK</v>
      </c>
      <c r="B13275" s="3" t="s">
        <v>90</v>
      </c>
      <c r="C13275" s="5">
        <v>4627</v>
      </c>
      <c r="D13275" s="6">
        <v>11.28</v>
      </c>
      <c r="E13275" t="s">
        <v>48</v>
      </c>
    </row>
    <row r="13276" spans="1:5" x14ac:dyDescent="0.25">
      <c r="A13276" t="str">
        <f>HYPERLINK("https://www.773grp.com/globalSearch/OPA4872MDREP/page-1", "OPA4872MDREP")</f>
        <v>OPA4872MDREP</v>
      </c>
      <c r="B13276" s="3" t="s">
        <v>90</v>
      </c>
      <c r="C13276" s="5">
        <v>2300</v>
      </c>
      <c r="D13276" s="6">
        <v>12.1</v>
      </c>
      <c r="E13276" t="s">
        <v>48</v>
      </c>
    </row>
    <row r="13277" spans="1:5" x14ac:dyDescent="0.25">
      <c r="A13277" t="str">
        <f>HYPERLINK("https://www.773grp.com/globalSearch/CD4051BF/page-1", "CD4051BF")</f>
        <v>CD4051BF</v>
      </c>
      <c r="B13277" s="3" t="str">
        <f>HYPERLINK("https://www.773grp.com/manufacturer/texas-instruments?pageNo=585", "Texas Instruments")</f>
        <v>Texas Instruments</v>
      </c>
      <c r="C13277" s="5">
        <v>291</v>
      </c>
      <c r="D13277" s="6">
        <v>13.25</v>
      </c>
      <c r="E13277" t="s">
        <v>48</v>
      </c>
    </row>
    <row r="13278" spans="1:5" x14ac:dyDescent="0.25">
      <c r="A13278" t="str">
        <f>HYPERLINK("https://www.773grp.com/globalSearch/SN65LVCP23D/page-1", "SN65LVCP23D")</f>
        <v>SN65LVCP23D</v>
      </c>
      <c r="B13278" s="3" t="str">
        <f>HYPERLINK("https://www.773grp.com/manufacturer/texas-instruments?pageNo=741", "Texas Instruments")</f>
        <v>Texas Instruments</v>
      </c>
      <c r="C13278" s="5">
        <v>23592</v>
      </c>
      <c r="D13278" s="6">
        <v>13.5</v>
      </c>
      <c r="E13278" t="s">
        <v>48</v>
      </c>
    </row>
    <row r="13279" spans="1:5" x14ac:dyDescent="0.25">
      <c r="A13279" t="str">
        <f>HYPERLINK("https://www.773grp.com/globalSearch/SN65LVCP23PW/page-1", "SN65LVCP23PW")</f>
        <v>SN65LVCP23PW</v>
      </c>
      <c r="B13279" s="3" t="str">
        <f>HYPERLINK("https://www.773grp.com/manufacturer/texas-instruments?pageNo=742", "Texas Instruments")</f>
        <v>Texas Instruments</v>
      </c>
      <c r="C13279" s="5">
        <v>295</v>
      </c>
      <c r="D13279" s="6">
        <v>13.5</v>
      </c>
      <c r="E13279" t="s">
        <v>48</v>
      </c>
    </row>
    <row r="13280" spans="1:5" x14ac:dyDescent="0.25">
      <c r="A13280" t="str">
        <f>HYPERLINK("https://www.773grp.com/globalSearch/CD4052BF/page-1", "CD4052BF")</f>
        <v>CD4052BF</v>
      </c>
      <c r="B13280" s="3" t="str">
        <f>HYPERLINK("https://www.773grp.com/manufacturer/texas-instruments?pageNo=807", "Texas Instruments")</f>
        <v>Texas Instruments</v>
      </c>
      <c r="C13280" s="5">
        <v>134</v>
      </c>
      <c r="D13280" s="6">
        <v>13.64</v>
      </c>
      <c r="E13280" t="s">
        <v>48</v>
      </c>
    </row>
    <row r="13281" spans="1:5" x14ac:dyDescent="0.25">
      <c r="A13281" t="str">
        <f>HYPERLINK("https://www.773grp.com/globalSearch/CD4053BF/page-1", "CD4053BF")</f>
        <v>CD4053BF</v>
      </c>
      <c r="B13281" s="3" t="str">
        <f>HYPERLINK("https://www.773grp.com/manufacturer/texas-instruments?pageNo=808", "Texas Instruments")</f>
        <v>Texas Instruments</v>
      </c>
      <c r="C13281" s="5">
        <v>1341</v>
      </c>
      <c r="D13281" s="6">
        <v>13.64</v>
      </c>
      <c r="E13281" t="s">
        <v>48</v>
      </c>
    </row>
    <row r="13282" spans="1:5" x14ac:dyDescent="0.25">
      <c r="A13282" t="str">
        <f>HYPERLINK("https://www.773grp.com/globalSearch/CD4051BF3A/page-1", "CD4051BF3A")</f>
        <v>CD4051BF3A</v>
      </c>
      <c r="B13282" s="3" t="s">
        <v>90</v>
      </c>
      <c r="C13282" s="5">
        <v>7</v>
      </c>
      <c r="D13282" s="6">
        <v>15.48</v>
      </c>
      <c r="E13282" t="s">
        <v>48</v>
      </c>
    </row>
    <row r="13283" spans="1:5" x14ac:dyDescent="0.25">
      <c r="A13283" t="str">
        <f>HYPERLINK("https://www.773grp.com/globalSearch/CD4016BF/page-1", "CD4016BF")</f>
        <v>CD4016BF</v>
      </c>
      <c r="B13283" s="3" t="s">
        <v>90</v>
      </c>
      <c r="C13283" s="5">
        <v>97</v>
      </c>
      <c r="D13283" s="6">
        <v>15.49</v>
      </c>
      <c r="E13283" t="s">
        <v>48</v>
      </c>
    </row>
    <row r="13284" spans="1:5" x14ac:dyDescent="0.25">
      <c r="A13284" t="str">
        <f>HYPERLINK("https://www.773grp.com/globalSearch/MPC506AU-1K/page-1", "MPC506AU-1K")</f>
        <v>MPC506AU-1K</v>
      </c>
      <c r="B13284" s="3" t="s">
        <v>90</v>
      </c>
      <c r="C13284" s="5">
        <v>2000</v>
      </c>
      <c r="D13284" s="6">
        <v>16.04</v>
      </c>
      <c r="E13284" t="s">
        <v>48</v>
      </c>
    </row>
    <row r="13285" spans="1:5" x14ac:dyDescent="0.25">
      <c r="A13285" t="str">
        <f>HYPERLINK("https://www.773grp.com/globalSearch/CD54HC4066F3A/page-1", "CD54HC4066F3A")</f>
        <v>CD54HC4066F3A</v>
      </c>
      <c r="B13285" s="3" t="s">
        <v>90</v>
      </c>
      <c r="C13285" s="5">
        <v>100</v>
      </c>
      <c r="D13285" s="6">
        <v>16.54</v>
      </c>
      <c r="E13285" t="s">
        <v>48</v>
      </c>
    </row>
    <row r="13286" spans="1:5" x14ac:dyDescent="0.25">
      <c r="A13286" t="str">
        <f>HYPERLINK("https://www.773grp.com/globalSearch/SN65LVDT125DBT/page-1", "SN65LVDT125DBT")</f>
        <v>SN65LVDT125DBT</v>
      </c>
      <c r="B13286" s="3" t="s">
        <v>90</v>
      </c>
      <c r="C13286" s="5">
        <v>1380</v>
      </c>
      <c r="D13286" s="6">
        <v>17.59</v>
      </c>
      <c r="E13286" t="s">
        <v>48</v>
      </c>
    </row>
    <row r="13287" spans="1:5" x14ac:dyDescent="0.25">
      <c r="A13287" t="str">
        <f>HYPERLINK("https://www.773grp.com/globalSearch/5962-9064001CA/page-1", "5962-9064001CA")</f>
        <v>5962-9064001CA</v>
      </c>
      <c r="B13287" s="3" t="s">
        <v>90</v>
      </c>
      <c r="C13287" s="5">
        <v>275</v>
      </c>
      <c r="D13287" s="6">
        <v>17.98</v>
      </c>
      <c r="E13287" t="s">
        <v>48</v>
      </c>
    </row>
    <row r="13288" spans="1:5" x14ac:dyDescent="0.25">
      <c r="A13288" t="str">
        <f>HYPERLINK("https://www.773grp.com/globalSearch/CD4016BF3A/page-1", "CD4016BF3A")</f>
        <v>CD4016BF3A</v>
      </c>
      <c r="B13288" s="3" t="s">
        <v>90</v>
      </c>
      <c r="C13288" s="5">
        <v>336</v>
      </c>
      <c r="D13288" s="6">
        <v>17.98</v>
      </c>
      <c r="E13288" t="s">
        <v>48</v>
      </c>
    </row>
    <row r="13289" spans="1:5" x14ac:dyDescent="0.25">
      <c r="A13289" t="str">
        <f>HYPERLINK("https://www.773grp.com/globalSearch/MPC506AP/page-1", "MPC506AP")</f>
        <v>MPC506AP</v>
      </c>
      <c r="B13289" s="3" t="s">
        <v>90</v>
      </c>
      <c r="C13289" s="5">
        <v>2</v>
      </c>
      <c r="D13289" s="6">
        <v>18.43</v>
      </c>
      <c r="E13289" t="s">
        <v>48</v>
      </c>
    </row>
    <row r="13290" spans="1:5" x14ac:dyDescent="0.25">
      <c r="A13290" t="str">
        <f>HYPERLINK("https://www.773grp.com/globalSearch/MPC506AP/page-1", "MPC506AP")</f>
        <v>MPC506AP</v>
      </c>
      <c r="B13290" s="3" t="s">
        <v>90</v>
      </c>
      <c r="C13290" s="5">
        <v>16251</v>
      </c>
      <c r="D13290" s="6">
        <v>18.43</v>
      </c>
      <c r="E13290" t="s">
        <v>48</v>
      </c>
    </row>
    <row r="13291" spans="1:5" x14ac:dyDescent="0.25">
      <c r="A13291" t="str">
        <f>HYPERLINK("https://www.773grp.com/globalSearch/MPC507AP/page-1", "MPC507AP")</f>
        <v>MPC507AP</v>
      </c>
      <c r="B13291" s="3" t="s">
        <v>90</v>
      </c>
      <c r="C13291" s="5">
        <v>751</v>
      </c>
      <c r="D13291" s="6">
        <v>18.43</v>
      </c>
      <c r="E13291" t="s">
        <v>48</v>
      </c>
    </row>
    <row r="13292" spans="1:5" x14ac:dyDescent="0.25">
      <c r="A13292" t="str">
        <f>HYPERLINK("https://www.773grp.com/globalSearch/CD4066BF/page-1", "CD4066BF")</f>
        <v>CD4066BF</v>
      </c>
      <c r="B13292" s="3" t="s">
        <v>90</v>
      </c>
      <c r="C13292" s="5">
        <v>1041</v>
      </c>
      <c r="D13292" s="6">
        <v>18.53</v>
      </c>
      <c r="E13292" t="s">
        <v>48</v>
      </c>
    </row>
    <row r="13293" spans="1:5" x14ac:dyDescent="0.25">
      <c r="A13293" t="str">
        <f>HYPERLINK("https://www.773grp.com/globalSearch/SN65LVCP402RGET/page-1", "SN65LVCP402RGET")</f>
        <v>SN65LVCP402RGET</v>
      </c>
      <c r="B13293" s="3" t="s">
        <v>90</v>
      </c>
      <c r="C13293" s="5">
        <v>168</v>
      </c>
      <c r="D13293" s="6">
        <v>18.850000000000001</v>
      </c>
      <c r="E13293" t="s">
        <v>48</v>
      </c>
    </row>
    <row r="13294" spans="1:5" x14ac:dyDescent="0.25">
      <c r="A13294" t="str">
        <f>HYPERLINK("https://www.773grp.com/globalSearch/MPC506AU/page-1", "MPC506AU")</f>
        <v>MPC506AU</v>
      </c>
      <c r="B13294" s="3" t="s">
        <v>90</v>
      </c>
      <c r="C13294" s="5">
        <v>2688</v>
      </c>
      <c r="D13294" s="6">
        <v>19.13</v>
      </c>
      <c r="E13294" t="s">
        <v>48</v>
      </c>
    </row>
    <row r="13295" spans="1:5" x14ac:dyDescent="0.25">
      <c r="A13295" t="str">
        <f>HYPERLINK("https://www.773grp.com/globalSearch/MPC507AU/page-1", "MPC507AU")</f>
        <v>MPC507AU</v>
      </c>
      <c r="B13295" s="3" t="s">
        <v>90</v>
      </c>
      <c r="C13295" s="5">
        <v>8</v>
      </c>
      <c r="D13295" s="6">
        <v>19.13</v>
      </c>
      <c r="E13295" t="s">
        <v>48</v>
      </c>
    </row>
    <row r="13296" spans="1:5" x14ac:dyDescent="0.25">
      <c r="A13296" t="str">
        <f>HYPERLINK("https://www.773grp.com/globalSearch/CD54HC4053F/page-1", "CD54HC4053F")</f>
        <v>CD54HC4053F</v>
      </c>
      <c r="B13296" s="3" t="s">
        <v>90</v>
      </c>
      <c r="C13296" s="5">
        <v>600</v>
      </c>
      <c r="D13296" s="6">
        <v>19.53</v>
      </c>
      <c r="E13296" t="s">
        <v>48</v>
      </c>
    </row>
    <row r="13297" spans="1:5" x14ac:dyDescent="0.25">
      <c r="A13297" t="str">
        <f>HYPERLINK("https://www.773grp.com/globalSearch/8101801EA/page-1", "8101801EA")</f>
        <v>8101801EA</v>
      </c>
      <c r="B13297" s="3" t="s">
        <v>90</v>
      </c>
      <c r="C13297" s="5">
        <v>232</v>
      </c>
      <c r="D13297" s="6">
        <v>19.75</v>
      </c>
      <c r="E13297" t="s">
        <v>48</v>
      </c>
    </row>
    <row r="13298" spans="1:5" x14ac:dyDescent="0.25">
      <c r="A13298" t="str">
        <f>HYPERLINK("https://www.773grp.com/globalSearch/SN65LVDS125DBT/page-1", "SN65LVDS125DBT")</f>
        <v>SN65LVDS125DBT</v>
      </c>
      <c r="B13298" s="3" t="s">
        <v>90</v>
      </c>
      <c r="C13298" s="5">
        <v>1239</v>
      </c>
      <c r="D13298" s="6">
        <v>20.68</v>
      </c>
      <c r="E13298" t="s">
        <v>48</v>
      </c>
    </row>
    <row r="13299" spans="1:5" x14ac:dyDescent="0.25">
      <c r="A13299" t="str">
        <f>HYPERLINK("https://www.773grp.com/globalSearch/CD54HC4052F/page-1", "CD54HC4052F")</f>
        <v>CD54HC4052F</v>
      </c>
      <c r="B13299" s="3" t="s">
        <v>90</v>
      </c>
      <c r="C13299" s="5">
        <v>19</v>
      </c>
      <c r="D13299" s="6">
        <v>20.98</v>
      </c>
      <c r="E13299" t="s">
        <v>48</v>
      </c>
    </row>
    <row r="13300" spans="1:5" x14ac:dyDescent="0.25">
      <c r="A13300" t="str">
        <f>HYPERLINK("https://www.773grp.com/globalSearch/5962-8775401EA/page-1", "5962-8775401EA")</f>
        <v>5962-8775401EA</v>
      </c>
      <c r="B13300" s="3" t="s">
        <v>90</v>
      </c>
      <c r="C13300" s="5">
        <v>40</v>
      </c>
      <c r="D13300" s="6">
        <v>23.85</v>
      </c>
      <c r="E13300" t="s">
        <v>48</v>
      </c>
    </row>
    <row r="13301" spans="1:5" x14ac:dyDescent="0.25">
      <c r="A13301" t="str">
        <f>HYPERLINK("https://www.773grp.com/globalSearch/CD54HC4053F3A/page-1", "CD54HC4053F3A")</f>
        <v>CD54HC4053F3A</v>
      </c>
      <c r="B13301" s="3" t="s">
        <v>90</v>
      </c>
      <c r="C13301" s="5">
        <v>13</v>
      </c>
      <c r="D13301" s="6">
        <v>23.85</v>
      </c>
      <c r="E13301" t="s">
        <v>48</v>
      </c>
    </row>
    <row r="13302" spans="1:5" x14ac:dyDescent="0.25">
      <c r="A13302" t="str">
        <f>HYPERLINK("https://www.773grp.com/globalSearch/CD54HC4051F3A/page-1", "CD54HC4051F3A")</f>
        <v>CD54HC4051F3A</v>
      </c>
      <c r="B13302" s="3" t="s">
        <v>90</v>
      </c>
      <c r="C13302" s="5">
        <v>339</v>
      </c>
      <c r="D13302" s="6">
        <v>24.14</v>
      </c>
      <c r="E13302" t="s">
        <v>48</v>
      </c>
    </row>
    <row r="13303" spans="1:5" x14ac:dyDescent="0.25">
      <c r="A13303" t="str">
        <f>HYPERLINK("https://www.773grp.com/globalSearch/SN65LVDS250DBT/page-1", "SN65LVDS250DBT")</f>
        <v>SN65LVDS250DBT</v>
      </c>
      <c r="B13303" s="3" t="s">
        <v>90</v>
      </c>
      <c r="C13303" s="5">
        <v>730</v>
      </c>
      <c r="D13303" s="6">
        <v>24.6</v>
      </c>
      <c r="E13303" t="s">
        <v>48</v>
      </c>
    </row>
    <row r="13304" spans="1:5" x14ac:dyDescent="0.25">
      <c r="A13304" t="str">
        <f>HYPERLINK("https://www.773grp.com/globalSearch/SN65LVDS125ADBT/page-1", "SN65LVDS125ADBT")</f>
        <v>SN65LVDS125ADBT</v>
      </c>
      <c r="B13304" s="3" t="s">
        <v>90</v>
      </c>
      <c r="C13304" s="5">
        <v>3653</v>
      </c>
      <c r="D13304" s="6">
        <v>24.89</v>
      </c>
      <c r="E13304" t="s">
        <v>48</v>
      </c>
    </row>
    <row r="13305" spans="1:5" x14ac:dyDescent="0.25">
      <c r="A13305" t="str">
        <f>HYPERLINK("https://www.773grp.com/globalSearch/SN65LVCP404RGZR/page-1", "SN65LVCP404RGZR")</f>
        <v>SN65LVCP404RGZR</v>
      </c>
      <c r="B13305" s="3" t="s">
        <v>90</v>
      </c>
      <c r="C13305" s="5">
        <v>15000</v>
      </c>
      <c r="D13305" s="6">
        <v>25.31</v>
      </c>
      <c r="E13305" t="s">
        <v>48</v>
      </c>
    </row>
    <row r="13306" spans="1:5" x14ac:dyDescent="0.25">
      <c r="A13306" t="str">
        <f>HYPERLINK("https://www.773grp.com/globalSearch/5962-9065401MEA/page-1", "5962-9065401MEA")</f>
        <v>5962-9065401MEA</v>
      </c>
      <c r="B13306" s="3" t="str">
        <f>HYPERLINK("https://www.773grp.com/manufacturer/texas-instruments?pageNo=4", "Texas Instruments")</f>
        <v>Texas Instruments</v>
      </c>
      <c r="C13306" s="5">
        <v>280</v>
      </c>
      <c r="D13306" s="6">
        <v>27.34</v>
      </c>
      <c r="E13306" t="s">
        <v>48</v>
      </c>
    </row>
    <row r="13307" spans="1:5" x14ac:dyDescent="0.25">
      <c r="A13307" t="str">
        <f>HYPERLINK("https://www.773grp.com/globalSearch/MPC4D/page-1", "MPC4D")</f>
        <v>MPC4D</v>
      </c>
      <c r="B13307" s="3" t="str">
        <f>HYPERLINK("https://www.773grp.com/manufacturer/texas-instruments?pageNo=237", "Texas Instruments")</f>
        <v>Texas Instruments</v>
      </c>
      <c r="C13307" s="5">
        <v>126</v>
      </c>
      <c r="D13307" s="6">
        <v>28.55</v>
      </c>
      <c r="E13307" t="s">
        <v>48</v>
      </c>
    </row>
    <row r="13308" spans="1:5" x14ac:dyDescent="0.25">
      <c r="A13308" t="str">
        <f>HYPERLINK("https://www.773grp.com/globalSearch/SN65LVCP404RGZT/page-1", "SN65LVCP404RGZT")</f>
        <v>SN65LVCP404RGZT</v>
      </c>
      <c r="B13308" s="3" t="str">
        <f>HYPERLINK("https://www.773grp.com/manufacturer/texas-instruments?pageNo=380", "Texas Instruments")</f>
        <v>Texas Instruments</v>
      </c>
      <c r="C13308" s="5">
        <v>9750</v>
      </c>
      <c r="D13308" s="6">
        <v>29.54</v>
      </c>
      <c r="E13308" t="s">
        <v>48</v>
      </c>
    </row>
    <row r="13309" spans="1:5" x14ac:dyDescent="0.25">
      <c r="A13309" t="str">
        <f>HYPERLINK("https://www.773grp.com/globalSearch/CD4067BF/page-1", "CD4067BF")</f>
        <v>CD4067BF</v>
      </c>
      <c r="B13309" s="3" t="str">
        <f>HYPERLINK("https://www.773grp.com/manufacturer/texas-instruments?pageNo=538", "Texas Instruments")</f>
        <v>Texas Instruments</v>
      </c>
      <c r="C13309" s="5">
        <v>202</v>
      </c>
      <c r="D13309" s="6">
        <v>30.71</v>
      </c>
      <c r="E13309" t="s">
        <v>48</v>
      </c>
    </row>
    <row r="13310" spans="1:5" x14ac:dyDescent="0.25">
      <c r="A13310" t="str">
        <f>HYPERLINK("https://www.773grp.com/globalSearch/SN65LVDT125ADBT/page-1", "SN65LVDT125ADBT")</f>
        <v>SN65LVDT125ADBT</v>
      </c>
      <c r="B13310" s="3" t="str">
        <f>HYPERLINK("https://www.773grp.com/manufacturer/texas-instruments?pageNo=694", "Texas Instruments")</f>
        <v>Texas Instruments</v>
      </c>
      <c r="C13310" s="5">
        <v>335</v>
      </c>
      <c r="D13310" s="6">
        <v>31.5</v>
      </c>
      <c r="E13310" t="s">
        <v>48</v>
      </c>
    </row>
    <row r="13311" spans="1:5" x14ac:dyDescent="0.25">
      <c r="A13311" t="str">
        <f>HYPERLINK("https://www.773grp.com/globalSearch/SN65LVDT125ADBTG4/page-1", "SN65LVDT125ADBTG4")</f>
        <v>SN65LVDT125ADBTG4</v>
      </c>
      <c r="B13311" s="3" t="str">
        <f>HYPERLINK("https://www.773grp.com/manufacturer/texas-instruments?pageNo=695", "Texas Instruments")</f>
        <v>Texas Instruments</v>
      </c>
      <c r="C13311" s="5">
        <v>18</v>
      </c>
      <c r="D13311" s="6">
        <v>31.5</v>
      </c>
      <c r="E13311" t="s">
        <v>48</v>
      </c>
    </row>
    <row r="13312" spans="1:5" x14ac:dyDescent="0.25">
      <c r="A13312" t="str">
        <f>HYPERLINK("https://www.773grp.com/globalSearch/CD4067BF3A/page-1", "CD4067BF3A")</f>
        <v>CD4067BF3A</v>
      </c>
      <c r="B13312" s="3" t="s">
        <v>90</v>
      </c>
      <c r="C13312" s="5">
        <v>1367</v>
      </c>
      <c r="D13312" s="6">
        <v>35.74</v>
      </c>
      <c r="E13312" t="s">
        <v>48</v>
      </c>
    </row>
    <row r="13313" spans="1:5" x14ac:dyDescent="0.25">
      <c r="A13313" t="str">
        <f>HYPERLINK("https://www.773grp.com/globalSearch/JM38510-05852BCA/page-1", "JM38510-05852BCA")</f>
        <v>JM38510-05852BCA</v>
      </c>
      <c r="B13313" s="3" t="s">
        <v>90</v>
      </c>
      <c r="C13313" s="5">
        <v>554</v>
      </c>
      <c r="D13313" s="6">
        <v>129.21</v>
      </c>
      <c r="E13313" t="s">
        <v>48</v>
      </c>
    </row>
    <row r="13314" spans="1:5" x14ac:dyDescent="0.25">
      <c r="A13314" t="str">
        <f>HYPERLINK("https://www.773grp.com/globalSearch/PCA9545ADWR/page-1", "PCA9545ADWR")</f>
        <v>PCA9545ADWR</v>
      </c>
      <c r="B13314" s="3" t="str">
        <f>HYPERLINK("https://www.773grp.com/manufacturer/texas-instruments?pageNo=11", "Texas Instruments")</f>
        <v>Texas Instruments</v>
      </c>
      <c r="C13314" s="5">
        <v>5920</v>
      </c>
      <c r="D13314" s="6">
        <v>3.95</v>
      </c>
      <c r="E13314" t="s">
        <v>17</v>
      </c>
    </row>
    <row r="13315" spans="1:5" x14ac:dyDescent="0.25">
      <c r="A13315" t="str">
        <f>HYPERLINK("https://www.773grp.com/globalSearch/PCA9545APWR/page-1", "PCA9545APWR")</f>
        <v>PCA9545APWR</v>
      </c>
      <c r="B13315" s="3" t="str">
        <f>HYPERLINK("https://www.773grp.com/manufacturer/texas-instruments?pageNo=12", "Texas Instruments")</f>
        <v>Texas Instruments</v>
      </c>
      <c r="C13315" s="5">
        <v>3726</v>
      </c>
      <c r="D13315" s="6">
        <v>3.95</v>
      </c>
      <c r="E13315" t="s">
        <v>17</v>
      </c>
    </row>
    <row r="13316" spans="1:5" x14ac:dyDescent="0.25">
      <c r="A13316" t="str">
        <f>HYPERLINK("https://www.773grp.com/globalSearch/PCA9545ARGYR/page-1", "PCA9545ARGYR")</f>
        <v>PCA9545ARGYR</v>
      </c>
      <c r="B13316" s="3" t="str">
        <f>HYPERLINK("https://www.773grp.com/manufacturer/texas-instruments?pageNo=13", "Texas Instruments")</f>
        <v>Texas Instruments</v>
      </c>
      <c r="C13316" s="5">
        <v>11618</v>
      </c>
      <c r="D13316" s="6">
        <v>3.95</v>
      </c>
      <c r="E13316" t="s">
        <v>17</v>
      </c>
    </row>
    <row r="13317" spans="1:5" x14ac:dyDescent="0.25">
      <c r="A13317" t="str">
        <f>HYPERLINK("https://www.773grp.com/globalSearch/PCA9545AZQNR/page-1", "PCA9545AZQNR")</f>
        <v>PCA9545AZQNR</v>
      </c>
      <c r="B13317" s="3" t="str">
        <f>HYPERLINK("https://www.773grp.com/manufacturer/texas-instruments?pageNo=14", "Texas Instruments")</f>
        <v>Texas Instruments</v>
      </c>
      <c r="C13317" s="5">
        <v>171960</v>
      </c>
      <c r="D13317" s="6">
        <v>3.95</v>
      </c>
      <c r="E13317" t="s">
        <v>17</v>
      </c>
    </row>
    <row r="13318" spans="1:5" x14ac:dyDescent="0.25">
      <c r="A13318" t="str">
        <f>HYPERLINK("https://www.773grp.com/globalSearch/PCA9544AGQNR/page-1", "PCA9544AGQNR")</f>
        <v>PCA9544AGQNR</v>
      </c>
      <c r="B13318" s="3" t="str">
        <f>HYPERLINK("https://www.773grp.com/manufacturer/texas-instruments?pageNo=299", "Texas Instruments")</f>
        <v>Texas Instruments</v>
      </c>
      <c r="C13318" s="5">
        <v>6000</v>
      </c>
      <c r="D13318" s="6">
        <v>3.63</v>
      </c>
      <c r="E13318" t="s">
        <v>17</v>
      </c>
    </row>
    <row r="13319" spans="1:5" x14ac:dyDescent="0.25">
      <c r="A13319" t="str">
        <f>HYPERLINK("https://www.773grp.com/globalSearch/PCA9545AGQNR/page-1", "PCA9545AGQNR")</f>
        <v>PCA9545AGQNR</v>
      </c>
      <c r="B13319" s="3" t="str">
        <f>HYPERLINK("https://www.773grp.com/manufacturer/texas-instruments?pageNo=300", "Texas Instruments")</f>
        <v>Texas Instruments</v>
      </c>
      <c r="C13319" s="5">
        <v>109000</v>
      </c>
      <c r="D13319" s="6">
        <v>3.63</v>
      </c>
      <c r="E13319" t="s">
        <v>17</v>
      </c>
    </row>
    <row r="13320" spans="1:5" x14ac:dyDescent="0.25">
      <c r="A13320" t="str">
        <f>HYPERLINK("https://www.773grp.com/globalSearch/PCA9545AGQNR/page-1", "PCA9545AGQNR")</f>
        <v>PCA9545AGQNR</v>
      </c>
      <c r="B13320" s="3" t="str">
        <f>HYPERLINK("https://www.773grp.com/manufacturer/texas-instruments?pageNo=301", "Texas Instruments")</f>
        <v>Texas Instruments</v>
      </c>
      <c r="C13320" s="5">
        <v>6000</v>
      </c>
      <c r="D13320" s="6">
        <v>3.63</v>
      </c>
      <c r="E13320" t="s">
        <v>17</v>
      </c>
    </row>
    <row r="13321" spans="1:5" x14ac:dyDescent="0.25">
      <c r="A13321" t="str">
        <f>HYPERLINK("https://www.773grp.com/globalSearch/SN74S151N/page-1", "SN74S151N")</f>
        <v>SN74S151N</v>
      </c>
      <c r="B13321" s="3" t="str">
        <f>HYPERLINK("https://www.773grp.com/manufacturer/texas-instruments?pageNo=371", "Texas Instruments")</f>
        <v>Texas Instruments</v>
      </c>
      <c r="C13321" s="5">
        <v>25760</v>
      </c>
      <c r="D13321" s="6">
        <v>3.63</v>
      </c>
      <c r="E13321" t="s">
        <v>17</v>
      </c>
    </row>
    <row r="13322" spans="1:5" x14ac:dyDescent="0.25">
      <c r="A13322" t="str">
        <f>HYPERLINK("https://www.773grp.com/globalSearch/PCA9544ADW/page-1", "PCA9544ADW")</f>
        <v>PCA9544ADW</v>
      </c>
      <c r="B13322" s="3" t="str">
        <f>HYPERLINK("https://www.773grp.com/manufacturer/texas-instruments?pageNo=438", "Texas Instruments")</f>
        <v>Texas Instruments</v>
      </c>
      <c r="C13322" s="5">
        <v>18245</v>
      </c>
      <c r="D13322" s="6">
        <v>4.01</v>
      </c>
      <c r="E13322" t="s">
        <v>17</v>
      </c>
    </row>
    <row r="13323" spans="1:5" x14ac:dyDescent="0.25">
      <c r="A13323" t="str">
        <f>HYPERLINK("https://www.773grp.com/globalSearch/PCA9544APW/page-1", "PCA9544APW")</f>
        <v>PCA9544APW</v>
      </c>
      <c r="B13323" s="3" t="str">
        <f>HYPERLINK("https://www.773grp.com/manufacturer/texas-instruments?pageNo=439", "Texas Instruments")</f>
        <v>Texas Instruments</v>
      </c>
      <c r="C13323" s="5">
        <v>15690</v>
      </c>
      <c r="D13323" s="6">
        <v>4.01</v>
      </c>
      <c r="E13323" t="s">
        <v>17</v>
      </c>
    </row>
    <row r="13324" spans="1:5" x14ac:dyDescent="0.25">
      <c r="A13324" t="str">
        <f>HYPERLINK("https://www.773grp.com/globalSearch/SN74153N/page-1", "SN74153N")</f>
        <v>SN74153N</v>
      </c>
      <c r="B13324" s="3" t="str">
        <f>HYPERLINK("https://www.773grp.com/manufacturer/texas-instruments?pageNo=699", "Texas Instruments")</f>
        <v>Texas Instruments</v>
      </c>
      <c r="C13324" s="5">
        <v>910</v>
      </c>
      <c r="D13324" s="6">
        <v>4.0599999999999996</v>
      </c>
      <c r="E13324" t="s">
        <v>17</v>
      </c>
    </row>
    <row r="13325" spans="1:5" x14ac:dyDescent="0.25">
      <c r="A13325" t="str">
        <f>HYPERLINK("https://www.773grp.com/globalSearch/SN74AS258NSR/page-1", "SN74AS258NSR")</f>
        <v>SN74AS258NSR</v>
      </c>
      <c r="B13325" s="3" t="str">
        <f>HYPERLINK("https://www.773grp.com/manufacturer/texas-instruments?pageNo=730", "Texas Instruments")</f>
        <v>Texas Instruments</v>
      </c>
      <c r="C13325" s="5">
        <v>10000</v>
      </c>
      <c r="D13325" s="6">
        <v>3.68</v>
      </c>
      <c r="E13325" t="s">
        <v>17</v>
      </c>
    </row>
    <row r="13326" spans="1:5" x14ac:dyDescent="0.25">
      <c r="A13326" t="str">
        <f>HYPERLINK("https://www.773grp.com/globalSearch/PCA9544APWT/page-1", "PCA9544APWT")</f>
        <v>PCA9544APWT</v>
      </c>
      <c r="B13326" s="3" t="str">
        <f>HYPERLINK("https://www.773grp.com/manufacturer/texas-instruments?pageNo=889", "Texas Instruments")</f>
        <v>Texas Instruments</v>
      </c>
      <c r="C13326" s="5">
        <v>500</v>
      </c>
      <c r="D13326" s="6">
        <v>4.1100000000000003</v>
      </c>
      <c r="E13326" t="s">
        <v>17</v>
      </c>
    </row>
    <row r="13327" spans="1:5" x14ac:dyDescent="0.25">
      <c r="A13327" t="str">
        <f>HYPERLINK("https://www.773grp.com/globalSearch/CY74FCT157ATQCT/page-1", "CY74FCT157ATQCT")</f>
        <v>CY74FCT157ATQCT</v>
      </c>
      <c r="B13327" s="3" t="s">
        <v>90</v>
      </c>
      <c r="C13327" s="5">
        <v>13500</v>
      </c>
      <c r="D13327" s="6">
        <v>4.16</v>
      </c>
      <c r="E13327" t="s">
        <v>17</v>
      </c>
    </row>
    <row r="13328" spans="1:5" x14ac:dyDescent="0.25">
      <c r="A13328" t="str">
        <f>HYPERLINK("https://www.773grp.com/globalSearch/CY74FCT157CTSOCT/page-1", "CY74FCT157CTSOCT")</f>
        <v>CY74FCT157CTSOCT</v>
      </c>
      <c r="B13328" s="3" t="s">
        <v>90</v>
      </c>
      <c r="C13328" s="5">
        <v>26005</v>
      </c>
      <c r="D13328" s="6">
        <v>4.16</v>
      </c>
      <c r="E13328" t="s">
        <v>17</v>
      </c>
    </row>
    <row r="13329" spans="1:5" x14ac:dyDescent="0.25">
      <c r="A13329" t="str">
        <f>HYPERLINK("https://www.773grp.com/globalSearch/PCA8550D/page-1", "PCA8550D")</f>
        <v>PCA8550D</v>
      </c>
      <c r="B13329" s="3" t="s">
        <v>90</v>
      </c>
      <c r="C13329" s="5">
        <v>4840</v>
      </c>
      <c r="D13329" s="6">
        <v>4.16</v>
      </c>
      <c r="E13329" t="s">
        <v>17</v>
      </c>
    </row>
    <row r="13330" spans="1:5" x14ac:dyDescent="0.25">
      <c r="A13330" t="str">
        <f>HYPERLINK("https://www.773grp.com/globalSearch/PCA8550DBR/page-1", "PCA8550DBR")</f>
        <v>PCA8550DBR</v>
      </c>
      <c r="B13330" s="3" t="s">
        <v>90</v>
      </c>
      <c r="C13330" s="5">
        <v>4152</v>
      </c>
      <c r="D13330" s="6">
        <v>4.16</v>
      </c>
      <c r="E13330" t="s">
        <v>17</v>
      </c>
    </row>
    <row r="13331" spans="1:5" x14ac:dyDescent="0.25">
      <c r="A13331" t="str">
        <f>HYPERLINK("https://www.773grp.com/globalSearch/PCA8550DR/page-1", "PCA8550DR")</f>
        <v>PCA8550DR</v>
      </c>
      <c r="B13331" s="3" t="s">
        <v>90</v>
      </c>
      <c r="C13331" s="5">
        <v>1796</v>
      </c>
      <c r="D13331" s="6">
        <v>4.16</v>
      </c>
      <c r="E13331" t="s">
        <v>17</v>
      </c>
    </row>
    <row r="13332" spans="1:5" x14ac:dyDescent="0.25">
      <c r="A13332" t="str">
        <f>HYPERLINK("https://www.773grp.com/globalSearch/SN74ALS251D/page-1", "SN74ALS251D")</f>
        <v>SN74ALS251D</v>
      </c>
      <c r="B13332" s="3" t="s">
        <v>90</v>
      </c>
      <c r="C13332" s="5">
        <v>7072</v>
      </c>
      <c r="D13332" s="6">
        <v>4.16</v>
      </c>
      <c r="E13332" t="s">
        <v>17</v>
      </c>
    </row>
    <row r="13333" spans="1:5" x14ac:dyDescent="0.25">
      <c r="A13333" t="str">
        <f>HYPERLINK("https://www.773grp.com/globalSearch/SN74ALS253N/page-1", "SN74ALS253N")</f>
        <v>SN74ALS253N</v>
      </c>
      <c r="B13333" s="3" t="s">
        <v>90</v>
      </c>
      <c r="C13333" s="5">
        <v>14497</v>
      </c>
      <c r="D13333" s="6">
        <v>4.16</v>
      </c>
      <c r="E13333" t="s">
        <v>17</v>
      </c>
    </row>
    <row r="13334" spans="1:5" x14ac:dyDescent="0.25">
      <c r="A13334" t="str">
        <f>HYPERLINK("https://www.773grp.com/globalSearch/SN74ALVCH16260DGGR/page-1", "SN74ALVCH16260DGGR")</f>
        <v>SN74ALVCH16260DGGR</v>
      </c>
      <c r="B13334" s="3" t="s">
        <v>90</v>
      </c>
      <c r="C13334" s="5">
        <v>119568</v>
      </c>
      <c r="D13334" s="6">
        <v>4.16</v>
      </c>
      <c r="E13334" t="s">
        <v>17</v>
      </c>
    </row>
    <row r="13335" spans="1:5" x14ac:dyDescent="0.25">
      <c r="A13335" t="str">
        <f>HYPERLINK("https://www.773grp.com/globalSearch/SN74CB3T3253DBQR/page-1", "SN74CB3T3253DBQR")</f>
        <v>SN74CB3T3253DBQR</v>
      </c>
      <c r="B13335" s="3" t="s">
        <v>90</v>
      </c>
      <c r="C13335" s="5">
        <v>29750</v>
      </c>
      <c r="D13335" s="6">
        <v>4.16</v>
      </c>
      <c r="E13335" t="s">
        <v>17</v>
      </c>
    </row>
    <row r="13336" spans="1:5" x14ac:dyDescent="0.25">
      <c r="A13336" t="str">
        <f>HYPERLINK("https://www.773grp.com/globalSearch/SN74CB3T3257DGVR/page-1", "SN74CB3T3257DGVR")</f>
        <v>SN74CB3T3257DGVR</v>
      </c>
      <c r="B13336" s="3" t="s">
        <v>90</v>
      </c>
      <c r="C13336" s="5">
        <v>2000</v>
      </c>
      <c r="D13336" s="6">
        <v>4.16</v>
      </c>
      <c r="E13336" t="s">
        <v>17</v>
      </c>
    </row>
    <row r="13337" spans="1:5" x14ac:dyDescent="0.25">
      <c r="A13337" t="str">
        <f>HYPERLINK("https://www.773grp.com/globalSearch/SN74CB3T3257PWR/page-1", "SN74CB3T3257PWR")</f>
        <v>SN74CB3T3257PWR</v>
      </c>
      <c r="B13337" s="3" t="s">
        <v>90</v>
      </c>
      <c r="C13337" s="5">
        <v>22600</v>
      </c>
      <c r="D13337" s="6">
        <v>4.16</v>
      </c>
      <c r="E13337" t="s">
        <v>17</v>
      </c>
    </row>
    <row r="13338" spans="1:5" x14ac:dyDescent="0.25">
      <c r="A13338" t="str">
        <f>HYPERLINK("https://www.773grp.com/globalSearch/SN74CBT16232DLR/page-1", "SN74CBT16232DLR")</f>
        <v>SN74CBT16232DLR</v>
      </c>
      <c r="B13338" s="3" t="s">
        <v>90</v>
      </c>
      <c r="C13338" s="5">
        <v>8630</v>
      </c>
      <c r="D13338" s="6">
        <v>4.16</v>
      </c>
      <c r="E13338" t="s">
        <v>17</v>
      </c>
    </row>
    <row r="13339" spans="1:5" x14ac:dyDescent="0.25">
      <c r="A13339" t="str">
        <f>HYPERLINK("https://www.773grp.com/globalSearch/SN74CBT16233DGGR/page-1", "SN74CBT16233DGGR")</f>
        <v>SN74CBT16233DGGR</v>
      </c>
      <c r="B13339" s="3" t="s">
        <v>90</v>
      </c>
      <c r="C13339" s="5">
        <v>422300</v>
      </c>
      <c r="D13339" s="6">
        <v>4.16</v>
      </c>
      <c r="E13339" t="s">
        <v>17</v>
      </c>
    </row>
    <row r="13340" spans="1:5" x14ac:dyDescent="0.25">
      <c r="A13340" t="str">
        <f>HYPERLINK("https://www.773grp.com/globalSearch/SN74CBT16292DGGR/page-1", "SN74CBT16292DGGR")</f>
        <v>SN74CBT16292DGGR</v>
      </c>
      <c r="B13340" s="3" t="s">
        <v>90</v>
      </c>
      <c r="C13340" s="5">
        <v>20000</v>
      </c>
      <c r="D13340" s="6">
        <v>4.16</v>
      </c>
      <c r="E13340" t="s">
        <v>17</v>
      </c>
    </row>
    <row r="13341" spans="1:5" x14ac:dyDescent="0.25">
      <c r="A13341" t="str">
        <f>HYPERLINK("https://www.773grp.com/globalSearch/SN74CBT16292DGVR/page-1", "SN74CBT16292DGVR")</f>
        <v>SN74CBT16292DGVR</v>
      </c>
      <c r="B13341" s="3" t="s">
        <v>90</v>
      </c>
      <c r="C13341" s="5">
        <v>8000</v>
      </c>
      <c r="D13341" s="6">
        <v>4.16</v>
      </c>
      <c r="E13341" t="s">
        <v>17</v>
      </c>
    </row>
    <row r="13342" spans="1:5" x14ac:dyDescent="0.25">
      <c r="A13342" t="str">
        <f>HYPERLINK("https://www.773grp.com/globalSearch/74ACT11151N/page-1", "74ACT11151N")</f>
        <v>74ACT11151N</v>
      </c>
      <c r="B13342" s="3" t="s">
        <v>90</v>
      </c>
      <c r="C13342" s="5">
        <v>1210</v>
      </c>
      <c r="D13342" s="6">
        <v>4.2300000000000004</v>
      </c>
      <c r="E13342" t="s">
        <v>17</v>
      </c>
    </row>
    <row r="13343" spans="1:5" x14ac:dyDescent="0.25">
      <c r="A13343" t="str">
        <f>HYPERLINK("https://www.773grp.com/globalSearch/CD74HCT354E/page-1", "CD74HCT354E")</f>
        <v>CD74HCT354E</v>
      </c>
      <c r="B13343" s="3" t="str">
        <f>HYPERLINK("https://www.773grp.com/manufacturer/texas-instruments?pageNo=751", "Texas Instruments")</f>
        <v>Texas Instruments</v>
      </c>
      <c r="C13343" s="5">
        <v>540</v>
      </c>
      <c r="D13343" s="6">
        <v>4.38</v>
      </c>
      <c r="E13343" t="s">
        <v>17</v>
      </c>
    </row>
    <row r="13344" spans="1:5" x14ac:dyDescent="0.25">
      <c r="A13344" t="str">
        <f>HYPERLINK("https://www.773grp.com/globalSearch/CD74HCT354E/page-1", "CD74HCT354E")</f>
        <v>CD74HCT354E</v>
      </c>
      <c r="B13344" s="3" t="str">
        <f>HYPERLINK("https://www.773grp.com/manufacturer/texas-instruments?pageNo=752", "Texas Instruments")</f>
        <v>Texas Instruments</v>
      </c>
      <c r="C13344" s="5">
        <v>3</v>
      </c>
      <c r="D13344" s="6">
        <v>4.38</v>
      </c>
      <c r="E13344" t="s">
        <v>17</v>
      </c>
    </row>
    <row r="13345" spans="1:5" x14ac:dyDescent="0.25">
      <c r="A13345" t="str">
        <f>HYPERLINK("https://www.773grp.com/globalSearch/CD74HCT356E/page-1", "CD74HCT356E")</f>
        <v>CD74HCT356E</v>
      </c>
      <c r="B13345" s="3" t="str">
        <f>HYPERLINK("https://www.773grp.com/manufacturer/texas-instruments?pageNo=753", "Texas Instruments")</f>
        <v>Texas Instruments</v>
      </c>
      <c r="C13345" s="5">
        <v>5329</v>
      </c>
      <c r="D13345" s="6">
        <v>4.38</v>
      </c>
      <c r="E13345" t="s">
        <v>17</v>
      </c>
    </row>
    <row r="13346" spans="1:5" x14ac:dyDescent="0.25">
      <c r="A13346" t="str">
        <f>HYPERLINK("https://www.773grp.com/globalSearch/CY74FCT2257ATQCT/page-1", "CY74FCT2257ATQCT")</f>
        <v>CY74FCT2257ATQCT</v>
      </c>
      <c r="B13346" s="3" t="str">
        <f>HYPERLINK("https://www.773grp.com/manufacturer/texas-instruments?pageNo=908", "Texas Instruments")</f>
        <v>Texas Instruments</v>
      </c>
      <c r="C13346" s="5">
        <v>52000</v>
      </c>
      <c r="D13346" s="6">
        <v>4.01</v>
      </c>
      <c r="E13346" t="s">
        <v>17</v>
      </c>
    </row>
    <row r="13347" spans="1:5" x14ac:dyDescent="0.25">
      <c r="A13347" t="str">
        <f>HYPERLINK("https://www.773grp.com/globalSearch/CY74FCT2257CTSOCT/page-1", "CY74FCT2257CTSOCT")</f>
        <v>CY74FCT2257CTSOCT</v>
      </c>
      <c r="B13347" s="3" t="str">
        <f>HYPERLINK("https://www.773grp.com/manufacturer/texas-instruments?pageNo=909", "Texas Instruments")</f>
        <v>Texas Instruments</v>
      </c>
      <c r="C13347" s="5">
        <v>6000</v>
      </c>
      <c r="D13347" s="6">
        <v>4.01</v>
      </c>
      <c r="E13347" t="s">
        <v>17</v>
      </c>
    </row>
    <row r="13348" spans="1:5" x14ac:dyDescent="0.25">
      <c r="A13348" t="str">
        <f>HYPERLINK("https://www.773grp.com/globalSearch/CY74FCT2257CTSOCT/page-1", "CY74FCT2257CTSOCT")</f>
        <v>CY74FCT2257CTSOCT</v>
      </c>
      <c r="B13348" s="3" t="str">
        <f>HYPERLINK("https://www.773grp.com/manufacturer/texas-instruments?pageNo=910", "Texas Instruments")</f>
        <v>Texas Instruments</v>
      </c>
      <c r="C13348" s="5">
        <v>25700</v>
      </c>
      <c r="D13348" s="6">
        <v>4.01</v>
      </c>
      <c r="E13348" t="s">
        <v>17</v>
      </c>
    </row>
    <row r="13349" spans="1:5" x14ac:dyDescent="0.25">
      <c r="A13349" t="str">
        <f>HYPERLINK("https://www.773grp.com/globalSearch/SN74AS157N/page-1", "SN74AS157N")</f>
        <v>SN74AS157N</v>
      </c>
      <c r="B13349" s="3" t="str">
        <f>HYPERLINK("https://www.773grp.com/manufacturer/texas-instruments?pageNo=953", "Texas Instruments")</f>
        <v>Texas Instruments</v>
      </c>
      <c r="C13349" s="5">
        <v>29252</v>
      </c>
      <c r="D13349" s="6">
        <v>4.01</v>
      </c>
      <c r="E13349" t="s">
        <v>17</v>
      </c>
    </row>
    <row r="13350" spans="1:5" x14ac:dyDescent="0.25">
      <c r="A13350" t="str">
        <f>HYPERLINK("https://www.773grp.com/globalSearch/SN74AS157NSR/page-1", "SN74AS157NSR")</f>
        <v>SN74AS157NSR</v>
      </c>
      <c r="B13350" s="3" t="str">
        <f>HYPERLINK("https://www.773grp.com/manufacturer/texas-instruments?pageNo=954", "Texas Instruments")</f>
        <v>Texas Instruments</v>
      </c>
      <c r="C13350" s="5">
        <v>10000</v>
      </c>
      <c r="D13350" s="6">
        <v>4.01</v>
      </c>
      <c r="E13350" t="s">
        <v>17</v>
      </c>
    </row>
    <row r="13351" spans="1:5" x14ac:dyDescent="0.25">
      <c r="A13351" t="str">
        <f>HYPERLINK("https://www.773grp.com/globalSearch/SN74AS158N/page-1", "SN74AS158N")</f>
        <v>SN74AS158N</v>
      </c>
      <c r="B13351" s="3" t="str">
        <f>HYPERLINK("https://www.773grp.com/manufacturer/texas-instruments?pageNo=955", "Texas Instruments")</f>
        <v>Texas Instruments</v>
      </c>
      <c r="C13351" s="5">
        <v>22940</v>
      </c>
      <c r="D13351" s="6">
        <v>4.01</v>
      </c>
      <c r="E13351" t="s">
        <v>17</v>
      </c>
    </row>
    <row r="13352" spans="1:5" x14ac:dyDescent="0.25">
      <c r="A13352" t="str">
        <f>HYPERLINK("https://www.773grp.com/globalSearch/SN74AS158NSR/page-1", "SN74AS158NSR")</f>
        <v>SN74AS158NSR</v>
      </c>
      <c r="B13352" s="3" t="str">
        <f>HYPERLINK("https://www.773grp.com/manufacturer/texas-instruments?pageNo=956", "Texas Instruments")</f>
        <v>Texas Instruments</v>
      </c>
      <c r="C13352" s="5">
        <v>14000</v>
      </c>
      <c r="D13352" s="6">
        <v>4.01</v>
      </c>
      <c r="E13352" t="s">
        <v>17</v>
      </c>
    </row>
    <row r="13353" spans="1:5" x14ac:dyDescent="0.25">
      <c r="A13353" t="str">
        <f>HYPERLINK("https://www.773grp.com/globalSearch/SN74AS258DR/page-1", "SN74AS258DR")</f>
        <v>SN74AS258DR</v>
      </c>
      <c r="B13353" s="3" t="str">
        <f>HYPERLINK("https://www.773grp.com/manufacturer/texas-instruments?pageNo=959", "Texas Instruments")</f>
        <v>Texas Instruments</v>
      </c>
      <c r="C13353" s="5">
        <v>122265</v>
      </c>
      <c r="D13353" s="6">
        <v>4.01</v>
      </c>
      <c r="E13353" t="s">
        <v>17</v>
      </c>
    </row>
    <row r="13354" spans="1:5" x14ac:dyDescent="0.25">
      <c r="A13354" t="str">
        <f>HYPERLINK("https://www.773grp.com/globalSearch/SN74CBTLV16292DL/page-1", "SN74CBTLV16292DL")</f>
        <v>SN74CBTLV16292DL</v>
      </c>
      <c r="B13354" s="3" t="str">
        <f>HYPERLINK("https://www.773grp.com/manufacturer/texas-instruments?pageNo=968", "Texas Instruments")</f>
        <v>Texas Instruments</v>
      </c>
      <c r="C13354" s="5">
        <v>9282</v>
      </c>
      <c r="D13354" s="6">
        <v>4.01</v>
      </c>
      <c r="E13354" t="s">
        <v>17</v>
      </c>
    </row>
    <row r="13355" spans="1:5" x14ac:dyDescent="0.25">
      <c r="A13355" t="str">
        <f>HYPERLINK("https://www.773grp.com/globalSearch/SN74ALS253D/page-1", "SN74ALS253D")</f>
        <v>SN74ALS253D</v>
      </c>
      <c r="B13355" s="3" t="s">
        <v>90</v>
      </c>
      <c r="C13355" s="5">
        <v>20458</v>
      </c>
      <c r="D13355" s="6">
        <v>4.54</v>
      </c>
      <c r="E13355" t="s">
        <v>17</v>
      </c>
    </row>
    <row r="13356" spans="1:5" x14ac:dyDescent="0.25">
      <c r="A13356" t="str">
        <f>HYPERLINK("https://www.773grp.com/globalSearch/SN74CB3T3253D/page-1", "SN74CB3T3253D")</f>
        <v>SN74CB3T3253D</v>
      </c>
      <c r="B13356" s="3" t="s">
        <v>90</v>
      </c>
      <c r="C13356" s="5">
        <v>30100</v>
      </c>
      <c r="D13356" s="6">
        <v>4.54</v>
      </c>
      <c r="E13356" t="s">
        <v>17</v>
      </c>
    </row>
    <row r="13357" spans="1:5" x14ac:dyDescent="0.25">
      <c r="A13357" t="str">
        <f>HYPERLINK("https://www.773grp.com/globalSearch/SN74CB3T3253PW/page-1", "SN74CB3T3253PW")</f>
        <v>SN74CB3T3253PW</v>
      </c>
      <c r="B13357" s="3" t="s">
        <v>90</v>
      </c>
      <c r="C13357" s="5">
        <v>24544</v>
      </c>
      <c r="D13357" s="6">
        <v>4.54</v>
      </c>
      <c r="E13357" t="s">
        <v>17</v>
      </c>
    </row>
    <row r="13358" spans="1:5" x14ac:dyDescent="0.25">
      <c r="A13358" t="str">
        <f>HYPERLINK("https://www.773grp.com/globalSearch/SN74LVC257D/page-1", "SN74LVC257D")</f>
        <v>SN74LVC257D</v>
      </c>
      <c r="B13358" s="3" t="s">
        <v>90</v>
      </c>
      <c r="C13358" s="5">
        <v>495</v>
      </c>
      <c r="D13358" s="6">
        <v>4.59</v>
      </c>
      <c r="E13358" t="s">
        <v>17</v>
      </c>
    </row>
    <row r="13359" spans="1:5" x14ac:dyDescent="0.25">
      <c r="A13359" t="str">
        <f>HYPERLINK("https://www.773grp.com/globalSearch/SN74S157D/page-1", "SN74S157D")</f>
        <v>SN74S157D</v>
      </c>
      <c r="B13359" s="3" t="s">
        <v>90</v>
      </c>
      <c r="C13359" s="5">
        <v>4160</v>
      </c>
      <c r="D13359" s="6">
        <v>4.59</v>
      </c>
      <c r="E13359" t="s">
        <v>17</v>
      </c>
    </row>
    <row r="13360" spans="1:5" x14ac:dyDescent="0.25">
      <c r="A13360" t="str">
        <f>HYPERLINK("https://www.773grp.com/globalSearch/PCA9546AD/page-1", "PCA9546AD")</f>
        <v>PCA9546AD</v>
      </c>
      <c r="B13360" s="3" t="s">
        <v>90</v>
      </c>
      <c r="C13360" s="5">
        <v>19155</v>
      </c>
      <c r="D13360" s="6">
        <v>4.6399999999999997</v>
      </c>
      <c r="E13360" t="s">
        <v>17</v>
      </c>
    </row>
    <row r="13361" spans="1:5" x14ac:dyDescent="0.25">
      <c r="A13361" t="str">
        <f>HYPERLINK("https://www.773grp.com/globalSearch/PCA9546ADW/page-1", "PCA9546ADW")</f>
        <v>PCA9546ADW</v>
      </c>
      <c r="B13361" s="3" t="s">
        <v>90</v>
      </c>
      <c r="C13361" s="5">
        <v>20760</v>
      </c>
      <c r="D13361" s="6">
        <v>4.6399999999999997</v>
      </c>
      <c r="E13361" t="s">
        <v>17</v>
      </c>
    </row>
    <row r="13362" spans="1:5" x14ac:dyDescent="0.25">
      <c r="A13362" t="str">
        <f>HYPERLINK("https://www.773grp.com/globalSearch/PCA9546APW/page-1", "PCA9546APW")</f>
        <v>PCA9546APW</v>
      </c>
      <c r="B13362" s="3" t="s">
        <v>90</v>
      </c>
      <c r="C13362" s="5">
        <v>230</v>
      </c>
      <c r="D13362" s="6">
        <v>4.6399999999999997</v>
      </c>
      <c r="E13362" t="s">
        <v>17</v>
      </c>
    </row>
    <row r="13363" spans="1:5" x14ac:dyDescent="0.25">
      <c r="A13363" t="str">
        <f>HYPERLINK("https://www.773grp.com/globalSearch/PCA9546APWT/page-1", "PCA9546APWT")</f>
        <v>PCA9546APWT</v>
      </c>
      <c r="B13363" s="3" t="s">
        <v>90</v>
      </c>
      <c r="C13363" s="5">
        <v>3750</v>
      </c>
      <c r="D13363" s="6">
        <v>4.6399999999999997</v>
      </c>
      <c r="E13363" t="s">
        <v>17</v>
      </c>
    </row>
    <row r="13364" spans="1:5" x14ac:dyDescent="0.25">
      <c r="A13364" t="str">
        <f>HYPERLINK("https://www.773grp.com/globalSearch/74ACT11257DWR/page-1", "74ACT11257DWR")</f>
        <v>74ACT11257DWR</v>
      </c>
      <c r="B13364" s="3" t="s">
        <v>90</v>
      </c>
      <c r="C13364" s="5">
        <v>12000</v>
      </c>
      <c r="D13364" s="6">
        <v>4.2300000000000004</v>
      </c>
      <c r="E13364" t="s">
        <v>17</v>
      </c>
    </row>
    <row r="13365" spans="1:5" x14ac:dyDescent="0.25">
      <c r="A13365" t="str">
        <f>HYPERLINK("https://www.773grp.com/globalSearch/74ACT11257PWR/page-1", "74ACT11257PWR")</f>
        <v>74ACT11257PWR</v>
      </c>
      <c r="B13365" s="3" t="s">
        <v>90</v>
      </c>
      <c r="C13365" s="5">
        <v>6000</v>
      </c>
      <c r="D13365" s="6">
        <v>4.2300000000000004</v>
      </c>
      <c r="E13365" t="s">
        <v>17</v>
      </c>
    </row>
    <row r="13366" spans="1:5" x14ac:dyDescent="0.25">
      <c r="A13366" t="str">
        <f>HYPERLINK("https://www.773grp.com/globalSearch/CY74FCT2257CTQCT/page-1", "CY74FCT2257CTQCT")</f>
        <v>CY74FCT2257CTQCT</v>
      </c>
      <c r="B13366" s="3" t="s">
        <v>90</v>
      </c>
      <c r="C13366" s="5">
        <v>12370</v>
      </c>
      <c r="D13366" s="6">
        <v>4.2300000000000004</v>
      </c>
      <c r="E13366" t="s">
        <v>17</v>
      </c>
    </row>
    <row r="13367" spans="1:5" x14ac:dyDescent="0.25">
      <c r="A13367" t="str">
        <f>HYPERLINK("https://www.773grp.com/globalSearch/SN74AS157D/page-1", "SN74AS157D")</f>
        <v>SN74AS157D</v>
      </c>
      <c r="B13367" s="3" t="s">
        <v>90</v>
      </c>
      <c r="C13367" s="5">
        <v>24635</v>
      </c>
      <c r="D13367" s="6">
        <v>4.2300000000000004</v>
      </c>
      <c r="E13367" t="s">
        <v>17</v>
      </c>
    </row>
    <row r="13368" spans="1:5" x14ac:dyDescent="0.25">
      <c r="A13368" t="str">
        <f>HYPERLINK("https://www.773grp.com/globalSearch/SN74AS158D/page-1", "SN74AS158D")</f>
        <v>SN74AS158D</v>
      </c>
      <c r="B13368" s="3" t="s">
        <v>90</v>
      </c>
      <c r="C13368" s="5">
        <v>28640</v>
      </c>
      <c r="D13368" s="6">
        <v>4.2300000000000004</v>
      </c>
      <c r="E13368" t="s">
        <v>17</v>
      </c>
    </row>
    <row r="13369" spans="1:5" x14ac:dyDescent="0.25">
      <c r="A13369" t="str">
        <f>HYPERLINK("https://www.773grp.com/globalSearch/SN74AS257N/page-1", "SN74AS257N")</f>
        <v>SN74AS257N</v>
      </c>
      <c r="B13369" s="3" t="s">
        <v>90</v>
      </c>
      <c r="C13369" s="5">
        <v>33651</v>
      </c>
      <c r="D13369" s="6">
        <v>4.2300000000000004</v>
      </c>
      <c r="E13369" t="s">
        <v>17</v>
      </c>
    </row>
    <row r="13370" spans="1:5" x14ac:dyDescent="0.25">
      <c r="A13370" t="str">
        <f>HYPERLINK("https://www.773grp.com/globalSearch/PCA9545ADW/page-1", "PCA9545ADW")</f>
        <v>PCA9545ADW</v>
      </c>
      <c r="B13370" s="3" t="s">
        <v>90</v>
      </c>
      <c r="C13370" s="5">
        <v>17864</v>
      </c>
      <c r="D13370" s="6">
        <v>4.74</v>
      </c>
      <c r="E13370" t="s">
        <v>17</v>
      </c>
    </row>
    <row r="13371" spans="1:5" x14ac:dyDescent="0.25">
      <c r="A13371" t="str">
        <f>HYPERLINK("https://www.773grp.com/globalSearch/PCA9545APW/page-1", "PCA9545APW")</f>
        <v>PCA9545APW</v>
      </c>
      <c r="B13371" s="3" t="s">
        <v>90</v>
      </c>
      <c r="C13371" s="5">
        <v>824</v>
      </c>
      <c r="D13371" s="6">
        <v>4.74</v>
      </c>
      <c r="E13371" t="s">
        <v>17</v>
      </c>
    </row>
    <row r="13372" spans="1:5" x14ac:dyDescent="0.25">
      <c r="A13372" t="str">
        <f>HYPERLINK("https://www.773grp.com/globalSearch/74AC11257DWR/page-1", "74AC11257DWR")</f>
        <v>74AC11257DWR</v>
      </c>
      <c r="B13372" s="3" t="s">
        <v>90</v>
      </c>
      <c r="C13372" s="5">
        <v>2000</v>
      </c>
      <c r="D13372" s="6">
        <v>4.43</v>
      </c>
      <c r="E13372" t="s">
        <v>17</v>
      </c>
    </row>
    <row r="13373" spans="1:5" x14ac:dyDescent="0.25">
      <c r="A13373" t="str">
        <f>HYPERLINK("https://www.773grp.com/globalSearch/SN74AS258N/page-1", "SN74AS258N")</f>
        <v>SN74AS258N</v>
      </c>
      <c r="B13373" s="3" t="s">
        <v>90</v>
      </c>
      <c r="C13373" s="5">
        <v>49967</v>
      </c>
      <c r="D13373" s="6">
        <v>4.43</v>
      </c>
      <c r="E13373" t="s">
        <v>17</v>
      </c>
    </row>
    <row r="13374" spans="1:5" x14ac:dyDescent="0.25">
      <c r="A13374" t="str">
        <f>HYPERLINK("https://www.773grp.com/globalSearch/PCA9548ADBR/page-1", "PCA9548ADBR")</f>
        <v>PCA9548ADBR</v>
      </c>
      <c r="B13374" s="3" t="str">
        <f>HYPERLINK("https://www.773grp.com/manufacturer/texas-instruments?pageNo=47", "Texas Instruments")</f>
        <v>Texas Instruments</v>
      </c>
      <c r="C13374" s="5">
        <v>2000</v>
      </c>
      <c r="D13374" s="6">
        <v>4.91</v>
      </c>
      <c r="E13374" t="s">
        <v>17</v>
      </c>
    </row>
    <row r="13375" spans="1:5" x14ac:dyDescent="0.25">
      <c r="A13375" t="str">
        <f>HYPERLINK("https://www.773grp.com/globalSearch/PCA9548ADGVR/page-1", "PCA9548ADGVR")</f>
        <v>PCA9548ADGVR</v>
      </c>
      <c r="B13375" s="3" t="str">
        <f>HYPERLINK("https://www.773grp.com/manufacturer/texas-instruments?pageNo=48", "Texas Instruments")</f>
        <v>Texas Instruments</v>
      </c>
      <c r="C13375" s="5">
        <v>10000</v>
      </c>
      <c r="D13375" s="6">
        <v>4.91</v>
      </c>
      <c r="E13375" t="s">
        <v>17</v>
      </c>
    </row>
    <row r="13376" spans="1:5" x14ac:dyDescent="0.25">
      <c r="A13376" t="str">
        <f>HYPERLINK("https://www.773grp.com/globalSearch/PCA9548APWR/page-1", "PCA9548APWR")</f>
        <v>PCA9548APWR</v>
      </c>
      <c r="B13376" s="3" t="str">
        <f>HYPERLINK("https://www.773grp.com/manufacturer/texas-instruments?pageNo=50", "Texas Instruments")</f>
        <v>Texas Instruments</v>
      </c>
      <c r="C13376" s="5">
        <v>1910</v>
      </c>
      <c r="D13376" s="6">
        <v>4.91</v>
      </c>
      <c r="E13376" t="s">
        <v>17</v>
      </c>
    </row>
    <row r="13377" spans="1:5" x14ac:dyDescent="0.25">
      <c r="A13377" t="str">
        <f>HYPERLINK("https://www.773grp.com/globalSearch/PCA9548ARGER/page-1", "PCA9548ARGER")</f>
        <v>PCA9548ARGER</v>
      </c>
      <c r="B13377" s="3" t="str">
        <f>HYPERLINK("https://www.773grp.com/manufacturer/texas-instruments?pageNo=51", "Texas Instruments")</f>
        <v>Texas Instruments</v>
      </c>
      <c r="C13377" s="5">
        <v>10730</v>
      </c>
      <c r="D13377" s="6">
        <v>4.91</v>
      </c>
      <c r="E13377" t="s">
        <v>17</v>
      </c>
    </row>
    <row r="13378" spans="1:5" x14ac:dyDescent="0.25">
      <c r="A13378" t="str">
        <f>HYPERLINK("https://www.773grp.com/globalSearch/SN74ALVCH162260GR/page-1", "SN74ALVCH162260GR")</f>
        <v>SN74ALVCH162260GR</v>
      </c>
      <c r="B13378" s="3" t="str">
        <f>HYPERLINK("https://www.773grp.com/manufacturer/texas-instruments?pageNo=79", "Texas Instruments")</f>
        <v>Texas Instruments</v>
      </c>
      <c r="C13378" s="5">
        <v>2000</v>
      </c>
      <c r="D13378" s="6">
        <v>4.91</v>
      </c>
      <c r="E13378" t="s">
        <v>17</v>
      </c>
    </row>
    <row r="13379" spans="1:5" x14ac:dyDescent="0.25">
      <c r="A13379" t="str">
        <f>HYPERLINK("https://www.773grp.com/globalSearch/SN74ALVCH16260DLR/page-1", "SN74ALVCH16260DLR")</f>
        <v>SN74ALVCH16260DLR</v>
      </c>
      <c r="B13379" s="3" t="str">
        <f>HYPERLINK("https://www.773grp.com/manufacturer/texas-instruments?pageNo=85", "Texas Instruments")</f>
        <v>Texas Instruments</v>
      </c>
      <c r="C13379" s="5">
        <v>19514</v>
      </c>
      <c r="D13379" s="6">
        <v>4.91</v>
      </c>
      <c r="E13379" t="s">
        <v>17</v>
      </c>
    </row>
    <row r="13380" spans="1:5" x14ac:dyDescent="0.25">
      <c r="A13380" t="str">
        <f>HYPERLINK("https://www.773grp.com/globalSearch/SN74CBT16232DL/page-1", "SN74CBT16232DL")</f>
        <v>SN74CBT16232DL</v>
      </c>
      <c r="B13380" s="3" t="str">
        <f>HYPERLINK("https://www.773grp.com/manufacturer/texas-instruments?pageNo=104", "Texas Instruments")</f>
        <v>Texas Instruments</v>
      </c>
      <c r="C13380" s="5">
        <v>25831</v>
      </c>
      <c r="D13380" s="6">
        <v>4.91</v>
      </c>
      <c r="E13380" t="s">
        <v>17</v>
      </c>
    </row>
    <row r="13381" spans="1:5" x14ac:dyDescent="0.25">
      <c r="A13381" t="str">
        <f>HYPERLINK("https://www.773grp.com/globalSearch/SN74CBT16233DLR/page-1", "SN74CBT16233DLR")</f>
        <v>SN74CBT16233DLR</v>
      </c>
      <c r="B13381" s="3" t="str">
        <f>HYPERLINK("https://www.773grp.com/manufacturer/texas-instruments?pageNo=105", "Texas Instruments")</f>
        <v>Texas Instruments</v>
      </c>
      <c r="C13381" s="5">
        <v>6000</v>
      </c>
      <c r="D13381" s="6">
        <v>4.91</v>
      </c>
      <c r="E13381" t="s">
        <v>17</v>
      </c>
    </row>
    <row r="13382" spans="1:5" x14ac:dyDescent="0.25">
      <c r="A13382" t="str">
        <f>HYPERLINK("https://www.773grp.com/globalSearch/SN74CBT16292DLR/page-1", "SN74CBT16292DLR")</f>
        <v>SN74CBT16292DLR</v>
      </c>
      <c r="B13382" s="3" t="str">
        <f>HYPERLINK("https://www.773grp.com/manufacturer/texas-instruments?pageNo=106", "Texas Instruments")</f>
        <v>Texas Instruments</v>
      </c>
      <c r="C13382" s="5">
        <v>4000</v>
      </c>
      <c r="D13382" s="6">
        <v>4.91</v>
      </c>
      <c r="E13382" t="s">
        <v>17</v>
      </c>
    </row>
    <row r="13383" spans="1:5" x14ac:dyDescent="0.25">
      <c r="A13383" t="str">
        <f>HYPERLINK("https://www.773grp.com/globalSearch/PCA9545ADGVR/page-1", "PCA9545ADGVR")</f>
        <v>PCA9545ADGVR</v>
      </c>
      <c r="B13383" s="3" t="str">
        <f>HYPERLINK("https://www.773grp.com/manufacturer/texas-instruments?pageNo=556", "Texas Instruments")</f>
        <v>Texas Instruments</v>
      </c>
      <c r="C13383" s="5">
        <v>121950</v>
      </c>
      <c r="D13383" s="6">
        <v>5.01</v>
      </c>
      <c r="E13383" t="s">
        <v>17</v>
      </c>
    </row>
    <row r="13384" spans="1:5" x14ac:dyDescent="0.25">
      <c r="A13384" t="str">
        <f>HYPERLINK("https://www.773grp.com/globalSearch/CY74FCT2257ATQC/page-1", "CY74FCT2257ATQC")</f>
        <v>CY74FCT2257ATQC</v>
      </c>
      <c r="B13384" s="3" t="str">
        <f>HYPERLINK("https://www.773grp.com/manufacturer/texas-instruments?pageNo=781", "Texas Instruments")</f>
        <v>Texas Instruments</v>
      </c>
      <c r="C13384" s="5">
        <v>8184</v>
      </c>
      <c r="D13384" s="6">
        <v>5.0599999999999996</v>
      </c>
      <c r="E13384" t="s">
        <v>17</v>
      </c>
    </row>
    <row r="13385" spans="1:5" x14ac:dyDescent="0.25">
      <c r="A13385" t="str">
        <f>HYPERLINK("https://www.773grp.com/globalSearch/CY74FCT2257CTQC/page-1", "CY74FCT2257CTQC")</f>
        <v>CY74FCT2257CTQC</v>
      </c>
      <c r="B13385" s="3" t="str">
        <f>HYPERLINK("https://www.773grp.com/manufacturer/texas-instruments?pageNo=782", "Texas Instruments")</f>
        <v>Texas Instruments</v>
      </c>
      <c r="C13385" s="5">
        <v>2742</v>
      </c>
      <c r="D13385" s="6">
        <v>5.0599999999999996</v>
      </c>
      <c r="E13385" t="s">
        <v>17</v>
      </c>
    </row>
    <row r="13386" spans="1:5" x14ac:dyDescent="0.25">
      <c r="A13386" t="str">
        <f>HYPERLINK("https://www.773grp.com/globalSearch/CY74FCT2257CTSOC/page-1", "CY74FCT2257CTSOC")</f>
        <v>CY74FCT2257CTSOC</v>
      </c>
      <c r="B13386" s="3" t="str">
        <f>HYPERLINK("https://www.773grp.com/manufacturer/texas-instruments?pageNo=783", "Texas Instruments")</f>
        <v>Texas Instruments</v>
      </c>
      <c r="C13386" s="5">
        <v>1595</v>
      </c>
      <c r="D13386" s="6">
        <v>5.0599999999999996</v>
      </c>
      <c r="E13386" t="s">
        <v>17</v>
      </c>
    </row>
    <row r="13387" spans="1:5" x14ac:dyDescent="0.25">
      <c r="A13387" t="str">
        <f>HYPERLINK("https://www.773grp.com/globalSearch/CY74FCT257ATQC/page-1", "CY74FCT257ATQC")</f>
        <v>CY74FCT257ATQC</v>
      </c>
      <c r="B13387" s="3" t="str">
        <f>HYPERLINK("https://www.773grp.com/manufacturer/texas-instruments?pageNo=785", "Texas Instruments")</f>
        <v>Texas Instruments</v>
      </c>
      <c r="C13387" s="5">
        <v>1902</v>
      </c>
      <c r="D13387" s="6">
        <v>5.0599999999999996</v>
      </c>
      <c r="E13387" t="s">
        <v>17</v>
      </c>
    </row>
    <row r="13388" spans="1:5" x14ac:dyDescent="0.25">
      <c r="A13388" t="str">
        <f>HYPERLINK("https://www.773grp.com/globalSearch/CY74FCT257TQC/page-1", "CY74FCT257TQC")</f>
        <v>CY74FCT257TQC</v>
      </c>
      <c r="B13388" s="3" t="str">
        <f>HYPERLINK("https://www.773grp.com/manufacturer/texas-instruments?pageNo=786", "Texas Instruments")</f>
        <v>Texas Instruments</v>
      </c>
      <c r="C13388" s="5">
        <v>749</v>
      </c>
      <c r="D13388" s="6">
        <v>5.0599999999999996</v>
      </c>
      <c r="E13388" t="s">
        <v>17</v>
      </c>
    </row>
    <row r="13389" spans="1:5" x14ac:dyDescent="0.25">
      <c r="A13389" t="str">
        <f>HYPERLINK("https://www.773grp.com/globalSearch/SN74S258N/page-1", "SN74S258N")</f>
        <v>SN74S258N</v>
      </c>
      <c r="B13389" s="3" t="str">
        <f>HYPERLINK("https://www.773grp.com/manufacturer/texas-instruments?pageNo=796", "Texas Instruments")</f>
        <v>Texas Instruments</v>
      </c>
      <c r="C13389" s="5">
        <v>20523</v>
      </c>
      <c r="D13389" s="6">
        <v>5.0599999999999996</v>
      </c>
      <c r="E13389" t="s">
        <v>17</v>
      </c>
    </row>
    <row r="13390" spans="1:5" x14ac:dyDescent="0.25">
      <c r="A13390" t="str">
        <f>HYPERLINK("https://www.773grp.com/globalSearch/74ACT11257DBR/page-1", "74ACT11257DBR")</f>
        <v>74ACT11257DBR</v>
      </c>
      <c r="B13390" s="3" t="str">
        <f>HYPERLINK("https://www.773grp.com/manufacturer/texas-instruments?pageNo=864", "Texas Instruments")</f>
        <v>Texas Instruments</v>
      </c>
      <c r="C13390" s="5">
        <v>4000</v>
      </c>
      <c r="D13390" s="6">
        <v>4.6100000000000003</v>
      </c>
      <c r="E13390" t="s">
        <v>17</v>
      </c>
    </row>
    <row r="13391" spans="1:5" x14ac:dyDescent="0.25">
      <c r="A13391" t="str">
        <f>HYPERLINK("https://www.773grp.com/globalSearch/SN74AS151N/page-1", "SN74AS151N")</f>
        <v>SN74AS151N</v>
      </c>
      <c r="B13391" s="3" t="str">
        <f>HYPERLINK("https://www.773grp.com/manufacturer/texas-instruments?pageNo=897", "Texas Instruments")</f>
        <v>Texas Instruments</v>
      </c>
      <c r="C13391" s="5">
        <v>14385</v>
      </c>
      <c r="D13391" s="6">
        <v>4.6100000000000003</v>
      </c>
      <c r="E13391" t="s">
        <v>17</v>
      </c>
    </row>
    <row r="13392" spans="1:5" x14ac:dyDescent="0.25">
      <c r="A13392" t="str">
        <f>HYPERLINK("https://www.773grp.com/globalSearch/SN74AS153N/page-1", "SN74AS153N")</f>
        <v>SN74AS153N</v>
      </c>
      <c r="B13392" s="3" t="str">
        <f>HYPERLINK("https://www.773grp.com/manufacturer/texas-instruments?pageNo=898", "Texas Instruments")</f>
        <v>Texas Instruments</v>
      </c>
      <c r="C13392" s="5">
        <v>36070</v>
      </c>
      <c r="D13392" s="6">
        <v>4.6100000000000003</v>
      </c>
      <c r="E13392" t="s">
        <v>17</v>
      </c>
    </row>
    <row r="13393" spans="1:5" x14ac:dyDescent="0.25">
      <c r="A13393" t="str">
        <f>HYPERLINK("https://www.773grp.com/globalSearch/SN74AS153NSR/page-1", "SN74AS153NSR")</f>
        <v>SN74AS153NSR</v>
      </c>
      <c r="B13393" s="3" t="str">
        <f>HYPERLINK("https://www.773grp.com/manufacturer/texas-instruments?pageNo=900", "Texas Instruments")</f>
        <v>Texas Instruments</v>
      </c>
      <c r="C13393" s="5">
        <v>10000</v>
      </c>
      <c r="D13393" s="6">
        <v>4.6100000000000003</v>
      </c>
      <c r="E13393" t="s">
        <v>17</v>
      </c>
    </row>
    <row r="13394" spans="1:5" x14ac:dyDescent="0.25">
      <c r="A13394" t="str">
        <f>HYPERLINK("https://www.773grp.com/globalSearch/SN74AS257D/page-1", "SN74AS257D")</f>
        <v>SN74AS257D</v>
      </c>
      <c r="B13394" s="3" t="str">
        <f>HYPERLINK("https://www.773grp.com/manufacturer/texas-instruments?pageNo=903", "Texas Instruments")</f>
        <v>Texas Instruments</v>
      </c>
      <c r="C13394" s="5">
        <v>33191</v>
      </c>
      <c r="D13394" s="6">
        <v>4.6100000000000003</v>
      </c>
      <c r="E13394" t="s">
        <v>17</v>
      </c>
    </row>
    <row r="13395" spans="1:5" x14ac:dyDescent="0.25">
      <c r="A13395" t="str">
        <f>HYPERLINK("https://www.773grp.com/globalSearch/SN74AS298ADR/page-1", "SN74AS298ADR")</f>
        <v>SN74AS298ADR</v>
      </c>
      <c r="B13395" s="3" t="str">
        <f>HYPERLINK("https://www.773grp.com/manufacturer/texas-instruments?pageNo=904", "Texas Instruments")</f>
        <v>Texas Instruments</v>
      </c>
      <c r="C13395" s="5">
        <v>2500</v>
      </c>
      <c r="D13395" s="6">
        <v>4.6100000000000003</v>
      </c>
      <c r="E13395" t="s">
        <v>17</v>
      </c>
    </row>
    <row r="13396" spans="1:5" x14ac:dyDescent="0.25">
      <c r="A13396" t="str">
        <f>HYPERLINK("https://www.773grp.com/globalSearch/74AC11257N/page-1", "74AC11257N")</f>
        <v>74AC11257N</v>
      </c>
      <c r="B13396" s="3" t="s">
        <v>90</v>
      </c>
      <c r="C13396" s="5">
        <v>8175</v>
      </c>
      <c r="D13396" s="6">
        <v>4.8099999999999996</v>
      </c>
      <c r="E13396" t="s">
        <v>17</v>
      </c>
    </row>
    <row r="13397" spans="1:5" x14ac:dyDescent="0.25">
      <c r="A13397" t="str">
        <f>HYPERLINK("https://www.773grp.com/globalSearch/SN74CBT162292DGGR/page-1", "SN74CBT162292DGGR")</f>
        <v>SN74CBT162292DGGR</v>
      </c>
      <c r="B13397" s="3" t="s">
        <v>90</v>
      </c>
      <c r="C13397" s="5">
        <v>11880</v>
      </c>
      <c r="D13397" s="6">
        <v>4.8099999999999996</v>
      </c>
      <c r="E13397" t="s">
        <v>17</v>
      </c>
    </row>
    <row r="13398" spans="1:5" x14ac:dyDescent="0.25">
      <c r="A13398" t="str">
        <f>HYPERLINK("https://www.773grp.com/globalSearch/74ACT11257DW/page-1", "74ACT11257DW")</f>
        <v>74ACT11257DW</v>
      </c>
      <c r="B13398" s="3" t="s">
        <v>90</v>
      </c>
      <c r="C13398" s="5">
        <v>18091</v>
      </c>
      <c r="D13398" s="6">
        <v>5.03</v>
      </c>
      <c r="E13398" t="s">
        <v>17</v>
      </c>
    </row>
    <row r="13399" spans="1:5" x14ac:dyDescent="0.25">
      <c r="A13399" t="str">
        <f>HYPERLINK("https://www.773grp.com/globalSearch/74AC11257DW/page-1", "74AC11257DW")</f>
        <v>74AC11257DW</v>
      </c>
      <c r="B13399" s="3" t="s">
        <v>90</v>
      </c>
      <c r="C13399" s="5">
        <v>2368</v>
      </c>
      <c r="D13399" s="6">
        <v>5.24</v>
      </c>
      <c r="E13399" t="s">
        <v>17</v>
      </c>
    </row>
    <row r="13400" spans="1:5" x14ac:dyDescent="0.25">
      <c r="A13400" t="str">
        <f>HYPERLINK("https://www.773grp.com/globalSearch/SN74AS151D/page-1", "SN74AS151D")</f>
        <v>SN74AS151D</v>
      </c>
      <c r="B13400" s="3" t="s">
        <v>90</v>
      </c>
      <c r="C13400" s="5">
        <v>8440</v>
      </c>
      <c r="D13400" s="6">
        <v>5.24</v>
      </c>
      <c r="E13400" t="s">
        <v>17</v>
      </c>
    </row>
    <row r="13401" spans="1:5" x14ac:dyDescent="0.25">
      <c r="A13401" t="str">
        <f>HYPERLINK("https://www.773grp.com/globalSearch/SN74AS153D/page-1", "SN74AS153D")</f>
        <v>SN74AS153D</v>
      </c>
      <c r="B13401" s="3" t="s">
        <v>90</v>
      </c>
      <c r="C13401" s="5">
        <v>16280</v>
      </c>
      <c r="D13401" s="6">
        <v>5.24</v>
      </c>
      <c r="E13401" t="s">
        <v>17</v>
      </c>
    </row>
    <row r="13402" spans="1:5" x14ac:dyDescent="0.25">
      <c r="A13402" t="str">
        <f>HYPERLINK("https://www.773grp.com/globalSearch/SN74ALS258ADR/page-1", "SN74ALS258ADR")</f>
        <v>SN74ALS258ADR</v>
      </c>
      <c r="B13402" s="3" t="s">
        <v>90</v>
      </c>
      <c r="C13402" s="5">
        <v>47000</v>
      </c>
      <c r="D13402" s="6">
        <v>5.44</v>
      </c>
      <c r="E13402" t="s">
        <v>17</v>
      </c>
    </row>
    <row r="13403" spans="1:5" x14ac:dyDescent="0.25">
      <c r="A13403" t="str">
        <f>HYPERLINK("https://www.773grp.com/globalSearch/SN74CBT162292DL/page-1", "SN74CBT162292DL")</f>
        <v>SN74CBT162292DL</v>
      </c>
      <c r="B13403" s="3" t="s">
        <v>90</v>
      </c>
      <c r="C13403" s="5">
        <v>11792</v>
      </c>
      <c r="D13403" s="6">
        <v>5.44</v>
      </c>
      <c r="E13403" t="s">
        <v>17</v>
      </c>
    </row>
    <row r="13404" spans="1:5" x14ac:dyDescent="0.25">
      <c r="A13404" t="str">
        <f>HYPERLINK("https://www.773grp.com/globalSearch/SN74S151D/page-1", "SN74S151D")</f>
        <v>SN74S151D</v>
      </c>
      <c r="B13404" s="3" t="s">
        <v>90</v>
      </c>
      <c r="C13404" s="5">
        <v>43832</v>
      </c>
      <c r="D13404" s="6">
        <v>5.45</v>
      </c>
      <c r="E13404" t="s">
        <v>17</v>
      </c>
    </row>
    <row r="13405" spans="1:5" x14ac:dyDescent="0.25">
      <c r="A13405" t="str">
        <f>HYPERLINK("https://www.773grp.com/globalSearch/SN74251N/page-1", "SN74251N")</f>
        <v>SN74251N</v>
      </c>
      <c r="B13405" s="3" t="s">
        <v>90</v>
      </c>
      <c r="C13405" s="5">
        <v>678</v>
      </c>
      <c r="D13405" s="6">
        <v>5.63</v>
      </c>
      <c r="E13405" t="s">
        <v>17</v>
      </c>
    </row>
    <row r="13406" spans="1:5" x14ac:dyDescent="0.25">
      <c r="A13406" t="str">
        <f>HYPERLINK("https://www.773grp.com/globalSearch/SN74251N3/page-1", "SN74251N3")</f>
        <v>SN74251N3</v>
      </c>
      <c r="B13406" s="3" t="s">
        <v>90</v>
      </c>
      <c r="C13406" s="5">
        <v>795</v>
      </c>
      <c r="D13406" s="6">
        <v>5.63</v>
      </c>
      <c r="E13406" t="s">
        <v>17</v>
      </c>
    </row>
    <row r="13407" spans="1:5" x14ac:dyDescent="0.25">
      <c r="A13407" t="str">
        <f>HYPERLINK("https://www.773grp.com/globalSearch/SN74ALS158N/page-1", "SN74ALS158N")</f>
        <v>SN74ALS158N</v>
      </c>
      <c r="B13407" s="3" t="s">
        <v>90</v>
      </c>
      <c r="C13407" s="5">
        <v>8356</v>
      </c>
      <c r="D13407" s="6">
        <v>5.63</v>
      </c>
      <c r="E13407" t="s">
        <v>17</v>
      </c>
    </row>
    <row r="13408" spans="1:5" x14ac:dyDescent="0.25">
      <c r="A13408" t="str">
        <f>HYPERLINK("https://www.773grp.com/globalSearch/SN74ALS158NSR/page-1", "SN74ALS158NSR")</f>
        <v>SN74ALS158NSR</v>
      </c>
      <c r="B13408" s="3" t="s">
        <v>90</v>
      </c>
      <c r="C13408" s="5">
        <v>8000</v>
      </c>
      <c r="D13408" s="6">
        <v>5.63</v>
      </c>
      <c r="E13408" t="s">
        <v>17</v>
      </c>
    </row>
    <row r="13409" spans="1:5" x14ac:dyDescent="0.25">
      <c r="A13409" t="str">
        <f>HYPERLINK("https://www.773grp.com/globalSearch/SN74LS352N/page-1", "SN74LS352N")</f>
        <v>SN74LS352N</v>
      </c>
      <c r="B13409" s="3" t="s">
        <v>90</v>
      </c>
      <c r="C13409" s="5">
        <v>15</v>
      </c>
      <c r="D13409" s="6">
        <v>5.63</v>
      </c>
      <c r="E13409" t="s">
        <v>17</v>
      </c>
    </row>
    <row r="13410" spans="1:5" x14ac:dyDescent="0.25">
      <c r="A13410" t="str">
        <f>HYPERLINK("https://www.773grp.com/globalSearch/SN54S153J/page-1", "SN54S153J")</f>
        <v>SN54S153J</v>
      </c>
      <c r="B13410" s="3" t="s">
        <v>90</v>
      </c>
      <c r="C13410" s="5">
        <v>213</v>
      </c>
      <c r="D13410" s="6">
        <v>5.78</v>
      </c>
      <c r="E13410" t="s">
        <v>17</v>
      </c>
    </row>
    <row r="13411" spans="1:5" x14ac:dyDescent="0.25">
      <c r="A13411" t="str">
        <f>HYPERLINK("https://www.773grp.com/globalSearch/SN54ALS257J/page-1", "SN54ALS257J")</f>
        <v>SN54ALS257J</v>
      </c>
      <c r="B13411" s="3" t="s">
        <v>90</v>
      </c>
      <c r="C13411" s="5">
        <v>216</v>
      </c>
      <c r="D13411" s="6">
        <v>5.79</v>
      </c>
      <c r="E13411" t="s">
        <v>17</v>
      </c>
    </row>
    <row r="13412" spans="1:5" x14ac:dyDescent="0.25">
      <c r="A13412" t="str">
        <f>HYPERLINK("https://www.773grp.com/globalSearch/SN74ALS258AN/page-1", "SN74ALS258AN")</f>
        <v>SN74ALS258AN</v>
      </c>
      <c r="B13412" s="3" t="s">
        <v>90</v>
      </c>
      <c r="C13412" s="5">
        <v>21089</v>
      </c>
      <c r="D13412" s="6">
        <v>6.03</v>
      </c>
      <c r="E13412" t="s">
        <v>17</v>
      </c>
    </row>
    <row r="13413" spans="1:5" x14ac:dyDescent="0.25">
      <c r="A13413" t="str">
        <f>HYPERLINK("https://www.773grp.com/globalSearch/SN74CBT16214CDL/page-1", "SN74CBT16214CDL")</f>
        <v>SN74CBT16214CDL</v>
      </c>
      <c r="B13413" s="3" t="s">
        <v>90</v>
      </c>
      <c r="C13413" s="5">
        <v>8490</v>
      </c>
      <c r="D13413" s="6">
        <v>6.08</v>
      </c>
      <c r="E13413" t="s">
        <v>17</v>
      </c>
    </row>
    <row r="13414" spans="1:5" x14ac:dyDescent="0.25">
      <c r="A13414" t="str">
        <f>HYPERLINK("https://www.773grp.com/globalSearch/SNJ54HC258J/page-1", "SNJ54HC258J")</f>
        <v>SNJ54HC258J</v>
      </c>
      <c r="B13414" s="3" t="s">
        <v>90</v>
      </c>
      <c r="C13414" s="5">
        <v>217</v>
      </c>
      <c r="D13414" s="6">
        <v>6.08</v>
      </c>
      <c r="E13414" t="s">
        <v>17</v>
      </c>
    </row>
    <row r="13415" spans="1:5" x14ac:dyDescent="0.25">
      <c r="A13415" t="str">
        <f>HYPERLINK("https://www.773grp.com/globalSearch/SNJ54F258J/page-1", "SNJ54F258J")</f>
        <v>SNJ54F258J</v>
      </c>
      <c r="B13415" s="3" t="s">
        <v>90</v>
      </c>
      <c r="C13415" s="5">
        <v>1</v>
      </c>
      <c r="D13415" s="6">
        <v>6.19</v>
      </c>
      <c r="E13415" t="s">
        <v>17</v>
      </c>
    </row>
    <row r="13416" spans="1:5" x14ac:dyDescent="0.25">
      <c r="A13416" t="str">
        <f>HYPERLINK("https://www.773grp.com/globalSearch/SN74ALS158D/page-1", "SN74ALS158D")</f>
        <v>SN74ALS158D</v>
      </c>
      <c r="B13416" s="3" t="s">
        <v>90</v>
      </c>
      <c r="C13416" s="5">
        <v>46840</v>
      </c>
      <c r="D13416" s="6">
        <v>6.21</v>
      </c>
      <c r="E13416" t="s">
        <v>17</v>
      </c>
    </row>
    <row r="13417" spans="1:5" x14ac:dyDescent="0.25">
      <c r="A13417" t="str">
        <f>HYPERLINK("https://www.773grp.com/globalSearch/SN74AS298ANSR/page-1", "SN74AS298ANSR")</f>
        <v>SN74AS298ANSR</v>
      </c>
      <c r="B13417" s="3" t="s">
        <v>90</v>
      </c>
      <c r="C13417" s="5">
        <v>1990</v>
      </c>
      <c r="D13417" s="6">
        <v>6.21</v>
      </c>
      <c r="E13417" t="s">
        <v>17</v>
      </c>
    </row>
    <row r="13418" spans="1:5" x14ac:dyDescent="0.25">
      <c r="A13418" t="str">
        <f>HYPERLINK("https://www.773grp.com/globalSearch/SN74ALS352D/page-1", "SN74ALS352D")</f>
        <v>SN74ALS352D</v>
      </c>
      <c r="B13418" s="3" t="s">
        <v>90</v>
      </c>
      <c r="C13418" s="5">
        <v>1750</v>
      </c>
      <c r="D13418" s="6">
        <v>6.33</v>
      </c>
      <c r="E13418" t="s">
        <v>17</v>
      </c>
    </row>
    <row r="13419" spans="1:5" x14ac:dyDescent="0.25">
      <c r="A13419" t="str">
        <f>HYPERLINK("https://www.773grp.com/globalSearch/SN74ALS352N/page-1", "SN74ALS352N")</f>
        <v>SN74ALS352N</v>
      </c>
      <c r="B13419" s="3" t="s">
        <v>90</v>
      </c>
      <c r="C13419" s="5">
        <v>13</v>
      </c>
      <c r="D13419" s="6">
        <v>6.33</v>
      </c>
      <c r="E13419" t="s">
        <v>17</v>
      </c>
    </row>
    <row r="13420" spans="1:5" x14ac:dyDescent="0.25">
      <c r="A13420" t="str">
        <f>HYPERLINK("https://www.773grp.com/globalSearch/SN54ALS352J/page-1", "SN54ALS352J")</f>
        <v>SN54ALS352J</v>
      </c>
      <c r="B13420" s="3" t="s">
        <v>90</v>
      </c>
      <c r="C13420" s="5">
        <v>120</v>
      </c>
      <c r="D13420" s="6">
        <v>6.45</v>
      </c>
      <c r="E13420" t="s">
        <v>17</v>
      </c>
    </row>
    <row r="13421" spans="1:5" x14ac:dyDescent="0.25">
      <c r="A13421" t="str">
        <f>HYPERLINK("https://www.773grp.com/globalSearch/SN74ALS258AD/page-1", "SN74ALS258AD")</f>
        <v>SN74ALS258AD</v>
      </c>
      <c r="B13421" s="3" t="s">
        <v>90</v>
      </c>
      <c r="C13421" s="5">
        <v>69240</v>
      </c>
      <c r="D13421" s="6">
        <v>6.45</v>
      </c>
      <c r="E13421" t="s">
        <v>17</v>
      </c>
    </row>
    <row r="13422" spans="1:5" x14ac:dyDescent="0.25">
      <c r="A13422" t="str">
        <f>HYPERLINK("https://www.773grp.com/globalSearch/SN74150N/page-1", "SN74150N")</f>
        <v>SN74150N</v>
      </c>
      <c r="B13422" s="3" t="str">
        <f>HYPERLINK("https://www.773grp.com/manufacturer/texas-instruments?pageNo=234", "Texas Instruments")</f>
        <v>Texas Instruments</v>
      </c>
      <c r="C13422" s="5">
        <v>15</v>
      </c>
      <c r="D13422" s="6">
        <v>6.55</v>
      </c>
      <c r="E13422" t="s">
        <v>17</v>
      </c>
    </row>
    <row r="13423" spans="1:5" x14ac:dyDescent="0.25">
      <c r="A13423" t="str">
        <f>HYPERLINK("https://www.773grp.com/globalSearch/SN74150NE4/page-1", "SN74150NE4")</f>
        <v>SN74150NE4</v>
      </c>
      <c r="B13423" s="3" t="str">
        <f>HYPERLINK("https://www.773grp.com/manufacturer/texas-instruments?pageNo=235", "Texas Instruments")</f>
        <v>Texas Instruments</v>
      </c>
      <c r="C13423" s="5">
        <v>68</v>
      </c>
      <c r="D13423" s="6">
        <v>6.55</v>
      </c>
      <c r="E13423" t="s">
        <v>17</v>
      </c>
    </row>
    <row r="13424" spans="1:5" x14ac:dyDescent="0.25">
      <c r="A13424" t="str">
        <f>HYPERLINK("https://www.773grp.com/globalSearch/SN74AS298AN/page-1", "SN74AS298AN")</f>
        <v>SN74AS298AN</v>
      </c>
      <c r="B13424" s="3" t="str">
        <f>HYPERLINK("https://www.773grp.com/manufacturer/texas-instruments?pageNo=382", "Texas Instruments")</f>
        <v>Texas Instruments</v>
      </c>
      <c r="C13424" s="5">
        <v>25815</v>
      </c>
      <c r="D13424" s="6">
        <v>6.64</v>
      </c>
      <c r="E13424" t="s">
        <v>17</v>
      </c>
    </row>
    <row r="13425" spans="1:5" x14ac:dyDescent="0.25">
      <c r="A13425" t="str">
        <f>HYPERLINK("https://www.773grp.com/globalSearch/SN74S157N/page-1", "SN74S157N")</f>
        <v>SN74S157N</v>
      </c>
      <c r="B13425" s="3" t="str">
        <f>HYPERLINK("https://www.773grp.com/manufacturer/texas-instruments?pageNo=738", "Texas Instruments")</f>
        <v>Texas Instruments</v>
      </c>
      <c r="C13425" s="5">
        <v>53341</v>
      </c>
      <c r="D13425" s="6">
        <v>7</v>
      </c>
      <c r="E13425" t="s">
        <v>17</v>
      </c>
    </row>
    <row r="13426" spans="1:5" x14ac:dyDescent="0.25">
      <c r="A13426" t="str">
        <f>HYPERLINK("https://www.773grp.com/globalSearch/SN74ALVCH16271DGGR/page-1", "SN74ALVCH16271DGGR")</f>
        <v>SN74ALVCH16271DGGR</v>
      </c>
      <c r="B13426" s="3" t="str">
        <f>HYPERLINK("https://www.773grp.com/manufacturer/texas-instruments?pageNo=808", "Texas Instruments")</f>
        <v>Texas Instruments</v>
      </c>
      <c r="C13426" s="5">
        <v>78000</v>
      </c>
      <c r="D13426" s="6">
        <v>7.04</v>
      </c>
      <c r="E13426" t="s">
        <v>17</v>
      </c>
    </row>
    <row r="13427" spans="1:5" x14ac:dyDescent="0.25">
      <c r="A13427" t="str">
        <f>HYPERLINK("https://www.773grp.com/globalSearch/SN74S257N/page-1", "SN74S257N")</f>
        <v>SN74S257N</v>
      </c>
      <c r="B13427" s="3" t="str">
        <f>HYPERLINK("https://www.773grp.com/manufacturer/texas-instruments?pageNo=914", "Texas Instruments")</f>
        <v>Texas Instruments</v>
      </c>
      <c r="C13427" s="5">
        <v>24284</v>
      </c>
      <c r="D13427" s="6">
        <v>7.05</v>
      </c>
      <c r="E13427" t="s">
        <v>17</v>
      </c>
    </row>
    <row r="13428" spans="1:5" x14ac:dyDescent="0.25">
      <c r="A13428" t="str">
        <f>HYPERLINK("https://www.773grp.com/globalSearch/SN74AS298AD/page-1", "SN74AS298AD")</f>
        <v>SN74AS298AD</v>
      </c>
      <c r="B13428" s="3" t="s">
        <v>90</v>
      </c>
      <c r="C13428" s="5">
        <v>18153</v>
      </c>
      <c r="D13428" s="6">
        <v>7.23</v>
      </c>
      <c r="E13428" t="s">
        <v>17</v>
      </c>
    </row>
    <row r="13429" spans="1:5" x14ac:dyDescent="0.25">
      <c r="A13429" t="str">
        <f>HYPERLINK("https://www.773grp.com/globalSearch/SN74AS250ADW/page-1", "SN74AS250ADW")</f>
        <v>SN74AS250ADW</v>
      </c>
      <c r="B13429" s="3" t="s">
        <v>90</v>
      </c>
      <c r="C13429" s="5">
        <v>645</v>
      </c>
      <c r="D13429" s="6">
        <v>7.34</v>
      </c>
      <c r="E13429" t="s">
        <v>17</v>
      </c>
    </row>
    <row r="13430" spans="1:5" x14ac:dyDescent="0.25">
      <c r="A13430" t="str">
        <f>HYPERLINK("https://www.773grp.com/globalSearch/SN74AS250ADWR/page-1", "SN74AS250ADWR")</f>
        <v>SN74AS250ADWR</v>
      </c>
      <c r="B13430" s="3" t="s">
        <v>90</v>
      </c>
      <c r="C13430" s="5">
        <v>2000</v>
      </c>
      <c r="D13430" s="6">
        <v>7.34</v>
      </c>
      <c r="E13430" t="s">
        <v>17</v>
      </c>
    </row>
    <row r="13431" spans="1:5" x14ac:dyDescent="0.25">
      <c r="A13431" t="str">
        <f>HYPERLINK("https://www.773grp.com/globalSearch/SNJ54LS352J/page-1", "SNJ54LS352J")</f>
        <v>SNJ54LS352J</v>
      </c>
      <c r="B13431" s="3" t="s">
        <v>90</v>
      </c>
      <c r="C13431" s="5">
        <v>91</v>
      </c>
      <c r="D13431" s="6">
        <v>7.43</v>
      </c>
      <c r="E13431" t="s">
        <v>17</v>
      </c>
    </row>
    <row r="13432" spans="1:5" x14ac:dyDescent="0.25">
      <c r="A13432" t="str">
        <f>HYPERLINK("https://www.773grp.com/globalSearch/SNJ54ALS352J/page-1", "SNJ54ALS352J")</f>
        <v>SNJ54ALS352J</v>
      </c>
      <c r="B13432" s="3" t="s">
        <v>90</v>
      </c>
      <c r="C13432" s="5">
        <v>46</v>
      </c>
      <c r="D13432" s="6">
        <v>7.46</v>
      </c>
      <c r="E13432" t="s">
        <v>17</v>
      </c>
    </row>
    <row r="13433" spans="1:5" x14ac:dyDescent="0.25">
      <c r="A13433" t="str">
        <f>HYPERLINK("https://www.773grp.com/globalSearch/SN74ALVCH16271DL/page-1", "SN74ALVCH16271DL")</f>
        <v>SN74ALVCH16271DL</v>
      </c>
      <c r="B13433" s="3" t="s">
        <v>90</v>
      </c>
      <c r="C13433" s="5">
        <v>6139</v>
      </c>
      <c r="D13433" s="6">
        <v>7.63</v>
      </c>
      <c r="E13433" t="s">
        <v>17</v>
      </c>
    </row>
    <row r="13434" spans="1:5" x14ac:dyDescent="0.25">
      <c r="A13434" t="str">
        <f>HYPERLINK("https://www.773grp.com/globalSearch/SN74AS253AN/page-1", "SN74AS253AN")</f>
        <v>SN74AS253AN</v>
      </c>
      <c r="B13434" s="3" t="s">
        <v>90</v>
      </c>
      <c r="C13434" s="5">
        <v>26660</v>
      </c>
      <c r="D13434" s="6">
        <v>7.81</v>
      </c>
      <c r="E13434" t="s">
        <v>17</v>
      </c>
    </row>
    <row r="13435" spans="1:5" x14ac:dyDescent="0.25">
      <c r="A13435" t="str">
        <f>HYPERLINK("https://www.773grp.com/globalSearch/SN54F251AJ/page-1", "SN54F251AJ")</f>
        <v>SN54F251AJ</v>
      </c>
      <c r="B13435" s="3" t="s">
        <v>90</v>
      </c>
      <c r="C13435" s="5">
        <v>355</v>
      </c>
      <c r="D13435" s="6">
        <v>7.94</v>
      </c>
      <c r="E13435" t="s">
        <v>17</v>
      </c>
    </row>
    <row r="13436" spans="1:5" x14ac:dyDescent="0.25">
      <c r="A13436" t="str">
        <f>HYPERLINK("https://www.773grp.com/globalSearch/SNJ54F158AFK/page-1", "SNJ54F158AFK")</f>
        <v>SNJ54F158AFK</v>
      </c>
      <c r="B13436" s="3" t="s">
        <v>90</v>
      </c>
      <c r="C13436" s="5">
        <v>247</v>
      </c>
      <c r="D13436" s="6">
        <v>7.94</v>
      </c>
      <c r="E13436" t="s">
        <v>17</v>
      </c>
    </row>
    <row r="13437" spans="1:5" x14ac:dyDescent="0.25">
      <c r="A13437" t="str">
        <f>HYPERLINK("https://www.773grp.com/globalSearch/SNJ54F158AJ/page-1", "SNJ54F158AJ")</f>
        <v>SNJ54F158AJ</v>
      </c>
      <c r="B13437" s="3" t="s">
        <v>90</v>
      </c>
      <c r="C13437" s="5">
        <v>1399</v>
      </c>
      <c r="D13437" s="6">
        <v>7.94</v>
      </c>
      <c r="E13437" t="s">
        <v>17</v>
      </c>
    </row>
    <row r="13438" spans="1:5" x14ac:dyDescent="0.25">
      <c r="A13438" t="str">
        <f>HYPERLINK("https://www.773grp.com/globalSearch/SNJ54F251AFK/page-1", "SNJ54F251AFK")</f>
        <v>SNJ54F251AFK</v>
      </c>
      <c r="B13438" s="3" t="s">
        <v>90</v>
      </c>
      <c r="C13438" s="5">
        <v>184</v>
      </c>
      <c r="D13438" s="6">
        <v>7.94</v>
      </c>
      <c r="E13438" t="s">
        <v>17</v>
      </c>
    </row>
    <row r="13439" spans="1:5" x14ac:dyDescent="0.25">
      <c r="A13439" t="str">
        <f>HYPERLINK("https://www.773grp.com/globalSearch/SNJ54F251AJ/page-1", "SNJ54F251AJ")</f>
        <v>SNJ54F251AJ</v>
      </c>
      <c r="B13439" s="3" t="s">
        <v>90</v>
      </c>
      <c r="C13439" s="5">
        <v>1257</v>
      </c>
      <c r="D13439" s="6">
        <v>7.94</v>
      </c>
      <c r="E13439" t="s">
        <v>17</v>
      </c>
    </row>
    <row r="13440" spans="1:5" x14ac:dyDescent="0.25">
      <c r="A13440" t="str">
        <f>HYPERLINK("https://www.773grp.com/globalSearch/5962-9758301QEA/page-1", "5962-9758301QEA")</f>
        <v>5962-9758301QEA</v>
      </c>
      <c r="B13440" s="3" t="s">
        <v>90</v>
      </c>
      <c r="C13440" s="5">
        <v>175</v>
      </c>
      <c r="D13440" s="6">
        <v>8.01</v>
      </c>
      <c r="E13440" t="s">
        <v>17</v>
      </c>
    </row>
    <row r="13441" spans="1:5" x14ac:dyDescent="0.25">
      <c r="A13441" t="str">
        <f>HYPERLINK("https://www.773grp.com/globalSearch/SN74AS353BD/page-1", "SN74AS353BD")</f>
        <v>SN74AS353BD</v>
      </c>
      <c r="B13441" s="3" t="s">
        <v>90</v>
      </c>
      <c r="C13441" s="5">
        <v>3699</v>
      </c>
      <c r="D13441" s="6">
        <v>8.0500000000000007</v>
      </c>
      <c r="E13441" t="s">
        <v>17</v>
      </c>
    </row>
    <row r="13442" spans="1:5" x14ac:dyDescent="0.25">
      <c r="A13442" t="str">
        <f>HYPERLINK("https://www.773grp.com/globalSearch/SN74AS353BDR/page-1", "SN74AS353BDR")</f>
        <v>SN74AS353BDR</v>
      </c>
      <c r="B13442" s="3" t="s">
        <v>90</v>
      </c>
      <c r="C13442" s="5">
        <v>7500</v>
      </c>
      <c r="D13442" s="6">
        <v>8.0500000000000007</v>
      </c>
      <c r="E13442" t="s">
        <v>17</v>
      </c>
    </row>
    <row r="13443" spans="1:5" x14ac:dyDescent="0.25">
      <c r="A13443" t="str">
        <f>HYPERLINK("https://www.773grp.com/globalSearch/SN54ALS153J/page-1", "SN54ALS153J")</f>
        <v>SN54ALS153J</v>
      </c>
      <c r="B13443" s="3" t="s">
        <v>90</v>
      </c>
      <c r="C13443" s="5">
        <v>93</v>
      </c>
      <c r="D13443" s="6">
        <v>8.15</v>
      </c>
      <c r="E13443" t="s">
        <v>17</v>
      </c>
    </row>
    <row r="13444" spans="1:5" x14ac:dyDescent="0.25">
      <c r="A13444" t="str">
        <f>HYPERLINK("https://www.773grp.com/globalSearch/SN54S158J/page-1", "SN54S158J")</f>
        <v>SN54S158J</v>
      </c>
      <c r="B13444" s="3" t="s">
        <v>90</v>
      </c>
      <c r="C13444" s="5">
        <v>23</v>
      </c>
      <c r="D13444" s="6">
        <v>8.24</v>
      </c>
      <c r="E13444" t="s">
        <v>17</v>
      </c>
    </row>
    <row r="13445" spans="1:5" x14ac:dyDescent="0.25">
      <c r="A13445" t="str">
        <f>HYPERLINK("https://www.773grp.com/globalSearch/SN74AS253AD/page-1", "SN74AS253AD")</f>
        <v>SN74AS253AD</v>
      </c>
      <c r="B13445" s="3" t="s">
        <v>90</v>
      </c>
      <c r="C13445" s="5">
        <v>29946</v>
      </c>
      <c r="D13445" s="6">
        <v>8.44</v>
      </c>
      <c r="E13445" t="s">
        <v>17</v>
      </c>
    </row>
    <row r="13446" spans="1:5" x14ac:dyDescent="0.25">
      <c r="A13446" t="str">
        <f>HYPERLINK("https://www.773grp.com/globalSearch/SN54HC153J/page-1", "SN54HC153J")</f>
        <v>SN54HC153J</v>
      </c>
      <c r="B13446" s="3" t="s">
        <v>90</v>
      </c>
      <c r="C13446" s="5">
        <v>133</v>
      </c>
      <c r="D13446" s="6">
        <v>8.49</v>
      </c>
      <c r="E13446" t="s">
        <v>17</v>
      </c>
    </row>
    <row r="13447" spans="1:5" x14ac:dyDescent="0.25">
      <c r="A13447" t="str">
        <f>HYPERLINK("https://www.773grp.com/globalSearch/SN54HC253J/page-1", "SN54HC253J")</f>
        <v>SN54HC253J</v>
      </c>
      <c r="B13447" s="3" t="s">
        <v>90</v>
      </c>
      <c r="C13447" s="5">
        <v>341</v>
      </c>
      <c r="D13447" s="6">
        <v>8.89</v>
      </c>
      <c r="E13447" t="s">
        <v>17</v>
      </c>
    </row>
    <row r="13448" spans="1:5" x14ac:dyDescent="0.25">
      <c r="A13448" t="str">
        <f>HYPERLINK("https://www.773grp.com/globalSearch/SN54S251J/page-1", "SN54S251J")</f>
        <v>SN54S251J</v>
      </c>
      <c r="B13448" s="3" t="s">
        <v>90</v>
      </c>
      <c r="C13448" s="5">
        <v>1252</v>
      </c>
      <c r="D13448" s="6">
        <v>8.89</v>
      </c>
      <c r="E13448" t="s">
        <v>17</v>
      </c>
    </row>
    <row r="13449" spans="1:5" x14ac:dyDescent="0.25">
      <c r="A13449" t="str">
        <f>HYPERLINK("https://www.773grp.com/globalSearch/JM38510-33902BEA/page-1", "JM38510-33902BEA")</f>
        <v>JM38510-33902BEA</v>
      </c>
      <c r="B13449" s="3" t="s">
        <v>90</v>
      </c>
      <c r="C13449" s="5">
        <v>473</v>
      </c>
      <c r="D13449" s="6">
        <v>8.91</v>
      </c>
      <c r="E13449" t="s">
        <v>17</v>
      </c>
    </row>
    <row r="13450" spans="1:5" x14ac:dyDescent="0.25">
      <c r="A13450" t="str">
        <f>HYPERLINK("https://www.773grp.com/globalSearch/SN54HC157J/page-1", "SN54HC157J")</f>
        <v>SN54HC157J</v>
      </c>
      <c r="B13450" s="3" t="s">
        <v>90</v>
      </c>
      <c r="C13450" s="5">
        <v>833</v>
      </c>
      <c r="D13450" s="6">
        <v>8.9499999999999993</v>
      </c>
      <c r="E13450" t="s">
        <v>17</v>
      </c>
    </row>
    <row r="13451" spans="1:5" x14ac:dyDescent="0.25">
      <c r="A13451" t="str">
        <f>HYPERLINK("https://www.773grp.com/globalSearch/SN54HC257J/page-1", "SN54HC257J")</f>
        <v>SN54HC257J</v>
      </c>
      <c r="B13451" s="3" t="s">
        <v>90</v>
      </c>
      <c r="C13451" s="5">
        <v>2001</v>
      </c>
      <c r="D13451" s="6">
        <v>9</v>
      </c>
      <c r="E13451" t="s">
        <v>17</v>
      </c>
    </row>
    <row r="13452" spans="1:5" x14ac:dyDescent="0.25">
      <c r="A13452" t="str">
        <f>HYPERLINK("https://www.773grp.com/globalSearch/SNJ54ALS258J/page-1", "SNJ54ALS258J")</f>
        <v>SNJ54ALS258J</v>
      </c>
      <c r="B13452" s="3" t="s">
        <v>90</v>
      </c>
      <c r="C13452" s="5">
        <v>96</v>
      </c>
      <c r="D13452" s="6">
        <v>9.15</v>
      </c>
      <c r="E13452" t="s">
        <v>17</v>
      </c>
    </row>
    <row r="13453" spans="1:5" x14ac:dyDescent="0.25">
      <c r="A13453" t="str">
        <f>HYPERLINK("https://www.773grp.com/globalSearch/SN54153J/page-1", "SN54153J")</f>
        <v>SN54153J</v>
      </c>
      <c r="B13453" s="3" t="s">
        <v>90</v>
      </c>
      <c r="C13453" s="5">
        <v>43</v>
      </c>
      <c r="D13453" s="6">
        <v>9.56</v>
      </c>
      <c r="E13453" t="s">
        <v>17</v>
      </c>
    </row>
    <row r="13454" spans="1:5" x14ac:dyDescent="0.25">
      <c r="A13454" t="str">
        <f>HYPERLINK("https://www.773grp.com/globalSearch/SNJ54S153J/page-1", "SNJ54S153J")</f>
        <v>SNJ54S153J</v>
      </c>
      <c r="B13454" s="3" t="s">
        <v>90</v>
      </c>
      <c r="C13454" s="5">
        <v>843</v>
      </c>
      <c r="D13454" s="6">
        <v>9.74</v>
      </c>
      <c r="E13454" t="s">
        <v>17</v>
      </c>
    </row>
    <row r="13455" spans="1:5" x14ac:dyDescent="0.25">
      <c r="A13455" t="str">
        <f>HYPERLINK("https://www.773grp.com/globalSearch/SN74ALS857DW/page-1", "SN74ALS857DW")</f>
        <v>SN74ALS857DW</v>
      </c>
      <c r="B13455" s="3" t="s">
        <v>90</v>
      </c>
      <c r="C13455" s="5">
        <v>2945</v>
      </c>
      <c r="D13455" s="6">
        <v>10.210000000000001</v>
      </c>
      <c r="E13455" t="s">
        <v>17</v>
      </c>
    </row>
    <row r="13456" spans="1:5" x14ac:dyDescent="0.25">
      <c r="A13456" t="str">
        <f>HYPERLINK("https://www.773grp.com/globalSearch/SN74ALS857DWR/page-1", "SN74ALS857DWR")</f>
        <v>SN74ALS857DWR</v>
      </c>
      <c r="B13456" s="3" t="s">
        <v>90</v>
      </c>
      <c r="C13456" s="5">
        <v>3790</v>
      </c>
      <c r="D13456" s="6">
        <v>10.210000000000001</v>
      </c>
      <c r="E13456" t="s">
        <v>17</v>
      </c>
    </row>
    <row r="13457" spans="1:5" x14ac:dyDescent="0.25">
      <c r="A13457" t="str">
        <f>HYPERLINK("https://www.773grp.com/globalSearch/5962-9764201QEA/page-1", "5962-9764201QEA")</f>
        <v>5962-9764201QEA</v>
      </c>
      <c r="B13457" s="3" t="s">
        <v>90</v>
      </c>
      <c r="C13457" s="5">
        <v>17</v>
      </c>
      <c r="D13457" s="6">
        <v>10.5</v>
      </c>
      <c r="E13457" t="s">
        <v>17</v>
      </c>
    </row>
    <row r="13458" spans="1:5" x14ac:dyDescent="0.25">
      <c r="A13458" t="str">
        <f>HYPERLINK("https://www.773grp.com/globalSearch/SNJ54AHC157J/page-1", "SNJ54AHC157J")</f>
        <v>SNJ54AHC157J</v>
      </c>
      <c r="B13458" s="3" t="s">
        <v>90</v>
      </c>
      <c r="C13458" s="5">
        <v>174</v>
      </c>
      <c r="D13458" s="6">
        <v>10.5</v>
      </c>
      <c r="E13458" t="s">
        <v>17</v>
      </c>
    </row>
    <row r="13459" spans="1:5" x14ac:dyDescent="0.25">
      <c r="A13459" t="str">
        <f>HYPERLINK("https://www.773grp.com/globalSearch/SN54HC251J/page-1", "SN54HC251J")</f>
        <v>SN54HC251J</v>
      </c>
      <c r="B13459" s="3" t="s">
        <v>90</v>
      </c>
      <c r="C13459" s="5">
        <v>468</v>
      </c>
      <c r="D13459" s="6">
        <v>10.66</v>
      </c>
      <c r="E13459" t="s">
        <v>17</v>
      </c>
    </row>
    <row r="13460" spans="1:5" x14ac:dyDescent="0.25">
      <c r="A13460" t="str">
        <f>HYPERLINK("https://www.773grp.com/globalSearch/SN74CBT16390DGGR/page-1", "SN74CBT16390DGGR")</f>
        <v>SN74CBT16390DGGR</v>
      </c>
      <c r="B13460" s="3" t="s">
        <v>90</v>
      </c>
      <c r="C13460" s="5">
        <v>12340</v>
      </c>
      <c r="D13460" s="6">
        <v>11.25</v>
      </c>
      <c r="E13460" t="s">
        <v>17</v>
      </c>
    </row>
    <row r="13461" spans="1:5" x14ac:dyDescent="0.25">
      <c r="A13461" t="str">
        <f>HYPERLINK("https://www.773grp.com/globalSearch/JM38510-30901BEA/page-1", "JM38510-30901BEA")</f>
        <v>JM38510-30901BEA</v>
      </c>
      <c r="B13461" s="3" t="s">
        <v>90</v>
      </c>
      <c r="C13461" s="5">
        <v>1377</v>
      </c>
      <c r="D13461" s="6">
        <v>11.93</v>
      </c>
      <c r="E13461" t="s">
        <v>17</v>
      </c>
    </row>
    <row r="13462" spans="1:5" x14ac:dyDescent="0.25">
      <c r="A13462" t="str">
        <f>HYPERLINK("https://www.773grp.com/globalSearch/SN54ALS253J/page-1", "SN54ALS253J")</f>
        <v>SN54ALS253J</v>
      </c>
      <c r="B13462" s="3" t="s">
        <v>90</v>
      </c>
      <c r="C13462" s="5">
        <v>1</v>
      </c>
      <c r="D13462" s="6">
        <v>11.99</v>
      </c>
      <c r="E13462" t="s">
        <v>17</v>
      </c>
    </row>
    <row r="13463" spans="1:5" x14ac:dyDescent="0.25">
      <c r="A13463" t="str">
        <f>HYPERLINK("https://www.773grp.com/globalSearch/SNJ54LS352W/page-1", "SNJ54LS352W")</f>
        <v>SNJ54LS352W</v>
      </c>
      <c r="B13463" s="3" t="s">
        <v>90</v>
      </c>
      <c r="C13463" s="5">
        <v>272</v>
      </c>
      <c r="D13463" s="6">
        <v>12.06</v>
      </c>
      <c r="E13463" t="s">
        <v>17</v>
      </c>
    </row>
    <row r="13464" spans="1:5" x14ac:dyDescent="0.25">
      <c r="A13464" t="str">
        <f>HYPERLINK("https://www.773grp.com/globalSearch/JM38510-30903BEA/page-1", "JM38510-30903BEA")</f>
        <v>JM38510-30903BEA</v>
      </c>
      <c r="B13464" s="3" t="s">
        <v>90</v>
      </c>
      <c r="C13464" s="5">
        <v>1188</v>
      </c>
      <c r="D13464" s="6">
        <v>12.1</v>
      </c>
      <c r="E13464" t="s">
        <v>17</v>
      </c>
    </row>
    <row r="13465" spans="1:5" x14ac:dyDescent="0.25">
      <c r="A13465" t="str">
        <f>HYPERLINK("https://www.773grp.com/globalSearch/SN74LS354N/page-1", "SN74LS354N")</f>
        <v>SN74LS354N</v>
      </c>
      <c r="B13465" s="3" t="str">
        <f>HYPERLINK("https://www.773grp.com/manufacturer/texas-instruments?pageNo=197", "Texas Instruments")</f>
        <v>Texas Instruments</v>
      </c>
      <c r="C13465" s="5">
        <v>596</v>
      </c>
      <c r="D13465" s="6">
        <v>12.49</v>
      </c>
      <c r="E13465" t="s">
        <v>17</v>
      </c>
    </row>
    <row r="13466" spans="1:5" x14ac:dyDescent="0.25">
      <c r="A13466" t="str">
        <f>HYPERLINK("https://www.773grp.com/globalSearch/7603701EA/page-1", "7603701EA")</f>
        <v>7603701EA</v>
      </c>
      <c r="B13466" s="3" t="str">
        <f>HYPERLINK("https://www.773grp.com/manufacturer/texas-instruments?pageNo=612", "Texas Instruments")</f>
        <v>Texas Instruments</v>
      </c>
      <c r="C13466" s="5">
        <v>456</v>
      </c>
      <c r="D13466" s="6">
        <v>13.28</v>
      </c>
      <c r="E13466" t="s">
        <v>17</v>
      </c>
    </row>
    <row r="13467" spans="1:5" x14ac:dyDescent="0.25">
      <c r="A13467" t="str">
        <f>HYPERLINK("https://www.773grp.com/globalSearch/SNJ54LS257BJ/page-1", "SNJ54LS257BJ")</f>
        <v>SNJ54LS257BJ</v>
      </c>
      <c r="B13467" s="3" t="str">
        <f>HYPERLINK("https://www.773grp.com/manufacturer/texas-instruments?pageNo=623", "Texas Instruments")</f>
        <v>Texas Instruments</v>
      </c>
      <c r="C13467" s="5">
        <v>55</v>
      </c>
      <c r="D13467" s="6">
        <v>13.28</v>
      </c>
      <c r="E13467" t="s">
        <v>17</v>
      </c>
    </row>
    <row r="13468" spans="1:5" x14ac:dyDescent="0.25">
      <c r="A13468" t="str">
        <f>HYPERLINK("https://www.773grp.com/globalSearch/SN54LS158J/page-1", "SN54LS158J")</f>
        <v>SN54LS158J</v>
      </c>
      <c r="B13468" s="3" t="str">
        <f>HYPERLINK("https://www.773grp.com/manufacturer/texas-instruments?pageNo=665", "Texas Instruments")</f>
        <v>Texas Instruments</v>
      </c>
      <c r="C13468" s="5">
        <v>321</v>
      </c>
      <c r="D13468" s="6">
        <v>13.36</v>
      </c>
      <c r="E13468" t="s">
        <v>17</v>
      </c>
    </row>
    <row r="13469" spans="1:5" x14ac:dyDescent="0.25">
      <c r="A13469" t="str">
        <f>HYPERLINK("https://www.773grp.com/globalSearch/SN54LS153J/page-1", "SN54LS153J")</f>
        <v>SN54LS153J</v>
      </c>
      <c r="B13469" s="3" t="str">
        <f>HYPERLINK("https://www.773grp.com/manufacturer/texas-instruments?pageNo=691", "Texas Instruments")</f>
        <v>Texas Instruments</v>
      </c>
      <c r="C13469" s="5">
        <v>324</v>
      </c>
      <c r="D13469" s="6">
        <v>13.39</v>
      </c>
      <c r="E13469" t="s">
        <v>17</v>
      </c>
    </row>
    <row r="13470" spans="1:5" x14ac:dyDescent="0.25">
      <c r="A13470" t="str">
        <f>HYPERLINK("https://www.773grp.com/globalSearch/SN54LS157J/page-1", "SN54LS157J")</f>
        <v>SN54LS157J</v>
      </c>
      <c r="B13470" s="3" t="str">
        <f>HYPERLINK("https://www.773grp.com/manufacturer/texas-instruments?pageNo=692", "Texas Instruments")</f>
        <v>Texas Instruments</v>
      </c>
      <c r="C13470" s="5">
        <v>4</v>
      </c>
      <c r="D13470" s="6">
        <v>13.39</v>
      </c>
      <c r="E13470" t="s">
        <v>17</v>
      </c>
    </row>
    <row r="13471" spans="1:5" x14ac:dyDescent="0.25">
      <c r="A13471" t="str">
        <f>HYPERLINK("https://www.773grp.com/globalSearch/SNJ54151AW/page-1", "SNJ54151AW")</f>
        <v>SNJ54151AW</v>
      </c>
      <c r="B13471" s="3" t="str">
        <f>HYPERLINK("https://www.773grp.com/manufacturer/texas-instruments?pageNo=798", "Texas Instruments")</f>
        <v>Texas Instruments</v>
      </c>
      <c r="C13471" s="5">
        <v>48</v>
      </c>
      <c r="D13471" s="6">
        <v>13.61</v>
      </c>
      <c r="E13471" t="s">
        <v>17</v>
      </c>
    </row>
    <row r="13472" spans="1:5" x14ac:dyDescent="0.25">
      <c r="A13472" t="str">
        <f>HYPERLINK("https://www.773grp.com/globalSearch/CD54ACT151F3A/page-1", "CD54ACT151F3A")</f>
        <v>CD54ACT151F3A</v>
      </c>
      <c r="B13472" s="3" t="str">
        <f>HYPERLINK("https://www.773grp.com/manufacturer/texas-instruments?pageNo=809", "Texas Instruments")</f>
        <v>Texas Instruments</v>
      </c>
      <c r="C13472" s="5">
        <v>35</v>
      </c>
      <c r="D13472" s="6">
        <v>13.64</v>
      </c>
      <c r="E13472" t="s">
        <v>17</v>
      </c>
    </row>
    <row r="13473" spans="1:5" x14ac:dyDescent="0.25">
      <c r="A13473" t="str">
        <f>HYPERLINK("https://www.773grp.com/globalSearch/JM38510-30906BEA/page-1", "JM38510-30906BEA")</f>
        <v>JM38510-30906BEA</v>
      </c>
      <c r="B13473" s="3" t="str">
        <f>HYPERLINK("https://www.773grp.com/manufacturer/texas-instruments?pageNo=868", "Texas Instruments")</f>
        <v>Texas Instruments</v>
      </c>
      <c r="C13473" s="5">
        <v>327</v>
      </c>
      <c r="D13473" s="6">
        <v>13.75</v>
      </c>
      <c r="E13473" t="s">
        <v>17</v>
      </c>
    </row>
    <row r="13474" spans="1:5" x14ac:dyDescent="0.25">
      <c r="A13474" t="str">
        <f>HYPERLINK("https://www.773grp.com/globalSearch/SN54LS251J/page-1", "SN54LS251J")</f>
        <v>SN54LS251J</v>
      </c>
      <c r="B13474" s="3" t="str">
        <f>HYPERLINK("https://www.773grp.com/manufacturer/texas-instruments?pageNo=915", "Texas Instruments")</f>
        <v>Texas Instruments</v>
      </c>
      <c r="C13474" s="5">
        <v>2182</v>
      </c>
      <c r="D13474" s="6">
        <v>13.84</v>
      </c>
      <c r="E13474" t="s">
        <v>17</v>
      </c>
    </row>
    <row r="13475" spans="1:5" x14ac:dyDescent="0.25">
      <c r="A13475" t="str">
        <f>HYPERLINK("https://www.773grp.com/globalSearch/SN54LS151J/page-1", "SN54LS151J")</f>
        <v>SN54LS151J</v>
      </c>
      <c r="B13475" s="3" t="str">
        <f>HYPERLINK("https://www.773grp.com/manufacturer/texas-instruments?pageNo=927", "Texas Instruments")</f>
        <v>Texas Instruments</v>
      </c>
      <c r="C13475" s="5">
        <v>13</v>
      </c>
      <c r="D13475" s="6">
        <v>13.88</v>
      </c>
      <c r="E13475" t="s">
        <v>17</v>
      </c>
    </row>
    <row r="13476" spans="1:5" x14ac:dyDescent="0.25">
      <c r="A13476" t="str">
        <f>HYPERLINK("https://www.773grp.com/globalSearch/SNJ54S158W/page-1", "SNJ54S158W")</f>
        <v>SNJ54S158W</v>
      </c>
      <c r="B13476" s="3" t="s">
        <v>90</v>
      </c>
      <c r="C13476" s="5">
        <v>150</v>
      </c>
      <c r="D13476" s="6">
        <v>14.06</v>
      </c>
      <c r="E13476" t="s">
        <v>17</v>
      </c>
    </row>
    <row r="13477" spans="1:5" x14ac:dyDescent="0.25">
      <c r="A13477" t="str">
        <f>HYPERLINK("https://www.773grp.com/globalSearch/SN74CBT16390DL/page-1", "SN74CBT16390DL")</f>
        <v>SN74CBT16390DL</v>
      </c>
      <c r="B13477" s="3" t="s">
        <v>90</v>
      </c>
      <c r="C13477" s="5">
        <v>42769</v>
      </c>
      <c r="D13477" s="6">
        <v>14.65</v>
      </c>
      <c r="E13477" t="s">
        <v>17</v>
      </c>
    </row>
    <row r="13478" spans="1:5" x14ac:dyDescent="0.25">
      <c r="A13478" t="str">
        <f>HYPERLINK("https://www.773grp.com/globalSearch/8002201FA/page-1", "8002201FA")</f>
        <v>8002201FA</v>
      </c>
      <c r="B13478" s="3" t="s">
        <v>90</v>
      </c>
      <c r="C13478" s="5">
        <v>51</v>
      </c>
      <c r="D13478" s="6">
        <v>14.76</v>
      </c>
      <c r="E13478" t="s">
        <v>17</v>
      </c>
    </row>
    <row r="13479" spans="1:5" x14ac:dyDescent="0.25">
      <c r="A13479" t="str">
        <f>HYPERLINK("https://www.773grp.com/globalSearch/7600201EA/page-1", "7600201EA")</f>
        <v>7600201EA</v>
      </c>
      <c r="B13479" s="3" t="s">
        <v>90</v>
      </c>
      <c r="C13479" s="5">
        <v>148</v>
      </c>
      <c r="D13479" s="6">
        <v>14.85</v>
      </c>
      <c r="E13479" t="s">
        <v>17</v>
      </c>
    </row>
    <row r="13480" spans="1:5" x14ac:dyDescent="0.25">
      <c r="A13480" t="str">
        <f>HYPERLINK("https://www.773grp.com/globalSearch/CD54HC153F3A/page-1", "CD54HC153F3A")</f>
        <v>CD54HC153F3A</v>
      </c>
      <c r="B13480" s="3" t="s">
        <v>90</v>
      </c>
      <c r="C13480" s="5">
        <v>2</v>
      </c>
      <c r="D13480" s="6">
        <v>14.85</v>
      </c>
      <c r="E13480" t="s">
        <v>17</v>
      </c>
    </row>
    <row r="13481" spans="1:5" x14ac:dyDescent="0.25">
      <c r="A13481" t="str">
        <f>HYPERLINK("https://www.773grp.com/globalSearch/SNJ54LS157J/page-1", "SNJ54LS157J")</f>
        <v>SNJ54LS157J</v>
      </c>
      <c r="B13481" s="3" t="s">
        <v>90</v>
      </c>
      <c r="C13481" s="5">
        <v>68</v>
      </c>
      <c r="D13481" s="6">
        <v>14.85</v>
      </c>
      <c r="E13481" t="s">
        <v>17</v>
      </c>
    </row>
    <row r="13482" spans="1:5" x14ac:dyDescent="0.25">
      <c r="A13482" t="str">
        <f>HYPERLINK("https://www.773grp.com/globalSearch/8414101EA/page-1", "8414101EA")</f>
        <v>8414101EA</v>
      </c>
      <c r="B13482" s="3" t="s">
        <v>90</v>
      </c>
      <c r="C13482" s="5">
        <v>150</v>
      </c>
      <c r="D13482" s="6">
        <v>14.9</v>
      </c>
      <c r="E13482" t="s">
        <v>17</v>
      </c>
    </row>
    <row r="13483" spans="1:5" x14ac:dyDescent="0.25">
      <c r="A13483" t="str">
        <f>HYPERLINK("https://www.773grp.com/globalSearch/7601001EA/page-1", "7601001EA")</f>
        <v>7601001EA</v>
      </c>
      <c r="B13483" s="3" t="s">
        <v>90</v>
      </c>
      <c r="C13483" s="5">
        <v>144</v>
      </c>
      <c r="D13483" s="6">
        <v>15.03</v>
      </c>
      <c r="E13483" t="s">
        <v>17</v>
      </c>
    </row>
    <row r="13484" spans="1:5" x14ac:dyDescent="0.25">
      <c r="A13484" t="str">
        <f>HYPERLINK("https://www.773grp.com/globalSearch/7601101EA/page-1", "7601101EA")</f>
        <v>7601101EA</v>
      </c>
      <c r="B13484" s="3" t="s">
        <v>90</v>
      </c>
      <c r="C13484" s="5">
        <v>120</v>
      </c>
      <c r="D13484" s="6">
        <v>15.03</v>
      </c>
      <c r="E13484" t="s">
        <v>17</v>
      </c>
    </row>
    <row r="13485" spans="1:5" x14ac:dyDescent="0.25">
      <c r="A13485" t="str">
        <f>HYPERLINK("https://www.773grp.com/globalSearch/SNJ54LS151J/page-1", "SNJ54LS151J")</f>
        <v>SNJ54LS151J</v>
      </c>
      <c r="B13485" s="3" t="s">
        <v>90</v>
      </c>
      <c r="C13485" s="5">
        <v>3</v>
      </c>
      <c r="D13485" s="6">
        <v>15.03</v>
      </c>
      <c r="E13485" t="s">
        <v>17</v>
      </c>
    </row>
    <row r="13486" spans="1:5" x14ac:dyDescent="0.25">
      <c r="A13486" t="str">
        <f>HYPERLINK("https://www.773grp.com/globalSearch/SNJ54LS153J/page-1", "SNJ54LS153J")</f>
        <v>SNJ54LS153J</v>
      </c>
      <c r="B13486" s="3" t="s">
        <v>90</v>
      </c>
      <c r="C13486" s="5">
        <v>178</v>
      </c>
      <c r="D13486" s="6">
        <v>15.03</v>
      </c>
      <c r="E13486" t="s">
        <v>17</v>
      </c>
    </row>
    <row r="13487" spans="1:5" x14ac:dyDescent="0.25">
      <c r="A13487" t="str">
        <f>HYPERLINK("https://www.773grp.com/globalSearch/SNJ54ALS258AJ/page-1", "SNJ54ALS258AJ")</f>
        <v>SNJ54ALS258AJ</v>
      </c>
      <c r="B13487" s="3" t="s">
        <v>90</v>
      </c>
      <c r="C13487" s="5">
        <v>132</v>
      </c>
      <c r="D13487" s="6">
        <v>15.1</v>
      </c>
      <c r="E13487" t="s">
        <v>17</v>
      </c>
    </row>
    <row r="13488" spans="1:5" x14ac:dyDescent="0.25">
      <c r="A13488" t="str">
        <f>HYPERLINK("https://www.773grp.com/globalSearch/7603301EA/page-1", "7603301EA")</f>
        <v>7603301EA</v>
      </c>
      <c r="B13488" s="3" t="s">
        <v>90</v>
      </c>
      <c r="C13488" s="5">
        <v>443</v>
      </c>
      <c r="D13488" s="6">
        <v>15.19</v>
      </c>
      <c r="E13488" t="s">
        <v>17</v>
      </c>
    </row>
    <row r="13489" spans="1:5" x14ac:dyDescent="0.25">
      <c r="A13489" t="str">
        <f>HYPERLINK("https://www.773grp.com/globalSearch/SNJ54LS158J/page-1", "SNJ54LS158J")</f>
        <v>SNJ54LS158J</v>
      </c>
      <c r="B13489" s="3" t="s">
        <v>90</v>
      </c>
      <c r="C13489" s="5">
        <v>230</v>
      </c>
      <c r="D13489" s="6">
        <v>15.19</v>
      </c>
      <c r="E13489" t="s">
        <v>17</v>
      </c>
    </row>
    <row r="13490" spans="1:5" x14ac:dyDescent="0.25">
      <c r="A13490" t="str">
        <f>HYPERLINK("https://www.773grp.com/globalSearch/SN74ALS857NT/page-1", "SN74ALS857NT")</f>
        <v>SN74ALS857NT</v>
      </c>
      <c r="B13490" s="3" t="s">
        <v>90</v>
      </c>
      <c r="C13490" s="5">
        <v>13402</v>
      </c>
      <c r="D13490" s="6">
        <v>15.3</v>
      </c>
      <c r="E13490" t="s">
        <v>17</v>
      </c>
    </row>
    <row r="13491" spans="1:5" x14ac:dyDescent="0.25">
      <c r="A13491" t="str">
        <f>HYPERLINK("https://www.773grp.com/globalSearch/SN54LS258BJ/page-1", "SN54LS258BJ")</f>
        <v>SN54LS258BJ</v>
      </c>
      <c r="B13491" s="3" t="s">
        <v>90</v>
      </c>
      <c r="C13491" s="5">
        <v>7</v>
      </c>
      <c r="D13491" s="6">
        <v>15.33</v>
      </c>
      <c r="E13491" t="s">
        <v>17</v>
      </c>
    </row>
    <row r="13492" spans="1:5" x14ac:dyDescent="0.25">
      <c r="A13492" t="str">
        <f>HYPERLINK("https://www.773grp.com/globalSearch/SNJ54F153FK/page-1", "SNJ54F153FK")</f>
        <v>SNJ54F153FK</v>
      </c>
      <c r="B13492" s="3" t="s">
        <v>90</v>
      </c>
      <c r="C13492" s="5">
        <v>74</v>
      </c>
      <c r="D13492" s="6">
        <v>15.41</v>
      </c>
      <c r="E13492" t="s">
        <v>17</v>
      </c>
    </row>
    <row r="13493" spans="1:5" x14ac:dyDescent="0.25">
      <c r="A13493" t="str">
        <f>HYPERLINK("https://www.773grp.com/globalSearch/SN54F257J/page-1", "SN54F257J")</f>
        <v>SN54F257J</v>
      </c>
      <c r="B13493" s="3" t="s">
        <v>90</v>
      </c>
      <c r="C13493" s="5">
        <v>77</v>
      </c>
      <c r="D13493" s="6">
        <v>15.48</v>
      </c>
      <c r="E13493" t="s">
        <v>17</v>
      </c>
    </row>
    <row r="13494" spans="1:5" x14ac:dyDescent="0.25">
      <c r="A13494" t="str">
        <f>HYPERLINK("https://www.773grp.com/globalSearch/SN54LS253J/page-1", "SN54LS253J")</f>
        <v>SN54LS253J</v>
      </c>
      <c r="B13494" s="3" t="s">
        <v>90</v>
      </c>
      <c r="C13494" s="5">
        <v>10</v>
      </c>
      <c r="D13494" s="6">
        <v>15.53</v>
      </c>
      <c r="E13494" t="s">
        <v>17</v>
      </c>
    </row>
    <row r="13495" spans="1:5" x14ac:dyDescent="0.25">
      <c r="A13495" t="str">
        <f>HYPERLINK("https://www.773grp.com/globalSearch/CD54HC157F3A/page-1", "CD54HC157F3A")</f>
        <v>CD54HC157F3A</v>
      </c>
      <c r="B13495" s="3" t="s">
        <v>90</v>
      </c>
      <c r="C13495" s="5">
        <v>5</v>
      </c>
      <c r="D13495" s="6">
        <v>15.81</v>
      </c>
      <c r="E13495" t="s">
        <v>17</v>
      </c>
    </row>
    <row r="13496" spans="1:5" x14ac:dyDescent="0.25">
      <c r="A13496" t="str">
        <f>HYPERLINK("https://www.773grp.com/globalSearch/8413401EA/page-1", "8413401EA")</f>
        <v>8413401EA</v>
      </c>
      <c r="B13496" s="3" t="s">
        <v>90</v>
      </c>
      <c r="C13496" s="5">
        <v>108</v>
      </c>
      <c r="D13496" s="6">
        <v>15.83</v>
      </c>
      <c r="E13496" t="s">
        <v>17</v>
      </c>
    </row>
    <row r="13497" spans="1:5" x14ac:dyDescent="0.25">
      <c r="A13497" t="str">
        <f>HYPERLINK("https://www.773grp.com/globalSearch/5962-8868201EA/page-1", "5962-8868201EA")</f>
        <v>5962-8868201EA</v>
      </c>
      <c r="B13497" s="3" t="s">
        <v>90</v>
      </c>
      <c r="C13497" s="5">
        <v>321</v>
      </c>
      <c r="D13497" s="6">
        <v>15.95</v>
      </c>
      <c r="E13497" t="s">
        <v>17</v>
      </c>
    </row>
    <row r="13498" spans="1:5" x14ac:dyDescent="0.25">
      <c r="A13498" t="str">
        <f>HYPERLINK("https://www.773grp.com/globalSearch/SNJ54HC253J/page-1", "SNJ54HC253J")</f>
        <v>SNJ54HC253J</v>
      </c>
      <c r="B13498" s="3" t="s">
        <v>90</v>
      </c>
      <c r="C13498" s="5">
        <v>144</v>
      </c>
      <c r="D13498" s="6">
        <v>15.95</v>
      </c>
      <c r="E13498" t="s">
        <v>17</v>
      </c>
    </row>
    <row r="13499" spans="1:5" x14ac:dyDescent="0.25">
      <c r="A13499" t="str">
        <f>HYPERLINK("https://www.773grp.com/globalSearch/SN54LS257BJ/page-1", "SN54LS257BJ")</f>
        <v>SN54LS257BJ</v>
      </c>
      <c r="B13499" s="3" t="s">
        <v>90</v>
      </c>
      <c r="C13499" s="5">
        <v>6</v>
      </c>
      <c r="D13499" s="6">
        <v>16</v>
      </c>
      <c r="E13499" t="s">
        <v>17</v>
      </c>
    </row>
    <row r="13500" spans="1:5" x14ac:dyDescent="0.25">
      <c r="A13500" t="str">
        <f>HYPERLINK("https://www.773grp.com/globalSearch/5962-8606101EA/page-1", "5962-8606101EA")</f>
        <v>5962-8606101EA</v>
      </c>
      <c r="B13500" s="3" t="s">
        <v>90</v>
      </c>
      <c r="C13500" s="5">
        <v>85</v>
      </c>
      <c r="D13500" s="6">
        <v>16.11</v>
      </c>
      <c r="E13500" t="s">
        <v>17</v>
      </c>
    </row>
    <row r="13501" spans="1:5" x14ac:dyDescent="0.25">
      <c r="A13501" t="str">
        <f>HYPERLINK("https://www.773grp.com/globalSearch/7603701FA/page-1", "7603701FA")</f>
        <v>7603701FA</v>
      </c>
      <c r="B13501" s="3" t="s">
        <v>90</v>
      </c>
      <c r="C13501" s="5">
        <v>27</v>
      </c>
      <c r="D13501" s="6">
        <v>16.149999999999999</v>
      </c>
      <c r="E13501" t="s">
        <v>17</v>
      </c>
    </row>
    <row r="13502" spans="1:5" x14ac:dyDescent="0.25">
      <c r="A13502" t="str">
        <f>HYPERLINK("https://www.773grp.com/globalSearch/SNJ54LS257BW/page-1", "SNJ54LS257BW")</f>
        <v>SNJ54LS257BW</v>
      </c>
      <c r="B13502" s="3" t="s">
        <v>90</v>
      </c>
      <c r="C13502" s="5">
        <v>22</v>
      </c>
      <c r="D13502" s="6">
        <v>16.149999999999999</v>
      </c>
      <c r="E13502" t="s">
        <v>17</v>
      </c>
    </row>
    <row r="13503" spans="1:5" x14ac:dyDescent="0.25">
      <c r="A13503" t="str">
        <f>HYPERLINK("https://www.773grp.com/globalSearch/8512501EA/page-1", "8512501EA")</f>
        <v>8512501EA</v>
      </c>
      <c r="B13503" s="3" t="s">
        <v>90</v>
      </c>
      <c r="C13503" s="5">
        <v>6</v>
      </c>
      <c r="D13503" s="6">
        <v>16.399999999999999</v>
      </c>
      <c r="E13503" t="s">
        <v>17</v>
      </c>
    </row>
    <row r="13504" spans="1:5" x14ac:dyDescent="0.25">
      <c r="A13504" t="str">
        <f>HYPERLINK("https://www.773grp.com/globalSearch/5962-8686901EA/page-1", "5962-8686901EA")</f>
        <v>5962-8686901EA</v>
      </c>
      <c r="B13504" s="3" t="s">
        <v>90</v>
      </c>
      <c r="C13504" s="5">
        <v>205</v>
      </c>
      <c r="D13504" s="6">
        <v>16.43</v>
      </c>
      <c r="E13504" t="s">
        <v>17</v>
      </c>
    </row>
    <row r="13505" spans="1:5" x14ac:dyDescent="0.25">
      <c r="A13505" t="str">
        <f>HYPERLINK("https://www.773grp.com/globalSearch/SNJ54ALS157AJ/page-1", "SNJ54ALS157AJ")</f>
        <v>SNJ54ALS157AJ</v>
      </c>
      <c r="B13505" s="3" t="s">
        <v>90</v>
      </c>
      <c r="C13505" s="5">
        <v>43</v>
      </c>
      <c r="D13505" s="6">
        <v>16.43</v>
      </c>
      <c r="E13505" t="s">
        <v>17</v>
      </c>
    </row>
    <row r="13506" spans="1:5" x14ac:dyDescent="0.25">
      <c r="A13506" t="str">
        <f>HYPERLINK("https://www.773grp.com/globalSearch/7601701EA/page-1", "7601701EA")</f>
        <v>7601701EA</v>
      </c>
      <c r="B13506" s="3" t="s">
        <v>90</v>
      </c>
      <c r="C13506" s="5">
        <v>351</v>
      </c>
      <c r="D13506" s="6">
        <v>17.079999999999998</v>
      </c>
      <c r="E13506" t="s">
        <v>17</v>
      </c>
    </row>
    <row r="13507" spans="1:5" x14ac:dyDescent="0.25">
      <c r="A13507" t="str">
        <f>HYPERLINK("https://www.773grp.com/globalSearch/SNJ54LS253J/page-1", "SNJ54LS253J")</f>
        <v>SNJ54LS253J</v>
      </c>
      <c r="B13507" s="3" t="s">
        <v>90</v>
      </c>
      <c r="C13507" s="5">
        <v>2</v>
      </c>
      <c r="D13507" s="6">
        <v>17.079999999999998</v>
      </c>
      <c r="E13507" t="s">
        <v>17</v>
      </c>
    </row>
    <row r="13508" spans="1:5" x14ac:dyDescent="0.25">
      <c r="A13508" t="str">
        <f>HYPERLINK("https://www.773grp.com/globalSearch/JM38510-30906BFA/page-1", "JM38510-30906BFA")</f>
        <v>JM38510-30906BFA</v>
      </c>
      <c r="B13508" s="3" t="s">
        <v>90</v>
      </c>
      <c r="C13508" s="5">
        <v>172</v>
      </c>
      <c r="D13508" s="6">
        <v>17.64</v>
      </c>
      <c r="E13508" t="s">
        <v>17</v>
      </c>
    </row>
    <row r="13509" spans="1:5" x14ac:dyDescent="0.25">
      <c r="A13509" t="str">
        <f>HYPERLINK("https://www.773grp.com/globalSearch/SNJ54ALS251J/page-1", "SNJ54ALS251J")</f>
        <v>SNJ54ALS251J</v>
      </c>
      <c r="B13509" s="3" t="s">
        <v>90</v>
      </c>
      <c r="C13509" s="5">
        <v>84</v>
      </c>
      <c r="D13509" s="6">
        <v>18.09</v>
      </c>
      <c r="E13509" t="s">
        <v>17</v>
      </c>
    </row>
    <row r="13510" spans="1:5" x14ac:dyDescent="0.25">
      <c r="A13510" t="str">
        <f>HYPERLINK("https://www.773grp.com/globalSearch/8509701EA/page-1", "8509701EA")</f>
        <v>8509701EA</v>
      </c>
      <c r="B13510" s="3" t="s">
        <v>90</v>
      </c>
      <c r="C13510" s="5">
        <v>183</v>
      </c>
      <c r="D13510" s="6">
        <v>18.309999999999999</v>
      </c>
      <c r="E13510" t="s">
        <v>17</v>
      </c>
    </row>
    <row r="13511" spans="1:5" x14ac:dyDescent="0.25">
      <c r="A13511" t="str">
        <f>HYPERLINK("https://www.773grp.com/globalSearch/SN74LS355N/page-1", "SN74LS355N")</f>
        <v>SN74LS355N</v>
      </c>
      <c r="B13511" s="3" t="s">
        <v>90</v>
      </c>
      <c r="C13511" s="5">
        <v>2750</v>
      </c>
      <c r="D13511" s="6">
        <v>18.559999999999999</v>
      </c>
      <c r="E13511" t="s">
        <v>17</v>
      </c>
    </row>
    <row r="13512" spans="1:5" x14ac:dyDescent="0.25">
      <c r="A13512" t="str">
        <f>HYPERLINK("https://www.773grp.com/globalSearch/8509601EA/page-1", "8509601EA")</f>
        <v>8509601EA</v>
      </c>
      <c r="B13512" s="3" t="s">
        <v>90</v>
      </c>
      <c r="C13512" s="5">
        <v>513</v>
      </c>
      <c r="D13512" s="6">
        <v>18.600000000000001</v>
      </c>
      <c r="E13512" t="s">
        <v>17</v>
      </c>
    </row>
    <row r="13513" spans="1:5" x14ac:dyDescent="0.25">
      <c r="A13513" t="str">
        <f>HYPERLINK("https://www.773grp.com/globalSearch/CD54AC257F3A/page-1", "CD54AC257F3A")</f>
        <v>CD54AC257F3A</v>
      </c>
      <c r="B13513" s="3" t="s">
        <v>90</v>
      </c>
      <c r="C13513" s="5">
        <v>115</v>
      </c>
      <c r="D13513" s="6">
        <v>18.649999999999999</v>
      </c>
      <c r="E13513" t="s">
        <v>17</v>
      </c>
    </row>
    <row r="13514" spans="1:5" x14ac:dyDescent="0.25">
      <c r="A13514" t="str">
        <f>HYPERLINK("https://www.773grp.com/globalSearch/JM38510-30903BFA/page-1", "JM38510-30903BFA")</f>
        <v>JM38510-30903BFA</v>
      </c>
      <c r="B13514" s="3" t="s">
        <v>90</v>
      </c>
      <c r="C13514" s="5">
        <v>3</v>
      </c>
      <c r="D13514" s="6">
        <v>19.149999999999999</v>
      </c>
      <c r="E13514" t="s">
        <v>17</v>
      </c>
    </row>
    <row r="13515" spans="1:5" x14ac:dyDescent="0.25">
      <c r="A13515" t="str">
        <f>HYPERLINK("https://www.773grp.com/globalSearch/SN74LS355DW/page-1", "SN74LS355DW")</f>
        <v>SN74LS355DW</v>
      </c>
      <c r="B13515" s="3" t="s">
        <v>90</v>
      </c>
      <c r="C13515" s="5">
        <v>541</v>
      </c>
      <c r="D13515" s="6">
        <v>19.690000000000001</v>
      </c>
      <c r="E13515" t="s">
        <v>17</v>
      </c>
    </row>
    <row r="13516" spans="1:5" x14ac:dyDescent="0.25">
      <c r="A13516" t="str">
        <f>HYPERLINK("https://www.773grp.com/globalSearch/SN54157J/page-1", "SN54157J")</f>
        <v>SN54157J</v>
      </c>
      <c r="B13516" s="3" t="s">
        <v>90</v>
      </c>
      <c r="C13516" s="5">
        <v>10</v>
      </c>
      <c r="D13516" s="6">
        <v>19.96</v>
      </c>
      <c r="E13516" t="s">
        <v>17</v>
      </c>
    </row>
    <row r="13517" spans="1:5" x14ac:dyDescent="0.25">
      <c r="A13517" t="str">
        <f>HYPERLINK("https://www.773grp.com/globalSearch/7601001FA/page-1", "7601001FA")</f>
        <v>7601001FA</v>
      </c>
      <c r="B13517" s="3" t="s">
        <v>90</v>
      </c>
      <c r="C13517" s="5">
        <v>29</v>
      </c>
      <c r="D13517" s="6">
        <v>20.11</v>
      </c>
      <c r="E13517" t="s">
        <v>17</v>
      </c>
    </row>
    <row r="13518" spans="1:5" x14ac:dyDescent="0.25">
      <c r="A13518" t="str">
        <f>HYPERLINK("https://www.773grp.com/globalSearch/JM38510-30908BEA/page-1", "JM38510-30908BEA")</f>
        <v>JM38510-30908BEA</v>
      </c>
      <c r="B13518" s="3" t="s">
        <v>90</v>
      </c>
      <c r="C13518" s="5">
        <v>121</v>
      </c>
      <c r="D13518" s="6">
        <v>20.63</v>
      </c>
      <c r="E13518" t="s">
        <v>17</v>
      </c>
    </row>
    <row r="13519" spans="1:5" x14ac:dyDescent="0.25">
      <c r="A13519" t="str">
        <f>HYPERLINK("https://www.773grp.com/globalSearch/JM38510-30903B2A/page-1", "JM38510-30903B2A")</f>
        <v>JM38510-30903B2A</v>
      </c>
      <c r="B13519" s="3" t="s">
        <v>90</v>
      </c>
      <c r="C13519" s="5">
        <v>134</v>
      </c>
      <c r="D13519" s="6">
        <v>20.68</v>
      </c>
      <c r="E13519" t="s">
        <v>17</v>
      </c>
    </row>
    <row r="13520" spans="1:5" x14ac:dyDescent="0.25">
      <c r="A13520" t="str">
        <f>HYPERLINK("https://www.773grp.com/globalSearch/JM38510-30905BFA/page-1", "JM38510-30905BFA")</f>
        <v>JM38510-30905BFA</v>
      </c>
      <c r="B13520" s="3" t="s">
        <v>90</v>
      </c>
      <c r="C13520" s="5">
        <v>1460</v>
      </c>
      <c r="D13520" s="6">
        <v>20.81</v>
      </c>
      <c r="E13520" t="s">
        <v>17</v>
      </c>
    </row>
    <row r="13521" spans="1:5" x14ac:dyDescent="0.25">
      <c r="A13521" t="str">
        <f>HYPERLINK("https://www.773grp.com/globalSearch/CD54ACT257F3A/page-1", "CD54ACT257F3A")</f>
        <v>CD54ACT257F3A</v>
      </c>
      <c r="B13521" s="3" t="s">
        <v>90</v>
      </c>
      <c r="C13521" s="5">
        <v>1082</v>
      </c>
      <c r="D13521" s="6">
        <v>21.83</v>
      </c>
      <c r="E13521" t="s">
        <v>17</v>
      </c>
    </row>
    <row r="13522" spans="1:5" x14ac:dyDescent="0.25">
      <c r="A13522" t="str">
        <f>HYPERLINK("https://www.773grp.com/globalSearch/SN74AS250ANT/page-1", "SN74AS250ANT")</f>
        <v>SN74AS250ANT</v>
      </c>
      <c r="B13522" s="3" t="s">
        <v>90</v>
      </c>
      <c r="C13522" s="5">
        <v>70</v>
      </c>
      <c r="D13522" s="6">
        <v>21.94</v>
      </c>
      <c r="E13522" t="s">
        <v>17</v>
      </c>
    </row>
    <row r="13523" spans="1:5" x14ac:dyDescent="0.25">
      <c r="A13523" t="str">
        <f>HYPERLINK("https://www.773grp.com/globalSearch/SN54S157J/page-1", "SN54S157J")</f>
        <v>SN54S157J</v>
      </c>
      <c r="B13523" s="3" t="s">
        <v>90</v>
      </c>
      <c r="C13523" s="5">
        <v>282</v>
      </c>
      <c r="D13523" s="6">
        <v>23.63</v>
      </c>
      <c r="E13523" t="s">
        <v>17</v>
      </c>
    </row>
    <row r="13524" spans="1:5" x14ac:dyDescent="0.25">
      <c r="A13524" t="str">
        <f>HYPERLINK("https://www.773grp.com/globalSearch/SNJ54LS353FK/page-1", "SNJ54LS353FK")</f>
        <v>SNJ54LS353FK</v>
      </c>
      <c r="B13524" s="3" t="s">
        <v>90</v>
      </c>
      <c r="C13524" s="5">
        <v>438</v>
      </c>
      <c r="D13524" s="6">
        <v>24.05</v>
      </c>
      <c r="E13524" t="s">
        <v>17</v>
      </c>
    </row>
    <row r="13525" spans="1:5" x14ac:dyDescent="0.25">
      <c r="A13525" t="str">
        <f>HYPERLINK("https://www.773grp.com/globalSearch/SN74AS850AFN/page-1", "SN74AS850AFN")</f>
        <v>SN74AS850AFN</v>
      </c>
      <c r="B13525" s="3" t="s">
        <v>90</v>
      </c>
      <c r="C13525" s="5">
        <v>742</v>
      </c>
      <c r="D13525" s="6">
        <v>24.35</v>
      </c>
      <c r="E13525" t="s">
        <v>17</v>
      </c>
    </row>
    <row r="13526" spans="1:5" x14ac:dyDescent="0.25">
      <c r="A13526" t="str">
        <f>HYPERLINK("https://www.773grp.com/globalSearch/5962-9065201MEA/page-1", "5962-9065201MEA")</f>
        <v>5962-9065201MEA</v>
      </c>
      <c r="B13526" s="3" t="s">
        <v>90</v>
      </c>
      <c r="C13526" s="5">
        <v>3</v>
      </c>
      <c r="D13526" s="6">
        <v>24.78</v>
      </c>
      <c r="E13526" t="s">
        <v>17</v>
      </c>
    </row>
    <row r="13527" spans="1:5" x14ac:dyDescent="0.25">
      <c r="A13527" t="str">
        <f>HYPERLINK("https://www.773grp.com/globalSearch/CD54HCT151F3A/page-1", "CD54HCT151F3A")</f>
        <v>CD54HCT151F3A</v>
      </c>
      <c r="B13527" s="3" t="s">
        <v>90</v>
      </c>
      <c r="C13527" s="5">
        <v>38</v>
      </c>
      <c r="D13527" s="6">
        <v>24.78</v>
      </c>
      <c r="E13527" t="s">
        <v>17</v>
      </c>
    </row>
    <row r="13528" spans="1:5" x14ac:dyDescent="0.25">
      <c r="A13528" t="str">
        <f>HYPERLINK("https://www.773grp.com/globalSearch/5962-9050501MEA/page-1", "5962-9050501MEA")</f>
        <v>5962-9050501MEA</v>
      </c>
      <c r="B13528" s="3" t="s">
        <v>90</v>
      </c>
      <c r="C13528" s="5">
        <v>28</v>
      </c>
      <c r="D13528" s="6">
        <v>25.09</v>
      </c>
      <c r="E13528" t="s">
        <v>17</v>
      </c>
    </row>
    <row r="13529" spans="1:5" x14ac:dyDescent="0.25">
      <c r="A13529" t="str">
        <f>HYPERLINK("https://www.773grp.com/globalSearch/5962-9763201Q2A/page-1", "5962-9763201Q2A")</f>
        <v>5962-9763201Q2A</v>
      </c>
      <c r="B13529" s="3" t="s">
        <v>90</v>
      </c>
      <c r="C13529" s="5">
        <v>21</v>
      </c>
      <c r="D13529" s="6">
        <v>25.11</v>
      </c>
      <c r="E13529" t="s">
        <v>17</v>
      </c>
    </row>
    <row r="13530" spans="1:5" x14ac:dyDescent="0.25">
      <c r="A13530" t="str">
        <f>HYPERLINK("https://www.773grp.com/globalSearch/JM38510-30904BFA/page-1", "JM38510-30904BFA")</f>
        <v>JM38510-30904BFA</v>
      </c>
      <c r="B13530" s="3" t="s">
        <v>90</v>
      </c>
      <c r="C13530" s="5">
        <v>322</v>
      </c>
      <c r="D13530" s="6">
        <v>25.15</v>
      </c>
      <c r="E13530" t="s">
        <v>17</v>
      </c>
    </row>
    <row r="13531" spans="1:5" x14ac:dyDescent="0.25">
      <c r="A13531" t="str">
        <f>HYPERLINK("https://www.773grp.com/globalSearch/5962-9070201MEA/page-1", "5962-9070201MEA")</f>
        <v>5962-9070201MEA</v>
      </c>
      <c r="B13531" s="3" t="s">
        <v>90</v>
      </c>
      <c r="C13531" s="5">
        <v>67</v>
      </c>
      <c r="D13531" s="6">
        <v>25.26</v>
      </c>
      <c r="E13531" t="s">
        <v>17</v>
      </c>
    </row>
    <row r="13532" spans="1:5" x14ac:dyDescent="0.25">
      <c r="A13532" t="str">
        <f>HYPERLINK("https://www.773grp.com/globalSearch/CD54HCT157F3A/page-1", "CD54HCT157F3A")</f>
        <v>CD54HCT157F3A</v>
      </c>
      <c r="B13532" s="3" t="s">
        <v>90</v>
      </c>
      <c r="C13532" s="5">
        <v>13</v>
      </c>
      <c r="D13532" s="6">
        <v>25.26</v>
      </c>
      <c r="E13532" t="s">
        <v>17</v>
      </c>
    </row>
    <row r="13533" spans="1:5" x14ac:dyDescent="0.25">
      <c r="A13533" t="str">
        <f>HYPERLINK("https://www.773grp.com/globalSearch/CD54HC354F3A/page-1", "CD54HC354F3A")</f>
        <v>CD54HC354F3A</v>
      </c>
      <c r="B13533" s="3" t="s">
        <v>90</v>
      </c>
      <c r="C13533" s="5">
        <v>50</v>
      </c>
      <c r="D13533" s="6">
        <v>25.28</v>
      </c>
      <c r="E13533" t="s">
        <v>17</v>
      </c>
    </row>
    <row r="13534" spans="1:5" x14ac:dyDescent="0.25">
      <c r="A13534" t="str">
        <f>HYPERLINK("https://www.773grp.com/globalSearch/SNJ54LS153FK/page-1", "SNJ54LS153FK")</f>
        <v>SNJ54LS153FK</v>
      </c>
      <c r="B13534" s="3" t="s">
        <v>90</v>
      </c>
      <c r="C13534" s="5">
        <v>67</v>
      </c>
      <c r="D13534" s="6">
        <v>26.61</v>
      </c>
      <c r="E13534" t="s">
        <v>17</v>
      </c>
    </row>
    <row r="13535" spans="1:5" x14ac:dyDescent="0.25">
      <c r="A13535" t="str">
        <f>HYPERLINK("https://www.773grp.com/globalSearch/7601701FA/page-1", "7601701FA")</f>
        <v>7601701FA</v>
      </c>
      <c r="B13535" s="3" t="s">
        <v>90</v>
      </c>
      <c r="C13535" s="5">
        <v>17</v>
      </c>
      <c r="D13535" s="6">
        <v>27</v>
      </c>
      <c r="E13535" t="s">
        <v>17</v>
      </c>
    </row>
    <row r="13536" spans="1:5" x14ac:dyDescent="0.25">
      <c r="A13536" t="str">
        <f>HYPERLINK("https://www.773grp.com/globalSearch/JM38510-30902B2A/page-1", "JM38510-30902B2A")</f>
        <v>JM38510-30902B2A</v>
      </c>
      <c r="B13536" s="3" t="s">
        <v>90</v>
      </c>
      <c r="C13536" s="5">
        <v>27</v>
      </c>
      <c r="D13536" s="6">
        <v>27.04</v>
      </c>
      <c r="E13536" t="s">
        <v>17</v>
      </c>
    </row>
    <row r="13537" spans="1:5" x14ac:dyDescent="0.25">
      <c r="A13537" t="str">
        <f>HYPERLINK("https://www.773grp.com/globalSearch/SNJ54S157J/page-1", "SNJ54S157J")</f>
        <v>SNJ54S157J</v>
      </c>
      <c r="B13537" s="3" t="str">
        <f>HYPERLINK("https://www.773grp.com/manufacturer/texas-instruments?pageNo=95", "Texas Instruments")</f>
        <v>Texas Instruments</v>
      </c>
      <c r="C13537" s="5">
        <v>4</v>
      </c>
      <c r="D13537" s="6">
        <v>27.96</v>
      </c>
      <c r="E13537" t="s">
        <v>17</v>
      </c>
    </row>
    <row r="13538" spans="1:5" x14ac:dyDescent="0.25">
      <c r="A13538" t="str">
        <f>HYPERLINK("https://www.773grp.com/globalSearch/76002012A/page-1", "76002012A")</f>
        <v>76002012A</v>
      </c>
      <c r="B13538" s="3" t="str">
        <f>HYPERLINK("https://www.773grp.com/manufacturer/texas-instruments?pageNo=113", "Texas Instruments")</f>
        <v>Texas Instruments</v>
      </c>
      <c r="C13538" s="5">
        <v>227</v>
      </c>
      <c r="D13538" s="6">
        <v>28.01</v>
      </c>
      <c r="E13538" t="s">
        <v>17</v>
      </c>
    </row>
    <row r="13539" spans="1:5" x14ac:dyDescent="0.25">
      <c r="A13539" t="str">
        <f>HYPERLINK("https://www.773grp.com/globalSearch/CD40257BF3A/page-1", "CD40257BF3A")</f>
        <v>CD40257BF3A</v>
      </c>
      <c r="B13539" s="3" t="str">
        <f>HYPERLINK("https://www.773grp.com/manufacturer/texas-instruments?pageNo=533", "Texas Instruments")</f>
        <v>Texas Instruments</v>
      </c>
      <c r="C13539" s="5">
        <v>123</v>
      </c>
      <c r="D13539" s="6">
        <v>30.68</v>
      </c>
      <c r="E13539" t="s">
        <v>17</v>
      </c>
    </row>
    <row r="13540" spans="1:5" x14ac:dyDescent="0.25">
      <c r="A13540" t="str">
        <f>HYPERLINK("https://www.773grp.com/globalSearch/SNJ54ALS257FK/page-1", "SNJ54ALS257FK")</f>
        <v>SNJ54ALS257FK</v>
      </c>
      <c r="B13540" s="3" t="str">
        <f>HYPERLINK("https://www.773grp.com/manufacturer/texas-instruments?pageNo=629", "Texas Instruments")</f>
        <v>Texas Instruments</v>
      </c>
      <c r="C13540" s="5">
        <v>3</v>
      </c>
      <c r="D13540" s="6">
        <v>30.94</v>
      </c>
      <c r="E13540" t="s">
        <v>17</v>
      </c>
    </row>
    <row r="13541" spans="1:5" x14ac:dyDescent="0.25">
      <c r="A13541" t="str">
        <f>HYPERLINK("https://www.773grp.com/globalSearch/8002301EA/page-1", "8002301EA")</f>
        <v>8002301EA</v>
      </c>
      <c r="B13541" s="3" t="str">
        <f>HYPERLINK("https://www.773grp.com/manufacturer/texas-instruments?pageNo=680", "Texas Instruments")</f>
        <v>Texas Instruments</v>
      </c>
      <c r="C13541" s="5">
        <v>33</v>
      </c>
      <c r="D13541" s="6">
        <v>31.39</v>
      </c>
      <c r="E13541" t="s">
        <v>17</v>
      </c>
    </row>
    <row r="13542" spans="1:5" x14ac:dyDescent="0.25">
      <c r="A13542" t="str">
        <f>HYPERLINK("https://www.773grp.com/globalSearch/SNJ54S258J/page-1", "SNJ54S258J")</f>
        <v>SNJ54S258J</v>
      </c>
      <c r="B13542" s="3" t="str">
        <f>HYPERLINK("https://www.773grp.com/manufacturer/texas-instruments?pageNo=683", "Texas Instruments")</f>
        <v>Texas Instruments</v>
      </c>
      <c r="C13542" s="5">
        <v>17</v>
      </c>
      <c r="D13542" s="6">
        <v>31.39</v>
      </c>
      <c r="E13542" t="s">
        <v>17</v>
      </c>
    </row>
    <row r="13543" spans="1:5" x14ac:dyDescent="0.25">
      <c r="A13543" t="str">
        <f>HYPERLINK("https://www.773grp.com/globalSearch/5962-8970801EA/page-1", "5962-8970801EA")</f>
        <v>5962-8970801EA</v>
      </c>
      <c r="B13543" s="3" t="str">
        <f>HYPERLINK("https://www.773grp.com/manufacturer/texas-instruments?pageNo=700", "Texas Instruments")</f>
        <v>Texas Instruments</v>
      </c>
      <c r="C13543" s="5">
        <v>315</v>
      </c>
      <c r="D13543" s="6">
        <v>31.61</v>
      </c>
      <c r="E13543" t="s">
        <v>17</v>
      </c>
    </row>
    <row r="13544" spans="1:5" x14ac:dyDescent="0.25">
      <c r="A13544" t="str">
        <f>HYPERLINK("https://www.773grp.com/globalSearch/5962-8970501EA/page-1", "5962-8970501EA")</f>
        <v>5962-8970501EA</v>
      </c>
      <c r="B13544" s="3" t="str">
        <f>HYPERLINK("https://www.773grp.com/manufacturer/texas-instruments?pageNo=703", "Texas Instruments")</f>
        <v>Texas Instruments</v>
      </c>
      <c r="C13544" s="5">
        <v>12</v>
      </c>
      <c r="D13544" s="6">
        <v>31.64</v>
      </c>
      <c r="E13544" t="s">
        <v>17</v>
      </c>
    </row>
    <row r="13545" spans="1:5" x14ac:dyDescent="0.25">
      <c r="A13545" t="str">
        <f>HYPERLINK("https://www.773grp.com/globalSearch/CD54HCT257F3A/page-1", "CD54HCT257F3A")</f>
        <v>CD54HCT257F3A</v>
      </c>
      <c r="B13545" s="3" t="str">
        <f>HYPERLINK("https://www.773grp.com/manufacturer/texas-instruments?pageNo=704", "Texas Instruments")</f>
        <v>Texas Instruments</v>
      </c>
      <c r="C13545" s="5">
        <v>423</v>
      </c>
      <c r="D13545" s="6">
        <v>31.64</v>
      </c>
      <c r="E13545" t="s">
        <v>17</v>
      </c>
    </row>
    <row r="13546" spans="1:5" x14ac:dyDescent="0.25">
      <c r="A13546" t="str">
        <f>HYPERLINK("https://www.773grp.com/globalSearch/8409301FA/page-1", "8409301FA")</f>
        <v>8409301FA</v>
      </c>
      <c r="B13546" s="3" t="str">
        <f>HYPERLINK("https://www.773grp.com/manufacturer/texas-instruments?pageNo=739", "Texas Instruments")</f>
        <v>Texas Instruments</v>
      </c>
      <c r="C13546" s="5">
        <v>25</v>
      </c>
      <c r="D13546" s="6">
        <v>31.81</v>
      </c>
      <c r="E13546" t="s">
        <v>17</v>
      </c>
    </row>
    <row r="13547" spans="1:5" x14ac:dyDescent="0.25">
      <c r="A13547" t="str">
        <f>HYPERLINK("https://www.773grp.com/globalSearch/5962-9764201Q2A/page-1", "5962-9764201Q2A")</f>
        <v>5962-9764201Q2A</v>
      </c>
      <c r="B13547" s="3" t="str">
        <f>HYPERLINK("https://www.773grp.com/manufacturer/texas-instruments?pageNo=819", "Texas Instruments")</f>
        <v>Texas Instruments</v>
      </c>
      <c r="C13547" s="5">
        <v>45</v>
      </c>
      <c r="D13547" s="6">
        <v>32.31</v>
      </c>
      <c r="E13547" t="s">
        <v>17</v>
      </c>
    </row>
    <row r="13548" spans="1:5" x14ac:dyDescent="0.25">
      <c r="A13548" t="str">
        <f>HYPERLINK("https://www.773grp.com/globalSearch/SNJ54AHC157FK/page-1", "SNJ54AHC157FK")</f>
        <v>SNJ54AHC157FK</v>
      </c>
      <c r="B13548" s="3" t="str">
        <f>HYPERLINK("https://www.773grp.com/manufacturer/texas-instruments?pageNo=823", "Texas Instruments")</f>
        <v>Texas Instruments</v>
      </c>
      <c r="C13548" s="5">
        <v>7</v>
      </c>
      <c r="D13548" s="6">
        <v>32.31</v>
      </c>
      <c r="E13548" t="s">
        <v>17</v>
      </c>
    </row>
    <row r="13549" spans="1:5" x14ac:dyDescent="0.25">
      <c r="A13549" t="str">
        <f>HYPERLINK("https://www.773grp.com/globalSearch/SNJ54S257J/page-1", "SNJ54S257J")</f>
        <v>SNJ54S257J</v>
      </c>
      <c r="B13549" s="3" t="str">
        <f>HYPERLINK("https://www.773grp.com/manufacturer/texas-instruments?pageNo=891", "Texas Instruments")</f>
        <v>Texas Instruments</v>
      </c>
      <c r="C13549" s="5">
        <v>14</v>
      </c>
      <c r="D13549" s="6">
        <v>32.909999999999997</v>
      </c>
      <c r="E13549" t="s">
        <v>17</v>
      </c>
    </row>
    <row r="13550" spans="1:5" x14ac:dyDescent="0.25">
      <c r="A13550" t="str">
        <f>HYPERLINK("https://www.773grp.com/globalSearch/SNJ54AHC157W/page-1", "SNJ54AHC157W")</f>
        <v>SNJ54AHC157W</v>
      </c>
      <c r="B13550" s="3" t="s">
        <v>90</v>
      </c>
      <c r="C13550" s="5">
        <v>43</v>
      </c>
      <c r="D13550" s="6">
        <v>33.590000000000003</v>
      </c>
      <c r="E13550" t="s">
        <v>17</v>
      </c>
    </row>
    <row r="13551" spans="1:5" x14ac:dyDescent="0.25">
      <c r="A13551" t="str">
        <f>HYPERLINK("https://www.773grp.com/globalSearch/SN54150J/page-1", "SN54150J")</f>
        <v>SN54150J</v>
      </c>
      <c r="B13551" s="3" t="s">
        <v>90</v>
      </c>
      <c r="C13551" s="5">
        <v>74</v>
      </c>
      <c r="D13551" s="6">
        <v>34.31</v>
      </c>
      <c r="E13551" t="s">
        <v>17</v>
      </c>
    </row>
    <row r="13552" spans="1:5" x14ac:dyDescent="0.25">
      <c r="A13552" t="str">
        <f>HYPERLINK("https://www.773grp.com/globalSearch/JM38510-07902BFA/page-1", "JM38510-07902BFA")</f>
        <v>JM38510-07902BFA</v>
      </c>
      <c r="B13552" s="3" t="s">
        <v>90</v>
      </c>
      <c r="C13552" s="5">
        <v>45</v>
      </c>
      <c r="D13552" s="6">
        <v>34.46</v>
      </c>
      <c r="E13552" t="s">
        <v>17</v>
      </c>
    </row>
    <row r="13553" spans="1:5" x14ac:dyDescent="0.25">
      <c r="A13553" t="str">
        <f>HYPERLINK("https://www.773grp.com/globalSearch/7600201FA/page-1", "7600201FA")</f>
        <v>7600201FA</v>
      </c>
      <c r="B13553" s="3" t="s">
        <v>90</v>
      </c>
      <c r="C13553" s="5">
        <v>1</v>
      </c>
      <c r="D13553" s="6">
        <v>36.08</v>
      </c>
      <c r="E13553" t="s">
        <v>17</v>
      </c>
    </row>
    <row r="13554" spans="1:5" x14ac:dyDescent="0.25">
      <c r="A13554" t="str">
        <f>HYPERLINK("https://www.773grp.com/globalSearch/SNJ54LS157W/page-1", "SNJ54LS157W")</f>
        <v>SNJ54LS157W</v>
      </c>
      <c r="B13554" s="3" t="s">
        <v>90</v>
      </c>
      <c r="C13554" s="5">
        <v>31</v>
      </c>
      <c r="D13554" s="6">
        <v>36.08</v>
      </c>
      <c r="E13554" t="s">
        <v>17</v>
      </c>
    </row>
    <row r="13555" spans="1:5" x14ac:dyDescent="0.25">
      <c r="A13555" t="str">
        <f>HYPERLINK("https://www.773grp.com/globalSearch/SNJ54ALS857JT/page-1", "SNJ54ALS857JT")</f>
        <v>SNJ54ALS857JT</v>
      </c>
      <c r="B13555" s="3" t="s">
        <v>90</v>
      </c>
      <c r="C13555" s="5">
        <v>61</v>
      </c>
      <c r="D13555" s="6">
        <v>36.409999999999997</v>
      </c>
      <c r="E13555" t="s">
        <v>17</v>
      </c>
    </row>
    <row r="13556" spans="1:5" x14ac:dyDescent="0.25">
      <c r="A13556" t="str">
        <f>HYPERLINK("https://www.773grp.com/globalSearch/5962-9558001QJA/page-1", "5962-9558001QJA")</f>
        <v>5962-9558001QJA</v>
      </c>
      <c r="B13556" s="3" t="s">
        <v>90</v>
      </c>
      <c r="C13556" s="5">
        <v>56</v>
      </c>
      <c r="D13556" s="6">
        <v>36.49</v>
      </c>
      <c r="E13556" t="s">
        <v>17</v>
      </c>
    </row>
    <row r="13557" spans="1:5" x14ac:dyDescent="0.25">
      <c r="A13557" t="str">
        <f>HYPERLINK("https://www.773grp.com/globalSearch/SNJ54ALS151W/page-1", "SNJ54ALS151W")</f>
        <v>SNJ54ALS151W</v>
      </c>
      <c r="B13557" s="3" t="s">
        <v>90</v>
      </c>
      <c r="C13557" s="5">
        <v>65</v>
      </c>
      <c r="D13557" s="6">
        <v>37.090000000000003</v>
      </c>
      <c r="E13557" t="s">
        <v>17</v>
      </c>
    </row>
    <row r="13558" spans="1:5" x14ac:dyDescent="0.25">
      <c r="A13558" t="str">
        <f>HYPERLINK("https://www.773grp.com/globalSearch/7601601FA/page-1", "7601601FA")</f>
        <v>7601601FA</v>
      </c>
      <c r="B13558" s="3" t="s">
        <v>90</v>
      </c>
      <c r="C13558" s="5">
        <v>4</v>
      </c>
      <c r="D13558" s="6">
        <v>37.76</v>
      </c>
      <c r="E13558" t="s">
        <v>17</v>
      </c>
    </row>
    <row r="13559" spans="1:5" x14ac:dyDescent="0.25">
      <c r="A13559" t="str">
        <f>HYPERLINK("https://www.773grp.com/globalSearch/SNJ54LS251W/page-1", "SNJ54LS251W")</f>
        <v>SNJ54LS251W</v>
      </c>
      <c r="B13559" s="3" t="s">
        <v>90</v>
      </c>
      <c r="C13559" s="5">
        <v>6</v>
      </c>
      <c r="D13559" s="6">
        <v>37.76</v>
      </c>
      <c r="E13559" t="s">
        <v>17</v>
      </c>
    </row>
    <row r="13560" spans="1:5" x14ac:dyDescent="0.25">
      <c r="A13560" t="str">
        <f>HYPERLINK("https://www.773grp.com/globalSearch/76038012A/page-1", "76038012A")</f>
        <v>76038012A</v>
      </c>
      <c r="B13560" s="3" t="s">
        <v>90</v>
      </c>
      <c r="C13560" s="5">
        <v>104</v>
      </c>
      <c r="D13560" s="6">
        <v>38.229999999999997</v>
      </c>
      <c r="E13560" t="s">
        <v>17</v>
      </c>
    </row>
    <row r="13561" spans="1:5" x14ac:dyDescent="0.25">
      <c r="A13561" t="str">
        <f>HYPERLINK("https://www.773grp.com/globalSearch/SNJ54LS258BFK/page-1", "SNJ54LS258BFK")</f>
        <v>SNJ54LS258BFK</v>
      </c>
      <c r="B13561" s="3" t="s">
        <v>90</v>
      </c>
      <c r="C13561" s="5">
        <v>29</v>
      </c>
      <c r="D13561" s="6">
        <v>38.229999999999997</v>
      </c>
      <c r="E13561" t="s">
        <v>17</v>
      </c>
    </row>
    <row r="13562" spans="1:5" x14ac:dyDescent="0.25">
      <c r="A13562" t="str">
        <f>HYPERLINK("https://www.773grp.com/globalSearch/SNJ54LS257BFK/page-1", "SNJ54LS257BFK")</f>
        <v>SNJ54LS257BFK</v>
      </c>
      <c r="B13562" s="3" t="s">
        <v>90</v>
      </c>
      <c r="C13562" s="5">
        <v>41</v>
      </c>
      <c r="D13562" s="6">
        <v>40.21</v>
      </c>
      <c r="E13562" t="s">
        <v>17</v>
      </c>
    </row>
    <row r="13563" spans="1:5" x14ac:dyDescent="0.25">
      <c r="A13563" t="str">
        <f>HYPERLINK("https://www.773grp.com/globalSearch/SN74LS604N/page-1", "SN74LS604N")</f>
        <v>SN74LS604N</v>
      </c>
      <c r="B13563" s="3" t="s">
        <v>90</v>
      </c>
      <c r="C13563" s="5">
        <v>2504</v>
      </c>
      <c r="D13563" s="6">
        <v>40.590000000000003</v>
      </c>
      <c r="E13563" t="s">
        <v>17</v>
      </c>
    </row>
    <row r="13564" spans="1:5" x14ac:dyDescent="0.25">
      <c r="A13564" t="str">
        <f>HYPERLINK("https://www.773grp.com/globalSearch/SNJ54HC157W/page-1", "SNJ54HC157W")</f>
        <v>SNJ54HC157W</v>
      </c>
      <c r="B13564" s="3" t="s">
        <v>90</v>
      </c>
      <c r="C13564" s="5">
        <v>3</v>
      </c>
      <c r="D13564" s="6">
        <v>41.4</v>
      </c>
      <c r="E13564" t="s">
        <v>17</v>
      </c>
    </row>
    <row r="13565" spans="1:5" x14ac:dyDescent="0.25">
      <c r="A13565" t="str">
        <f>HYPERLINK("https://www.773grp.com/globalSearch/76010012A/page-1", "76010012A")</f>
        <v>76010012A</v>
      </c>
      <c r="B13565" s="3" t="s">
        <v>90</v>
      </c>
      <c r="C13565" s="5">
        <v>83</v>
      </c>
      <c r="D13565" s="6">
        <v>41.51</v>
      </c>
      <c r="E13565" t="s">
        <v>17</v>
      </c>
    </row>
    <row r="13566" spans="1:5" x14ac:dyDescent="0.25">
      <c r="A13566" t="str">
        <f>HYPERLINK("https://www.773grp.com/globalSearch/SNJ54LS151FK/page-1", "SNJ54LS151FK")</f>
        <v>SNJ54LS151FK</v>
      </c>
      <c r="B13566" s="3" t="s">
        <v>90</v>
      </c>
      <c r="C13566" s="5">
        <v>733</v>
      </c>
      <c r="D13566" s="6">
        <v>41.51</v>
      </c>
      <c r="E13566" t="s">
        <v>17</v>
      </c>
    </row>
    <row r="13567" spans="1:5" x14ac:dyDescent="0.25">
      <c r="A13567" t="str">
        <f>HYPERLINK("https://www.773grp.com/globalSearch/SNJ54LS258BW/page-1", "SNJ54LS258BW")</f>
        <v>SNJ54LS258BW</v>
      </c>
      <c r="B13567" s="3" t="s">
        <v>90</v>
      </c>
      <c r="C13567" s="5">
        <v>96</v>
      </c>
      <c r="D13567" s="6">
        <v>41.63</v>
      </c>
      <c r="E13567" t="s">
        <v>17</v>
      </c>
    </row>
    <row r="13568" spans="1:5" x14ac:dyDescent="0.25">
      <c r="A13568" t="str">
        <f>HYPERLINK("https://www.773grp.com/globalSearch/JM38510-30906B2A/page-1", "JM38510-30906B2A")</f>
        <v>JM38510-30906B2A</v>
      </c>
      <c r="B13568" s="3" t="s">
        <v>90</v>
      </c>
      <c r="C13568" s="5">
        <v>19</v>
      </c>
      <c r="D13568" s="6">
        <v>43.79</v>
      </c>
      <c r="E13568" t="s">
        <v>17</v>
      </c>
    </row>
    <row r="13569" spans="1:5" x14ac:dyDescent="0.25">
      <c r="A13569" t="str">
        <f>HYPERLINK("https://www.773grp.com/globalSearch/SNJ54ALS153W/page-1", "SNJ54ALS153W")</f>
        <v>SNJ54ALS153W</v>
      </c>
      <c r="B13569" s="3" t="s">
        <v>90</v>
      </c>
      <c r="C13569" s="5">
        <v>82</v>
      </c>
      <c r="D13569" s="6">
        <v>43.79</v>
      </c>
      <c r="E13569" t="s">
        <v>17</v>
      </c>
    </row>
    <row r="13570" spans="1:5" x14ac:dyDescent="0.25">
      <c r="A13570" t="str">
        <f>HYPERLINK("https://www.773grp.com/globalSearch/5962-86869012A/page-1", "5962-86869012A")</f>
        <v>5962-86869012A</v>
      </c>
      <c r="B13570" s="3" t="s">
        <v>90</v>
      </c>
      <c r="C13570" s="5">
        <v>374</v>
      </c>
      <c r="D13570" s="6">
        <v>44.98</v>
      </c>
      <c r="E13570" t="s">
        <v>17</v>
      </c>
    </row>
    <row r="13571" spans="1:5" x14ac:dyDescent="0.25">
      <c r="A13571" t="str">
        <f>HYPERLINK("https://www.773grp.com/globalSearch/JM38510-30908BFA/page-1", "JM38510-30908BFA")</f>
        <v>JM38510-30908BFA</v>
      </c>
      <c r="B13571" s="3" t="s">
        <v>90</v>
      </c>
      <c r="C13571" s="5">
        <v>176</v>
      </c>
      <c r="D13571" s="6">
        <v>45.95</v>
      </c>
      <c r="E13571" t="s">
        <v>17</v>
      </c>
    </row>
    <row r="13572" spans="1:5" x14ac:dyDescent="0.25">
      <c r="A13572" t="str">
        <f>HYPERLINK("https://www.773grp.com/globalSearch/5962-88682012A/page-1", "5962-88682012A")</f>
        <v>5962-88682012A</v>
      </c>
      <c r="B13572" s="3" t="s">
        <v>90</v>
      </c>
      <c r="C13572" s="5">
        <v>48</v>
      </c>
      <c r="D13572" s="6">
        <v>50.76</v>
      </c>
      <c r="E13572" t="s">
        <v>17</v>
      </c>
    </row>
    <row r="13573" spans="1:5" x14ac:dyDescent="0.25">
      <c r="A13573" t="str">
        <f>HYPERLINK("https://www.773grp.com/globalSearch/SNJ54HC253FK/page-1", "SNJ54HC253FK")</f>
        <v>SNJ54HC253FK</v>
      </c>
      <c r="B13573" s="3" t="s">
        <v>90</v>
      </c>
      <c r="C13573" s="5">
        <v>12</v>
      </c>
      <c r="D13573" s="6">
        <v>50.76</v>
      </c>
      <c r="E13573" t="s">
        <v>17</v>
      </c>
    </row>
    <row r="13574" spans="1:5" x14ac:dyDescent="0.25">
      <c r="A13574" t="str">
        <f>HYPERLINK("https://www.773grp.com/globalSearch/5962-86061012A/page-1", "5962-86061012A")</f>
        <v>5962-86061012A</v>
      </c>
      <c r="B13574" s="3" t="s">
        <v>90</v>
      </c>
      <c r="C13574" s="5">
        <v>1166</v>
      </c>
      <c r="D13574" s="6">
        <v>50.93</v>
      </c>
      <c r="E13574" t="s">
        <v>17</v>
      </c>
    </row>
    <row r="13575" spans="1:5" x14ac:dyDescent="0.25">
      <c r="A13575" t="str">
        <f>HYPERLINK("https://www.773grp.com/globalSearch/SNJ54HC157FK/page-1", "SNJ54HC157FK")</f>
        <v>SNJ54HC157FK</v>
      </c>
      <c r="B13575" s="3" t="s">
        <v>90</v>
      </c>
      <c r="C13575" s="5">
        <v>131</v>
      </c>
      <c r="D13575" s="6">
        <v>50.93</v>
      </c>
      <c r="E13575" t="s">
        <v>17</v>
      </c>
    </row>
    <row r="13576" spans="1:5" x14ac:dyDescent="0.25">
      <c r="A13576" t="str">
        <f>HYPERLINK("https://www.773grp.com/globalSearch/JM38510-07903BFA/page-1", "JM38510-07903BFA")</f>
        <v>JM38510-07903BFA</v>
      </c>
      <c r="B13576" s="3" t="s">
        <v>90</v>
      </c>
      <c r="C13576" s="5">
        <v>51</v>
      </c>
      <c r="D13576" s="6">
        <v>50.96</v>
      </c>
      <c r="E13576" t="s">
        <v>17</v>
      </c>
    </row>
    <row r="13577" spans="1:5" x14ac:dyDescent="0.25">
      <c r="A13577" t="str">
        <f>HYPERLINK("https://www.773grp.com/globalSearch/JM38510-07901BFA/page-1", "JM38510-07901BFA")</f>
        <v>JM38510-07901BFA</v>
      </c>
      <c r="B13577" s="3" t="s">
        <v>90</v>
      </c>
      <c r="C13577" s="5">
        <v>856</v>
      </c>
      <c r="D13577" s="6">
        <v>51</v>
      </c>
      <c r="E13577" t="s">
        <v>17</v>
      </c>
    </row>
    <row r="13578" spans="1:5" x14ac:dyDescent="0.25">
      <c r="A13578" t="str">
        <f>HYPERLINK("https://www.773grp.com/globalSearch/84093012A/page-1", "84093012A")</f>
        <v>84093012A</v>
      </c>
      <c r="B13578" s="3" t="s">
        <v>90</v>
      </c>
      <c r="C13578" s="5">
        <v>703</v>
      </c>
      <c r="D13578" s="6">
        <v>51.21</v>
      </c>
      <c r="E13578" t="s">
        <v>17</v>
      </c>
    </row>
    <row r="13579" spans="1:5" x14ac:dyDescent="0.25">
      <c r="A13579" t="str">
        <f>HYPERLINK("https://www.773grp.com/globalSearch/SNJ54HC153FK/page-1", "SNJ54HC153FK")</f>
        <v>SNJ54HC153FK</v>
      </c>
      <c r="B13579" s="3" t="s">
        <v>90</v>
      </c>
      <c r="C13579" s="5">
        <v>159</v>
      </c>
      <c r="D13579" s="6">
        <v>51.21</v>
      </c>
      <c r="E13579" t="s">
        <v>17</v>
      </c>
    </row>
    <row r="13580" spans="1:5" x14ac:dyDescent="0.25">
      <c r="A13580" t="str">
        <f>HYPERLINK("https://www.773grp.com/globalSearch/SNJ54HC251FK/page-1", "SNJ54HC251FK")</f>
        <v>SNJ54HC251FK</v>
      </c>
      <c r="B13580" s="3" t="s">
        <v>90</v>
      </c>
      <c r="C13580" s="5">
        <v>19</v>
      </c>
      <c r="D13580" s="6">
        <v>52.54</v>
      </c>
      <c r="E13580" t="s">
        <v>17</v>
      </c>
    </row>
    <row r="13581" spans="1:5" x14ac:dyDescent="0.25">
      <c r="A13581" t="str">
        <f>HYPERLINK("https://www.773grp.com/globalSearch/SNJ54S157FK/page-1", "SNJ54S157FK")</f>
        <v>SNJ54S157FK</v>
      </c>
      <c r="B13581" s="3" t="s">
        <v>90</v>
      </c>
      <c r="C13581" s="5">
        <v>23</v>
      </c>
      <c r="D13581" s="6">
        <v>55.6</v>
      </c>
      <c r="E13581" t="s">
        <v>17</v>
      </c>
    </row>
    <row r="13582" spans="1:5" x14ac:dyDescent="0.25">
      <c r="A13582" t="str">
        <f>HYPERLINK("https://www.773grp.com/globalSearch/JM38510-07906BEA/page-1", "JM38510-07906BEA")</f>
        <v>JM38510-07906BEA</v>
      </c>
      <c r="B13582" s="3" t="s">
        <v>90</v>
      </c>
      <c r="C13582" s="5">
        <v>3</v>
      </c>
      <c r="D13582" s="6">
        <v>81.64</v>
      </c>
      <c r="E13582" t="s">
        <v>17</v>
      </c>
    </row>
    <row r="13583" spans="1:5" x14ac:dyDescent="0.25">
      <c r="A13583" t="str">
        <f>HYPERLINK("https://www.773grp.com/globalSearch/SN65HVD231DR/page-1", "SN65HVD231DR")</f>
        <v>SN65HVD231DR</v>
      </c>
      <c r="B13583" s="3" t="str">
        <f>HYPERLINK("https://www.773grp.com/manufacturer/texas-instruments?pageNo=14", "Texas Instruments")</f>
        <v>Texas Instruments</v>
      </c>
      <c r="C13583" s="5">
        <v>2236</v>
      </c>
      <c r="D13583" s="6">
        <v>4.2300000000000004</v>
      </c>
      <c r="E13583" t="s">
        <v>47</v>
      </c>
    </row>
    <row r="13584" spans="1:5" x14ac:dyDescent="0.25">
      <c r="A13584" t="str">
        <f>HYPERLINK("https://www.773grp.com/globalSearch/SN65HVD1050MDREP/page-1", "SN65HVD1050MDREP")</f>
        <v>SN65HVD1050MDREP</v>
      </c>
      <c r="B13584" s="3" t="str">
        <f>HYPERLINK("https://www.773grp.com/manufacturer/texas-instruments?pageNo=579", "Texas Instruments")</f>
        <v>Texas Instruments</v>
      </c>
      <c r="C13584" s="5">
        <v>2250</v>
      </c>
      <c r="D13584" s="6">
        <v>3.94</v>
      </c>
      <c r="E13584" t="s">
        <v>47</v>
      </c>
    </row>
    <row r="13585" spans="1:5" x14ac:dyDescent="0.25">
      <c r="A13585" t="str">
        <f>HYPERLINK("https://www.773grp.com/globalSearch/SN65HVD232QDQ1/page-1", "SN65HVD232QDQ1")</f>
        <v>SN65HVD232QDQ1</v>
      </c>
      <c r="B13585" s="3" t="s">
        <v>90</v>
      </c>
      <c r="C13585" s="5">
        <v>1675</v>
      </c>
      <c r="D13585" s="6">
        <v>4.09</v>
      </c>
      <c r="E13585" t="s">
        <v>47</v>
      </c>
    </row>
    <row r="13586" spans="1:5" x14ac:dyDescent="0.25">
      <c r="A13586" t="str">
        <f>HYPERLINK("https://www.773grp.com/globalSearch/SN65HVD232QD/page-1", "SN65HVD232QD")</f>
        <v>SN65HVD232QD</v>
      </c>
      <c r="B13586" s="3" t="s">
        <v>90</v>
      </c>
      <c r="C13586" s="5">
        <v>423</v>
      </c>
      <c r="D13586" s="6">
        <v>4.6399999999999997</v>
      </c>
      <c r="E13586" t="s">
        <v>47</v>
      </c>
    </row>
    <row r="13587" spans="1:5" x14ac:dyDescent="0.25">
      <c r="A13587" t="str">
        <f>HYPERLINK("https://www.773grp.com/globalSearch/SN65HVD232QDR/page-1", "SN65HVD232QDR")</f>
        <v>SN65HVD232QDR</v>
      </c>
      <c r="B13587" s="3" t="s">
        <v>90</v>
      </c>
      <c r="C13587" s="5">
        <v>2473</v>
      </c>
      <c r="D13587" s="6">
        <v>4.6399999999999997</v>
      </c>
      <c r="E13587" t="s">
        <v>47</v>
      </c>
    </row>
    <row r="13588" spans="1:5" x14ac:dyDescent="0.25">
      <c r="A13588" t="str">
        <f>HYPERLINK("https://www.773grp.com/globalSearch/SN65HVD232QDRG4Q1/page-1", "SN65HVD232QDRG4Q1")</f>
        <v>SN65HVD232QDRG4Q1</v>
      </c>
      <c r="B13588" s="3" t="s">
        <v>90</v>
      </c>
      <c r="C13588" s="5">
        <v>5005</v>
      </c>
      <c r="D13588" s="6">
        <v>4.6900000000000004</v>
      </c>
      <c r="E13588" t="s">
        <v>47</v>
      </c>
    </row>
    <row r="13589" spans="1:5" x14ac:dyDescent="0.25">
      <c r="A13589" t="str">
        <f>HYPERLINK("https://www.773grp.com/globalSearch/SN65HVD251DR/page-1", "SN65HVD251DR")</f>
        <v>SN65HVD251DR</v>
      </c>
      <c r="B13589" s="3" t="s">
        <v>90</v>
      </c>
      <c r="C13589" s="5">
        <v>15000</v>
      </c>
      <c r="D13589" s="6">
        <v>4.74</v>
      </c>
      <c r="E13589" t="s">
        <v>47</v>
      </c>
    </row>
    <row r="13590" spans="1:5" x14ac:dyDescent="0.25">
      <c r="A13590" t="str">
        <f>HYPERLINK("https://www.773grp.com/globalSearch/SN65LBC031D/page-1", "SN65LBC031D")</f>
        <v>SN65LBC031D</v>
      </c>
      <c r="B13590" s="3" t="str">
        <f>HYPERLINK("https://www.773grp.com/manufacturer/texas-instruments?pageNo=219", "Texas Instruments")</f>
        <v>Texas Instruments</v>
      </c>
      <c r="C13590" s="5">
        <v>225</v>
      </c>
      <c r="D13590" s="6">
        <v>4.4400000000000004</v>
      </c>
      <c r="E13590" t="s">
        <v>47</v>
      </c>
    </row>
    <row r="13591" spans="1:5" x14ac:dyDescent="0.25">
      <c r="A13591" t="str">
        <f>HYPERLINK("https://www.773grp.com/globalSearch/SN65LBC031DG4/page-1", "SN65LBC031DG4")</f>
        <v>SN65LBC031DG4</v>
      </c>
      <c r="B13591" s="3" t="str">
        <f>HYPERLINK("https://www.773grp.com/manufacturer/texas-instruments?pageNo=220", "Texas Instruments")</f>
        <v>Texas Instruments</v>
      </c>
      <c r="C13591" s="5">
        <v>5398</v>
      </c>
      <c r="D13591" s="6">
        <v>4.4400000000000004</v>
      </c>
      <c r="E13591" t="s">
        <v>47</v>
      </c>
    </row>
    <row r="13592" spans="1:5" x14ac:dyDescent="0.25">
      <c r="A13592" t="str">
        <f>HYPERLINK("https://www.773grp.com/globalSearch/SN65LBC031DR/page-1", "SN65LBC031DR")</f>
        <v>SN65LBC031DR</v>
      </c>
      <c r="B13592" s="3" t="str">
        <f>HYPERLINK("https://www.773grp.com/manufacturer/texas-instruments?pageNo=221", "Texas Instruments")</f>
        <v>Texas Instruments</v>
      </c>
      <c r="C13592" s="5">
        <v>2575</v>
      </c>
      <c r="D13592" s="6">
        <v>4.4400000000000004</v>
      </c>
      <c r="E13592" t="s">
        <v>47</v>
      </c>
    </row>
    <row r="13593" spans="1:5" x14ac:dyDescent="0.25">
      <c r="A13593" t="str">
        <f>HYPERLINK("https://www.773grp.com/globalSearch/SN75LBC031D/page-1", "SN75LBC031D")</f>
        <v>SN75LBC031D</v>
      </c>
      <c r="B13593" s="3" t="str">
        <f>HYPERLINK("https://www.773grp.com/manufacturer/texas-instruments?pageNo=231", "Texas Instruments")</f>
        <v>Texas Instruments</v>
      </c>
      <c r="C13593" s="5">
        <v>146</v>
      </c>
      <c r="D13593" s="6">
        <v>4.4400000000000004</v>
      </c>
      <c r="E13593" t="s">
        <v>47</v>
      </c>
    </row>
    <row r="13594" spans="1:5" x14ac:dyDescent="0.25">
      <c r="A13594" t="str">
        <f>HYPERLINK("https://www.773grp.com/globalSearch/SN75LBC031DR/page-1", "SN75LBC031DR")</f>
        <v>SN75LBC031DR</v>
      </c>
      <c r="B13594" s="3" t="str">
        <f>HYPERLINK("https://www.773grp.com/manufacturer/texas-instruments?pageNo=232", "Texas Instruments")</f>
        <v>Texas Instruments</v>
      </c>
      <c r="C13594" s="5">
        <v>12500</v>
      </c>
      <c r="D13594" s="6">
        <v>4.4400000000000004</v>
      </c>
      <c r="E13594" t="s">
        <v>47</v>
      </c>
    </row>
    <row r="13595" spans="1:5" x14ac:dyDescent="0.25">
      <c r="A13595" t="str">
        <f>HYPERLINK("https://www.773grp.com/globalSearch/SN65LBC031QD/page-1", "SN65LBC031QD")</f>
        <v>SN65LBC031QD</v>
      </c>
      <c r="B13595" s="3" t="s">
        <v>90</v>
      </c>
      <c r="C13595" s="5">
        <v>128</v>
      </c>
      <c r="D13595" s="6">
        <v>5.49</v>
      </c>
      <c r="E13595" t="s">
        <v>47</v>
      </c>
    </row>
    <row r="13596" spans="1:5" x14ac:dyDescent="0.25">
      <c r="A13596" t="str">
        <f>HYPERLINK("https://www.773grp.com/globalSearch/SN65LBC031QDG4/page-1", "SN65LBC031QDG4")</f>
        <v>SN65LBC031QDG4</v>
      </c>
      <c r="B13596" s="3" t="s">
        <v>90</v>
      </c>
      <c r="C13596" s="5">
        <v>2003</v>
      </c>
      <c r="D13596" s="6">
        <v>5.49</v>
      </c>
      <c r="E13596" t="s">
        <v>47</v>
      </c>
    </row>
    <row r="13597" spans="1:5" x14ac:dyDescent="0.25">
      <c r="A13597" t="str">
        <f>HYPERLINK("https://www.773grp.com/globalSearch/SN65LBC031QDR/page-1", "SN65LBC031QDR")</f>
        <v>SN65LBC031QDR</v>
      </c>
      <c r="B13597" s="3" t="s">
        <v>90</v>
      </c>
      <c r="C13597" s="5">
        <v>4328</v>
      </c>
      <c r="D13597" s="6">
        <v>5.49</v>
      </c>
      <c r="E13597" t="s">
        <v>47</v>
      </c>
    </row>
    <row r="13598" spans="1:5" x14ac:dyDescent="0.25">
      <c r="A13598" t="str">
        <f>HYPERLINK("https://www.773grp.com/globalSearch/TPS2371DR/page-1", "TPS2371DR")</f>
        <v>TPS2371DR</v>
      </c>
      <c r="B13598" s="3" t="s">
        <v>90</v>
      </c>
      <c r="C13598" s="5">
        <v>14900</v>
      </c>
      <c r="D13598" s="6">
        <v>5.63</v>
      </c>
      <c r="E13598" t="s">
        <v>47</v>
      </c>
    </row>
    <row r="13599" spans="1:5" x14ac:dyDescent="0.25">
      <c r="A13599" t="str">
        <f>HYPERLINK("https://www.773grp.com/globalSearch/TPS2371D/page-1", "TPS2371D")</f>
        <v>TPS2371D</v>
      </c>
      <c r="B13599" s="3" t="str">
        <f>HYPERLINK("https://www.773grp.com/manufacturer/texas-instruments?pageNo=529", "Texas Instruments")</f>
        <v>Texas Instruments</v>
      </c>
      <c r="C13599" s="5">
        <v>4577</v>
      </c>
      <c r="D13599" s="6">
        <v>6.75</v>
      </c>
      <c r="E13599" t="s">
        <v>47</v>
      </c>
    </row>
    <row r="13600" spans="1:5" x14ac:dyDescent="0.25">
      <c r="A13600" t="str">
        <f>HYPERLINK("https://www.773grp.com/globalSearch/TPS2371PW/page-1", "TPS2371PW")</f>
        <v>TPS2371PW</v>
      </c>
      <c r="B13600" s="3" t="str">
        <f>HYPERLINK("https://www.773grp.com/manufacturer/texas-instruments?pageNo=530", "Texas Instruments")</f>
        <v>Texas Instruments</v>
      </c>
      <c r="C13600" s="5">
        <v>14391</v>
      </c>
      <c r="D13600" s="6">
        <v>6.75</v>
      </c>
      <c r="E13600" t="s">
        <v>47</v>
      </c>
    </row>
    <row r="13601" spans="1:5" x14ac:dyDescent="0.25">
      <c r="A13601" t="str">
        <f>HYPERLINK("https://www.773grp.com/globalSearch/SN65HVD230MDREP/page-1", "SN65HVD230MDREP")</f>
        <v>SN65HVD230MDREP</v>
      </c>
      <c r="B13601" s="3" t="s">
        <v>90</v>
      </c>
      <c r="C13601" s="5">
        <v>4600</v>
      </c>
      <c r="D13601" s="6">
        <v>7.31</v>
      </c>
      <c r="E13601" t="s">
        <v>47</v>
      </c>
    </row>
    <row r="13602" spans="1:5" x14ac:dyDescent="0.25">
      <c r="A13602" t="str">
        <f>HYPERLINK("https://www.773grp.com/globalSearch/PCM9211PT/page-1", "PCM9211PT")</f>
        <v>PCM9211PT</v>
      </c>
      <c r="B13602" s="3" t="s">
        <v>90</v>
      </c>
      <c r="C13602" s="5">
        <v>1750</v>
      </c>
      <c r="D13602" s="6">
        <v>7.6</v>
      </c>
      <c r="E13602" t="s">
        <v>47</v>
      </c>
    </row>
    <row r="13603" spans="1:5" x14ac:dyDescent="0.25">
      <c r="A13603" t="str">
        <f>HYPERLINK("https://www.773grp.com/globalSearch/TLK1221RHAT/page-1", "TLK1221RHAT")</f>
        <v>TLK1221RHAT</v>
      </c>
      <c r="B13603" s="3" t="s">
        <v>90</v>
      </c>
      <c r="C13603" s="5">
        <v>4585</v>
      </c>
      <c r="D13603" s="6">
        <v>9.41</v>
      </c>
      <c r="E13603" t="s">
        <v>47</v>
      </c>
    </row>
    <row r="13604" spans="1:5" x14ac:dyDescent="0.25">
      <c r="A13604" t="str">
        <f>HYPERLINK("https://www.773grp.com/globalSearch/TLK2201ARCPR/page-1", "TLK2201ARCPR")</f>
        <v>TLK2201ARCPR</v>
      </c>
      <c r="B13604" s="3" t="s">
        <v>90</v>
      </c>
      <c r="C13604" s="5">
        <v>19000</v>
      </c>
      <c r="D13604" s="6">
        <v>10.55</v>
      </c>
      <c r="E13604" t="s">
        <v>47</v>
      </c>
    </row>
    <row r="13605" spans="1:5" x14ac:dyDescent="0.25">
      <c r="A13605" t="str">
        <f>HYPERLINK("https://www.773grp.com/globalSearch/TLK1201ARCPR/page-1", "TLK1201ARCPR")</f>
        <v>TLK1201ARCPR</v>
      </c>
      <c r="B13605" s="3" t="s">
        <v>90</v>
      </c>
      <c r="C13605" s="5">
        <v>3000</v>
      </c>
      <c r="D13605" s="6">
        <v>10.98</v>
      </c>
      <c r="E13605" t="s">
        <v>47</v>
      </c>
    </row>
    <row r="13606" spans="1:5" x14ac:dyDescent="0.25">
      <c r="A13606" t="str">
        <f>HYPERLINK("https://www.773grp.com/globalSearch/TLK2201AJRGQE/page-1", "TLK2201AJRGQE")</f>
        <v>TLK2201AJRGQE</v>
      </c>
      <c r="B13606" s="3" t="s">
        <v>90</v>
      </c>
      <c r="C13606" s="5">
        <v>52666</v>
      </c>
      <c r="D13606" s="6">
        <v>11.1</v>
      </c>
      <c r="E13606" t="s">
        <v>47</v>
      </c>
    </row>
    <row r="13607" spans="1:5" x14ac:dyDescent="0.25">
      <c r="A13607" t="str">
        <f>HYPERLINK("https://www.773grp.com/globalSearch/TLK2201AJRZQE/page-1", "TLK2201AJRZQE")</f>
        <v>TLK2201AJRZQE</v>
      </c>
      <c r="B13607" s="3" t="s">
        <v>90</v>
      </c>
      <c r="C13607" s="5">
        <v>960</v>
      </c>
      <c r="D13607" s="6">
        <v>11.1</v>
      </c>
      <c r="E13607" t="s">
        <v>47</v>
      </c>
    </row>
    <row r="13608" spans="1:5" x14ac:dyDescent="0.25">
      <c r="A13608" t="str">
        <f>HYPERLINK("https://www.773grp.com/globalSearch/TLK2201ARCP/page-1", "TLK2201ARCP")</f>
        <v>TLK2201ARCP</v>
      </c>
      <c r="B13608" s="3" t="str">
        <f>HYPERLINK("https://www.773grp.com/manufacturer/texas-instruments?pageNo=306", "Texas Instruments")</f>
        <v>Texas Instruments</v>
      </c>
      <c r="C13608" s="5">
        <v>28030</v>
      </c>
      <c r="D13608" s="6">
        <v>12.66</v>
      </c>
      <c r="E13608" t="s">
        <v>47</v>
      </c>
    </row>
    <row r="13609" spans="1:5" x14ac:dyDescent="0.25">
      <c r="A13609" t="str">
        <f>HYPERLINK("https://www.773grp.com/globalSearch/TNETE2201BPHD/page-1", "TNETE2201BPHD")</f>
        <v>TNETE2201BPHD</v>
      </c>
      <c r="B13609" s="3" t="str">
        <f>HYPERLINK("https://www.773grp.com/manufacturer/texas-instruments?pageNo=309", "Texas Instruments")</f>
        <v>Texas Instruments</v>
      </c>
      <c r="C13609" s="5">
        <v>8205</v>
      </c>
      <c r="D13609" s="6">
        <v>12.66</v>
      </c>
      <c r="E13609" t="s">
        <v>47</v>
      </c>
    </row>
    <row r="13610" spans="1:5" x14ac:dyDescent="0.25">
      <c r="A13610" t="str">
        <f>HYPERLINK("https://www.773grp.com/globalSearch/TNETE2201BPJD/page-1", "TNETE2201BPJD")</f>
        <v>TNETE2201BPJD</v>
      </c>
      <c r="B13610" s="3" t="str">
        <f>HYPERLINK("https://www.773grp.com/manufacturer/texas-instruments?pageNo=310", "Texas Instruments")</f>
        <v>Texas Instruments</v>
      </c>
      <c r="C13610" s="5">
        <v>23778</v>
      </c>
      <c r="D13610" s="6">
        <v>12.66</v>
      </c>
      <c r="E13610" t="s">
        <v>47</v>
      </c>
    </row>
    <row r="13611" spans="1:5" x14ac:dyDescent="0.25">
      <c r="A13611" t="str">
        <f>HYPERLINK("https://www.773grp.com/globalSearch/TNETE2201BPJW/page-1", "TNETE2201BPJW")</f>
        <v>TNETE2201BPJW</v>
      </c>
      <c r="B13611" s="3" t="str">
        <f>HYPERLINK("https://www.773grp.com/manufacturer/texas-instruments?pageNo=311", "Texas Instruments")</f>
        <v>Texas Instruments</v>
      </c>
      <c r="C13611" s="5">
        <v>38560</v>
      </c>
      <c r="D13611" s="6">
        <v>12.66</v>
      </c>
      <c r="E13611" t="s">
        <v>47</v>
      </c>
    </row>
    <row r="13612" spans="1:5" x14ac:dyDescent="0.25">
      <c r="A13612" t="str">
        <f>HYPERLINK("https://www.773grp.com/globalSearch/TLK1201ARCP/page-1", "TLK1201ARCP")</f>
        <v>TLK1201ARCP</v>
      </c>
      <c r="B13612" s="3" t="str">
        <f>HYPERLINK("https://www.773grp.com/manufacturer/texas-instruments?pageNo=579", "Texas Instruments")</f>
        <v>Texas Instruments</v>
      </c>
      <c r="C13612" s="5">
        <v>1869</v>
      </c>
      <c r="D13612" s="6">
        <v>13.21</v>
      </c>
      <c r="E13612" t="s">
        <v>47</v>
      </c>
    </row>
    <row r="13613" spans="1:5" x14ac:dyDescent="0.25">
      <c r="A13613" t="str">
        <f>HYPERLINK("https://www.773grp.com/globalSearch/TLK1201RCP/page-1", "TLK1201RCP")</f>
        <v>TLK1201RCP</v>
      </c>
      <c r="B13613" s="3" t="s">
        <v>90</v>
      </c>
      <c r="C13613" s="5">
        <v>4498</v>
      </c>
      <c r="D13613" s="6">
        <v>14.63</v>
      </c>
      <c r="E13613" t="s">
        <v>47</v>
      </c>
    </row>
    <row r="13614" spans="1:5" x14ac:dyDescent="0.25">
      <c r="A13614" t="str">
        <f>HYPERLINK("https://www.773grp.com/globalSearch/TLK2201JRGQE/page-1", "TLK2201JRGQE")</f>
        <v>TLK2201JRGQE</v>
      </c>
      <c r="B13614" s="3" t="s">
        <v>90</v>
      </c>
      <c r="C13614" s="5">
        <v>96281</v>
      </c>
      <c r="D13614" s="6">
        <v>14.63</v>
      </c>
      <c r="E13614" t="s">
        <v>47</v>
      </c>
    </row>
    <row r="13615" spans="1:5" x14ac:dyDescent="0.25">
      <c r="A13615" t="str">
        <f>HYPERLINK("https://www.773grp.com/globalSearch/TLK2201AIRCP/page-1", "TLK2201AIRCP")</f>
        <v>TLK2201AIRCP</v>
      </c>
      <c r="B13615" s="3" t="s">
        <v>90</v>
      </c>
      <c r="C13615" s="5">
        <v>19988</v>
      </c>
      <c r="D13615" s="6">
        <v>14.76</v>
      </c>
      <c r="E13615" t="s">
        <v>47</v>
      </c>
    </row>
    <row r="13616" spans="1:5" x14ac:dyDescent="0.25">
      <c r="A13616" t="str">
        <f>HYPERLINK("https://www.773grp.com/globalSearch/TLK2201BRCP/page-1", "TLK2201BRCP")</f>
        <v>TLK2201BRCP</v>
      </c>
      <c r="B13616" s="3" t="s">
        <v>90</v>
      </c>
      <c r="C13616" s="5">
        <v>166</v>
      </c>
      <c r="D13616" s="6">
        <v>15.19</v>
      </c>
      <c r="E13616" t="s">
        <v>47</v>
      </c>
    </row>
    <row r="13617" spans="1:5" x14ac:dyDescent="0.25">
      <c r="A13617" t="str">
        <f>HYPERLINK("https://www.773grp.com/globalSearch/TLK1201AIRCP/page-1", "TLK1201AIRCP")</f>
        <v>TLK1201AIRCP</v>
      </c>
      <c r="B13617" s="3" t="s">
        <v>90</v>
      </c>
      <c r="C13617" s="5">
        <v>361</v>
      </c>
      <c r="D13617" s="6">
        <v>15.48</v>
      </c>
      <c r="E13617" t="s">
        <v>47</v>
      </c>
    </row>
    <row r="13618" spans="1:5" x14ac:dyDescent="0.25">
      <c r="A13618" t="str">
        <f>HYPERLINK("https://www.773grp.com/globalSearch/TNETE2101PZ/page-1", "TNETE2101PZ")</f>
        <v>TNETE2101PZ</v>
      </c>
      <c r="B13618" s="3" t="s">
        <v>90</v>
      </c>
      <c r="C13618" s="5">
        <v>1607</v>
      </c>
      <c r="D13618" s="6">
        <v>16.59</v>
      </c>
      <c r="E13618" t="s">
        <v>47</v>
      </c>
    </row>
    <row r="13619" spans="1:5" x14ac:dyDescent="0.25">
      <c r="A13619" t="str">
        <f>HYPERLINK("https://www.773grp.com/globalSearch/TLK1211RCP/page-1", "TLK1211RCP")</f>
        <v>TLK1211RCP</v>
      </c>
      <c r="B13619" s="3" t="s">
        <v>90</v>
      </c>
      <c r="C13619" s="5">
        <v>5</v>
      </c>
      <c r="D13619" s="6">
        <v>16.88</v>
      </c>
      <c r="E13619" t="s">
        <v>47</v>
      </c>
    </row>
    <row r="13620" spans="1:5" x14ac:dyDescent="0.25">
      <c r="A13620" t="str">
        <f>HYPERLINK("https://www.773grp.com/globalSearch/TLK1201IRCP/page-1", "TLK1201IRCP")</f>
        <v>TLK1201IRCP</v>
      </c>
      <c r="B13620" s="3" t="s">
        <v>90</v>
      </c>
      <c r="C13620" s="5">
        <v>6588</v>
      </c>
      <c r="D13620" s="6">
        <v>17.59</v>
      </c>
      <c r="E13620" t="s">
        <v>47</v>
      </c>
    </row>
    <row r="13621" spans="1:5" x14ac:dyDescent="0.25">
      <c r="A13621" t="str">
        <f>HYPERLINK("https://www.773grp.com/globalSearch/TLK2201RCP/page-1", "TLK2201RCP")</f>
        <v>TLK2201RCP</v>
      </c>
      <c r="B13621" s="3" t="s">
        <v>90</v>
      </c>
      <c r="C13621" s="5">
        <v>14993</v>
      </c>
      <c r="D13621" s="6">
        <v>17.59</v>
      </c>
      <c r="E13621" t="s">
        <v>47</v>
      </c>
    </row>
    <row r="13622" spans="1:5" x14ac:dyDescent="0.25">
      <c r="A13622" t="str">
        <f>HYPERLINK("https://www.773grp.com/globalSearch/TLK2201RCPG4/page-1", "TLK2201RCPG4")</f>
        <v>TLK2201RCPG4</v>
      </c>
      <c r="B13622" s="3" t="s">
        <v>90</v>
      </c>
      <c r="C13622" s="5">
        <v>3154</v>
      </c>
      <c r="D13622" s="6">
        <v>17.59</v>
      </c>
      <c r="E13622" t="s">
        <v>47</v>
      </c>
    </row>
    <row r="13623" spans="1:5" x14ac:dyDescent="0.25">
      <c r="A13623" t="str">
        <f>HYPERLINK("https://www.773grp.com/globalSearch/TLK2201BIRCP/page-1", "TLK2201BIRCP")</f>
        <v>TLK2201BIRCP</v>
      </c>
      <c r="B13623" s="3" t="s">
        <v>90</v>
      </c>
      <c r="C13623" s="5">
        <v>2920</v>
      </c>
      <c r="D13623" s="6">
        <v>17.73</v>
      </c>
      <c r="E13623" t="s">
        <v>47</v>
      </c>
    </row>
    <row r="13624" spans="1:5" x14ac:dyDescent="0.25">
      <c r="A13624" t="str">
        <f>HYPERLINK("https://www.773grp.com/globalSearch/TLK2201IRCP/page-1", "TLK2201IRCP")</f>
        <v>TLK2201IRCP</v>
      </c>
      <c r="B13624" s="3" t="s">
        <v>90</v>
      </c>
      <c r="C13624" s="5">
        <v>37990</v>
      </c>
      <c r="D13624" s="6">
        <v>20.54</v>
      </c>
      <c r="E13624" t="s">
        <v>47</v>
      </c>
    </row>
    <row r="13625" spans="1:5" x14ac:dyDescent="0.25">
      <c r="A13625" t="str">
        <f>HYPERLINK("https://www.773grp.com/globalSearch/TMS38054PBGL/page-1", "TMS38054PBGL")</f>
        <v>TMS38054PBGL</v>
      </c>
      <c r="B13625" s="3" t="s">
        <v>90</v>
      </c>
      <c r="C13625" s="5">
        <v>114</v>
      </c>
      <c r="D13625" s="6">
        <v>24.34</v>
      </c>
      <c r="E13625" t="s">
        <v>47</v>
      </c>
    </row>
    <row r="13626" spans="1:5" x14ac:dyDescent="0.25">
      <c r="A13626" t="str">
        <f>HYPERLINK("https://www.773grp.com/globalSearch/TNETE2004PAC/page-1", "TNETE2004PAC")</f>
        <v>TNETE2004PAC</v>
      </c>
      <c r="B13626" s="3" t="s">
        <v>90</v>
      </c>
      <c r="C13626" s="5">
        <v>4249</v>
      </c>
      <c r="D13626" s="6">
        <v>24.98</v>
      </c>
      <c r="E13626" t="s">
        <v>47</v>
      </c>
    </row>
    <row r="13627" spans="1:5" x14ac:dyDescent="0.25">
      <c r="A13627" t="str">
        <f>HYPERLINK("https://www.773grp.com/globalSearch/TNETE2201APHD/page-1", "TNETE2201APHD")</f>
        <v>TNETE2201APHD</v>
      </c>
      <c r="B13627" s="3" t="str">
        <f>HYPERLINK("https://www.773grp.com/manufacturer/texas-instruments?pageNo=58", "Texas Instruments")</f>
        <v>Texas Instruments</v>
      </c>
      <c r="C13627" s="5">
        <v>9196</v>
      </c>
      <c r="D13627" s="6">
        <v>27.73</v>
      </c>
      <c r="E13627" t="s">
        <v>47</v>
      </c>
    </row>
    <row r="13628" spans="1:5" x14ac:dyDescent="0.25">
      <c r="A13628" t="str">
        <f>HYPERLINK("https://www.773grp.com/globalSearch/TMS38054PAH/page-1", "TMS38054PAH")</f>
        <v>TMS38054PAH</v>
      </c>
      <c r="B13628" s="3" t="str">
        <f>HYPERLINK("https://www.773grp.com/manufacturer/texas-instruments?pageNo=225", "Texas Instruments")</f>
        <v>Texas Instruments</v>
      </c>
      <c r="C13628" s="5">
        <v>117</v>
      </c>
      <c r="D13628" s="6">
        <v>28.44</v>
      </c>
      <c r="E13628" t="s">
        <v>47</v>
      </c>
    </row>
    <row r="13629" spans="1:5" x14ac:dyDescent="0.25">
      <c r="A13629" t="str">
        <f>HYPERLINK("https://www.773grp.com/globalSearch/TMS38054FNL/page-1", "TMS38054FNL")</f>
        <v>TMS38054FNL</v>
      </c>
      <c r="B13629" s="3" t="str">
        <f>HYPERLINK("https://www.773grp.com/manufacturer/texas-instruments?pageNo=536", "Texas Instruments")</f>
        <v>Texas Instruments</v>
      </c>
      <c r="C13629" s="5">
        <v>853</v>
      </c>
      <c r="D13629" s="6">
        <v>30.68</v>
      </c>
      <c r="E13629" t="s">
        <v>47</v>
      </c>
    </row>
    <row r="13630" spans="1:5" x14ac:dyDescent="0.25">
      <c r="A13630" t="str">
        <f>HYPERLINK("https://www.773grp.com/globalSearch/TNETE2008PBE/page-1", "TNETE2008PBE")</f>
        <v>TNETE2008PBE</v>
      </c>
      <c r="B13630" s="3" t="s">
        <v>90</v>
      </c>
      <c r="C13630" s="5">
        <v>1842</v>
      </c>
      <c r="D13630" s="6">
        <v>40.200000000000003</v>
      </c>
      <c r="E13630" t="s">
        <v>47</v>
      </c>
    </row>
    <row r="13631" spans="1:5" x14ac:dyDescent="0.25">
      <c r="A13631" t="str">
        <f>HYPERLINK("https://www.773grp.com/globalSearch/TNETE2201PJD/page-1", "TNETE2201PJD")</f>
        <v>TNETE2201PJD</v>
      </c>
      <c r="B13631" s="3" t="s">
        <v>90</v>
      </c>
      <c r="C13631" s="5">
        <v>121239</v>
      </c>
      <c r="D13631" s="6">
        <v>51.93</v>
      </c>
      <c r="E13631" t="s">
        <v>47</v>
      </c>
    </row>
    <row r="13632" spans="1:5" x14ac:dyDescent="0.25">
      <c r="A13632" t="str">
        <f>HYPERLINK("https://www.773grp.com/globalSearch/TLK2226GEA/page-1", "TLK2226GEA")</f>
        <v>TLK2226GEA</v>
      </c>
      <c r="B13632" s="3" t="s">
        <v>90</v>
      </c>
      <c r="C13632" s="5">
        <v>896</v>
      </c>
      <c r="D13632" s="6">
        <v>56.25</v>
      </c>
      <c r="E13632" t="s">
        <v>47</v>
      </c>
    </row>
    <row r="13633" spans="1:5" x14ac:dyDescent="0.25">
      <c r="A13633" t="str">
        <f>HYPERLINK("https://www.773grp.com/globalSearch/TLK2226ZEA/page-1", "TLK2226ZEA")</f>
        <v>TLK2226ZEA</v>
      </c>
      <c r="B13633" s="3" t="s">
        <v>90</v>
      </c>
      <c r="C13633" s="5">
        <v>533</v>
      </c>
      <c r="D13633" s="6">
        <v>56.25</v>
      </c>
      <c r="E13633" t="s">
        <v>47</v>
      </c>
    </row>
    <row r="13634" spans="1:5" x14ac:dyDescent="0.25">
      <c r="A13634" t="str">
        <f>HYPERLINK("https://www.773grp.com/globalSearch/TLK2208GPV/page-1", "TLK2208GPV")</f>
        <v>TLK2208GPV</v>
      </c>
      <c r="B13634" s="3" t="s">
        <v>90</v>
      </c>
      <c r="C13634" s="5">
        <v>37</v>
      </c>
      <c r="D13634" s="6">
        <v>84.38</v>
      </c>
      <c r="E13634" t="s">
        <v>47</v>
      </c>
    </row>
    <row r="13635" spans="1:5" x14ac:dyDescent="0.25">
      <c r="A13635" t="str">
        <f>HYPERLINK("https://www.773grp.com/globalSearch/TLK2208AGPV/page-1", "TLK2208AGPV")</f>
        <v>TLK2208AGPV</v>
      </c>
      <c r="B13635" s="3" t="s">
        <v>90</v>
      </c>
      <c r="C13635" s="5">
        <v>23939</v>
      </c>
      <c r="D13635" s="6">
        <v>88.6</v>
      </c>
      <c r="E13635" t="s">
        <v>47</v>
      </c>
    </row>
    <row r="13636" spans="1:5" x14ac:dyDescent="0.25">
      <c r="A13636" t="str">
        <f>HYPERLINK("https://www.773grp.com/globalSearch/TLK2208AZPV/page-1", "TLK2208AZPV")</f>
        <v>TLK2208AZPV</v>
      </c>
      <c r="B13636" s="3" t="s">
        <v>90</v>
      </c>
      <c r="C13636" s="5">
        <v>1134</v>
      </c>
      <c r="D13636" s="6">
        <v>88.6</v>
      </c>
      <c r="E13636" t="s">
        <v>47</v>
      </c>
    </row>
    <row r="13637" spans="1:5" x14ac:dyDescent="0.25">
      <c r="A13637" t="str">
        <f>HYPERLINK("https://www.773grp.com/globalSearch/TLK2208BGPV/page-1", "TLK2208BGPV")</f>
        <v>TLK2208BGPV</v>
      </c>
      <c r="B13637" s="3" t="s">
        <v>90</v>
      </c>
      <c r="C13637" s="5">
        <v>215</v>
      </c>
      <c r="D13637" s="6">
        <v>88.6</v>
      </c>
      <c r="E13637" t="s">
        <v>47</v>
      </c>
    </row>
    <row r="13638" spans="1:5" x14ac:dyDescent="0.25">
      <c r="A13638" t="str">
        <f>HYPERLINK("https://www.773grp.com/globalSearch/TLK2208BZPV/page-1", "TLK2208BZPV")</f>
        <v>TLK2208BZPV</v>
      </c>
      <c r="B13638" s="3" t="s">
        <v>90</v>
      </c>
      <c r="C13638" s="5">
        <v>1386</v>
      </c>
      <c r="D13638" s="6">
        <v>88.6</v>
      </c>
      <c r="E13638" t="s">
        <v>47</v>
      </c>
    </row>
    <row r="13639" spans="1:5" x14ac:dyDescent="0.25">
      <c r="A13639" t="str">
        <f>HYPERLINK("https://www.773grp.com/globalSearch/TLK2218GPV/page-1", "TLK2218GPV")</f>
        <v>TLK2218GPV</v>
      </c>
      <c r="B13639" s="3" t="s">
        <v>90</v>
      </c>
      <c r="C13639" s="5">
        <v>7223</v>
      </c>
      <c r="D13639" s="6">
        <v>98.44</v>
      </c>
      <c r="E13639" t="s">
        <v>47</v>
      </c>
    </row>
    <row r="13640" spans="1:5" x14ac:dyDescent="0.25">
      <c r="A13640" t="str">
        <f>HYPERLINK("https://www.773grp.com/globalSearch/TLK2218ZPV/page-1", "TLK2218ZPV")</f>
        <v>TLK2218ZPV</v>
      </c>
      <c r="B13640" s="3" t="s">
        <v>90</v>
      </c>
      <c r="C13640" s="5">
        <v>839</v>
      </c>
      <c r="D13640" s="6">
        <v>98.44</v>
      </c>
      <c r="E13640" t="s">
        <v>47</v>
      </c>
    </row>
    <row r="13641" spans="1:5" x14ac:dyDescent="0.25">
      <c r="A13641" t="str">
        <f>HYPERLINK("https://www.773grp.com/globalSearch/TLK3114SCGNT/page-1", "TLK3114SCGNT")</f>
        <v>TLK3114SCGNT</v>
      </c>
      <c r="B13641" s="3" t="str">
        <f>HYPERLINK("https://www.773grp.com/manufacturer/texas-instruments?pageNo=196", "Texas Instruments")</f>
        <v>Texas Instruments</v>
      </c>
      <c r="C13641" s="5">
        <v>17204</v>
      </c>
      <c r="D13641" s="6">
        <v>154.69</v>
      </c>
      <c r="E13641" t="s">
        <v>47</v>
      </c>
    </row>
    <row r="13642" spans="1:5" x14ac:dyDescent="0.25">
      <c r="A13642" t="str">
        <f>HYPERLINK("https://www.773grp.com/globalSearch/TLK3114SCZPV/page-1", "TLK3114SCZPV")</f>
        <v>TLK3114SCZPV</v>
      </c>
      <c r="B13642" s="3" t="str">
        <f>HYPERLINK("https://www.773grp.com/manufacturer/texas-instruments?pageNo=197", "Texas Instruments")</f>
        <v>Texas Instruments</v>
      </c>
      <c r="C13642" s="5">
        <v>1703</v>
      </c>
      <c r="D13642" s="6">
        <v>154.69</v>
      </c>
      <c r="E13642" t="s">
        <v>47</v>
      </c>
    </row>
    <row r="13643" spans="1:5" x14ac:dyDescent="0.25">
      <c r="A13643" t="str">
        <f>HYPERLINK("https://www.773grp.com/globalSearch/TLK3114SBGNT/page-1", "TLK3114SBGNT")</f>
        <v>TLK3114SBGNT</v>
      </c>
      <c r="B13643" s="3" t="str">
        <f>HYPERLINK("https://www.773grp.com/manufacturer/texas-instruments?pageNo=226", "Texas Instruments")</f>
        <v>Texas Instruments</v>
      </c>
      <c r="C13643" s="5">
        <v>305</v>
      </c>
      <c r="D13643" s="6">
        <v>162.43</v>
      </c>
      <c r="E13643" t="s">
        <v>47</v>
      </c>
    </row>
    <row r="13644" spans="1:5" x14ac:dyDescent="0.25">
      <c r="A13644" t="str">
        <f>HYPERLINK("https://www.773grp.com/globalSearch/TNETX3150GGP/page-1", "TNETX3150GGP")</f>
        <v>TNETX3150GGP</v>
      </c>
      <c r="B13644" s="3" t="str">
        <f>HYPERLINK("https://www.773grp.com/manufacturer/texas-instruments?pageNo=515", "Texas Instruments")</f>
        <v>Texas Instruments</v>
      </c>
      <c r="C13644" s="5">
        <v>2529</v>
      </c>
      <c r="D13644" s="6">
        <v>213.75</v>
      </c>
      <c r="E13644" t="s">
        <v>47</v>
      </c>
    </row>
    <row r="13645" spans="1:5" x14ac:dyDescent="0.25">
      <c r="A13645" t="str">
        <f>HYPERLINK("https://www.773grp.com/globalSearch/TNETX3150AGGP/page-1", "TNETX3150AGGP")</f>
        <v>TNETX3150AGGP</v>
      </c>
      <c r="B13645" s="3" t="str">
        <f>HYPERLINK("https://www.773grp.com/manufacturer/texas-instruments?pageNo=556", "Texas Instruments")</f>
        <v>Texas Instruments</v>
      </c>
      <c r="C13645" s="5">
        <v>5509</v>
      </c>
      <c r="D13645" s="6">
        <v>223.6</v>
      </c>
      <c r="E13645" t="s">
        <v>47</v>
      </c>
    </row>
    <row r="13646" spans="1:5" x14ac:dyDescent="0.25">
      <c r="A13646" t="str">
        <f>HYPERLINK("https://www.773grp.com/globalSearch/TLK3114SAGNT/page-1", "TLK3114SAGNT")</f>
        <v>TLK3114SAGNT</v>
      </c>
      <c r="B13646" s="3" t="str">
        <f>HYPERLINK("https://www.773grp.com/manufacturer/texas-instruments?pageNo=659", "Texas Instruments")</f>
        <v>Texas Instruments</v>
      </c>
      <c r="C13646" s="5">
        <v>1214</v>
      </c>
      <c r="D13646" s="6">
        <v>217.78</v>
      </c>
      <c r="E13646" t="s">
        <v>47</v>
      </c>
    </row>
    <row r="13647" spans="1:5" x14ac:dyDescent="0.25">
      <c r="A13647" t="str">
        <f>HYPERLINK("https://www.773grp.com/globalSearch/DLKPC192SGNT/page-1", "DLKPC192SGNT")</f>
        <v>DLKPC192SGNT</v>
      </c>
      <c r="B13647" s="3" t="s">
        <v>90</v>
      </c>
      <c r="C13647" s="5">
        <v>422</v>
      </c>
      <c r="D13647" s="6">
        <v>269.14</v>
      </c>
      <c r="E13647" t="s">
        <v>47</v>
      </c>
    </row>
    <row r="13648" spans="1:5" x14ac:dyDescent="0.25">
      <c r="A13648" t="str">
        <f>HYPERLINK("https://www.773grp.com/globalSearch/OPA336UA/page-1", "OPA336UA")</f>
        <v>OPA336UA</v>
      </c>
      <c r="B13648" s="3" t="str">
        <f>HYPERLINK("https://www.773grp.com/manufacturer/texas-instruments?pageNo=1", "Texas Instruments")</f>
        <v>Texas Instruments</v>
      </c>
      <c r="C13648" s="5">
        <v>4900</v>
      </c>
      <c r="D13648" s="6">
        <v>3.95</v>
      </c>
      <c r="E13648" t="s">
        <v>11</v>
      </c>
    </row>
    <row r="13649" spans="1:5" x14ac:dyDescent="0.25">
      <c r="A13649" t="str">
        <f>HYPERLINK("https://www.773grp.com/globalSearch/OPA343NA-250/page-1", "OPA343NA-250")</f>
        <v>OPA343NA-250</v>
      </c>
      <c r="B13649" s="3" t="str">
        <f>HYPERLINK("https://www.773grp.com/manufacturer/texas-instruments?pageNo=2", "Texas Instruments")</f>
        <v>Texas Instruments</v>
      </c>
      <c r="C13649" s="5">
        <v>295</v>
      </c>
      <c r="D13649" s="6">
        <v>3.95</v>
      </c>
      <c r="E13649" t="s">
        <v>11</v>
      </c>
    </row>
    <row r="13650" spans="1:5" x14ac:dyDescent="0.25">
      <c r="A13650" t="str">
        <f>HYPERLINK("https://www.773grp.com/globalSearch/OPA343NA-250/page-1", "OPA343NA-250")</f>
        <v>OPA343NA-250</v>
      </c>
      <c r="B13650" s="3" t="str">
        <f>HYPERLINK("https://www.773grp.com/manufacturer/texas-instruments?pageNo=3", "Texas Instruments")</f>
        <v>Texas Instruments</v>
      </c>
      <c r="C13650" s="5">
        <v>17000</v>
      </c>
      <c r="D13650" s="6">
        <v>3.95</v>
      </c>
      <c r="E13650" t="s">
        <v>11</v>
      </c>
    </row>
    <row r="13651" spans="1:5" x14ac:dyDescent="0.25">
      <c r="A13651" t="str">
        <f>HYPERLINK("https://www.773grp.com/globalSearch/OPA369AIDCKT/page-1", "OPA369AIDCKT")</f>
        <v>OPA369AIDCKT</v>
      </c>
      <c r="B13651" s="3" t="str">
        <f>HYPERLINK("https://www.773grp.com/manufacturer/texas-instruments?pageNo=4", "Texas Instruments")</f>
        <v>Texas Instruments</v>
      </c>
      <c r="C13651" s="5">
        <v>4170</v>
      </c>
      <c r="D13651" s="6">
        <v>3.95</v>
      </c>
      <c r="E13651" t="s">
        <v>11</v>
      </c>
    </row>
    <row r="13652" spans="1:5" x14ac:dyDescent="0.25">
      <c r="A13652" t="str">
        <f>HYPERLINK("https://www.773grp.com/globalSearch/TLC070CD/page-1", "TLC070CD")</f>
        <v>TLC070CD</v>
      </c>
      <c r="B13652" s="3" t="str">
        <f>HYPERLINK("https://www.773grp.com/manufacturer/texas-instruments?pageNo=30", "Texas Instruments")</f>
        <v>Texas Instruments</v>
      </c>
      <c r="C13652" s="5">
        <v>21036</v>
      </c>
      <c r="D13652" s="6">
        <v>3.95</v>
      </c>
      <c r="E13652" t="s">
        <v>11</v>
      </c>
    </row>
    <row r="13653" spans="1:5" x14ac:dyDescent="0.25">
      <c r="A13653" t="str">
        <f>HYPERLINK("https://www.773grp.com/globalSearch/TLC070IP/page-1", "TLC070IP")</f>
        <v>TLC070IP</v>
      </c>
      <c r="B13653" s="3" t="str">
        <f>HYPERLINK("https://www.773grp.com/manufacturer/texas-instruments?pageNo=31", "Texas Instruments")</f>
        <v>Texas Instruments</v>
      </c>
      <c r="C13653" s="5">
        <v>17905</v>
      </c>
      <c r="D13653" s="6">
        <v>3.95</v>
      </c>
      <c r="E13653" t="s">
        <v>11</v>
      </c>
    </row>
    <row r="13654" spans="1:5" x14ac:dyDescent="0.25">
      <c r="A13654" t="str">
        <f>HYPERLINK("https://www.773grp.com/globalSearch/TLC080CD/page-1", "TLC080CD")</f>
        <v>TLC080CD</v>
      </c>
      <c r="B13654" s="3" t="str">
        <f>HYPERLINK("https://www.773grp.com/manufacturer/texas-instruments?pageNo=32", "Texas Instruments")</f>
        <v>Texas Instruments</v>
      </c>
      <c r="C13654" s="5">
        <v>21099</v>
      </c>
      <c r="D13654" s="6">
        <v>3.95</v>
      </c>
      <c r="E13654" t="s">
        <v>11</v>
      </c>
    </row>
    <row r="13655" spans="1:5" x14ac:dyDescent="0.25">
      <c r="A13655" t="str">
        <f>HYPERLINK("https://www.773grp.com/globalSearch/TLC080CDGN/page-1", "TLC080CDGN")</f>
        <v>TLC080CDGN</v>
      </c>
      <c r="B13655" s="3" t="str">
        <f>HYPERLINK("https://www.773grp.com/manufacturer/texas-instruments?pageNo=33", "Texas Instruments")</f>
        <v>Texas Instruments</v>
      </c>
      <c r="C13655" s="5">
        <v>6800</v>
      </c>
      <c r="D13655" s="6">
        <v>3.95</v>
      </c>
      <c r="E13655" t="s">
        <v>11</v>
      </c>
    </row>
    <row r="13656" spans="1:5" x14ac:dyDescent="0.25">
      <c r="A13656" t="str">
        <f>HYPERLINK("https://www.773grp.com/globalSearch/TLC080IP/page-1", "TLC080IP")</f>
        <v>TLC080IP</v>
      </c>
      <c r="B13656" s="3" t="str">
        <f>HYPERLINK("https://www.773grp.com/manufacturer/texas-instruments?pageNo=34", "Texas Instruments")</f>
        <v>Texas Instruments</v>
      </c>
      <c r="C13656" s="5">
        <v>19750</v>
      </c>
      <c r="D13656" s="6">
        <v>3.95</v>
      </c>
      <c r="E13656" t="s">
        <v>11</v>
      </c>
    </row>
    <row r="13657" spans="1:5" x14ac:dyDescent="0.25">
      <c r="A13657" t="str">
        <f>HYPERLINK("https://www.773grp.com/globalSearch/TLC081AID/page-1", "TLC081AID")</f>
        <v>TLC081AID</v>
      </c>
      <c r="B13657" s="3" t="str">
        <f>HYPERLINK("https://www.773grp.com/manufacturer/texas-instruments?pageNo=35", "Texas Instruments")</f>
        <v>Texas Instruments</v>
      </c>
      <c r="C13657" s="5">
        <v>9396</v>
      </c>
      <c r="D13657" s="6">
        <v>3.95</v>
      </c>
      <c r="E13657" t="s">
        <v>11</v>
      </c>
    </row>
    <row r="13658" spans="1:5" x14ac:dyDescent="0.25">
      <c r="A13658" t="str">
        <f>HYPERLINK("https://www.773grp.com/globalSearch/TLC2252AQPWRG4Q1/page-1", "TLC2252AQPWRG4Q1")</f>
        <v>TLC2252AQPWRG4Q1</v>
      </c>
      <c r="B13658" s="3" t="str">
        <f>HYPERLINK("https://www.773grp.com/manufacturer/texas-instruments?pageNo=37", "Texas Instruments")</f>
        <v>Texas Instruments</v>
      </c>
      <c r="C13658" s="5">
        <v>8474</v>
      </c>
      <c r="D13658" s="6">
        <v>3.95</v>
      </c>
      <c r="E13658" t="s">
        <v>11</v>
      </c>
    </row>
    <row r="13659" spans="1:5" x14ac:dyDescent="0.25">
      <c r="A13659" t="str">
        <f>HYPERLINK("https://www.773grp.com/globalSearch/TLC2252AQPWRQ1/page-1", "TLC2252AQPWRQ1")</f>
        <v>TLC2252AQPWRQ1</v>
      </c>
      <c r="B13659" s="3" t="str">
        <f>HYPERLINK("https://www.773grp.com/manufacturer/texas-instruments?pageNo=38", "Texas Instruments")</f>
        <v>Texas Instruments</v>
      </c>
      <c r="C13659" s="5">
        <v>2343</v>
      </c>
      <c r="D13659" s="6">
        <v>3.95</v>
      </c>
      <c r="E13659" t="s">
        <v>11</v>
      </c>
    </row>
    <row r="13660" spans="1:5" x14ac:dyDescent="0.25">
      <c r="A13660" t="str">
        <f>HYPERLINK("https://www.773grp.com/globalSearch/TLC2252CP/page-1", "TLC2252CP")</f>
        <v>TLC2252CP</v>
      </c>
      <c r="B13660" s="3" t="str">
        <f>HYPERLINK("https://www.773grp.com/manufacturer/texas-instruments?pageNo=39", "Texas Instruments")</f>
        <v>Texas Instruments</v>
      </c>
      <c r="C13660" s="5">
        <v>16222</v>
      </c>
      <c r="D13660" s="6">
        <v>3.95</v>
      </c>
      <c r="E13660" t="s">
        <v>11</v>
      </c>
    </row>
    <row r="13661" spans="1:5" x14ac:dyDescent="0.25">
      <c r="A13661" t="str">
        <f>HYPERLINK("https://www.773grp.com/globalSearch/TLC2252QD/page-1", "TLC2252QD")</f>
        <v>TLC2252QD</v>
      </c>
      <c r="B13661" s="3" t="str">
        <f>HYPERLINK("https://www.773grp.com/manufacturer/texas-instruments?pageNo=40", "Texas Instruments")</f>
        <v>Texas Instruments</v>
      </c>
      <c r="C13661" s="5">
        <v>10200</v>
      </c>
      <c r="D13661" s="6">
        <v>3.95</v>
      </c>
      <c r="E13661" t="s">
        <v>11</v>
      </c>
    </row>
    <row r="13662" spans="1:5" x14ac:dyDescent="0.25">
      <c r="A13662" t="str">
        <f>HYPERLINK("https://www.773grp.com/globalSearch/TLC2252QDR/page-1", "TLC2252QDR")</f>
        <v>TLC2252QDR</v>
      </c>
      <c r="B13662" s="3" t="str">
        <f>HYPERLINK("https://www.773grp.com/manufacturer/texas-instruments?pageNo=41", "Texas Instruments")</f>
        <v>Texas Instruments</v>
      </c>
      <c r="C13662" s="5">
        <v>2500</v>
      </c>
      <c r="D13662" s="6">
        <v>3.95</v>
      </c>
      <c r="E13662" t="s">
        <v>11</v>
      </c>
    </row>
    <row r="13663" spans="1:5" x14ac:dyDescent="0.25">
      <c r="A13663" t="str">
        <f>HYPERLINK("https://www.773grp.com/globalSearch/TLC2252QPWRQ1/page-1", "TLC2252QPWRQ1")</f>
        <v>TLC2252QPWRQ1</v>
      </c>
      <c r="B13663" s="3" t="str">
        <f>HYPERLINK("https://www.773grp.com/manufacturer/texas-instruments?pageNo=42", "Texas Instruments")</f>
        <v>Texas Instruments</v>
      </c>
      <c r="C13663" s="5">
        <v>8000</v>
      </c>
      <c r="D13663" s="6">
        <v>3.95</v>
      </c>
      <c r="E13663" t="s">
        <v>11</v>
      </c>
    </row>
    <row r="13664" spans="1:5" x14ac:dyDescent="0.25">
      <c r="A13664" t="str">
        <f>HYPERLINK("https://www.773grp.com/globalSearch/TLC2254CDR/page-1", "TLC2254CDR")</f>
        <v>TLC2254CDR</v>
      </c>
      <c r="B13664" s="3" t="str">
        <f>HYPERLINK("https://www.773grp.com/manufacturer/texas-instruments?pageNo=43", "Texas Instruments")</f>
        <v>Texas Instruments</v>
      </c>
      <c r="C13664" s="5">
        <v>11128</v>
      </c>
      <c r="D13664" s="6">
        <v>3.95</v>
      </c>
      <c r="E13664" t="s">
        <v>11</v>
      </c>
    </row>
    <row r="13665" spans="1:5" x14ac:dyDescent="0.25">
      <c r="A13665" t="str">
        <f>HYPERLINK("https://www.773grp.com/globalSearch/TLC2262AIP/page-1", "TLC2262AIP")</f>
        <v>TLC2262AIP</v>
      </c>
      <c r="B13665" s="3" t="str">
        <f>HYPERLINK("https://www.773grp.com/manufacturer/texas-instruments?pageNo=44", "Texas Instruments")</f>
        <v>Texas Instruments</v>
      </c>
      <c r="C13665" s="5">
        <v>3272</v>
      </c>
      <c r="D13665" s="6">
        <v>3.95</v>
      </c>
      <c r="E13665" t="s">
        <v>11</v>
      </c>
    </row>
    <row r="13666" spans="1:5" x14ac:dyDescent="0.25">
      <c r="A13666" t="str">
        <f>HYPERLINK("https://www.773grp.com/globalSearch/TLC2262AQD/page-1", "TLC2262AQD")</f>
        <v>TLC2262AQD</v>
      </c>
      <c r="B13666" s="3" t="str">
        <f>HYPERLINK("https://www.773grp.com/manufacturer/texas-instruments?pageNo=45", "Texas Instruments")</f>
        <v>Texas Instruments</v>
      </c>
      <c r="C13666" s="5">
        <v>20250</v>
      </c>
      <c r="D13666" s="6">
        <v>3.95</v>
      </c>
      <c r="E13666" t="s">
        <v>11</v>
      </c>
    </row>
    <row r="13667" spans="1:5" x14ac:dyDescent="0.25">
      <c r="A13667" t="str">
        <f>HYPERLINK("https://www.773grp.com/globalSearch/TLC2262AQDG4/page-1", "TLC2262AQDG4")</f>
        <v>TLC2262AQDG4</v>
      </c>
      <c r="B13667" s="3" t="str">
        <f>HYPERLINK("https://www.773grp.com/manufacturer/texas-instruments?pageNo=46", "Texas Instruments")</f>
        <v>Texas Instruments</v>
      </c>
      <c r="C13667" s="5">
        <v>8400</v>
      </c>
      <c r="D13667" s="6">
        <v>3.95</v>
      </c>
      <c r="E13667" t="s">
        <v>11</v>
      </c>
    </row>
    <row r="13668" spans="1:5" x14ac:dyDescent="0.25">
      <c r="A13668" t="str">
        <f>HYPERLINK("https://www.773grp.com/globalSearch/TLC2262CPW/page-1", "TLC2262CPW")</f>
        <v>TLC2262CPW</v>
      </c>
      <c r="B13668" s="3" t="str">
        <f>HYPERLINK("https://www.773grp.com/manufacturer/texas-instruments?pageNo=49", "Texas Instruments")</f>
        <v>Texas Instruments</v>
      </c>
      <c r="C13668" s="5">
        <v>4775</v>
      </c>
      <c r="D13668" s="6">
        <v>3.95</v>
      </c>
      <c r="E13668" t="s">
        <v>11</v>
      </c>
    </row>
    <row r="13669" spans="1:5" x14ac:dyDescent="0.25">
      <c r="A13669" t="str">
        <f>HYPERLINK("https://www.773grp.com/globalSearch/TLC2262ID/page-1", "TLC2262ID")</f>
        <v>TLC2262ID</v>
      </c>
      <c r="B13669" s="3" t="str">
        <f>HYPERLINK("https://www.773grp.com/manufacturer/texas-instruments?pageNo=50", "Texas Instruments")</f>
        <v>Texas Instruments</v>
      </c>
      <c r="C13669" s="5">
        <v>1605</v>
      </c>
      <c r="D13669" s="6">
        <v>3.95</v>
      </c>
      <c r="E13669" t="s">
        <v>11</v>
      </c>
    </row>
    <row r="13670" spans="1:5" x14ac:dyDescent="0.25">
      <c r="A13670" t="str">
        <f>HYPERLINK("https://www.773grp.com/globalSearch/TLC2262IP/page-1", "TLC2262IP")</f>
        <v>TLC2262IP</v>
      </c>
      <c r="B13670" s="3" t="str">
        <f>HYPERLINK("https://www.773grp.com/manufacturer/texas-instruments?pageNo=51", "Texas Instruments")</f>
        <v>Texas Instruments</v>
      </c>
      <c r="C13670" s="5">
        <v>4738</v>
      </c>
      <c r="D13670" s="6">
        <v>3.95</v>
      </c>
      <c r="E13670" t="s">
        <v>11</v>
      </c>
    </row>
    <row r="13671" spans="1:5" x14ac:dyDescent="0.25">
      <c r="A13671" t="str">
        <f>HYPERLINK("https://www.773grp.com/globalSearch/TLC2274CDB/page-1", "TLC2274CDB")</f>
        <v>TLC2274CDB</v>
      </c>
      <c r="B13671" s="3" t="str">
        <f>HYPERLINK("https://www.773grp.com/manufacturer/texas-instruments?pageNo=52", "Texas Instruments")</f>
        <v>Texas Instruments</v>
      </c>
      <c r="C13671" s="5">
        <v>2800</v>
      </c>
      <c r="D13671" s="6">
        <v>3.95</v>
      </c>
      <c r="E13671" t="s">
        <v>11</v>
      </c>
    </row>
    <row r="13672" spans="1:5" x14ac:dyDescent="0.25">
      <c r="A13672" t="str">
        <f>HYPERLINK("https://www.773grp.com/globalSearch/TLC2274CDR/page-1", "TLC2274CDR")</f>
        <v>TLC2274CDR</v>
      </c>
      <c r="B13672" s="3" t="str">
        <f>HYPERLINK("https://www.773grp.com/manufacturer/texas-instruments?pageNo=53", "Texas Instruments")</f>
        <v>Texas Instruments</v>
      </c>
      <c r="C13672" s="5">
        <v>10000</v>
      </c>
      <c r="D13672" s="6">
        <v>3.95</v>
      </c>
      <c r="E13672" t="s">
        <v>11</v>
      </c>
    </row>
    <row r="13673" spans="1:5" x14ac:dyDescent="0.25">
      <c r="A13673" t="str">
        <f>HYPERLINK("https://www.773grp.com/globalSearch/TLC2274IDR/page-1", "TLC2274IDR")</f>
        <v>TLC2274IDR</v>
      </c>
      <c r="B13673" s="3" t="str">
        <f>HYPERLINK("https://www.773grp.com/manufacturer/texas-instruments?pageNo=54", "Texas Instruments")</f>
        <v>Texas Instruments</v>
      </c>
      <c r="C13673" s="5">
        <v>34892</v>
      </c>
      <c r="D13673" s="6">
        <v>3.95</v>
      </c>
      <c r="E13673" t="s">
        <v>11</v>
      </c>
    </row>
    <row r="13674" spans="1:5" x14ac:dyDescent="0.25">
      <c r="A13674" t="str">
        <f>HYPERLINK("https://www.773grp.com/globalSearch/TLC277CPSR/page-1", "TLC277CPSR")</f>
        <v>TLC277CPSR</v>
      </c>
      <c r="B13674" s="3" t="str">
        <f>HYPERLINK("https://www.773grp.com/manufacturer/texas-instruments?pageNo=57", "Texas Instruments")</f>
        <v>Texas Instruments</v>
      </c>
      <c r="C13674" s="5">
        <v>2000</v>
      </c>
      <c r="D13674" s="6">
        <v>3.95</v>
      </c>
      <c r="E13674" t="s">
        <v>11</v>
      </c>
    </row>
    <row r="13675" spans="1:5" x14ac:dyDescent="0.25">
      <c r="A13675" t="str">
        <f>HYPERLINK("https://www.773grp.com/globalSearch/TLC27M7CDR/page-1", "TLC27M7CDR")</f>
        <v>TLC27M7CDR</v>
      </c>
      <c r="B13675" s="3" t="str">
        <f>HYPERLINK("https://www.773grp.com/manufacturer/texas-instruments?pageNo=58", "Texas Instruments")</f>
        <v>Texas Instruments</v>
      </c>
      <c r="C13675" s="5">
        <v>4145</v>
      </c>
      <c r="D13675" s="6">
        <v>3.95</v>
      </c>
      <c r="E13675" t="s">
        <v>11</v>
      </c>
    </row>
    <row r="13676" spans="1:5" x14ac:dyDescent="0.25">
      <c r="A13676" t="str">
        <f>HYPERLINK("https://www.773grp.com/globalSearch/TLE2021AIDG4/page-1", "TLE2021AIDG4")</f>
        <v>TLE2021AIDG4</v>
      </c>
      <c r="B13676" s="3" t="str">
        <f>HYPERLINK("https://www.773grp.com/manufacturer/texas-instruments?pageNo=65", "Texas Instruments")</f>
        <v>Texas Instruments</v>
      </c>
      <c r="C13676" s="5">
        <v>221</v>
      </c>
      <c r="D13676" s="6">
        <v>3.95</v>
      </c>
      <c r="E13676" t="s">
        <v>11</v>
      </c>
    </row>
    <row r="13677" spans="1:5" x14ac:dyDescent="0.25">
      <c r="A13677" t="str">
        <f>HYPERLINK("https://www.773grp.com/globalSearch/TLE2022CDR/page-1", "TLE2022CDR")</f>
        <v>TLE2022CDR</v>
      </c>
      <c r="B13677" s="3" t="str">
        <f>HYPERLINK("https://www.773grp.com/manufacturer/texas-instruments?pageNo=66", "Texas Instruments")</f>
        <v>Texas Instruments</v>
      </c>
      <c r="C13677" s="5">
        <v>5000</v>
      </c>
      <c r="D13677" s="6">
        <v>3.95</v>
      </c>
      <c r="E13677" t="s">
        <v>11</v>
      </c>
    </row>
    <row r="13678" spans="1:5" x14ac:dyDescent="0.25">
      <c r="A13678" t="str">
        <f>HYPERLINK("https://www.773grp.com/globalSearch/TLE2061CP/page-1", "TLE2061CP")</f>
        <v>TLE2061CP</v>
      </c>
      <c r="B13678" s="3" t="str">
        <f>HYPERLINK("https://www.773grp.com/manufacturer/texas-instruments?pageNo=67", "Texas Instruments")</f>
        <v>Texas Instruments</v>
      </c>
      <c r="C13678" s="5">
        <v>1902</v>
      </c>
      <c r="D13678" s="6">
        <v>3.95</v>
      </c>
      <c r="E13678" t="s">
        <v>11</v>
      </c>
    </row>
    <row r="13679" spans="1:5" x14ac:dyDescent="0.25">
      <c r="A13679" t="str">
        <f>HYPERLINK("https://www.773grp.com/globalSearch/TLE2071IP/page-1", "TLE2071IP")</f>
        <v>TLE2071IP</v>
      </c>
      <c r="B13679" s="3" t="str">
        <f>HYPERLINK("https://www.773grp.com/manufacturer/texas-instruments?pageNo=68", "Texas Instruments")</f>
        <v>Texas Instruments</v>
      </c>
      <c r="C13679" s="5">
        <v>393</v>
      </c>
      <c r="D13679" s="6">
        <v>3.95</v>
      </c>
      <c r="E13679" t="s">
        <v>11</v>
      </c>
    </row>
    <row r="13680" spans="1:5" x14ac:dyDescent="0.25">
      <c r="A13680" t="str">
        <f>HYPERLINK("https://www.773grp.com/globalSearch/TLE2081IP/page-1", "TLE2081IP")</f>
        <v>TLE2081IP</v>
      </c>
      <c r="B13680" s="3" t="str">
        <f>HYPERLINK("https://www.773grp.com/manufacturer/texas-instruments?pageNo=69", "Texas Instruments")</f>
        <v>Texas Instruments</v>
      </c>
      <c r="C13680" s="5">
        <v>2300</v>
      </c>
      <c r="D13680" s="6">
        <v>3.95</v>
      </c>
      <c r="E13680" t="s">
        <v>11</v>
      </c>
    </row>
    <row r="13681" spans="1:5" x14ac:dyDescent="0.25">
      <c r="A13681" t="str">
        <f>HYPERLINK("https://www.773grp.com/globalSearch/TLE2141AIP/page-1", "TLE2141AIP")</f>
        <v>TLE2141AIP</v>
      </c>
      <c r="B13681" s="3" t="str">
        <f>HYPERLINK("https://www.773grp.com/manufacturer/texas-instruments?pageNo=70", "Texas Instruments")</f>
        <v>Texas Instruments</v>
      </c>
      <c r="C13681" s="5">
        <v>800</v>
      </c>
      <c r="D13681" s="6">
        <v>3.95</v>
      </c>
      <c r="E13681" t="s">
        <v>11</v>
      </c>
    </row>
    <row r="13682" spans="1:5" x14ac:dyDescent="0.25">
      <c r="A13682" t="str">
        <f>HYPERLINK("https://www.773grp.com/globalSearch/TLV2241ID/page-1", "TLV2241ID")</f>
        <v>TLV2241ID</v>
      </c>
      <c r="B13682" s="3" t="str">
        <f>HYPERLINK("https://www.773grp.com/manufacturer/texas-instruments?pageNo=76", "Texas Instruments")</f>
        <v>Texas Instruments</v>
      </c>
      <c r="C13682" s="5">
        <v>13755</v>
      </c>
      <c r="D13682" s="6">
        <v>3.95</v>
      </c>
      <c r="E13682" t="s">
        <v>11</v>
      </c>
    </row>
    <row r="13683" spans="1:5" x14ac:dyDescent="0.25">
      <c r="A13683" t="str">
        <f>HYPERLINK("https://www.773grp.com/globalSearch/TLV2241IP/page-1", "TLV2241IP")</f>
        <v>TLV2241IP</v>
      </c>
      <c r="B13683" s="3" t="str">
        <f>HYPERLINK("https://www.773grp.com/manufacturer/texas-instruments?pageNo=78", "Texas Instruments")</f>
        <v>Texas Instruments</v>
      </c>
      <c r="C13683" s="5">
        <v>23698</v>
      </c>
      <c r="D13683" s="6">
        <v>3.95</v>
      </c>
      <c r="E13683" t="s">
        <v>11</v>
      </c>
    </row>
    <row r="13684" spans="1:5" x14ac:dyDescent="0.25">
      <c r="A13684" t="str">
        <f>HYPERLINK("https://www.773grp.com/globalSearch/TLV2252AQD/page-1", "TLV2252AQD")</f>
        <v>TLV2252AQD</v>
      </c>
      <c r="B13684" s="3" t="str">
        <f>HYPERLINK("https://www.773grp.com/manufacturer/texas-instruments?pageNo=79", "Texas Instruments")</f>
        <v>Texas Instruments</v>
      </c>
      <c r="C13684" s="5">
        <v>8514</v>
      </c>
      <c r="D13684" s="6">
        <v>3.95</v>
      </c>
      <c r="E13684" t="s">
        <v>11</v>
      </c>
    </row>
    <row r="13685" spans="1:5" x14ac:dyDescent="0.25">
      <c r="A13685" t="str">
        <f>HYPERLINK("https://www.773grp.com/globalSearch/TLV2252IP/page-1", "TLV2252IP")</f>
        <v>TLV2252IP</v>
      </c>
      <c r="B13685" s="3" t="str">
        <f>HYPERLINK("https://www.773grp.com/manufacturer/texas-instruments?pageNo=80", "Texas Instruments")</f>
        <v>Texas Instruments</v>
      </c>
      <c r="C13685" s="5">
        <v>5332</v>
      </c>
      <c r="D13685" s="6">
        <v>3.95</v>
      </c>
      <c r="E13685" t="s">
        <v>11</v>
      </c>
    </row>
    <row r="13686" spans="1:5" x14ac:dyDescent="0.25">
      <c r="A13686" t="str">
        <f>HYPERLINK("https://www.773grp.com/globalSearch/TLV2252QDRQ1/page-1", "TLV2252QDRQ1")</f>
        <v>TLV2252QDRQ1</v>
      </c>
      <c r="B13686" s="3" t="str">
        <f>HYPERLINK("https://www.773grp.com/manufacturer/texas-instruments?pageNo=81", "Texas Instruments")</f>
        <v>Texas Instruments</v>
      </c>
      <c r="C13686" s="5">
        <v>10000</v>
      </c>
      <c r="D13686" s="6">
        <v>3.95</v>
      </c>
      <c r="E13686" t="s">
        <v>11</v>
      </c>
    </row>
    <row r="13687" spans="1:5" x14ac:dyDescent="0.25">
      <c r="A13687" t="str">
        <f>HYPERLINK("https://www.773grp.com/globalSearch/TLV2262ID/page-1", "TLV2262ID")</f>
        <v>TLV2262ID</v>
      </c>
      <c r="B13687" s="3" t="str">
        <f>HYPERLINK("https://www.773grp.com/manufacturer/texas-instruments?pageNo=82", "Texas Instruments")</f>
        <v>Texas Instruments</v>
      </c>
      <c r="C13687" s="5">
        <v>719</v>
      </c>
      <c r="D13687" s="6">
        <v>3.95</v>
      </c>
      <c r="E13687" t="s">
        <v>11</v>
      </c>
    </row>
    <row r="13688" spans="1:5" x14ac:dyDescent="0.25">
      <c r="A13688" t="str">
        <f>HYPERLINK("https://www.773grp.com/globalSearch/TLV2262IPW/page-1", "TLV2262IPW")</f>
        <v>TLV2262IPW</v>
      </c>
      <c r="B13688" s="3" t="str">
        <f>HYPERLINK("https://www.773grp.com/manufacturer/texas-instruments?pageNo=83", "Texas Instruments")</f>
        <v>Texas Instruments</v>
      </c>
      <c r="C13688" s="5">
        <v>2500</v>
      </c>
      <c r="D13688" s="6">
        <v>3.95</v>
      </c>
      <c r="E13688" t="s">
        <v>11</v>
      </c>
    </row>
    <row r="13689" spans="1:5" x14ac:dyDescent="0.25">
      <c r="A13689" t="str">
        <f>HYPERLINK("https://www.773grp.com/globalSearch/TLV2332ID/page-1", "TLV2332ID")</f>
        <v>TLV2332ID</v>
      </c>
      <c r="B13689" s="3" t="str">
        <f>HYPERLINK("https://www.773grp.com/manufacturer/texas-instruments?pageNo=84", "Texas Instruments")</f>
        <v>Texas Instruments</v>
      </c>
      <c r="C13689" s="5">
        <v>1520</v>
      </c>
      <c r="D13689" s="6">
        <v>3.95</v>
      </c>
      <c r="E13689" t="s">
        <v>11</v>
      </c>
    </row>
    <row r="13690" spans="1:5" x14ac:dyDescent="0.25">
      <c r="A13690" t="str">
        <f>HYPERLINK("https://www.773grp.com/globalSearch/TLV2372IP/page-1", "TLV2372IP")</f>
        <v>TLV2372IP</v>
      </c>
      <c r="B13690" s="3" t="str">
        <f>HYPERLINK("https://www.773grp.com/manufacturer/texas-instruments?pageNo=85", "Texas Instruments")</f>
        <v>Texas Instruments</v>
      </c>
      <c r="C13690" s="5">
        <v>515</v>
      </c>
      <c r="D13690" s="6">
        <v>3.95</v>
      </c>
      <c r="E13690" t="s">
        <v>11</v>
      </c>
    </row>
    <row r="13691" spans="1:5" x14ac:dyDescent="0.25">
      <c r="A13691" t="str">
        <f>HYPERLINK("https://www.773grp.com/globalSearch/TLV2374IDR/page-1", "TLV2374IDR")</f>
        <v>TLV2374IDR</v>
      </c>
      <c r="B13691" s="3" t="str">
        <f>HYPERLINK("https://www.773grp.com/manufacturer/texas-instruments?pageNo=86", "Texas Instruments")</f>
        <v>Texas Instruments</v>
      </c>
      <c r="C13691" s="5">
        <v>844</v>
      </c>
      <c r="D13691" s="6">
        <v>3.95</v>
      </c>
      <c r="E13691" t="s">
        <v>11</v>
      </c>
    </row>
    <row r="13692" spans="1:5" x14ac:dyDescent="0.25">
      <c r="A13692" t="str">
        <f>HYPERLINK("https://www.773grp.com/globalSearch/TLV2460CD/page-1", "TLV2460CD")</f>
        <v>TLV2460CD</v>
      </c>
      <c r="B13692" s="3" t="str">
        <f>HYPERLINK("https://www.773grp.com/manufacturer/texas-instruments?pageNo=89", "Texas Instruments")</f>
        <v>Texas Instruments</v>
      </c>
      <c r="C13692" s="5">
        <v>5300</v>
      </c>
      <c r="D13692" s="6">
        <v>3.95</v>
      </c>
      <c r="E13692" t="s">
        <v>11</v>
      </c>
    </row>
    <row r="13693" spans="1:5" x14ac:dyDescent="0.25">
      <c r="A13693" t="str">
        <f>HYPERLINK("https://www.773grp.com/globalSearch/TLV2460IDBVT/page-1", "TLV2460IDBVT")</f>
        <v>TLV2460IDBVT</v>
      </c>
      <c r="B13693" s="3" t="str">
        <f>HYPERLINK("https://www.773grp.com/manufacturer/texas-instruments?pageNo=90", "Texas Instruments")</f>
        <v>Texas Instruments</v>
      </c>
      <c r="C13693" s="5">
        <v>1000</v>
      </c>
      <c r="D13693" s="6">
        <v>3.95</v>
      </c>
      <c r="E13693" t="s">
        <v>11</v>
      </c>
    </row>
    <row r="13694" spans="1:5" x14ac:dyDescent="0.25">
      <c r="A13694" t="str">
        <f>HYPERLINK("https://www.773grp.com/globalSearch/TLV2460IP/page-1", "TLV2460IP")</f>
        <v>TLV2460IP</v>
      </c>
      <c r="B13694" s="3" t="str">
        <f>HYPERLINK("https://www.773grp.com/manufacturer/texas-instruments?pageNo=91", "Texas Instruments")</f>
        <v>Texas Instruments</v>
      </c>
      <c r="C13694" s="5">
        <v>41100</v>
      </c>
      <c r="D13694" s="6">
        <v>3.95</v>
      </c>
      <c r="E13694" t="s">
        <v>11</v>
      </c>
    </row>
    <row r="13695" spans="1:5" x14ac:dyDescent="0.25">
      <c r="A13695" t="str">
        <f>HYPERLINK("https://www.773grp.com/globalSearch/TLV2470CDBVT/page-1", "TLV2470CDBVT")</f>
        <v>TLV2470CDBVT</v>
      </c>
      <c r="B13695" s="3" t="str">
        <f>HYPERLINK("https://www.773grp.com/manufacturer/texas-instruments?pageNo=92", "Texas Instruments")</f>
        <v>Texas Instruments</v>
      </c>
      <c r="C13695" s="5">
        <v>500</v>
      </c>
      <c r="D13695" s="6">
        <v>3.95</v>
      </c>
      <c r="E13695" t="s">
        <v>11</v>
      </c>
    </row>
    <row r="13696" spans="1:5" x14ac:dyDescent="0.25">
      <c r="A13696" t="str">
        <f>HYPERLINK("https://www.773grp.com/globalSearch/TLV2470CP/page-1", "TLV2470CP")</f>
        <v>TLV2470CP</v>
      </c>
      <c r="B13696" s="3" t="str">
        <f>HYPERLINK("https://www.773grp.com/manufacturer/texas-instruments?pageNo=93", "Texas Instruments")</f>
        <v>Texas Instruments</v>
      </c>
      <c r="C13696" s="5">
        <v>57050</v>
      </c>
      <c r="D13696" s="6">
        <v>3.95</v>
      </c>
      <c r="E13696" t="s">
        <v>11</v>
      </c>
    </row>
    <row r="13697" spans="1:5" x14ac:dyDescent="0.25">
      <c r="A13697" t="str">
        <f>HYPERLINK("https://www.773grp.com/globalSearch/TLV2623IDGS/page-1", "TLV2623IDGS")</f>
        <v>TLV2623IDGS</v>
      </c>
      <c r="B13697" s="3" t="str">
        <f>HYPERLINK("https://www.773grp.com/manufacturer/texas-instruments?pageNo=94", "Texas Instruments")</f>
        <v>Texas Instruments</v>
      </c>
      <c r="C13697" s="5">
        <v>19280</v>
      </c>
      <c r="D13697" s="6">
        <v>3.95</v>
      </c>
      <c r="E13697" t="s">
        <v>11</v>
      </c>
    </row>
    <row r="13698" spans="1:5" x14ac:dyDescent="0.25">
      <c r="A13698" t="str">
        <f>HYPERLINK("https://www.773grp.com/globalSearch/TLV2630ID/page-1", "TLV2630ID")</f>
        <v>TLV2630ID</v>
      </c>
      <c r="B13698" s="3" t="str">
        <f>HYPERLINK("https://www.773grp.com/manufacturer/texas-instruments?pageNo=95", "Texas Instruments")</f>
        <v>Texas Instruments</v>
      </c>
      <c r="C13698" s="5">
        <v>1181</v>
      </c>
      <c r="D13698" s="6">
        <v>3.95</v>
      </c>
      <c r="E13698" t="s">
        <v>11</v>
      </c>
    </row>
    <row r="13699" spans="1:5" x14ac:dyDescent="0.25">
      <c r="A13699" t="str">
        <f>HYPERLINK("https://www.773grp.com/globalSearch/TLV2630IDR/page-1", "TLV2630IDR")</f>
        <v>TLV2630IDR</v>
      </c>
      <c r="B13699" s="3" t="str">
        <f>HYPERLINK("https://www.773grp.com/manufacturer/texas-instruments?pageNo=96", "Texas Instruments")</f>
        <v>Texas Instruments</v>
      </c>
      <c r="C13699" s="5">
        <v>2500</v>
      </c>
      <c r="D13699" s="6">
        <v>3.95</v>
      </c>
      <c r="E13699" t="s">
        <v>11</v>
      </c>
    </row>
    <row r="13700" spans="1:5" x14ac:dyDescent="0.25">
      <c r="A13700" t="str">
        <f>HYPERLINK("https://www.773grp.com/globalSearch/TLV2630IP/page-1", "TLV2630IP")</f>
        <v>TLV2630IP</v>
      </c>
      <c r="B13700" s="3" t="str">
        <f>HYPERLINK("https://www.773grp.com/manufacturer/texas-instruments?pageNo=97", "Texas Instruments")</f>
        <v>Texas Instruments</v>
      </c>
      <c r="C13700" s="5">
        <v>500</v>
      </c>
      <c r="D13700" s="6">
        <v>3.95</v>
      </c>
      <c r="E13700" t="s">
        <v>11</v>
      </c>
    </row>
    <row r="13701" spans="1:5" x14ac:dyDescent="0.25">
      <c r="A13701" t="str">
        <f>HYPERLINK("https://www.773grp.com/globalSearch/TLV2760IDBVT/page-1", "TLV2760IDBVT")</f>
        <v>TLV2760IDBVT</v>
      </c>
      <c r="B13701" s="3" t="str">
        <f>HYPERLINK("https://www.773grp.com/manufacturer/texas-instruments?pageNo=98", "Texas Instruments")</f>
        <v>Texas Instruments</v>
      </c>
      <c r="C13701" s="5">
        <v>1000</v>
      </c>
      <c r="D13701" s="6">
        <v>3.95</v>
      </c>
      <c r="E13701" t="s">
        <v>11</v>
      </c>
    </row>
    <row r="13702" spans="1:5" x14ac:dyDescent="0.25">
      <c r="A13702" t="str">
        <f>HYPERLINK("https://www.773grp.com/globalSearch/TLV2760IP/page-1", "TLV2760IP")</f>
        <v>TLV2760IP</v>
      </c>
      <c r="B13702" s="3" t="str">
        <f>HYPERLINK("https://www.773grp.com/manufacturer/texas-instruments?pageNo=99", "Texas Instruments")</f>
        <v>Texas Instruments</v>
      </c>
      <c r="C13702" s="5">
        <v>32521</v>
      </c>
      <c r="D13702" s="6">
        <v>3.95</v>
      </c>
      <c r="E13702" t="s">
        <v>11</v>
      </c>
    </row>
    <row r="13703" spans="1:5" x14ac:dyDescent="0.25">
      <c r="A13703" t="str">
        <f>HYPERLINK("https://www.773grp.com/globalSearch/TLV2770IDGK/page-1", "TLV2770IDGK")</f>
        <v>TLV2770IDGK</v>
      </c>
      <c r="B13703" s="3" t="str">
        <f>HYPERLINK("https://www.773grp.com/manufacturer/texas-instruments?pageNo=100", "Texas Instruments")</f>
        <v>Texas Instruments</v>
      </c>
      <c r="C13703" s="5">
        <v>1173</v>
      </c>
      <c r="D13703" s="6">
        <v>3.95</v>
      </c>
      <c r="E13703" t="s">
        <v>11</v>
      </c>
    </row>
    <row r="13704" spans="1:5" x14ac:dyDescent="0.25">
      <c r="A13704" t="str">
        <f>HYPERLINK("https://www.773grp.com/globalSearch/TLV2770IDR/page-1", "TLV2770IDR")</f>
        <v>TLV2770IDR</v>
      </c>
      <c r="B13704" s="3" t="str">
        <f>HYPERLINK("https://www.773grp.com/manufacturer/texas-instruments?pageNo=101", "Texas Instruments")</f>
        <v>Texas Instruments</v>
      </c>
      <c r="C13704" s="5">
        <v>18666</v>
      </c>
      <c r="D13704" s="6">
        <v>3.95</v>
      </c>
      <c r="E13704" t="s">
        <v>11</v>
      </c>
    </row>
    <row r="13705" spans="1:5" x14ac:dyDescent="0.25">
      <c r="A13705" t="str">
        <f>HYPERLINK("https://www.773grp.com/globalSearch/TLV2771QDBVRQ1/page-1", "TLV2771QDBVRQ1")</f>
        <v>TLV2771QDBVRQ1</v>
      </c>
      <c r="B13705" s="3" t="str">
        <f>HYPERLINK("https://www.773grp.com/manufacturer/texas-instruments?pageNo=102", "Texas Instruments")</f>
        <v>Texas Instruments</v>
      </c>
      <c r="C13705" s="5">
        <v>5444</v>
      </c>
      <c r="D13705" s="6">
        <v>3.95</v>
      </c>
      <c r="E13705" t="s">
        <v>11</v>
      </c>
    </row>
    <row r="13706" spans="1:5" x14ac:dyDescent="0.25">
      <c r="A13706" t="str">
        <f>HYPERLINK("https://www.773grp.com/globalSearch/TLV2780AIDR/page-1", "TLV2780AIDR")</f>
        <v>TLV2780AIDR</v>
      </c>
      <c r="B13706" s="3" t="str">
        <f>HYPERLINK("https://www.773grp.com/manufacturer/texas-instruments?pageNo=103", "Texas Instruments")</f>
        <v>Texas Instruments</v>
      </c>
      <c r="C13706" s="5">
        <v>4353</v>
      </c>
      <c r="D13706" s="6">
        <v>3.95</v>
      </c>
      <c r="E13706" t="s">
        <v>11</v>
      </c>
    </row>
    <row r="13707" spans="1:5" x14ac:dyDescent="0.25">
      <c r="A13707" t="str">
        <f>HYPERLINK("https://www.773grp.com/globalSearch/TLV2780IDBVR/page-1", "TLV2780IDBVR")</f>
        <v>TLV2780IDBVR</v>
      </c>
      <c r="B13707" s="3" t="str">
        <f>HYPERLINK("https://www.773grp.com/manufacturer/texas-instruments?pageNo=104", "Texas Instruments")</f>
        <v>Texas Instruments</v>
      </c>
      <c r="C13707" s="5">
        <v>38750</v>
      </c>
      <c r="D13707" s="6">
        <v>3.95</v>
      </c>
      <c r="E13707" t="s">
        <v>11</v>
      </c>
    </row>
    <row r="13708" spans="1:5" x14ac:dyDescent="0.25">
      <c r="A13708" t="str">
        <f>HYPERLINK("https://www.773grp.com/globalSearch/TLV2780IDR/page-1", "TLV2780IDR")</f>
        <v>TLV2780IDR</v>
      </c>
      <c r="B13708" s="3" t="str">
        <f>HYPERLINK("https://www.773grp.com/manufacturer/texas-instruments?pageNo=105", "Texas Instruments")</f>
        <v>Texas Instruments</v>
      </c>
      <c r="C13708" s="5">
        <v>20000</v>
      </c>
      <c r="D13708" s="6">
        <v>3.95</v>
      </c>
      <c r="E13708" t="s">
        <v>11</v>
      </c>
    </row>
    <row r="13709" spans="1:5" x14ac:dyDescent="0.25">
      <c r="A13709" t="str">
        <f>HYPERLINK("https://www.773grp.com/globalSearch/TLV2780IP/page-1", "TLV2780IP")</f>
        <v>TLV2780IP</v>
      </c>
      <c r="B13709" s="3" t="str">
        <f>HYPERLINK("https://www.773grp.com/manufacturer/texas-instruments?pageNo=106", "Texas Instruments")</f>
        <v>Texas Instruments</v>
      </c>
      <c r="C13709" s="5">
        <v>461</v>
      </c>
      <c r="D13709" s="6">
        <v>3.95</v>
      </c>
      <c r="E13709" t="s">
        <v>11</v>
      </c>
    </row>
    <row r="13710" spans="1:5" x14ac:dyDescent="0.25">
      <c r="A13710" t="str">
        <f>HYPERLINK("https://www.773grp.com/globalSearch/TLV2781IDBVT/page-1", "TLV2781IDBVT")</f>
        <v>TLV2781IDBVT</v>
      </c>
      <c r="B13710" s="3" t="str">
        <f>HYPERLINK("https://www.773grp.com/manufacturer/texas-instruments?pageNo=107", "Texas Instruments")</f>
        <v>Texas Instruments</v>
      </c>
      <c r="C13710" s="5">
        <v>250</v>
      </c>
      <c r="D13710" s="6">
        <v>3.95</v>
      </c>
      <c r="E13710" t="s">
        <v>11</v>
      </c>
    </row>
    <row r="13711" spans="1:5" x14ac:dyDescent="0.25">
      <c r="A13711" t="str">
        <f>HYPERLINK("https://www.773grp.com/globalSearch/TLV4110CD/page-1", "TLV4110CD")</f>
        <v>TLV4110CD</v>
      </c>
      <c r="B13711" s="3" t="str">
        <f>HYPERLINK("https://www.773grp.com/manufacturer/texas-instruments?pageNo=118", "Texas Instruments")</f>
        <v>Texas Instruments</v>
      </c>
      <c r="C13711" s="5">
        <v>148</v>
      </c>
      <c r="D13711" s="6">
        <v>3.95</v>
      </c>
      <c r="E13711" t="s">
        <v>11</v>
      </c>
    </row>
    <row r="13712" spans="1:5" x14ac:dyDescent="0.25">
      <c r="A13712" t="str">
        <f>HYPERLINK("https://www.773grp.com/globalSearch/TLV4110CDR/page-1", "TLV4110CDR")</f>
        <v>TLV4110CDR</v>
      </c>
      <c r="B13712" s="3" t="str">
        <f>HYPERLINK("https://www.773grp.com/manufacturer/texas-instruments?pageNo=119", "Texas Instruments")</f>
        <v>Texas Instruments</v>
      </c>
      <c r="C13712" s="5">
        <v>5000</v>
      </c>
      <c r="D13712" s="6">
        <v>3.95</v>
      </c>
      <c r="E13712" t="s">
        <v>11</v>
      </c>
    </row>
    <row r="13713" spans="1:5" x14ac:dyDescent="0.25">
      <c r="A13713" t="str">
        <f>HYPERLINK("https://www.773grp.com/globalSearch/TLV4111IP/page-1", "TLV4111IP")</f>
        <v>TLV4111IP</v>
      </c>
      <c r="B13713" s="3" t="str">
        <f>HYPERLINK("https://www.773grp.com/manufacturer/texas-instruments?pageNo=120", "Texas Instruments")</f>
        <v>Texas Instruments</v>
      </c>
      <c r="C13713" s="5">
        <v>203</v>
      </c>
      <c r="D13713" s="6">
        <v>3.95</v>
      </c>
      <c r="E13713" t="s">
        <v>11</v>
      </c>
    </row>
    <row r="13714" spans="1:5" x14ac:dyDescent="0.25">
      <c r="A13714" t="str">
        <f>HYPERLINK("https://www.773grp.com/globalSearch/TLE2037QDRG4Q1/page-1", "TLE2037QDRG4Q1")</f>
        <v>TLE2037QDRG4Q1</v>
      </c>
      <c r="B13714" s="3" t="str">
        <f>HYPERLINK("https://www.773grp.com/manufacturer/texas-instruments?pageNo=251", "Texas Instruments")</f>
        <v>Texas Instruments</v>
      </c>
      <c r="C13714" s="5">
        <v>2500</v>
      </c>
      <c r="D13714" s="6">
        <v>3.6</v>
      </c>
      <c r="E13714" t="s">
        <v>11</v>
      </c>
    </row>
    <row r="13715" spans="1:5" x14ac:dyDescent="0.25">
      <c r="A13715" t="str">
        <f>HYPERLINK("https://www.773grp.com/globalSearch/TL032ACD/page-1", "TL032ACD")</f>
        <v>TL032ACD</v>
      </c>
      <c r="B13715" s="3" t="str">
        <f>HYPERLINK("https://www.773grp.com/manufacturer/texas-instruments?pageNo=401", "Texas Instruments")</f>
        <v>Texas Instruments</v>
      </c>
      <c r="C13715" s="5">
        <v>825</v>
      </c>
      <c r="D13715" s="6">
        <v>3.63</v>
      </c>
      <c r="E13715" t="s">
        <v>11</v>
      </c>
    </row>
    <row r="13716" spans="1:5" x14ac:dyDescent="0.25">
      <c r="A13716" t="str">
        <f>HYPERLINK("https://www.773grp.com/globalSearch/TL032AIP/page-1", "TL032AIP")</f>
        <v>TL032AIP</v>
      </c>
      <c r="B13716" s="3" t="str">
        <f>HYPERLINK("https://www.773grp.com/manufacturer/texas-instruments?pageNo=402", "Texas Instruments")</f>
        <v>Texas Instruments</v>
      </c>
      <c r="C13716" s="5">
        <v>63358</v>
      </c>
      <c r="D13716" s="6">
        <v>3.63</v>
      </c>
      <c r="E13716" t="s">
        <v>11</v>
      </c>
    </row>
    <row r="13717" spans="1:5" x14ac:dyDescent="0.25">
      <c r="A13717" t="str">
        <f>HYPERLINK("https://www.773grp.com/globalSearch/TL054CD/page-1", "TL054CD")</f>
        <v>TL054CD</v>
      </c>
      <c r="B13717" s="3" t="str">
        <f>HYPERLINK("https://www.773grp.com/manufacturer/texas-instruments?pageNo=403", "Texas Instruments")</f>
        <v>Texas Instruments</v>
      </c>
      <c r="C13717" s="5">
        <v>8657</v>
      </c>
      <c r="D13717" s="6">
        <v>3.63</v>
      </c>
      <c r="E13717" t="s">
        <v>11</v>
      </c>
    </row>
    <row r="13718" spans="1:5" x14ac:dyDescent="0.25">
      <c r="A13718" t="str">
        <f>HYPERLINK("https://www.773grp.com/globalSearch/TLC251ACP/page-1", "TLC251ACP")</f>
        <v>TLC251ACP</v>
      </c>
      <c r="B13718" s="3" t="str">
        <f>HYPERLINK("https://www.773grp.com/manufacturer/texas-instruments?pageNo=408", "Texas Instruments")</f>
        <v>Texas Instruments</v>
      </c>
      <c r="C13718" s="5">
        <v>15772</v>
      </c>
      <c r="D13718" s="6">
        <v>3.63</v>
      </c>
      <c r="E13718" t="s">
        <v>11</v>
      </c>
    </row>
    <row r="13719" spans="1:5" x14ac:dyDescent="0.25">
      <c r="A13719" t="str">
        <f>HYPERLINK("https://www.773grp.com/globalSearch/TLV2470IDBVR/page-1", "TLV2470IDBVR")</f>
        <v>TLV2470IDBVR</v>
      </c>
      <c r="B13719" s="3" t="str">
        <f>HYPERLINK("https://www.773grp.com/manufacturer/texas-instruments?pageNo=450", "Texas Instruments")</f>
        <v>Texas Instruments</v>
      </c>
      <c r="C13719" s="5">
        <v>7462</v>
      </c>
      <c r="D13719" s="6">
        <v>4.01</v>
      </c>
      <c r="E13719" t="s">
        <v>11</v>
      </c>
    </row>
    <row r="13720" spans="1:5" x14ac:dyDescent="0.25">
      <c r="A13720" t="str">
        <f>HYPERLINK("https://www.773grp.com/globalSearch/INA143UA/page-1", "INA143UA")</f>
        <v>INA143UA</v>
      </c>
      <c r="B13720" s="3" t="str">
        <f>HYPERLINK("https://www.773grp.com/manufacturer/texas-instruments?pageNo=474", "Texas Instruments")</f>
        <v>Texas Instruments</v>
      </c>
      <c r="C13720" s="5">
        <v>82</v>
      </c>
      <c r="D13720" s="6">
        <v>3.66</v>
      </c>
      <c r="E13720" t="s">
        <v>11</v>
      </c>
    </row>
    <row r="13721" spans="1:5" x14ac:dyDescent="0.25">
      <c r="A13721" t="str">
        <f>HYPERLINK("https://www.773grp.com/globalSearch/OPA131UA/page-1", "OPA131UA")</f>
        <v>OPA131UA</v>
      </c>
      <c r="B13721" s="3" t="str">
        <f>HYPERLINK("https://www.773grp.com/manufacturer/texas-instruments?pageNo=507", "Texas Instruments")</f>
        <v>Texas Instruments</v>
      </c>
      <c r="C13721" s="5">
        <v>26085</v>
      </c>
      <c r="D13721" s="6">
        <v>3.66</v>
      </c>
      <c r="E13721" t="s">
        <v>11</v>
      </c>
    </row>
    <row r="13722" spans="1:5" x14ac:dyDescent="0.25">
      <c r="A13722" t="str">
        <f>HYPERLINK("https://www.773grp.com/globalSearch/OPA2141AIDGKR/page-1", "OPA2141AIDGKR")</f>
        <v>OPA2141AIDGKR</v>
      </c>
      <c r="B13722" s="3" t="str">
        <f>HYPERLINK("https://www.773grp.com/manufacturer/texas-instruments?pageNo=510", "Texas Instruments")</f>
        <v>Texas Instruments</v>
      </c>
      <c r="C13722" s="5">
        <v>6800</v>
      </c>
      <c r="D13722" s="6">
        <v>3.66</v>
      </c>
      <c r="E13722" t="s">
        <v>11</v>
      </c>
    </row>
    <row r="13723" spans="1:5" x14ac:dyDescent="0.25">
      <c r="A13723" t="str">
        <f>HYPERLINK("https://www.773grp.com/globalSearch/OPA228UA/page-1", "OPA228UA")</f>
        <v>OPA228UA</v>
      </c>
      <c r="B13723" s="3" t="str">
        <f>HYPERLINK("https://www.773grp.com/manufacturer/texas-instruments?pageNo=513", "Texas Instruments")</f>
        <v>Texas Instruments</v>
      </c>
      <c r="C13723" s="5">
        <v>13961</v>
      </c>
      <c r="D13723" s="6">
        <v>3.66</v>
      </c>
      <c r="E13723" t="s">
        <v>11</v>
      </c>
    </row>
    <row r="13724" spans="1:5" x14ac:dyDescent="0.25">
      <c r="A13724" t="str">
        <f>HYPERLINK("https://www.773grp.com/globalSearch/OPA2336UA/page-1", "OPA2336UA")</f>
        <v>OPA2336UA</v>
      </c>
      <c r="B13724" s="3" t="str">
        <f>HYPERLINK("https://www.773grp.com/manufacturer/texas-instruments?pageNo=514", "Texas Instruments")</f>
        <v>Texas Instruments</v>
      </c>
      <c r="C13724" s="5">
        <v>31182</v>
      </c>
      <c r="D13724" s="6">
        <v>3.66</v>
      </c>
      <c r="E13724" t="s">
        <v>11</v>
      </c>
    </row>
    <row r="13725" spans="1:5" x14ac:dyDescent="0.25">
      <c r="A13725" t="str">
        <f>HYPERLINK("https://www.773grp.com/globalSearch/OPA2378AIDCNT/page-1", "OPA2378AIDCNT")</f>
        <v>OPA2378AIDCNT</v>
      </c>
      <c r="B13725" s="3" t="str">
        <f>HYPERLINK("https://www.773grp.com/manufacturer/texas-instruments?pageNo=518", "Texas Instruments")</f>
        <v>Texas Instruments</v>
      </c>
      <c r="C13725" s="5">
        <v>90</v>
      </c>
      <c r="D13725" s="6">
        <v>3.66</v>
      </c>
      <c r="E13725" t="s">
        <v>11</v>
      </c>
    </row>
    <row r="13726" spans="1:5" x14ac:dyDescent="0.25">
      <c r="A13726" t="str">
        <f>HYPERLINK("https://www.773grp.com/globalSearch/OPA241PA/page-1", "OPA241PA")</f>
        <v>OPA241PA</v>
      </c>
      <c r="B13726" s="3" t="str">
        <f>HYPERLINK("https://www.773grp.com/manufacturer/texas-instruments?pageNo=519", "Texas Instruments")</f>
        <v>Texas Instruments</v>
      </c>
      <c r="C13726" s="5">
        <v>7250</v>
      </c>
      <c r="D13726" s="6">
        <v>3.66</v>
      </c>
      <c r="E13726" t="s">
        <v>11</v>
      </c>
    </row>
    <row r="13727" spans="1:5" x14ac:dyDescent="0.25">
      <c r="A13727" t="str">
        <f>HYPERLINK("https://www.773grp.com/globalSearch/OPA241PA/page-1", "OPA241PA")</f>
        <v>OPA241PA</v>
      </c>
      <c r="B13727" s="3" t="str">
        <f>HYPERLINK("https://www.773grp.com/manufacturer/texas-instruments?pageNo=520", "Texas Instruments")</f>
        <v>Texas Instruments</v>
      </c>
      <c r="C13727" s="5">
        <v>5134</v>
      </c>
      <c r="D13727" s="6">
        <v>3.66</v>
      </c>
      <c r="E13727" t="s">
        <v>11</v>
      </c>
    </row>
    <row r="13728" spans="1:5" x14ac:dyDescent="0.25">
      <c r="A13728" t="str">
        <f>HYPERLINK("https://www.773grp.com/globalSearch/OPA251PA/page-1", "OPA251PA")</f>
        <v>OPA251PA</v>
      </c>
      <c r="B13728" s="3" t="str">
        <f>HYPERLINK("https://www.773grp.com/manufacturer/texas-instruments?pageNo=521", "Texas Instruments")</f>
        <v>Texas Instruments</v>
      </c>
      <c r="C13728" s="5">
        <v>28950</v>
      </c>
      <c r="D13728" s="6">
        <v>3.66</v>
      </c>
      <c r="E13728" t="s">
        <v>11</v>
      </c>
    </row>
    <row r="13729" spans="1:5" x14ac:dyDescent="0.25">
      <c r="A13729" t="str">
        <f>HYPERLINK("https://www.773grp.com/globalSearch/OPA251PA/page-1", "OPA251PA")</f>
        <v>OPA251PA</v>
      </c>
      <c r="B13729" s="3" t="str">
        <f>HYPERLINK("https://www.773grp.com/manufacturer/texas-instruments?pageNo=522", "Texas Instruments")</f>
        <v>Texas Instruments</v>
      </c>
      <c r="C13729" s="5">
        <v>5026</v>
      </c>
      <c r="D13729" s="6">
        <v>3.66</v>
      </c>
      <c r="E13729" t="s">
        <v>11</v>
      </c>
    </row>
    <row r="13730" spans="1:5" x14ac:dyDescent="0.25">
      <c r="A13730" t="str">
        <f>HYPERLINK("https://www.773grp.com/globalSearch/OPA4137UA/page-1", "OPA4137UA")</f>
        <v>OPA4137UA</v>
      </c>
      <c r="B13730" s="3" t="str">
        <f>HYPERLINK("https://www.773grp.com/manufacturer/texas-instruments?pageNo=525", "Texas Instruments")</f>
        <v>Texas Instruments</v>
      </c>
      <c r="C13730" s="5">
        <v>43312</v>
      </c>
      <c r="D13730" s="6">
        <v>3.66</v>
      </c>
      <c r="E13730" t="s">
        <v>11</v>
      </c>
    </row>
    <row r="13731" spans="1:5" x14ac:dyDescent="0.25">
      <c r="A13731" t="str">
        <f>HYPERLINK("https://www.773grp.com/globalSearch/OPA4137UA/page-1", "OPA4137UA")</f>
        <v>OPA4137UA</v>
      </c>
      <c r="B13731" s="3" t="str">
        <f>HYPERLINK("https://www.773grp.com/manufacturer/texas-instruments?pageNo=526", "Texas Instruments")</f>
        <v>Texas Instruments</v>
      </c>
      <c r="C13731" s="5">
        <v>418</v>
      </c>
      <c r="D13731" s="6">
        <v>3.66</v>
      </c>
      <c r="E13731" t="s">
        <v>11</v>
      </c>
    </row>
    <row r="13732" spans="1:5" x14ac:dyDescent="0.25">
      <c r="A13732" t="str">
        <f>HYPERLINK("https://www.773grp.com/globalSearch/OPA4137UAE4/page-1", "OPA4137UAE4")</f>
        <v>OPA4137UAE4</v>
      </c>
      <c r="B13732" s="3" t="str">
        <f>HYPERLINK("https://www.773grp.com/manufacturer/texas-instruments?pageNo=527", "Texas Instruments")</f>
        <v>Texas Instruments</v>
      </c>
      <c r="C13732" s="5">
        <v>116</v>
      </c>
      <c r="D13732" s="6">
        <v>3.66</v>
      </c>
      <c r="E13732" t="s">
        <v>11</v>
      </c>
    </row>
    <row r="13733" spans="1:5" x14ac:dyDescent="0.25">
      <c r="A13733" t="str">
        <f>HYPERLINK("https://www.773grp.com/globalSearch/OPA4137UAG4/page-1", "OPA4137UAG4")</f>
        <v>OPA4137UAG4</v>
      </c>
      <c r="B13733" s="3" t="str">
        <f>HYPERLINK("https://www.773grp.com/manufacturer/texas-instruments?pageNo=528", "Texas Instruments")</f>
        <v>Texas Instruments</v>
      </c>
      <c r="C13733" s="5">
        <v>1</v>
      </c>
      <c r="D13733" s="6">
        <v>3.66</v>
      </c>
      <c r="E13733" t="s">
        <v>11</v>
      </c>
    </row>
    <row r="13734" spans="1:5" x14ac:dyDescent="0.25">
      <c r="A13734" t="str">
        <f>HYPERLINK("https://www.773grp.com/globalSearch/OPA4705EA-250/page-1", "OPA4705EA-250")</f>
        <v>OPA4705EA-250</v>
      </c>
      <c r="B13734" s="3" t="str">
        <f>HYPERLINK("https://www.773grp.com/manufacturer/texas-instruments?pageNo=529", "Texas Instruments")</f>
        <v>Texas Instruments</v>
      </c>
      <c r="C13734" s="5">
        <v>8130</v>
      </c>
      <c r="D13734" s="6">
        <v>3.66</v>
      </c>
      <c r="E13734" t="s">
        <v>11</v>
      </c>
    </row>
    <row r="13735" spans="1:5" x14ac:dyDescent="0.25">
      <c r="A13735" t="str">
        <f>HYPERLINK("https://www.773grp.com/globalSearch/OPA4705EA-250/page-1", "OPA4705EA-250")</f>
        <v>OPA4705EA-250</v>
      </c>
      <c r="B13735" s="3" t="str">
        <f>HYPERLINK("https://www.773grp.com/manufacturer/texas-instruments?pageNo=530", "Texas Instruments")</f>
        <v>Texas Instruments</v>
      </c>
      <c r="C13735" s="5">
        <v>250</v>
      </c>
      <c r="D13735" s="6">
        <v>3.66</v>
      </c>
      <c r="E13735" t="s">
        <v>11</v>
      </c>
    </row>
    <row r="13736" spans="1:5" x14ac:dyDescent="0.25">
      <c r="A13736" t="str">
        <f>HYPERLINK("https://www.773grp.com/globalSearch/OPA703UA-2K5/page-1", "OPA703UA-2K5")</f>
        <v>OPA703UA-2K5</v>
      </c>
      <c r="B13736" s="3" t="str">
        <f>HYPERLINK("https://www.773grp.com/manufacturer/texas-instruments?pageNo=533", "Texas Instruments")</f>
        <v>Texas Instruments</v>
      </c>
      <c r="C13736" s="5">
        <v>2500</v>
      </c>
      <c r="D13736" s="6">
        <v>3.66</v>
      </c>
      <c r="E13736" t="s">
        <v>11</v>
      </c>
    </row>
    <row r="13737" spans="1:5" x14ac:dyDescent="0.25">
      <c r="A13737" t="str">
        <f>HYPERLINK("https://www.773grp.com/globalSearch/OPA704NA-3K/page-1", "OPA704NA-3K")</f>
        <v>OPA704NA-3K</v>
      </c>
      <c r="B13737" s="3" t="str">
        <f>HYPERLINK("https://www.773grp.com/manufacturer/texas-instruments?pageNo=534", "Texas Instruments")</f>
        <v>Texas Instruments</v>
      </c>
      <c r="C13737" s="5">
        <v>4900</v>
      </c>
      <c r="D13737" s="6">
        <v>3.66</v>
      </c>
      <c r="E13737" t="s">
        <v>11</v>
      </c>
    </row>
    <row r="13738" spans="1:5" x14ac:dyDescent="0.25">
      <c r="A13738" t="str">
        <f>HYPERLINK("https://www.773grp.com/globalSearch/OPA704UA-2K5/page-1", "OPA704UA-2K5")</f>
        <v>OPA704UA-2K5</v>
      </c>
      <c r="B13738" s="3" t="str">
        <f>HYPERLINK("https://www.773grp.com/manufacturer/texas-instruments?pageNo=535", "Texas Instruments")</f>
        <v>Texas Instruments</v>
      </c>
      <c r="C13738" s="5">
        <v>10000</v>
      </c>
      <c r="D13738" s="6">
        <v>3.66</v>
      </c>
      <c r="E13738" t="s">
        <v>11</v>
      </c>
    </row>
    <row r="13739" spans="1:5" x14ac:dyDescent="0.25">
      <c r="A13739" t="str">
        <f>HYPERLINK("https://www.773grp.com/globalSearch/OPA726AIDGKT/page-1", "OPA726AIDGKT")</f>
        <v>OPA726AIDGKT</v>
      </c>
      <c r="B13739" s="3" t="str">
        <f>HYPERLINK("https://www.773grp.com/manufacturer/texas-instruments?pageNo=536", "Texas Instruments")</f>
        <v>Texas Instruments</v>
      </c>
      <c r="C13739" s="5">
        <v>10941</v>
      </c>
      <c r="D13739" s="6">
        <v>3.66</v>
      </c>
      <c r="E13739" t="s">
        <v>11</v>
      </c>
    </row>
    <row r="13740" spans="1:5" x14ac:dyDescent="0.25">
      <c r="A13740" t="str">
        <f>HYPERLINK("https://www.773grp.com/globalSearch/TL34072AD/page-1", "TL34072AD")</f>
        <v>TL34072AD</v>
      </c>
      <c r="B13740" s="3" t="str">
        <f>HYPERLINK("https://www.773grp.com/manufacturer/texas-instruments?pageNo=547", "Texas Instruments")</f>
        <v>Texas Instruments</v>
      </c>
      <c r="C13740" s="5">
        <v>2990</v>
      </c>
      <c r="D13740" s="6">
        <v>3.66</v>
      </c>
      <c r="E13740" t="s">
        <v>11</v>
      </c>
    </row>
    <row r="13741" spans="1:5" x14ac:dyDescent="0.25">
      <c r="A13741" t="str">
        <f>HYPERLINK("https://www.773grp.com/globalSearch/TLC074AIDR/page-1", "TLC074AIDR")</f>
        <v>TLC074AIDR</v>
      </c>
      <c r="B13741" s="3" t="str">
        <f>HYPERLINK("https://www.773grp.com/manufacturer/texas-instruments?pageNo=548", "Texas Instruments")</f>
        <v>Texas Instruments</v>
      </c>
      <c r="C13741" s="5">
        <v>5000</v>
      </c>
      <c r="D13741" s="6">
        <v>3.66</v>
      </c>
      <c r="E13741" t="s">
        <v>11</v>
      </c>
    </row>
    <row r="13742" spans="1:5" x14ac:dyDescent="0.25">
      <c r="A13742" t="str">
        <f>HYPERLINK("https://www.773grp.com/globalSearch/TLC075AID/page-1", "TLC075AID")</f>
        <v>TLC075AID</v>
      </c>
      <c r="B13742" s="3" t="str">
        <f>HYPERLINK("https://www.773grp.com/manufacturer/texas-instruments?pageNo=549", "Texas Instruments")</f>
        <v>Texas Instruments</v>
      </c>
      <c r="C13742" s="5">
        <v>40</v>
      </c>
      <c r="D13742" s="6">
        <v>3.66</v>
      </c>
      <c r="E13742" t="s">
        <v>11</v>
      </c>
    </row>
    <row r="13743" spans="1:5" x14ac:dyDescent="0.25">
      <c r="A13743" t="str">
        <f>HYPERLINK("https://www.773grp.com/globalSearch/TLC075AIN/page-1", "TLC075AIN")</f>
        <v>TLC075AIN</v>
      </c>
      <c r="B13743" s="3" t="str">
        <f>HYPERLINK("https://www.773grp.com/manufacturer/texas-instruments?pageNo=550", "Texas Instruments")</f>
        <v>Texas Instruments</v>
      </c>
      <c r="C13743" s="5">
        <v>5650</v>
      </c>
      <c r="D13743" s="6">
        <v>3.66</v>
      </c>
      <c r="E13743" t="s">
        <v>11</v>
      </c>
    </row>
    <row r="13744" spans="1:5" x14ac:dyDescent="0.25">
      <c r="A13744" t="str">
        <f>HYPERLINK("https://www.773grp.com/globalSearch/TLC075CD/page-1", "TLC075CD")</f>
        <v>TLC075CD</v>
      </c>
      <c r="B13744" s="3" t="str">
        <f>HYPERLINK("https://www.773grp.com/manufacturer/texas-instruments?pageNo=551", "Texas Instruments")</f>
        <v>Texas Instruments</v>
      </c>
      <c r="C13744" s="5">
        <v>10132</v>
      </c>
      <c r="D13744" s="6">
        <v>3.66</v>
      </c>
      <c r="E13744" t="s">
        <v>11</v>
      </c>
    </row>
    <row r="13745" spans="1:5" x14ac:dyDescent="0.25">
      <c r="A13745" t="str">
        <f>HYPERLINK("https://www.773grp.com/globalSearch/TLC075CN/page-1", "TLC075CN")</f>
        <v>TLC075CN</v>
      </c>
      <c r="B13745" s="3" t="str">
        <f>HYPERLINK("https://www.773grp.com/manufacturer/texas-instruments?pageNo=552", "Texas Instruments")</f>
        <v>Texas Instruments</v>
      </c>
      <c r="C13745" s="5">
        <v>14978</v>
      </c>
      <c r="D13745" s="6">
        <v>3.66</v>
      </c>
      <c r="E13745" t="s">
        <v>11</v>
      </c>
    </row>
    <row r="13746" spans="1:5" x14ac:dyDescent="0.25">
      <c r="A13746" t="str">
        <f>HYPERLINK("https://www.773grp.com/globalSearch/TLC084AIPWP/page-1", "TLC084AIPWP")</f>
        <v>TLC084AIPWP</v>
      </c>
      <c r="B13746" s="3" t="str">
        <f>HYPERLINK("https://www.773grp.com/manufacturer/texas-instruments?pageNo=553", "Texas Instruments")</f>
        <v>Texas Instruments</v>
      </c>
      <c r="C13746" s="5">
        <v>10079</v>
      </c>
      <c r="D13746" s="6">
        <v>3.66</v>
      </c>
      <c r="E13746" t="s">
        <v>11</v>
      </c>
    </row>
    <row r="13747" spans="1:5" x14ac:dyDescent="0.25">
      <c r="A13747" t="str">
        <f>HYPERLINK("https://www.773grp.com/globalSearch/TLC085CDR/page-1", "TLC085CDR")</f>
        <v>TLC085CDR</v>
      </c>
      <c r="B13747" s="3" t="str">
        <f>HYPERLINK("https://www.773grp.com/manufacturer/texas-instruments?pageNo=554", "Texas Instruments")</f>
        <v>Texas Instruments</v>
      </c>
      <c r="C13747" s="5">
        <v>5000</v>
      </c>
      <c r="D13747" s="6">
        <v>3.66</v>
      </c>
      <c r="E13747" t="s">
        <v>11</v>
      </c>
    </row>
    <row r="13748" spans="1:5" x14ac:dyDescent="0.25">
      <c r="A13748" t="str">
        <f>HYPERLINK("https://www.773grp.com/globalSearch/TLC252BCDR/page-1", "TLC252BCDR")</f>
        <v>TLC252BCDR</v>
      </c>
      <c r="B13748" s="3" t="str">
        <f>HYPERLINK("https://www.773grp.com/manufacturer/texas-instruments?pageNo=555", "Texas Instruments")</f>
        <v>Texas Instruments</v>
      </c>
      <c r="C13748" s="5">
        <v>10000</v>
      </c>
      <c r="D13748" s="6">
        <v>3.66</v>
      </c>
      <c r="E13748" t="s">
        <v>11</v>
      </c>
    </row>
    <row r="13749" spans="1:5" x14ac:dyDescent="0.25">
      <c r="A13749" t="str">
        <f>HYPERLINK("https://www.773grp.com/globalSearch/TLC279ID/page-1", "TLC279ID")</f>
        <v>TLC279ID</v>
      </c>
      <c r="B13749" s="3" t="str">
        <f>HYPERLINK("https://www.773grp.com/manufacturer/texas-instruments?pageNo=556", "Texas Instruments")</f>
        <v>Texas Instruments</v>
      </c>
      <c r="C13749" s="5">
        <v>64</v>
      </c>
      <c r="D13749" s="6">
        <v>3.66</v>
      </c>
      <c r="E13749" t="s">
        <v>11</v>
      </c>
    </row>
    <row r="13750" spans="1:5" x14ac:dyDescent="0.25">
      <c r="A13750" t="str">
        <f>HYPERLINK("https://www.773grp.com/globalSearch/TLE2022AID/page-1", "TLE2022AID")</f>
        <v>TLE2022AID</v>
      </c>
      <c r="B13750" s="3" t="str">
        <f>HYPERLINK("https://www.773grp.com/manufacturer/texas-instruments?pageNo=561", "Texas Instruments")</f>
        <v>Texas Instruments</v>
      </c>
      <c r="C13750" s="5">
        <v>1087</v>
      </c>
      <c r="D13750" s="6">
        <v>3.66</v>
      </c>
      <c r="E13750" t="s">
        <v>11</v>
      </c>
    </row>
    <row r="13751" spans="1:5" x14ac:dyDescent="0.25">
      <c r="A13751" t="str">
        <f>HYPERLINK("https://www.773grp.com/globalSearch/TLE2022AMD/page-1", "TLE2022AMD")</f>
        <v>TLE2022AMD</v>
      </c>
      <c r="B13751" s="3" t="str">
        <f>HYPERLINK("https://www.773grp.com/manufacturer/texas-instruments?pageNo=562", "Texas Instruments")</f>
        <v>Texas Instruments</v>
      </c>
      <c r="C13751" s="5">
        <v>2097</v>
      </c>
      <c r="D13751" s="6">
        <v>3.66</v>
      </c>
      <c r="E13751" t="s">
        <v>11</v>
      </c>
    </row>
    <row r="13752" spans="1:5" x14ac:dyDescent="0.25">
      <c r="A13752" t="str">
        <f>HYPERLINK("https://www.773grp.com/globalSearch/TLE2062MDG4/page-1", "TLE2062MDG4")</f>
        <v>TLE2062MDG4</v>
      </c>
      <c r="B13752" s="3" t="str">
        <f>HYPERLINK("https://www.773grp.com/manufacturer/texas-instruments?pageNo=565", "Texas Instruments")</f>
        <v>Texas Instruments</v>
      </c>
      <c r="C13752" s="5">
        <v>300</v>
      </c>
      <c r="D13752" s="6">
        <v>3.66</v>
      </c>
      <c r="E13752" t="s">
        <v>11</v>
      </c>
    </row>
    <row r="13753" spans="1:5" x14ac:dyDescent="0.25">
      <c r="A13753" t="str">
        <f>HYPERLINK("https://www.773grp.com/globalSearch/TLV2254AID/page-1", "TLV2254AID")</f>
        <v>TLV2254AID</v>
      </c>
      <c r="B13753" s="3" t="str">
        <f>HYPERLINK("https://www.773grp.com/manufacturer/texas-instruments?pageNo=566", "Texas Instruments")</f>
        <v>Texas Instruments</v>
      </c>
      <c r="C13753" s="5">
        <v>2765</v>
      </c>
      <c r="D13753" s="6">
        <v>3.66</v>
      </c>
      <c r="E13753" t="s">
        <v>11</v>
      </c>
    </row>
    <row r="13754" spans="1:5" x14ac:dyDescent="0.25">
      <c r="A13754" t="str">
        <f>HYPERLINK("https://www.773grp.com/globalSearch/TLV2264AQD/page-1", "TLV2264AQD")</f>
        <v>TLV2264AQD</v>
      </c>
      <c r="B13754" s="3" t="str">
        <f>HYPERLINK("https://www.773grp.com/manufacturer/texas-instruments?pageNo=568", "Texas Instruments")</f>
        <v>Texas Instruments</v>
      </c>
      <c r="C13754" s="5">
        <v>400</v>
      </c>
      <c r="D13754" s="6">
        <v>3.66</v>
      </c>
      <c r="E13754" t="s">
        <v>11</v>
      </c>
    </row>
    <row r="13755" spans="1:5" x14ac:dyDescent="0.25">
      <c r="A13755" t="str">
        <f>HYPERLINK("https://www.773grp.com/globalSearch/TLV2324ID/page-1", "TLV2324ID")</f>
        <v>TLV2324ID</v>
      </c>
      <c r="B13755" s="3" t="str">
        <f>HYPERLINK("https://www.773grp.com/manufacturer/texas-instruments?pageNo=570", "Texas Instruments")</f>
        <v>Texas Instruments</v>
      </c>
      <c r="C13755" s="5">
        <v>2732</v>
      </c>
      <c r="D13755" s="6">
        <v>3.66</v>
      </c>
      <c r="E13755" t="s">
        <v>11</v>
      </c>
    </row>
    <row r="13756" spans="1:5" x14ac:dyDescent="0.25">
      <c r="A13756" t="str">
        <f>HYPERLINK("https://www.773grp.com/globalSearch/TLV2324IPW/page-1", "TLV2324IPW")</f>
        <v>TLV2324IPW</v>
      </c>
      <c r="B13756" s="3" t="str">
        <f>HYPERLINK("https://www.773grp.com/manufacturer/texas-instruments?pageNo=571", "Texas Instruments")</f>
        <v>Texas Instruments</v>
      </c>
      <c r="C13756" s="5">
        <v>8835</v>
      </c>
      <c r="D13756" s="6">
        <v>3.66</v>
      </c>
      <c r="E13756" t="s">
        <v>11</v>
      </c>
    </row>
    <row r="13757" spans="1:5" x14ac:dyDescent="0.25">
      <c r="A13757" t="str">
        <f>HYPERLINK("https://www.773grp.com/globalSearch/TLV2434AID/page-1", "TLV2434AID")</f>
        <v>TLV2434AID</v>
      </c>
      <c r="B13757" s="3" t="str">
        <f>HYPERLINK("https://www.773grp.com/manufacturer/texas-instruments?pageNo=572", "Texas Instruments")</f>
        <v>Texas Instruments</v>
      </c>
      <c r="C13757" s="5">
        <v>549</v>
      </c>
      <c r="D13757" s="6">
        <v>3.66</v>
      </c>
      <c r="E13757" t="s">
        <v>11</v>
      </c>
    </row>
    <row r="13758" spans="1:5" x14ac:dyDescent="0.25">
      <c r="A13758" t="str">
        <f>HYPERLINK("https://www.773grp.com/globalSearch/TLV2444AID/page-1", "TLV2444AID")</f>
        <v>TLV2444AID</v>
      </c>
      <c r="B13758" s="3" t="str">
        <f>HYPERLINK("https://www.773grp.com/manufacturer/texas-instruments?pageNo=573", "Texas Instruments")</f>
        <v>Texas Instruments</v>
      </c>
      <c r="C13758" s="5">
        <v>1621</v>
      </c>
      <c r="D13758" s="6">
        <v>3.66</v>
      </c>
      <c r="E13758" t="s">
        <v>11</v>
      </c>
    </row>
    <row r="13759" spans="1:5" x14ac:dyDescent="0.25">
      <c r="A13759" t="str">
        <f>HYPERLINK("https://www.773grp.com/globalSearch/TLV2454AIN/page-1", "TLV2454AIN")</f>
        <v>TLV2454AIN</v>
      </c>
      <c r="B13759" s="3" t="str">
        <f>HYPERLINK("https://www.773grp.com/manufacturer/texas-instruments?pageNo=574", "Texas Instruments")</f>
        <v>Texas Instruments</v>
      </c>
      <c r="C13759" s="5">
        <v>9240</v>
      </c>
      <c r="D13759" s="6">
        <v>3.66</v>
      </c>
      <c r="E13759" t="s">
        <v>11</v>
      </c>
    </row>
    <row r="13760" spans="1:5" x14ac:dyDescent="0.25">
      <c r="A13760" t="str">
        <f>HYPERLINK("https://www.773grp.com/globalSearch/TLV2454ID/page-1", "TLV2454ID")</f>
        <v>TLV2454ID</v>
      </c>
      <c r="B13760" s="3" t="str">
        <f>HYPERLINK("https://www.773grp.com/manufacturer/texas-instruments?pageNo=575", "Texas Instruments")</f>
        <v>Texas Instruments</v>
      </c>
      <c r="C13760" s="5">
        <v>552</v>
      </c>
      <c r="D13760" s="6">
        <v>3.66</v>
      </c>
      <c r="E13760" t="s">
        <v>11</v>
      </c>
    </row>
    <row r="13761" spans="1:5" x14ac:dyDescent="0.25">
      <c r="A13761" t="str">
        <f>HYPERLINK("https://www.773grp.com/globalSearch/TLV2454IPW/page-1", "TLV2454IPW")</f>
        <v>TLV2454IPW</v>
      </c>
      <c r="B13761" s="3" t="str">
        <f>HYPERLINK("https://www.773grp.com/manufacturer/texas-instruments?pageNo=576", "Texas Instruments")</f>
        <v>Texas Instruments</v>
      </c>
      <c r="C13761" s="5">
        <v>1170</v>
      </c>
      <c r="D13761" s="6">
        <v>3.66</v>
      </c>
      <c r="E13761" t="s">
        <v>11</v>
      </c>
    </row>
    <row r="13762" spans="1:5" x14ac:dyDescent="0.25">
      <c r="A13762" t="str">
        <f>HYPERLINK("https://www.773grp.com/globalSearch/TLV2462AID/page-1", "TLV2462AID")</f>
        <v>TLV2462AID</v>
      </c>
      <c r="B13762" s="3" t="str">
        <f>HYPERLINK("https://www.773grp.com/manufacturer/texas-instruments?pageNo=577", "Texas Instruments")</f>
        <v>Texas Instruments</v>
      </c>
      <c r="C13762" s="5">
        <v>1837</v>
      </c>
      <c r="D13762" s="6">
        <v>3.66</v>
      </c>
      <c r="E13762" t="s">
        <v>11</v>
      </c>
    </row>
    <row r="13763" spans="1:5" x14ac:dyDescent="0.25">
      <c r="A13763" t="str">
        <f>HYPERLINK("https://www.773grp.com/globalSearch/TLV2463AQD/page-1", "TLV2463AQD")</f>
        <v>TLV2463AQD</v>
      </c>
      <c r="B13763" s="3" t="str">
        <f>HYPERLINK("https://www.773grp.com/manufacturer/texas-instruments?pageNo=578", "Texas Instruments")</f>
        <v>Texas Instruments</v>
      </c>
      <c r="C13763" s="5">
        <v>3800</v>
      </c>
      <c r="D13763" s="6">
        <v>3.66</v>
      </c>
      <c r="E13763" t="s">
        <v>11</v>
      </c>
    </row>
    <row r="13764" spans="1:5" x14ac:dyDescent="0.25">
      <c r="A13764" t="str">
        <f>HYPERLINK("https://www.773grp.com/globalSearch/TLV2464AIN/page-1", "TLV2464AIN")</f>
        <v>TLV2464AIN</v>
      </c>
      <c r="B13764" s="3" t="str">
        <f>HYPERLINK("https://www.773grp.com/manufacturer/texas-instruments?pageNo=579", "Texas Instruments")</f>
        <v>Texas Instruments</v>
      </c>
      <c r="C13764" s="5">
        <v>14955</v>
      </c>
      <c r="D13764" s="6">
        <v>3.66</v>
      </c>
      <c r="E13764" t="s">
        <v>11</v>
      </c>
    </row>
    <row r="13765" spans="1:5" x14ac:dyDescent="0.25">
      <c r="A13765" t="str">
        <f>HYPERLINK("https://www.773grp.com/globalSearch/TLV2464ID/page-1", "TLV2464ID")</f>
        <v>TLV2464ID</v>
      </c>
      <c r="B13765" s="3" t="str">
        <f>HYPERLINK("https://www.773grp.com/manufacturer/texas-instruments?pageNo=581", "Texas Instruments")</f>
        <v>Texas Instruments</v>
      </c>
      <c r="C13765" s="5">
        <v>3466</v>
      </c>
      <c r="D13765" s="6">
        <v>3.66</v>
      </c>
      <c r="E13765" t="s">
        <v>11</v>
      </c>
    </row>
    <row r="13766" spans="1:5" x14ac:dyDescent="0.25">
      <c r="A13766" t="str">
        <f>HYPERLINK("https://www.773grp.com/globalSearch/TLV2464IPW/page-1", "TLV2464IPW")</f>
        <v>TLV2464IPW</v>
      </c>
      <c r="B13766" s="3" t="str">
        <f>HYPERLINK("https://www.773grp.com/manufacturer/texas-instruments?pageNo=583", "Texas Instruments")</f>
        <v>Texas Instruments</v>
      </c>
      <c r="C13766" s="5">
        <v>2722</v>
      </c>
      <c r="D13766" s="6">
        <v>3.66</v>
      </c>
      <c r="E13766" t="s">
        <v>11</v>
      </c>
    </row>
    <row r="13767" spans="1:5" x14ac:dyDescent="0.25">
      <c r="A13767" t="str">
        <f>HYPERLINK("https://www.773grp.com/globalSearch/TLV2472AQDRG4Q1/page-1", "TLV2472AQDRG4Q1")</f>
        <v>TLV2472AQDRG4Q1</v>
      </c>
      <c r="B13767" s="3" t="str">
        <f>HYPERLINK("https://www.773grp.com/manufacturer/texas-instruments?pageNo=584", "Texas Instruments")</f>
        <v>Texas Instruments</v>
      </c>
      <c r="C13767" s="5">
        <v>32500</v>
      </c>
      <c r="D13767" s="6">
        <v>3.66</v>
      </c>
      <c r="E13767" t="s">
        <v>11</v>
      </c>
    </row>
    <row r="13768" spans="1:5" x14ac:dyDescent="0.25">
      <c r="A13768" t="str">
        <f>HYPERLINK("https://www.773grp.com/globalSearch/TLV2474QDRQ1/page-1", "TLV2474QDRQ1")</f>
        <v>TLV2474QDRQ1</v>
      </c>
      <c r="B13768" s="3" t="str">
        <f>HYPERLINK("https://www.773grp.com/manufacturer/texas-instruments?pageNo=586", "Texas Instruments")</f>
        <v>Texas Instruments</v>
      </c>
      <c r="C13768" s="5">
        <v>2</v>
      </c>
      <c r="D13768" s="6">
        <v>3.66</v>
      </c>
      <c r="E13768" t="s">
        <v>11</v>
      </c>
    </row>
    <row r="13769" spans="1:5" x14ac:dyDescent="0.25">
      <c r="A13769" t="str">
        <f>HYPERLINK("https://www.773grp.com/globalSearch/TLV2634IDR/page-1", "TLV2634IDR")</f>
        <v>TLV2634IDR</v>
      </c>
      <c r="B13769" s="3" t="str">
        <f>HYPERLINK("https://www.773grp.com/manufacturer/texas-instruments?pageNo=587", "Texas Instruments")</f>
        <v>Texas Instruments</v>
      </c>
      <c r="C13769" s="5">
        <v>2350</v>
      </c>
      <c r="D13769" s="6">
        <v>3.66</v>
      </c>
      <c r="E13769" t="s">
        <v>11</v>
      </c>
    </row>
    <row r="13770" spans="1:5" x14ac:dyDescent="0.25">
      <c r="A13770" t="str">
        <f>HYPERLINK("https://www.773grp.com/globalSearch/TLV2634IN/page-1", "TLV2634IN")</f>
        <v>TLV2634IN</v>
      </c>
      <c r="B13770" s="3" t="str">
        <f>HYPERLINK("https://www.773grp.com/manufacturer/texas-instruments?pageNo=588", "Texas Instruments")</f>
        <v>Texas Instruments</v>
      </c>
      <c r="C13770" s="5">
        <v>568</v>
      </c>
      <c r="D13770" s="6">
        <v>3.66</v>
      </c>
      <c r="E13770" t="s">
        <v>11</v>
      </c>
    </row>
    <row r="13771" spans="1:5" x14ac:dyDescent="0.25">
      <c r="A13771" t="str">
        <f>HYPERLINK("https://www.773grp.com/globalSearch/TLV2634IPW/page-1", "TLV2634IPW")</f>
        <v>TLV2634IPW</v>
      </c>
      <c r="B13771" s="3" t="str">
        <f>HYPERLINK("https://www.773grp.com/manufacturer/texas-instruments?pageNo=589", "Texas Instruments")</f>
        <v>Texas Instruments</v>
      </c>
      <c r="C13771" s="5">
        <v>1040</v>
      </c>
      <c r="D13771" s="6">
        <v>3.66</v>
      </c>
      <c r="E13771" t="s">
        <v>11</v>
      </c>
    </row>
    <row r="13772" spans="1:5" x14ac:dyDescent="0.25">
      <c r="A13772" t="str">
        <f>HYPERLINK("https://www.773grp.com/globalSearch/TLV2702IDGK/page-1", "TLV2702IDGK")</f>
        <v>TLV2702IDGK</v>
      </c>
      <c r="B13772" s="3" t="str">
        <f>HYPERLINK("https://www.773grp.com/manufacturer/texas-instruments?pageNo=590", "Texas Instruments")</f>
        <v>Texas Instruments</v>
      </c>
      <c r="C13772" s="5">
        <v>7186</v>
      </c>
      <c r="D13772" s="6">
        <v>3.66</v>
      </c>
      <c r="E13772" t="s">
        <v>11</v>
      </c>
    </row>
    <row r="13773" spans="1:5" x14ac:dyDescent="0.25">
      <c r="A13773" t="str">
        <f>HYPERLINK("https://www.773grp.com/globalSearch/TLV2773IDGSR/page-1", "TLV2773IDGSR")</f>
        <v>TLV2773IDGSR</v>
      </c>
      <c r="B13773" s="3" t="str">
        <f>HYPERLINK("https://www.773grp.com/manufacturer/texas-instruments?pageNo=591", "Texas Instruments")</f>
        <v>Texas Instruments</v>
      </c>
      <c r="C13773" s="5">
        <v>17357</v>
      </c>
      <c r="D13773" s="6">
        <v>3.66</v>
      </c>
      <c r="E13773" t="s">
        <v>11</v>
      </c>
    </row>
    <row r="13774" spans="1:5" x14ac:dyDescent="0.25">
      <c r="A13774" t="str">
        <f>HYPERLINK("https://www.773grp.com/globalSearch/TLV2773IDR/page-1", "TLV2773IDR")</f>
        <v>TLV2773IDR</v>
      </c>
      <c r="B13774" s="3" t="str">
        <f>HYPERLINK("https://www.773grp.com/manufacturer/texas-instruments?pageNo=592", "Texas Instruments")</f>
        <v>Texas Instruments</v>
      </c>
      <c r="C13774" s="5">
        <v>5000</v>
      </c>
      <c r="D13774" s="6">
        <v>3.66</v>
      </c>
      <c r="E13774" t="s">
        <v>11</v>
      </c>
    </row>
    <row r="13775" spans="1:5" x14ac:dyDescent="0.25">
      <c r="A13775" t="str">
        <f>HYPERLINK("https://www.773grp.com/globalSearch/TLV2773IN/page-1", "TLV2773IN")</f>
        <v>TLV2773IN</v>
      </c>
      <c r="B13775" s="3" t="str">
        <f>HYPERLINK("https://www.773grp.com/manufacturer/texas-instruments?pageNo=593", "Texas Instruments")</f>
        <v>Texas Instruments</v>
      </c>
      <c r="C13775" s="5">
        <v>21340</v>
      </c>
      <c r="D13775" s="6">
        <v>3.66</v>
      </c>
      <c r="E13775" t="s">
        <v>11</v>
      </c>
    </row>
    <row r="13776" spans="1:5" x14ac:dyDescent="0.25">
      <c r="A13776" t="str">
        <f>HYPERLINK("https://www.773grp.com/globalSearch/TLV2774AIPWR/page-1", "TLV2774AIPWR")</f>
        <v>TLV2774AIPWR</v>
      </c>
      <c r="B13776" s="3" t="str">
        <f>HYPERLINK("https://www.773grp.com/manufacturer/texas-instruments?pageNo=594", "Texas Instruments")</f>
        <v>Texas Instruments</v>
      </c>
      <c r="C13776" s="5">
        <v>3940</v>
      </c>
      <c r="D13776" s="6">
        <v>3.66</v>
      </c>
      <c r="E13776" t="s">
        <v>11</v>
      </c>
    </row>
    <row r="13777" spans="1:5" x14ac:dyDescent="0.25">
      <c r="A13777" t="str">
        <f>HYPERLINK("https://www.773grp.com/globalSearch/TLV2775CD/page-1", "TLV2775CD")</f>
        <v>TLV2775CD</v>
      </c>
      <c r="B13777" s="3" t="str">
        <f>HYPERLINK("https://www.773grp.com/manufacturer/texas-instruments?pageNo=595", "Texas Instruments")</f>
        <v>Texas Instruments</v>
      </c>
      <c r="C13777" s="5">
        <v>16753</v>
      </c>
      <c r="D13777" s="6">
        <v>3.66</v>
      </c>
      <c r="E13777" t="s">
        <v>11</v>
      </c>
    </row>
    <row r="13778" spans="1:5" x14ac:dyDescent="0.25">
      <c r="A13778" t="str">
        <f>HYPERLINK("https://www.773grp.com/globalSearch/TLV2775CPW/page-1", "TLV2775CPW")</f>
        <v>TLV2775CPW</v>
      </c>
      <c r="B13778" s="3" t="str">
        <f>HYPERLINK("https://www.773grp.com/manufacturer/texas-instruments?pageNo=596", "Texas Instruments")</f>
        <v>Texas Instruments</v>
      </c>
      <c r="C13778" s="5">
        <v>2880</v>
      </c>
      <c r="D13778" s="6">
        <v>3.66</v>
      </c>
      <c r="E13778" t="s">
        <v>11</v>
      </c>
    </row>
    <row r="13779" spans="1:5" x14ac:dyDescent="0.25">
      <c r="A13779" t="str">
        <f>HYPERLINK("https://www.773grp.com/globalSearch/TLV2783ID/page-1", "TLV2783ID")</f>
        <v>TLV2783ID</v>
      </c>
      <c r="B13779" s="3" t="str">
        <f>HYPERLINK("https://www.773grp.com/manufacturer/texas-instruments?pageNo=597", "Texas Instruments")</f>
        <v>Texas Instruments</v>
      </c>
      <c r="C13779" s="5">
        <v>14981</v>
      </c>
      <c r="D13779" s="6">
        <v>3.66</v>
      </c>
      <c r="E13779" t="s">
        <v>11</v>
      </c>
    </row>
    <row r="13780" spans="1:5" x14ac:dyDescent="0.25">
      <c r="A13780" t="str">
        <f>HYPERLINK("https://www.773grp.com/globalSearch/TLV2783IDGSR/page-1", "TLV2783IDGSR")</f>
        <v>TLV2783IDGSR</v>
      </c>
      <c r="B13780" s="3" t="str">
        <f>HYPERLINK("https://www.773grp.com/manufacturer/texas-instruments?pageNo=598", "Texas Instruments")</f>
        <v>Texas Instruments</v>
      </c>
      <c r="C13780" s="5">
        <v>2500</v>
      </c>
      <c r="D13780" s="6">
        <v>3.66</v>
      </c>
      <c r="E13780" t="s">
        <v>11</v>
      </c>
    </row>
    <row r="13781" spans="1:5" x14ac:dyDescent="0.25">
      <c r="A13781" t="str">
        <f>HYPERLINK("https://www.773grp.com/globalSearch/TLV2784AIPW/page-1", "TLV2784AIPW")</f>
        <v>TLV2784AIPW</v>
      </c>
      <c r="B13781" s="3" t="str">
        <f>HYPERLINK("https://www.773grp.com/manufacturer/texas-instruments?pageNo=599", "Texas Instruments")</f>
        <v>Texas Instruments</v>
      </c>
      <c r="C13781" s="5">
        <v>2360</v>
      </c>
      <c r="D13781" s="6">
        <v>3.66</v>
      </c>
      <c r="E13781" t="s">
        <v>11</v>
      </c>
    </row>
    <row r="13782" spans="1:5" x14ac:dyDescent="0.25">
      <c r="A13782" t="str">
        <f>HYPERLINK("https://www.773grp.com/globalSearch/TLV2784CPW/page-1", "TLV2784CPW")</f>
        <v>TLV2784CPW</v>
      </c>
      <c r="B13782" s="3" t="str">
        <f>HYPERLINK("https://www.773grp.com/manufacturer/texas-instruments?pageNo=600", "Texas Instruments")</f>
        <v>Texas Instruments</v>
      </c>
      <c r="C13782" s="5">
        <v>5940</v>
      </c>
      <c r="D13782" s="6">
        <v>3.66</v>
      </c>
      <c r="E13782" t="s">
        <v>11</v>
      </c>
    </row>
    <row r="13783" spans="1:5" x14ac:dyDescent="0.25">
      <c r="A13783" t="str">
        <f>HYPERLINK("https://www.773grp.com/globalSearch/TLV2785CD/page-1", "TLV2785CD")</f>
        <v>TLV2785CD</v>
      </c>
      <c r="B13783" s="3" t="str">
        <f>HYPERLINK("https://www.773grp.com/manufacturer/texas-instruments?pageNo=601", "Texas Instruments")</f>
        <v>Texas Instruments</v>
      </c>
      <c r="C13783" s="5">
        <v>520</v>
      </c>
      <c r="D13783" s="6">
        <v>3.66</v>
      </c>
      <c r="E13783" t="s">
        <v>11</v>
      </c>
    </row>
    <row r="13784" spans="1:5" x14ac:dyDescent="0.25">
      <c r="A13784" t="str">
        <f>HYPERLINK("https://www.773grp.com/globalSearch/TLV2785CDR/page-1", "TLV2785CDR")</f>
        <v>TLV2785CDR</v>
      </c>
      <c r="B13784" s="3" t="str">
        <f>HYPERLINK("https://www.773grp.com/manufacturer/texas-instruments?pageNo=602", "Texas Instruments")</f>
        <v>Texas Instruments</v>
      </c>
      <c r="C13784" s="5">
        <v>6718</v>
      </c>
      <c r="D13784" s="6">
        <v>3.66</v>
      </c>
      <c r="E13784" t="s">
        <v>11</v>
      </c>
    </row>
    <row r="13785" spans="1:5" x14ac:dyDescent="0.25">
      <c r="A13785" t="str">
        <f>HYPERLINK("https://www.773grp.com/globalSearch/OPA683IDBVR/page-1", "OPA683IDBVR")</f>
        <v>OPA683IDBVR</v>
      </c>
      <c r="B13785" s="3" t="str">
        <f>HYPERLINK("https://www.773grp.com/manufacturer/texas-instruments?pageNo=716", "Texas Instruments")</f>
        <v>Texas Instruments</v>
      </c>
      <c r="C13785" s="5">
        <v>27000</v>
      </c>
      <c r="D13785" s="6">
        <v>3.68</v>
      </c>
      <c r="E13785" t="s">
        <v>11</v>
      </c>
    </row>
    <row r="13786" spans="1:5" x14ac:dyDescent="0.25">
      <c r="A13786" t="str">
        <f>HYPERLINK("https://www.773grp.com/globalSearch/OPA683IDBVRG4/page-1", "OPA683IDBVRG4")</f>
        <v>OPA683IDBVRG4</v>
      </c>
      <c r="B13786" s="3" t="str">
        <f>HYPERLINK("https://www.773grp.com/manufacturer/texas-instruments?pageNo=717", "Texas Instruments")</f>
        <v>Texas Instruments</v>
      </c>
      <c r="C13786" s="5">
        <v>3000</v>
      </c>
      <c r="D13786" s="6">
        <v>3.68</v>
      </c>
      <c r="E13786" t="s">
        <v>11</v>
      </c>
    </row>
    <row r="13787" spans="1:5" x14ac:dyDescent="0.25">
      <c r="A13787" t="str">
        <f>HYPERLINK("https://www.773grp.com/globalSearch/OPA683IDR/page-1", "OPA683IDR")</f>
        <v>OPA683IDR</v>
      </c>
      <c r="B13787" s="3" t="str">
        <f>HYPERLINK("https://www.773grp.com/manufacturer/texas-instruments?pageNo=718", "Texas Instruments")</f>
        <v>Texas Instruments</v>
      </c>
      <c r="C13787" s="5">
        <v>142500</v>
      </c>
      <c r="D13787" s="6">
        <v>3.68</v>
      </c>
      <c r="E13787" t="s">
        <v>11</v>
      </c>
    </row>
    <row r="13788" spans="1:5" x14ac:dyDescent="0.25">
      <c r="A13788" t="str">
        <f>HYPERLINK("https://www.773grp.com/globalSearch/OPA861ID/page-1", "OPA861ID")</f>
        <v>OPA861ID</v>
      </c>
      <c r="B13788" s="3" t="str">
        <f>HYPERLINK("https://www.773grp.com/manufacturer/texas-instruments?pageNo=719", "Texas Instruments")</f>
        <v>Texas Instruments</v>
      </c>
      <c r="C13788" s="5">
        <v>17837</v>
      </c>
      <c r="D13788" s="6">
        <v>3.68</v>
      </c>
      <c r="E13788" t="s">
        <v>11</v>
      </c>
    </row>
    <row r="13789" spans="1:5" x14ac:dyDescent="0.25">
      <c r="A13789" t="str">
        <f>HYPERLINK("https://www.773grp.com/globalSearch/TLV2244IN/page-1", "TLV2244IN")</f>
        <v>TLV2244IN</v>
      </c>
      <c r="B13789" s="3" t="str">
        <f>HYPERLINK("https://www.773grp.com/manufacturer/texas-instruments?pageNo=748", "Texas Instruments")</f>
        <v>Texas Instruments</v>
      </c>
      <c r="C13789" s="5">
        <v>7989</v>
      </c>
      <c r="D13789" s="6">
        <v>3.68</v>
      </c>
      <c r="E13789" t="s">
        <v>11</v>
      </c>
    </row>
    <row r="13790" spans="1:5" x14ac:dyDescent="0.25">
      <c r="A13790" t="str">
        <f>HYPERLINK("https://www.773grp.com/globalSearch/TLV2264ID/page-1", "TLV2264ID")</f>
        <v>TLV2264ID</v>
      </c>
      <c r="B13790" s="3" t="str">
        <f>HYPERLINK("https://www.773grp.com/manufacturer/texas-instruments?pageNo=749", "Texas Instruments")</f>
        <v>Texas Instruments</v>
      </c>
      <c r="C13790" s="5">
        <v>23</v>
      </c>
      <c r="D13790" s="6">
        <v>3.68</v>
      </c>
      <c r="E13790" t="s">
        <v>11</v>
      </c>
    </row>
    <row r="13791" spans="1:5" x14ac:dyDescent="0.25">
      <c r="A13791" t="str">
        <f>HYPERLINK("https://www.773grp.com/globalSearch/TLV2474CPWP/page-1", "TLV2474CPWP")</f>
        <v>TLV2474CPWP</v>
      </c>
      <c r="B13791" s="3" t="str">
        <f>HYPERLINK("https://www.773grp.com/manufacturer/texas-instruments?pageNo=750", "Texas Instruments")</f>
        <v>Texas Instruments</v>
      </c>
      <c r="C13791" s="5">
        <v>9534</v>
      </c>
      <c r="D13791" s="6">
        <v>3.68</v>
      </c>
      <c r="E13791" t="s">
        <v>11</v>
      </c>
    </row>
    <row r="13792" spans="1:5" x14ac:dyDescent="0.25">
      <c r="A13792" t="str">
        <f>HYPERLINK("https://www.773grp.com/globalSearch/TLV2474IN/page-1", "TLV2474IN")</f>
        <v>TLV2474IN</v>
      </c>
      <c r="B13792" s="3" t="str">
        <f>HYPERLINK("https://www.773grp.com/manufacturer/texas-instruments?pageNo=751", "Texas Instruments")</f>
        <v>Texas Instruments</v>
      </c>
      <c r="C13792" s="5">
        <v>12150</v>
      </c>
      <c r="D13792" s="6">
        <v>3.68</v>
      </c>
      <c r="E13792" t="s">
        <v>11</v>
      </c>
    </row>
    <row r="13793" spans="1:5" x14ac:dyDescent="0.25">
      <c r="A13793" t="str">
        <f>HYPERLINK("https://www.773grp.com/globalSearch/TLV2764IN/page-1", "TLV2764IN")</f>
        <v>TLV2764IN</v>
      </c>
      <c r="B13793" s="3" t="str">
        <f>HYPERLINK("https://www.773grp.com/manufacturer/texas-instruments?pageNo=752", "Texas Instruments")</f>
        <v>Texas Instruments</v>
      </c>
      <c r="C13793" s="5">
        <v>15658</v>
      </c>
      <c r="D13793" s="6">
        <v>3.68</v>
      </c>
      <c r="E13793" t="s">
        <v>11</v>
      </c>
    </row>
    <row r="13794" spans="1:5" x14ac:dyDescent="0.25">
      <c r="A13794" t="str">
        <f>HYPERLINK("https://www.773grp.com/globalSearch/OPA209AID/page-1", "OPA209AID")</f>
        <v>OPA209AID</v>
      </c>
      <c r="B13794" s="3" t="str">
        <f>HYPERLINK("https://www.773grp.com/manufacturer/texas-instruments?pageNo=823", "Texas Instruments")</f>
        <v>Texas Instruments</v>
      </c>
      <c r="C13794" s="5">
        <v>150</v>
      </c>
      <c r="D13794" s="6">
        <v>3.71</v>
      </c>
      <c r="E13794" t="s">
        <v>11</v>
      </c>
    </row>
    <row r="13795" spans="1:5" x14ac:dyDescent="0.25">
      <c r="A13795" t="str">
        <f>HYPERLINK("https://www.773grp.com/globalSearch/TLE2081ID/page-1", "TLE2081ID")</f>
        <v>TLE2081ID</v>
      </c>
      <c r="B13795" s="3" t="str">
        <f>HYPERLINK("https://www.773grp.com/manufacturer/texas-instruments?pageNo=907", "Texas Instruments")</f>
        <v>Texas Instruments</v>
      </c>
      <c r="C13795" s="5">
        <v>1562</v>
      </c>
      <c r="D13795" s="6">
        <v>4.1100000000000003</v>
      </c>
      <c r="E13795" t="s">
        <v>11</v>
      </c>
    </row>
    <row r="13796" spans="1:5" x14ac:dyDescent="0.25">
      <c r="A13796" t="str">
        <f>HYPERLINK("https://www.773grp.com/globalSearch/TLV2470CD/page-1", "TLV2470CD")</f>
        <v>TLV2470CD</v>
      </c>
      <c r="B13796" s="3" t="str">
        <f>HYPERLINK("https://www.773grp.com/manufacturer/texas-instruments?pageNo=909", "Texas Instruments")</f>
        <v>Texas Instruments</v>
      </c>
      <c r="C13796" s="5">
        <v>9975</v>
      </c>
      <c r="D13796" s="6">
        <v>4.1100000000000003</v>
      </c>
      <c r="E13796" t="s">
        <v>11</v>
      </c>
    </row>
    <row r="13797" spans="1:5" x14ac:dyDescent="0.25">
      <c r="A13797" t="str">
        <f>HYPERLINK("https://www.773grp.com/globalSearch/TLV2470CDG4/page-1", "TLV2470CDG4")</f>
        <v>TLV2470CDG4</v>
      </c>
      <c r="B13797" s="3" t="str">
        <f>HYPERLINK("https://www.773grp.com/manufacturer/texas-instruments?pageNo=910", "Texas Instruments")</f>
        <v>Texas Instruments</v>
      </c>
      <c r="C13797" s="5">
        <v>30</v>
      </c>
      <c r="D13797" s="6">
        <v>4.1100000000000003</v>
      </c>
      <c r="E13797" t="s">
        <v>11</v>
      </c>
    </row>
    <row r="13798" spans="1:5" x14ac:dyDescent="0.25">
      <c r="A13798" t="str">
        <f>HYPERLINK("https://www.773grp.com/globalSearch/TLC085CPWP/page-1", "TLC085CPWP")</f>
        <v>TLC085CPWP</v>
      </c>
      <c r="B13798" s="3" t="str">
        <f>HYPERLINK("https://www.773grp.com/manufacturer/texas-instruments?pageNo=956", "Texas Instruments")</f>
        <v>Texas Instruments</v>
      </c>
      <c r="C13798" s="5">
        <v>2100</v>
      </c>
      <c r="D13798" s="6">
        <v>3.75</v>
      </c>
      <c r="E13798" t="s">
        <v>11</v>
      </c>
    </row>
    <row r="13799" spans="1:5" x14ac:dyDescent="0.25">
      <c r="A13799" t="str">
        <f>HYPERLINK("https://www.773grp.com/globalSearch/TLV2473AIDR/page-1", "TLV2473AIDR")</f>
        <v>TLV2473AIDR</v>
      </c>
      <c r="B13799" s="3" t="str">
        <f>HYPERLINK("https://www.773grp.com/manufacturer/texas-instruments?pageNo=957", "Texas Instruments")</f>
        <v>Texas Instruments</v>
      </c>
      <c r="C13799" s="5">
        <v>15000</v>
      </c>
      <c r="D13799" s="6">
        <v>3.75</v>
      </c>
      <c r="E13799" t="s">
        <v>11</v>
      </c>
    </row>
    <row r="13800" spans="1:5" x14ac:dyDescent="0.25">
      <c r="A13800" t="str">
        <f>HYPERLINK("https://www.773grp.com/globalSearch/LF411CP/page-1", "LF411CP")</f>
        <v>LF411CP</v>
      </c>
      <c r="B13800" s="3" t="s">
        <v>90</v>
      </c>
      <c r="C13800" s="5">
        <v>2800</v>
      </c>
      <c r="D13800" s="6">
        <v>4.16</v>
      </c>
      <c r="E13800" t="s">
        <v>11</v>
      </c>
    </row>
    <row r="13801" spans="1:5" x14ac:dyDescent="0.25">
      <c r="A13801" t="str">
        <f>HYPERLINK("https://www.773grp.com/globalSearch/LF411CP/page-1", "LF411CP")</f>
        <v>LF411CP</v>
      </c>
      <c r="B13801" s="3" t="s">
        <v>90</v>
      </c>
      <c r="C13801" s="5">
        <v>7004</v>
      </c>
      <c r="D13801" s="6">
        <v>4.16</v>
      </c>
      <c r="E13801" t="s">
        <v>11</v>
      </c>
    </row>
    <row r="13802" spans="1:5" x14ac:dyDescent="0.25">
      <c r="A13802" t="str">
        <f>HYPERLINK("https://www.773grp.com/globalSearch/LF411CPE4/page-1", "LF411CPE4")</f>
        <v>LF411CPE4</v>
      </c>
      <c r="B13802" s="3" t="s">
        <v>90</v>
      </c>
      <c r="C13802" s="5">
        <v>255</v>
      </c>
      <c r="D13802" s="6">
        <v>4.16</v>
      </c>
      <c r="E13802" t="s">
        <v>11</v>
      </c>
    </row>
    <row r="13803" spans="1:5" x14ac:dyDescent="0.25">
      <c r="A13803" t="str">
        <f>HYPERLINK("https://www.773grp.com/globalSearch/LF411ID/page-1", "LF411ID")</f>
        <v>LF411ID</v>
      </c>
      <c r="B13803" s="3" t="s">
        <v>90</v>
      </c>
      <c r="C13803" s="5">
        <v>1057</v>
      </c>
      <c r="D13803" s="6">
        <v>4.16</v>
      </c>
      <c r="E13803" t="s">
        <v>11</v>
      </c>
    </row>
    <row r="13804" spans="1:5" x14ac:dyDescent="0.25">
      <c r="A13804" t="str">
        <f>HYPERLINK("https://www.773grp.com/globalSearch/LF411IP/page-1", "LF411IP")</f>
        <v>LF411IP</v>
      </c>
      <c r="B13804" s="3" t="s">
        <v>90</v>
      </c>
      <c r="C13804" s="5">
        <v>581</v>
      </c>
      <c r="D13804" s="6">
        <v>4.16</v>
      </c>
      <c r="E13804" t="s">
        <v>11</v>
      </c>
    </row>
    <row r="13805" spans="1:5" x14ac:dyDescent="0.25">
      <c r="A13805" t="str">
        <f>HYPERLINK("https://www.773grp.com/globalSearch/LM318P/page-1", "LM318P")</f>
        <v>LM318P</v>
      </c>
      <c r="B13805" s="3" t="s">
        <v>90</v>
      </c>
      <c r="C13805" s="5">
        <v>1350</v>
      </c>
      <c r="D13805" s="6">
        <v>4.16</v>
      </c>
      <c r="E13805" t="s">
        <v>11</v>
      </c>
    </row>
    <row r="13806" spans="1:5" x14ac:dyDescent="0.25">
      <c r="A13806" t="str">
        <f>HYPERLINK("https://www.773grp.com/globalSearch/LM318PE4/page-1", "LM318PE4")</f>
        <v>LM318PE4</v>
      </c>
      <c r="B13806" s="3" t="s">
        <v>90</v>
      </c>
      <c r="C13806" s="5">
        <v>10</v>
      </c>
      <c r="D13806" s="6">
        <v>4.16</v>
      </c>
      <c r="E13806" t="s">
        <v>11</v>
      </c>
    </row>
    <row r="13807" spans="1:5" x14ac:dyDescent="0.25">
      <c r="A13807" t="str">
        <f>HYPERLINK("https://www.773grp.com/globalSearch/TL080CP/page-1", "TL080CP")</f>
        <v>TL080CP</v>
      </c>
      <c r="B13807" s="3" t="s">
        <v>90</v>
      </c>
      <c r="C13807" s="5">
        <v>1830</v>
      </c>
      <c r="D13807" s="6">
        <v>4.16</v>
      </c>
      <c r="E13807" t="s">
        <v>11</v>
      </c>
    </row>
    <row r="13808" spans="1:5" x14ac:dyDescent="0.25">
      <c r="A13808" t="str">
        <f>HYPERLINK("https://www.773grp.com/globalSearch/TL080CPE4/page-1", "TL080CPE4")</f>
        <v>TL080CPE4</v>
      </c>
      <c r="B13808" s="3" t="s">
        <v>90</v>
      </c>
      <c r="C13808" s="5">
        <v>100</v>
      </c>
      <c r="D13808" s="6">
        <v>4.16</v>
      </c>
      <c r="E13808" t="s">
        <v>11</v>
      </c>
    </row>
    <row r="13809" spans="1:5" x14ac:dyDescent="0.25">
      <c r="A13809" t="str">
        <f>HYPERLINK("https://www.773grp.com/globalSearch/TL34071AD/page-1", "TL34071AD")</f>
        <v>TL34071AD</v>
      </c>
      <c r="B13809" s="3" t="s">
        <v>90</v>
      </c>
      <c r="C13809" s="5">
        <v>555</v>
      </c>
      <c r="D13809" s="6">
        <v>4.16</v>
      </c>
      <c r="E13809" t="s">
        <v>11</v>
      </c>
    </row>
    <row r="13810" spans="1:5" x14ac:dyDescent="0.25">
      <c r="A13810" t="str">
        <f>HYPERLINK("https://www.773grp.com/globalSearch/TL34072AP/page-1", "TL34072AP")</f>
        <v>TL34072AP</v>
      </c>
      <c r="B13810" s="3" t="s">
        <v>90</v>
      </c>
      <c r="C13810" s="5">
        <v>196</v>
      </c>
      <c r="D13810" s="6">
        <v>4.16</v>
      </c>
      <c r="E13810" t="s">
        <v>11</v>
      </c>
    </row>
    <row r="13811" spans="1:5" x14ac:dyDescent="0.25">
      <c r="A13811" t="str">
        <f>HYPERLINK("https://www.773grp.com/globalSearch/TL3474ACD/page-1", "TL3474ACD")</f>
        <v>TL3474ACD</v>
      </c>
      <c r="B13811" s="3" t="s">
        <v>90</v>
      </c>
      <c r="C13811" s="5">
        <v>4228</v>
      </c>
      <c r="D13811" s="6">
        <v>4.16</v>
      </c>
      <c r="E13811" t="s">
        <v>11</v>
      </c>
    </row>
    <row r="13812" spans="1:5" x14ac:dyDescent="0.25">
      <c r="A13812" t="str">
        <f>HYPERLINK("https://www.773grp.com/globalSearch/TLV2471IDBVT/page-1", "TLV2471IDBVT")</f>
        <v>TLV2471IDBVT</v>
      </c>
      <c r="B13812" s="3" t="s">
        <v>90</v>
      </c>
      <c r="C13812" s="5">
        <v>250</v>
      </c>
      <c r="D13812" s="6">
        <v>4.16</v>
      </c>
      <c r="E13812" t="s">
        <v>11</v>
      </c>
    </row>
    <row r="13813" spans="1:5" x14ac:dyDescent="0.25">
      <c r="A13813" t="str">
        <f>HYPERLINK("https://www.773grp.com/globalSearch/TLV2471IP/page-1", "TLV2471IP")</f>
        <v>TLV2471IP</v>
      </c>
      <c r="B13813" s="3" t="s">
        <v>90</v>
      </c>
      <c r="C13813" s="5">
        <v>30648</v>
      </c>
      <c r="D13813" s="6">
        <v>4.16</v>
      </c>
      <c r="E13813" t="s">
        <v>11</v>
      </c>
    </row>
    <row r="13814" spans="1:5" x14ac:dyDescent="0.25">
      <c r="A13814" t="str">
        <f>HYPERLINK("https://www.773grp.com/globalSearch/OPA27GP/page-1", "OPA27GP")</f>
        <v>OPA27GP</v>
      </c>
      <c r="B13814" s="3" t="s">
        <v>90</v>
      </c>
      <c r="C13814" s="5">
        <v>4750</v>
      </c>
      <c r="D13814" s="6">
        <v>3.76</v>
      </c>
      <c r="E13814" t="s">
        <v>11</v>
      </c>
    </row>
    <row r="13815" spans="1:5" x14ac:dyDescent="0.25">
      <c r="A13815" t="str">
        <f>HYPERLINK("https://www.773grp.com/globalSearch/OPA27GP/page-1", "OPA27GP")</f>
        <v>OPA27GP</v>
      </c>
      <c r="B13815" s="3" t="s">
        <v>90</v>
      </c>
      <c r="C13815" s="5">
        <v>204</v>
      </c>
      <c r="D13815" s="6">
        <v>3.76</v>
      </c>
      <c r="E13815" t="s">
        <v>11</v>
      </c>
    </row>
    <row r="13816" spans="1:5" x14ac:dyDescent="0.25">
      <c r="A13816" t="str">
        <f>HYPERLINK("https://www.773grp.com/globalSearch/TL5580AIP/page-1", "TL5580AIP")</f>
        <v>TL5580AIP</v>
      </c>
      <c r="B13816" s="3" t="s">
        <v>90</v>
      </c>
      <c r="C13816" s="5">
        <v>6304</v>
      </c>
      <c r="D13816" s="6">
        <v>3.76</v>
      </c>
      <c r="E13816" t="s">
        <v>11</v>
      </c>
    </row>
    <row r="13817" spans="1:5" x14ac:dyDescent="0.25">
      <c r="A13817" t="str">
        <f>HYPERLINK("https://www.773grp.com/globalSearch/TLC251ACD/page-1", "TLC251ACD")</f>
        <v>TLC251ACD</v>
      </c>
      <c r="B13817" s="3" t="s">
        <v>90</v>
      </c>
      <c r="C13817" s="5">
        <v>816</v>
      </c>
      <c r="D13817" s="6">
        <v>3.76</v>
      </c>
      <c r="E13817" t="s">
        <v>11</v>
      </c>
    </row>
    <row r="13818" spans="1:5" x14ac:dyDescent="0.25">
      <c r="A13818" t="str">
        <f>HYPERLINK("https://www.773grp.com/globalSearch/TLC251BCP/page-1", "TLC251BCP")</f>
        <v>TLC251BCP</v>
      </c>
      <c r="B13818" s="3" t="s">
        <v>90</v>
      </c>
      <c r="C13818" s="5">
        <v>22983</v>
      </c>
      <c r="D13818" s="6">
        <v>3.76</v>
      </c>
      <c r="E13818" t="s">
        <v>11</v>
      </c>
    </row>
    <row r="13819" spans="1:5" x14ac:dyDescent="0.25">
      <c r="A13819" t="str">
        <f>HYPERLINK("https://www.773grp.com/globalSearch/TLE2072ACP/page-1", "TLE2072ACP")</f>
        <v>TLE2072ACP</v>
      </c>
      <c r="B13819" s="3" t="s">
        <v>90</v>
      </c>
      <c r="C13819" s="5">
        <v>96</v>
      </c>
      <c r="D13819" s="6">
        <v>3.76</v>
      </c>
      <c r="E13819" t="s">
        <v>11</v>
      </c>
    </row>
    <row r="13820" spans="1:5" x14ac:dyDescent="0.25">
      <c r="A13820" t="str">
        <f>HYPERLINK("https://www.773grp.com/globalSearch/OPA2363IDGSR/page-1", "OPA2363IDGSR")</f>
        <v>OPA2363IDGSR</v>
      </c>
      <c r="B13820" s="3" t="s">
        <v>90</v>
      </c>
      <c r="C13820" s="5">
        <v>32500</v>
      </c>
      <c r="D13820" s="6">
        <v>3.8</v>
      </c>
      <c r="E13820" t="s">
        <v>11</v>
      </c>
    </row>
    <row r="13821" spans="1:5" x14ac:dyDescent="0.25">
      <c r="A13821" t="str">
        <f>HYPERLINK("https://www.773grp.com/globalSearch/OPA241UA/page-1", "OPA241UA")</f>
        <v>OPA241UA</v>
      </c>
      <c r="B13821" s="3" t="s">
        <v>90</v>
      </c>
      <c r="C13821" s="5">
        <v>4365</v>
      </c>
      <c r="D13821" s="6">
        <v>3.8</v>
      </c>
      <c r="E13821" t="s">
        <v>11</v>
      </c>
    </row>
    <row r="13822" spans="1:5" x14ac:dyDescent="0.25">
      <c r="A13822" t="str">
        <f>HYPERLINK("https://www.773grp.com/globalSearch/OPA241UA/page-1", "OPA241UA")</f>
        <v>OPA241UA</v>
      </c>
      <c r="B13822" s="3" t="s">
        <v>90</v>
      </c>
      <c r="C13822" s="5">
        <v>150</v>
      </c>
      <c r="D13822" s="6">
        <v>3.8</v>
      </c>
      <c r="E13822" t="s">
        <v>11</v>
      </c>
    </row>
    <row r="13823" spans="1:5" x14ac:dyDescent="0.25">
      <c r="A13823" t="str">
        <f>HYPERLINK("https://www.773grp.com/globalSearch/OPA241UA/page-1", "OPA241UA")</f>
        <v>OPA241UA</v>
      </c>
      <c r="B13823" s="3" t="s">
        <v>90</v>
      </c>
      <c r="C13823" s="5">
        <v>600</v>
      </c>
      <c r="D13823" s="6">
        <v>3.8</v>
      </c>
      <c r="E13823" t="s">
        <v>11</v>
      </c>
    </row>
    <row r="13824" spans="1:5" x14ac:dyDescent="0.25">
      <c r="A13824" t="str">
        <f>HYPERLINK("https://www.773grp.com/globalSearch/OPA241UAG4/page-1", "OPA241UAG4")</f>
        <v>OPA241UAG4</v>
      </c>
      <c r="B13824" s="3" t="s">
        <v>90</v>
      </c>
      <c r="C13824" s="5">
        <v>113</v>
      </c>
      <c r="D13824" s="6">
        <v>3.8</v>
      </c>
      <c r="E13824" t="s">
        <v>11</v>
      </c>
    </row>
    <row r="13825" spans="1:5" x14ac:dyDescent="0.25">
      <c r="A13825" t="str">
        <f>HYPERLINK("https://www.773grp.com/globalSearch/OPA251UA/page-1", "OPA251UA")</f>
        <v>OPA251UA</v>
      </c>
      <c r="B13825" s="3" t="s">
        <v>90</v>
      </c>
      <c r="C13825" s="5">
        <v>12911</v>
      </c>
      <c r="D13825" s="6">
        <v>3.8</v>
      </c>
      <c r="E13825" t="s">
        <v>11</v>
      </c>
    </row>
    <row r="13826" spans="1:5" x14ac:dyDescent="0.25">
      <c r="A13826" t="str">
        <f>HYPERLINK("https://www.773grp.com/globalSearch/OPA4705UA/page-1", "OPA4705UA")</f>
        <v>OPA4705UA</v>
      </c>
      <c r="B13826" s="3" t="s">
        <v>90</v>
      </c>
      <c r="C13826" s="5">
        <v>581</v>
      </c>
      <c r="D13826" s="6">
        <v>3.8</v>
      </c>
      <c r="E13826" t="s">
        <v>11</v>
      </c>
    </row>
    <row r="13827" spans="1:5" x14ac:dyDescent="0.25">
      <c r="A13827" t="str">
        <f>HYPERLINK("https://www.773grp.com/globalSearch/OPA726AID/page-1", "OPA726AID")</f>
        <v>OPA726AID</v>
      </c>
      <c r="B13827" s="3" t="s">
        <v>90</v>
      </c>
      <c r="C13827" s="5">
        <v>20003</v>
      </c>
      <c r="D13827" s="6">
        <v>3.8</v>
      </c>
      <c r="E13827" t="s">
        <v>11</v>
      </c>
    </row>
    <row r="13828" spans="1:5" x14ac:dyDescent="0.25">
      <c r="A13828" t="str">
        <f>HYPERLINK("https://www.773grp.com/globalSearch/THS4051ID/page-1", "THS4051ID")</f>
        <v>THS4051ID</v>
      </c>
      <c r="B13828" s="3" t="s">
        <v>90</v>
      </c>
      <c r="C13828" s="5">
        <v>13987</v>
      </c>
      <c r="D13828" s="6">
        <v>3.8</v>
      </c>
      <c r="E13828" t="s">
        <v>11</v>
      </c>
    </row>
    <row r="13829" spans="1:5" x14ac:dyDescent="0.25">
      <c r="A13829" t="str">
        <f>HYPERLINK("https://www.773grp.com/globalSearch/THS4051IDGNR/page-1", "THS4051IDGNR")</f>
        <v>THS4051IDGNR</v>
      </c>
      <c r="B13829" s="3" t="s">
        <v>90</v>
      </c>
      <c r="C13829" s="5">
        <v>2500</v>
      </c>
      <c r="D13829" s="6">
        <v>3.8</v>
      </c>
      <c r="E13829" t="s">
        <v>11</v>
      </c>
    </row>
    <row r="13830" spans="1:5" x14ac:dyDescent="0.25">
      <c r="A13830" t="str">
        <f>HYPERLINK("https://www.773grp.com/globalSearch/THS4531ID/page-1", "THS4531ID")</f>
        <v>THS4531ID</v>
      </c>
      <c r="B13830" s="3" t="s">
        <v>90</v>
      </c>
      <c r="C13830" s="5">
        <v>1650</v>
      </c>
      <c r="D13830" s="6">
        <v>3.8</v>
      </c>
      <c r="E13830" t="s">
        <v>11</v>
      </c>
    </row>
    <row r="13831" spans="1:5" x14ac:dyDescent="0.25">
      <c r="A13831" t="str">
        <f>HYPERLINK("https://www.773grp.com/globalSearch/THS4531IDGK/page-1", "THS4531IDGK")</f>
        <v>THS4531IDGK</v>
      </c>
      <c r="B13831" s="3" t="s">
        <v>90</v>
      </c>
      <c r="C13831" s="5">
        <v>978</v>
      </c>
      <c r="D13831" s="6">
        <v>3.8</v>
      </c>
      <c r="E13831" t="s">
        <v>11</v>
      </c>
    </row>
    <row r="13832" spans="1:5" x14ac:dyDescent="0.25">
      <c r="A13832" t="str">
        <f>HYPERLINK("https://www.773grp.com/globalSearch/TLC074AIPWP/page-1", "TLC074AIPWP")</f>
        <v>TLC074AIPWP</v>
      </c>
      <c r="B13832" s="3" t="s">
        <v>90</v>
      </c>
      <c r="C13832" s="5">
        <v>9223</v>
      </c>
      <c r="D13832" s="6">
        <v>3.8</v>
      </c>
      <c r="E13832" t="s">
        <v>11</v>
      </c>
    </row>
    <row r="13833" spans="1:5" x14ac:dyDescent="0.25">
      <c r="A13833" t="str">
        <f>HYPERLINK("https://www.773grp.com/globalSearch/TLC075CPWP/page-1", "TLC075CPWP")</f>
        <v>TLC075CPWP</v>
      </c>
      <c r="B13833" s="3" t="s">
        <v>90</v>
      </c>
      <c r="C13833" s="5">
        <v>5640</v>
      </c>
      <c r="D13833" s="6">
        <v>3.8</v>
      </c>
      <c r="E13833" t="s">
        <v>11</v>
      </c>
    </row>
    <row r="13834" spans="1:5" x14ac:dyDescent="0.25">
      <c r="A13834" t="str">
        <f>HYPERLINK("https://www.773grp.com/globalSearch/TLC075IDR/page-1", "TLC075IDR")</f>
        <v>TLC075IDR</v>
      </c>
      <c r="B13834" s="3" t="s">
        <v>90</v>
      </c>
      <c r="C13834" s="5">
        <v>5000</v>
      </c>
      <c r="D13834" s="6">
        <v>3.8</v>
      </c>
      <c r="E13834" t="s">
        <v>11</v>
      </c>
    </row>
    <row r="13835" spans="1:5" x14ac:dyDescent="0.25">
      <c r="A13835" t="str">
        <f>HYPERLINK("https://www.773grp.com/globalSearch/TLC075IN/page-1", "TLC075IN")</f>
        <v>TLC075IN</v>
      </c>
      <c r="B13835" s="3" t="s">
        <v>90</v>
      </c>
      <c r="C13835" s="5">
        <v>17900</v>
      </c>
      <c r="D13835" s="6">
        <v>3.8</v>
      </c>
      <c r="E13835" t="s">
        <v>11</v>
      </c>
    </row>
    <row r="13836" spans="1:5" x14ac:dyDescent="0.25">
      <c r="A13836" t="str">
        <f>HYPERLINK("https://www.773grp.com/globalSearch/TLC4501ACD/page-1", "TLC4501ACD")</f>
        <v>TLC4501ACD</v>
      </c>
      <c r="B13836" s="3" t="s">
        <v>90</v>
      </c>
      <c r="C13836" s="5">
        <v>1323</v>
      </c>
      <c r="D13836" s="6">
        <v>3.8</v>
      </c>
      <c r="E13836" t="s">
        <v>11</v>
      </c>
    </row>
    <row r="13837" spans="1:5" x14ac:dyDescent="0.25">
      <c r="A13837" t="str">
        <f>HYPERLINK("https://www.773grp.com/globalSearch/TLC4501ACDR/page-1", "TLC4501ACDR")</f>
        <v>TLC4501ACDR</v>
      </c>
      <c r="B13837" s="3" t="s">
        <v>90</v>
      </c>
      <c r="C13837" s="5">
        <v>24613</v>
      </c>
      <c r="D13837" s="6">
        <v>3.8</v>
      </c>
      <c r="E13837" t="s">
        <v>11</v>
      </c>
    </row>
    <row r="13838" spans="1:5" x14ac:dyDescent="0.25">
      <c r="A13838" t="str">
        <f>HYPERLINK("https://www.773grp.com/globalSearch/TLE2082AID/page-1", "TLE2082AID")</f>
        <v>TLE2082AID</v>
      </c>
      <c r="B13838" s="3" t="s">
        <v>90</v>
      </c>
      <c r="C13838" s="5">
        <v>266</v>
      </c>
      <c r="D13838" s="6">
        <v>3.8</v>
      </c>
      <c r="E13838" t="s">
        <v>11</v>
      </c>
    </row>
    <row r="13839" spans="1:5" x14ac:dyDescent="0.25">
      <c r="A13839" t="str">
        <f>HYPERLINK("https://www.773grp.com/globalSearch/TLV2264AIN/page-1", "TLV2264AIN")</f>
        <v>TLV2264AIN</v>
      </c>
      <c r="B13839" s="3" t="s">
        <v>90</v>
      </c>
      <c r="C13839" s="5">
        <v>5037</v>
      </c>
      <c r="D13839" s="6">
        <v>3.8</v>
      </c>
      <c r="E13839" t="s">
        <v>11</v>
      </c>
    </row>
    <row r="13840" spans="1:5" x14ac:dyDescent="0.25">
      <c r="A13840" t="str">
        <f>HYPERLINK("https://www.773grp.com/globalSearch/TLV2344IPWR/page-1", "TLV2344IPWR")</f>
        <v>TLV2344IPWR</v>
      </c>
      <c r="B13840" s="3" t="s">
        <v>90</v>
      </c>
      <c r="C13840" s="5">
        <v>4000</v>
      </c>
      <c r="D13840" s="6">
        <v>3.8</v>
      </c>
      <c r="E13840" t="s">
        <v>11</v>
      </c>
    </row>
    <row r="13841" spans="1:5" x14ac:dyDescent="0.25">
      <c r="A13841" t="str">
        <f>HYPERLINK("https://www.773grp.com/globalSearch/TLV2453AIN/page-1", "TLV2453AIN")</f>
        <v>TLV2453AIN</v>
      </c>
      <c r="B13841" s="3" t="s">
        <v>90</v>
      </c>
      <c r="C13841" s="5">
        <v>24725</v>
      </c>
      <c r="D13841" s="6">
        <v>3.8</v>
      </c>
      <c r="E13841" t="s">
        <v>11</v>
      </c>
    </row>
    <row r="13842" spans="1:5" x14ac:dyDescent="0.25">
      <c r="A13842" t="str">
        <f>HYPERLINK("https://www.773grp.com/globalSearch/TLV2453AINE4/page-1", "TLV2453AINE4")</f>
        <v>TLV2453AINE4</v>
      </c>
      <c r="B13842" s="3" t="s">
        <v>90</v>
      </c>
      <c r="C13842" s="5">
        <v>200</v>
      </c>
      <c r="D13842" s="6">
        <v>3.8</v>
      </c>
      <c r="E13842" t="s">
        <v>11</v>
      </c>
    </row>
    <row r="13843" spans="1:5" x14ac:dyDescent="0.25">
      <c r="A13843" t="str">
        <f>HYPERLINK("https://www.773grp.com/globalSearch/TLV2464AID/page-1", "TLV2464AID")</f>
        <v>TLV2464AID</v>
      </c>
      <c r="B13843" s="3" t="s">
        <v>90</v>
      </c>
      <c r="C13843" s="5">
        <v>500</v>
      </c>
      <c r="D13843" s="6">
        <v>3.8</v>
      </c>
      <c r="E13843" t="s">
        <v>11</v>
      </c>
    </row>
    <row r="13844" spans="1:5" x14ac:dyDescent="0.25">
      <c r="A13844" t="str">
        <f>HYPERLINK("https://www.773grp.com/globalSearch/TLV2464AIPW/page-1", "TLV2464AIPW")</f>
        <v>TLV2464AIPW</v>
      </c>
      <c r="B13844" s="3" t="s">
        <v>90</v>
      </c>
      <c r="C13844" s="5">
        <v>720</v>
      </c>
      <c r="D13844" s="6">
        <v>3.8</v>
      </c>
      <c r="E13844" t="s">
        <v>11</v>
      </c>
    </row>
    <row r="13845" spans="1:5" x14ac:dyDescent="0.25">
      <c r="A13845" t="str">
        <f>HYPERLINK("https://www.773grp.com/globalSearch/TLV2465CD/page-1", "TLV2465CD")</f>
        <v>TLV2465CD</v>
      </c>
      <c r="B13845" s="3" t="s">
        <v>90</v>
      </c>
      <c r="C13845" s="5">
        <v>12827</v>
      </c>
      <c r="D13845" s="6">
        <v>3.8</v>
      </c>
      <c r="E13845" t="s">
        <v>11</v>
      </c>
    </row>
    <row r="13846" spans="1:5" x14ac:dyDescent="0.25">
      <c r="A13846" t="str">
        <f>HYPERLINK("https://www.773grp.com/globalSearch/TLV2465IN/page-1", "TLV2465IN")</f>
        <v>TLV2465IN</v>
      </c>
      <c r="B13846" s="3" t="s">
        <v>90</v>
      </c>
      <c r="C13846" s="5">
        <v>24330</v>
      </c>
      <c r="D13846" s="6">
        <v>3.8</v>
      </c>
      <c r="E13846" t="s">
        <v>11</v>
      </c>
    </row>
    <row r="13847" spans="1:5" x14ac:dyDescent="0.25">
      <c r="A13847" t="str">
        <f>HYPERLINK("https://www.773grp.com/globalSearch/TLV2764CD/page-1", "TLV2764CD")</f>
        <v>TLV2764CD</v>
      </c>
      <c r="B13847" s="3" t="s">
        <v>90</v>
      </c>
      <c r="C13847" s="5">
        <v>14439</v>
      </c>
      <c r="D13847" s="6">
        <v>3.8</v>
      </c>
      <c r="E13847" t="s">
        <v>11</v>
      </c>
    </row>
    <row r="13848" spans="1:5" x14ac:dyDescent="0.25">
      <c r="A13848" t="str">
        <f>HYPERLINK("https://www.773grp.com/globalSearch/TLV2783AID/page-1", "TLV2783AID")</f>
        <v>TLV2783AID</v>
      </c>
      <c r="B13848" s="3" t="s">
        <v>90</v>
      </c>
      <c r="C13848" s="5">
        <v>20745</v>
      </c>
      <c r="D13848" s="6">
        <v>3.8</v>
      </c>
      <c r="E13848" t="s">
        <v>11</v>
      </c>
    </row>
    <row r="13849" spans="1:5" x14ac:dyDescent="0.25">
      <c r="A13849" t="str">
        <f>HYPERLINK("https://www.773grp.com/globalSearch/OPA2137PA/page-1", "OPA2137PA")</f>
        <v>OPA2137PA</v>
      </c>
      <c r="B13849" s="3" t="s">
        <v>90</v>
      </c>
      <c r="C13849" s="5">
        <v>76166</v>
      </c>
      <c r="D13849" s="6">
        <v>4.2300000000000004</v>
      </c>
      <c r="E13849" t="s">
        <v>11</v>
      </c>
    </row>
    <row r="13850" spans="1:5" x14ac:dyDescent="0.25">
      <c r="A13850" t="str">
        <f>HYPERLINK("https://www.773grp.com/globalSearch/OPA2347YEDR/page-1", "OPA2347YEDR")</f>
        <v>OPA2347YEDR</v>
      </c>
      <c r="B13850" s="3" t="s">
        <v>90</v>
      </c>
      <c r="C13850" s="5">
        <v>5203</v>
      </c>
      <c r="D13850" s="6">
        <v>4.2300000000000004</v>
      </c>
      <c r="E13850" t="s">
        <v>11</v>
      </c>
    </row>
    <row r="13851" spans="1:5" x14ac:dyDescent="0.25">
      <c r="A13851" t="str">
        <f>HYPERLINK("https://www.773grp.com/globalSearch/OPA2349UA/page-1", "OPA2349UA")</f>
        <v>OPA2349UA</v>
      </c>
      <c r="B13851" s="3" t="s">
        <v>90</v>
      </c>
      <c r="C13851" s="5">
        <v>164990</v>
      </c>
      <c r="D13851" s="6">
        <v>4.2300000000000004</v>
      </c>
      <c r="E13851" t="s">
        <v>11</v>
      </c>
    </row>
    <row r="13852" spans="1:5" x14ac:dyDescent="0.25">
      <c r="A13852" t="str">
        <f>HYPERLINK("https://www.773grp.com/globalSearch/OPA2349UA/page-1", "OPA2349UA")</f>
        <v>OPA2349UA</v>
      </c>
      <c r="B13852" s="3" t="s">
        <v>90</v>
      </c>
      <c r="C13852" s="5">
        <v>5400</v>
      </c>
      <c r="D13852" s="6">
        <v>4.2300000000000004</v>
      </c>
      <c r="E13852" t="s">
        <v>11</v>
      </c>
    </row>
    <row r="13853" spans="1:5" x14ac:dyDescent="0.25">
      <c r="A13853" t="str">
        <f>HYPERLINK("https://www.773grp.com/globalSearch/OPA343UA/page-1", "OPA343UA")</f>
        <v>OPA343UA</v>
      </c>
      <c r="B13853" s="3" t="s">
        <v>90</v>
      </c>
      <c r="C13853" s="5">
        <v>4500</v>
      </c>
      <c r="D13853" s="6">
        <v>4.2300000000000004</v>
      </c>
      <c r="E13853" t="s">
        <v>11</v>
      </c>
    </row>
    <row r="13854" spans="1:5" x14ac:dyDescent="0.25">
      <c r="A13854" t="str">
        <f>HYPERLINK("https://www.773grp.com/globalSearch/OPA343UA/page-1", "OPA343UA")</f>
        <v>OPA343UA</v>
      </c>
      <c r="B13854" s="3" t="s">
        <v>90</v>
      </c>
      <c r="C13854" s="5">
        <v>395</v>
      </c>
      <c r="D13854" s="6">
        <v>4.2300000000000004</v>
      </c>
      <c r="E13854" t="s">
        <v>11</v>
      </c>
    </row>
    <row r="13855" spans="1:5" x14ac:dyDescent="0.25">
      <c r="A13855" t="str">
        <f>HYPERLINK("https://www.773grp.com/globalSearch/OPA355NA-250/page-1", "OPA355NA-250")</f>
        <v>OPA355NA-250</v>
      </c>
      <c r="B13855" s="3" t="s">
        <v>90</v>
      </c>
      <c r="C13855" s="5">
        <v>1750</v>
      </c>
      <c r="D13855" s="6">
        <v>4.2300000000000004</v>
      </c>
      <c r="E13855" t="s">
        <v>11</v>
      </c>
    </row>
    <row r="13856" spans="1:5" x14ac:dyDescent="0.25">
      <c r="A13856" t="str">
        <f>HYPERLINK("https://www.773grp.com/globalSearch/OPA356AIDBVT/page-1", "OPA356AIDBVT")</f>
        <v>OPA356AIDBVT</v>
      </c>
      <c r="B13856" s="3" t="s">
        <v>90</v>
      </c>
      <c r="C13856" s="5">
        <v>3500</v>
      </c>
      <c r="D13856" s="6">
        <v>4.2300000000000004</v>
      </c>
      <c r="E13856" t="s">
        <v>11</v>
      </c>
    </row>
    <row r="13857" spans="1:5" x14ac:dyDescent="0.25">
      <c r="A13857" t="str">
        <f>HYPERLINK("https://www.773grp.com/globalSearch/OPA376AID/page-1", "OPA376AID")</f>
        <v>OPA376AID</v>
      </c>
      <c r="B13857" s="3" t="str">
        <f>HYPERLINK("https://www.773grp.com/manufacturer/texas-instruments?pageNo=3", "Texas Instruments")</f>
        <v>Texas Instruments</v>
      </c>
      <c r="C13857" s="5">
        <v>125</v>
      </c>
      <c r="D13857" s="6">
        <v>4.2300000000000004</v>
      </c>
      <c r="E13857" t="s">
        <v>11</v>
      </c>
    </row>
    <row r="13858" spans="1:5" x14ac:dyDescent="0.25">
      <c r="A13858" t="str">
        <f>HYPERLINK("https://www.773grp.com/globalSearch/OPA4379AIPW/page-1", "OPA4379AIPW")</f>
        <v>OPA4379AIPW</v>
      </c>
      <c r="B13858" s="3" t="str">
        <f>HYPERLINK("https://www.773grp.com/manufacturer/texas-instruments?pageNo=4", "Texas Instruments")</f>
        <v>Texas Instruments</v>
      </c>
      <c r="C13858" s="5">
        <v>1440</v>
      </c>
      <c r="D13858" s="6">
        <v>4.2300000000000004</v>
      </c>
      <c r="E13858" t="s">
        <v>11</v>
      </c>
    </row>
    <row r="13859" spans="1:5" x14ac:dyDescent="0.25">
      <c r="A13859" t="str">
        <f>HYPERLINK("https://www.773grp.com/globalSearch/OPA4379AIPWR/page-1", "OPA4379AIPWR")</f>
        <v>OPA4379AIPWR</v>
      </c>
      <c r="B13859" s="3" t="str">
        <f>HYPERLINK("https://www.773grp.com/manufacturer/texas-instruments?pageNo=5", "Texas Instruments")</f>
        <v>Texas Instruments</v>
      </c>
      <c r="C13859" s="5">
        <v>272</v>
      </c>
      <c r="D13859" s="6">
        <v>4.2300000000000004</v>
      </c>
      <c r="E13859" t="s">
        <v>11</v>
      </c>
    </row>
    <row r="13860" spans="1:5" x14ac:dyDescent="0.25">
      <c r="A13860" t="str">
        <f>HYPERLINK("https://www.773grp.com/globalSearch/TLC070AID/page-1", "TLC070AID")</f>
        <v>TLC070AID</v>
      </c>
      <c r="B13860" s="3" t="str">
        <f>HYPERLINK("https://www.773grp.com/manufacturer/texas-instruments?pageNo=31", "Texas Instruments")</f>
        <v>Texas Instruments</v>
      </c>
      <c r="C13860" s="5">
        <v>16275</v>
      </c>
      <c r="D13860" s="6">
        <v>4.2300000000000004</v>
      </c>
      <c r="E13860" t="s">
        <v>11</v>
      </c>
    </row>
    <row r="13861" spans="1:5" x14ac:dyDescent="0.25">
      <c r="A13861" t="str">
        <f>HYPERLINK("https://www.773grp.com/globalSearch/TLC070AIP/page-1", "TLC070AIP")</f>
        <v>TLC070AIP</v>
      </c>
      <c r="B13861" s="3" t="str">
        <f>HYPERLINK("https://www.773grp.com/manufacturer/texas-instruments?pageNo=32", "Texas Instruments")</f>
        <v>Texas Instruments</v>
      </c>
      <c r="C13861" s="5">
        <v>22850</v>
      </c>
      <c r="D13861" s="6">
        <v>4.2300000000000004</v>
      </c>
      <c r="E13861" t="s">
        <v>11</v>
      </c>
    </row>
    <row r="13862" spans="1:5" x14ac:dyDescent="0.25">
      <c r="A13862" t="str">
        <f>HYPERLINK("https://www.773grp.com/globalSearch/TLC070AIPE4/page-1", "TLC070AIPE4")</f>
        <v>TLC070AIPE4</v>
      </c>
      <c r="B13862" s="3" t="str">
        <f>HYPERLINK("https://www.773grp.com/manufacturer/texas-instruments?pageNo=33", "Texas Instruments")</f>
        <v>Texas Instruments</v>
      </c>
      <c r="C13862" s="5">
        <v>390</v>
      </c>
      <c r="D13862" s="6">
        <v>4.2300000000000004</v>
      </c>
      <c r="E13862" t="s">
        <v>11</v>
      </c>
    </row>
    <row r="13863" spans="1:5" x14ac:dyDescent="0.25">
      <c r="A13863" t="str">
        <f>HYPERLINK("https://www.773grp.com/globalSearch/TLC070ID/page-1", "TLC070ID")</f>
        <v>TLC070ID</v>
      </c>
      <c r="B13863" s="3" t="str">
        <f>HYPERLINK("https://www.773grp.com/manufacturer/texas-instruments?pageNo=34", "Texas Instruments")</f>
        <v>Texas Instruments</v>
      </c>
      <c r="C13863" s="5">
        <v>10715</v>
      </c>
      <c r="D13863" s="6">
        <v>4.2300000000000004</v>
      </c>
      <c r="E13863" t="s">
        <v>11</v>
      </c>
    </row>
    <row r="13864" spans="1:5" x14ac:dyDescent="0.25">
      <c r="A13864" t="str">
        <f>HYPERLINK("https://www.773grp.com/globalSearch/TLC072CD/page-1", "TLC072CD")</f>
        <v>TLC072CD</v>
      </c>
      <c r="B13864" s="3" t="str">
        <f>HYPERLINK("https://www.773grp.com/manufacturer/texas-instruments?pageNo=35", "Texas Instruments")</f>
        <v>Texas Instruments</v>
      </c>
      <c r="C13864" s="5">
        <v>249</v>
      </c>
      <c r="D13864" s="6">
        <v>4.2300000000000004</v>
      </c>
      <c r="E13864" t="s">
        <v>11</v>
      </c>
    </row>
    <row r="13865" spans="1:5" x14ac:dyDescent="0.25">
      <c r="A13865" t="str">
        <f>HYPERLINK("https://www.773grp.com/globalSearch/TLC072CDGN/page-1", "TLC072CDGN")</f>
        <v>TLC072CDGN</v>
      </c>
      <c r="B13865" s="3" t="str">
        <f>HYPERLINK("https://www.773grp.com/manufacturer/texas-instruments?pageNo=37", "Texas Instruments")</f>
        <v>Texas Instruments</v>
      </c>
      <c r="C13865" s="5">
        <v>604</v>
      </c>
      <c r="D13865" s="6">
        <v>4.2300000000000004</v>
      </c>
      <c r="E13865" t="s">
        <v>11</v>
      </c>
    </row>
    <row r="13866" spans="1:5" x14ac:dyDescent="0.25">
      <c r="A13866" t="str">
        <f>HYPERLINK("https://www.773grp.com/globalSearch/TLC072CP/page-1", "TLC072CP")</f>
        <v>TLC072CP</v>
      </c>
      <c r="B13866" s="3" t="str">
        <f>HYPERLINK("https://www.773grp.com/manufacturer/texas-instruments?pageNo=38", "Texas Instruments")</f>
        <v>Texas Instruments</v>
      </c>
      <c r="C13866" s="5">
        <v>8252</v>
      </c>
      <c r="D13866" s="6">
        <v>4.2300000000000004</v>
      </c>
      <c r="E13866" t="s">
        <v>11</v>
      </c>
    </row>
    <row r="13867" spans="1:5" x14ac:dyDescent="0.25">
      <c r="A13867" t="str">
        <f>HYPERLINK("https://www.773grp.com/globalSearch/TLC072IP/page-1", "TLC072IP")</f>
        <v>TLC072IP</v>
      </c>
      <c r="B13867" s="3" t="str">
        <f>HYPERLINK("https://www.773grp.com/manufacturer/texas-instruments?pageNo=39", "Texas Instruments")</f>
        <v>Texas Instruments</v>
      </c>
      <c r="C13867" s="5">
        <v>16450</v>
      </c>
      <c r="D13867" s="6">
        <v>4.2300000000000004</v>
      </c>
      <c r="E13867" t="s">
        <v>11</v>
      </c>
    </row>
    <row r="13868" spans="1:5" x14ac:dyDescent="0.25">
      <c r="A13868" t="str">
        <f>HYPERLINK("https://www.773grp.com/globalSearch/TLC073AIN/page-1", "TLC073AIN")</f>
        <v>TLC073AIN</v>
      </c>
      <c r="B13868" s="3" t="str">
        <f>HYPERLINK("https://www.773grp.com/manufacturer/texas-instruments?pageNo=41", "Texas Instruments")</f>
        <v>Texas Instruments</v>
      </c>
      <c r="C13868" s="5">
        <v>575</v>
      </c>
      <c r="D13868" s="6">
        <v>4.2300000000000004</v>
      </c>
      <c r="E13868" t="s">
        <v>11</v>
      </c>
    </row>
    <row r="13869" spans="1:5" x14ac:dyDescent="0.25">
      <c r="A13869" t="str">
        <f>HYPERLINK("https://www.773grp.com/globalSearch/TLC073ID/page-1", "TLC073ID")</f>
        <v>TLC073ID</v>
      </c>
      <c r="B13869" s="3" t="str">
        <f>HYPERLINK("https://www.773grp.com/manufacturer/texas-instruments?pageNo=42", "Texas Instruments")</f>
        <v>Texas Instruments</v>
      </c>
      <c r="C13869" s="5">
        <v>6540</v>
      </c>
      <c r="D13869" s="6">
        <v>4.2300000000000004</v>
      </c>
      <c r="E13869" t="s">
        <v>11</v>
      </c>
    </row>
    <row r="13870" spans="1:5" x14ac:dyDescent="0.25">
      <c r="A13870" t="str">
        <f>HYPERLINK("https://www.773grp.com/globalSearch/TLC073IDR/page-1", "TLC073IDR")</f>
        <v>TLC073IDR</v>
      </c>
      <c r="B13870" s="3" t="str">
        <f>HYPERLINK("https://www.773grp.com/manufacturer/texas-instruments?pageNo=43", "Texas Instruments")</f>
        <v>Texas Instruments</v>
      </c>
      <c r="C13870" s="5">
        <v>2500</v>
      </c>
      <c r="D13870" s="6">
        <v>4.2300000000000004</v>
      </c>
      <c r="E13870" t="s">
        <v>11</v>
      </c>
    </row>
    <row r="13871" spans="1:5" x14ac:dyDescent="0.25">
      <c r="A13871" t="str">
        <f>HYPERLINK("https://www.773grp.com/globalSearch/TLC080AIP/page-1", "TLC080AIP")</f>
        <v>TLC080AIP</v>
      </c>
      <c r="B13871" s="3" t="str">
        <f>HYPERLINK("https://www.773grp.com/manufacturer/texas-instruments?pageNo=44", "Texas Instruments")</f>
        <v>Texas Instruments</v>
      </c>
      <c r="C13871" s="5">
        <v>25400</v>
      </c>
      <c r="D13871" s="6">
        <v>4.2300000000000004</v>
      </c>
      <c r="E13871" t="s">
        <v>11</v>
      </c>
    </row>
    <row r="13872" spans="1:5" x14ac:dyDescent="0.25">
      <c r="A13872" t="str">
        <f>HYPERLINK("https://www.773grp.com/globalSearch/TLC080ID/page-1", "TLC080ID")</f>
        <v>TLC080ID</v>
      </c>
      <c r="B13872" s="3" t="str">
        <f>HYPERLINK("https://www.773grp.com/manufacturer/texas-instruments?pageNo=45", "Texas Instruments")</f>
        <v>Texas Instruments</v>
      </c>
      <c r="C13872" s="5">
        <v>4341</v>
      </c>
      <c r="D13872" s="6">
        <v>4.2300000000000004</v>
      </c>
      <c r="E13872" t="s">
        <v>11</v>
      </c>
    </row>
    <row r="13873" spans="1:5" x14ac:dyDescent="0.25">
      <c r="A13873" t="str">
        <f>HYPERLINK("https://www.773grp.com/globalSearch/TLC082CDGN/page-1", "TLC082CDGN")</f>
        <v>TLC082CDGN</v>
      </c>
      <c r="B13873" s="3" t="str">
        <f>HYPERLINK("https://www.773grp.com/manufacturer/texas-instruments?pageNo=46", "Texas Instruments")</f>
        <v>Texas Instruments</v>
      </c>
      <c r="C13873" s="5">
        <v>11520</v>
      </c>
      <c r="D13873" s="6">
        <v>4.2300000000000004</v>
      </c>
      <c r="E13873" t="s">
        <v>11</v>
      </c>
    </row>
    <row r="13874" spans="1:5" x14ac:dyDescent="0.25">
      <c r="A13874" t="str">
        <f>HYPERLINK("https://www.773grp.com/globalSearch/TLC082CP/page-1", "TLC082CP")</f>
        <v>TLC082CP</v>
      </c>
      <c r="B13874" s="3" t="str">
        <f>HYPERLINK("https://www.773grp.com/manufacturer/texas-instruments?pageNo=47", "Texas Instruments")</f>
        <v>Texas Instruments</v>
      </c>
      <c r="C13874" s="5">
        <v>28750</v>
      </c>
      <c r="D13874" s="6">
        <v>4.2300000000000004</v>
      </c>
      <c r="E13874" t="s">
        <v>11</v>
      </c>
    </row>
    <row r="13875" spans="1:5" x14ac:dyDescent="0.25">
      <c r="A13875" t="str">
        <f>HYPERLINK("https://www.773grp.com/globalSearch/TLC082IP/page-1", "TLC082IP")</f>
        <v>TLC082IP</v>
      </c>
      <c r="B13875" s="3" t="str">
        <f>HYPERLINK("https://www.773grp.com/manufacturer/texas-instruments?pageNo=48", "Texas Instruments")</f>
        <v>Texas Instruments</v>
      </c>
      <c r="C13875" s="5">
        <v>61726</v>
      </c>
      <c r="D13875" s="6">
        <v>4.2300000000000004</v>
      </c>
      <c r="E13875" t="s">
        <v>11</v>
      </c>
    </row>
    <row r="13876" spans="1:5" x14ac:dyDescent="0.25">
      <c r="A13876" t="str">
        <f>HYPERLINK("https://www.773grp.com/globalSearch/TLC083AIDR/page-1", "TLC083AIDR")</f>
        <v>TLC083AIDR</v>
      </c>
      <c r="B13876" s="3" t="str">
        <f>HYPERLINK("https://www.773grp.com/manufacturer/texas-instruments?pageNo=49", "Texas Instruments")</f>
        <v>Texas Instruments</v>
      </c>
      <c r="C13876" s="5">
        <v>2500</v>
      </c>
      <c r="D13876" s="6">
        <v>4.2300000000000004</v>
      </c>
      <c r="E13876" t="s">
        <v>11</v>
      </c>
    </row>
    <row r="13877" spans="1:5" x14ac:dyDescent="0.25">
      <c r="A13877" t="str">
        <f>HYPERLINK("https://www.773grp.com/globalSearch/TLC083ID/page-1", "TLC083ID")</f>
        <v>TLC083ID</v>
      </c>
      <c r="B13877" s="3" t="str">
        <f>HYPERLINK("https://www.773grp.com/manufacturer/texas-instruments?pageNo=50", "Texas Instruments")</f>
        <v>Texas Instruments</v>
      </c>
      <c r="C13877" s="5">
        <v>3344</v>
      </c>
      <c r="D13877" s="6">
        <v>4.2300000000000004</v>
      </c>
      <c r="E13877" t="s">
        <v>11</v>
      </c>
    </row>
    <row r="13878" spans="1:5" x14ac:dyDescent="0.25">
      <c r="A13878" t="str">
        <f>HYPERLINK("https://www.773grp.com/globalSearch/TLC2252AIP/page-1", "TLC2252AIP")</f>
        <v>TLC2252AIP</v>
      </c>
      <c r="B13878" s="3" t="str">
        <f>HYPERLINK("https://www.773grp.com/manufacturer/texas-instruments?pageNo=51", "Texas Instruments")</f>
        <v>Texas Instruments</v>
      </c>
      <c r="C13878" s="5">
        <v>1357</v>
      </c>
      <c r="D13878" s="6">
        <v>4.2300000000000004</v>
      </c>
      <c r="E13878" t="s">
        <v>11</v>
      </c>
    </row>
    <row r="13879" spans="1:5" x14ac:dyDescent="0.25">
      <c r="A13879" t="str">
        <f>HYPERLINK("https://www.773grp.com/globalSearch/TLC2252AQD/page-1", "TLC2252AQD")</f>
        <v>TLC2252AQD</v>
      </c>
      <c r="B13879" s="3" t="str">
        <f>HYPERLINK("https://www.773grp.com/manufacturer/texas-instruments?pageNo=52", "Texas Instruments")</f>
        <v>Texas Instruments</v>
      </c>
      <c r="C13879" s="5">
        <v>3097</v>
      </c>
      <c r="D13879" s="6">
        <v>4.2300000000000004</v>
      </c>
      <c r="E13879" t="s">
        <v>11</v>
      </c>
    </row>
    <row r="13880" spans="1:5" x14ac:dyDescent="0.25">
      <c r="A13880" t="str">
        <f>HYPERLINK("https://www.773grp.com/globalSearch/TLC2252CD/page-1", "TLC2252CD")</f>
        <v>TLC2252CD</v>
      </c>
      <c r="B13880" s="3" t="str">
        <f>HYPERLINK("https://www.773grp.com/manufacturer/texas-instruments?pageNo=53", "Texas Instruments")</f>
        <v>Texas Instruments</v>
      </c>
      <c r="C13880" s="5">
        <v>36</v>
      </c>
      <c r="D13880" s="6">
        <v>4.2300000000000004</v>
      </c>
      <c r="E13880" t="s">
        <v>11</v>
      </c>
    </row>
    <row r="13881" spans="1:5" x14ac:dyDescent="0.25">
      <c r="A13881" t="str">
        <f>HYPERLINK("https://www.773grp.com/globalSearch/TLC2252CPW/page-1", "TLC2252CPW")</f>
        <v>TLC2252CPW</v>
      </c>
      <c r="B13881" s="3" t="str">
        <f>HYPERLINK("https://www.773grp.com/manufacturer/texas-instruments?pageNo=54", "Texas Instruments")</f>
        <v>Texas Instruments</v>
      </c>
      <c r="C13881" s="5">
        <v>900</v>
      </c>
      <c r="D13881" s="6">
        <v>4.2300000000000004</v>
      </c>
      <c r="E13881" t="s">
        <v>11</v>
      </c>
    </row>
    <row r="13882" spans="1:5" x14ac:dyDescent="0.25">
      <c r="A13882" t="str">
        <f>HYPERLINK("https://www.773grp.com/globalSearch/TLC2252IP/page-1", "TLC2252IP")</f>
        <v>TLC2252IP</v>
      </c>
      <c r="B13882" s="3" t="str">
        <f>HYPERLINK("https://www.773grp.com/manufacturer/texas-instruments?pageNo=55", "Texas Instruments")</f>
        <v>Texas Instruments</v>
      </c>
      <c r="C13882" s="5">
        <v>13391</v>
      </c>
      <c r="D13882" s="6">
        <v>4.2300000000000004</v>
      </c>
      <c r="E13882" t="s">
        <v>11</v>
      </c>
    </row>
    <row r="13883" spans="1:5" x14ac:dyDescent="0.25">
      <c r="A13883" t="str">
        <f>HYPERLINK("https://www.773grp.com/globalSearch/TLC2254AIDR/page-1", "TLC2254AIDR")</f>
        <v>TLC2254AIDR</v>
      </c>
      <c r="B13883" s="3" t="str">
        <f>HYPERLINK("https://www.773grp.com/manufacturer/texas-instruments?pageNo=56", "Texas Instruments")</f>
        <v>Texas Instruments</v>
      </c>
      <c r="C13883" s="5">
        <v>20000</v>
      </c>
      <c r="D13883" s="6">
        <v>4.2300000000000004</v>
      </c>
      <c r="E13883" t="s">
        <v>11</v>
      </c>
    </row>
    <row r="13884" spans="1:5" x14ac:dyDescent="0.25">
      <c r="A13884" t="str">
        <f>HYPERLINK("https://www.773grp.com/globalSearch/TLC2262AID/page-1", "TLC2262AID")</f>
        <v>TLC2262AID</v>
      </c>
      <c r="B13884" s="3" t="str">
        <f>HYPERLINK("https://www.773grp.com/manufacturer/texas-instruments?pageNo=58", "Texas Instruments")</f>
        <v>Texas Instruments</v>
      </c>
      <c r="C13884" s="5">
        <v>465</v>
      </c>
      <c r="D13884" s="6">
        <v>4.2300000000000004</v>
      </c>
      <c r="E13884" t="s">
        <v>11</v>
      </c>
    </row>
    <row r="13885" spans="1:5" x14ac:dyDescent="0.25">
      <c r="A13885" t="str">
        <f>HYPERLINK("https://www.773grp.com/globalSearch/TLC2262AIPW/page-1", "TLC2262AIPW")</f>
        <v>TLC2262AIPW</v>
      </c>
      <c r="B13885" s="3" t="str">
        <f>HYPERLINK("https://www.773grp.com/manufacturer/texas-instruments?pageNo=59", "Texas Instruments")</f>
        <v>Texas Instruments</v>
      </c>
      <c r="C13885" s="5">
        <v>104</v>
      </c>
      <c r="D13885" s="6">
        <v>4.2300000000000004</v>
      </c>
      <c r="E13885" t="s">
        <v>11</v>
      </c>
    </row>
    <row r="13886" spans="1:5" x14ac:dyDescent="0.25">
      <c r="A13886" t="str">
        <f>HYPERLINK("https://www.773grp.com/globalSearch/TLC2272ACP/page-1", "TLC2272ACP")</f>
        <v>TLC2272ACP</v>
      </c>
      <c r="B13886" s="3" t="str">
        <f>HYPERLINK("https://www.773grp.com/manufacturer/texas-instruments?pageNo=60", "Texas Instruments")</f>
        <v>Texas Instruments</v>
      </c>
      <c r="C13886" s="5">
        <v>2407</v>
      </c>
      <c r="D13886" s="6">
        <v>4.2300000000000004</v>
      </c>
      <c r="E13886" t="s">
        <v>11</v>
      </c>
    </row>
    <row r="13887" spans="1:5" x14ac:dyDescent="0.25">
      <c r="A13887" t="str">
        <f>HYPERLINK("https://www.773grp.com/globalSearch/TLC2272CD/page-1", "TLC2272CD")</f>
        <v>TLC2272CD</v>
      </c>
      <c r="B13887" s="3" t="str">
        <f>HYPERLINK("https://www.773grp.com/manufacturer/texas-instruments?pageNo=61", "Texas Instruments")</f>
        <v>Texas Instruments</v>
      </c>
      <c r="C13887" s="5">
        <v>18693</v>
      </c>
      <c r="D13887" s="6">
        <v>4.2300000000000004</v>
      </c>
      <c r="E13887" t="s">
        <v>11</v>
      </c>
    </row>
    <row r="13888" spans="1:5" x14ac:dyDescent="0.25">
      <c r="A13888" t="str">
        <f>HYPERLINK("https://www.773grp.com/globalSearch/TLC2272CP/page-1", "TLC2272CP")</f>
        <v>TLC2272CP</v>
      </c>
      <c r="B13888" s="3" t="str">
        <f>HYPERLINK("https://www.773grp.com/manufacturer/texas-instruments?pageNo=62", "Texas Instruments")</f>
        <v>Texas Instruments</v>
      </c>
      <c r="C13888" s="5">
        <v>7800</v>
      </c>
      <c r="D13888" s="6">
        <v>4.2300000000000004</v>
      </c>
      <c r="E13888" t="s">
        <v>11</v>
      </c>
    </row>
    <row r="13889" spans="1:5" x14ac:dyDescent="0.25">
      <c r="A13889" t="str">
        <f>HYPERLINK("https://www.773grp.com/globalSearch/TLC2272CPE4/page-1", "TLC2272CPE4")</f>
        <v>TLC2272CPE4</v>
      </c>
      <c r="B13889" s="3" t="str">
        <f>HYPERLINK("https://www.773grp.com/manufacturer/texas-instruments?pageNo=63", "Texas Instruments")</f>
        <v>Texas Instruments</v>
      </c>
      <c r="C13889" s="5">
        <v>550</v>
      </c>
      <c r="D13889" s="6">
        <v>4.2300000000000004</v>
      </c>
      <c r="E13889" t="s">
        <v>11</v>
      </c>
    </row>
    <row r="13890" spans="1:5" x14ac:dyDescent="0.25">
      <c r="A13890" t="str">
        <f>HYPERLINK("https://www.773grp.com/globalSearch/TLC2272CPW/page-1", "TLC2272CPW")</f>
        <v>TLC2272CPW</v>
      </c>
      <c r="B13890" s="3" t="str">
        <f>HYPERLINK("https://www.773grp.com/manufacturer/texas-instruments?pageNo=64", "Texas Instruments")</f>
        <v>Texas Instruments</v>
      </c>
      <c r="C13890" s="5">
        <v>9097</v>
      </c>
      <c r="D13890" s="6">
        <v>4.2300000000000004</v>
      </c>
      <c r="E13890" t="s">
        <v>11</v>
      </c>
    </row>
    <row r="13891" spans="1:5" x14ac:dyDescent="0.25">
      <c r="A13891" t="str">
        <f>HYPERLINK("https://www.773grp.com/globalSearch/TLC2272IP/page-1", "TLC2272IP")</f>
        <v>TLC2272IP</v>
      </c>
      <c r="B13891" s="3" t="str">
        <f>HYPERLINK("https://www.773grp.com/manufacturer/texas-instruments?pageNo=65", "Texas Instruments")</f>
        <v>Texas Instruments</v>
      </c>
      <c r="C13891" s="5">
        <v>186257</v>
      </c>
      <c r="D13891" s="6">
        <v>4.2300000000000004</v>
      </c>
      <c r="E13891" t="s">
        <v>11</v>
      </c>
    </row>
    <row r="13892" spans="1:5" x14ac:dyDescent="0.25">
      <c r="A13892" t="str">
        <f>HYPERLINK("https://www.773grp.com/globalSearch/TLC27L7IDR/page-1", "TLC27L7IDR")</f>
        <v>TLC27L7IDR</v>
      </c>
      <c r="B13892" s="3" t="str">
        <f>HYPERLINK("https://www.773grp.com/manufacturer/texas-instruments?pageNo=69", "Texas Instruments")</f>
        <v>Texas Instruments</v>
      </c>
      <c r="C13892" s="5">
        <v>92800</v>
      </c>
      <c r="D13892" s="6">
        <v>4.2300000000000004</v>
      </c>
      <c r="E13892" t="s">
        <v>11</v>
      </c>
    </row>
    <row r="13893" spans="1:5" x14ac:dyDescent="0.25">
      <c r="A13893" t="str">
        <f>HYPERLINK("https://www.773grp.com/globalSearch/TLE2061CD/page-1", "TLE2061CD")</f>
        <v>TLE2061CD</v>
      </c>
      <c r="B13893" s="3" t="str">
        <f>HYPERLINK("https://www.773grp.com/manufacturer/texas-instruments?pageNo=73", "Texas Instruments")</f>
        <v>Texas Instruments</v>
      </c>
      <c r="C13893" s="5">
        <v>534</v>
      </c>
      <c r="D13893" s="6">
        <v>4.2300000000000004</v>
      </c>
      <c r="E13893" t="s">
        <v>11</v>
      </c>
    </row>
    <row r="13894" spans="1:5" x14ac:dyDescent="0.25">
      <c r="A13894" t="str">
        <f>HYPERLINK("https://www.773grp.com/globalSearch/TLE2061IP/page-1", "TLE2061IP")</f>
        <v>TLE2061IP</v>
      </c>
      <c r="B13894" s="3" t="str">
        <f>HYPERLINK("https://www.773grp.com/manufacturer/texas-instruments?pageNo=74", "Texas Instruments")</f>
        <v>Texas Instruments</v>
      </c>
      <c r="C13894" s="5">
        <v>9805</v>
      </c>
      <c r="D13894" s="6">
        <v>4.2300000000000004</v>
      </c>
      <c r="E13894" t="s">
        <v>11</v>
      </c>
    </row>
    <row r="13895" spans="1:5" x14ac:dyDescent="0.25">
      <c r="A13895" t="str">
        <f>HYPERLINK("https://www.773grp.com/globalSearch/TLE2071ACP/page-1", "TLE2071ACP")</f>
        <v>TLE2071ACP</v>
      </c>
      <c r="B13895" s="3" t="str">
        <f>HYPERLINK("https://www.773grp.com/manufacturer/texas-instruments?pageNo=75", "Texas Instruments")</f>
        <v>Texas Instruments</v>
      </c>
      <c r="C13895" s="5">
        <v>6742</v>
      </c>
      <c r="D13895" s="6">
        <v>4.2300000000000004</v>
      </c>
      <c r="E13895" t="s">
        <v>11</v>
      </c>
    </row>
    <row r="13896" spans="1:5" x14ac:dyDescent="0.25">
      <c r="A13896" t="str">
        <f>HYPERLINK("https://www.773grp.com/globalSearch/TLE2071ID/page-1", "TLE2071ID")</f>
        <v>TLE2071ID</v>
      </c>
      <c r="B13896" s="3" t="str">
        <f>HYPERLINK("https://www.773grp.com/manufacturer/texas-instruments?pageNo=76", "Texas Instruments")</f>
        <v>Texas Instruments</v>
      </c>
      <c r="C13896" s="5">
        <v>160</v>
      </c>
      <c r="D13896" s="6">
        <v>4.2300000000000004</v>
      </c>
      <c r="E13896" t="s">
        <v>11</v>
      </c>
    </row>
    <row r="13897" spans="1:5" x14ac:dyDescent="0.25">
      <c r="A13897" t="str">
        <f>HYPERLINK("https://www.773grp.com/globalSearch/TLE2141AID/page-1", "TLE2141AID")</f>
        <v>TLE2141AID</v>
      </c>
      <c r="B13897" s="3" t="str">
        <f>HYPERLINK("https://www.773grp.com/manufacturer/texas-instruments?pageNo=77", "Texas Instruments")</f>
        <v>Texas Instruments</v>
      </c>
      <c r="C13897" s="5">
        <v>142</v>
      </c>
      <c r="D13897" s="6">
        <v>4.2300000000000004</v>
      </c>
      <c r="E13897" t="s">
        <v>11</v>
      </c>
    </row>
    <row r="13898" spans="1:5" x14ac:dyDescent="0.25">
      <c r="A13898" t="str">
        <f>HYPERLINK("https://www.773grp.com/globalSearch/TLV2252AID/page-1", "TLV2252AID")</f>
        <v>TLV2252AID</v>
      </c>
      <c r="B13898" s="3" t="str">
        <f>HYPERLINK("https://www.773grp.com/manufacturer/texas-instruments?pageNo=78", "Texas Instruments")</f>
        <v>Texas Instruments</v>
      </c>
      <c r="C13898" s="5">
        <v>3597</v>
      </c>
      <c r="D13898" s="6">
        <v>4.2300000000000004</v>
      </c>
      <c r="E13898" t="s">
        <v>11</v>
      </c>
    </row>
    <row r="13899" spans="1:5" x14ac:dyDescent="0.25">
      <c r="A13899" t="str">
        <f>HYPERLINK("https://www.773grp.com/globalSearch/TLV2252AIP/page-1", "TLV2252AIP")</f>
        <v>TLV2252AIP</v>
      </c>
      <c r="B13899" s="3" t="str">
        <f>HYPERLINK("https://www.773grp.com/manufacturer/texas-instruments?pageNo=80", "Texas Instruments")</f>
        <v>Texas Instruments</v>
      </c>
      <c r="C13899" s="5">
        <v>470</v>
      </c>
      <c r="D13899" s="6">
        <v>4.2300000000000004</v>
      </c>
      <c r="E13899" t="s">
        <v>11</v>
      </c>
    </row>
    <row r="13900" spans="1:5" x14ac:dyDescent="0.25">
      <c r="A13900" t="str">
        <f>HYPERLINK("https://www.773grp.com/globalSearch/TLV2322IP/page-1", "TLV2322IP")</f>
        <v>TLV2322IP</v>
      </c>
      <c r="B13900" s="3" t="str">
        <f>HYPERLINK("https://www.773grp.com/manufacturer/texas-instruments?pageNo=84", "Texas Instruments")</f>
        <v>Texas Instruments</v>
      </c>
      <c r="C13900" s="5">
        <v>2422</v>
      </c>
      <c r="D13900" s="6">
        <v>4.2300000000000004</v>
      </c>
      <c r="E13900" t="s">
        <v>11</v>
      </c>
    </row>
    <row r="13901" spans="1:5" x14ac:dyDescent="0.25">
      <c r="A13901" t="str">
        <f>HYPERLINK("https://www.773grp.com/globalSearch/TLV2341IP/page-1", "TLV2341IP")</f>
        <v>TLV2341IP</v>
      </c>
      <c r="B13901" s="3" t="str">
        <f>HYPERLINK("https://www.773grp.com/manufacturer/texas-instruments?pageNo=85", "Texas Instruments")</f>
        <v>Texas Instruments</v>
      </c>
      <c r="C13901" s="5">
        <v>11050</v>
      </c>
      <c r="D13901" s="6">
        <v>4.2300000000000004</v>
      </c>
      <c r="E13901" t="s">
        <v>11</v>
      </c>
    </row>
    <row r="13902" spans="1:5" x14ac:dyDescent="0.25">
      <c r="A13902" t="str">
        <f>HYPERLINK("https://www.773grp.com/globalSearch/TLV2372ID/page-1", "TLV2372ID")</f>
        <v>TLV2372ID</v>
      </c>
      <c r="B13902" s="3" t="str">
        <f>HYPERLINK("https://www.773grp.com/manufacturer/texas-instruments?pageNo=88", "Texas Instruments")</f>
        <v>Texas Instruments</v>
      </c>
      <c r="C13902" s="5">
        <v>475</v>
      </c>
      <c r="D13902" s="6">
        <v>4.2300000000000004</v>
      </c>
      <c r="E13902" t="s">
        <v>11</v>
      </c>
    </row>
    <row r="13903" spans="1:5" x14ac:dyDescent="0.25">
      <c r="A13903" t="str">
        <f>HYPERLINK("https://www.773grp.com/globalSearch/TLV2372IDGKG4/page-1", "TLV2372IDGKG4")</f>
        <v>TLV2372IDGKG4</v>
      </c>
      <c r="B13903" s="3" t="str">
        <f>HYPERLINK("https://www.773grp.com/manufacturer/texas-instruments?pageNo=90", "Texas Instruments")</f>
        <v>Texas Instruments</v>
      </c>
      <c r="C13903" s="5">
        <v>5</v>
      </c>
      <c r="D13903" s="6">
        <v>4.2300000000000004</v>
      </c>
      <c r="E13903" t="s">
        <v>11</v>
      </c>
    </row>
    <row r="13904" spans="1:5" x14ac:dyDescent="0.25">
      <c r="A13904" t="str">
        <f>HYPERLINK("https://www.773grp.com/globalSearch/TLV2372QDRQ1/page-1", "TLV2372QDRQ1")</f>
        <v>TLV2372QDRQ1</v>
      </c>
      <c r="B13904" s="3" t="str">
        <f>HYPERLINK("https://www.773grp.com/manufacturer/texas-instruments?pageNo=91", "Texas Instruments")</f>
        <v>Texas Instruments</v>
      </c>
      <c r="C13904" s="5">
        <v>9586</v>
      </c>
      <c r="D13904" s="6">
        <v>4.2300000000000004</v>
      </c>
      <c r="E13904" t="s">
        <v>11</v>
      </c>
    </row>
    <row r="13905" spans="1:5" x14ac:dyDescent="0.25">
      <c r="A13905" t="str">
        <f>HYPERLINK("https://www.773grp.com/globalSearch/TLV2373IDR/page-1", "TLV2373IDR")</f>
        <v>TLV2373IDR</v>
      </c>
      <c r="B13905" s="3" t="str">
        <f>HYPERLINK("https://www.773grp.com/manufacturer/texas-instruments?pageNo=93", "Texas Instruments")</f>
        <v>Texas Instruments</v>
      </c>
      <c r="C13905" s="5">
        <v>27400</v>
      </c>
      <c r="D13905" s="6">
        <v>4.2300000000000004</v>
      </c>
      <c r="E13905" t="s">
        <v>11</v>
      </c>
    </row>
    <row r="13906" spans="1:5" x14ac:dyDescent="0.25">
      <c r="A13906" t="str">
        <f>HYPERLINK("https://www.773grp.com/globalSearch/TLV2401CD/page-1", "TLV2401CD")</f>
        <v>TLV2401CD</v>
      </c>
      <c r="B13906" s="3" t="str">
        <f>HYPERLINK("https://www.773grp.com/manufacturer/texas-instruments?pageNo=94", "Texas Instruments")</f>
        <v>Texas Instruments</v>
      </c>
      <c r="C13906" s="5">
        <v>3262</v>
      </c>
      <c r="D13906" s="6">
        <v>4.2300000000000004</v>
      </c>
      <c r="E13906" t="s">
        <v>11</v>
      </c>
    </row>
    <row r="13907" spans="1:5" x14ac:dyDescent="0.25">
      <c r="A13907" t="str">
        <f>HYPERLINK("https://www.773grp.com/globalSearch/TLV2401CD/page-1", "TLV2401CD")</f>
        <v>TLV2401CD</v>
      </c>
      <c r="B13907" s="3" t="str">
        <f>HYPERLINK("https://www.773grp.com/manufacturer/texas-instruments?pageNo=95", "Texas Instruments")</f>
        <v>Texas Instruments</v>
      </c>
      <c r="C13907" s="5">
        <v>300</v>
      </c>
      <c r="D13907" s="6">
        <v>4.2300000000000004</v>
      </c>
      <c r="E13907" t="s">
        <v>11</v>
      </c>
    </row>
    <row r="13908" spans="1:5" x14ac:dyDescent="0.25">
      <c r="A13908" t="str">
        <f>HYPERLINK("https://www.773grp.com/globalSearch/TLV2401IP/page-1", "TLV2401IP")</f>
        <v>TLV2401IP</v>
      </c>
      <c r="B13908" s="3" t="str">
        <f>HYPERLINK("https://www.773grp.com/manufacturer/texas-instruments?pageNo=96", "Texas Instruments")</f>
        <v>Texas Instruments</v>
      </c>
      <c r="C13908" s="5">
        <v>32135</v>
      </c>
      <c r="D13908" s="6">
        <v>4.2300000000000004</v>
      </c>
      <c r="E13908" t="s">
        <v>11</v>
      </c>
    </row>
    <row r="13909" spans="1:5" x14ac:dyDescent="0.25">
      <c r="A13909" t="str">
        <f>HYPERLINK("https://www.773grp.com/globalSearch/TLV2422AIDR/page-1", "TLV2422AIDR")</f>
        <v>TLV2422AIDR</v>
      </c>
      <c r="B13909" s="3" t="str">
        <f>HYPERLINK("https://www.773grp.com/manufacturer/texas-instruments?pageNo=97", "Texas Instruments")</f>
        <v>Texas Instruments</v>
      </c>
      <c r="C13909" s="5">
        <v>2325</v>
      </c>
      <c r="D13909" s="6">
        <v>4.2300000000000004</v>
      </c>
      <c r="E13909" t="s">
        <v>11</v>
      </c>
    </row>
    <row r="13910" spans="1:5" x14ac:dyDescent="0.25">
      <c r="A13910" t="str">
        <f>HYPERLINK("https://www.773grp.com/globalSearch/TLV2442AQD/page-1", "TLV2442AQD")</f>
        <v>TLV2442AQD</v>
      </c>
      <c r="B13910" s="3" t="str">
        <f>HYPERLINK("https://www.773grp.com/manufacturer/texas-instruments?pageNo=99", "Texas Instruments")</f>
        <v>Texas Instruments</v>
      </c>
      <c r="C13910" s="5">
        <v>7591</v>
      </c>
      <c r="D13910" s="6">
        <v>4.2300000000000004</v>
      </c>
      <c r="E13910" t="s">
        <v>11</v>
      </c>
    </row>
    <row r="13911" spans="1:5" x14ac:dyDescent="0.25">
      <c r="A13911" t="str">
        <f>HYPERLINK("https://www.773grp.com/globalSearch/TLV2442AQDG4/page-1", "TLV2442AQDG4")</f>
        <v>TLV2442AQDG4</v>
      </c>
      <c r="B13911" s="3" t="str">
        <f>HYPERLINK("https://www.773grp.com/manufacturer/texas-instruments?pageNo=100", "Texas Instruments")</f>
        <v>Texas Instruments</v>
      </c>
      <c r="C13911" s="5">
        <v>8250</v>
      </c>
      <c r="D13911" s="6">
        <v>4.2300000000000004</v>
      </c>
      <c r="E13911" t="s">
        <v>11</v>
      </c>
    </row>
    <row r="13912" spans="1:5" x14ac:dyDescent="0.25">
      <c r="A13912" t="str">
        <f>HYPERLINK("https://www.773grp.com/globalSearch/TLV2442AQDR/page-1", "TLV2442AQDR")</f>
        <v>TLV2442AQDR</v>
      </c>
      <c r="B13912" s="3" t="str">
        <f>HYPERLINK("https://www.773grp.com/manufacturer/texas-instruments?pageNo=101", "Texas Instruments")</f>
        <v>Texas Instruments</v>
      </c>
      <c r="C13912" s="5">
        <v>2500</v>
      </c>
      <c r="D13912" s="6">
        <v>4.2300000000000004</v>
      </c>
      <c r="E13912" t="s">
        <v>11</v>
      </c>
    </row>
    <row r="13913" spans="1:5" x14ac:dyDescent="0.25">
      <c r="A13913" t="str">
        <f>HYPERLINK("https://www.773grp.com/globalSearch/TLV2442AQPW/page-1", "TLV2442AQPW")</f>
        <v>TLV2442AQPW</v>
      </c>
      <c r="B13913" s="3" t="str">
        <f>HYPERLINK("https://www.773grp.com/manufacturer/texas-instruments?pageNo=102", "Texas Instruments")</f>
        <v>Texas Instruments</v>
      </c>
      <c r="C13913" s="5">
        <v>6101</v>
      </c>
      <c r="D13913" s="6">
        <v>4.2300000000000004</v>
      </c>
      <c r="E13913" t="s">
        <v>11</v>
      </c>
    </row>
    <row r="13914" spans="1:5" x14ac:dyDescent="0.25">
      <c r="A13914" t="str">
        <f>HYPERLINK("https://www.773grp.com/globalSearch/TLV2442AQPWR/page-1", "TLV2442AQPWR")</f>
        <v>TLV2442AQPWR</v>
      </c>
      <c r="B13914" s="3" t="str">
        <f>HYPERLINK("https://www.773grp.com/manufacturer/texas-instruments?pageNo=103", "Texas Instruments")</f>
        <v>Texas Instruments</v>
      </c>
      <c r="C13914" s="5">
        <v>6000</v>
      </c>
      <c r="D13914" s="6">
        <v>4.2300000000000004</v>
      </c>
      <c r="E13914" t="s">
        <v>11</v>
      </c>
    </row>
    <row r="13915" spans="1:5" x14ac:dyDescent="0.25">
      <c r="A13915" t="str">
        <f>HYPERLINK("https://www.773grp.com/globalSearch/TLV2451AIDR/page-1", "TLV2451AIDR")</f>
        <v>TLV2451AIDR</v>
      </c>
      <c r="B13915" s="3" t="str">
        <f>HYPERLINK("https://www.773grp.com/manufacturer/texas-instruments?pageNo=104", "Texas Instruments")</f>
        <v>Texas Instruments</v>
      </c>
      <c r="C13915" s="5">
        <v>10000</v>
      </c>
      <c r="D13915" s="6">
        <v>4.2300000000000004</v>
      </c>
      <c r="E13915" t="s">
        <v>11</v>
      </c>
    </row>
    <row r="13916" spans="1:5" x14ac:dyDescent="0.25">
      <c r="A13916" t="str">
        <f>HYPERLINK("https://www.773grp.com/globalSearch/TLV2452CP/page-1", "TLV2452CP")</f>
        <v>TLV2452CP</v>
      </c>
      <c r="B13916" s="3" t="str">
        <f>HYPERLINK("https://www.773grp.com/manufacturer/texas-instruments?pageNo=106", "Texas Instruments")</f>
        <v>Texas Instruments</v>
      </c>
      <c r="C13916" s="5">
        <v>3650</v>
      </c>
      <c r="D13916" s="6">
        <v>4.2300000000000004</v>
      </c>
      <c r="E13916" t="s">
        <v>11</v>
      </c>
    </row>
    <row r="13917" spans="1:5" x14ac:dyDescent="0.25">
      <c r="A13917" t="str">
        <f>HYPERLINK("https://www.773grp.com/globalSearch/TLV2460ID/page-1", "TLV2460ID")</f>
        <v>TLV2460ID</v>
      </c>
      <c r="B13917" s="3" t="str">
        <f>HYPERLINK("https://www.773grp.com/manufacturer/texas-instruments?pageNo=107", "Texas Instruments")</f>
        <v>Texas Instruments</v>
      </c>
      <c r="C13917" s="5">
        <v>9825</v>
      </c>
      <c r="D13917" s="6">
        <v>4.2300000000000004</v>
      </c>
      <c r="E13917" t="s">
        <v>11</v>
      </c>
    </row>
    <row r="13918" spans="1:5" x14ac:dyDescent="0.25">
      <c r="A13918" t="str">
        <f>HYPERLINK("https://www.773grp.com/globalSearch/TLV2461AIDR/page-1", "TLV2461AIDR")</f>
        <v>TLV2461AIDR</v>
      </c>
      <c r="B13918" s="3" t="str">
        <f>HYPERLINK("https://www.773grp.com/manufacturer/texas-instruments?pageNo=108", "Texas Instruments")</f>
        <v>Texas Instruments</v>
      </c>
      <c r="C13918" s="5">
        <v>17500</v>
      </c>
      <c r="D13918" s="6">
        <v>4.2300000000000004</v>
      </c>
      <c r="E13918" t="s">
        <v>11</v>
      </c>
    </row>
    <row r="13919" spans="1:5" x14ac:dyDescent="0.25">
      <c r="A13919" t="str">
        <f>HYPERLINK("https://www.773grp.com/globalSearch/TLV2462CDGKR/page-1", "TLV2462CDGKR")</f>
        <v>TLV2462CDGKR</v>
      </c>
      <c r="B13919" s="3" t="str">
        <f>HYPERLINK("https://www.773grp.com/manufacturer/texas-instruments?pageNo=109", "Texas Instruments")</f>
        <v>Texas Instruments</v>
      </c>
      <c r="C13919" s="5">
        <v>3432</v>
      </c>
      <c r="D13919" s="6">
        <v>4.2300000000000004</v>
      </c>
      <c r="E13919" t="s">
        <v>11</v>
      </c>
    </row>
    <row r="13920" spans="1:5" x14ac:dyDescent="0.25">
      <c r="A13920" t="str">
        <f>HYPERLINK("https://www.773grp.com/globalSearch/TLV2462CDR/page-1", "TLV2462CDR")</f>
        <v>TLV2462CDR</v>
      </c>
      <c r="B13920" s="3" t="str">
        <f>HYPERLINK("https://www.773grp.com/manufacturer/texas-instruments?pageNo=110", "Texas Instruments")</f>
        <v>Texas Instruments</v>
      </c>
      <c r="C13920" s="5">
        <v>3628</v>
      </c>
      <c r="D13920" s="6">
        <v>4.2300000000000004</v>
      </c>
      <c r="E13920" t="s">
        <v>11</v>
      </c>
    </row>
    <row r="13921" spans="1:5" x14ac:dyDescent="0.25">
      <c r="A13921" t="str">
        <f>HYPERLINK("https://www.773grp.com/globalSearch/TLV2623IN/page-1", "TLV2623IN")</f>
        <v>TLV2623IN</v>
      </c>
      <c r="B13921" s="3" t="str">
        <f>HYPERLINK("https://www.773grp.com/manufacturer/texas-instruments?pageNo=112", "Texas Instruments")</f>
        <v>Texas Instruments</v>
      </c>
      <c r="C13921" s="5">
        <v>936</v>
      </c>
      <c r="D13921" s="6">
        <v>4.2300000000000004</v>
      </c>
      <c r="E13921" t="s">
        <v>11</v>
      </c>
    </row>
    <row r="13922" spans="1:5" x14ac:dyDescent="0.25">
      <c r="A13922" t="str">
        <f>HYPERLINK("https://www.773grp.com/globalSearch/TLV2770AIDR/page-1", "TLV2770AIDR")</f>
        <v>TLV2770AIDR</v>
      </c>
      <c r="B13922" s="3" t="str">
        <f>HYPERLINK("https://www.773grp.com/manufacturer/texas-instruments?pageNo=113", "Texas Instruments")</f>
        <v>Texas Instruments</v>
      </c>
      <c r="C13922" s="5">
        <v>7500</v>
      </c>
      <c r="D13922" s="6">
        <v>4.2300000000000004</v>
      </c>
      <c r="E13922" t="s">
        <v>11</v>
      </c>
    </row>
    <row r="13923" spans="1:5" x14ac:dyDescent="0.25">
      <c r="A13923" t="str">
        <f>HYPERLINK("https://www.773grp.com/globalSearch/TLV2770CP/page-1", "TLV2770CP")</f>
        <v>TLV2770CP</v>
      </c>
      <c r="B13923" s="3" t="str">
        <f>HYPERLINK("https://www.773grp.com/manufacturer/texas-instruments?pageNo=114", "Texas Instruments")</f>
        <v>Texas Instruments</v>
      </c>
      <c r="C13923" s="5">
        <v>154215</v>
      </c>
      <c r="D13923" s="6">
        <v>4.2300000000000004</v>
      </c>
      <c r="E13923" t="s">
        <v>11</v>
      </c>
    </row>
    <row r="13924" spans="1:5" x14ac:dyDescent="0.25">
      <c r="A13924" t="str">
        <f>HYPERLINK("https://www.773grp.com/globalSearch/TLV2770ID/page-1", "TLV2770ID")</f>
        <v>TLV2770ID</v>
      </c>
      <c r="B13924" s="3" t="str">
        <f>HYPERLINK("https://www.773grp.com/manufacturer/texas-instruments?pageNo=115", "Texas Instruments")</f>
        <v>Texas Instruments</v>
      </c>
      <c r="C13924" s="5">
        <v>27821</v>
      </c>
      <c r="D13924" s="6">
        <v>4.2300000000000004</v>
      </c>
      <c r="E13924" t="s">
        <v>11</v>
      </c>
    </row>
    <row r="13925" spans="1:5" x14ac:dyDescent="0.25">
      <c r="A13925" t="str">
        <f>HYPERLINK("https://www.773grp.com/globalSearch/TLV2771CD/page-1", "TLV2771CD")</f>
        <v>TLV2771CD</v>
      </c>
      <c r="B13925" s="3" t="str">
        <f>HYPERLINK("https://www.773grp.com/manufacturer/texas-instruments?pageNo=116", "Texas Instruments")</f>
        <v>Texas Instruments</v>
      </c>
      <c r="C13925" s="5">
        <v>18924</v>
      </c>
      <c r="D13925" s="6">
        <v>4.2300000000000004</v>
      </c>
      <c r="E13925" t="s">
        <v>11</v>
      </c>
    </row>
    <row r="13926" spans="1:5" x14ac:dyDescent="0.25">
      <c r="A13926" t="str">
        <f>HYPERLINK("https://www.773grp.com/globalSearch/TLV2771ID/page-1", "TLV2771ID")</f>
        <v>TLV2771ID</v>
      </c>
      <c r="B13926" s="3" t="str">
        <f>HYPERLINK("https://www.773grp.com/manufacturer/texas-instruments?pageNo=117", "Texas Instruments")</f>
        <v>Texas Instruments</v>
      </c>
      <c r="C13926" s="5">
        <v>6332</v>
      </c>
      <c r="D13926" s="6">
        <v>4.2300000000000004</v>
      </c>
      <c r="E13926" t="s">
        <v>11</v>
      </c>
    </row>
    <row r="13927" spans="1:5" x14ac:dyDescent="0.25">
      <c r="A13927" t="str">
        <f>HYPERLINK("https://www.773grp.com/globalSearch/TLV2771IDBVT/page-1", "TLV2771IDBVT")</f>
        <v>TLV2771IDBVT</v>
      </c>
      <c r="B13927" s="3" t="str">
        <f>HYPERLINK("https://www.773grp.com/manufacturer/texas-instruments?pageNo=118", "Texas Instruments")</f>
        <v>Texas Instruments</v>
      </c>
      <c r="C13927" s="5">
        <v>750</v>
      </c>
      <c r="D13927" s="6">
        <v>4.2300000000000004</v>
      </c>
      <c r="E13927" t="s">
        <v>11</v>
      </c>
    </row>
    <row r="13928" spans="1:5" x14ac:dyDescent="0.25">
      <c r="A13928" t="str">
        <f>HYPERLINK("https://www.773grp.com/globalSearch/TLV2780CDBVT/page-1", "TLV2780CDBVT")</f>
        <v>TLV2780CDBVT</v>
      </c>
      <c r="B13928" s="3" t="str">
        <f>HYPERLINK("https://www.773grp.com/manufacturer/texas-instruments?pageNo=119", "Texas Instruments")</f>
        <v>Texas Instruments</v>
      </c>
      <c r="C13928" s="5">
        <v>15831</v>
      </c>
      <c r="D13928" s="6">
        <v>4.2300000000000004</v>
      </c>
      <c r="E13928" t="s">
        <v>11</v>
      </c>
    </row>
    <row r="13929" spans="1:5" x14ac:dyDescent="0.25">
      <c r="A13929" t="str">
        <f>HYPERLINK("https://www.773grp.com/globalSearch/TLV2781ID/page-1", "TLV2781ID")</f>
        <v>TLV2781ID</v>
      </c>
      <c r="B13929" s="3" t="str">
        <f>HYPERLINK("https://www.773grp.com/manufacturer/texas-instruments?pageNo=120", "Texas Instruments")</f>
        <v>Texas Instruments</v>
      </c>
      <c r="C13929" s="5">
        <v>33650</v>
      </c>
      <c r="D13929" s="6">
        <v>4.2300000000000004</v>
      </c>
      <c r="E13929" t="s">
        <v>11</v>
      </c>
    </row>
    <row r="13930" spans="1:5" x14ac:dyDescent="0.25">
      <c r="A13930" t="str">
        <f>HYPERLINK("https://www.773grp.com/globalSearch/TLV27L2CDGK/page-1", "TLV27L2CDGK")</f>
        <v>TLV27L2CDGK</v>
      </c>
      <c r="B13930" s="3" t="str">
        <f>HYPERLINK("https://www.773grp.com/manufacturer/texas-instruments?pageNo=121", "Texas Instruments")</f>
        <v>Texas Instruments</v>
      </c>
      <c r="C13930" s="5">
        <v>22999</v>
      </c>
      <c r="D13930" s="6">
        <v>4.2300000000000004</v>
      </c>
      <c r="E13930" t="s">
        <v>11</v>
      </c>
    </row>
    <row r="13931" spans="1:5" x14ac:dyDescent="0.25">
      <c r="A13931" t="str">
        <f>HYPERLINK("https://www.773grp.com/globalSearch/TLV27L2ID/page-1", "TLV27L2ID")</f>
        <v>TLV27L2ID</v>
      </c>
      <c r="B13931" s="3" t="str">
        <f>HYPERLINK("https://www.773grp.com/manufacturer/texas-instruments?pageNo=122", "Texas Instruments")</f>
        <v>Texas Instruments</v>
      </c>
      <c r="C13931" s="5">
        <v>310</v>
      </c>
      <c r="D13931" s="6">
        <v>4.2300000000000004</v>
      </c>
      <c r="E13931" t="s">
        <v>11</v>
      </c>
    </row>
    <row r="13932" spans="1:5" x14ac:dyDescent="0.25">
      <c r="A13932" t="str">
        <f>HYPERLINK("https://www.773grp.com/globalSearch/TLV27L2IDGK/page-1", "TLV27L2IDGK")</f>
        <v>TLV27L2IDGK</v>
      </c>
      <c r="B13932" s="3" t="str">
        <f>HYPERLINK("https://www.773grp.com/manufacturer/texas-instruments?pageNo=123", "Texas Instruments")</f>
        <v>Texas Instruments</v>
      </c>
      <c r="C13932" s="5">
        <v>4310</v>
      </c>
      <c r="D13932" s="6">
        <v>4.2300000000000004</v>
      </c>
      <c r="E13932" t="s">
        <v>11</v>
      </c>
    </row>
    <row r="13933" spans="1:5" x14ac:dyDescent="0.25">
      <c r="A13933" t="str">
        <f>HYPERLINK("https://www.773grp.com/globalSearch/TL054ID/page-1", "TL054ID")</f>
        <v>TL054ID</v>
      </c>
      <c r="B13933" s="3" t="str">
        <f>HYPERLINK("https://www.773grp.com/manufacturer/texas-instruments?pageNo=297", "Texas Instruments")</f>
        <v>Texas Instruments</v>
      </c>
      <c r="C13933" s="5">
        <v>1015</v>
      </c>
      <c r="D13933" s="6">
        <v>3.83</v>
      </c>
      <c r="E13933" t="s">
        <v>11</v>
      </c>
    </row>
    <row r="13934" spans="1:5" x14ac:dyDescent="0.25">
      <c r="A13934" t="str">
        <f>HYPERLINK("https://www.773grp.com/globalSearch/TLV2474ID/page-1", "TLV2474ID")</f>
        <v>TLV2474ID</v>
      </c>
      <c r="B13934" s="3" t="str">
        <f>HYPERLINK("https://www.773grp.com/manufacturer/texas-instruments?pageNo=303", "Texas Instruments")</f>
        <v>Texas Instruments</v>
      </c>
      <c r="C13934" s="5">
        <v>26</v>
      </c>
      <c r="D13934" s="6">
        <v>3.83</v>
      </c>
      <c r="E13934" t="s">
        <v>11</v>
      </c>
    </row>
    <row r="13935" spans="1:5" x14ac:dyDescent="0.25">
      <c r="A13935" t="str">
        <f>HYPERLINK("https://www.773grp.com/globalSearch/OPA4830IPWR/page-1", "OPA4830IPWR")</f>
        <v>OPA4830IPWR</v>
      </c>
      <c r="B13935" s="3" t="str">
        <f>HYPERLINK("https://www.773grp.com/manufacturer/texas-instruments?pageNo=321", "Texas Instruments")</f>
        <v>Texas Instruments</v>
      </c>
      <c r="C13935" s="5">
        <v>8534</v>
      </c>
      <c r="D13935" s="6">
        <v>3.85</v>
      </c>
      <c r="E13935" t="s">
        <v>11</v>
      </c>
    </row>
    <row r="13936" spans="1:5" x14ac:dyDescent="0.25">
      <c r="A13936" t="str">
        <f>HYPERLINK("https://www.773grp.com/globalSearch/OPA330AIDCKT/page-1", "OPA330AIDCKT")</f>
        <v>OPA330AIDCKT</v>
      </c>
      <c r="B13936" s="3" t="str">
        <f>HYPERLINK("https://www.773grp.com/manufacturer/texas-instruments?pageNo=369", "Texas Instruments")</f>
        <v>Texas Instruments</v>
      </c>
      <c r="C13936" s="5">
        <v>1542</v>
      </c>
      <c r="D13936" s="6">
        <v>4.28</v>
      </c>
      <c r="E13936" t="s">
        <v>11</v>
      </c>
    </row>
    <row r="13937" spans="1:5" x14ac:dyDescent="0.25">
      <c r="A13937" t="str">
        <f>HYPERLINK("https://www.773grp.com/globalSearch/TLE2161IDR/page-1", "TLE2161IDR")</f>
        <v>TLE2161IDR</v>
      </c>
      <c r="B13937" s="3" t="str">
        <f>HYPERLINK("https://www.773grp.com/manufacturer/texas-instruments?pageNo=381", "Texas Instruments")</f>
        <v>Texas Instruments</v>
      </c>
      <c r="C13937" s="5">
        <v>5000</v>
      </c>
      <c r="D13937" s="6">
        <v>4.28</v>
      </c>
      <c r="E13937" t="s">
        <v>11</v>
      </c>
    </row>
    <row r="13938" spans="1:5" x14ac:dyDescent="0.25">
      <c r="A13938" t="str">
        <f>HYPERLINK("https://www.773grp.com/globalSearch/OPA4344PA/page-1", "OPA4344PA")</f>
        <v>OPA4344PA</v>
      </c>
      <c r="B13938" s="3" t="str">
        <f>HYPERLINK("https://www.773grp.com/manufacturer/texas-instruments?pageNo=414", "Texas Instruments")</f>
        <v>Texas Instruments</v>
      </c>
      <c r="C13938" s="5">
        <v>118</v>
      </c>
      <c r="D13938" s="6">
        <v>3.89</v>
      </c>
      <c r="E13938" t="s">
        <v>11</v>
      </c>
    </row>
    <row r="13939" spans="1:5" x14ac:dyDescent="0.25">
      <c r="A13939" t="str">
        <f>HYPERLINK("https://www.773grp.com/globalSearch/OPA4344PA/page-1", "OPA4344PA")</f>
        <v>OPA4344PA</v>
      </c>
      <c r="B13939" s="3" t="str">
        <f>HYPERLINK("https://www.773grp.com/manufacturer/texas-instruments?pageNo=415", "Texas Instruments")</f>
        <v>Texas Instruments</v>
      </c>
      <c r="C13939" s="5">
        <v>1891</v>
      </c>
      <c r="D13939" s="6">
        <v>3.89</v>
      </c>
      <c r="E13939" t="s">
        <v>11</v>
      </c>
    </row>
    <row r="13940" spans="1:5" x14ac:dyDescent="0.25">
      <c r="A13940" t="str">
        <f>HYPERLINK("https://www.773grp.com/globalSearch/OPA4344PA/page-1", "OPA4344PA")</f>
        <v>OPA4344PA</v>
      </c>
      <c r="B13940" s="3" t="str">
        <f>HYPERLINK("https://www.773grp.com/manufacturer/texas-instruments?pageNo=416", "Texas Instruments")</f>
        <v>Texas Instruments</v>
      </c>
      <c r="C13940" s="5">
        <v>36700</v>
      </c>
      <c r="D13940" s="6">
        <v>3.89</v>
      </c>
      <c r="E13940" t="s">
        <v>11</v>
      </c>
    </row>
    <row r="13941" spans="1:5" x14ac:dyDescent="0.25">
      <c r="A13941" t="str">
        <f>HYPERLINK("https://www.773grp.com/globalSearch/OPA77GP/page-1", "OPA77GP")</f>
        <v>OPA77GP</v>
      </c>
      <c r="B13941" s="3" t="str">
        <f>HYPERLINK("https://www.773grp.com/manufacturer/texas-instruments?pageNo=417", "Texas Instruments")</f>
        <v>Texas Instruments</v>
      </c>
      <c r="C13941" s="5">
        <v>3469</v>
      </c>
      <c r="D13941" s="6">
        <v>3.89</v>
      </c>
      <c r="E13941" t="s">
        <v>11</v>
      </c>
    </row>
    <row r="13942" spans="1:5" x14ac:dyDescent="0.25">
      <c r="A13942" t="str">
        <f>HYPERLINK("https://www.773grp.com/globalSearch/TLV2471ID/page-1", "TLV2471ID")</f>
        <v>TLV2471ID</v>
      </c>
      <c r="B13942" s="3" t="str">
        <f>HYPERLINK("https://www.773grp.com/manufacturer/texas-instruments?pageNo=485", "Texas Instruments")</f>
        <v>Texas Instruments</v>
      </c>
      <c r="C13942" s="5">
        <v>21068</v>
      </c>
      <c r="D13942" s="6">
        <v>4.33</v>
      </c>
      <c r="E13942" t="s">
        <v>11</v>
      </c>
    </row>
    <row r="13943" spans="1:5" x14ac:dyDescent="0.25">
      <c r="A13943" t="str">
        <f>HYPERLINK("https://www.773grp.com/globalSearch/OPA37GP/page-1", "OPA37GP")</f>
        <v>OPA37GP</v>
      </c>
      <c r="B13943" s="3" t="str">
        <f>HYPERLINK("https://www.773grp.com/manufacturer/texas-instruments?pageNo=491", "Texas Instruments")</f>
        <v>Texas Instruments</v>
      </c>
      <c r="C13943" s="5">
        <v>126</v>
      </c>
      <c r="D13943" s="6">
        <v>3.91</v>
      </c>
      <c r="E13943" t="s">
        <v>11</v>
      </c>
    </row>
    <row r="13944" spans="1:5" x14ac:dyDescent="0.25">
      <c r="A13944" t="str">
        <f>HYPERLINK("https://www.773grp.com/globalSearch/OPA37GP/page-1", "OPA37GP")</f>
        <v>OPA37GP</v>
      </c>
      <c r="B13944" s="3" t="str">
        <f>HYPERLINK("https://www.773grp.com/manufacturer/texas-instruments?pageNo=492", "Texas Instruments")</f>
        <v>Texas Instruments</v>
      </c>
      <c r="C13944" s="5">
        <v>1350</v>
      </c>
      <c r="D13944" s="6">
        <v>3.91</v>
      </c>
      <c r="E13944" t="s">
        <v>11</v>
      </c>
    </row>
    <row r="13945" spans="1:5" x14ac:dyDescent="0.25">
      <c r="A13945" t="str">
        <f>HYPERLINK("https://www.773grp.com/globalSearch/OPA37GP/page-1", "OPA37GP")</f>
        <v>OPA37GP</v>
      </c>
      <c r="B13945" s="3" t="str">
        <f>HYPERLINK("https://www.773grp.com/manufacturer/texas-instruments?pageNo=493", "Texas Instruments")</f>
        <v>Texas Instruments</v>
      </c>
      <c r="C13945" s="5">
        <v>250</v>
      </c>
      <c r="D13945" s="6">
        <v>3.91</v>
      </c>
      <c r="E13945" t="s">
        <v>11</v>
      </c>
    </row>
    <row r="13946" spans="1:5" x14ac:dyDescent="0.25">
      <c r="A13946" t="str">
        <f>HYPERLINK("https://www.773grp.com/globalSearch/OPA37GP/page-1", "OPA37GP")</f>
        <v>OPA37GP</v>
      </c>
      <c r="B13946" s="3" t="str">
        <f>HYPERLINK("https://www.773grp.com/manufacturer/texas-instruments?pageNo=494", "Texas Instruments")</f>
        <v>Texas Instruments</v>
      </c>
      <c r="C13946" s="5">
        <v>2214</v>
      </c>
      <c r="D13946" s="6">
        <v>3.91</v>
      </c>
      <c r="E13946" t="s">
        <v>11</v>
      </c>
    </row>
    <row r="13947" spans="1:5" x14ac:dyDescent="0.25">
      <c r="A13947" t="str">
        <f>HYPERLINK("https://www.773grp.com/globalSearch/INA133UA/page-1", "INA133UA")</f>
        <v>INA133UA</v>
      </c>
      <c r="B13947" s="3" t="str">
        <f>HYPERLINK("https://www.773grp.com/manufacturer/texas-instruments?pageNo=540", "Texas Instruments")</f>
        <v>Texas Instruments</v>
      </c>
      <c r="C13947" s="5">
        <v>40</v>
      </c>
      <c r="D13947" s="6">
        <v>3.94</v>
      </c>
      <c r="E13947" t="s">
        <v>11</v>
      </c>
    </row>
    <row r="13948" spans="1:5" x14ac:dyDescent="0.25">
      <c r="A13948" t="str">
        <f>HYPERLINK("https://www.773grp.com/globalSearch/INA143U-2K5/page-1", "INA143U-2K5")</f>
        <v>INA143U-2K5</v>
      </c>
      <c r="B13948" s="3" t="str">
        <f>HYPERLINK("https://www.773grp.com/manufacturer/texas-instruments?pageNo=541", "Texas Instruments")</f>
        <v>Texas Instruments</v>
      </c>
      <c r="C13948" s="5">
        <v>10000</v>
      </c>
      <c r="D13948" s="6">
        <v>3.94</v>
      </c>
      <c r="E13948" t="s">
        <v>11</v>
      </c>
    </row>
    <row r="13949" spans="1:5" x14ac:dyDescent="0.25">
      <c r="A13949" t="str">
        <f>HYPERLINK("https://www.773grp.com/globalSearch/OPA130PA/page-1", "OPA130PA")</f>
        <v>OPA130PA</v>
      </c>
      <c r="B13949" s="3" t="str">
        <f>HYPERLINK("https://www.773grp.com/manufacturer/texas-instruments?pageNo=561", "Texas Instruments")</f>
        <v>Texas Instruments</v>
      </c>
      <c r="C13949" s="5">
        <v>2593</v>
      </c>
      <c r="D13949" s="6">
        <v>3.94</v>
      </c>
      <c r="E13949" t="s">
        <v>11</v>
      </c>
    </row>
    <row r="13950" spans="1:5" x14ac:dyDescent="0.25">
      <c r="A13950" t="str">
        <f>HYPERLINK("https://www.773grp.com/globalSearch/OPA130UA-2K5/page-1", "OPA130UA-2K5")</f>
        <v>OPA130UA-2K5</v>
      </c>
      <c r="B13950" s="3" t="str">
        <f>HYPERLINK("https://www.773grp.com/manufacturer/texas-instruments?pageNo=562", "Texas Instruments")</f>
        <v>Texas Instruments</v>
      </c>
      <c r="C13950" s="5">
        <v>10903</v>
      </c>
      <c r="D13950" s="6">
        <v>3.94</v>
      </c>
      <c r="E13950" t="s">
        <v>11</v>
      </c>
    </row>
    <row r="13951" spans="1:5" x14ac:dyDescent="0.25">
      <c r="A13951" t="str">
        <f>HYPERLINK("https://www.773grp.com/globalSearch/OPA2356AID/page-1", "OPA2356AID")</f>
        <v>OPA2356AID</v>
      </c>
      <c r="B13951" s="3" t="str">
        <f>HYPERLINK("https://www.773grp.com/manufacturer/texas-instruments?pageNo=566", "Texas Instruments")</f>
        <v>Texas Instruments</v>
      </c>
      <c r="C13951" s="5">
        <v>7585</v>
      </c>
      <c r="D13951" s="6">
        <v>3.94</v>
      </c>
      <c r="E13951" t="s">
        <v>11</v>
      </c>
    </row>
    <row r="13952" spans="1:5" x14ac:dyDescent="0.25">
      <c r="A13952" t="str">
        <f>HYPERLINK("https://www.773grp.com/globalSearch/OPA2356AID/page-1", "OPA2356AID")</f>
        <v>OPA2356AID</v>
      </c>
      <c r="B13952" s="3" t="str">
        <f>HYPERLINK("https://www.773grp.com/manufacturer/texas-instruments?pageNo=567", "Texas Instruments")</f>
        <v>Texas Instruments</v>
      </c>
      <c r="C13952" s="5">
        <v>3</v>
      </c>
      <c r="D13952" s="6">
        <v>3.94</v>
      </c>
      <c r="E13952" t="s">
        <v>11</v>
      </c>
    </row>
    <row r="13953" spans="1:5" x14ac:dyDescent="0.25">
      <c r="A13953" t="str">
        <f>HYPERLINK("https://www.773grp.com/globalSearch/OPA27GU/page-1", "OPA27GU")</f>
        <v>OPA27GU</v>
      </c>
      <c r="B13953" s="3" t="str">
        <f>HYPERLINK("https://www.773grp.com/manufacturer/texas-instruments?pageNo=568", "Texas Instruments")</f>
        <v>Texas Instruments</v>
      </c>
      <c r="C13953" s="5">
        <v>9445</v>
      </c>
      <c r="D13953" s="6">
        <v>3.94</v>
      </c>
      <c r="E13953" t="s">
        <v>11</v>
      </c>
    </row>
    <row r="13954" spans="1:5" x14ac:dyDescent="0.25">
      <c r="A13954" t="str">
        <f>HYPERLINK("https://www.773grp.com/globalSearch/OPA4344EA-250/page-1", "OPA4344EA-250")</f>
        <v>OPA4344EA-250</v>
      </c>
      <c r="B13954" s="3" t="str">
        <f>HYPERLINK("https://www.773grp.com/manufacturer/texas-instruments?pageNo=570", "Texas Instruments")</f>
        <v>Texas Instruments</v>
      </c>
      <c r="C13954" s="5">
        <v>250</v>
      </c>
      <c r="D13954" s="6">
        <v>3.94</v>
      </c>
      <c r="E13954" t="s">
        <v>11</v>
      </c>
    </row>
    <row r="13955" spans="1:5" x14ac:dyDescent="0.25">
      <c r="A13955" t="str">
        <f>HYPERLINK("https://www.773grp.com/globalSearch/OPA4364AIDR/page-1", "OPA4364AIDR")</f>
        <v>OPA4364AIDR</v>
      </c>
      <c r="B13955" s="3" t="str">
        <f>HYPERLINK("https://www.773grp.com/manufacturer/texas-instruments?pageNo=571", "Texas Instruments")</f>
        <v>Texas Instruments</v>
      </c>
      <c r="C13955" s="5">
        <v>30350</v>
      </c>
      <c r="D13955" s="6">
        <v>3.94</v>
      </c>
      <c r="E13955" t="s">
        <v>11</v>
      </c>
    </row>
    <row r="13956" spans="1:5" x14ac:dyDescent="0.25">
      <c r="A13956" t="str">
        <f>HYPERLINK("https://www.773grp.com/globalSearch/OPA4364AIPWR/page-1", "OPA4364AIPWR")</f>
        <v>OPA4364AIPWR</v>
      </c>
      <c r="B13956" s="3" t="str">
        <f>HYPERLINK("https://www.773grp.com/manufacturer/texas-instruments?pageNo=572", "Texas Instruments")</f>
        <v>Texas Instruments</v>
      </c>
      <c r="C13956" s="5">
        <v>2000</v>
      </c>
      <c r="D13956" s="6">
        <v>3.94</v>
      </c>
      <c r="E13956" t="s">
        <v>11</v>
      </c>
    </row>
    <row r="13957" spans="1:5" x14ac:dyDescent="0.25">
      <c r="A13957" t="str">
        <f>HYPERLINK("https://www.773grp.com/globalSearch/OPA651N-250/page-1", "OPA651N-250")</f>
        <v>OPA651N-250</v>
      </c>
      <c r="B13957" s="3" t="str">
        <f>HYPERLINK("https://www.773grp.com/manufacturer/texas-instruments?pageNo=575", "Texas Instruments")</f>
        <v>Texas Instruments</v>
      </c>
      <c r="C13957" s="5">
        <v>250</v>
      </c>
      <c r="D13957" s="6">
        <v>3.94</v>
      </c>
      <c r="E13957" t="s">
        <v>11</v>
      </c>
    </row>
    <row r="13958" spans="1:5" x14ac:dyDescent="0.25">
      <c r="A13958" t="str">
        <f>HYPERLINK("https://www.773grp.com/globalSearch/TLC075IPWP/page-1", "TLC075IPWP")</f>
        <v>TLC075IPWP</v>
      </c>
      <c r="B13958" s="3" t="str">
        <f>HYPERLINK("https://www.773grp.com/manufacturer/texas-instruments?pageNo=616", "Texas Instruments")</f>
        <v>Texas Instruments</v>
      </c>
      <c r="C13958" s="5">
        <v>630</v>
      </c>
      <c r="D13958" s="6">
        <v>3.94</v>
      </c>
      <c r="E13958" t="s">
        <v>11</v>
      </c>
    </row>
    <row r="13959" spans="1:5" x14ac:dyDescent="0.25">
      <c r="A13959" t="str">
        <f>HYPERLINK("https://www.773grp.com/globalSearch/TLC085AIDR/page-1", "TLC085AIDR")</f>
        <v>TLC085AIDR</v>
      </c>
      <c r="B13959" s="3" t="str">
        <f>HYPERLINK("https://www.773grp.com/manufacturer/texas-instruments?pageNo=617", "Texas Instruments")</f>
        <v>Texas Instruments</v>
      </c>
      <c r="C13959" s="5">
        <v>2500</v>
      </c>
      <c r="D13959" s="6">
        <v>3.94</v>
      </c>
      <c r="E13959" t="s">
        <v>11</v>
      </c>
    </row>
    <row r="13960" spans="1:5" x14ac:dyDescent="0.25">
      <c r="A13960" t="str">
        <f>HYPERLINK("https://www.773grp.com/globalSearch/TLV2244ID/page-1", "TLV2244ID")</f>
        <v>TLV2244ID</v>
      </c>
      <c r="B13960" s="3" t="str">
        <f>HYPERLINK("https://www.773grp.com/manufacturer/texas-instruments?pageNo=621", "Texas Instruments")</f>
        <v>Texas Instruments</v>
      </c>
      <c r="C13960" s="5">
        <v>1167</v>
      </c>
      <c r="D13960" s="6">
        <v>3.94</v>
      </c>
      <c r="E13960" t="s">
        <v>11</v>
      </c>
    </row>
    <row r="13961" spans="1:5" x14ac:dyDescent="0.25">
      <c r="A13961" t="str">
        <f>HYPERLINK("https://www.773grp.com/globalSearch/TLV2244IPW/page-1", "TLV2244IPW")</f>
        <v>TLV2244IPW</v>
      </c>
      <c r="B13961" s="3" t="str">
        <f>HYPERLINK("https://www.773grp.com/manufacturer/texas-instruments?pageNo=622", "Texas Instruments")</f>
        <v>Texas Instruments</v>
      </c>
      <c r="C13961" s="5">
        <v>318</v>
      </c>
      <c r="D13961" s="6">
        <v>3.94</v>
      </c>
      <c r="E13961" t="s">
        <v>11</v>
      </c>
    </row>
    <row r="13962" spans="1:5" x14ac:dyDescent="0.25">
      <c r="A13962" t="str">
        <f>HYPERLINK("https://www.773grp.com/globalSearch/TLV2264AIPW/page-1", "TLV2264AIPW")</f>
        <v>TLV2264AIPW</v>
      </c>
      <c r="B13962" s="3" t="str">
        <f>HYPERLINK("https://www.773grp.com/manufacturer/texas-instruments?pageNo=623", "Texas Instruments")</f>
        <v>Texas Instruments</v>
      </c>
      <c r="C13962" s="5">
        <v>11660</v>
      </c>
      <c r="D13962" s="6">
        <v>3.94</v>
      </c>
      <c r="E13962" t="s">
        <v>11</v>
      </c>
    </row>
    <row r="13963" spans="1:5" x14ac:dyDescent="0.25">
      <c r="A13963" t="str">
        <f>HYPERLINK("https://www.773grp.com/globalSearch/TLV2404CD/page-1", "TLV2404CD")</f>
        <v>TLV2404CD</v>
      </c>
      <c r="B13963" s="3" t="str">
        <f>HYPERLINK("https://www.773grp.com/manufacturer/texas-instruments?pageNo=625", "Texas Instruments")</f>
        <v>Texas Instruments</v>
      </c>
      <c r="C13963" s="5">
        <v>2429</v>
      </c>
      <c r="D13963" s="6">
        <v>3.94</v>
      </c>
      <c r="E13963" t="s">
        <v>11</v>
      </c>
    </row>
    <row r="13964" spans="1:5" x14ac:dyDescent="0.25">
      <c r="A13964" t="str">
        <f>HYPERLINK("https://www.773grp.com/globalSearch/TLV2404CN/page-1", "TLV2404CN")</f>
        <v>TLV2404CN</v>
      </c>
      <c r="B13964" s="3" t="str">
        <f>HYPERLINK("https://www.773grp.com/manufacturer/texas-instruments?pageNo=626", "Texas Instruments")</f>
        <v>Texas Instruments</v>
      </c>
      <c r="C13964" s="5">
        <v>2075</v>
      </c>
      <c r="D13964" s="6">
        <v>3.94</v>
      </c>
      <c r="E13964" t="s">
        <v>11</v>
      </c>
    </row>
    <row r="13965" spans="1:5" x14ac:dyDescent="0.25">
      <c r="A13965" t="str">
        <f>HYPERLINK("https://www.773grp.com/globalSearch/TLV2404CPWR/page-1", "TLV2404CPWR")</f>
        <v>TLV2404CPWR</v>
      </c>
      <c r="B13965" s="3" t="str">
        <f>HYPERLINK("https://www.773grp.com/manufacturer/texas-instruments?pageNo=627", "Texas Instruments")</f>
        <v>Texas Instruments</v>
      </c>
      <c r="C13965" s="5">
        <v>69235</v>
      </c>
      <c r="D13965" s="6">
        <v>3.94</v>
      </c>
      <c r="E13965" t="s">
        <v>11</v>
      </c>
    </row>
    <row r="13966" spans="1:5" x14ac:dyDescent="0.25">
      <c r="A13966" t="str">
        <f>HYPERLINK("https://www.773grp.com/globalSearch/TLV2455AIN/page-1", "TLV2455AIN")</f>
        <v>TLV2455AIN</v>
      </c>
      <c r="B13966" s="3" t="str">
        <f>HYPERLINK("https://www.773grp.com/manufacturer/texas-instruments?pageNo=628", "Texas Instruments")</f>
        <v>Texas Instruments</v>
      </c>
      <c r="C13966" s="5">
        <v>9790</v>
      </c>
      <c r="D13966" s="6">
        <v>3.94</v>
      </c>
      <c r="E13966" t="s">
        <v>11</v>
      </c>
    </row>
    <row r="13967" spans="1:5" x14ac:dyDescent="0.25">
      <c r="A13967" t="str">
        <f>HYPERLINK("https://www.773grp.com/globalSearch/TLV2465ID/page-1", "TLV2465ID")</f>
        <v>TLV2465ID</v>
      </c>
      <c r="B13967" s="3" t="str">
        <f>HYPERLINK("https://www.773grp.com/manufacturer/texas-instruments?pageNo=629", "Texas Instruments")</f>
        <v>Texas Instruments</v>
      </c>
      <c r="C13967" s="5">
        <v>4400</v>
      </c>
      <c r="D13967" s="6">
        <v>3.94</v>
      </c>
      <c r="E13967" t="s">
        <v>11</v>
      </c>
    </row>
    <row r="13968" spans="1:5" x14ac:dyDescent="0.25">
      <c r="A13968" t="str">
        <f>HYPERLINK("https://www.773grp.com/globalSearch/TLV2465IPW/page-1", "TLV2465IPW")</f>
        <v>TLV2465IPW</v>
      </c>
      <c r="B13968" s="3" t="str">
        <f>HYPERLINK("https://www.773grp.com/manufacturer/texas-instruments?pageNo=630", "Texas Instruments")</f>
        <v>Texas Instruments</v>
      </c>
      <c r="C13968" s="5">
        <v>5115</v>
      </c>
      <c r="D13968" s="6">
        <v>3.94</v>
      </c>
      <c r="E13968" t="s">
        <v>11</v>
      </c>
    </row>
    <row r="13969" spans="1:5" x14ac:dyDescent="0.25">
      <c r="A13969" t="str">
        <f>HYPERLINK("https://www.773grp.com/globalSearch/TLV2764ID/page-1", "TLV2764ID")</f>
        <v>TLV2764ID</v>
      </c>
      <c r="B13969" s="3" t="str">
        <f>HYPERLINK("https://www.773grp.com/manufacturer/texas-instruments?pageNo=631", "Texas Instruments")</f>
        <v>Texas Instruments</v>
      </c>
      <c r="C13969" s="5">
        <v>40347</v>
      </c>
      <c r="D13969" s="6">
        <v>3.94</v>
      </c>
      <c r="E13969" t="s">
        <v>11</v>
      </c>
    </row>
    <row r="13970" spans="1:5" x14ac:dyDescent="0.25">
      <c r="A13970" t="str">
        <f>HYPERLINK("https://www.773grp.com/globalSearch/TLV2764IPW/page-1", "TLV2764IPW")</f>
        <v>TLV2764IPW</v>
      </c>
      <c r="B13970" s="3" t="str">
        <f>HYPERLINK("https://www.773grp.com/manufacturer/texas-instruments?pageNo=632", "Texas Instruments")</f>
        <v>Texas Instruments</v>
      </c>
      <c r="C13970" s="5">
        <v>1594</v>
      </c>
      <c r="D13970" s="6">
        <v>3.94</v>
      </c>
      <c r="E13970" t="s">
        <v>11</v>
      </c>
    </row>
    <row r="13971" spans="1:5" x14ac:dyDescent="0.25">
      <c r="A13971" t="str">
        <f>HYPERLINK("https://www.773grp.com/globalSearch/TLV2773CD/page-1", "TLV2773CD")</f>
        <v>TLV2773CD</v>
      </c>
      <c r="B13971" s="3" t="str">
        <f>HYPERLINK("https://www.773grp.com/manufacturer/texas-instruments?pageNo=633", "Texas Instruments")</f>
        <v>Texas Instruments</v>
      </c>
      <c r="C13971" s="5">
        <v>26960</v>
      </c>
      <c r="D13971" s="6">
        <v>3.94</v>
      </c>
      <c r="E13971" t="s">
        <v>11</v>
      </c>
    </row>
    <row r="13972" spans="1:5" x14ac:dyDescent="0.25">
      <c r="A13972" t="str">
        <f>HYPERLINK("https://www.773grp.com/globalSearch/TLV2774CN/page-1", "TLV2774CN")</f>
        <v>TLV2774CN</v>
      </c>
      <c r="B13972" s="3" t="str">
        <f>HYPERLINK("https://www.773grp.com/manufacturer/texas-instruments?pageNo=634", "Texas Instruments")</f>
        <v>Texas Instruments</v>
      </c>
      <c r="C13972" s="5">
        <v>11838</v>
      </c>
      <c r="D13972" s="6">
        <v>3.94</v>
      </c>
      <c r="E13972" t="s">
        <v>11</v>
      </c>
    </row>
    <row r="13973" spans="1:5" x14ac:dyDescent="0.25">
      <c r="A13973" t="str">
        <f>HYPERLINK("https://www.773grp.com/globalSearch/TLV2775IDR/page-1", "TLV2775IDR")</f>
        <v>TLV2775IDR</v>
      </c>
      <c r="B13973" s="3" t="str">
        <f>HYPERLINK("https://www.773grp.com/manufacturer/texas-instruments?pageNo=635", "Texas Instruments")</f>
        <v>Texas Instruments</v>
      </c>
      <c r="C13973" s="5">
        <v>7500</v>
      </c>
      <c r="D13973" s="6">
        <v>3.94</v>
      </c>
      <c r="E13973" t="s">
        <v>11</v>
      </c>
    </row>
    <row r="13974" spans="1:5" x14ac:dyDescent="0.25">
      <c r="A13974" t="str">
        <f>HYPERLINK("https://www.773grp.com/globalSearch/TLV2775IPW/page-1", "TLV2775IPW")</f>
        <v>TLV2775IPW</v>
      </c>
      <c r="B13974" s="3" t="str">
        <f>HYPERLINK("https://www.773grp.com/manufacturer/texas-instruments?pageNo=636", "Texas Instruments")</f>
        <v>Texas Instruments</v>
      </c>
      <c r="C13974" s="5">
        <v>1800</v>
      </c>
      <c r="D13974" s="6">
        <v>3.94</v>
      </c>
      <c r="E13974" t="s">
        <v>11</v>
      </c>
    </row>
    <row r="13975" spans="1:5" x14ac:dyDescent="0.25">
      <c r="A13975" t="str">
        <f>HYPERLINK("https://www.773grp.com/globalSearch/TLV2785AIDR/page-1", "TLV2785AIDR")</f>
        <v>TLV2785AIDR</v>
      </c>
      <c r="B13975" s="3" t="str">
        <f>HYPERLINK("https://www.773grp.com/manufacturer/texas-instruments?pageNo=637", "Texas Instruments")</f>
        <v>Texas Instruments</v>
      </c>
      <c r="C13975" s="5">
        <v>2848</v>
      </c>
      <c r="D13975" s="6">
        <v>3.94</v>
      </c>
      <c r="E13975" t="s">
        <v>11</v>
      </c>
    </row>
    <row r="13976" spans="1:5" x14ac:dyDescent="0.25">
      <c r="A13976" t="str">
        <f>HYPERLINK("https://www.773grp.com/globalSearch/TLV2785AIPW/page-1", "TLV2785AIPW")</f>
        <v>TLV2785AIPW</v>
      </c>
      <c r="B13976" s="3" t="str">
        <f>HYPERLINK("https://www.773grp.com/manufacturer/texas-instruments?pageNo=638", "Texas Instruments")</f>
        <v>Texas Instruments</v>
      </c>
      <c r="C13976" s="5">
        <v>678</v>
      </c>
      <c r="D13976" s="6">
        <v>3.94</v>
      </c>
      <c r="E13976" t="s">
        <v>11</v>
      </c>
    </row>
    <row r="13977" spans="1:5" x14ac:dyDescent="0.25">
      <c r="A13977" t="str">
        <f>HYPERLINK("https://www.773grp.com/globalSearch/TLV2334IPWR/page-1", "TLV2334IPWR")</f>
        <v>TLV2334IPWR</v>
      </c>
      <c r="B13977" s="3" t="str">
        <f>HYPERLINK("https://www.773grp.com/manufacturer/texas-instruments?pageNo=744", "Texas Instruments")</f>
        <v>Texas Instruments</v>
      </c>
      <c r="C13977" s="5">
        <v>6000</v>
      </c>
      <c r="D13977" s="6">
        <v>3.96</v>
      </c>
      <c r="E13977" t="s">
        <v>11</v>
      </c>
    </row>
    <row r="13978" spans="1:5" x14ac:dyDescent="0.25">
      <c r="A13978" t="str">
        <f>HYPERLINK("https://www.773grp.com/globalSearch/TLV2474IPWP/page-1", "TLV2474IPWP")</f>
        <v>TLV2474IPWP</v>
      </c>
      <c r="B13978" s="3" t="str">
        <f>HYPERLINK("https://www.773grp.com/manufacturer/texas-instruments?pageNo=745", "Texas Instruments")</f>
        <v>Texas Instruments</v>
      </c>
      <c r="C13978" s="5">
        <v>740</v>
      </c>
      <c r="D13978" s="6">
        <v>3.96</v>
      </c>
      <c r="E13978" t="s">
        <v>11</v>
      </c>
    </row>
    <row r="13979" spans="1:5" x14ac:dyDescent="0.25">
      <c r="A13979" t="str">
        <f>HYPERLINK("https://www.773grp.com/globalSearch/TLV2302IDGKR/page-1", "TLV2302IDGKR")</f>
        <v>TLV2302IDGKR</v>
      </c>
      <c r="B13979" s="3" t="str">
        <f>HYPERLINK("https://www.773grp.com/manufacturer/texas-instruments?pageNo=796", "Texas Instruments")</f>
        <v>Texas Instruments</v>
      </c>
      <c r="C13979" s="5">
        <v>7500</v>
      </c>
      <c r="D13979" s="6">
        <v>4.38</v>
      </c>
      <c r="E13979" t="s">
        <v>11</v>
      </c>
    </row>
    <row r="13980" spans="1:5" x14ac:dyDescent="0.25">
      <c r="A13980" t="str">
        <f>HYPERLINK("https://www.773grp.com/globalSearch/TLV2302IDR/page-1", "TLV2302IDR")</f>
        <v>TLV2302IDR</v>
      </c>
      <c r="B13980" s="3" t="str">
        <f>HYPERLINK("https://www.773grp.com/manufacturer/texas-instruments?pageNo=797", "Texas Instruments")</f>
        <v>Texas Instruments</v>
      </c>
      <c r="C13980" s="5">
        <v>10000</v>
      </c>
      <c r="D13980" s="6">
        <v>4.38</v>
      </c>
      <c r="E13980" t="s">
        <v>11</v>
      </c>
    </row>
    <row r="13981" spans="1:5" x14ac:dyDescent="0.25">
      <c r="A13981" t="str">
        <f>HYPERLINK("https://www.773grp.com/globalSearch/OPA635U/page-1", "OPA635U")</f>
        <v>OPA635U</v>
      </c>
      <c r="B13981" s="3" t="str">
        <f>HYPERLINK("https://www.773grp.com/manufacturer/texas-instruments?pageNo=821", "Texas Instruments")</f>
        <v>Texas Instruments</v>
      </c>
      <c r="C13981" s="5">
        <v>40</v>
      </c>
      <c r="D13981" s="6">
        <v>4</v>
      </c>
      <c r="E13981" t="s">
        <v>11</v>
      </c>
    </row>
    <row r="13982" spans="1:5" x14ac:dyDescent="0.25">
      <c r="A13982" t="str">
        <f>HYPERLINK("https://www.773grp.com/globalSearch/OPA635U/page-1", "OPA635U")</f>
        <v>OPA635U</v>
      </c>
      <c r="B13982" s="3" t="str">
        <f>HYPERLINK("https://www.773grp.com/manufacturer/texas-instruments?pageNo=822", "Texas Instruments")</f>
        <v>Texas Instruments</v>
      </c>
      <c r="C13982" s="5">
        <v>200</v>
      </c>
      <c r="D13982" s="6">
        <v>4</v>
      </c>
      <c r="E13982" t="s">
        <v>11</v>
      </c>
    </row>
    <row r="13983" spans="1:5" x14ac:dyDescent="0.25">
      <c r="A13983" t="str">
        <f>HYPERLINK("https://www.773grp.com/globalSearch/TLE2037MD/page-1", "TLE2037MD")</f>
        <v>TLE2037MD</v>
      </c>
      <c r="B13983" s="3" t="str">
        <f>HYPERLINK("https://www.773grp.com/manufacturer/texas-instruments?pageNo=829", "Texas Instruments")</f>
        <v>Texas Instruments</v>
      </c>
      <c r="C13983" s="5">
        <v>200</v>
      </c>
      <c r="D13983" s="6">
        <v>4</v>
      </c>
      <c r="E13983" t="s">
        <v>11</v>
      </c>
    </row>
    <row r="13984" spans="1:5" x14ac:dyDescent="0.25">
      <c r="A13984" t="str">
        <f>HYPERLINK("https://www.773grp.com/globalSearch/TLE2037MD/page-1", "TLE2037MD")</f>
        <v>TLE2037MD</v>
      </c>
      <c r="B13984" s="3" t="str">
        <f>HYPERLINK("https://www.773grp.com/manufacturer/texas-instruments?pageNo=830", "Texas Instruments")</f>
        <v>Texas Instruments</v>
      </c>
      <c r="C13984" s="5">
        <v>225</v>
      </c>
      <c r="D13984" s="6">
        <v>4</v>
      </c>
      <c r="E13984" t="s">
        <v>11</v>
      </c>
    </row>
    <row r="13985" spans="1:5" x14ac:dyDescent="0.25">
      <c r="A13985" t="str">
        <f>HYPERLINK("https://www.773grp.com/globalSearch/OPA330AID/page-1", "OPA330AID")</f>
        <v>OPA330AID</v>
      </c>
      <c r="B13985" s="3" t="str">
        <f>HYPERLINK("https://www.773grp.com/manufacturer/texas-instruments?pageNo=858", "Texas Instruments")</f>
        <v>Texas Instruments</v>
      </c>
      <c r="C13985" s="5">
        <v>415</v>
      </c>
      <c r="D13985" s="6">
        <v>4.4400000000000004</v>
      </c>
      <c r="E13985" t="s">
        <v>11</v>
      </c>
    </row>
    <row r="13986" spans="1:5" x14ac:dyDescent="0.25">
      <c r="A13986" t="str">
        <f>HYPERLINK("https://www.773grp.com/globalSearch/TLE2071AIP/page-1", "TLE2071AIP")</f>
        <v>TLE2071AIP</v>
      </c>
      <c r="B13986" s="3" t="str">
        <f>HYPERLINK("https://www.773grp.com/manufacturer/texas-instruments?pageNo=870", "Texas Instruments")</f>
        <v>Texas Instruments</v>
      </c>
      <c r="C13986" s="5">
        <v>2727</v>
      </c>
      <c r="D13986" s="6">
        <v>4.4400000000000004</v>
      </c>
      <c r="E13986" t="s">
        <v>11</v>
      </c>
    </row>
    <row r="13987" spans="1:5" x14ac:dyDescent="0.25">
      <c r="A13987" t="str">
        <f>HYPERLINK("https://www.773grp.com/globalSearch/TLE2081ACDR/page-1", "TLE2081ACDR")</f>
        <v>TLE2081ACDR</v>
      </c>
      <c r="B13987" s="3" t="str">
        <f>HYPERLINK("https://www.773grp.com/manufacturer/texas-instruments?pageNo=871", "Texas Instruments")</f>
        <v>Texas Instruments</v>
      </c>
      <c r="C13987" s="5">
        <v>1130</v>
      </c>
      <c r="D13987" s="6">
        <v>4.4400000000000004</v>
      </c>
      <c r="E13987" t="s">
        <v>11</v>
      </c>
    </row>
    <row r="13988" spans="1:5" x14ac:dyDescent="0.25">
      <c r="A13988" t="str">
        <f>HYPERLINK("https://www.773grp.com/globalSearch/TL032ACP/page-1", "TL032ACP")</f>
        <v>TL032ACP</v>
      </c>
      <c r="B13988" s="3" t="s">
        <v>90</v>
      </c>
      <c r="C13988" s="5">
        <v>191</v>
      </c>
      <c r="D13988" s="6">
        <v>4.01</v>
      </c>
      <c r="E13988" t="s">
        <v>11</v>
      </c>
    </row>
    <row r="13989" spans="1:5" x14ac:dyDescent="0.25">
      <c r="A13989" t="str">
        <f>HYPERLINK("https://www.773grp.com/globalSearch/TL032AID/page-1", "TL032AID")</f>
        <v>TL032AID</v>
      </c>
      <c r="B13989" s="3" t="s">
        <v>90</v>
      </c>
      <c r="C13989" s="5">
        <v>188</v>
      </c>
      <c r="D13989" s="6">
        <v>4.01</v>
      </c>
      <c r="E13989" t="s">
        <v>11</v>
      </c>
    </row>
    <row r="13990" spans="1:5" x14ac:dyDescent="0.25">
      <c r="A13990" t="str">
        <f>HYPERLINK("https://www.773grp.com/globalSearch/TLV2304IDR/page-1", "TLV2304IDR")</f>
        <v>TLV2304IDR</v>
      </c>
      <c r="B13990" s="3" t="s">
        <v>90</v>
      </c>
      <c r="C13990" s="5">
        <v>5000</v>
      </c>
      <c r="D13990" s="6">
        <v>4.01</v>
      </c>
      <c r="E13990" t="s">
        <v>11</v>
      </c>
    </row>
    <row r="13991" spans="1:5" x14ac:dyDescent="0.25">
      <c r="A13991" t="str">
        <f>HYPERLINK("https://www.773grp.com/globalSearch/OPA227PA/page-1", "OPA227PA")</f>
        <v>OPA227PA</v>
      </c>
      <c r="B13991" s="3" t="s">
        <v>90</v>
      </c>
      <c r="C13991" s="5">
        <v>430</v>
      </c>
      <c r="D13991" s="6">
        <v>4.05</v>
      </c>
      <c r="E13991" t="s">
        <v>11</v>
      </c>
    </row>
    <row r="13992" spans="1:5" x14ac:dyDescent="0.25">
      <c r="A13992" t="str">
        <f>HYPERLINK("https://www.773grp.com/globalSearch/OPA227PA/page-1", "OPA227PA")</f>
        <v>OPA227PA</v>
      </c>
      <c r="B13992" s="3" t="s">
        <v>90</v>
      </c>
      <c r="C13992" s="5">
        <v>5091</v>
      </c>
      <c r="D13992" s="6">
        <v>4.05</v>
      </c>
      <c r="E13992" t="s">
        <v>11</v>
      </c>
    </row>
    <row r="13993" spans="1:5" x14ac:dyDescent="0.25">
      <c r="A13993" t="str">
        <f>HYPERLINK("https://www.773grp.com/globalSearch/OPA234P/page-1", "OPA234P")</f>
        <v>OPA234P</v>
      </c>
      <c r="B13993" s="3" t="s">
        <v>90</v>
      </c>
      <c r="C13993" s="5">
        <v>145</v>
      </c>
      <c r="D13993" s="6">
        <v>4.05</v>
      </c>
      <c r="E13993" t="s">
        <v>11</v>
      </c>
    </row>
    <row r="13994" spans="1:5" x14ac:dyDescent="0.25">
      <c r="A13994" t="str">
        <f>HYPERLINK("https://www.773grp.com/globalSearch/TLE2072AIP/page-1", "TLE2072AIP")</f>
        <v>TLE2072AIP</v>
      </c>
      <c r="B13994" s="3" t="s">
        <v>90</v>
      </c>
      <c r="C13994" s="5">
        <v>8013</v>
      </c>
      <c r="D13994" s="6">
        <v>4.05</v>
      </c>
      <c r="E13994" t="s">
        <v>11</v>
      </c>
    </row>
    <row r="13995" spans="1:5" x14ac:dyDescent="0.25">
      <c r="A13995" t="str">
        <f>HYPERLINK("https://www.773grp.com/globalSearch/TLV2782AID/page-1", "TLV2782AID")</f>
        <v>TLV2782AID</v>
      </c>
      <c r="B13995" s="3" t="s">
        <v>90</v>
      </c>
      <c r="C13995" s="5">
        <v>17150</v>
      </c>
      <c r="D13995" s="6">
        <v>4.05</v>
      </c>
      <c r="E13995" t="s">
        <v>11</v>
      </c>
    </row>
    <row r="13996" spans="1:5" x14ac:dyDescent="0.25">
      <c r="A13996" t="str">
        <f>HYPERLINK("https://www.773grp.com/globalSearch/LMV821DBVT/page-1", "LMV821DBVT")</f>
        <v>LMV821DBVT</v>
      </c>
      <c r="B13996" s="3" t="s">
        <v>90</v>
      </c>
      <c r="C13996" s="5">
        <v>20500</v>
      </c>
      <c r="D13996" s="6">
        <v>4.49</v>
      </c>
      <c r="E13996" t="s">
        <v>11</v>
      </c>
    </row>
    <row r="13997" spans="1:5" x14ac:dyDescent="0.25">
      <c r="A13997" t="str">
        <f>HYPERLINK("https://www.773grp.com/globalSearch/LMV821DCKT/page-1", "LMV821DCKT")</f>
        <v>LMV821DCKT</v>
      </c>
      <c r="B13997" s="3" t="s">
        <v>90</v>
      </c>
      <c r="C13997" s="5">
        <v>12250</v>
      </c>
      <c r="D13997" s="6">
        <v>4.49</v>
      </c>
      <c r="E13997" t="s">
        <v>11</v>
      </c>
    </row>
    <row r="13998" spans="1:5" x14ac:dyDescent="0.25">
      <c r="A13998" t="str">
        <f>HYPERLINK("https://www.773grp.com/globalSearch/LMV821DCKTE4/page-1", "LMV821DCKTE4")</f>
        <v>LMV821DCKTE4</v>
      </c>
      <c r="B13998" s="3" t="s">
        <v>90</v>
      </c>
      <c r="C13998" s="5">
        <v>750</v>
      </c>
      <c r="D13998" s="6">
        <v>4.49</v>
      </c>
      <c r="E13998" t="s">
        <v>11</v>
      </c>
    </row>
    <row r="13999" spans="1:5" x14ac:dyDescent="0.25">
      <c r="A13999" t="str">
        <f>HYPERLINK("https://www.773grp.com/globalSearch/OPA141AIDGKR/page-1", "OPA141AIDGKR")</f>
        <v>OPA141AIDGKR</v>
      </c>
      <c r="B13999" s="3" t="s">
        <v>90</v>
      </c>
      <c r="C13999" s="5">
        <v>2500</v>
      </c>
      <c r="D13999" s="6">
        <v>4.49</v>
      </c>
      <c r="E13999" t="s">
        <v>11</v>
      </c>
    </row>
    <row r="14000" spans="1:5" x14ac:dyDescent="0.25">
      <c r="A14000" t="str">
        <f>HYPERLINK("https://www.773grp.com/globalSearch/OPA141AIDR/page-1", "OPA141AIDR")</f>
        <v>OPA141AIDR</v>
      </c>
      <c r="B14000" s="3" t="s">
        <v>90</v>
      </c>
      <c r="C14000" s="5">
        <v>2500</v>
      </c>
      <c r="D14000" s="6">
        <v>4.49</v>
      </c>
      <c r="E14000" t="s">
        <v>11</v>
      </c>
    </row>
    <row r="14001" spans="1:5" x14ac:dyDescent="0.25">
      <c r="A14001" t="str">
        <f>HYPERLINK("https://www.773grp.com/globalSearch/OPA2137UA/page-1", "OPA2137UA")</f>
        <v>OPA2137UA</v>
      </c>
      <c r="B14001" s="3" t="s">
        <v>90</v>
      </c>
      <c r="C14001" s="5">
        <v>2870</v>
      </c>
      <c r="D14001" s="6">
        <v>4.49</v>
      </c>
      <c r="E14001" t="s">
        <v>11</v>
      </c>
    </row>
    <row r="14002" spans="1:5" x14ac:dyDescent="0.25">
      <c r="A14002" t="str">
        <f>HYPERLINK("https://www.773grp.com/globalSearch/OPA2137UA/page-1", "OPA2137UA")</f>
        <v>OPA2137UA</v>
      </c>
      <c r="B14002" s="3" t="s">
        <v>90</v>
      </c>
      <c r="C14002" s="5">
        <v>6689</v>
      </c>
      <c r="D14002" s="6">
        <v>4.49</v>
      </c>
      <c r="E14002" t="s">
        <v>11</v>
      </c>
    </row>
    <row r="14003" spans="1:5" x14ac:dyDescent="0.25">
      <c r="A14003" t="str">
        <f>HYPERLINK("https://www.773grp.com/globalSearch/OPA2337PA/page-1", "OPA2337PA")</f>
        <v>OPA2337PA</v>
      </c>
      <c r="B14003" s="3" t="s">
        <v>90</v>
      </c>
      <c r="C14003" s="5">
        <v>582</v>
      </c>
      <c r="D14003" s="6">
        <v>4.49</v>
      </c>
      <c r="E14003" t="s">
        <v>11</v>
      </c>
    </row>
    <row r="14004" spans="1:5" x14ac:dyDescent="0.25">
      <c r="A14004" t="str">
        <f>HYPERLINK("https://www.773grp.com/globalSearch/OPA2347YEDT/page-1", "OPA2347YEDT")</f>
        <v>OPA2347YEDT</v>
      </c>
      <c r="B14004" s="3" t="s">
        <v>90</v>
      </c>
      <c r="C14004" s="5">
        <v>159985</v>
      </c>
      <c r="D14004" s="6">
        <v>4.49</v>
      </c>
      <c r="E14004" t="s">
        <v>11</v>
      </c>
    </row>
    <row r="14005" spans="1:5" x14ac:dyDescent="0.25">
      <c r="A14005" t="str">
        <f>HYPERLINK("https://www.773grp.com/globalSearch/OPA2705PA/page-1", "OPA2705PA")</f>
        <v>OPA2705PA</v>
      </c>
      <c r="B14005" s="3" t="s">
        <v>90</v>
      </c>
      <c r="C14005" s="5">
        <v>2692</v>
      </c>
      <c r="D14005" s="6">
        <v>4.49</v>
      </c>
      <c r="E14005" t="s">
        <v>11</v>
      </c>
    </row>
    <row r="14006" spans="1:5" x14ac:dyDescent="0.25">
      <c r="A14006" t="str">
        <f>HYPERLINK("https://www.773grp.com/globalSearch/OPA2705PA/page-1", "OPA2705PA")</f>
        <v>OPA2705PA</v>
      </c>
      <c r="B14006" s="3" t="s">
        <v>90</v>
      </c>
      <c r="C14006" s="5">
        <v>9450</v>
      </c>
      <c r="D14006" s="6">
        <v>4.49</v>
      </c>
      <c r="E14006" t="s">
        <v>11</v>
      </c>
    </row>
    <row r="14007" spans="1:5" x14ac:dyDescent="0.25">
      <c r="A14007" t="str">
        <f>HYPERLINK("https://www.773grp.com/globalSearch/OPA355UA/page-1", "OPA355UA")</f>
        <v>OPA355UA</v>
      </c>
      <c r="B14007" s="3" t="s">
        <v>90</v>
      </c>
      <c r="C14007" s="5">
        <v>2987</v>
      </c>
      <c r="D14007" s="6">
        <v>4.49</v>
      </c>
      <c r="E14007" t="s">
        <v>11</v>
      </c>
    </row>
    <row r="14008" spans="1:5" x14ac:dyDescent="0.25">
      <c r="A14008" t="str">
        <f>HYPERLINK("https://www.773grp.com/globalSearch/OPA355UAG4/page-1", "OPA355UAG4")</f>
        <v>OPA355UAG4</v>
      </c>
      <c r="B14008" s="3" t="s">
        <v>90</v>
      </c>
      <c r="C14008" s="5">
        <v>75</v>
      </c>
      <c r="D14008" s="6">
        <v>4.49</v>
      </c>
      <c r="E14008" t="s">
        <v>11</v>
      </c>
    </row>
    <row r="14009" spans="1:5" x14ac:dyDescent="0.25">
      <c r="A14009" t="str">
        <f>HYPERLINK("https://www.773grp.com/globalSearch/OPA356AID/page-1", "OPA356AID")</f>
        <v>OPA356AID</v>
      </c>
      <c r="B14009" s="3" t="s">
        <v>90</v>
      </c>
      <c r="C14009" s="5">
        <v>11829</v>
      </c>
      <c r="D14009" s="6">
        <v>4.49</v>
      </c>
      <c r="E14009" t="s">
        <v>11</v>
      </c>
    </row>
    <row r="14010" spans="1:5" x14ac:dyDescent="0.25">
      <c r="A14010" t="str">
        <f>HYPERLINK("https://www.773grp.com/globalSearch/OPA363IDR/page-1", "OPA363IDR")</f>
        <v>OPA363IDR</v>
      </c>
      <c r="B14010" s="3" t="s">
        <v>90</v>
      </c>
      <c r="C14010" s="5">
        <v>17500</v>
      </c>
      <c r="D14010" s="6">
        <v>4.49</v>
      </c>
      <c r="E14010" t="s">
        <v>11</v>
      </c>
    </row>
    <row r="14011" spans="1:5" x14ac:dyDescent="0.25">
      <c r="A14011" t="str">
        <f>HYPERLINK("https://www.773grp.com/globalSearch/OPA364IDBVR/page-1", "OPA364IDBVR")</f>
        <v>OPA364IDBVR</v>
      </c>
      <c r="B14011" s="3" t="s">
        <v>90</v>
      </c>
      <c r="C14011" s="5">
        <v>520</v>
      </c>
      <c r="D14011" s="6">
        <v>4.49</v>
      </c>
      <c r="E14011" t="s">
        <v>11</v>
      </c>
    </row>
    <row r="14012" spans="1:5" x14ac:dyDescent="0.25">
      <c r="A14012" t="str">
        <f>HYPERLINK("https://www.773grp.com/globalSearch/OPA378AIDCKT/page-1", "OPA378AIDCKT")</f>
        <v>OPA378AIDCKT</v>
      </c>
      <c r="B14012" s="3" t="s">
        <v>90</v>
      </c>
      <c r="C14012" s="5">
        <v>250</v>
      </c>
      <c r="D14012" s="6">
        <v>4.49</v>
      </c>
      <c r="E14012" t="s">
        <v>11</v>
      </c>
    </row>
    <row r="14013" spans="1:5" x14ac:dyDescent="0.25">
      <c r="A14013" t="str">
        <f>HYPERLINK("https://www.773grp.com/globalSearch/TLC072AIP/page-1", "TLC072AIP")</f>
        <v>TLC072AIP</v>
      </c>
      <c r="B14013" s="3" t="s">
        <v>90</v>
      </c>
      <c r="C14013" s="5">
        <v>4849</v>
      </c>
      <c r="D14013" s="6">
        <v>4.49</v>
      </c>
      <c r="E14013" t="s">
        <v>11</v>
      </c>
    </row>
    <row r="14014" spans="1:5" x14ac:dyDescent="0.25">
      <c r="A14014" t="str">
        <f>HYPERLINK("https://www.773grp.com/globalSearch/TLC072IDGN/page-1", "TLC072IDGN")</f>
        <v>TLC072IDGN</v>
      </c>
      <c r="B14014" s="3" t="s">
        <v>90</v>
      </c>
      <c r="C14014" s="5">
        <v>4676</v>
      </c>
      <c r="D14014" s="6">
        <v>4.49</v>
      </c>
      <c r="E14014" t="s">
        <v>11</v>
      </c>
    </row>
    <row r="14015" spans="1:5" x14ac:dyDescent="0.25">
      <c r="A14015" t="str">
        <f>HYPERLINK("https://www.773grp.com/globalSearch/TLC072IDGNG4/page-1", "TLC072IDGNG4")</f>
        <v>TLC072IDGNG4</v>
      </c>
      <c r="B14015" s="3" t="s">
        <v>90</v>
      </c>
      <c r="C14015" s="5">
        <v>992</v>
      </c>
      <c r="D14015" s="6">
        <v>4.49</v>
      </c>
      <c r="E14015" t="s">
        <v>11</v>
      </c>
    </row>
    <row r="14016" spans="1:5" x14ac:dyDescent="0.25">
      <c r="A14016" t="str">
        <f>HYPERLINK("https://www.773grp.com/globalSearch/TLC082AIP/page-1", "TLC082AIP")</f>
        <v>TLC082AIP</v>
      </c>
      <c r="B14016" s="3" t="s">
        <v>90</v>
      </c>
      <c r="C14016" s="5">
        <v>51500</v>
      </c>
      <c r="D14016" s="6">
        <v>4.49</v>
      </c>
      <c r="E14016" t="s">
        <v>11</v>
      </c>
    </row>
    <row r="14017" spans="1:5" x14ac:dyDescent="0.25">
      <c r="A14017" t="str">
        <f>HYPERLINK("https://www.773grp.com/globalSearch/TLC082ID/page-1", "TLC082ID")</f>
        <v>TLC082ID</v>
      </c>
      <c r="B14017" s="3" t="s">
        <v>90</v>
      </c>
      <c r="C14017" s="5">
        <v>974</v>
      </c>
      <c r="D14017" s="6">
        <v>4.49</v>
      </c>
      <c r="E14017" t="s">
        <v>11</v>
      </c>
    </row>
    <row r="14018" spans="1:5" x14ac:dyDescent="0.25">
      <c r="A14018" t="str">
        <f>HYPERLINK("https://www.773grp.com/globalSearch/TLC082IDGN/page-1", "TLC082IDGN")</f>
        <v>TLC082IDGN</v>
      </c>
      <c r="B14018" s="3" t="s">
        <v>90</v>
      </c>
      <c r="C14018" s="5">
        <v>2721</v>
      </c>
      <c r="D14018" s="6">
        <v>4.49</v>
      </c>
      <c r="E14018" t="s">
        <v>11</v>
      </c>
    </row>
    <row r="14019" spans="1:5" x14ac:dyDescent="0.25">
      <c r="A14019" t="str">
        <f>HYPERLINK("https://www.773grp.com/globalSearch/TLC2252AIPW/page-1", "TLC2252AIPW")</f>
        <v>TLC2252AIPW</v>
      </c>
      <c r="B14019" s="3" t="s">
        <v>90</v>
      </c>
      <c r="C14019" s="5">
        <v>2044</v>
      </c>
      <c r="D14019" s="6">
        <v>4.49</v>
      </c>
      <c r="E14019" t="s">
        <v>11</v>
      </c>
    </row>
    <row r="14020" spans="1:5" x14ac:dyDescent="0.25">
      <c r="A14020" t="str">
        <f>HYPERLINK("https://www.773grp.com/globalSearch/TLC2254AQD/page-1", "TLC2254AQD")</f>
        <v>TLC2254AQD</v>
      </c>
      <c r="B14020" s="3" t="s">
        <v>90</v>
      </c>
      <c r="C14020" s="5">
        <v>8101</v>
      </c>
      <c r="D14020" s="6">
        <v>4.49</v>
      </c>
      <c r="E14020" t="s">
        <v>11</v>
      </c>
    </row>
    <row r="14021" spans="1:5" x14ac:dyDescent="0.25">
      <c r="A14021" t="str">
        <f>HYPERLINK("https://www.773grp.com/globalSearch/TLC2254CN/page-1", "TLC2254CN")</f>
        <v>TLC2254CN</v>
      </c>
      <c r="B14021" s="3" t="s">
        <v>90</v>
      </c>
      <c r="C14021" s="5">
        <v>16491</v>
      </c>
      <c r="D14021" s="6">
        <v>4.49</v>
      </c>
      <c r="E14021" t="s">
        <v>11</v>
      </c>
    </row>
    <row r="14022" spans="1:5" x14ac:dyDescent="0.25">
      <c r="A14022" t="str">
        <f>HYPERLINK("https://www.773grp.com/globalSearch/TLC2254IN/page-1", "TLC2254IN")</f>
        <v>TLC2254IN</v>
      </c>
      <c r="B14022" s="3" t="s">
        <v>90</v>
      </c>
      <c r="C14022" s="5">
        <v>1100</v>
      </c>
      <c r="D14022" s="6">
        <v>4.49</v>
      </c>
      <c r="E14022" t="s">
        <v>11</v>
      </c>
    </row>
    <row r="14023" spans="1:5" x14ac:dyDescent="0.25">
      <c r="A14023" t="str">
        <f>HYPERLINK("https://www.773grp.com/globalSearch/TLC2254QPWRQ1/page-1", "TLC2254QPWRQ1")</f>
        <v>TLC2254QPWRQ1</v>
      </c>
      <c r="B14023" s="3" t="s">
        <v>90</v>
      </c>
      <c r="C14023" s="5">
        <v>4000</v>
      </c>
      <c r="D14023" s="6">
        <v>4.49</v>
      </c>
      <c r="E14023" t="s">
        <v>11</v>
      </c>
    </row>
    <row r="14024" spans="1:5" x14ac:dyDescent="0.25">
      <c r="A14024" t="str">
        <f>HYPERLINK("https://www.773grp.com/globalSearch/TLC2264AQD/page-1", "TLC2264AQD")</f>
        <v>TLC2264AQD</v>
      </c>
      <c r="B14024" s="3" t="s">
        <v>90</v>
      </c>
      <c r="C14024" s="5">
        <v>6350</v>
      </c>
      <c r="D14024" s="6">
        <v>4.49</v>
      </c>
      <c r="E14024" t="s">
        <v>11</v>
      </c>
    </row>
    <row r="14025" spans="1:5" x14ac:dyDescent="0.25">
      <c r="A14025" t="str">
        <f>HYPERLINK("https://www.773grp.com/globalSearch/TLC2264CD/page-1", "TLC2264CD")</f>
        <v>TLC2264CD</v>
      </c>
      <c r="B14025" s="3" t="s">
        <v>90</v>
      </c>
      <c r="C14025" s="5">
        <v>2560</v>
      </c>
      <c r="D14025" s="6">
        <v>4.49</v>
      </c>
      <c r="E14025" t="s">
        <v>11</v>
      </c>
    </row>
    <row r="14026" spans="1:5" x14ac:dyDescent="0.25">
      <c r="A14026" t="str">
        <f>HYPERLINK("https://www.773grp.com/globalSearch/TLC2264CN/page-1", "TLC2264CN")</f>
        <v>TLC2264CN</v>
      </c>
      <c r="B14026" s="3" t="s">
        <v>90</v>
      </c>
      <c r="C14026" s="5">
        <v>13785</v>
      </c>
      <c r="D14026" s="6">
        <v>4.49</v>
      </c>
      <c r="E14026" t="s">
        <v>11</v>
      </c>
    </row>
    <row r="14027" spans="1:5" x14ac:dyDescent="0.25">
      <c r="A14027" t="str">
        <f>HYPERLINK("https://www.773grp.com/globalSearch/TLC2264CPW/page-1", "TLC2264CPW")</f>
        <v>TLC2264CPW</v>
      </c>
      <c r="B14027" s="3" t="s">
        <v>90</v>
      </c>
      <c r="C14027" s="5">
        <v>2679</v>
      </c>
      <c r="D14027" s="6">
        <v>4.49</v>
      </c>
      <c r="E14027" t="s">
        <v>11</v>
      </c>
    </row>
    <row r="14028" spans="1:5" x14ac:dyDescent="0.25">
      <c r="A14028" t="str">
        <f>HYPERLINK("https://www.773grp.com/globalSearch/TLC2264QD/page-1", "TLC2264QD")</f>
        <v>TLC2264QD</v>
      </c>
      <c r="B14028" s="3" t="s">
        <v>90</v>
      </c>
      <c r="C14028" s="5">
        <v>5500</v>
      </c>
      <c r="D14028" s="6">
        <v>4.49</v>
      </c>
      <c r="E14028" t="s">
        <v>11</v>
      </c>
    </row>
    <row r="14029" spans="1:5" x14ac:dyDescent="0.25">
      <c r="A14029" t="str">
        <f>HYPERLINK("https://www.773grp.com/globalSearch/TLC2272ACD/page-1", "TLC2272ACD")</f>
        <v>TLC2272ACD</v>
      </c>
      <c r="B14029" s="3" t="s">
        <v>90</v>
      </c>
      <c r="C14029" s="5">
        <v>5505</v>
      </c>
      <c r="D14029" s="6">
        <v>4.49</v>
      </c>
      <c r="E14029" t="s">
        <v>11</v>
      </c>
    </row>
    <row r="14030" spans="1:5" x14ac:dyDescent="0.25">
      <c r="A14030" t="str">
        <f>HYPERLINK("https://www.773grp.com/globalSearch/TLC2272ID/page-1", "TLC2272ID")</f>
        <v>TLC2272ID</v>
      </c>
      <c r="B14030" s="3" t="s">
        <v>90</v>
      </c>
      <c r="C14030" s="5">
        <v>21262</v>
      </c>
      <c r="D14030" s="6">
        <v>4.49</v>
      </c>
      <c r="E14030" t="s">
        <v>11</v>
      </c>
    </row>
    <row r="14031" spans="1:5" x14ac:dyDescent="0.25">
      <c r="A14031" t="str">
        <f>HYPERLINK("https://www.773grp.com/globalSearch/TLC2272IDG4/page-1", "TLC2272IDG4")</f>
        <v>TLC2272IDG4</v>
      </c>
      <c r="B14031" s="3" t="s">
        <v>90</v>
      </c>
      <c r="C14031" s="5">
        <v>92</v>
      </c>
      <c r="D14031" s="6">
        <v>4.49</v>
      </c>
      <c r="E14031" t="s">
        <v>11</v>
      </c>
    </row>
    <row r="14032" spans="1:5" x14ac:dyDescent="0.25">
      <c r="A14032" t="str">
        <f>HYPERLINK("https://www.773grp.com/globalSearch/TLC2272IPW/page-1", "TLC2272IPW")</f>
        <v>TLC2272IPW</v>
      </c>
      <c r="B14032" s="3" t="s">
        <v>90</v>
      </c>
      <c r="C14032" s="5">
        <v>1595</v>
      </c>
      <c r="D14032" s="6">
        <v>4.49</v>
      </c>
      <c r="E14032" t="s">
        <v>11</v>
      </c>
    </row>
    <row r="14033" spans="1:5" x14ac:dyDescent="0.25">
      <c r="A14033" t="str">
        <f>HYPERLINK("https://www.773grp.com/globalSearch/TLC2272QDRQ1/page-1", "TLC2272QDRQ1")</f>
        <v>TLC2272QDRQ1</v>
      </c>
      <c r="B14033" s="3" t="s">
        <v>90</v>
      </c>
      <c r="C14033" s="5">
        <v>37500</v>
      </c>
      <c r="D14033" s="6">
        <v>4.49</v>
      </c>
      <c r="E14033" t="s">
        <v>11</v>
      </c>
    </row>
    <row r="14034" spans="1:5" x14ac:dyDescent="0.25">
      <c r="A14034" t="str">
        <f>HYPERLINK("https://www.773grp.com/globalSearch/TLC2274AIPWR/page-1", "TLC2274AIPWR")</f>
        <v>TLC2274AIPWR</v>
      </c>
      <c r="B14034" s="3" t="s">
        <v>90</v>
      </c>
      <c r="C14034" s="5">
        <v>6000</v>
      </c>
      <c r="D14034" s="6">
        <v>4.49</v>
      </c>
      <c r="E14034" t="s">
        <v>11</v>
      </c>
    </row>
    <row r="14035" spans="1:5" x14ac:dyDescent="0.25">
      <c r="A14035" t="str">
        <f>HYPERLINK("https://www.773grp.com/globalSearch/TLC2274CD/page-1", "TLC2274CD")</f>
        <v>TLC2274CD</v>
      </c>
      <c r="B14035" s="3" t="s">
        <v>90</v>
      </c>
      <c r="C14035" s="5">
        <v>10460</v>
      </c>
      <c r="D14035" s="6">
        <v>4.49</v>
      </c>
      <c r="E14035" t="s">
        <v>11</v>
      </c>
    </row>
    <row r="14036" spans="1:5" x14ac:dyDescent="0.25">
      <c r="A14036" t="str">
        <f>HYPERLINK("https://www.773grp.com/globalSearch/TLC2274CN/page-1", "TLC2274CN")</f>
        <v>TLC2274CN</v>
      </c>
      <c r="B14036" s="3" t="s">
        <v>90</v>
      </c>
      <c r="C14036" s="5">
        <v>1101</v>
      </c>
      <c r="D14036" s="6">
        <v>4.49</v>
      </c>
      <c r="E14036" t="s">
        <v>11</v>
      </c>
    </row>
    <row r="14037" spans="1:5" x14ac:dyDescent="0.25">
      <c r="A14037" t="str">
        <f>HYPERLINK("https://www.773grp.com/globalSearch/TLC2274CNS/page-1", "TLC2274CNS")</f>
        <v>TLC2274CNS</v>
      </c>
      <c r="B14037" s="3" t="s">
        <v>90</v>
      </c>
      <c r="C14037" s="5">
        <v>914</v>
      </c>
      <c r="D14037" s="6">
        <v>4.49</v>
      </c>
      <c r="E14037" t="s">
        <v>11</v>
      </c>
    </row>
    <row r="14038" spans="1:5" x14ac:dyDescent="0.25">
      <c r="A14038" t="str">
        <f>HYPERLINK("https://www.773grp.com/globalSearch/TLC2274IN/page-1", "TLC2274IN")</f>
        <v>TLC2274IN</v>
      </c>
      <c r="B14038" s="3" t="s">
        <v>90</v>
      </c>
      <c r="C14038" s="5">
        <v>429</v>
      </c>
      <c r="D14038" s="6">
        <v>4.49</v>
      </c>
      <c r="E14038" t="s">
        <v>11</v>
      </c>
    </row>
    <row r="14039" spans="1:5" x14ac:dyDescent="0.25">
      <c r="A14039" t="str">
        <f>HYPERLINK("https://www.773grp.com/globalSearch/TLC2274QD/page-1", "TLC2274QD")</f>
        <v>TLC2274QD</v>
      </c>
      <c r="B14039" s="3" t="s">
        <v>90</v>
      </c>
      <c r="C14039" s="5">
        <v>3270</v>
      </c>
      <c r="D14039" s="6">
        <v>4.49</v>
      </c>
      <c r="E14039" t="s">
        <v>11</v>
      </c>
    </row>
    <row r="14040" spans="1:5" x14ac:dyDescent="0.25">
      <c r="A14040" t="str">
        <f>HYPERLINK("https://www.773grp.com/globalSearch/TLC2274QPWRG4Q1/page-1", "TLC2274QPWRG4Q1")</f>
        <v>TLC2274QPWRG4Q1</v>
      </c>
      <c r="B14040" s="3" t="s">
        <v>90</v>
      </c>
      <c r="C14040" s="5">
        <v>2000</v>
      </c>
      <c r="D14040" s="6">
        <v>4.49</v>
      </c>
      <c r="E14040" t="s">
        <v>11</v>
      </c>
    </row>
    <row r="14041" spans="1:5" x14ac:dyDescent="0.25">
      <c r="A14041" t="str">
        <f>HYPERLINK("https://www.773grp.com/globalSearch/TLC251CPSR/page-1", "TLC251CPSR")</f>
        <v>TLC251CPSR</v>
      </c>
      <c r="B14041" s="3" t="s">
        <v>90</v>
      </c>
      <c r="C14041" s="5">
        <v>20000</v>
      </c>
      <c r="D14041" s="6">
        <v>4.49</v>
      </c>
      <c r="E14041" t="s">
        <v>11</v>
      </c>
    </row>
    <row r="14042" spans="1:5" x14ac:dyDescent="0.25">
      <c r="A14042" t="str">
        <f>HYPERLINK("https://www.773grp.com/globalSearch/TLC251CPW/page-1", "TLC251CPW")</f>
        <v>TLC251CPW</v>
      </c>
      <c r="B14042" s="3" t="s">
        <v>90</v>
      </c>
      <c r="C14042" s="5">
        <v>6150</v>
      </c>
      <c r="D14042" s="6">
        <v>4.49</v>
      </c>
      <c r="E14042" t="s">
        <v>11</v>
      </c>
    </row>
    <row r="14043" spans="1:5" x14ac:dyDescent="0.25">
      <c r="A14043" t="str">
        <f>HYPERLINK("https://www.773grp.com/globalSearch/TLE2022CP/page-1", "TLE2022CP")</f>
        <v>TLE2022CP</v>
      </c>
      <c r="B14043" s="3" t="s">
        <v>90</v>
      </c>
      <c r="C14043" s="5">
        <v>584</v>
      </c>
      <c r="D14043" s="6">
        <v>4.49</v>
      </c>
      <c r="E14043" t="s">
        <v>11</v>
      </c>
    </row>
    <row r="14044" spans="1:5" x14ac:dyDescent="0.25">
      <c r="A14044" t="str">
        <f>HYPERLINK("https://www.773grp.com/globalSearch/TLE2061ID/page-1", "TLE2061ID")</f>
        <v>TLE2061ID</v>
      </c>
      <c r="B14044" s="3" t="s">
        <v>90</v>
      </c>
      <c r="C14044" s="5">
        <v>999</v>
      </c>
      <c r="D14044" s="6">
        <v>4.49</v>
      </c>
      <c r="E14044" t="s">
        <v>11</v>
      </c>
    </row>
    <row r="14045" spans="1:5" x14ac:dyDescent="0.25">
      <c r="A14045" t="str">
        <f>HYPERLINK("https://www.773grp.com/globalSearch/TLE2061MD/page-1", "TLE2061MD")</f>
        <v>TLE2061MD</v>
      </c>
      <c r="B14045" s="3" t="s">
        <v>90</v>
      </c>
      <c r="C14045" s="5">
        <v>4325</v>
      </c>
      <c r="D14045" s="6">
        <v>4.49</v>
      </c>
      <c r="E14045" t="s">
        <v>11</v>
      </c>
    </row>
    <row r="14046" spans="1:5" x14ac:dyDescent="0.25">
      <c r="A14046" t="str">
        <f>HYPERLINK("https://www.773grp.com/globalSearch/TLE2071ACD/page-1", "TLE2071ACD")</f>
        <v>TLE2071ACD</v>
      </c>
      <c r="B14046" s="3" t="s">
        <v>90</v>
      </c>
      <c r="C14046" s="5">
        <v>1479</v>
      </c>
      <c r="D14046" s="6">
        <v>4.49</v>
      </c>
      <c r="E14046" t="s">
        <v>11</v>
      </c>
    </row>
    <row r="14047" spans="1:5" x14ac:dyDescent="0.25">
      <c r="A14047" t="str">
        <f>HYPERLINK("https://www.773grp.com/globalSearch/TLV2242CDR/page-1", "TLV2242CDR")</f>
        <v>TLV2242CDR</v>
      </c>
      <c r="B14047" s="3" t="s">
        <v>90</v>
      </c>
      <c r="C14047" s="5">
        <v>2935</v>
      </c>
      <c r="D14047" s="6">
        <v>4.49</v>
      </c>
      <c r="E14047" t="s">
        <v>11</v>
      </c>
    </row>
    <row r="14048" spans="1:5" x14ac:dyDescent="0.25">
      <c r="A14048" t="str">
        <f>HYPERLINK("https://www.773grp.com/globalSearch/TLV2322ID/page-1", "TLV2322ID")</f>
        <v>TLV2322ID</v>
      </c>
      <c r="B14048" s="3" t="s">
        <v>90</v>
      </c>
      <c r="C14048" s="5">
        <v>9817</v>
      </c>
      <c r="D14048" s="6">
        <v>4.49</v>
      </c>
      <c r="E14048" t="s">
        <v>11</v>
      </c>
    </row>
    <row r="14049" spans="1:5" x14ac:dyDescent="0.25">
      <c r="A14049" t="str">
        <f>HYPERLINK("https://www.773grp.com/globalSearch/TLV2322IPWLE/page-1", "TLV2322IPWLE")</f>
        <v>TLV2322IPWLE</v>
      </c>
      <c r="B14049" s="3" t="s">
        <v>90</v>
      </c>
      <c r="C14049" s="5">
        <v>2000</v>
      </c>
      <c r="D14049" s="6">
        <v>4.49</v>
      </c>
      <c r="E14049" t="s">
        <v>11</v>
      </c>
    </row>
    <row r="14050" spans="1:5" x14ac:dyDescent="0.25">
      <c r="A14050" t="str">
        <f>HYPERLINK("https://www.773grp.com/globalSearch/TLV2375IPWR/page-1", "TLV2375IPWR")</f>
        <v>TLV2375IPWR</v>
      </c>
      <c r="B14050" s="3" t="s">
        <v>90</v>
      </c>
      <c r="C14050" s="5">
        <v>18000</v>
      </c>
      <c r="D14050" s="6">
        <v>4.49</v>
      </c>
      <c r="E14050" t="s">
        <v>11</v>
      </c>
    </row>
    <row r="14051" spans="1:5" x14ac:dyDescent="0.25">
      <c r="A14051" t="str">
        <f>HYPERLINK("https://www.773grp.com/globalSearch/TLV2422AQD/page-1", "TLV2422AQD")</f>
        <v>TLV2422AQD</v>
      </c>
      <c r="B14051" s="3" t="s">
        <v>90</v>
      </c>
      <c r="C14051" s="5">
        <v>4950</v>
      </c>
      <c r="D14051" s="6">
        <v>4.49</v>
      </c>
      <c r="E14051" t="s">
        <v>11</v>
      </c>
    </row>
    <row r="14052" spans="1:5" x14ac:dyDescent="0.25">
      <c r="A14052" t="str">
        <f>HYPERLINK("https://www.773grp.com/globalSearch/TLV2432AQD/page-1", "TLV2432AQD")</f>
        <v>TLV2432AQD</v>
      </c>
      <c r="B14052" s="3" t="s">
        <v>90</v>
      </c>
      <c r="C14052" s="5">
        <v>4998</v>
      </c>
      <c r="D14052" s="6">
        <v>4.49</v>
      </c>
      <c r="E14052" t="s">
        <v>11</v>
      </c>
    </row>
    <row r="14053" spans="1:5" x14ac:dyDescent="0.25">
      <c r="A14053" t="str">
        <f>HYPERLINK("https://www.773grp.com/globalSearch/TLV2432AQDG4/page-1", "TLV2432AQDG4")</f>
        <v>TLV2432AQDG4</v>
      </c>
      <c r="B14053" s="3" t="s">
        <v>90</v>
      </c>
      <c r="C14053" s="5">
        <v>1719</v>
      </c>
      <c r="D14053" s="6">
        <v>4.49</v>
      </c>
      <c r="E14053" t="s">
        <v>11</v>
      </c>
    </row>
    <row r="14054" spans="1:5" x14ac:dyDescent="0.25">
      <c r="A14054" t="str">
        <f>HYPERLINK("https://www.773grp.com/globalSearch/TLV2450AIDR/page-1", "TLV2450AIDR")</f>
        <v>TLV2450AIDR</v>
      </c>
      <c r="B14054" s="3" t="s">
        <v>90</v>
      </c>
      <c r="C14054" s="5">
        <v>5000</v>
      </c>
      <c r="D14054" s="6">
        <v>4.49</v>
      </c>
      <c r="E14054" t="s">
        <v>11</v>
      </c>
    </row>
    <row r="14055" spans="1:5" x14ac:dyDescent="0.25">
      <c r="A14055" t="str">
        <f>HYPERLINK("https://www.773grp.com/globalSearch/TLV2460AIDR/page-1", "TLV2460AIDR")</f>
        <v>TLV2460AIDR</v>
      </c>
      <c r="B14055" s="3" t="s">
        <v>90</v>
      </c>
      <c r="C14055" s="5">
        <v>25000</v>
      </c>
      <c r="D14055" s="6">
        <v>4.49</v>
      </c>
      <c r="E14055" t="s">
        <v>11</v>
      </c>
    </row>
    <row r="14056" spans="1:5" x14ac:dyDescent="0.25">
      <c r="A14056" t="str">
        <f>HYPERLINK("https://www.773grp.com/globalSearch/TLV2460QPWG4/page-1", "TLV2460QPWG4")</f>
        <v>TLV2460QPWG4</v>
      </c>
      <c r="B14056" s="3" t="s">
        <v>90</v>
      </c>
      <c r="C14056" s="5">
        <v>16200</v>
      </c>
      <c r="D14056" s="6">
        <v>4.49</v>
      </c>
      <c r="E14056" t="s">
        <v>11</v>
      </c>
    </row>
    <row r="14057" spans="1:5" x14ac:dyDescent="0.25">
      <c r="A14057" t="str">
        <f>HYPERLINK("https://www.773grp.com/globalSearch/TLV2461AQD/page-1", "TLV2461AQD")</f>
        <v>TLV2461AQD</v>
      </c>
      <c r="B14057" s="3" t="s">
        <v>90</v>
      </c>
      <c r="C14057" s="5">
        <v>28800</v>
      </c>
      <c r="D14057" s="6">
        <v>4.49</v>
      </c>
      <c r="E14057" t="s">
        <v>11</v>
      </c>
    </row>
    <row r="14058" spans="1:5" x14ac:dyDescent="0.25">
      <c r="A14058" t="str">
        <f>HYPERLINK("https://www.773grp.com/globalSearch/TLV2461AQPWR/page-1", "TLV2461AQPWR")</f>
        <v>TLV2461AQPWR</v>
      </c>
      <c r="B14058" s="3" t="s">
        <v>90</v>
      </c>
      <c r="C14058" s="5">
        <v>3828</v>
      </c>
      <c r="D14058" s="6">
        <v>4.49</v>
      </c>
      <c r="E14058" t="s">
        <v>11</v>
      </c>
    </row>
    <row r="14059" spans="1:5" x14ac:dyDescent="0.25">
      <c r="A14059" t="str">
        <f>HYPERLINK("https://www.773grp.com/globalSearch/TLV2471QDBVRQ1/page-1", "TLV2471QDBVRQ1")</f>
        <v>TLV2471QDBVRQ1</v>
      </c>
      <c r="B14059" s="3" t="s">
        <v>90</v>
      </c>
      <c r="C14059" s="5">
        <v>2263</v>
      </c>
      <c r="D14059" s="6">
        <v>4.49</v>
      </c>
      <c r="E14059" t="s">
        <v>11</v>
      </c>
    </row>
    <row r="14060" spans="1:5" x14ac:dyDescent="0.25">
      <c r="A14060" t="str">
        <f>HYPERLINK("https://www.773grp.com/globalSearch/TLV2762CDR/page-1", "TLV2762CDR")</f>
        <v>TLV2762CDR</v>
      </c>
      <c r="B14060" s="3" t="s">
        <v>90</v>
      </c>
      <c r="C14060" s="5">
        <v>7500</v>
      </c>
      <c r="D14060" s="6">
        <v>4.49</v>
      </c>
      <c r="E14060" t="s">
        <v>11</v>
      </c>
    </row>
    <row r="14061" spans="1:5" x14ac:dyDescent="0.25">
      <c r="A14061" t="str">
        <f>HYPERLINK("https://www.773grp.com/globalSearch/TLV2770CD/page-1", "TLV2770CD")</f>
        <v>TLV2770CD</v>
      </c>
      <c r="B14061" s="3" t="s">
        <v>90</v>
      </c>
      <c r="C14061" s="5">
        <v>35821</v>
      </c>
      <c r="D14061" s="6">
        <v>4.49</v>
      </c>
      <c r="E14061" t="s">
        <v>11</v>
      </c>
    </row>
    <row r="14062" spans="1:5" x14ac:dyDescent="0.25">
      <c r="A14062" t="str">
        <f>HYPERLINK("https://www.773grp.com/globalSearch/TLV2770IP/page-1", "TLV2770IP")</f>
        <v>TLV2770IP</v>
      </c>
      <c r="B14062" s="3" t="s">
        <v>90</v>
      </c>
      <c r="C14062" s="5">
        <v>86671</v>
      </c>
      <c r="D14062" s="6">
        <v>4.49</v>
      </c>
      <c r="E14062" t="s">
        <v>11</v>
      </c>
    </row>
    <row r="14063" spans="1:5" x14ac:dyDescent="0.25">
      <c r="A14063" t="str">
        <f>HYPERLINK("https://www.773grp.com/globalSearch/TLV2780ID/page-1", "TLV2780ID")</f>
        <v>TLV2780ID</v>
      </c>
      <c r="B14063" s="3" t="s">
        <v>90</v>
      </c>
      <c r="C14063" s="5">
        <v>19775</v>
      </c>
      <c r="D14063" s="6">
        <v>4.49</v>
      </c>
      <c r="E14063" t="s">
        <v>11</v>
      </c>
    </row>
    <row r="14064" spans="1:5" x14ac:dyDescent="0.25">
      <c r="A14064" t="str">
        <f>HYPERLINK("https://www.773grp.com/globalSearch/TLV2780IDBVT/page-1", "TLV2780IDBVT")</f>
        <v>TLV2780IDBVT</v>
      </c>
      <c r="B14064" s="3" t="s">
        <v>90</v>
      </c>
      <c r="C14064" s="5">
        <v>7901</v>
      </c>
      <c r="D14064" s="6">
        <v>4.49</v>
      </c>
      <c r="E14064" t="s">
        <v>11</v>
      </c>
    </row>
    <row r="14065" spans="1:5" x14ac:dyDescent="0.25">
      <c r="A14065" t="str">
        <f>HYPERLINK("https://www.773grp.com/globalSearch/TLV4111CD/page-1", "TLV4111CD")</f>
        <v>TLV4111CD</v>
      </c>
      <c r="B14065" s="3" t="s">
        <v>90</v>
      </c>
      <c r="C14065" s="5">
        <v>33300</v>
      </c>
      <c r="D14065" s="6">
        <v>4.49</v>
      </c>
      <c r="E14065" t="s">
        <v>11</v>
      </c>
    </row>
    <row r="14066" spans="1:5" x14ac:dyDescent="0.25">
      <c r="A14066" t="str">
        <f>HYPERLINK("https://www.773grp.com/globalSearch/TLV4111CDGN/page-1", "TLV4111CDGN")</f>
        <v>TLV4111CDGN</v>
      </c>
      <c r="B14066" s="3" t="s">
        <v>90</v>
      </c>
      <c r="C14066" s="5">
        <v>380</v>
      </c>
      <c r="D14066" s="6">
        <v>4.49</v>
      </c>
      <c r="E14066" t="s">
        <v>11</v>
      </c>
    </row>
    <row r="14067" spans="1:5" x14ac:dyDescent="0.25">
      <c r="A14067" t="str">
        <f>HYPERLINK("https://www.773grp.com/globalSearch/TLV4111CDGN/page-1", "TLV4111CDGN")</f>
        <v>TLV4111CDGN</v>
      </c>
      <c r="B14067" s="3" t="s">
        <v>90</v>
      </c>
      <c r="C14067" s="5">
        <v>3200</v>
      </c>
      <c r="D14067" s="6">
        <v>4.49</v>
      </c>
      <c r="E14067" t="s">
        <v>11</v>
      </c>
    </row>
    <row r="14068" spans="1:5" x14ac:dyDescent="0.25">
      <c r="A14068" t="str">
        <f>HYPERLINK("https://www.773grp.com/globalSearch/OPA132UA-2K5/page-1", "OPA132UA-2K5")</f>
        <v>OPA132UA-2K5</v>
      </c>
      <c r="B14068" s="3" t="s">
        <v>90</v>
      </c>
      <c r="C14068" s="5">
        <v>35000</v>
      </c>
      <c r="D14068" s="6">
        <v>4.09</v>
      </c>
      <c r="E14068" t="s">
        <v>11</v>
      </c>
    </row>
    <row r="14069" spans="1:5" x14ac:dyDescent="0.25">
      <c r="A14069" t="str">
        <f>HYPERLINK("https://www.773grp.com/globalSearch/OPA2340UA-2K5/page-1", "OPA2340UA-2K5")</f>
        <v>OPA2340UA-2K5</v>
      </c>
      <c r="B14069" s="3" t="s">
        <v>90</v>
      </c>
      <c r="C14069" s="5">
        <v>16342</v>
      </c>
      <c r="D14069" s="6">
        <v>4.09</v>
      </c>
      <c r="E14069" t="s">
        <v>11</v>
      </c>
    </row>
    <row r="14070" spans="1:5" x14ac:dyDescent="0.25">
      <c r="A14070" t="str">
        <f>HYPERLINK("https://www.773grp.com/globalSearch/OPA2341DGSA-250/page-1", "OPA2341DGSA-250")</f>
        <v>OPA2341DGSA-250</v>
      </c>
      <c r="B14070" s="3" t="s">
        <v>90</v>
      </c>
      <c r="C14070" s="5">
        <v>29500</v>
      </c>
      <c r="D14070" s="6">
        <v>4.09</v>
      </c>
      <c r="E14070" t="s">
        <v>11</v>
      </c>
    </row>
    <row r="14071" spans="1:5" x14ac:dyDescent="0.25">
      <c r="A14071" t="str">
        <f>HYPERLINK("https://www.773grp.com/globalSearch/OPA2355DGSA-250/page-1", "OPA2355DGSA-250")</f>
        <v>OPA2355DGSA-250</v>
      </c>
      <c r="B14071" s="3" t="s">
        <v>90</v>
      </c>
      <c r="C14071" s="5">
        <v>11850</v>
      </c>
      <c r="D14071" s="6">
        <v>4.09</v>
      </c>
      <c r="E14071" t="s">
        <v>11</v>
      </c>
    </row>
    <row r="14072" spans="1:5" x14ac:dyDescent="0.25">
      <c r="A14072" t="str">
        <f>HYPERLINK("https://www.773grp.com/globalSearch/OPA2652U-1-2K5/page-1", "OPA2652U-1-2K5")</f>
        <v>OPA2652U-1-2K5</v>
      </c>
      <c r="B14072" s="3" t="s">
        <v>90</v>
      </c>
      <c r="C14072" s="5">
        <v>2500</v>
      </c>
      <c r="D14072" s="6">
        <v>4.09</v>
      </c>
      <c r="E14072" t="s">
        <v>11</v>
      </c>
    </row>
    <row r="14073" spans="1:5" x14ac:dyDescent="0.25">
      <c r="A14073" t="str">
        <f>HYPERLINK("https://www.773grp.com/globalSearch/OPA4330AIRGYR/page-1", "OPA4330AIRGYR")</f>
        <v>OPA4330AIRGYR</v>
      </c>
      <c r="B14073" s="3" t="s">
        <v>90</v>
      </c>
      <c r="C14073" s="5">
        <v>6000</v>
      </c>
      <c r="D14073" s="6">
        <v>4.09</v>
      </c>
      <c r="E14073" t="s">
        <v>11</v>
      </c>
    </row>
    <row r="14074" spans="1:5" x14ac:dyDescent="0.25">
      <c r="A14074" t="str">
        <f>HYPERLINK("https://www.773grp.com/globalSearch/OPA634N-3K/page-1", "OPA634N-3K")</f>
        <v>OPA634N-3K</v>
      </c>
      <c r="B14074" s="3" t="s">
        <v>90</v>
      </c>
      <c r="C14074" s="5">
        <v>6000</v>
      </c>
      <c r="D14074" s="6">
        <v>4.09</v>
      </c>
      <c r="E14074" t="s">
        <v>11</v>
      </c>
    </row>
    <row r="14075" spans="1:5" x14ac:dyDescent="0.25">
      <c r="A14075" t="str">
        <f>HYPERLINK("https://www.773grp.com/globalSearch/THS4051CDGN/page-1", "THS4051CDGN")</f>
        <v>THS4051CDGN</v>
      </c>
      <c r="B14075" s="3" t="s">
        <v>90</v>
      </c>
      <c r="C14075" s="5">
        <v>36550</v>
      </c>
      <c r="D14075" s="6">
        <v>4.09</v>
      </c>
      <c r="E14075" t="s">
        <v>11</v>
      </c>
    </row>
    <row r="14076" spans="1:5" x14ac:dyDescent="0.25">
      <c r="A14076" t="str">
        <f>HYPERLINK("https://www.773grp.com/globalSearch/TLC074AIN/page-1", "TLC074AIN")</f>
        <v>TLC074AIN</v>
      </c>
      <c r="B14076" s="3" t="s">
        <v>90</v>
      </c>
      <c r="C14076" s="5">
        <v>10822</v>
      </c>
      <c r="D14076" s="6">
        <v>4.09</v>
      </c>
      <c r="E14076" t="s">
        <v>11</v>
      </c>
    </row>
    <row r="14077" spans="1:5" x14ac:dyDescent="0.25">
      <c r="A14077" t="str">
        <f>HYPERLINK("https://www.773grp.com/globalSearch/TLC085AIPWP/page-1", "TLC085AIPWP")</f>
        <v>TLC085AIPWP</v>
      </c>
      <c r="B14077" s="3" t="s">
        <v>90</v>
      </c>
      <c r="C14077" s="5">
        <v>9391</v>
      </c>
      <c r="D14077" s="6">
        <v>4.09</v>
      </c>
      <c r="E14077" t="s">
        <v>11</v>
      </c>
    </row>
    <row r="14078" spans="1:5" x14ac:dyDescent="0.25">
      <c r="A14078" t="str">
        <f>HYPERLINK("https://www.773grp.com/globalSearch/TLC085CN/page-1", "TLC085CN")</f>
        <v>TLC085CN</v>
      </c>
      <c r="B14078" s="3" t="s">
        <v>90</v>
      </c>
      <c r="C14078" s="5">
        <v>200</v>
      </c>
      <c r="D14078" s="6">
        <v>4.09</v>
      </c>
      <c r="E14078" t="s">
        <v>11</v>
      </c>
    </row>
    <row r="14079" spans="1:5" x14ac:dyDescent="0.25">
      <c r="A14079" t="str">
        <f>HYPERLINK("https://www.773grp.com/globalSearch/TLE2142ACDR/page-1", "TLE2142ACDR")</f>
        <v>TLE2142ACDR</v>
      </c>
      <c r="B14079" s="3" t="s">
        <v>90</v>
      </c>
      <c r="C14079" s="5">
        <v>5000</v>
      </c>
      <c r="D14079" s="6">
        <v>4.09</v>
      </c>
      <c r="E14079" t="s">
        <v>11</v>
      </c>
    </row>
    <row r="14080" spans="1:5" x14ac:dyDescent="0.25">
      <c r="A14080" t="str">
        <f>HYPERLINK("https://www.773grp.com/globalSearch/TLV2334ID/page-1", "TLV2334ID")</f>
        <v>TLV2334ID</v>
      </c>
      <c r="B14080" s="3" t="s">
        <v>90</v>
      </c>
      <c r="C14080" s="5">
        <v>12200</v>
      </c>
      <c r="D14080" s="6">
        <v>4.09</v>
      </c>
      <c r="E14080" t="s">
        <v>11</v>
      </c>
    </row>
    <row r="14081" spans="1:5" x14ac:dyDescent="0.25">
      <c r="A14081" t="str">
        <f>HYPERLINK("https://www.773grp.com/globalSearch/TLV2342ID/page-1", "TLV2342ID")</f>
        <v>TLV2342ID</v>
      </c>
      <c r="B14081" s="3" t="s">
        <v>90</v>
      </c>
      <c r="C14081" s="5">
        <v>13114</v>
      </c>
      <c r="D14081" s="6">
        <v>4.09</v>
      </c>
      <c r="E14081" t="s">
        <v>11</v>
      </c>
    </row>
    <row r="14082" spans="1:5" x14ac:dyDescent="0.25">
      <c r="A14082" t="str">
        <f>HYPERLINK("https://www.773grp.com/globalSearch/TLV2342IPW/page-1", "TLV2342IPW")</f>
        <v>TLV2342IPW</v>
      </c>
      <c r="B14082" s="3" t="s">
        <v>90</v>
      </c>
      <c r="C14082" s="5">
        <v>3899</v>
      </c>
      <c r="D14082" s="6">
        <v>4.09</v>
      </c>
      <c r="E14082" t="s">
        <v>11</v>
      </c>
    </row>
    <row r="14083" spans="1:5" x14ac:dyDescent="0.25">
      <c r="A14083" t="str">
        <f>HYPERLINK("https://www.773grp.com/globalSearch/TLV2455CD/page-1", "TLV2455CD")</f>
        <v>TLV2455CD</v>
      </c>
      <c r="B14083" s="3" t="s">
        <v>90</v>
      </c>
      <c r="C14083" s="5">
        <v>10602</v>
      </c>
      <c r="D14083" s="6">
        <v>4.09</v>
      </c>
      <c r="E14083" t="s">
        <v>11</v>
      </c>
    </row>
    <row r="14084" spans="1:5" x14ac:dyDescent="0.25">
      <c r="A14084" t="str">
        <f>HYPERLINK("https://www.773grp.com/globalSearch/TLV2455CN/page-1", "TLV2455CN")</f>
        <v>TLV2455CN</v>
      </c>
      <c r="B14084" s="3" t="s">
        <v>90</v>
      </c>
      <c r="C14084" s="5">
        <v>16425</v>
      </c>
      <c r="D14084" s="6">
        <v>4.09</v>
      </c>
      <c r="E14084" t="s">
        <v>11</v>
      </c>
    </row>
    <row r="14085" spans="1:5" x14ac:dyDescent="0.25">
      <c r="A14085" t="str">
        <f>HYPERLINK("https://www.773grp.com/globalSearch/TLV2455CPWR/page-1", "TLV2455CPWR")</f>
        <v>TLV2455CPWR</v>
      </c>
      <c r="B14085" s="3" t="s">
        <v>90</v>
      </c>
      <c r="C14085" s="5">
        <v>10000</v>
      </c>
      <c r="D14085" s="6">
        <v>4.09</v>
      </c>
      <c r="E14085" t="s">
        <v>11</v>
      </c>
    </row>
    <row r="14086" spans="1:5" x14ac:dyDescent="0.25">
      <c r="A14086" t="str">
        <f>HYPERLINK("https://www.773grp.com/globalSearch/TLV2473AIN/page-1", "TLV2473AIN")</f>
        <v>TLV2473AIN</v>
      </c>
      <c r="B14086" s="3" t="s">
        <v>90</v>
      </c>
      <c r="C14086" s="5">
        <v>23025</v>
      </c>
      <c r="D14086" s="6">
        <v>4.09</v>
      </c>
      <c r="E14086" t="s">
        <v>11</v>
      </c>
    </row>
    <row r="14087" spans="1:5" x14ac:dyDescent="0.25">
      <c r="A14087" t="str">
        <f>HYPERLINK("https://www.773grp.com/globalSearch/TLV2635ID/page-1", "TLV2635ID")</f>
        <v>TLV2635ID</v>
      </c>
      <c r="B14087" s="3" t="s">
        <v>90</v>
      </c>
      <c r="C14087" s="5">
        <v>9760</v>
      </c>
      <c r="D14087" s="6">
        <v>4.09</v>
      </c>
      <c r="E14087" t="s">
        <v>11</v>
      </c>
    </row>
    <row r="14088" spans="1:5" x14ac:dyDescent="0.25">
      <c r="A14088" t="str">
        <f>HYPERLINK("https://www.773grp.com/globalSearch/TLV2635IDR/page-1", "TLV2635IDR")</f>
        <v>TLV2635IDR</v>
      </c>
      <c r="B14088" s="3" t="s">
        <v>90</v>
      </c>
      <c r="C14088" s="5">
        <v>2500</v>
      </c>
      <c r="D14088" s="6">
        <v>4.09</v>
      </c>
      <c r="E14088" t="s">
        <v>11</v>
      </c>
    </row>
    <row r="14089" spans="1:5" x14ac:dyDescent="0.25">
      <c r="A14089" t="str">
        <f>HYPERLINK("https://www.773grp.com/globalSearch/TLV2635IN/page-1", "TLV2635IN")</f>
        <v>TLV2635IN</v>
      </c>
      <c r="B14089" s="3" t="s">
        <v>90</v>
      </c>
      <c r="C14089" s="5">
        <v>559</v>
      </c>
      <c r="D14089" s="6">
        <v>4.09</v>
      </c>
      <c r="E14089" t="s">
        <v>11</v>
      </c>
    </row>
    <row r="14090" spans="1:5" x14ac:dyDescent="0.25">
      <c r="A14090" t="str">
        <f>HYPERLINK("https://www.773grp.com/globalSearch/TLV2704ID/page-1", "TLV2704ID")</f>
        <v>TLV2704ID</v>
      </c>
      <c r="B14090" s="3" t="s">
        <v>90</v>
      </c>
      <c r="C14090" s="5">
        <v>13230</v>
      </c>
      <c r="D14090" s="6">
        <v>4.09</v>
      </c>
      <c r="E14090" t="s">
        <v>11</v>
      </c>
    </row>
    <row r="14091" spans="1:5" x14ac:dyDescent="0.25">
      <c r="A14091" t="str">
        <f>HYPERLINK("https://www.773grp.com/globalSearch/TLV2774CD/page-1", "TLV2774CD")</f>
        <v>TLV2774CD</v>
      </c>
      <c r="B14091" s="3" t="s">
        <v>90</v>
      </c>
      <c r="C14091" s="5">
        <v>1238</v>
      </c>
      <c r="D14091" s="6">
        <v>4.09</v>
      </c>
      <c r="E14091" t="s">
        <v>11</v>
      </c>
    </row>
    <row r="14092" spans="1:5" x14ac:dyDescent="0.25">
      <c r="A14092" t="str">
        <f>HYPERLINK("https://www.773grp.com/globalSearch/TLV2774CPW/page-1", "TLV2774CPW")</f>
        <v>TLV2774CPW</v>
      </c>
      <c r="B14092" s="3" t="s">
        <v>90</v>
      </c>
      <c r="C14092" s="5">
        <v>4030</v>
      </c>
      <c r="D14092" s="6">
        <v>4.09</v>
      </c>
      <c r="E14092" t="s">
        <v>11</v>
      </c>
    </row>
    <row r="14093" spans="1:5" x14ac:dyDescent="0.25">
      <c r="A14093" t="str">
        <f>HYPERLINK("https://www.773grp.com/globalSearch/TLV2774IN/page-1", "TLV2774IN")</f>
        <v>TLV2774IN</v>
      </c>
      <c r="B14093" s="3" t="s">
        <v>90</v>
      </c>
      <c r="C14093" s="5">
        <v>11500</v>
      </c>
      <c r="D14093" s="6">
        <v>4.09</v>
      </c>
      <c r="E14093" t="s">
        <v>11</v>
      </c>
    </row>
    <row r="14094" spans="1:5" x14ac:dyDescent="0.25">
      <c r="A14094" t="str">
        <f>HYPERLINK("https://www.773grp.com/globalSearch/TLV2783CD/page-1", "TLV2783CD")</f>
        <v>TLV2783CD</v>
      </c>
      <c r="B14094" s="3" t="s">
        <v>90</v>
      </c>
      <c r="C14094" s="5">
        <v>3600</v>
      </c>
      <c r="D14094" s="6">
        <v>4.09</v>
      </c>
      <c r="E14094" t="s">
        <v>11</v>
      </c>
    </row>
    <row r="14095" spans="1:5" x14ac:dyDescent="0.25">
      <c r="A14095" t="str">
        <f>HYPERLINK("https://www.773grp.com/globalSearch/TLV2783IN/page-1", "TLV2783IN")</f>
        <v>TLV2783IN</v>
      </c>
      <c r="B14095" s="3" t="s">
        <v>90</v>
      </c>
      <c r="C14095" s="5">
        <v>19081</v>
      </c>
      <c r="D14095" s="6">
        <v>4.09</v>
      </c>
      <c r="E14095" t="s">
        <v>11</v>
      </c>
    </row>
    <row r="14096" spans="1:5" x14ac:dyDescent="0.25">
      <c r="A14096" t="str">
        <f>HYPERLINK("https://www.773grp.com/globalSearch/TLV2784ID/page-1", "TLV2784ID")</f>
        <v>TLV2784ID</v>
      </c>
      <c r="B14096" s="3" t="s">
        <v>90</v>
      </c>
      <c r="C14096" s="5">
        <v>17858</v>
      </c>
      <c r="D14096" s="6">
        <v>4.09</v>
      </c>
      <c r="E14096" t="s">
        <v>11</v>
      </c>
    </row>
    <row r="14097" spans="1:5" x14ac:dyDescent="0.25">
      <c r="A14097" t="str">
        <f>HYPERLINK("https://www.773grp.com/globalSearch/TLV2784IPW/page-1", "TLV2784IPW")</f>
        <v>TLV2784IPW</v>
      </c>
      <c r="B14097" s="3" t="s">
        <v>90</v>
      </c>
      <c r="C14097" s="5">
        <v>10260</v>
      </c>
      <c r="D14097" s="6">
        <v>4.09</v>
      </c>
      <c r="E14097" t="s">
        <v>11</v>
      </c>
    </row>
    <row r="14098" spans="1:5" x14ac:dyDescent="0.25">
      <c r="A14098" t="str">
        <f>HYPERLINK("https://www.773grp.com/globalSearch/LM218D/page-1", "LM218D")</f>
        <v>LM218D</v>
      </c>
      <c r="B14098" s="3" t="s">
        <v>90</v>
      </c>
      <c r="C14098" s="5">
        <v>681</v>
      </c>
      <c r="D14098" s="6">
        <v>4.54</v>
      </c>
      <c r="E14098" t="s">
        <v>11</v>
      </c>
    </row>
    <row r="14099" spans="1:5" x14ac:dyDescent="0.25">
      <c r="A14099" t="str">
        <f>HYPERLINK("https://www.773grp.com/globalSearch/LM218IDRQ1/page-1", "LM218IDRQ1")</f>
        <v>LM218IDRQ1</v>
      </c>
      <c r="B14099" s="3" t="s">
        <v>90</v>
      </c>
      <c r="C14099" s="5">
        <v>8050</v>
      </c>
      <c r="D14099" s="6">
        <v>4.54</v>
      </c>
      <c r="E14099" t="s">
        <v>11</v>
      </c>
    </row>
    <row r="14100" spans="1:5" x14ac:dyDescent="0.25">
      <c r="A14100" t="str">
        <f>HYPERLINK("https://www.773grp.com/globalSearch/LM392DGKT/page-1", "LM392DGKT")</f>
        <v>LM392DGKT</v>
      </c>
      <c r="B14100" s="3" t="s">
        <v>90</v>
      </c>
      <c r="C14100" s="5">
        <v>11500</v>
      </c>
      <c r="D14100" s="6">
        <v>4.54</v>
      </c>
      <c r="E14100" t="s">
        <v>11</v>
      </c>
    </row>
    <row r="14101" spans="1:5" x14ac:dyDescent="0.25">
      <c r="A14101" t="str">
        <f>HYPERLINK("https://www.773grp.com/globalSearch/TL034CD/page-1", "TL034CD")</f>
        <v>TL034CD</v>
      </c>
      <c r="B14101" s="3" t="s">
        <v>90</v>
      </c>
      <c r="C14101" s="5">
        <v>128937</v>
      </c>
      <c r="D14101" s="6">
        <v>4.54</v>
      </c>
      <c r="E14101" t="s">
        <v>11</v>
      </c>
    </row>
    <row r="14102" spans="1:5" x14ac:dyDescent="0.25">
      <c r="A14102" t="str">
        <f>HYPERLINK("https://www.773grp.com/globalSearch/TL034CPW/page-1", "TL034CPW")</f>
        <v>TL034CPW</v>
      </c>
      <c r="B14102" s="3" t="s">
        <v>90</v>
      </c>
      <c r="C14102" s="5">
        <v>80</v>
      </c>
      <c r="D14102" s="6">
        <v>4.54</v>
      </c>
      <c r="E14102" t="s">
        <v>11</v>
      </c>
    </row>
    <row r="14103" spans="1:5" x14ac:dyDescent="0.25">
      <c r="A14103" t="str">
        <f>HYPERLINK("https://www.773grp.com/globalSearch/TLV2374IN/page-1", "TLV2374IN")</f>
        <v>TLV2374IN</v>
      </c>
      <c r="B14103" s="3" t="s">
        <v>90</v>
      </c>
      <c r="C14103" s="5">
        <v>6962</v>
      </c>
      <c r="D14103" s="6">
        <v>4.54</v>
      </c>
      <c r="E14103" t="s">
        <v>11</v>
      </c>
    </row>
    <row r="14104" spans="1:5" x14ac:dyDescent="0.25">
      <c r="A14104" t="str">
        <f>HYPERLINK("https://www.773grp.com/globalSearch/OPA684IDR/page-1", "OPA684IDR")</f>
        <v>OPA684IDR</v>
      </c>
      <c r="B14104" s="3" t="s">
        <v>90</v>
      </c>
      <c r="C14104" s="5">
        <v>5000</v>
      </c>
      <c r="D14104" s="6">
        <v>4.16</v>
      </c>
      <c r="E14104" t="s">
        <v>11</v>
      </c>
    </row>
    <row r="14105" spans="1:5" x14ac:dyDescent="0.25">
      <c r="A14105" t="str">
        <f>HYPERLINK("https://www.773grp.com/globalSearch/TLE2227CP/page-1", "TLE2227CP")</f>
        <v>TLE2227CP</v>
      </c>
      <c r="B14105" s="3" t="s">
        <v>90</v>
      </c>
      <c r="C14105" s="5">
        <v>105</v>
      </c>
      <c r="D14105" s="6">
        <v>4.16</v>
      </c>
      <c r="E14105" t="s">
        <v>11</v>
      </c>
    </row>
    <row r="14106" spans="1:5" x14ac:dyDescent="0.25">
      <c r="A14106" t="str">
        <f>HYPERLINK("https://www.773grp.com/globalSearch/OPA2822E-2K5/page-1", "OPA2822E-2K5")</f>
        <v>OPA2822E-2K5</v>
      </c>
      <c r="B14106" s="3" t="s">
        <v>90</v>
      </c>
      <c r="C14106" s="5">
        <v>12471</v>
      </c>
      <c r="D14106" s="6">
        <v>4.1900000000000004</v>
      </c>
      <c r="E14106" t="s">
        <v>11</v>
      </c>
    </row>
    <row r="14107" spans="1:5" x14ac:dyDescent="0.25">
      <c r="A14107" t="str">
        <f>HYPERLINK("https://www.773grp.com/globalSearch/OPA2822U-2K5/page-1", "OPA2822U-2K5")</f>
        <v>OPA2822U-2K5</v>
      </c>
      <c r="B14107" s="3" t="s">
        <v>90</v>
      </c>
      <c r="C14107" s="5">
        <v>27500</v>
      </c>
      <c r="D14107" s="6">
        <v>4.1900000000000004</v>
      </c>
      <c r="E14107" t="s">
        <v>11</v>
      </c>
    </row>
    <row r="14108" spans="1:5" x14ac:dyDescent="0.25">
      <c r="A14108" t="str">
        <f>HYPERLINK("https://www.773grp.com/globalSearch/OPA658U-1/page-1", "OPA658U-1")</f>
        <v>OPA658U-1</v>
      </c>
      <c r="B14108" s="3" t="s">
        <v>90</v>
      </c>
      <c r="C14108" s="5">
        <v>53</v>
      </c>
      <c r="D14108" s="6">
        <v>4.1900000000000004</v>
      </c>
      <c r="E14108" t="s">
        <v>11</v>
      </c>
    </row>
    <row r="14109" spans="1:5" x14ac:dyDescent="0.25">
      <c r="A14109" t="str">
        <f>HYPERLINK("https://www.773grp.com/globalSearch/OPA683IDBVT/page-1", "OPA683IDBVT")</f>
        <v>OPA683IDBVT</v>
      </c>
      <c r="B14109" s="3" t="s">
        <v>90</v>
      </c>
      <c r="C14109" s="5">
        <v>1250</v>
      </c>
      <c r="D14109" s="6">
        <v>4.1900000000000004</v>
      </c>
      <c r="E14109" t="s">
        <v>11</v>
      </c>
    </row>
    <row r="14110" spans="1:5" x14ac:dyDescent="0.25">
      <c r="A14110" t="str">
        <f>HYPERLINK("https://www.773grp.com/globalSearch/TLV2473AID/page-1", "TLV2473AID")</f>
        <v>TLV2473AID</v>
      </c>
      <c r="B14110" s="3" t="s">
        <v>90</v>
      </c>
      <c r="C14110" s="5">
        <v>18945</v>
      </c>
      <c r="D14110" s="6">
        <v>4.1900000000000004</v>
      </c>
      <c r="E14110" t="s">
        <v>11</v>
      </c>
    </row>
    <row r="14111" spans="1:5" x14ac:dyDescent="0.25">
      <c r="A14111" t="str">
        <f>HYPERLINK("https://www.773grp.com/globalSearch/TLV2470ID/page-1", "TLV2470ID")</f>
        <v>TLV2470ID</v>
      </c>
      <c r="B14111" s="3" t="s">
        <v>90</v>
      </c>
      <c r="C14111" s="5">
        <v>56024</v>
      </c>
      <c r="D14111" s="6">
        <v>4.6399999999999997</v>
      </c>
      <c r="E14111" t="s">
        <v>11</v>
      </c>
    </row>
    <row r="14112" spans="1:5" x14ac:dyDescent="0.25">
      <c r="A14112" t="str">
        <f>HYPERLINK("https://www.773grp.com/globalSearch/TLV2473CDGQR/page-1", "TLV2473CDGQR")</f>
        <v>TLV2473CDGQR</v>
      </c>
      <c r="B14112" s="3" t="s">
        <v>90</v>
      </c>
      <c r="C14112" s="5">
        <v>150000</v>
      </c>
      <c r="D14112" s="6">
        <v>4.6399999999999997</v>
      </c>
      <c r="E14112" t="s">
        <v>11</v>
      </c>
    </row>
    <row r="14113" spans="1:5" x14ac:dyDescent="0.25">
      <c r="A14113" t="str">
        <f>HYPERLINK("https://www.773grp.com/globalSearch/OPA2333AIDGKR/page-1", "OPA2333AIDGKR")</f>
        <v>OPA2333AIDGKR</v>
      </c>
      <c r="B14113" s="3" t="s">
        <v>90</v>
      </c>
      <c r="C14113" s="5">
        <v>355927</v>
      </c>
      <c r="D14113" s="6">
        <v>4.2300000000000004</v>
      </c>
      <c r="E14113" t="s">
        <v>11</v>
      </c>
    </row>
    <row r="14114" spans="1:5" x14ac:dyDescent="0.25">
      <c r="A14114" t="str">
        <f>HYPERLINK("https://www.773grp.com/globalSearch/OPA234E/page-1", "OPA234E")</f>
        <v>OPA234E</v>
      </c>
      <c r="B14114" s="3" t="s">
        <v>90</v>
      </c>
      <c r="C14114" s="5">
        <v>3665</v>
      </c>
      <c r="D14114" s="6">
        <v>4.2300000000000004</v>
      </c>
      <c r="E14114" t="s">
        <v>11</v>
      </c>
    </row>
    <row r="14115" spans="1:5" x14ac:dyDescent="0.25">
      <c r="A14115" t="str">
        <f>HYPERLINK("https://www.773grp.com/globalSearch/OPA234E-2K5/page-1", "OPA234E-2K5")</f>
        <v>OPA234E-2K5</v>
      </c>
      <c r="B14115" s="3" t="s">
        <v>90</v>
      </c>
      <c r="C14115" s="5">
        <v>47500</v>
      </c>
      <c r="D14115" s="6">
        <v>4.2300000000000004</v>
      </c>
      <c r="E14115" t="s">
        <v>11</v>
      </c>
    </row>
    <row r="14116" spans="1:5" x14ac:dyDescent="0.25">
      <c r="A14116" t="str">
        <f>HYPERLINK("https://www.773grp.com/globalSearch/OPA234U-2K5/page-1", "OPA234U-2K5")</f>
        <v>OPA234U-2K5</v>
      </c>
      <c r="B14116" s="3" t="s">
        <v>90</v>
      </c>
      <c r="C14116" s="5">
        <v>7500</v>
      </c>
      <c r="D14116" s="6">
        <v>4.2300000000000004</v>
      </c>
      <c r="E14116" t="s">
        <v>11</v>
      </c>
    </row>
    <row r="14117" spans="1:5" x14ac:dyDescent="0.25">
      <c r="A14117" t="str">
        <f>HYPERLINK("https://www.773grp.com/globalSearch/OPA2355DGSA-2K5/page-1", "OPA2355DGSA-2K5")</f>
        <v>OPA2355DGSA-2K5</v>
      </c>
      <c r="B14117" s="3" t="s">
        <v>90</v>
      </c>
      <c r="C14117" s="5">
        <v>19500</v>
      </c>
      <c r="D14117" s="6">
        <v>4.2300000000000004</v>
      </c>
      <c r="E14117" t="s">
        <v>11</v>
      </c>
    </row>
    <row r="14118" spans="1:5" x14ac:dyDescent="0.25">
      <c r="A14118" t="str">
        <f>HYPERLINK("https://www.773grp.com/globalSearch/OPA2363IDGST/page-1", "OPA2363IDGST")</f>
        <v>OPA2363IDGST</v>
      </c>
      <c r="B14118" s="3" t="s">
        <v>90</v>
      </c>
      <c r="C14118" s="5">
        <v>57500</v>
      </c>
      <c r="D14118" s="6">
        <v>4.2300000000000004</v>
      </c>
      <c r="E14118" t="s">
        <v>11</v>
      </c>
    </row>
    <row r="14119" spans="1:5" x14ac:dyDescent="0.25">
      <c r="A14119" t="str">
        <f>HYPERLINK("https://www.773grp.com/globalSearch/OPA2364IDGKT/page-1", "OPA2364IDGKT")</f>
        <v>OPA2364IDGKT</v>
      </c>
      <c r="B14119" s="3" t="s">
        <v>90</v>
      </c>
      <c r="C14119" s="5">
        <v>500</v>
      </c>
      <c r="D14119" s="6">
        <v>4.2300000000000004</v>
      </c>
      <c r="E14119" t="s">
        <v>11</v>
      </c>
    </row>
    <row r="14120" spans="1:5" x14ac:dyDescent="0.25">
      <c r="A14120" t="str">
        <f>HYPERLINK("https://www.773grp.com/globalSearch/OPA4137U-2K5/page-1", "OPA4137U-2K5")</f>
        <v>OPA4137U-2K5</v>
      </c>
      <c r="B14120" s="3" t="s">
        <v>90</v>
      </c>
      <c r="C14120" s="5">
        <v>5000</v>
      </c>
      <c r="D14120" s="6">
        <v>4.2300000000000004</v>
      </c>
      <c r="E14120" t="s">
        <v>11</v>
      </c>
    </row>
    <row r="14121" spans="1:5" x14ac:dyDescent="0.25">
      <c r="A14121" t="str">
        <f>HYPERLINK("https://www.773grp.com/globalSearch/OPA4244EA-2K5/page-1", "OPA4244EA-2K5")</f>
        <v>OPA4244EA-2K5</v>
      </c>
      <c r="B14121" s="3" t="s">
        <v>90</v>
      </c>
      <c r="C14121" s="5">
        <v>12500</v>
      </c>
      <c r="D14121" s="6">
        <v>4.2300000000000004</v>
      </c>
      <c r="E14121" t="s">
        <v>11</v>
      </c>
    </row>
    <row r="14122" spans="1:5" x14ac:dyDescent="0.25">
      <c r="A14122" t="str">
        <f>HYPERLINK("https://www.773grp.com/globalSearch/OPA4379AIPWT/page-1", "OPA4379AIPWT")</f>
        <v>OPA4379AIPWT</v>
      </c>
      <c r="B14122" s="3" t="s">
        <v>90</v>
      </c>
      <c r="C14122" s="5">
        <v>13250</v>
      </c>
      <c r="D14122" s="6">
        <v>4.2300000000000004</v>
      </c>
      <c r="E14122" t="s">
        <v>11</v>
      </c>
    </row>
    <row r="14123" spans="1:5" x14ac:dyDescent="0.25">
      <c r="A14123" t="str">
        <f>HYPERLINK("https://www.773grp.com/globalSearch/OPA703PA/page-1", "OPA703PA")</f>
        <v>OPA703PA</v>
      </c>
      <c r="B14123" s="3" t="s">
        <v>90</v>
      </c>
      <c r="C14123" s="5">
        <v>5700</v>
      </c>
      <c r="D14123" s="6">
        <v>4.2300000000000004</v>
      </c>
      <c r="E14123" t="s">
        <v>11</v>
      </c>
    </row>
    <row r="14124" spans="1:5" x14ac:dyDescent="0.25">
      <c r="A14124" t="str">
        <f>HYPERLINK("https://www.773grp.com/globalSearch/OPA703PA/page-1", "OPA703PA")</f>
        <v>OPA703PA</v>
      </c>
      <c r="B14124" s="3" t="s">
        <v>90</v>
      </c>
      <c r="C14124" s="5">
        <v>5590</v>
      </c>
      <c r="D14124" s="6">
        <v>4.2300000000000004</v>
      </c>
      <c r="E14124" t="s">
        <v>11</v>
      </c>
    </row>
    <row r="14125" spans="1:5" x14ac:dyDescent="0.25">
      <c r="A14125" t="str">
        <f>HYPERLINK("https://www.773grp.com/globalSearch/OPA703PA/page-1", "OPA703PA")</f>
        <v>OPA703PA</v>
      </c>
      <c r="B14125" s="3" t="s">
        <v>90</v>
      </c>
      <c r="C14125" s="5">
        <v>450</v>
      </c>
      <c r="D14125" s="6">
        <v>4.2300000000000004</v>
      </c>
      <c r="E14125" t="s">
        <v>11</v>
      </c>
    </row>
    <row r="14126" spans="1:5" x14ac:dyDescent="0.25">
      <c r="A14126" t="str">
        <f>HYPERLINK("https://www.773grp.com/globalSearch/OPA704NA-250/page-1", "OPA704NA-250")</f>
        <v>OPA704NA-250</v>
      </c>
      <c r="B14126" s="3" t="s">
        <v>90</v>
      </c>
      <c r="C14126" s="5">
        <v>6939</v>
      </c>
      <c r="D14126" s="6">
        <v>4.2300000000000004</v>
      </c>
      <c r="E14126" t="s">
        <v>11</v>
      </c>
    </row>
    <row r="14127" spans="1:5" x14ac:dyDescent="0.25">
      <c r="A14127" t="str">
        <f>HYPERLINK("https://www.773grp.com/globalSearch/OPA704PA/page-1", "OPA704PA")</f>
        <v>OPA704PA</v>
      </c>
      <c r="B14127" s="3" t="s">
        <v>90</v>
      </c>
      <c r="C14127" s="5">
        <v>9350</v>
      </c>
      <c r="D14127" s="6">
        <v>4.2300000000000004</v>
      </c>
      <c r="E14127" t="s">
        <v>11</v>
      </c>
    </row>
    <row r="14128" spans="1:5" x14ac:dyDescent="0.25">
      <c r="A14128" t="str">
        <f>HYPERLINK("https://www.773grp.com/globalSearch/OPA704PA/page-1", "OPA704PA")</f>
        <v>OPA704PA</v>
      </c>
      <c r="B14128" s="3" t="s">
        <v>90</v>
      </c>
      <c r="C14128" s="5">
        <v>35050</v>
      </c>
      <c r="D14128" s="6">
        <v>4.2300000000000004</v>
      </c>
      <c r="E14128" t="s">
        <v>11</v>
      </c>
    </row>
    <row r="14129" spans="1:5" x14ac:dyDescent="0.25">
      <c r="A14129" t="str">
        <f>HYPERLINK("https://www.773grp.com/globalSearch/OPA704PA/page-1", "OPA704PA")</f>
        <v>OPA704PA</v>
      </c>
      <c r="B14129" s="3" t="s">
        <v>90</v>
      </c>
      <c r="C14129" s="5">
        <v>100</v>
      </c>
      <c r="D14129" s="6">
        <v>4.2300000000000004</v>
      </c>
      <c r="E14129" t="s">
        <v>11</v>
      </c>
    </row>
    <row r="14130" spans="1:5" x14ac:dyDescent="0.25">
      <c r="A14130" t="str">
        <f>HYPERLINK("https://www.773grp.com/globalSearch/OPA734AID/page-1", "OPA734AID")</f>
        <v>OPA734AID</v>
      </c>
      <c r="B14130" s="3" t="s">
        <v>90</v>
      </c>
      <c r="C14130" s="5">
        <v>18600</v>
      </c>
      <c r="D14130" s="6">
        <v>4.2300000000000004</v>
      </c>
      <c r="E14130" t="s">
        <v>11</v>
      </c>
    </row>
    <row r="14131" spans="1:5" x14ac:dyDescent="0.25">
      <c r="A14131" t="str">
        <f>HYPERLINK("https://www.773grp.com/globalSearch/TL054IN/page-1", "TL054IN")</f>
        <v>TL054IN</v>
      </c>
      <c r="B14131" s="3" t="s">
        <v>90</v>
      </c>
      <c r="C14131" s="5">
        <v>3300</v>
      </c>
      <c r="D14131" s="6">
        <v>4.2300000000000004</v>
      </c>
      <c r="E14131" t="s">
        <v>11</v>
      </c>
    </row>
    <row r="14132" spans="1:5" x14ac:dyDescent="0.25">
      <c r="A14132" t="str">
        <f>HYPERLINK("https://www.773grp.com/globalSearch/TL5580AID/page-1", "TL5580AID")</f>
        <v>TL5580AID</v>
      </c>
      <c r="B14132" s="3" t="s">
        <v>90</v>
      </c>
      <c r="C14132" s="5">
        <v>5025</v>
      </c>
      <c r="D14132" s="6">
        <v>4.2300000000000004</v>
      </c>
      <c r="E14132" t="s">
        <v>11</v>
      </c>
    </row>
    <row r="14133" spans="1:5" x14ac:dyDescent="0.25">
      <c r="A14133" t="str">
        <f>HYPERLINK("https://www.773grp.com/globalSearch/TL5580AIPW/page-1", "TL5580AIPW")</f>
        <v>TL5580AIPW</v>
      </c>
      <c r="B14133" s="3" t="s">
        <v>90</v>
      </c>
      <c r="C14133" s="5">
        <v>6450</v>
      </c>
      <c r="D14133" s="6">
        <v>4.2300000000000004</v>
      </c>
      <c r="E14133" t="s">
        <v>11</v>
      </c>
    </row>
    <row r="14134" spans="1:5" x14ac:dyDescent="0.25">
      <c r="A14134" t="str">
        <f>HYPERLINK("https://www.773grp.com/globalSearch/TLV2404IDR/page-1", "TLV2404IDR")</f>
        <v>TLV2404IDR</v>
      </c>
      <c r="B14134" s="3" t="s">
        <v>90</v>
      </c>
      <c r="C14134" s="5">
        <v>994</v>
      </c>
      <c r="D14134" s="6">
        <v>4.2300000000000004</v>
      </c>
      <c r="E14134" t="s">
        <v>11</v>
      </c>
    </row>
    <row r="14135" spans="1:5" x14ac:dyDescent="0.25">
      <c r="A14135" t="str">
        <f>HYPERLINK("https://www.773grp.com/globalSearch/TLV2455AID/page-1", "TLV2455AID")</f>
        <v>TLV2455AID</v>
      </c>
      <c r="B14135" s="3" t="s">
        <v>90</v>
      </c>
      <c r="C14135" s="5">
        <v>10080</v>
      </c>
      <c r="D14135" s="6">
        <v>4.2300000000000004</v>
      </c>
      <c r="E14135" t="s">
        <v>11</v>
      </c>
    </row>
    <row r="14136" spans="1:5" x14ac:dyDescent="0.25">
      <c r="A14136" t="str">
        <f>HYPERLINK("https://www.773grp.com/globalSearch/TLV2455AIPW/page-1", "TLV2455AIPW")</f>
        <v>TLV2455AIPW</v>
      </c>
      <c r="B14136" s="3" t="s">
        <v>90</v>
      </c>
      <c r="C14136" s="5">
        <v>5475</v>
      </c>
      <c r="D14136" s="6">
        <v>4.2300000000000004</v>
      </c>
      <c r="E14136" t="s">
        <v>11</v>
      </c>
    </row>
    <row r="14137" spans="1:5" x14ac:dyDescent="0.25">
      <c r="A14137" t="str">
        <f>HYPERLINK("https://www.773grp.com/globalSearch/TLV2455IN/page-1", "TLV2455IN")</f>
        <v>TLV2455IN</v>
      </c>
      <c r="B14137" s="3" t="s">
        <v>90</v>
      </c>
      <c r="C14137" s="5">
        <v>11900</v>
      </c>
      <c r="D14137" s="6">
        <v>4.2300000000000004</v>
      </c>
      <c r="E14137" t="s">
        <v>11</v>
      </c>
    </row>
    <row r="14138" spans="1:5" x14ac:dyDescent="0.25">
      <c r="A14138" t="str">
        <f>HYPERLINK("https://www.773grp.com/globalSearch/TLV2455IPW/page-1", "TLV2455IPW")</f>
        <v>TLV2455IPW</v>
      </c>
      <c r="B14138" s="3" t="s">
        <v>90</v>
      </c>
      <c r="C14138" s="5">
        <v>10395</v>
      </c>
      <c r="D14138" s="6">
        <v>4.2300000000000004</v>
      </c>
      <c r="E14138" t="s">
        <v>11</v>
      </c>
    </row>
    <row r="14139" spans="1:5" x14ac:dyDescent="0.25">
      <c r="A14139" t="str">
        <f>HYPERLINK("https://www.773grp.com/globalSearch/TLV2474AIDR/page-1", "TLV2474AIDR")</f>
        <v>TLV2474AIDR</v>
      </c>
      <c r="B14139" s="3" t="s">
        <v>90</v>
      </c>
      <c r="C14139" s="5">
        <v>2200</v>
      </c>
      <c r="D14139" s="6">
        <v>4.2300000000000004</v>
      </c>
      <c r="E14139" t="s">
        <v>11</v>
      </c>
    </row>
    <row r="14140" spans="1:5" x14ac:dyDescent="0.25">
      <c r="A14140" t="str">
        <f>HYPERLINK("https://www.773grp.com/globalSearch/TLV2474AIPWR/page-1", "TLV2474AIPWR")</f>
        <v>TLV2474AIPWR</v>
      </c>
      <c r="B14140" s="3" t="s">
        <v>90</v>
      </c>
      <c r="C14140" s="5">
        <v>1800</v>
      </c>
      <c r="D14140" s="6">
        <v>4.2300000000000004</v>
      </c>
      <c r="E14140" t="s">
        <v>11</v>
      </c>
    </row>
    <row r="14141" spans="1:5" x14ac:dyDescent="0.25">
      <c r="A14141" t="str">
        <f>HYPERLINK("https://www.773grp.com/globalSearch/TLV2475CPWPR/page-1", "TLV2475CPWPR")</f>
        <v>TLV2475CPWPR</v>
      </c>
      <c r="B14141" s="3" t="s">
        <v>90</v>
      </c>
      <c r="C14141" s="5">
        <v>8000</v>
      </c>
      <c r="D14141" s="6">
        <v>4.2300000000000004</v>
      </c>
      <c r="E14141" t="s">
        <v>11</v>
      </c>
    </row>
    <row r="14142" spans="1:5" x14ac:dyDescent="0.25">
      <c r="A14142" t="str">
        <f>HYPERLINK("https://www.773grp.com/globalSearch/TLV2475IDR/page-1", "TLV2475IDR")</f>
        <v>TLV2475IDR</v>
      </c>
      <c r="B14142" s="3" t="s">
        <v>90</v>
      </c>
      <c r="C14142" s="5">
        <v>7500</v>
      </c>
      <c r="D14142" s="6">
        <v>4.2300000000000004</v>
      </c>
      <c r="E14142" t="s">
        <v>11</v>
      </c>
    </row>
    <row r="14143" spans="1:5" x14ac:dyDescent="0.25">
      <c r="A14143" t="str">
        <f>HYPERLINK("https://www.773grp.com/globalSearch/TLV2765CDR/page-1", "TLV2765CDR")</f>
        <v>TLV2765CDR</v>
      </c>
      <c r="B14143" s="3" t="s">
        <v>90</v>
      </c>
      <c r="C14143" s="5">
        <v>10000</v>
      </c>
      <c r="D14143" s="6">
        <v>4.2300000000000004</v>
      </c>
      <c r="E14143" t="s">
        <v>11</v>
      </c>
    </row>
    <row r="14144" spans="1:5" x14ac:dyDescent="0.25">
      <c r="A14144" t="str">
        <f>HYPERLINK("https://www.773grp.com/globalSearch/TLV2773CDGS/page-1", "TLV2773CDGS")</f>
        <v>TLV2773CDGS</v>
      </c>
      <c r="B14144" s="3" t="s">
        <v>90</v>
      </c>
      <c r="C14144" s="5">
        <v>11533</v>
      </c>
      <c r="D14144" s="6">
        <v>4.2300000000000004</v>
      </c>
      <c r="E14144" t="s">
        <v>11</v>
      </c>
    </row>
    <row r="14145" spans="1:5" x14ac:dyDescent="0.25">
      <c r="A14145" t="str">
        <f>HYPERLINK("https://www.773grp.com/globalSearch/TLV2774ID/page-1", "TLV2774ID")</f>
        <v>TLV2774ID</v>
      </c>
      <c r="B14145" s="3" t="s">
        <v>90</v>
      </c>
      <c r="C14145" s="5">
        <v>1975</v>
      </c>
      <c r="D14145" s="6">
        <v>4.2300000000000004</v>
      </c>
      <c r="E14145" t="s">
        <v>11</v>
      </c>
    </row>
    <row r="14146" spans="1:5" x14ac:dyDescent="0.25">
      <c r="A14146" t="str">
        <f>HYPERLINK("https://www.773grp.com/globalSearch/TLV2774IPW/page-1", "TLV2774IPW")</f>
        <v>TLV2774IPW</v>
      </c>
      <c r="B14146" s="3" t="s">
        <v>90</v>
      </c>
      <c r="C14146" s="5">
        <v>5332</v>
      </c>
      <c r="D14146" s="6">
        <v>4.2300000000000004</v>
      </c>
      <c r="E14146" t="s">
        <v>11</v>
      </c>
    </row>
    <row r="14147" spans="1:5" x14ac:dyDescent="0.25">
      <c r="A14147" t="str">
        <f>HYPERLINK("https://www.773grp.com/globalSearch/TLV2775CN/page-1", "TLV2775CN")</f>
        <v>TLV2775CN</v>
      </c>
      <c r="B14147" s="3" t="s">
        <v>90</v>
      </c>
      <c r="C14147" s="5">
        <v>13181</v>
      </c>
      <c r="D14147" s="6">
        <v>4.2300000000000004</v>
      </c>
      <c r="E14147" t="s">
        <v>11</v>
      </c>
    </row>
    <row r="14148" spans="1:5" x14ac:dyDescent="0.25">
      <c r="A14148" t="str">
        <f>HYPERLINK("https://www.773grp.com/globalSearch/TLV2783IDGS/page-1", "TLV2783IDGS")</f>
        <v>TLV2783IDGS</v>
      </c>
      <c r="B14148" s="3" t="s">
        <v>90</v>
      </c>
      <c r="C14148" s="5">
        <v>8265</v>
      </c>
      <c r="D14148" s="6">
        <v>4.2300000000000004</v>
      </c>
      <c r="E14148" t="s">
        <v>11</v>
      </c>
    </row>
    <row r="14149" spans="1:5" x14ac:dyDescent="0.25">
      <c r="A14149" t="str">
        <f>HYPERLINK("https://www.773grp.com/globalSearch/TLC085CD/page-1", "TLC085CD")</f>
        <v>TLC085CD</v>
      </c>
      <c r="B14149" s="3" t="s">
        <v>90</v>
      </c>
      <c r="C14149" s="5">
        <v>8657</v>
      </c>
      <c r="D14149" s="6">
        <v>4.25</v>
      </c>
      <c r="E14149" t="s">
        <v>11</v>
      </c>
    </row>
    <row r="14150" spans="1:5" x14ac:dyDescent="0.25">
      <c r="A14150" t="str">
        <f>HYPERLINK("https://www.773grp.com/globalSearch/OPA131UJ/page-1", "OPA131UJ")</f>
        <v>OPA131UJ</v>
      </c>
      <c r="B14150" s="3" t="s">
        <v>90</v>
      </c>
      <c r="C14150" s="5">
        <v>700</v>
      </c>
      <c r="D14150" s="6">
        <v>4.74</v>
      </c>
      <c r="E14150" t="s">
        <v>11</v>
      </c>
    </row>
    <row r="14151" spans="1:5" x14ac:dyDescent="0.25">
      <c r="A14151" t="str">
        <f>HYPERLINK("https://www.773grp.com/globalSearch/OPA131UJ/page-1", "OPA131UJ")</f>
        <v>OPA131UJ</v>
      </c>
      <c r="B14151" s="3" t="s">
        <v>90</v>
      </c>
      <c r="C14151" s="5">
        <v>1950</v>
      </c>
      <c r="D14151" s="6">
        <v>4.74</v>
      </c>
      <c r="E14151" t="s">
        <v>11</v>
      </c>
    </row>
    <row r="14152" spans="1:5" x14ac:dyDescent="0.25">
      <c r="A14152" t="str">
        <f>HYPERLINK("https://www.773grp.com/globalSearch/OPA131UJ/page-1", "OPA131UJ")</f>
        <v>OPA131UJ</v>
      </c>
      <c r="B14152" s="3" t="s">
        <v>90</v>
      </c>
      <c r="C14152" s="5">
        <v>6975</v>
      </c>
      <c r="D14152" s="6">
        <v>4.74</v>
      </c>
      <c r="E14152" t="s">
        <v>11</v>
      </c>
    </row>
    <row r="14153" spans="1:5" x14ac:dyDescent="0.25">
      <c r="A14153" t="str">
        <f>HYPERLINK("https://www.773grp.com/globalSearch/OPA131UJ/page-1", "OPA131UJ")</f>
        <v>OPA131UJ</v>
      </c>
      <c r="B14153" s="3" t="s">
        <v>90</v>
      </c>
      <c r="C14153" s="5">
        <v>150</v>
      </c>
      <c r="D14153" s="6">
        <v>4.74</v>
      </c>
      <c r="E14153" t="s">
        <v>11</v>
      </c>
    </row>
    <row r="14154" spans="1:5" x14ac:dyDescent="0.25">
      <c r="A14154" t="str">
        <f>HYPERLINK("https://www.773grp.com/globalSearch/OPA131UJ/page-1", "OPA131UJ")</f>
        <v>OPA131UJ</v>
      </c>
      <c r="B14154" s="3" t="s">
        <v>90</v>
      </c>
      <c r="C14154" s="5">
        <v>4275</v>
      </c>
      <c r="D14154" s="6">
        <v>4.74</v>
      </c>
      <c r="E14154" t="s">
        <v>11</v>
      </c>
    </row>
    <row r="14155" spans="1:5" x14ac:dyDescent="0.25">
      <c r="A14155" t="str">
        <f>HYPERLINK("https://www.773grp.com/globalSearch/OPA2237EA/page-1", "OPA2237EA")</f>
        <v>OPA2237EA</v>
      </c>
      <c r="B14155" s="3" t="s">
        <v>90</v>
      </c>
      <c r="C14155" s="5">
        <v>1</v>
      </c>
      <c r="D14155" s="6">
        <v>4.74</v>
      </c>
      <c r="E14155" t="s">
        <v>11</v>
      </c>
    </row>
    <row r="14156" spans="1:5" x14ac:dyDescent="0.25">
      <c r="A14156" t="str">
        <f>HYPERLINK("https://www.773grp.com/globalSearch/OPA2344PA/page-1", "OPA2344PA")</f>
        <v>OPA2344PA</v>
      </c>
      <c r="B14156" s="3" t="s">
        <v>90</v>
      </c>
      <c r="C14156" s="5">
        <v>4370</v>
      </c>
      <c r="D14156" s="6">
        <v>4.74</v>
      </c>
      <c r="E14156" t="s">
        <v>11</v>
      </c>
    </row>
    <row r="14157" spans="1:5" x14ac:dyDescent="0.25">
      <c r="A14157" t="str">
        <f>HYPERLINK("https://www.773grp.com/globalSearch/OPA2345EA-250/page-1", "OPA2345EA-250")</f>
        <v>OPA2345EA-250</v>
      </c>
      <c r="B14157" s="3" t="s">
        <v>90</v>
      </c>
      <c r="C14157" s="5">
        <v>12150</v>
      </c>
      <c r="D14157" s="6">
        <v>4.74</v>
      </c>
      <c r="E14157" t="s">
        <v>11</v>
      </c>
    </row>
    <row r="14158" spans="1:5" x14ac:dyDescent="0.25">
      <c r="A14158" t="str">
        <f>HYPERLINK("https://www.773grp.com/globalSearch/OPA2345UA/page-1", "OPA2345UA")</f>
        <v>OPA2345UA</v>
      </c>
      <c r="B14158" s="3" t="s">
        <v>90</v>
      </c>
      <c r="C14158" s="5">
        <v>158</v>
      </c>
      <c r="D14158" s="6">
        <v>4.74</v>
      </c>
      <c r="E14158" t="s">
        <v>11</v>
      </c>
    </row>
    <row r="14159" spans="1:5" x14ac:dyDescent="0.25">
      <c r="A14159" t="str">
        <f>HYPERLINK("https://www.773grp.com/globalSearch/OPA2345UA/page-1", "OPA2345UA")</f>
        <v>OPA2345UA</v>
      </c>
      <c r="B14159" s="3" t="s">
        <v>90</v>
      </c>
      <c r="C14159" s="5">
        <v>2109</v>
      </c>
      <c r="D14159" s="6">
        <v>4.74</v>
      </c>
      <c r="E14159" t="s">
        <v>11</v>
      </c>
    </row>
    <row r="14160" spans="1:5" x14ac:dyDescent="0.25">
      <c r="A14160" t="str">
        <f>HYPERLINK("https://www.773grp.com/globalSearch/OPA2345UA/page-1", "OPA2345UA")</f>
        <v>OPA2345UA</v>
      </c>
      <c r="B14160" s="3" t="s">
        <v>90</v>
      </c>
      <c r="C14160" s="5">
        <v>210</v>
      </c>
      <c r="D14160" s="6">
        <v>4.74</v>
      </c>
      <c r="E14160" t="s">
        <v>11</v>
      </c>
    </row>
    <row r="14161" spans="1:5" x14ac:dyDescent="0.25">
      <c r="A14161" t="str">
        <f>HYPERLINK("https://www.773grp.com/globalSearch/OPA2369AIDGKR/page-1", "OPA2369AIDGKR")</f>
        <v>OPA2369AIDGKR</v>
      </c>
      <c r="B14161" s="3" t="s">
        <v>90</v>
      </c>
      <c r="C14161" s="5">
        <v>4737</v>
      </c>
      <c r="D14161" s="6">
        <v>4.74</v>
      </c>
      <c r="E14161" t="s">
        <v>11</v>
      </c>
    </row>
    <row r="14162" spans="1:5" x14ac:dyDescent="0.25">
      <c r="A14162" t="str">
        <f>HYPERLINK("https://www.773grp.com/globalSearch/OPA300AIDBVTG4/page-1", "OPA300AIDBVTG4")</f>
        <v>OPA300AIDBVTG4</v>
      </c>
      <c r="B14162" s="3" t="s">
        <v>90</v>
      </c>
      <c r="C14162" s="5">
        <v>2</v>
      </c>
      <c r="D14162" s="6">
        <v>4.74</v>
      </c>
      <c r="E14162" t="s">
        <v>11</v>
      </c>
    </row>
    <row r="14163" spans="1:5" x14ac:dyDescent="0.25">
      <c r="A14163" t="str">
        <f>HYPERLINK("https://www.773grp.com/globalSearch/OPA725AIDR/page-1", "OPA725AIDR")</f>
        <v>OPA725AIDR</v>
      </c>
      <c r="B14163" s="3" t="s">
        <v>90</v>
      </c>
      <c r="C14163" s="5">
        <v>7500</v>
      </c>
      <c r="D14163" s="6">
        <v>4.74</v>
      </c>
      <c r="E14163" t="s">
        <v>11</v>
      </c>
    </row>
    <row r="14164" spans="1:5" x14ac:dyDescent="0.25">
      <c r="A14164" t="str">
        <f>HYPERLINK("https://www.773grp.com/globalSearch/TLC082AID/page-1", "TLC082AID")</f>
        <v>TLC082AID</v>
      </c>
      <c r="B14164" s="3" t="s">
        <v>90</v>
      </c>
      <c r="C14164" s="5">
        <v>15239</v>
      </c>
      <c r="D14164" s="6">
        <v>4.74</v>
      </c>
      <c r="E14164" t="s">
        <v>11</v>
      </c>
    </row>
    <row r="14165" spans="1:5" x14ac:dyDescent="0.25">
      <c r="A14165" t="str">
        <f>HYPERLINK("https://www.773grp.com/globalSearch/TLC2254AIN/page-1", "TLC2254AIN")</f>
        <v>TLC2254AIN</v>
      </c>
      <c r="B14165" s="3" t="s">
        <v>90</v>
      </c>
      <c r="C14165" s="5">
        <v>16925</v>
      </c>
      <c r="D14165" s="6">
        <v>4.74</v>
      </c>
      <c r="E14165" t="s">
        <v>11</v>
      </c>
    </row>
    <row r="14166" spans="1:5" x14ac:dyDescent="0.25">
      <c r="A14166" t="str">
        <f>HYPERLINK("https://www.773grp.com/globalSearch/TLC2264AIN/page-1", "TLC2264AIN")</f>
        <v>TLC2264AIN</v>
      </c>
      <c r="B14166" s="3" t="s">
        <v>90</v>
      </c>
      <c r="C14166" s="5">
        <v>25422</v>
      </c>
      <c r="D14166" s="6">
        <v>4.74</v>
      </c>
      <c r="E14166" t="s">
        <v>11</v>
      </c>
    </row>
    <row r="14167" spans="1:5" x14ac:dyDescent="0.25">
      <c r="A14167" t="str">
        <f>HYPERLINK("https://www.773grp.com/globalSearch/TLC2264AIN/page-1", "TLC2264AIN")</f>
        <v>TLC2264AIN</v>
      </c>
      <c r="B14167" s="3" t="s">
        <v>90</v>
      </c>
      <c r="C14167" s="5">
        <v>3655</v>
      </c>
      <c r="D14167" s="6">
        <v>4.74</v>
      </c>
      <c r="E14167" t="s">
        <v>11</v>
      </c>
    </row>
    <row r="14168" spans="1:5" x14ac:dyDescent="0.25">
      <c r="A14168" t="str">
        <f>HYPERLINK("https://www.773grp.com/globalSearch/TLC2264AQPWRQ1/page-1", "TLC2264AQPWRQ1")</f>
        <v>TLC2264AQPWRQ1</v>
      </c>
      <c r="B14168" s="3" t="s">
        <v>90</v>
      </c>
      <c r="C14168" s="5">
        <v>2000</v>
      </c>
      <c r="D14168" s="6">
        <v>4.74</v>
      </c>
      <c r="E14168" t="s">
        <v>11</v>
      </c>
    </row>
    <row r="14169" spans="1:5" x14ac:dyDescent="0.25">
      <c r="A14169" t="str">
        <f>HYPERLINK("https://www.773grp.com/globalSearch/TLC2272AID/page-1", "TLC2272AID")</f>
        <v>TLC2272AID</v>
      </c>
      <c r="B14169" s="3" t="s">
        <v>90</v>
      </c>
      <c r="C14169" s="5">
        <v>36</v>
      </c>
      <c r="D14169" s="6">
        <v>4.74</v>
      </c>
      <c r="E14169" t="s">
        <v>11</v>
      </c>
    </row>
    <row r="14170" spans="1:5" x14ac:dyDescent="0.25">
      <c r="A14170" t="str">
        <f>HYPERLINK("https://www.773grp.com/globalSearch/TLC2272AIDG4/page-1", "TLC2272AIDG4")</f>
        <v>TLC2272AIDG4</v>
      </c>
      <c r="B14170" s="3" t="s">
        <v>90</v>
      </c>
      <c r="C14170" s="5">
        <v>38</v>
      </c>
      <c r="D14170" s="6">
        <v>4.74</v>
      </c>
      <c r="E14170" t="s">
        <v>11</v>
      </c>
    </row>
    <row r="14171" spans="1:5" x14ac:dyDescent="0.25">
      <c r="A14171" t="str">
        <f>HYPERLINK("https://www.773grp.com/globalSearch/TLC2272AQPWRQ1/page-1", "TLC2272AQPWRQ1")</f>
        <v>TLC2272AQPWRQ1</v>
      </c>
      <c r="B14171" s="3" t="s">
        <v>90</v>
      </c>
      <c r="C14171" s="5">
        <v>3165</v>
      </c>
      <c r="D14171" s="6">
        <v>4.74</v>
      </c>
      <c r="E14171" t="s">
        <v>11</v>
      </c>
    </row>
    <row r="14172" spans="1:5" x14ac:dyDescent="0.25">
      <c r="A14172" t="str">
        <f>HYPERLINK("https://www.773grp.com/globalSearch/TLC2274ID/page-1", "TLC2274ID")</f>
        <v>TLC2274ID</v>
      </c>
      <c r="B14172" s="3" t="s">
        <v>90</v>
      </c>
      <c r="C14172" s="5">
        <v>2204</v>
      </c>
      <c r="D14172" s="6">
        <v>4.74</v>
      </c>
      <c r="E14172" t="s">
        <v>11</v>
      </c>
    </row>
    <row r="14173" spans="1:5" x14ac:dyDescent="0.25">
      <c r="A14173" t="str">
        <f>HYPERLINK("https://www.773grp.com/globalSearch/TLC2274IPW/page-1", "TLC2274IPW")</f>
        <v>TLC2274IPW</v>
      </c>
      <c r="B14173" s="3" t="s">
        <v>90</v>
      </c>
      <c r="C14173" s="5">
        <v>810</v>
      </c>
      <c r="D14173" s="6">
        <v>4.74</v>
      </c>
      <c r="E14173" t="s">
        <v>11</v>
      </c>
    </row>
    <row r="14174" spans="1:5" x14ac:dyDescent="0.25">
      <c r="A14174" t="str">
        <f>HYPERLINK("https://www.773grp.com/globalSearch/TLC277CD/page-1", "TLC277CD")</f>
        <v>TLC277CD</v>
      </c>
      <c r="B14174" s="3" t="s">
        <v>90</v>
      </c>
      <c r="C14174" s="5">
        <v>97</v>
      </c>
      <c r="D14174" s="6">
        <v>4.74</v>
      </c>
      <c r="E14174" t="s">
        <v>11</v>
      </c>
    </row>
    <row r="14175" spans="1:5" x14ac:dyDescent="0.25">
      <c r="A14175" t="str">
        <f>HYPERLINK("https://www.773grp.com/globalSearch/TLC277CP/page-1", "TLC277CP")</f>
        <v>TLC277CP</v>
      </c>
      <c r="B14175" s="3" t="s">
        <v>90</v>
      </c>
      <c r="C14175" s="5">
        <v>375</v>
      </c>
      <c r="D14175" s="6">
        <v>4.74</v>
      </c>
      <c r="E14175" t="s">
        <v>11</v>
      </c>
    </row>
    <row r="14176" spans="1:5" x14ac:dyDescent="0.25">
      <c r="A14176" t="str">
        <f>HYPERLINK("https://www.773grp.com/globalSearch/TLC277CP/page-1", "TLC277CP")</f>
        <v>TLC277CP</v>
      </c>
      <c r="B14176" s="3" t="s">
        <v>90</v>
      </c>
      <c r="C14176" s="5">
        <v>150637</v>
      </c>
      <c r="D14176" s="6">
        <v>4.74</v>
      </c>
      <c r="E14176" t="s">
        <v>11</v>
      </c>
    </row>
    <row r="14177" spans="1:5" x14ac:dyDescent="0.25">
      <c r="A14177" t="str">
        <f>HYPERLINK("https://www.773grp.com/globalSearch/TLC277CPS/page-1", "TLC277CPS")</f>
        <v>TLC277CPS</v>
      </c>
      <c r="B14177" s="3" t="s">
        <v>90</v>
      </c>
      <c r="C14177" s="5">
        <v>70</v>
      </c>
      <c r="D14177" s="6">
        <v>4.74</v>
      </c>
      <c r="E14177" t="s">
        <v>11</v>
      </c>
    </row>
    <row r="14178" spans="1:5" x14ac:dyDescent="0.25">
      <c r="A14178" t="str">
        <f>HYPERLINK("https://www.773grp.com/globalSearch/TLC277IP/page-1", "TLC277IP")</f>
        <v>TLC277IP</v>
      </c>
      <c r="B14178" s="3" t="s">
        <v>90</v>
      </c>
      <c r="C14178" s="5">
        <v>5910</v>
      </c>
      <c r="D14178" s="6">
        <v>4.74</v>
      </c>
      <c r="E14178" t="s">
        <v>11</v>
      </c>
    </row>
    <row r="14179" spans="1:5" x14ac:dyDescent="0.25">
      <c r="A14179" t="str">
        <f>HYPERLINK("https://www.773grp.com/globalSearch/TLC27L7CP/page-1", "TLC27L7CP")</f>
        <v>TLC27L7CP</v>
      </c>
      <c r="B14179" s="3" t="s">
        <v>90</v>
      </c>
      <c r="C14179" s="5">
        <v>2207</v>
      </c>
      <c r="D14179" s="6">
        <v>4.74</v>
      </c>
      <c r="E14179" t="s">
        <v>11</v>
      </c>
    </row>
    <row r="14180" spans="1:5" x14ac:dyDescent="0.25">
      <c r="A14180" t="str">
        <f>HYPERLINK("https://www.773grp.com/globalSearch/TLC27L7IP/page-1", "TLC27L7IP")</f>
        <v>TLC27L7IP</v>
      </c>
      <c r="B14180" s="3" t="s">
        <v>90</v>
      </c>
      <c r="C14180" s="5">
        <v>703</v>
      </c>
      <c r="D14180" s="6">
        <v>4.74</v>
      </c>
      <c r="E14180" t="s">
        <v>11</v>
      </c>
    </row>
    <row r="14181" spans="1:5" x14ac:dyDescent="0.25">
      <c r="A14181" t="str">
        <f>HYPERLINK("https://www.773grp.com/globalSearch/TLC27M7CD/page-1", "TLC27M7CD")</f>
        <v>TLC27M7CD</v>
      </c>
      <c r="B14181" s="3" t="s">
        <v>90</v>
      </c>
      <c r="C14181" s="5">
        <v>1595</v>
      </c>
      <c r="D14181" s="6">
        <v>4.74</v>
      </c>
      <c r="E14181" t="s">
        <v>11</v>
      </c>
    </row>
    <row r="14182" spans="1:5" x14ac:dyDescent="0.25">
      <c r="A14182" t="str">
        <f>HYPERLINK("https://www.773grp.com/globalSearch/TLC27M7CDG4/page-1", "TLC27M7CDG4")</f>
        <v>TLC27M7CDG4</v>
      </c>
      <c r="B14182" s="3" t="s">
        <v>90</v>
      </c>
      <c r="C14182" s="5">
        <v>400</v>
      </c>
      <c r="D14182" s="6">
        <v>4.74</v>
      </c>
      <c r="E14182" t="s">
        <v>11</v>
      </c>
    </row>
    <row r="14183" spans="1:5" x14ac:dyDescent="0.25">
      <c r="A14183" t="str">
        <f>HYPERLINK("https://www.773grp.com/globalSearch/TLC27M7CP/page-1", "TLC27M7CP")</f>
        <v>TLC27M7CP</v>
      </c>
      <c r="B14183" s="3" t="s">
        <v>90</v>
      </c>
      <c r="C14183" s="5">
        <v>21249</v>
      </c>
      <c r="D14183" s="6">
        <v>4.74</v>
      </c>
      <c r="E14183" t="s">
        <v>11</v>
      </c>
    </row>
    <row r="14184" spans="1:5" x14ac:dyDescent="0.25">
      <c r="A14184" t="str">
        <f>HYPERLINK("https://www.773grp.com/globalSearch/TLC27M7IP/page-1", "TLC27M7IP")</f>
        <v>TLC27M7IP</v>
      </c>
      <c r="B14184" s="3" t="s">
        <v>90</v>
      </c>
      <c r="C14184" s="5">
        <v>5365</v>
      </c>
      <c r="D14184" s="6">
        <v>4.74</v>
      </c>
      <c r="E14184" t="s">
        <v>11</v>
      </c>
    </row>
    <row r="14185" spans="1:5" x14ac:dyDescent="0.25">
      <c r="A14185" t="str">
        <f>HYPERLINK("https://www.773grp.com/globalSearch/TLE2022CD/page-1", "TLE2022CD")</f>
        <v>TLE2022CD</v>
      </c>
      <c r="B14185" s="3" t="s">
        <v>90</v>
      </c>
      <c r="C14185" s="5">
        <v>225</v>
      </c>
      <c r="D14185" s="6">
        <v>4.74</v>
      </c>
      <c r="E14185" t="s">
        <v>11</v>
      </c>
    </row>
    <row r="14186" spans="1:5" x14ac:dyDescent="0.25">
      <c r="A14186" t="str">
        <f>HYPERLINK("https://www.773grp.com/globalSearch/TLE2022IP/page-1", "TLE2022IP")</f>
        <v>TLE2022IP</v>
      </c>
      <c r="B14186" s="3" t="s">
        <v>90</v>
      </c>
      <c r="C14186" s="5">
        <v>1133</v>
      </c>
      <c r="D14186" s="6">
        <v>4.74</v>
      </c>
      <c r="E14186" t="s">
        <v>11</v>
      </c>
    </row>
    <row r="14187" spans="1:5" x14ac:dyDescent="0.25">
      <c r="A14187" t="str">
        <f>HYPERLINK("https://www.773grp.com/globalSearch/TLE2071AID/page-1", "TLE2071AID")</f>
        <v>TLE2071AID</v>
      </c>
      <c r="B14187" s="3" t="s">
        <v>90</v>
      </c>
      <c r="C14187" s="5">
        <v>667</v>
      </c>
      <c r="D14187" s="6">
        <v>4.74</v>
      </c>
      <c r="E14187" t="s">
        <v>11</v>
      </c>
    </row>
    <row r="14188" spans="1:5" x14ac:dyDescent="0.25">
      <c r="A14188" t="str">
        <f>HYPERLINK("https://www.773grp.com/globalSearch/TLV2242IDGKR/page-1", "TLV2242IDGKR")</f>
        <v>TLV2242IDGKR</v>
      </c>
      <c r="B14188" s="3" t="s">
        <v>90</v>
      </c>
      <c r="C14188" s="5">
        <v>8000</v>
      </c>
      <c r="D14188" s="6">
        <v>4.74</v>
      </c>
      <c r="E14188" t="s">
        <v>11</v>
      </c>
    </row>
    <row r="14189" spans="1:5" x14ac:dyDescent="0.25">
      <c r="A14189" t="str">
        <f>HYPERLINK("https://www.773grp.com/globalSearch/TLV2242IDR/page-1", "TLV2242IDR")</f>
        <v>TLV2242IDR</v>
      </c>
      <c r="B14189" s="3" t="s">
        <v>90</v>
      </c>
      <c r="C14189" s="5">
        <v>2500</v>
      </c>
      <c r="D14189" s="6">
        <v>4.74</v>
      </c>
      <c r="E14189" t="s">
        <v>11</v>
      </c>
    </row>
    <row r="14190" spans="1:5" x14ac:dyDescent="0.25">
      <c r="A14190" t="str">
        <f>HYPERLINK("https://www.773grp.com/globalSearch/TLV2262AQD/page-1", "TLV2262AQD")</f>
        <v>TLV2262AQD</v>
      </c>
      <c r="B14190" s="3" t="s">
        <v>90</v>
      </c>
      <c r="C14190" s="5">
        <v>6167</v>
      </c>
      <c r="D14190" s="6">
        <v>4.74</v>
      </c>
      <c r="E14190" t="s">
        <v>11</v>
      </c>
    </row>
    <row r="14191" spans="1:5" x14ac:dyDescent="0.25">
      <c r="A14191" t="str">
        <f>HYPERLINK("https://www.773grp.com/globalSearch/TLV2422CDR/page-1", "TLV2422CDR")</f>
        <v>TLV2422CDR</v>
      </c>
      <c r="B14191" s="3" t="s">
        <v>90</v>
      </c>
      <c r="C14191" s="5">
        <v>24975</v>
      </c>
      <c r="D14191" s="6">
        <v>4.74</v>
      </c>
      <c r="E14191" t="s">
        <v>11</v>
      </c>
    </row>
    <row r="14192" spans="1:5" x14ac:dyDescent="0.25">
      <c r="A14192" t="str">
        <f>HYPERLINK("https://www.773grp.com/globalSearch/TLV2422CPWR/page-1", "TLV2422CPWR")</f>
        <v>TLV2422CPWR</v>
      </c>
      <c r="B14192" s="3" t="s">
        <v>90</v>
      </c>
      <c r="C14192" s="5">
        <v>2000</v>
      </c>
      <c r="D14192" s="6">
        <v>4.74</v>
      </c>
      <c r="E14192" t="s">
        <v>11</v>
      </c>
    </row>
    <row r="14193" spans="1:5" x14ac:dyDescent="0.25">
      <c r="A14193" t="str">
        <f>HYPERLINK("https://www.773grp.com/globalSearch/TLV2442AID/page-1", "TLV2442AID")</f>
        <v>TLV2442AID</v>
      </c>
      <c r="B14193" s="3" t="s">
        <v>90</v>
      </c>
      <c r="C14193" s="5">
        <v>270</v>
      </c>
      <c r="D14193" s="6">
        <v>4.74</v>
      </c>
      <c r="E14193" t="s">
        <v>11</v>
      </c>
    </row>
    <row r="14194" spans="1:5" x14ac:dyDescent="0.25">
      <c r="A14194" t="str">
        <f>HYPERLINK("https://www.773grp.com/globalSearch/TLV2442AIPW/page-1", "TLV2442AIPW")</f>
        <v>TLV2442AIPW</v>
      </c>
      <c r="B14194" s="3" t="s">
        <v>90</v>
      </c>
      <c r="C14194" s="5">
        <v>230</v>
      </c>
      <c r="D14194" s="6">
        <v>4.74</v>
      </c>
      <c r="E14194" t="s">
        <v>11</v>
      </c>
    </row>
    <row r="14195" spans="1:5" x14ac:dyDescent="0.25">
      <c r="A14195" t="str">
        <f>HYPERLINK("https://www.773grp.com/globalSearch/TLV2442AIPWG4/page-1", "TLV2442AIPWG4")</f>
        <v>TLV2442AIPWG4</v>
      </c>
      <c r="B14195" s="3" t="s">
        <v>90</v>
      </c>
      <c r="C14195" s="5">
        <v>385</v>
      </c>
      <c r="D14195" s="6">
        <v>4.74</v>
      </c>
      <c r="E14195" t="s">
        <v>11</v>
      </c>
    </row>
    <row r="14196" spans="1:5" x14ac:dyDescent="0.25">
      <c r="A14196" t="str">
        <f>HYPERLINK("https://www.773grp.com/globalSearch/TLV2451AIP/page-1", "TLV2451AIP")</f>
        <v>TLV2451AIP</v>
      </c>
      <c r="B14196" s="3" t="s">
        <v>90</v>
      </c>
      <c r="C14196" s="5">
        <v>38135</v>
      </c>
      <c r="D14196" s="6">
        <v>4.74</v>
      </c>
      <c r="E14196" t="s">
        <v>11</v>
      </c>
    </row>
    <row r="14197" spans="1:5" x14ac:dyDescent="0.25">
      <c r="A14197" t="str">
        <f>HYPERLINK("https://www.773grp.com/globalSearch/TLV2453CDGSR/page-1", "TLV2453CDGSR")</f>
        <v>TLV2453CDGSR</v>
      </c>
      <c r="B14197" s="3" t="s">
        <v>90</v>
      </c>
      <c r="C14197" s="5">
        <v>2500</v>
      </c>
      <c r="D14197" s="6">
        <v>4.74</v>
      </c>
      <c r="E14197" t="s">
        <v>11</v>
      </c>
    </row>
    <row r="14198" spans="1:5" x14ac:dyDescent="0.25">
      <c r="A14198" t="str">
        <f>HYPERLINK("https://www.773grp.com/globalSearch/TLV2453CN/page-1", "TLV2453CN")</f>
        <v>TLV2453CN</v>
      </c>
      <c r="B14198" s="3" t="s">
        <v>90</v>
      </c>
      <c r="C14198" s="5">
        <v>40675</v>
      </c>
      <c r="D14198" s="6">
        <v>4.74</v>
      </c>
      <c r="E14198" t="s">
        <v>11</v>
      </c>
    </row>
    <row r="14199" spans="1:5" x14ac:dyDescent="0.25">
      <c r="A14199" t="str">
        <f>HYPERLINK("https://www.773grp.com/globalSearch/TLV2461AIP/page-1", "TLV2461AIP")</f>
        <v>TLV2461AIP</v>
      </c>
      <c r="B14199" s="3" t="s">
        <v>90</v>
      </c>
      <c r="C14199" s="5">
        <v>37600</v>
      </c>
      <c r="D14199" s="6">
        <v>4.74</v>
      </c>
      <c r="E14199" t="s">
        <v>11</v>
      </c>
    </row>
    <row r="14200" spans="1:5" x14ac:dyDescent="0.25">
      <c r="A14200" t="str">
        <f>HYPERLINK("https://www.773grp.com/globalSearch/TLV2463CDGSR/page-1", "TLV2463CDGSR")</f>
        <v>TLV2463CDGSR</v>
      </c>
      <c r="B14200" s="3" t="s">
        <v>90</v>
      </c>
      <c r="C14200" s="5">
        <v>420000</v>
      </c>
      <c r="D14200" s="6">
        <v>4.74</v>
      </c>
      <c r="E14200" t="s">
        <v>11</v>
      </c>
    </row>
    <row r="14201" spans="1:5" x14ac:dyDescent="0.25">
      <c r="A14201" t="str">
        <f>HYPERLINK("https://www.773grp.com/globalSearch/TLV2473CDGQ/page-1", "TLV2473CDGQ")</f>
        <v>TLV2473CDGQ</v>
      </c>
      <c r="B14201" s="3" t="s">
        <v>90</v>
      </c>
      <c r="C14201" s="5">
        <v>8400</v>
      </c>
      <c r="D14201" s="6">
        <v>4.74</v>
      </c>
      <c r="E14201" t="s">
        <v>11</v>
      </c>
    </row>
    <row r="14202" spans="1:5" x14ac:dyDescent="0.25">
      <c r="A14202" t="str">
        <f>HYPERLINK("https://www.773grp.com/globalSearch/TLV2473CN/page-1", "TLV2473CN")</f>
        <v>TLV2473CN</v>
      </c>
      <c r="B14202" s="3" t="s">
        <v>90</v>
      </c>
      <c r="C14202" s="5">
        <v>5400</v>
      </c>
      <c r="D14202" s="6">
        <v>4.74</v>
      </c>
      <c r="E14202" t="s">
        <v>11</v>
      </c>
    </row>
    <row r="14203" spans="1:5" x14ac:dyDescent="0.25">
      <c r="A14203" t="str">
        <f>HYPERLINK("https://www.773grp.com/globalSearch/TLV2762IP/page-1", "TLV2762IP")</f>
        <v>TLV2762IP</v>
      </c>
      <c r="B14203" s="3" t="s">
        <v>90</v>
      </c>
      <c r="C14203" s="5">
        <v>12770</v>
      </c>
      <c r="D14203" s="6">
        <v>4.74</v>
      </c>
      <c r="E14203" t="s">
        <v>11</v>
      </c>
    </row>
    <row r="14204" spans="1:5" x14ac:dyDescent="0.25">
      <c r="A14204" t="str">
        <f>HYPERLINK("https://www.773grp.com/globalSearch/TLV2772CDGKR/page-1", "TLV2772CDGKR")</f>
        <v>TLV2772CDGKR</v>
      </c>
      <c r="B14204" s="3" t="s">
        <v>90</v>
      </c>
      <c r="C14204" s="5">
        <v>37500</v>
      </c>
      <c r="D14204" s="6">
        <v>4.74</v>
      </c>
      <c r="E14204" t="s">
        <v>11</v>
      </c>
    </row>
    <row r="14205" spans="1:5" x14ac:dyDescent="0.25">
      <c r="A14205" t="str">
        <f>HYPERLINK("https://www.773grp.com/globalSearch/TLV2772CDR/page-1", "TLV2772CDR")</f>
        <v>TLV2772CDR</v>
      </c>
      <c r="B14205" s="3" t="s">
        <v>90</v>
      </c>
      <c r="C14205" s="5">
        <v>2395</v>
      </c>
      <c r="D14205" s="6">
        <v>4.74</v>
      </c>
      <c r="E14205" t="s">
        <v>11</v>
      </c>
    </row>
    <row r="14206" spans="1:5" x14ac:dyDescent="0.25">
      <c r="A14206" t="str">
        <f>HYPERLINK("https://www.773grp.com/globalSearch/TLV2782CDGKR/page-1", "TLV2782CDGKR")</f>
        <v>TLV2782CDGKR</v>
      </c>
      <c r="B14206" s="3" t="s">
        <v>90</v>
      </c>
      <c r="C14206" s="5">
        <v>4000</v>
      </c>
      <c r="D14206" s="6">
        <v>4.74</v>
      </c>
      <c r="E14206" t="s">
        <v>11</v>
      </c>
    </row>
    <row r="14207" spans="1:5" x14ac:dyDescent="0.25">
      <c r="A14207" t="str">
        <f>HYPERLINK("https://www.773grp.com/globalSearch/TLV2782CDR/page-1", "TLV2782CDR")</f>
        <v>TLV2782CDR</v>
      </c>
      <c r="B14207" s="3" t="s">
        <v>90</v>
      </c>
      <c r="C14207" s="5">
        <v>2500</v>
      </c>
      <c r="D14207" s="6">
        <v>4.74</v>
      </c>
      <c r="E14207" t="s">
        <v>11</v>
      </c>
    </row>
    <row r="14208" spans="1:5" x14ac:dyDescent="0.25">
      <c r="A14208" t="str">
        <f>HYPERLINK("https://www.773grp.com/globalSearch/TLV4111IDGNR/page-1", "TLV4111IDGNR")</f>
        <v>TLV4111IDGNR</v>
      </c>
      <c r="B14208" s="3" t="s">
        <v>90</v>
      </c>
      <c r="C14208" s="5">
        <v>4500</v>
      </c>
      <c r="D14208" s="6">
        <v>4.74</v>
      </c>
      <c r="E14208" t="s">
        <v>11</v>
      </c>
    </row>
    <row r="14209" spans="1:5" x14ac:dyDescent="0.25">
      <c r="A14209" t="str">
        <f>HYPERLINK("https://www.773grp.com/globalSearch/TLV4111IDR/page-1", "TLV4111IDR")</f>
        <v>TLV4111IDR</v>
      </c>
      <c r="B14209" s="3" t="s">
        <v>90</v>
      </c>
      <c r="C14209" s="5">
        <v>105000</v>
      </c>
      <c r="D14209" s="6">
        <v>4.74</v>
      </c>
      <c r="E14209" t="s">
        <v>11</v>
      </c>
    </row>
    <row r="14210" spans="1:5" x14ac:dyDescent="0.25">
      <c r="A14210" t="str">
        <f>HYPERLINK("https://www.773grp.com/globalSearch/TLV4112CD/page-1", "TLV4112CD")</f>
        <v>TLV4112CD</v>
      </c>
      <c r="B14210" s="3" t="s">
        <v>90</v>
      </c>
      <c r="C14210" s="5">
        <v>7721</v>
      </c>
      <c r="D14210" s="6">
        <v>4.74</v>
      </c>
      <c r="E14210" t="s">
        <v>11</v>
      </c>
    </row>
    <row r="14211" spans="1:5" x14ac:dyDescent="0.25">
      <c r="A14211" t="str">
        <f>HYPERLINK("https://www.773grp.com/globalSearch/TLV4112CDGN/page-1", "TLV4112CDGN")</f>
        <v>TLV4112CDGN</v>
      </c>
      <c r="B14211" s="3" t="s">
        <v>90</v>
      </c>
      <c r="C14211" s="5">
        <v>5360</v>
      </c>
      <c r="D14211" s="6">
        <v>4.74</v>
      </c>
      <c r="E14211" t="s">
        <v>11</v>
      </c>
    </row>
    <row r="14212" spans="1:5" x14ac:dyDescent="0.25">
      <c r="A14212" t="str">
        <f>HYPERLINK("https://www.773grp.com/globalSearch/TLV4112CDGNR/page-1", "TLV4112CDGNR")</f>
        <v>TLV4112CDGNR</v>
      </c>
      <c r="B14212" s="3" t="s">
        <v>90</v>
      </c>
      <c r="C14212" s="5">
        <v>2280</v>
      </c>
      <c r="D14212" s="6">
        <v>4.74</v>
      </c>
      <c r="E14212" t="s">
        <v>11</v>
      </c>
    </row>
    <row r="14213" spans="1:5" x14ac:dyDescent="0.25">
      <c r="A14213" t="str">
        <f>HYPERLINK("https://www.773grp.com/globalSearch/TLV4112CDR/page-1", "TLV4112CDR")</f>
        <v>TLV4112CDR</v>
      </c>
      <c r="B14213" s="3" t="s">
        <v>90</v>
      </c>
      <c r="C14213" s="5">
        <v>2500</v>
      </c>
      <c r="D14213" s="6">
        <v>4.74</v>
      </c>
      <c r="E14213" t="s">
        <v>11</v>
      </c>
    </row>
    <row r="14214" spans="1:5" x14ac:dyDescent="0.25">
      <c r="A14214" t="str">
        <f>HYPERLINK("https://www.773grp.com/globalSearch/TLC2272QD/page-1", "TLC2272QD")</f>
        <v>TLC2272QD</v>
      </c>
      <c r="B14214" s="3" t="s">
        <v>90</v>
      </c>
      <c r="C14214" s="5">
        <v>12700</v>
      </c>
      <c r="D14214" s="6">
        <v>4.79</v>
      </c>
      <c r="E14214" t="s">
        <v>11</v>
      </c>
    </row>
    <row r="14215" spans="1:5" x14ac:dyDescent="0.25">
      <c r="A14215" t="str">
        <f>HYPERLINK("https://www.773grp.com/globalSearch/TLC2272QDG4/page-1", "TLC2272QDG4")</f>
        <v>TLC2272QDG4</v>
      </c>
      <c r="B14215" s="3" t="s">
        <v>90</v>
      </c>
      <c r="C14215" s="5">
        <v>7875</v>
      </c>
      <c r="D14215" s="6">
        <v>4.79</v>
      </c>
      <c r="E14215" t="s">
        <v>11</v>
      </c>
    </row>
    <row r="14216" spans="1:5" x14ac:dyDescent="0.25">
      <c r="A14216" t="str">
        <f>HYPERLINK("https://www.773grp.com/globalSearch/TLC2274ACN/page-1", "TLC2274ACN")</f>
        <v>TLC2274ACN</v>
      </c>
      <c r="B14216" s="3" t="s">
        <v>90</v>
      </c>
      <c r="C14216" s="5">
        <v>725</v>
      </c>
      <c r="D14216" s="6">
        <v>4.79</v>
      </c>
      <c r="E14216" t="s">
        <v>11</v>
      </c>
    </row>
    <row r="14217" spans="1:5" x14ac:dyDescent="0.25">
      <c r="A14217" t="str">
        <f>HYPERLINK("https://www.773grp.com/globalSearch/TLE2081AID/page-1", "TLE2081AID")</f>
        <v>TLE2081AID</v>
      </c>
      <c r="B14217" s="3" t="s">
        <v>90</v>
      </c>
      <c r="C14217" s="5">
        <v>5806</v>
      </c>
      <c r="D14217" s="6">
        <v>4.79</v>
      </c>
      <c r="E14217" t="s">
        <v>11</v>
      </c>
    </row>
    <row r="14218" spans="1:5" x14ac:dyDescent="0.25">
      <c r="A14218" t="str">
        <f>HYPERLINK("https://www.773grp.com/globalSearch/TLE2161AIDR/page-1", "TLE2161AIDR")</f>
        <v>TLE2161AIDR</v>
      </c>
      <c r="B14218" s="3" t="s">
        <v>90</v>
      </c>
      <c r="C14218" s="5">
        <v>65000</v>
      </c>
      <c r="D14218" s="6">
        <v>4.79</v>
      </c>
      <c r="E14218" t="s">
        <v>11</v>
      </c>
    </row>
    <row r="14219" spans="1:5" x14ac:dyDescent="0.25">
      <c r="A14219" t="str">
        <f>HYPERLINK("https://www.773grp.com/globalSearch/OPA683ID/page-1", "OPA683ID")</f>
        <v>OPA683ID</v>
      </c>
      <c r="B14219" s="3" t="s">
        <v>90</v>
      </c>
      <c r="C14219" s="5">
        <v>54060</v>
      </c>
      <c r="D14219" s="6">
        <v>4.3499999999999996</v>
      </c>
      <c r="E14219" t="s">
        <v>11</v>
      </c>
    </row>
    <row r="14220" spans="1:5" x14ac:dyDescent="0.25">
      <c r="A14220" t="str">
        <f>HYPERLINK("https://www.773grp.com/globalSearch/OPA704UA/page-1", "OPA704UA")</f>
        <v>OPA704UA</v>
      </c>
      <c r="B14220" s="3" t="s">
        <v>90</v>
      </c>
      <c r="C14220" s="5">
        <v>9784</v>
      </c>
      <c r="D14220" s="6">
        <v>4.3499999999999996</v>
      </c>
      <c r="E14220" t="s">
        <v>11</v>
      </c>
    </row>
    <row r="14221" spans="1:5" x14ac:dyDescent="0.25">
      <c r="A14221" t="str">
        <f>HYPERLINK("https://www.773grp.com/globalSearch/THS4051IDGN/page-1", "THS4051IDGN")</f>
        <v>THS4051IDGN</v>
      </c>
      <c r="B14221" s="3" t="s">
        <v>90</v>
      </c>
      <c r="C14221" s="5">
        <v>17215</v>
      </c>
      <c r="D14221" s="6">
        <v>4.3499999999999996</v>
      </c>
      <c r="E14221" t="s">
        <v>11</v>
      </c>
    </row>
    <row r="14222" spans="1:5" x14ac:dyDescent="0.25">
      <c r="A14222" t="str">
        <f>HYPERLINK("https://www.773grp.com/globalSearch/TLC074AID/page-1", "TLC074AID")</f>
        <v>TLC074AID</v>
      </c>
      <c r="B14222" s="3" t="s">
        <v>90</v>
      </c>
      <c r="C14222" s="5">
        <v>347</v>
      </c>
      <c r="D14222" s="6">
        <v>4.3499999999999996</v>
      </c>
      <c r="E14222" t="s">
        <v>11</v>
      </c>
    </row>
    <row r="14223" spans="1:5" x14ac:dyDescent="0.25">
      <c r="A14223" t="str">
        <f>HYPERLINK("https://www.773grp.com/globalSearch/TLC252CPWR/page-1", "TLC252CPWR")</f>
        <v>TLC252CPWR</v>
      </c>
      <c r="B14223" s="3" t="s">
        <v>90</v>
      </c>
      <c r="C14223" s="5">
        <v>2000</v>
      </c>
      <c r="D14223" s="6">
        <v>4.3499999999999996</v>
      </c>
      <c r="E14223" t="s">
        <v>11</v>
      </c>
    </row>
    <row r="14224" spans="1:5" x14ac:dyDescent="0.25">
      <c r="A14224" t="str">
        <f>HYPERLINK("https://www.773grp.com/globalSearch/TLV2444AIPW/page-1", "TLV2444AIPW")</f>
        <v>TLV2444AIPW</v>
      </c>
      <c r="B14224" s="3" t="s">
        <v>90</v>
      </c>
      <c r="C14224" s="5">
        <v>3460</v>
      </c>
      <c r="D14224" s="6">
        <v>4.3499999999999996</v>
      </c>
      <c r="E14224" t="s">
        <v>11</v>
      </c>
    </row>
    <row r="14225" spans="1:5" x14ac:dyDescent="0.25">
      <c r="A14225" t="str">
        <f>HYPERLINK("https://www.773grp.com/globalSearch/TLV2773AIN/page-1", "TLV2773AIN")</f>
        <v>TLV2773AIN</v>
      </c>
      <c r="B14225" s="3" t="s">
        <v>90</v>
      </c>
      <c r="C14225" s="5">
        <v>13311</v>
      </c>
      <c r="D14225" s="6">
        <v>4.3499999999999996</v>
      </c>
      <c r="E14225" t="s">
        <v>11</v>
      </c>
    </row>
    <row r="14226" spans="1:5" x14ac:dyDescent="0.25">
      <c r="A14226" t="str">
        <f>HYPERLINK("https://www.773grp.com/globalSearch/TLV2773IDGS/page-1", "TLV2773IDGS")</f>
        <v>TLV2773IDGS</v>
      </c>
      <c r="B14226" s="3" t="s">
        <v>90</v>
      </c>
      <c r="C14226" s="5">
        <v>12544</v>
      </c>
      <c r="D14226" s="6">
        <v>4.3499999999999996</v>
      </c>
      <c r="E14226" t="s">
        <v>11</v>
      </c>
    </row>
    <row r="14227" spans="1:5" x14ac:dyDescent="0.25">
      <c r="A14227" t="str">
        <f>HYPERLINK("https://www.773grp.com/globalSearch/TLV2775IN/page-1", "TLV2775IN")</f>
        <v>TLV2775IN</v>
      </c>
      <c r="B14227" s="3" t="s">
        <v>90</v>
      </c>
      <c r="C14227" s="5">
        <v>11650</v>
      </c>
      <c r="D14227" s="6">
        <v>4.3499999999999996</v>
      </c>
      <c r="E14227" t="s">
        <v>11</v>
      </c>
    </row>
    <row r="14228" spans="1:5" x14ac:dyDescent="0.25">
      <c r="A14228" t="str">
        <f>HYPERLINK("https://www.773grp.com/globalSearch/TLC2201BCP/page-1", "TLC2201BCP")</f>
        <v>TLC2201BCP</v>
      </c>
      <c r="B14228" s="3" t="s">
        <v>90</v>
      </c>
      <c r="C14228" s="5">
        <v>3180</v>
      </c>
      <c r="D14228" s="6">
        <v>4.3899999999999997</v>
      </c>
      <c r="E14228" t="s">
        <v>11</v>
      </c>
    </row>
    <row r="14229" spans="1:5" x14ac:dyDescent="0.25">
      <c r="A14229" t="str">
        <f>HYPERLINK("https://www.773grp.com/globalSearch/TLC25M2CDR/page-1", "TLC25M2CDR")</f>
        <v>TLC25M2CDR</v>
      </c>
      <c r="B14229" s="3" t="s">
        <v>90</v>
      </c>
      <c r="C14229" s="5">
        <v>2500</v>
      </c>
      <c r="D14229" s="6">
        <v>4.3899999999999997</v>
      </c>
      <c r="E14229" t="s">
        <v>11</v>
      </c>
    </row>
    <row r="14230" spans="1:5" x14ac:dyDescent="0.25">
      <c r="A14230" t="str">
        <f>HYPERLINK("https://www.773grp.com/globalSearch/TLV2462CP/page-1", "TLV2462CP")</f>
        <v>TLV2462CP</v>
      </c>
      <c r="B14230" s="3" t="s">
        <v>90</v>
      </c>
      <c r="C14230" s="5">
        <v>30224</v>
      </c>
      <c r="D14230" s="6">
        <v>4.8600000000000003</v>
      </c>
      <c r="E14230" t="s">
        <v>11</v>
      </c>
    </row>
    <row r="14231" spans="1:5" x14ac:dyDescent="0.25">
      <c r="A14231" t="str">
        <f>HYPERLINK("https://www.773grp.com/globalSearch/TLV2472CP/page-1", "TLV2472CP")</f>
        <v>TLV2472CP</v>
      </c>
      <c r="B14231" s="3" t="s">
        <v>90</v>
      </c>
      <c r="C14231" s="5">
        <v>3514</v>
      </c>
      <c r="D14231" s="6">
        <v>4.8600000000000003</v>
      </c>
      <c r="E14231" t="s">
        <v>11</v>
      </c>
    </row>
    <row r="14232" spans="1:5" x14ac:dyDescent="0.25">
      <c r="A14232" t="str">
        <f>HYPERLINK("https://www.773grp.com/globalSearch/TL051ACP/page-1", "TL051ACP")</f>
        <v>TL051ACP</v>
      </c>
      <c r="B14232" s="3" t="str">
        <f>HYPERLINK("https://www.773grp.com/manufacturer/texas-instruments?pageNo=3", "Texas Instruments")</f>
        <v>Texas Instruments</v>
      </c>
      <c r="C14232" s="5">
        <v>9188</v>
      </c>
      <c r="D14232" s="6">
        <v>4.43</v>
      </c>
      <c r="E14232" t="s">
        <v>11</v>
      </c>
    </row>
    <row r="14233" spans="1:5" x14ac:dyDescent="0.25">
      <c r="A14233" t="str">
        <f>HYPERLINK("https://www.773grp.com/globalSearch/LMV821IDBVT/page-1", "LMV821IDBVT")</f>
        <v>LMV821IDBVT</v>
      </c>
      <c r="B14233" s="3" t="str">
        <f>HYPERLINK("https://www.773grp.com/manufacturer/texas-instruments?pageNo=35", "Texas Instruments")</f>
        <v>Texas Instruments</v>
      </c>
      <c r="C14233" s="5">
        <v>21990</v>
      </c>
      <c r="D14233" s="6">
        <v>4.91</v>
      </c>
      <c r="E14233" t="s">
        <v>11</v>
      </c>
    </row>
    <row r="14234" spans="1:5" x14ac:dyDescent="0.25">
      <c r="A14234" t="str">
        <f>HYPERLINK("https://www.773grp.com/globalSearch/LMV821IDCKT/page-1", "LMV821IDCKT")</f>
        <v>LMV821IDCKT</v>
      </c>
      <c r="B14234" s="3" t="str">
        <f>HYPERLINK("https://www.773grp.com/manufacturer/texas-instruments?pageNo=36", "Texas Instruments")</f>
        <v>Texas Instruments</v>
      </c>
      <c r="C14234" s="5">
        <v>11500</v>
      </c>
      <c r="D14234" s="6">
        <v>4.91</v>
      </c>
      <c r="E14234" t="s">
        <v>11</v>
      </c>
    </row>
    <row r="14235" spans="1:5" x14ac:dyDescent="0.25">
      <c r="A14235" t="str">
        <f>HYPERLINK("https://www.773grp.com/globalSearch/LT1013DDR/page-1", "LT1013DDR")</f>
        <v>LT1013DDR</v>
      </c>
      <c r="B14235" s="3" t="str">
        <f>HYPERLINK("https://www.773grp.com/manufacturer/texas-instruments?pageNo=37", "Texas Instruments")</f>
        <v>Texas Instruments</v>
      </c>
      <c r="C14235" s="5">
        <v>2671</v>
      </c>
      <c r="D14235" s="6">
        <v>4.91</v>
      </c>
      <c r="E14235" t="s">
        <v>11</v>
      </c>
    </row>
    <row r="14236" spans="1:5" x14ac:dyDescent="0.25">
      <c r="A14236" t="str">
        <f>HYPERLINK("https://www.773grp.com/globalSearch/LT1013DIDR/page-1", "LT1013DIDR")</f>
        <v>LT1013DIDR</v>
      </c>
      <c r="B14236" s="3" t="str">
        <f>HYPERLINK("https://www.773grp.com/manufacturer/texas-instruments?pageNo=38", "Texas Instruments")</f>
        <v>Texas Instruments</v>
      </c>
      <c r="C14236" s="5">
        <v>35000</v>
      </c>
      <c r="D14236" s="6">
        <v>4.91</v>
      </c>
      <c r="E14236" t="s">
        <v>11</v>
      </c>
    </row>
    <row r="14237" spans="1:5" x14ac:dyDescent="0.25">
      <c r="A14237" t="str">
        <f>HYPERLINK("https://www.773grp.com/globalSearch/TL034CN/page-1", "TL034CN")</f>
        <v>TL034CN</v>
      </c>
      <c r="B14237" s="3" t="str">
        <f>HYPERLINK("https://www.773grp.com/manufacturer/texas-instruments?pageNo=173", "Texas Instruments")</f>
        <v>Texas Instruments</v>
      </c>
      <c r="C14237" s="5">
        <v>1480</v>
      </c>
      <c r="D14237" s="6">
        <v>4.91</v>
      </c>
      <c r="E14237" t="s">
        <v>11</v>
      </c>
    </row>
    <row r="14238" spans="1:5" x14ac:dyDescent="0.25">
      <c r="A14238" t="str">
        <f>HYPERLINK("https://www.773grp.com/globalSearch/TL034ID/page-1", "TL034ID")</f>
        <v>TL034ID</v>
      </c>
      <c r="B14238" s="3" t="str">
        <f>HYPERLINK("https://www.773grp.com/manufacturer/texas-instruments?pageNo=174", "Texas Instruments")</f>
        <v>Texas Instruments</v>
      </c>
      <c r="C14238" s="5">
        <v>395</v>
      </c>
      <c r="D14238" s="6">
        <v>4.91</v>
      </c>
      <c r="E14238" t="s">
        <v>11</v>
      </c>
    </row>
    <row r="14239" spans="1:5" x14ac:dyDescent="0.25">
      <c r="A14239" t="str">
        <f>HYPERLINK("https://www.773grp.com/globalSearch/TL034IDG4/page-1", "TL034IDG4")</f>
        <v>TL034IDG4</v>
      </c>
      <c r="B14239" s="3" t="str">
        <f>HYPERLINK("https://www.773grp.com/manufacturer/texas-instruments?pageNo=175", "Texas Instruments")</f>
        <v>Texas Instruments</v>
      </c>
      <c r="C14239" s="5">
        <v>500</v>
      </c>
      <c r="D14239" s="6">
        <v>4.91</v>
      </c>
      <c r="E14239" t="s">
        <v>11</v>
      </c>
    </row>
    <row r="14240" spans="1:5" x14ac:dyDescent="0.25">
      <c r="A14240" t="str">
        <f>HYPERLINK("https://www.773grp.com/globalSearch/TL052ID/page-1", "TL052ID")</f>
        <v>TL052ID</v>
      </c>
      <c r="B14240" s="3" t="str">
        <f>HYPERLINK("https://www.773grp.com/manufacturer/texas-instruments?pageNo=176", "Texas Instruments")</f>
        <v>Texas Instruments</v>
      </c>
      <c r="C14240" s="5">
        <v>28128</v>
      </c>
      <c r="D14240" s="6">
        <v>4.91</v>
      </c>
      <c r="E14240" t="s">
        <v>11</v>
      </c>
    </row>
    <row r="14241" spans="1:5" x14ac:dyDescent="0.25">
      <c r="A14241" t="str">
        <f>HYPERLINK("https://www.773grp.com/globalSearch/TL052IP/page-1", "TL052IP")</f>
        <v>TL052IP</v>
      </c>
      <c r="B14241" s="3" t="str">
        <f>HYPERLINK("https://www.773grp.com/manufacturer/texas-instruments?pageNo=177", "Texas Instruments")</f>
        <v>Texas Instruments</v>
      </c>
      <c r="C14241" s="5">
        <v>10100</v>
      </c>
      <c r="D14241" s="6">
        <v>4.91</v>
      </c>
      <c r="E14241" t="s">
        <v>11</v>
      </c>
    </row>
    <row r="14242" spans="1:5" x14ac:dyDescent="0.25">
      <c r="A14242" t="str">
        <f>HYPERLINK("https://www.773grp.com/globalSearch/TL5580IDR/page-1", "TL5580IDR")</f>
        <v>TL5580IDR</v>
      </c>
      <c r="B14242" s="3" t="str">
        <f>HYPERLINK("https://www.773grp.com/manufacturer/texas-instruments?pageNo=188", "Texas Instruments")</f>
        <v>Texas Instruments</v>
      </c>
      <c r="C14242" s="5">
        <v>7500</v>
      </c>
      <c r="D14242" s="6">
        <v>4.91</v>
      </c>
      <c r="E14242" t="s">
        <v>11</v>
      </c>
    </row>
    <row r="14243" spans="1:5" x14ac:dyDescent="0.25">
      <c r="A14243" t="str">
        <f>HYPERLINK("https://www.773grp.com/globalSearch/TL5580IPWR/page-1", "TL5580IPWR")</f>
        <v>TL5580IPWR</v>
      </c>
      <c r="B14243" s="3" t="str">
        <f>HYPERLINK("https://www.773grp.com/manufacturer/texas-instruments?pageNo=189", "Texas Instruments")</f>
        <v>Texas Instruments</v>
      </c>
      <c r="C14243" s="5">
        <v>6000</v>
      </c>
      <c r="D14243" s="6">
        <v>4.91</v>
      </c>
      <c r="E14243" t="s">
        <v>11</v>
      </c>
    </row>
    <row r="14244" spans="1:5" x14ac:dyDescent="0.25">
      <c r="A14244" t="str">
        <f>HYPERLINK("https://www.773grp.com/globalSearch/TLV2471AIDR/page-1", "TLV2471AIDR")</f>
        <v>TLV2471AIDR</v>
      </c>
      <c r="B14244" s="3" t="str">
        <f>HYPERLINK("https://www.773grp.com/manufacturer/texas-instruments?pageNo=196", "Texas Instruments")</f>
        <v>Texas Instruments</v>
      </c>
      <c r="C14244" s="5">
        <v>7500</v>
      </c>
      <c r="D14244" s="6">
        <v>4.91</v>
      </c>
      <c r="E14244" t="s">
        <v>11</v>
      </c>
    </row>
    <row r="14245" spans="1:5" x14ac:dyDescent="0.25">
      <c r="A14245" t="str">
        <f>HYPERLINK("https://www.773grp.com/globalSearch/TLC2654C-14DR/page-1", "TLC2654C-14DR")</f>
        <v>TLC2654C-14DR</v>
      </c>
      <c r="B14245" s="3" t="str">
        <f>HYPERLINK("https://www.773grp.com/manufacturer/texas-instruments?pageNo=250", "Texas Instruments")</f>
        <v>Texas Instruments</v>
      </c>
      <c r="C14245" s="5">
        <v>19480</v>
      </c>
      <c r="D14245" s="6">
        <v>4.4800000000000004</v>
      </c>
      <c r="E14245" t="s">
        <v>11</v>
      </c>
    </row>
    <row r="14246" spans="1:5" x14ac:dyDescent="0.25">
      <c r="A14246" t="str">
        <f>HYPERLINK("https://www.773grp.com/globalSearch/TLV4120IDGNR/page-1", "TLV4120IDGNR")</f>
        <v>TLV4120IDGNR</v>
      </c>
      <c r="B14246" s="3" t="str">
        <f>HYPERLINK("https://www.773grp.com/manufacturer/texas-instruments?pageNo=251", "Texas Instruments")</f>
        <v>Texas Instruments</v>
      </c>
      <c r="C14246" s="5">
        <v>9932</v>
      </c>
      <c r="D14246" s="6">
        <v>4.4800000000000004</v>
      </c>
      <c r="E14246" t="s">
        <v>11</v>
      </c>
    </row>
    <row r="14247" spans="1:5" x14ac:dyDescent="0.25">
      <c r="A14247" t="str">
        <f>HYPERLINK("https://www.773grp.com/globalSearch/OPA336P/page-1", "OPA336P")</f>
        <v>OPA336P</v>
      </c>
      <c r="B14247" s="3" t="str">
        <f>HYPERLINK("https://www.773grp.com/manufacturer/texas-instruments?pageNo=268", "Texas Instruments")</f>
        <v>Texas Instruments</v>
      </c>
      <c r="C14247" s="5">
        <v>4300</v>
      </c>
      <c r="D14247" s="6">
        <v>4.96</v>
      </c>
      <c r="E14247" t="s">
        <v>11</v>
      </c>
    </row>
    <row r="14248" spans="1:5" x14ac:dyDescent="0.25">
      <c r="A14248" t="str">
        <f>HYPERLINK("https://www.773grp.com/globalSearch/TLV2302IP/page-1", "TLV2302IP")</f>
        <v>TLV2302IP</v>
      </c>
      <c r="B14248" s="3" t="str">
        <f>HYPERLINK("https://www.773grp.com/manufacturer/texas-instruments?pageNo=287", "Texas Instruments")</f>
        <v>Texas Instruments</v>
      </c>
      <c r="C14248" s="5">
        <v>8846</v>
      </c>
      <c r="D14248" s="6">
        <v>4.96</v>
      </c>
      <c r="E14248" t="s">
        <v>11</v>
      </c>
    </row>
    <row r="14249" spans="1:5" x14ac:dyDescent="0.25">
      <c r="A14249" t="str">
        <f>HYPERLINK("https://www.773grp.com/globalSearch/OPA2335AIDGKR/page-1", "OPA2335AIDGKR")</f>
        <v>OPA2335AIDGKR</v>
      </c>
      <c r="B14249" s="3" t="str">
        <f>HYPERLINK("https://www.773grp.com/manufacturer/texas-instruments?pageNo=317", "Texas Instruments")</f>
        <v>Texas Instruments</v>
      </c>
      <c r="C14249" s="5">
        <v>9631</v>
      </c>
      <c r="D14249" s="6">
        <v>4.5</v>
      </c>
      <c r="E14249" t="s">
        <v>11</v>
      </c>
    </row>
    <row r="14250" spans="1:5" x14ac:dyDescent="0.25">
      <c r="A14250" t="str">
        <f>HYPERLINK("https://www.773grp.com/globalSearch/OPA2335AIDR/page-1", "OPA2335AIDR")</f>
        <v>OPA2335AIDR</v>
      </c>
      <c r="B14250" s="3" t="str">
        <f>HYPERLINK("https://www.773grp.com/manufacturer/texas-instruments?pageNo=318", "Texas Instruments")</f>
        <v>Texas Instruments</v>
      </c>
      <c r="C14250" s="5">
        <v>7256</v>
      </c>
      <c r="D14250" s="6">
        <v>4.5</v>
      </c>
      <c r="E14250" t="s">
        <v>11</v>
      </c>
    </row>
    <row r="14251" spans="1:5" x14ac:dyDescent="0.25">
      <c r="A14251" t="str">
        <f>HYPERLINK("https://www.773grp.com/globalSearch/OPA4364AIPWT/page-1", "OPA4364AIPWT")</f>
        <v>OPA4364AIPWT</v>
      </c>
      <c r="B14251" s="3" t="str">
        <f>HYPERLINK("https://www.773grp.com/manufacturer/texas-instruments?pageNo=322", "Texas Instruments")</f>
        <v>Texas Instruments</v>
      </c>
      <c r="C14251" s="5">
        <v>17829</v>
      </c>
      <c r="D14251" s="6">
        <v>4.5</v>
      </c>
      <c r="E14251" t="s">
        <v>11</v>
      </c>
    </row>
    <row r="14252" spans="1:5" x14ac:dyDescent="0.25">
      <c r="A14252" t="str">
        <f>HYPERLINK("https://www.773grp.com/globalSearch/OPA734AIDR/page-1", "OPA734AIDR")</f>
        <v>OPA734AIDR</v>
      </c>
      <c r="B14252" s="3" t="str">
        <f>HYPERLINK("https://www.773grp.com/manufacturer/texas-instruments?pageNo=325", "Texas Instruments")</f>
        <v>Texas Instruments</v>
      </c>
      <c r="C14252" s="5">
        <v>12500</v>
      </c>
      <c r="D14252" s="6">
        <v>4.5</v>
      </c>
      <c r="E14252" t="s">
        <v>11</v>
      </c>
    </row>
    <row r="14253" spans="1:5" x14ac:dyDescent="0.25">
      <c r="A14253" t="str">
        <f>HYPERLINK("https://www.773grp.com/globalSearch/THS4052CDR/page-1", "THS4052CDR")</f>
        <v>THS4052CDR</v>
      </c>
      <c r="B14253" s="3" t="str">
        <f>HYPERLINK("https://www.773grp.com/manufacturer/texas-instruments?pageNo=370", "Texas Instruments")</f>
        <v>Texas Instruments</v>
      </c>
      <c r="C14253" s="5">
        <v>10000</v>
      </c>
      <c r="D14253" s="6">
        <v>4.5</v>
      </c>
      <c r="E14253" t="s">
        <v>11</v>
      </c>
    </row>
    <row r="14254" spans="1:5" x14ac:dyDescent="0.25">
      <c r="A14254" t="str">
        <f>HYPERLINK("https://www.773grp.com/globalSearch/TLC085AIN/page-1", "TLC085AIN")</f>
        <v>TLC085AIN</v>
      </c>
      <c r="B14254" s="3" t="str">
        <f>HYPERLINK("https://www.773grp.com/manufacturer/texas-instruments?pageNo=372", "Texas Instruments")</f>
        <v>Texas Instruments</v>
      </c>
      <c r="C14254" s="5">
        <v>2225</v>
      </c>
      <c r="D14254" s="6">
        <v>4.5</v>
      </c>
      <c r="E14254" t="s">
        <v>11</v>
      </c>
    </row>
    <row r="14255" spans="1:5" x14ac:dyDescent="0.25">
      <c r="A14255" t="str">
        <f>HYPERLINK("https://www.773grp.com/globalSearch/TLC2654IN/page-1", "TLC2654IN")</f>
        <v>TLC2654IN</v>
      </c>
      <c r="B14255" s="3" t="str">
        <f>HYPERLINK("https://www.773grp.com/manufacturer/texas-instruments?pageNo=373", "Texas Instruments")</f>
        <v>Texas Instruments</v>
      </c>
      <c r="C14255" s="5">
        <v>7</v>
      </c>
      <c r="D14255" s="6">
        <v>4.5</v>
      </c>
      <c r="E14255" t="s">
        <v>11</v>
      </c>
    </row>
    <row r="14256" spans="1:5" x14ac:dyDescent="0.25">
      <c r="A14256" t="str">
        <f>HYPERLINK("https://www.773grp.com/globalSearch/TLC4501CD/page-1", "TLC4501CD")</f>
        <v>TLC4501CD</v>
      </c>
      <c r="B14256" s="3" t="str">
        <f>HYPERLINK("https://www.773grp.com/manufacturer/texas-instruments?pageNo=374", "Texas Instruments")</f>
        <v>Texas Instruments</v>
      </c>
      <c r="C14256" s="5">
        <v>6600</v>
      </c>
      <c r="D14256" s="6">
        <v>4.5</v>
      </c>
      <c r="E14256" t="s">
        <v>11</v>
      </c>
    </row>
    <row r="14257" spans="1:5" x14ac:dyDescent="0.25">
      <c r="A14257" t="str">
        <f>HYPERLINK("https://www.773grp.com/globalSearch/TLV2465AID/page-1", "TLV2465AID")</f>
        <v>TLV2465AID</v>
      </c>
      <c r="B14257" s="3" t="str">
        <f>HYPERLINK("https://www.773grp.com/manufacturer/texas-instruments?pageNo=376", "Texas Instruments")</f>
        <v>Texas Instruments</v>
      </c>
      <c r="C14257" s="5">
        <v>3900</v>
      </c>
      <c r="D14257" s="6">
        <v>4.5</v>
      </c>
      <c r="E14257" t="s">
        <v>11</v>
      </c>
    </row>
    <row r="14258" spans="1:5" x14ac:dyDescent="0.25">
      <c r="A14258" t="str">
        <f>HYPERLINK("https://www.773grp.com/globalSearch/TLV2465AIPWR/page-1", "TLV2465AIPWR")</f>
        <v>TLV2465AIPWR</v>
      </c>
      <c r="B14258" s="3" t="str">
        <f>HYPERLINK("https://www.773grp.com/manufacturer/texas-instruments?pageNo=377", "Texas Instruments")</f>
        <v>Texas Instruments</v>
      </c>
      <c r="C14258" s="5">
        <v>20000</v>
      </c>
      <c r="D14258" s="6">
        <v>4.5</v>
      </c>
      <c r="E14258" t="s">
        <v>11</v>
      </c>
    </row>
    <row r="14259" spans="1:5" x14ac:dyDescent="0.25">
      <c r="A14259" t="str">
        <f>HYPERLINK("https://www.773grp.com/globalSearch/TLV2765IDR/page-1", "TLV2765IDR")</f>
        <v>TLV2765IDR</v>
      </c>
      <c r="B14259" s="3" t="str">
        <f>HYPERLINK("https://www.773grp.com/manufacturer/texas-instruments?pageNo=379", "Texas Instruments")</f>
        <v>Texas Instruments</v>
      </c>
      <c r="C14259" s="5">
        <v>12500</v>
      </c>
      <c r="D14259" s="6">
        <v>4.5</v>
      </c>
      <c r="E14259" t="s">
        <v>11</v>
      </c>
    </row>
    <row r="14260" spans="1:5" x14ac:dyDescent="0.25">
      <c r="A14260" t="str">
        <f>HYPERLINK("https://www.773grp.com/globalSearch/TLV2765IPWR/page-1", "TLV2765IPWR")</f>
        <v>TLV2765IPWR</v>
      </c>
      <c r="B14260" s="3" t="str">
        <f>HYPERLINK("https://www.773grp.com/manufacturer/texas-instruments?pageNo=380", "Texas Instruments")</f>
        <v>Texas Instruments</v>
      </c>
      <c r="C14260" s="5">
        <v>2000</v>
      </c>
      <c r="D14260" s="6">
        <v>4.5</v>
      </c>
      <c r="E14260" t="s">
        <v>11</v>
      </c>
    </row>
    <row r="14261" spans="1:5" x14ac:dyDescent="0.25">
      <c r="A14261" t="str">
        <f>HYPERLINK("https://www.773grp.com/globalSearch/TLV2775ID/page-1", "TLV2775ID")</f>
        <v>TLV2775ID</v>
      </c>
      <c r="B14261" s="3" t="str">
        <f>HYPERLINK("https://www.773grp.com/manufacturer/texas-instruments?pageNo=381", "Texas Instruments")</f>
        <v>Texas Instruments</v>
      </c>
      <c r="C14261" s="5">
        <v>21032</v>
      </c>
      <c r="D14261" s="6">
        <v>4.5</v>
      </c>
      <c r="E14261" t="s">
        <v>11</v>
      </c>
    </row>
    <row r="14262" spans="1:5" x14ac:dyDescent="0.25">
      <c r="A14262" t="str">
        <f>HYPERLINK("https://www.773grp.com/globalSearch/TLV2784AIDR/page-1", "TLV2784AIDR")</f>
        <v>TLV2784AIDR</v>
      </c>
      <c r="B14262" s="3" t="str">
        <f>HYPERLINK("https://www.773grp.com/manufacturer/texas-instruments?pageNo=382", "Texas Instruments")</f>
        <v>Texas Instruments</v>
      </c>
      <c r="C14262" s="5">
        <v>20000</v>
      </c>
      <c r="D14262" s="6">
        <v>4.5</v>
      </c>
      <c r="E14262" t="s">
        <v>11</v>
      </c>
    </row>
    <row r="14263" spans="1:5" x14ac:dyDescent="0.25">
      <c r="A14263" t="str">
        <f>HYPERLINK("https://www.773grp.com/globalSearch/TLV2785CPWR/page-1", "TLV2785CPWR")</f>
        <v>TLV2785CPWR</v>
      </c>
      <c r="B14263" s="3" t="str">
        <f>HYPERLINK("https://www.773grp.com/manufacturer/texas-instruments?pageNo=383", "Texas Instruments")</f>
        <v>Texas Instruments</v>
      </c>
      <c r="C14263" s="5">
        <v>1430</v>
      </c>
      <c r="D14263" s="6">
        <v>4.5</v>
      </c>
      <c r="E14263" t="s">
        <v>11</v>
      </c>
    </row>
    <row r="14264" spans="1:5" x14ac:dyDescent="0.25">
      <c r="A14264" t="str">
        <f>HYPERLINK("https://www.773grp.com/globalSearch/TLV2475CN/page-1", "TLV2475CN")</f>
        <v>TLV2475CN</v>
      </c>
      <c r="B14264" s="3" t="str">
        <f>HYPERLINK("https://www.773grp.com/manufacturer/texas-instruments?pageNo=448", "Texas Instruments")</f>
        <v>Texas Instruments</v>
      </c>
      <c r="C14264" s="5">
        <v>10239</v>
      </c>
      <c r="D14264" s="6">
        <v>4.53</v>
      </c>
      <c r="E14264" t="s">
        <v>11</v>
      </c>
    </row>
    <row r="14265" spans="1:5" x14ac:dyDescent="0.25">
      <c r="A14265" t="str">
        <f>HYPERLINK("https://www.773grp.com/globalSearch/OPA137U/page-1", "OPA137U")</f>
        <v>OPA137U</v>
      </c>
      <c r="B14265" s="3" t="str">
        <f>HYPERLINK("https://www.773grp.com/manufacturer/texas-instruments?pageNo=530", "Texas Instruments")</f>
        <v>Texas Instruments</v>
      </c>
      <c r="C14265" s="5">
        <v>16250</v>
      </c>
      <c r="D14265" s="6">
        <v>5.01</v>
      </c>
      <c r="E14265" t="s">
        <v>11</v>
      </c>
    </row>
    <row r="14266" spans="1:5" x14ac:dyDescent="0.25">
      <c r="A14266" t="str">
        <f>HYPERLINK("https://www.773grp.com/globalSearch/OPA137U-2K5/page-1", "OPA137U-2K5")</f>
        <v>OPA137U-2K5</v>
      </c>
      <c r="B14266" s="3" t="str">
        <f>HYPERLINK("https://www.773grp.com/manufacturer/texas-instruments?pageNo=531", "Texas Instruments")</f>
        <v>Texas Instruments</v>
      </c>
      <c r="C14266" s="5">
        <v>5000</v>
      </c>
      <c r="D14266" s="6">
        <v>5.01</v>
      </c>
      <c r="E14266" t="s">
        <v>11</v>
      </c>
    </row>
    <row r="14267" spans="1:5" x14ac:dyDescent="0.25">
      <c r="A14267" t="str">
        <f>HYPERLINK("https://www.773grp.com/globalSearch/OPA2363AIDGSR/page-1", "OPA2363AIDGSR")</f>
        <v>OPA2363AIDGSR</v>
      </c>
      <c r="B14267" s="3" t="str">
        <f>HYPERLINK("https://www.773grp.com/manufacturer/texas-instruments?pageNo=534", "Texas Instruments")</f>
        <v>Texas Instruments</v>
      </c>
      <c r="C14267" s="5">
        <v>30595</v>
      </c>
      <c r="D14267" s="6">
        <v>5.01</v>
      </c>
      <c r="E14267" t="s">
        <v>11</v>
      </c>
    </row>
    <row r="14268" spans="1:5" x14ac:dyDescent="0.25">
      <c r="A14268" t="str">
        <f>HYPERLINK("https://www.773grp.com/globalSearch/OPA2364AIDGKR/page-1", "OPA2364AIDGKR")</f>
        <v>OPA2364AIDGKR</v>
      </c>
      <c r="B14268" s="3" t="str">
        <f>HYPERLINK("https://www.773grp.com/manufacturer/texas-instruments?pageNo=535", "Texas Instruments")</f>
        <v>Texas Instruments</v>
      </c>
      <c r="C14268" s="5">
        <v>92618</v>
      </c>
      <c r="D14268" s="6">
        <v>5.01</v>
      </c>
      <c r="E14268" t="s">
        <v>11</v>
      </c>
    </row>
    <row r="14269" spans="1:5" x14ac:dyDescent="0.25">
      <c r="A14269" t="str">
        <f>HYPERLINK("https://www.773grp.com/globalSearch/OPA2364AIDR/page-1", "OPA2364AIDR")</f>
        <v>OPA2364AIDR</v>
      </c>
      <c r="B14269" s="3" t="str">
        <f>HYPERLINK("https://www.773grp.com/manufacturer/texas-instruments?pageNo=536", "Texas Instruments")</f>
        <v>Texas Instruments</v>
      </c>
      <c r="C14269" s="5">
        <v>1587792</v>
      </c>
      <c r="D14269" s="6">
        <v>5.01</v>
      </c>
      <c r="E14269" t="s">
        <v>11</v>
      </c>
    </row>
    <row r="14270" spans="1:5" x14ac:dyDescent="0.25">
      <c r="A14270" t="str">
        <f>HYPERLINK("https://www.773grp.com/globalSearch/OPA2705EA-2K5/page-1", "OPA2705EA-2K5")</f>
        <v>OPA2705EA-2K5</v>
      </c>
      <c r="B14270" s="3" t="str">
        <f>HYPERLINK("https://www.773grp.com/manufacturer/texas-instruments?pageNo=539", "Texas Instruments")</f>
        <v>Texas Instruments</v>
      </c>
      <c r="C14270" s="5">
        <v>2500</v>
      </c>
      <c r="D14270" s="6">
        <v>5.01</v>
      </c>
      <c r="E14270" t="s">
        <v>11</v>
      </c>
    </row>
    <row r="14271" spans="1:5" x14ac:dyDescent="0.25">
      <c r="A14271" t="str">
        <f>HYPERLINK("https://www.773grp.com/globalSearch/OPA336N-3K/page-1", "OPA336N-3K")</f>
        <v>OPA336N-3K</v>
      </c>
      <c r="B14271" s="3" t="str">
        <f>HYPERLINK("https://www.773grp.com/manufacturer/texas-instruments?pageNo=542", "Texas Instruments")</f>
        <v>Texas Instruments</v>
      </c>
      <c r="C14271" s="5">
        <v>50750</v>
      </c>
      <c r="D14271" s="6">
        <v>5.01</v>
      </c>
      <c r="E14271" t="s">
        <v>11</v>
      </c>
    </row>
    <row r="14272" spans="1:5" x14ac:dyDescent="0.25">
      <c r="A14272" t="str">
        <f>HYPERLINK("https://www.773grp.com/globalSearch/OPA341NA-3K/page-1", "OPA341NA-3K")</f>
        <v>OPA341NA-3K</v>
      </c>
      <c r="B14272" s="3" t="str">
        <f>HYPERLINK("https://www.773grp.com/manufacturer/texas-instruments?pageNo=543", "Texas Instruments")</f>
        <v>Texas Instruments</v>
      </c>
      <c r="C14272" s="5">
        <v>36000</v>
      </c>
      <c r="D14272" s="6">
        <v>5.01</v>
      </c>
      <c r="E14272" t="s">
        <v>11</v>
      </c>
    </row>
    <row r="14273" spans="1:5" x14ac:dyDescent="0.25">
      <c r="A14273" t="str">
        <f>HYPERLINK("https://www.773grp.com/globalSearch/OPA341UA/page-1", "OPA341UA")</f>
        <v>OPA341UA</v>
      </c>
      <c r="B14273" s="3" t="str">
        <f>HYPERLINK("https://www.773grp.com/manufacturer/texas-instruments?pageNo=544", "Texas Instruments")</f>
        <v>Texas Instruments</v>
      </c>
      <c r="C14273" s="5">
        <v>47250</v>
      </c>
      <c r="D14273" s="6">
        <v>5.01</v>
      </c>
      <c r="E14273" t="s">
        <v>11</v>
      </c>
    </row>
    <row r="14274" spans="1:5" x14ac:dyDescent="0.25">
      <c r="A14274" t="str">
        <f>HYPERLINK("https://www.773grp.com/globalSearch/OPA341UA/page-1", "OPA341UA")</f>
        <v>OPA341UA</v>
      </c>
      <c r="B14274" s="3" t="str">
        <f>HYPERLINK("https://www.773grp.com/manufacturer/texas-instruments?pageNo=545", "Texas Instruments")</f>
        <v>Texas Instruments</v>
      </c>
      <c r="C14274" s="5">
        <v>56275</v>
      </c>
      <c r="D14274" s="6">
        <v>5.01</v>
      </c>
      <c r="E14274" t="s">
        <v>11</v>
      </c>
    </row>
    <row r="14275" spans="1:5" x14ac:dyDescent="0.25">
      <c r="A14275" t="str">
        <f>HYPERLINK("https://www.773grp.com/globalSearch/OPA341UA/page-1", "OPA341UA")</f>
        <v>OPA341UA</v>
      </c>
      <c r="B14275" s="3" t="str">
        <f>HYPERLINK("https://www.773grp.com/manufacturer/texas-instruments?pageNo=546", "Texas Instruments")</f>
        <v>Texas Instruments</v>
      </c>
      <c r="C14275" s="5">
        <v>57800</v>
      </c>
      <c r="D14275" s="6">
        <v>5.01</v>
      </c>
      <c r="E14275" t="s">
        <v>11</v>
      </c>
    </row>
    <row r="14276" spans="1:5" x14ac:dyDescent="0.25">
      <c r="A14276" t="str">
        <f>HYPERLINK("https://www.773grp.com/globalSearch/OPA363IDBVT/page-1", "OPA363IDBVT")</f>
        <v>OPA363IDBVT</v>
      </c>
      <c r="B14276" s="3" t="str">
        <f>HYPERLINK("https://www.773grp.com/manufacturer/texas-instruments?pageNo=547", "Texas Instruments")</f>
        <v>Texas Instruments</v>
      </c>
      <c r="C14276" s="5">
        <v>1000</v>
      </c>
      <c r="D14276" s="6">
        <v>5.01</v>
      </c>
      <c r="E14276" t="s">
        <v>11</v>
      </c>
    </row>
    <row r="14277" spans="1:5" x14ac:dyDescent="0.25">
      <c r="A14277" t="str">
        <f>HYPERLINK("https://www.773grp.com/globalSearch/OPA364IDBVT/page-1", "OPA364IDBVT")</f>
        <v>OPA364IDBVT</v>
      </c>
      <c r="B14277" s="3" t="str">
        <f>HYPERLINK("https://www.773grp.com/manufacturer/texas-instruments?pageNo=548", "Texas Instruments")</f>
        <v>Texas Instruments</v>
      </c>
      <c r="C14277" s="5">
        <v>505</v>
      </c>
      <c r="D14277" s="6">
        <v>5.01</v>
      </c>
      <c r="E14277" t="s">
        <v>11</v>
      </c>
    </row>
    <row r="14278" spans="1:5" x14ac:dyDescent="0.25">
      <c r="A14278" t="str">
        <f>HYPERLINK("https://www.773grp.com/globalSearch/OPA4342EA-250/page-1", "OPA4342EA-250")</f>
        <v>OPA4342EA-250</v>
      </c>
      <c r="B14278" s="3" t="str">
        <f>HYPERLINK("https://www.773grp.com/manufacturer/texas-instruments?pageNo=549", "Texas Instruments")</f>
        <v>Texas Instruments</v>
      </c>
      <c r="C14278" s="5">
        <v>14245</v>
      </c>
      <c r="D14278" s="6">
        <v>5.01</v>
      </c>
      <c r="E14278" t="s">
        <v>11</v>
      </c>
    </row>
    <row r="14279" spans="1:5" x14ac:dyDescent="0.25">
      <c r="A14279" t="str">
        <f>HYPERLINK("https://www.773grp.com/globalSearch/OPA4347EA-2K5/page-1", "OPA4347EA-2K5")</f>
        <v>OPA4347EA-2K5</v>
      </c>
      <c r="B14279" s="3" t="str">
        <f>HYPERLINK("https://www.773grp.com/manufacturer/texas-instruments?pageNo=550", "Texas Instruments")</f>
        <v>Texas Instruments</v>
      </c>
      <c r="C14279" s="5">
        <v>57500</v>
      </c>
      <c r="D14279" s="6">
        <v>5.01</v>
      </c>
      <c r="E14279" t="s">
        <v>11</v>
      </c>
    </row>
    <row r="14280" spans="1:5" x14ac:dyDescent="0.25">
      <c r="A14280" t="str">
        <f>HYPERLINK("https://www.773grp.com/globalSearch/OPA4347UA-2K5/page-1", "OPA4347UA-2K5")</f>
        <v>OPA4347UA-2K5</v>
      </c>
      <c r="B14280" s="3" t="str">
        <f>HYPERLINK("https://www.773grp.com/manufacturer/texas-instruments?pageNo=551", "Texas Instruments")</f>
        <v>Texas Instruments</v>
      </c>
      <c r="C14280" s="5">
        <v>1350</v>
      </c>
      <c r="D14280" s="6">
        <v>5.01</v>
      </c>
      <c r="E14280" t="s">
        <v>11</v>
      </c>
    </row>
    <row r="14281" spans="1:5" x14ac:dyDescent="0.25">
      <c r="A14281" t="str">
        <f>HYPERLINK("https://www.773grp.com/globalSearch/OPA4374AIPWR/page-1", "OPA4374AIPWR")</f>
        <v>OPA4374AIPWR</v>
      </c>
      <c r="B14281" s="3" t="str">
        <f>HYPERLINK("https://www.773grp.com/manufacturer/texas-instruments?pageNo=552", "Texas Instruments")</f>
        <v>Texas Instruments</v>
      </c>
      <c r="C14281" s="5">
        <v>55947</v>
      </c>
      <c r="D14281" s="6">
        <v>5.01</v>
      </c>
      <c r="E14281" t="s">
        <v>11</v>
      </c>
    </row>
    <row r="14282" spans="1:5" x14ac:dyDescent="0.25">
      <c r="A14282" t="str">
        <f>HYPERLINK("https://www.773grp.com/globalSearch/OPA890IDBVT/page-1", "OPA890IDBVT")</f>
        <v>OPA890IDBVT</v>
      </c>
      <c r="B14282" s="3" t="str">
        <f>HYPERLINK("https://www.773grp.com/manufacturer/texas-instruments?pageNo=554", "Texas Instruments")</f>
        <v>Texas Instruments</v>
      </c>
      <c r="C14282" s="5">
        <v>4700</v>
      </c>
      <c r="D14282" s="6">
        <v>5.01</v>
      </c>
      <c r="E14282" t="s">
        <v>11</v>
      </c>
    </row>
    <row r="14283" spans="1:5" x14ac:dyDescent="0.25">
      <c r="A14283" t="str">
        <f>HYPERLINK("https://www.773grp.com/globalSearch/TL35072P/page-1", "TL35072P")</f>
        <v>TL35072P</v>
      </c>
      <c r="B14283" s="3" t="str">
        <f>HYPERLINK("https://www.773grp.com/manufacturer/texas-instruments?pageNo=572", "Texas Instruments")</f>
        <v>Texas Instruments</v>
      </c>
      <c r="C14283" s="5">
        <v>8994</v>
      </c>
      <c r="D14283" s="6">
        <v>5.01</v>
      </c>
      <c r="E14283" t="s">
        <v>11</v>
      </c>
    </row>
    <row r="14284" spans="1:5" x14ac:dyDescent="0.25">
      <c r="A14284" t="str">
        <f>HYPERLINK("https://www.773grp.com/globalSearch/TLC074CDR/page-1", "TLC074CDR")</f>
        <v>TLC074CDR</v>
      </c>
      <c r="B14284" s="3" t="str">
        <f>HYPERLINK("https://www.773grp.com/manufacturer/texas-instruments?pageNo=573", "Texas Instruments")</f>
        <v>Texas Instruments</v>
      </c>
      <c r="C14284" s="5">
        <v>20000</v>
      </c>
      <c r="D14284" s="6">
        <v>5.01</v>
      </c>
      <c r="E14284" t="s">
        <v>11</v>
      </c>
    </row>
    <row r="14285" spans="1:5" x14ac:dyDescent="0.25">
      <c r="A14285" t="str">
        <f>HYPERLINK("https://www.773grp.com/globalSearch/TLC083CDGQR/page-1", "TLC083CDGQR")</f>
        <v>TLC083CDGQR</v>
      </c>
      <c r="B14285" s="3" t="str">
        <f>HYPERLINK("https://www.773grp.com/manufacturer/texas-instruments?pageNo=574", "Texas Instruments")</f>
        <v>Texas Instruments</v>
      </c>
      <c r="C14285" s="5">
        <v>5000</v>
      </c>
      <c r="D14285" s="6">
        <v>5.01</v>
      </c>
      <c r="E14285" t="s">
        <v>11</v>
      </c>
    </row>
    <row r="14286" spans="1:5" x14ac:dyDescent="0.25">
      <c r="A14286" t="str">
        <f>HYPERLINK("https://www.773grp.com/globalSearch/TLC083CDR/page-1", "TLC083CDR")</f>
        <v>TLC083CDR</v>
      </c>
      <c r="B14286" s="3" t="str">
        <f>HYPERLINK("https://www.773grp.com/manufacturer/texas-instruments?pageNo=575", "Texas Instruments")</f>
        <v>Texas Instruments</v>
      </c>
      <c r="C14286" s="5">
        <v>10000</v>
      </c>
      <c r="D14286" s="6">
        <v>5.01</v>
      </c>
      <c r="E14286" t="s">
        <v>11</v>
      </c>
    </row>
    <row r="14287" spans="1:5" x14ac:dyDescent="0.25">
      <c r="A14287" t="str">
        <f>HYPERLINK("https://www.773grp.com/globalSearch/TLC2264AID/page-1", "TLC2264AID")</f>
        <v>TLC2264AID</v>
      </c>
      <c r="B14287" s="3" t="str">
        <f>HYPERLINK("https://www.773grp.com/manufacturer/texas-instruments?pageNo=578", "Texas Instruments")</f>
        <v>Texas Instruments</v>
      </c>
      <c r="C14287" s="5">
        <v>6130</v>
      </c>
      <c r="D14287" s="6">
        <v>5.01</v>
      </c>
      <c r="E14287" t="s">
        <v>11</v>
      </c>
    </row>
    <row r="14288" spans="1:5" x14ac:dyDescent="0.25">
      <c r="A14288" t="str">
        <f>HYPERLINK("https://www.773grp.com/globalSearch/TLC2264AIPW/page-1", "TLC2264AIPW")</f>
        <v>TLC2264AIPW</v>
      </c>
      <c r="B14288" s="3" t="str">
        <f>HYPERLINK("https://www.773grp.com/manufacturer/texas-instruments?pageNo=579", "Texas Instruments")</f>
        <v>Texas Instruments</v>
      </c>
      <c r="C14288" s="5">
        <v>1200</v>
      </c>
      <c r="D14288" s="6">
        <v>5.01</v>
      </c>
      <c r="E14288" t="s">
        <v>11</v>
      </c>
    </row>
    <row r="14289" spans="1:5" x14ac:dyDescent="0.25">
      <c r="A14289" t="str">
        <f>HYPERLINK("https://www.773grp.com/globalSearch/TLC2272AQD/page-1", "TLC2272AQD")</f>
        <v>TLC2272AQD</v>
      </c>
      <c r="B14289" s="3" t="str">
        <f>HYPERLINK("https://www.773grp.com/manufacturer/texas-instruments?pageNo=581", "Texas Instruments")</f>
        <v>Texas Instruments</v>
      </c>
      <c r="C14289" s="5">
        <v>530</v>
      </c>
      <c r="D14289" s="6">
        <v>5.01</v>
      </c>
      <c r="E14289" t="s">
        <v>11</v>
      </c>
    </row>
    <row r="14290" spans="1:5" x14ac:dyDescent="0.25">
      <c r="A14290" t="str">
        <f>HYPERLINK("https://www.773grp.com/globalSearch/TLC2274ACPW/page-1", "TLC2274ACPW")</f>
        <v>TLC2274ACPW</v>
      </c>
      <c r="B14290" s="3" t="str">
        <f>HYPERLINK("https://www.773grp.com/manufacturer/texas-instruments?pageNo=584", "Texas Instruments")</f>
        <v>Texas Instruments</v>
      </c>
      <c r="C14290" s="5">
        <v>257</v>
      </c>
      <c r="D14290" s="6">
        <v>5.01</v>
      </c>
      <c r="E14290" t="s">
        <v>11</v>
      </c>
    </row>
    <row r="14291" spans="1:5" x14ac:dyDescent="0.25">
      <c r="A14291" t="str">
        <f>HYPERLINK("https://www.773grp.com/globalSearch/TLC2274AIN/page-1", "TLC2274AIN")</f>
        <v>TLC2274AIN</v>
      </c>
      <c r="B14291" s="3" t="str">
        <f>HYPERLINK("https://www.773grp.com/manufacturer/texas-instruments?pageNo=585", "Texas Instruments")</f>
        <v>Texas Instruments</v>
      </c>
      <c r="C14291" s="5">
        <v>2082</v>
      </c>
      <c r="D14291" s="6">
        <v>5.01</v>
      </c>
      <c r="E14291" t="s">
        <v>11</v>
      </c>
    </row>
    <row r="14292" spans="1:5" x14ac:dyDescent="0.25">
      <c r="A14292" t="str">
        <f>HYPERLINK("https://www.773grp.com/globalSearch/TLC2274AQD/page-1", "TLC2274AQD")</f>
        <v>TLC2274AQD</v>
      </c>
      <c r="B14292" s="3" t="str">
        <f>HYPERLINK("https://www.773grp.com/manufacturer/texas-instruments?pageNo=586", "Texas Instruments")</f>
        <v>Texas Instruments</v>
      </c>
      <c r="C14292" s="5">
        <v>5720</v>
      </c>
      <c r="D14292" s="6">
        <v>5.01</v>
      </c>
      <c r="E14292" t="s">
        <v>11</v>
      </c>
    </row>
    <row r="14293" spans="1:5" x14ac:dyDescent="0.25">
      <c r="A14293" t="str">
        <f>HYPERLINK("https://www.773grp.com/globalSearch/TLC2274AQDR/page-1", "TLC2274AQDR")</f>
        <v>TLC2274AQDR</v>
      </c>
      <c r="B14293" s="3" t="str">
        <f>HYPERLINK("https://www.773grp.com/manufacturer/texas-instruments?pageNo=588", "Texas Instruments")</f>
        <v>Texas Instruments</v>
      </c>
      <c r="C14293" s="5">
        <v>2500</v>
      </c>
      <c r="D14293" s="6">
        <v>5.01</v>
      </c>
      <c r="E14293" t="s">
        <v>11</v>
      </c>
    </row>
    <row r="14294" spans="1:5" x14ac:dyDescent="0.25">
      <c r="A14294" t="str">
        <f>HYPERLINK("https://www.773grp.com/globalSearch/TLC2274AQDRQ1/page-1", "TLC2274AQDRQ1")</f>
        <v>TLC2274AQDRQ1</v>
      </c>
      <c r="B14294" s="3" t="str">
        <f>HYPERLINK("https://www.773grp.com/manufacturer/texas-instruments?pageNo=589", "Texas Instruments")</f>
        <v>Texas Instruments</v>
      </c>
      <c r="C14294" s="5">
        <v>4184</v>
      </c>
      <c r="D14294" s="6">
        <v>5.01</v>
      </c>
      <c r="E14294" t="s">
        <v>11</v>
      </c>
    </row>
    <row r="14295" spans="1:5" x14ac:dyDescent="0.25">
      <c r="A14295" t="str">
        <f>HYPERLINK("https://www.773grp.com/globalSearch/TLC2274MD/page-1", "TLC2274MD")</f>
        <v>TLC2274MD</v>
      </c>
      <c r="B14295" s="3" t="str">
        <f>HYPERLINK("https://www.773grp.com/manufacturer/texas-instruments?pageNo=590", "Texas Instruments")</f>
        <v>Texas Instruments</v>
      </c>
      <c r="C14295" s="5">
        <v>2438</v>
      </c>
      <c r="D14295" s="6">
        <v>5.01</v>
      </c>
      <c r="E14295" t="s">
        <v>11</v>
      </c>
    </row>
    <row r="14296" spans="1:5" x14ac:dyDescent="0.25">
      <c r="A14296" t="str">
        <f>HYPERLINK("https://www.773grp.com/globalSearch/TLC2274MDG4/page-1", "TLC2274MDG4")</f>
        <v>TLC2274MDG4</v>
      </c>
      <c r="B14296" s="3" t="str">
        <f>HYPERLINK("https://www.773grp.com/manufacturer/texas-instruments?pageNo=591", "Texas Instruments")</f>
        <v>Texas Instruments</v>
      </c>
      <c r="C14296" s="5">
        <v>3400</v>
      </c>
      <c r="D14296" s="6">
        <v>5.01</v>
      </c>
      <c r="E14296" t="s">
        <v>11</v>
      </c>
    </row>
    <row r="14297" spans="1:5" x14ac:dyDescent="0.25">
      <c r="A14297" t="str">
        <f>HYPERLINK("https://www.773grp.com/globalSearch/TLC2274MDR/page-1", "TLC2274MDR")</f>
        <v>TLC2274MDR</v>
      </c>
      <c r="B14297" s="3" t="str">
        <f>HYPERLINK("https://www.773grp.com/manufacturer/texas-instruments?pageNo=592", "Texas Instruments")</f>
        <v>Texas Instruments</v>
      </c>
      <c r="C14297" s="5">
        <v>138000</v>
      </c>
      <c r="D14297" s="6">
        <v>5.01</v>
      </c>
      <c r="E14297" t="s">
        <v>11</v>
      </c>
    </row>
    <row r="14298" spans="1:5" x14ac:dyDescent="0.25">
      <c r="A14298" t="str">
        <f>HYPERLINK("https://www.773grp.com/globalSearch/TLC2274MN/page-1", "TLC2274MN")</f>
        <v>TLC2274MN</v>
      </c>
      <c r="B14298" s="3" t="str">
        <f>HYPERLINK("https://www.773grp.com/manufacturer/texas-instruments?pageNo=593", "Texas Instruments")</f>
        <v>Texas Instruments</v>
      </c>
      <c r="C14298" s="5">
        <v>29394</v>
      </c>
      <c r="D14298" s="6">
        <v>5.01</v>
      </c>
      <c r="E14298" t="s">
        <v>11</v>
      </c>
    </row>
    <row r="14299" spans="1:5" x14ac:dyDescent="0.25">
      <c r="A14299" t="str">
        <f>HYPERLINK("https://www.773grp.com/globalSearch/TLC277ID/page-1", "TLC277ID")</f>
        <v>TLC277ID</v>
      </c>
      <c r="B14299" s="3" t="str">
        <f>HYPERLINK("https://www.773grp.com/manufacturer/texas-instruments?pageNo=594", "Texas Instruments")</f>
        <v>Texas Instruments</v>
      </c>
      <c r="C14299" s="5">
        <v>2325</v>
      </c>
      <c r="D14299" s="6">
        <v>5.01</v>
      </c>
      <c r="E14299" t="s">
        <v>11</v>
      </c>
    </row>
    <row r="14300" spans="1:5" x14ac:dyDescent="0.25">
      <c r="A14300" t="str">
        <f>HYPERLINK("https://www.773grp.com/globalSearch/TLE2021ACP/page-1", "TLE2021ACP")</f>
        <v>TLE2021ACP</v>
      </c>
      <c r="B14300" s="3" t="str">
        <f>HYPERLINK("https://www.773grp.com/manufacturer/texas-instruments?pageNo=603", "Texas Instruments")</f>
        <v>Texas Instruments</v>
      </c>
      <c r="C14300" s="5">
        <v>3240</v>
      </c>
      <c r="D14300" s="6">
        <v>5.01</v>
      </c>
      <c r="E14300" t="s">
        <v>11</v>
      </c>
    </row>
    <row r="14301" spans="1:5" x14ac:dyDescent="0.25">
      <c r="A14301" t="str">
        <f>HYPERLINK("https://www.773grp.com/globalSearch/TLE2081ACP/page-1", "TLE2081ACP")</f>
        <v>TLE2081ACP</v>
      </c>
      <c r="B14301" s="3" t="str">
        <f>HYPERLINK("https://www.773grp.com/manufacturer/texas-instruments?pageNo=605", "Texas Instruments")</f>
        <v>Texas Instruments</v>
      </c>
      <c r="C14301" s="5">
        <v>5011</v>
      </c>
      <c r="D14301" s="6">
        <v>5.01</v>
      </c>
      <c r="E14301" t="s">
        <v>11</v>
      </c>
    </row>
    <row r="14302" spans="1:5" x14ac:dyDescent="0.25">
      <c r="A14302" t="str">
        <f>HYPERLINK("https://www.773grp.com/globalSearch/TLE2161ID/page-1", "TLE2161ID")</f>
        <v>TLE2161ID</v>
      </c>
      <c r="B14302" s="3" t="str">
        <f>HYPERLINK("https://www.773grp.com/manufacturer/texas-instruments?pageNo=607", "Texas Instruments")</f>
        <v>Texas Instruments</v>
      </c>
      <c r="C14302" s="5">
        <v>1430</v>
      </c>
      <c r="D14302" s="6">
        <v>5.01</v>
      </c>
      <c r="E14302" t="s">
        <v>11</v>
      </c>
    </row>
    <row r="14303" spans="1:5" x14ac:dyDescent="0.25">
      <c r="A14303" t="str">
        <f>HYPERLINK("https://www.773grp.com/globalSearch/TLV2262AIP/page-1", "TLV2262AIP")</f>
        <v>TLV2262AIP</v>
      </c>
      <c r="B14303" s="3" t="str">
        <f>HYPERLINK("https://www.773grp.com/manufacturer/texas-instruments?pageNo=608", "Texas Instruments")</f>
        <v>Texas Instruments</v>
      </c>
      <c r="C14303" s="5">
        <v>1157</v>
      </c>
      <c r="D14303" s="6">
        <v>5.01</v>
      </c>
      <c r="E14303" t="s">
        <v>11</v>
      </c>
    </row>
    <row r="14304" spans="1:5" x14ac:dyDescent="0.25">
      <c r="A14304" t="str">
        <f>HYPERLINK("https://www.773grp.com/globalSearch/TLV2341ID/page-1", "TLV2341ID")</f>
        <v>TLV2341ID</v>
      </c>
      <c r="B14304" s="3" t="str">
        <f>HYPERLINK("https://www.773grp.com/manufacturer/texas-instruments?pageNo=609", "Texas Instruments")</f>
        <v>Texas Instruments</v>
      </c>
      <c r="C14304" s="5">
        <v>32333</v>
      </c>
      <c r="D14304" s="6">
        <v>5.01</v>
      </c>
      <c r="E14304" t="s">
        <v>11</v>
      </c>
    </row>
    <row r="14305" spans="1:5" x14ac:dyDescent="0.25">
      <c r="A14305" t="str">
        <f>HYPERLINK("https://www.773grp.com/globalSearch/TLV2373IN/page-1", "TLV2373IN")</f>
        <v>TLV2373IN</v>
      </c>
      <c r="B14305" s="3" t="str">
        <f>HYPERLINK("https://www.773grp.com/manufacturer/texas-instruments?pageNo=612", "Texas Instruments")</f>
        <v>Texas Instruments</v>
      </c>
      <c r="C14305" s="5">
        <v>17515</v>
      </c>
      <c r="D14305" s="6">
        <v>5.01</v>
      </c>
      <c r="E14305" t="s">
        <v>11</v>
      </c>
    </row>
    <row r="14306" spans="1:5" x14ac:dyDescent="0.25">
      <c r="A14306" t="str">
        <f>HYPERLINK("https://www.773grp.com/globalSearch/TLV2375IN/page-1", "TLV2375IN")</f>
        <v>TLV2375IN</v>
      </c>
      <c r="B14306" s="3" t="str">
        <f>HYPERLINK("https://www.773grp.com/manufacturer/texas-instruments?pageNo=613", "Texas Instruments")</f>
        <v>Texas Instruments</v>
      </c>
      <c r="C14306" s="5">
        <v>15344</v>
      </c>
      <c r="D14306" s="6">
        <v>5.01</v>
      </c>
      <c r="E14306" t="s">
        <v>11</v>
      </c>
    </row>
    <row r="14307" spans="1:5" x14ac:dyDescent="0.25">
      <c r="A14307" t="str">
        <f>HYPERLINK("https://www.773grp.com/globalSearch/TLV2422AID/page-1", "TLV2422AID")</f>
        <v>TLV2422AID</v>
      </c>
      <c r="B14307" s="3" t="str">
        <f>HYPERLINK("https://www.773grp.com/manufacturer/texas-instruments?pageNo=614", "Texas Instruments")</f>
        <v>Texas Instruments</v>
      </c>
      <c r="C14307" s="5">
        <v>15365</v>
      </c>
      <c r="D14307" s="6">
        <v>5.01</v>
      </c>
      <c r="E14307" t="s">
        <v>11</v>
      </c>
    </row>
    <row r="14308" spans="1:5" x14ac:dyDescent="0.25">
      <c r="A14308" t="str">
        <f>HYPERLINK("https://www.773grp.com/globalSearch/TLV2422IDR/page-1", "TLV2422IDR")</f>
        <v>TLV2422IDR</v>
      </c>
      <c r="B14308" s="3" t="str">
        <f>HYPERLINK("https://www.773grp.com/manufacturer/texas-instruments?pageNo=615", "Texas Instruments")</f>
        <v>Texas Instruments</v>
      </c>
      <c r="C14308" s="5">
        <v>2500</v>
      </c>
      <c r="D14308" s="6">
        <v>5.01</v>
      </c>
      <c r="E14308" t="s">
        <v>11</v>
      </c>
    </row>
    <row r="14309" spans="1:5" x14ac:dyDescent="0.25">
      <c r="A14309" t="str">
        <f>HYPERLINK("https://www.773grp.com/globalSearch/TLV2432AID/page-1", "TLV2432AID")</f>
        <v>TLV2432AID</v>
      </c>
      <c r="B14309" s="3" t="str">
        <f>HYPERLINK("https://www.773grp.com/manufacturer/texas-instruments?pageNo=616", "Texas Instruments")</f>
        <v>Texas Instruments</v>
      </c>
      <c r="C14309" s="5">
        <v>30</v>
      </c>
      <c r="D14309" s="6">
        <v>5.01</v>
      </c>
      <c r="E14309" t="s">
        <v>11</v>
      </c>
    </row>
    <row r="14310" spans="1:5" x14ac:dyDescent="0.25">
      <c r="A14310" t="str">
        <f>HYPERLINK("https://www.773grp.com/globalSearch/TLV2432AIPW/page-1", "TLV2432AIPW")</f>
        <v>TLV2432AIPW</v>
      </c>
      <c r="B14310" s="3" t="str">
        <f>HYPERLINK("https://www.773grp.com/manufacturer/texas-instruments?pageNo=617", "Texas Instruments")</f>
        <v>Texas Instruments</v>
      </c>
      <c r="C14310" s="5">
        <v>16</v>
      </c>
      <c r="D14310" s="6">
        <v>5.01</v>
      </c>
      <c r="E14310" t="s">
        <v>11</v>
      </c>
    </row>
    <row r="14311" spans="1:5" x14ac:dyDescent="0.25">
      <c r="A14311" t="str">
        <f>HYPERLINK("https://www.773grp.com/globalSearch/TLV2444CDR/page-1", "TLV2444CDR")</f>
        <v>TLV2444CDR</v>
      </c>
      <c r="B14311" s="3" t="str">
        <f>HYPERLINK("https://www.773grp.com/manufacturer/texas-instruments?pageNo=618", "Texas Instruments")</f>
        <v>Texas Instruments</v>
      </c>
      <c r="C14311" s="5">
        <v>51202</v>
      </c>
      <c r="D14311" s="6">
        <v>5.01</v>
      </c>
      <c r="E14311" t="s">
        <v>11</v>
      </c>
    </row>
    <row r="14312" spans="1:5" x14ac:dyDescent="0.25">
      <c r="A14312" t="str">
        <f>HYPERLINK("https://www.773grp.com/globalSearch/TLV2450AIP/page-1", "TLV2450AIP")</f>
        <v>TLV2450AIP</v>
      </c>
      <c r="B14312" s="3" t="str">
        <f>HYPERLINK("https://www.773grp.com/manufacturer/texas-instruments?pageNo=619", "Texas Instruments")</f>
        <v>Texas Instruments</v>
      </c>
      <c r="C14312" s="5">
        <v>40150</v>
      </c>
      <c r="D14312" s="6">
        <v>5.01</v>
      </c>
      <c r="E14312" t="s">
        <v>11</v>
      </c>
    </row>
    <row r="14313" spans="1:5" x14ac:dyDescent="0.25">
      <c r="A14313" t="str">
        <f>HYPERLINK("https://www.773grp.com/globalSearch/TLV2450AIPE4/page-1", "TLV2450AIPE4")</f>
        <v>TLV2450AIPE4</v>
      </c>
      <c r="B14313" s="3" t="str">
        <f>HYPERLINK("https://www.773grp.com/manufacturer/texas-instruments?pageNo=620", "Texas Instruments")</f>
        <v>Texas Instruments</v>
      </c>
      <c r="C14313" s="5">
        <v>263</v>
      </c>
      <c r="D14313" s="6">
        <v>5.01</v>
      </c>
      <c r="E14313" t="s">
        <v>11</v>
      </c>
    </row>
    <row r="14314" spans="1:5" x14ac:dyDescent="0.25">
      <c r="A14314" t="str">
        <f>HYPERLINK("https://www.773grp.com/globalSearch/TLV2451AID/page-1", "TLV2451AID")</f>
        <v>TLV2451AID</v>
      </c>
      <c r="B14314" s="3" t="str">
        <f>HYPERLINK("https://www.773grp.com/manufacturer/texas-instruments?pageNo=621", "Texas Instruments")</f>
        <v>Texas Instruments</v>
      </c>
      <c r="C14314" s="5">
        <v>26700</v>
      </c>
      <c r="D14314" s="6">
        <v>5.01</v>
      </c>
      <c r="E14314" t="s">
        <v>11</v>
      </c>
    </row>
    <row r="14315" spans="1:5" x14ac:dyDescent="0.25">
      <c r="A14315" t="str">
        <f>HYPERLINK("https://www.773grp.com/globalSearch/TLV2453IDGSR/page-1", "TLV2453IDGSR")</f>
        <v>TLV2453IDGSR</v>
      </c>
      <c r="B14315" s="3" t="str">
        <f>HYPERLINK("https://www.773grp.com/manufacturer/texas-instruments?pageNo=622", "Texas Instruments")</f>
        <v>Texas Instruments</v>
      </c>
      <c r="C14315" s="5">
        <v>2500</v>
      </c>
      <c r="D14315" s="6">
        <v>5.01</v>
      </c>
      <c r="E14315" t="s">
        <v>11</v>
      </c>
    </row>
    <row r="14316" spans="1:5" x14ac:dyDescent="0.25">
      <c r="A14316" t="str">
        <f>HYPERLINK("https://www.773grp.com/globalSearch/TLV2453IDR/page-1", "TLV2453IDR")</f>
        <v>TLV2453IDR</v>
      </c>
      <c r="B14316" s="3" t="str">
        <f>HYPERLINK("https://www.773grp.com/manufacturer/texas-instruments?pageNo=623", "Texas Instruments")</f>
        <v>Texas Instruments</v>
      </c>
      <c r="C14316" s="5">
        <v>25000</v>
      </c>
      <c r="D14316" s="6">
        <v>5.01</v>
      </c>
      <c r="E14316" t="s">
        <v>11</v>
      </c>
    </row>
    <row r="14317" spans="1:5" x14ac:dyDescent="0.25">
      <c r="A14317" t="str">
        <f>HYPERLINK("https://www.773grp.com/globalSearch/TLV2460AIP/page-1", "TLV2460AIP")</f>
        <v>TLV2460AIP</v>
      </c>
      <c r="B14317" s="3" t="str">
        <f>HYPERLINK("https://www.773grp.com/manufacturer/texas-instruments?pageNo=624", "Texas Instruments")</f>
        <v>Texas Instruments</v>
      </c>
      <c r="C14317" s="5">
        <v>29650</v>
      </c>
      <c r="D14317" s="6">
        <v>5.01</v>
      </c>
      <c r="E14317" t="s">
        <v>11</v>
      </c>
    </row>
    <row r="14318" spans="1:5" x14ac:dyDescent="0.25">
      <c r="A14318" t="str">
        <f>HYPERLINK("https://www.773grp.com/globalSearch/TLV2461AID/page-1", "TLV2461AID")</f>
        <v>TLV2461AID</v>
      </c>
      <c r="B14318" s="3" t="str">
        <f>HYPERLINK("https://www.773grp.com/manufacturer/texas-instruments?pageNo=625", "Texas Instruments")</f>
        <v>Texas Instruments</v>
      </c>
      <c r="C14318" s="5">
        <v>29741</v>
      </c>
      <c r="D14318" s="6">
        <v>5.01</v>
      </c>
      <c r="E14318" t="s">
        <v>11</v>
      </c>
    </row>
    <row r="14319" spans="1:5" x14ac:dyDescent="0.25">
      <c r="A14319" t="str">
        <f>HYPERLINK("https://www.773grp.com/globalSearch/TLV2462QD/page-1", "TLV2462QD")</f>
        <v>TLV2462QD</v>
      </c>
      <c r="B14319" s="3" t="str">
        <f>HYPERLINK("https://www.773grp.com/manufacturer/texas-instruments?pageNo=626", "Texas Instruments")</f>
        <v>Texas Instruments</v>
      </c>
      <c r="C14319" s="5">
        <v>8527</v>
      </c>
      <c r="D14319" s="6">
        <v>5.01</v>
      </c>
      <c r="E14319" t="s">
        <v>11</v>
      </c>
    </row>
    <row r="14320" spans="1:5" x14ac:dyDescent="0.25">
      <c r="A14320" t="str">
        <f>HYPERLINK("https://www.773grp.com/globalSearch/TLV2463ID/page-1", "TLV2463ID")</f>
        <v>TLV2463ID</v>
      </c>
      <c r="B14320" s="3" t="str">
        <f>HYPERLINK("https://www.773grp.com/manufacturer/texas-instruments?pageNo=627", "Texas Instruments")</f>
        <v>Texas Instruments</v>
      </c>
      <c r="C14320" s="5">
        <v>12840</v>
      </c>
      <c r="D14320" s="6">
        <v>5.01</v>
      </c>
      <c r="E14320" t="s">
        <v>11</v>
      </c>
    </row>
    <row r="14321" spans="1:5" x14ac:dyDescent="0.25">
      <c r="A14321" t="str">
        <f>HYPERLINK("https://www.773grp.com/globalSearch/TLV2463IDGSR/page-1", "TLV2463IDGSR")</f>
        <v>TLV2463IDGSR</v>
      </c>
      <c r="B14321" s="3" t="str">
        <f>HYPERLINK("https://www.773grp.com/manufacturer/texas-instruments?pageNo=628", "Texas Instruments")</f>
        <v>Texas Instruments</v>
      </c>
      <c r="C14321" s="5">
        <v>19975</v>
      </c>
      <c r="D14321" s="6">
        <v>5.01</v>
      </c>
      <c r="E14321" t="s">
        <v>11</v>
      </c>
    </row>
    <row r="14322" spans="1:5" x14ac:dyDescent="0.25">
      <c r="A14322" t="str">
        <f>HYPERLINK("https://www.773grp.com/globalSearch/TLV2624IDR/page-1", "TLV2624IDR")</f>
        <v>TLV2624IDR</v>
      </c>
      <c r="B14322" s="3" t="str">
        <f>HYPERLINK("https://www.773grp.com/manufacturer/texas-instruments?pageNo=629", "Texas Instruments")</f>
        <v>Texas Instruments</v>
      </c>
      <c r="C14322" s="5">
        <v>2500</v>
      </c>
      <c r="D14322" s="6">
        <v>5.01</v>
      </c>
      <c r="E14322" t="s">
        <v>11</v>
      </c>
    </row>
    <row r="14323" spans="1:5" x14ac:dyDescent="0.25">
      <c r="A14323" t="str">
        <f>HYPERLINK("https://www.773grp.com/globalSearch/TLV2624IPWR/page-1", "TLV2624IPWR")</f>
        <v>TLV2624IPWR</v>
      </c>
      <c r="B14323" s="3" t="str">
        <f>HYPERLINK("https://www.773grp.com/manufacturer/texas-instruments?pageNo=630", "Texas Instruments")</f>
        <v>Texas Instruments</v>
      </c>
      <c r="C14323" s="5">
        <v>130000</v>
      </c>
      <c r="D14323" s="6">
        <v>5.01</v>
      </c>
      <c r="E14323" t="s">
        <v>11</v>
      </c>
    </row>
    <row r="14324" spans="1:5" x14ac:dyDescent="0.25">
      <c r="A14324" t="str">
        <f>HYPERLINK("https://www.773grp.com/globalSearch/TLV2632IP/page-1", "TLV2632IP")</f>
        <v>TLV2632IP</v>
      </c>
      <c r="B14324" s="3" t="str">
        <f>HYPERLINK("https://www.773grp.com/manufacturer/texas-instruments?pageNo=631", "Texas Instruments")</f>
        <v>Texas Instruments</v>
      </c>
      <c r="C14324" s="5">
        <v>565</v>
      </c>
      <c r="D14324" s="6">
        <v>5.01</v>
      </c>
      <c r="E14324" t="s">
        <v>11</v>
      </c>
    </row>
    <row r="14325" spans="1:5" x14ac:dyDescent="0.25">
      <c r="A14325" t="str">
        <f>HYPERLINK("https://www.773grp.com/globalSearch/TLV2634ID/page-1", "TLV2634ID")</f>
        <v>TLV2634ID</v>
      </c>
      <c r="B14325" s="3" t="str">
        <f>HYPERLINK("https://www.773grp.com/manufacturer/texas-instruments?pageNo=632", "Texas Instruments")</f>
        <v>Texas Instruments</v>
      </c>
      <c r="C14325" s="5">
        <v>27875</v>
      </c>
      <c r="D14325" s="6">
        <v>5.01</v>
      </c>
      <c r="E14325" t="s">
        <v>11</v>
      </c>
    </row>
    <row r="14326" spans="1:5" x14ac:dyDescent="0.25">
      <c r="A14326" t="str">
        <f>HYPERLINK("https://www.773grp.com/globalSearch/TLV2763CDR/page-1", "TLV2763CDR")</f>
        <v>TLV2763CDR</v>
      </c>
      <c r="B14326" s="3" t="str">
        <f>HYPERLINK("https://www.773grp.com/manufacturer/texas-instruments?pageNo=633", "Texas Instruments")</f>
        <v>Texas Instruments</v>
      </c>
      <c r="C14326" s="5">
        <v>5000</v>
      </c>
      <c r="D14326" s="6">
        <v>5.01</v>
      </c>
      <c r="E14326" t="s">
        <v>11</v>
      </c>
    </row>
    <row r="14327" spans="1:5" x14ac:dyDescent="0.25">
      <c r="A14327" t="str">
        <f>HYPERLINK("https://www.773grp.com/globalSearch/TLV2770AID/page-1", "TLV2770AID")</f>
        <v>TLV2770AID</v>
      </c>
      <c r="B14327" s="3" t="str">
        <f>HYPERLINK("https://www.773grp.com/manufacturer/texas-instruments?pageNo=634", "Texas Instruments")</f>
        <v>Texas Instruments</v>
      </c>
      <c r="C14327" s="5">
        <v>36150</v>
      </c>
      <c r="D14327" s="6">
        <v>5.01</v>
      </c>
      <c r="E14327" t="s">
        <v>11</v>
      </c>
    </row>
    <row r="14328" spans="1:5" x14ac:dyDescent="0.25">
      <c r="A14328" t="str">
        <f>HYPERLINK("https://www.773grp.com/globalSearch/TLV2772IDGKR/page-1", "TLV2772IDGKR")</f>
        <v>TLV2772IDGKR</v>
      </c>
      <c r="B14328" s="3" t="str">
        <f>HYPERLINK("https://www.773grp.com/manufacturer/texas-instruments?pageNo=635", "Texas Instruments")</f>
        <v>Texas Instruments</v>
      </c>
      <c r="C14328" s="5">
        <v>5000</v>
      </c>
      <c r="D14328" s="6">
        <v>5.01</v>
      </c>
      <c r="E14328" t="s">
        <v>11</v>
      </c>
    </row>
    <row r="14329" spans="1:5" x14ac:dyDescent="0.25">
      <c r="A14329" t="str">
        <f>HYPERLINK("https://www.773grp.com/globalSearch/TLV2772IDR/page-1", "TLV2772IDR")</f>
        <v>TLV2772IDR</v>
      </c>
      <c r="B14329" s="3" t="str">
        <f>HYPERLINK("https://www.773grp.com/manufacturer/texas-instruments?pageNo=636", "Texas Instruments")</f>
        <v>Texas Instruments</v>
      </c>
      <c r="C14329" s="5">
        <v>5000</v>
      </c>
      <c r="D14329" s="6">
        <v>5.01</v>
      </c>
      <c r="E14329" t="s">
        <v>11</v>
      </c>
    </row>
    <row r="14330" spans="1:5" x14ac:dyDescent="0.25">
      <c r="A14330" t="str">
        <f>HYPERLINK("https://www.773grp.com/globalSearch/TLV2782IDGKR/page-1", "TLV2782IDGKR")</f>
        <v>TLV2782IDGKR</v>
      </c>
      <c r="B14330" s="3" t="str">
        <f>HYPERLINK("https://www.773grp.com/manufacturer/texas-instruments?pageNo=637", "Texas Instruments")</f>
        <v>Texas Instruments</v>
      </c>
      <c r="C14330" s="5">
        <v>47</v>
      </c>
      <c r="D14330" s="6">
        <v>5.01</v>
      </c>
      <c r="E14330" t="s">
        <v>11</v>
      </c>
    </row>
    <row r="14331" spans="1:5" x14ac:dyDescent="0.25">
      <c r="A14331" t="str">
        <f>HYPERLINK("https://www.773grp.com/globalSearch/TLV2782IDR/page-1", "TLV2782IDR")</f>
        <v>TLV2782IDR</v>
      </c>
      <c r="B14331" s="3" t="str">
        <f>HYPERLINK("https://www.773grp.com/manufacturer/texas-instruments?pageNo=638", "Texas Instruments")</f>
        <v>Texas Instruments</v>
      </c>
      <c r="C14331" s="5">
        <v>35000</v>
      </c>
      <c r="D14331" s="6">
        <v>5.01</v>
      </c>
      <c r="E14331" t="s">
        <v>11</v>
      </c>
    </row>
    <row r="14332" spans="1:5" x14ac:dyDescent="0.25">
      <c r="A14332" t="str">
        <f>HYPERLINK("https://www.773grp.com/globalSearch/TLV4112IDR/page-1", "TLV4112IDR")</f>
        <v>TLV4112IDR</v>
      </c>
      <c r="B14332" s="3" t="str">
        <f>HYPERLINK("https://www.773grp.com/manufacturer/texas-instruments?pageNo=645", "Texas Instruments")</f>
        <v>Texas Instruments</v>
      </c>
      <c r="C14332" s="5">
        <v>2500</v>
      </c>
      <c r="D14332" s="6">
        <v>5.01</v>
      </c>
      <c r="E14332" t="s">
        <v>11</v>
      </c>
    </row>
    <row r="14333" spans="1:5" x14ac:dyDescent="0.25">
      <c r="A14333" t="str">
        <f>HYPERLINK("https://www.773grp.com/globalSearch/OPA4830IPW/page-1", "OPA4830IPW")</f>
        <v>OPA4830IPW</v>
      </c>
      <c r="B14333" s="3" t="str">
        <f>HYPERLINK("https://www.773grp.com/manufacturer/texas-instruments?pageNo=767", "Texas Instruments")</f>
        <v>Texas Instruments</v>
      </c>
      <c r="C14333" s="5">
        <v>2970</v>
      </c>
      <c r="D14333" s="6">
        <v>4.5599999999999996</v>
      </c>
      <c r="E14333" t="s">
        <v>11</v>
      </c>
    </row>
    <row r="14334" spans="1:5" x14ac:dyDescent="0.25">
      <c r="A14334" t="str">
        <f>HYPERLINK("https://www.773grp.com/globalSearch/TLV2472CD/page-1", "TLV2472CD")</f>
        <v>TLV2472CD</v>
      </c>
      <c r="B14334" s="3" t="str">
        <f>HYPERLINK("https://www.773grp.com/manufacturer/texas-instruments?pageNo=803", "Texas Instruments")</f>
        <v>Texas Instruments</v>
      </c>
      <c r="C14334" s="5">
        <v>106</v>
      </c>
      <c r="D14334" s="6">
        <v>5.0599999999999996</v>
      </c>
      <c r="E14334" t="s">
        <v>11</v>
      </c>
    </row>
    <row r="14335" spans="1:5" x14ac:dyDescent="0.25">
      <c r="A14335" t="str">
        <f>HYPERLINK("https://www.773grp.com/globalSearch/TLV2472CDGN/page-1", "TLV2472CDGN")</f>
        <v>TLV2472CDGN</v>
      </c>
      <c r="B14335" s="3" t="str">
        <f>HYPERLINK("https://www.773grp.com/manufacturer/texas-instruments?pageNo=804", "Texas Instruments")</f>
        <v>Texas Instruments</v>
      </c>
      <c r="C14335" s="5">
        <v>3329</v>
      </c>
      <c r="D14335" s="6">
        <v>5.0599999999999996</v>
      </c>
      <c r="E14335" t="s">
        <v>11</v>
      </c>
    </row>
    <row r="14336" spans="1:5" x14ac:dyDescent="0.25">
      <c r="A14336" t="str">
        <f>HYPERLINK("https://www.773grp.com/globalSearch/TLV2472IP/page-1", "TLV2472IP")</f>
        <v>TLV2472IP</v>
      </c>
      <c r="B14336" s="3" t="str">
        <f>HYPERLINK("https://www.773grp.com/manufacturer/texas-instruments?pageNo=805", "Texas Instruments")</f>
        <v>Texas Instruments</v>
      </c>
      <c r="C14336" s="5">
        <v>13253</v>
      </c>
      <c r="D14336" s="6">
        <v>5.0599999999999996</v>
      </c>
      <c r="E14336" t="s">
        <v>11</v>
      </c>
    </row>
    <row r="14337" spans="1:5" x14ac:dyDescent="0.25">
      <c r="A14337" t="str">
        <f>HYPERLINK("https://www.773grp.com/globalSearch/TLC2201BID/page-1", "TLC2201BID")</f>
        <v>TLC2201BID</v>
      </c>
      <c r="B14337" s="3" t="str">
        <f>HYPERLINK("https://www.773grp.com/manufacturer/texas-instruments?pageNo=848", "Texas Instruments")</f>
        <v>Texas Instruments</v>
      </c>
      <c r="C14337" s="5">
        <v>4</v>
      </c>
      <c r="D14337" s="6">
        <v>4.59</v>
      </c>
      <c r="E14337" t="s">
        <v>11</v>
      </c>
    </row>
    <row r="14338" spans="1:5" x14ac:dyDescent="0.25">
      <c r="A14338" t="str">
        <f>HYPERLINK("https://www.773grp.com/globalSearch/TLC2201BIP/page-1", "TLC2201BIP")</f>
        <v>TLC2201BIP</v>
      </c>
      <c r="B14338" s="3" t="str">
        <f>HYPERLINK("https://www.773grp.com/manufacturer/texas-instruments?pageNo=849", "Texas Instruments")</f>
        <v>Texas Instruments</v>
      </c>
      <c r="C14338" s="5">
        <v>1321</v>
      </c>
      <c r="D14338" s="6">
        <v>4.59</v>
      </c>
      <c r="E14338" t="s">
        <v>11</v>
      </c>
    </row>
    <row r="14339" spans="1:5" x14ac:dyDescent="0.25">
      <c r="A14339" t="str">
        <f>HYPERLINK("https://www.773grp.com/globalSearch/TLC252ACD/page-1", "TLC252ACD")</f>
        <v>TLC252ACD</v>
      </c>
      <c r="B14339" s="3" t="str">
        <f>HYPERLINK("https://www.773grp.com/manufacturer/texas-instruments?pageNo=850", "Texas Instruments")</f>
        <v>Texas Instruments</v>
      </c>
      <c r="C14339" s="5">
        <v>1925</v>
      </c>
      <c r="D14339" s="6">
        <v>4.59</v>
      </c>
      <c r="E14339" t="s">
        <v>11</v>
      </c>
    </row>
    <row r="14340" spans="1:5" x14ac:dyDescent="0.25">
      <c r="A14340" t="str">
        <f>HYPERLINK("https://www.773grp.com/globalSearch/TLV2304IN/page-1", "TLV2304IN")</f>
        <v>TLV2304IN</v>
      </c>
      <c r="B14340" s="3" t="str">
        <f>HYPERLINK("https://www.773grp.com/manufacturer/texas-instruments?pageNo=852", "Texas Instruments")</f>
        <v>Texas Instruments</v>
      </c>
      <c r="C14340" s="5">
        <v>6925</v>
      </c>
      <c r="D14340" s="6">
        <v>4.59</v>
      </c>
      <c r="E14340" t="s">
        <v>11</v>
      </c>
    </row>
    <row r="14341" spans="1:5" x14ac:dyDescent="0.25">
      <c r="A14341" t="str">
        <f>HYPERLINK("https://www.773grp.com/globalSearch/LT1013IP/page-1", "LT1013IP")</f>
        <v>LT1013IP</v>
      </c>
      <c r="B14341" s="3" t="str">
        <f>HYPERLINK("https://www.773grp.com/manufacturer/texas-instruments?pageNo=875", "Texas Instruments")</f>
        <v>Texas Instruments</v>
      </c>
      <c r="C14341" s="5">
        <v>21564</v>
      </c>
      <c r="D14341" s="6">
        <v>4.6100000000000003</v>
      </c>
      <c r="E14341" t="s">
        <v>11</v>
      </c>
    </row>
    <row r="14342" spans="1:5" x14ac:dyDescent="0.25">
      <c r="A14342" t="str">
        <f>HYPERLINK("https://www.773grp.com/globalSearch/TL051AIP/page-1", "TL051AIP")</f>
        <v>TL051AIP</v>
      </c>
      <c r="B14342" s="3" t="str">
        <f>HYPERLINK("https://www.773grp.com/manufacturer/texas-instruments?pageNo=941", "Texas Instruments")</f>
        <v>Texas Instruments</v>
      </c>
      <c r="C14342" s="5">
        <v>9100</v>
      </c>
      <c r="D14342" s="6">
        <v>4.6100000000000003</v>
      </c>
      <c r="E14342" t="s">
        <v>11</v>
      </c>
    </row>
    <row r="14343" spans="1:5" x14ac:dyDescent="0.25">
      <c r="A14343" t="str">
        <f>HYPERLINK("https://www.773grp.com/globalSearch/TLC25L2ACD/page-1", "TLC25L2ACD")</f>
        <v>TLC25L2ACD</v>
      </c>
      <c r="B14343" s="3" t="str">
        <f>HYPERLINK("https://www.773grp.com/manufacturer/texas-instruments?pageNo=950", "Texas Instruments")</f>
        <v>Texas Instruments</v>
      </c>
      <c r="C14343" s="5">
        <v>8975</v>
      </c>
      <c r="D14343" s="6">
        <v>4.6100000000000003</v>
      </c>
      <c r="E14343" t="s">
        <v>11</v>
      </c>
    </row>
    <row r="14344" spans="1:5" x14ac:dyDescent="0.25">
      <c r="A14344" t="str">
        <f>HYPERLINK("https://www.773grp.com/globalSearch/TLC25M2ACD/page-1", "TLC25M2ACD")</f>
        <v>TLC25M2ACD</v>
      </c>
      <c r="B14344" s="3" t="str">
        <f>HYPERLINK("https://www.773grp.com/manufacturer/texas-instruments?pageNo=951", "Texas Instruments")</f>
        <v>Texas Instruments</v>
      </c>
      <c r="C14344" s="5">
        <v>5400</v>
      </c>
      <c r="D14344" s="6">
        <v>4.6100000000000003</v>
      </c>
      <c r="E14344" t="s">
        <v>11</v>
      </c>
    </row>
    <row r="14345" spans="1:5" x14ac:dyDescent="0.25">
      <c r="A14345" t="str">
        <f>HYPERLINK("https://www.773grp.com/globalSearch/TLE2027ACP/page-1", "TLE2027ACP")</f>
        <v>TLE2027ACP</v>
      </c>
      <c r="B14345" s="3" t="str">
        <f>HYPERLINK("https://www.773grp.com/manufacturer/texas-instruments?pageNo=952", "Texas Instruments")</f>
        <v>Texas Instruments</v>
      </c>
      <c r="C14345" s="5">
        <v>8</v>
      </c>
      <c r="D14345" s="6">
        <v>4.6100000000000003</v>
      </c>
      <c r="E14345" t="s">
        <v>11</v>
      </c>
    </row>
    <row r="14346" spans="1:5" x14ac:dyDescent="0.25">
      <c r="A14346" t="str">
        <f>HYPERLINK("https://www.773grp.com/globalSearch/INA143U/page-1", "INA143U")</f>
        <v>INA143U</v>
      </c>
      <c r="B14346" s="3" t="s">
        <v>90</v>
      </c>
      <c r="C14346" s="5">
        <v>381</v>
      </c>
      <c r="D14346" s="6">
        <v>4.6399999999999997</v>
      </c>
      <c r="E14346" t="s">
        <v>11</v>
      </c>
    </row>
    <row r="14347" spans="1:5" x14ac:dyDescent="0.25">
      <c r="A14347" t="str">
        <f>HYPERLINK("https://www.773grp.com/globalSearch/OPA2131UJ/page-1", "OPA2131UJ")</f>
        <v>OPA2131UJ</v>
      </c>
      <c r="B14347" s="3" t="s">
        <v>90</v>
      </c>
      <c r="C14347" s="5">
        <v>23100</v>
      </c>
      <c r="D14347" s="6">
        <v>4.6399999999999997</v>
      </c>
      <c r="E14347" t="s">
        <v>11</v>
      </c>
    </row>
    <row r="14348" spans="1:5" x14ac:dyDescent="0.25">
      <c r="A14348" t="str">
        <f>HYPERLINK("https://www.773grp.com/globalSearch/OPA2209AIDGKR/page-1", "OPA2209AIDGKR")</f>
        <v>OPA2209AIDGKR</v>
      </c>
      <c r="B14348" s="3" t="s">
        <v>90</v>
      </c>
      <c r="C14348" s="5">
        <v>120</v>
      </c>
      <c r="D14348" s="6">
        <v>4.6399999999999997</v>
      </c>
      <c r="E14348" t="s">
        <v>11</v>
      </c>
    </row>
    <row r="14349" spans="1:5" x14ac:dyDescent="0.25">
      <c r="A14349" t="str">
        <f>HYPERLINK("https://www.773grp.com/globalSearch/OPA234E-250/page-1", "OPA234E-250")</f>
        <v>OPA234E-250</v>
      </c>
      <c r="B14349" s="3" t="s">
        <v>90</v>
      </c>
      <c r="C14349" s="5">
        <v>500</v>
      </c>
      <c r="D14349" s="6">
        <v>4.6399999999999997</v>
      </c>
      <c r="E14349" t="s">
        <v>11</v>
      </c>
    </row>
    <row r="14350" spans="1:5" x14ac:dyDescent="0.25">
      <c r="A14350" t="str">
        <f>HYPERLINK("https://www.773grp.com/globalSearch/OPA2677U-2K5/page-1", "OPA2677U-2K5")</f>
        <v>OPA2677U-2K5</v>
      </c>
      <c r="B14350" s="3" t="s">
        <v>90</v>
      </c>
      <c r="C14350" s="5">
        <v>112500</v>
      </c>
      <c r="D14350" s="6">
        <v>4.6399999999999997</v>
      </c>
      <c r="E14350" t="s">
        <v>11</v>
      </c>
    </row>
    <row r="14351" spans="1:5" x14ac:dyDescent="0.25">
      <c r="A14351" t="str">
        <f>HYPERLINK("https://www.773grp.com/globalSearch/OPA2743EA-2K5/page-1", "OPA2743EA-2K5")</f>
        <v>OPA2743EA-2K5</v>
      </c>
      <c r="B14351" s="3" t="s">
        <v>90</v>
      </c>
      <c r="C14351" s="5">
        <v>5000</v>
      </c>
      <c r="D14351" s="6">
        <v>4.6399999999999997</v>
      </c>
      <c r="E14351" t="s">
        <v>11</v>
      </c>
    </row>
    <row r="14352" spans="1:5" x14ac:dyDescent="0.25">
      <c r="A14352" t="str">
        <f>HYPERLINK("https://www.773grp.com/globalSearch/OPA2836IDGS/page-1", "OPA2836IDGS")</f>
        <v>OPA2836IDGS</v>
      </c>
      <c r="B14352" s="3" t="s">
        <v>90</v>
      </c>
      <c r="C14352" s="5">
        <v>46</v>
      </c>
      <c r="D14352" s="6">
        <v>4.6399999999999997</v>
      </c>
      <c r="E14352" t="s">
        <v>11</v>
      </c>
    </row>
    <row r="14353" spans="1:5" x14ac:dyDescent="0.25">
      <c r="A14353" t="str">
        <f>HYPERLINK("https://www.773grp.com/globalSearch/OPA4137P/page-1", "OPA4137P")</f>
        <v>OPA4137P</v>
      </c>
      <c r="B14353" s="3" t="s">
        <v>90</v>
      </c>
      <c r="C14353" s="5">
        <v>4113</v>
      </c>
      <c r="D14353" s="6">
        <v>4.6399999999999997</v>
      </c>
      <c r="E14353" t="s">
        <v>11</v>
      </c>
    </row>
    <row r="14354" spans="1:5" x14ac:dyDescent="0.25">
      <c r="A14354" t="str">
        <f>HYPERLINK("https://www.773grp.com/globalSearch/OPA4137P/page-1", "OPA4137P")</f>
        <v>OPA4137P</v>
      </c>
      <c r="B14354" s="3" t="s">
        <v>90</v>
      </c>
      <c r="C14354" s="5">
        <v>1250</v>
      </c>
      <c r="D14354" s="6">
        <v>4.6399999999999997</v>
      </c>
      <c r="E14354" t="s">
        <v>11</v>
      </c>
    </row>
    <row r="14355" spans="1:5" x14ac:dyDescent="0.25">
      <c r="A14355" t="str">
        <f>HYPERLINK("https://www.773grp.com/globalSearch/TLC085AID/page-1", "TLC085AID")</f>
        <v>TLC085AID</v>
      </c>
      <c r="B14355" s="3" t="s">
        <v>90</v>
      </c>
      <c r="C14355" s="5">
        <v>14280</v>
      </c>
      <c r="D14355" s="6">
        <v>4.6399999999999997</v>
      </c>
      <c r="E14355" t="s">
        <v>11</v>
      </c>
    </row>
    <row r="14356" spans="1:5" x14ac:dyDescent="0.25">
      <c r="A14356" t="str">
        <f>HYPERLINK("https://www.773grp.com/globalSearch/TLC25L4CDR/page-1", "TLC25L4CDR")</f>
        <v>TLC25L4CDR</v>
      </c>
      <c r="B14356" s="3" t="s">
        <v>90</v>
      </c>
      <c r="C14356" s="5">
        <v>5000</v>
      </c>
      <c r="D14356" s="6">
        <v>4.6399999999999997</v>
      </c>
      <c r="E14356" t="s">
        <v>11</v>
      </c>
    </row>
    <row r="14357" spans="1:5" x14ac:dyDescent="0.25">
      <c r="A14357" t="str">
        <f>HYPERLINK("https://www.773grp.com/globalSearch/TLC25M4CDR/page-1", "TLC25M4CDR")</f>
        <v>TLC25M4CDR</v>
      </c>
      <c r="B14357" s="3" t="s">
        <v>90</v>
      </c>
      <c r="C14357" s="5">
        <v>5000</v>
      </c>
      <c r="D14357" s="6">
        <v>4.6399999999999997</v>
      </c>
      <c r="E14357" t="s">
        <v>11</v>
      </c>
    </row>
    <row r="14358" spans="1:5" x14ac:dyDescent="0.25">
      <c r="A14358" t="str">
        <f>HYPERLINK("https://www.773grp.com/globalSearch/TLC4501AID/page-1", "TLC4501AID")</f>
        <v>TLC4501AID</v>
      </c>
      <c r="B14358" s="3" t="s">
        <v>90</v>
      </c>
      <c r="C14358" s="5">
        <v>138</v>
      </c>
      <c r="D14358" s="6">
        <v>4.6399999999999997</v>
      </c>
      <c r="E14358" t="s">
        <v>11</v>
      </c>
    </row>
    <row r="14359" spans="1:5" x14ac:dyDescent="0.25">
      <c r="A14359" t="str">
        <f>HYPERLINK("https://www.773grp.com/globalSearch/TLE2061BCP/page-1", "TLE2061BCP")</f>
        <v>TLE2061BCP</v>
      </c>
      <c r="B14359" s="3" t="s">
        <v>90</v>
      </c>
      <c r="C14359" s="5">
        <v>510</v>
      </c>
      <c r="D14359" s="6">
        <v>4.6399999999999997</v>
      </c>
      <c r="E14359" t="s">
        <v>11</v>
      </c>
    </row>
    <row r="14360" spans="1:5" x14ac:dyDescent="0.25">
      <c r="A14360" t="str">
        <f>HYPERLINK("https://www.773grp.com/globalSearch/TLE2142ACD/page-1", "TLE2142ACD")</f>
        <v>TLE2142ACD</v>
      </c>
      <c r="B14360" s="3" t="s">
        <v>90</v>
      </c>
      <c r="C14360" s="5">
        <v>262</v>
      </c>
      <c r="D14360" s="6">
        <v>4.6399999999999997</v>
      </c>
      <c r="E14360" t="s">
        <v>11</v>
      </c>
    </row>
    <row r="14361" spans="1:5" x14ac:dyDescent="0.25">
      <c r="A14361" t="str">
        <f>HYPERLINK("https://www.773grp.com/globalSearch/TLE2227CDW/page-1", "TLE2227CDW")</f>
        <v>TLE2227CDW</v>
      </c>
      <c r="B14361" s="3" t="s">
        <v>90</v>
      </c>
      <c r="C14361" s="5">
        <v>2413</v>
      </c>
      <c r="D14361" s="6">
        <v>4.6399999999999997</v>
      </c>
      <c r="E14361" t="s">
        <v>11</v>
      </c>
    </row>
    <row r="14362" spans="1:5" x14ac:dyDescent="0.25">
      <c r="A14362" t="str">
        <f>HYPERLINK("https://www.773grp.com/globalSearch/TLE2237CDW/page-1", "TLE2237CDW")</f>
        <v>TLE2237CDW</v>
      </c>
      <c r="B14362" s="3" t="s">
        <v>90</v>
      </c>
      <c r="C14362" s="5">
        <v>497</v>
      </c>
      <c r="D14362" s="6">
        <v>4.6399999999999997</v>
      </c>
      <c r="E14362" t="s">
        <v>11</v>
      </c>
    </row>
    <row r="14363" spans="1:5" x14ac:dyDescent="0.25">
      <c r="A14363" t="str">
        <f>HYPERLINK("https://www.773grp.com/globalSearch/TLV2334IN/page-1", "TLV2334IN")</f>
        <v>TLV2334IN</v>
      </c>
      <c r="B14363" s="3" t="s">
        <v>90</v>
      </c>
      <c r="C14363" s="5">
        <v>7175</v>
      </c>
      <c r="D14363" s="6">
        <v>4.6399999999999997</v>
      </c>
      <c r="E14363" t="s">
        <v>11</v>
      </c>
    </row>
    <row r="14364" spans="1:5" x14ac:dyDescent="0.25">
      <c r="A14364" t="str">
        <f>HYPERLINK("https://www.773grp.com/globalSearch/TLV2342IP/page-1", "TLV2342IP")</f>
        <v>TLV2342IP</v>
      </c>
      <c r="B14364" s="3" t="s">
        <v>90</v>
      </c>
      <c r="C14364" s="5">
        <v>16900</v>
      </c>
      <c r="D14364" s="6">
        <v>4.6399999999999997</v>
      </c>
      <c r="E14364" t="s">
        <v>11</v>
      </c>
    </row>
    <row r="14365" spans="1:5" x14ac:dyDescent="0.25">
      <c r="A14365" t="str">
        <f>HYPERLINK("https://www.773grp.com/globalSearch/TLV2774AIDR/page-1", "TLV2774AIDR")</f>
        <v>TLV2774AIDR</v>
      </c>
      <c r="B14365" s="3" t="s">
        <v>90</v>
      </c>
      <c r="C14365" s="5">
        <v>2500</v>
      </c>
      <c r="D14365" s="6">
        <v>4.6399999999999997</v>
      </c>
      <c r="E14365" t="s">
        <v>11</v>
      </c>
    </row>
    <row r="14366" spans="1:5" x14ac:dyDescent="0.25">
      <c r="A14366" t="str">
        <f>HYPERLINK("https://www.773grp.com/globalSearch/TLV2774AIPW/page-1", "TLV2774AIPW")</f>
        <v>TLV2774AIPW</v>
      </c>
      <c r="B14366" s="3" t="s">
        <v>90</v>
      </c>
      <c r="C14366" s="5">
        <v>4160</v>
      </c>
      <c r="D14366" s="6">
        <v>4.6399999999999997</v>
      </c>
      <c r="E14366" t="s">
        <v>11</v>
      </c>
    </row>
    <row r="14367" spans="1:5" x14ac:dyDescent="0.25">
      <c r="A14367" t="str">
        <f>HYPERLINK("https://www.773grp.com/globalSearch/TLV2774AIPWG4/page-1", "TLV2774AIPWG4")</f>
        <v>TLV2774AIPWG4</v>
      </c>
      <c r="B14367" s="3" t="s">
        <v>90</v>
      </c>
      <c r="C14367" s="5">
        <v>99</v>
      </c>
      <c r="D14367" s="6">
        <v>4.6399999999999997</v>
      </c>
      <c r="E14367" t="s">
        <v>11</v>
      </c>
    </row>
    <row r="14368" spans="1:5" x14ac:dyDescent="0.25">
      <c r="A14368" t="str">
        <f>HYPERLINK("https://www.773grp.com/globalSearch/OPA691IDBVR/page-1", "OPA691IDBVR")</f>
        <v>OPA691IDBVR</v>
      </c>
      <c r="B14368" s="3" t="s">
        <v>90</v>
      </c>
      <c r="C14368" s="5">
        <v>30000</v>
      </c>
      <c r="D14368" s="6">
        <v>4.68</v>
      </c>
      <c r="E14368" t="s">
        <v>11</v>
      </c>
    </row>
    <row r="14369" spans="1:5" x14ac:dyDescent="0.25">
      <c r="A14369" t="str">
        <f>HYPERLINK("https://www.773grp.com/globalSearch/OPA691IDR/page-1", "OPA691IDR")</f>
        <v>OPA691IDR</v>
      </c>
      <c r="B14369" s="3" t="s">
        <v>90</v>
      </c>
      <c r="C14369" s="5">
        <v>47200</v>
      </c>
      <c r="D14369" s="6">
        <v>4.68</v>
      </c>
      <c r="E14369" t="s">
        <v>11</v>
      </c>
    </row>
    <row r="14370" spans="1:5" x14ac:dyDescent="0.25">
      <c r="A14370" t="str">
        <f>HYPERLINK("https://www.773grp.com/globalSearch/TLV2474AIN/page-1", "TLV2474AIN")</f>
        <v>TLV2474AIN</v>
      </c>
      <c r="B14370" s="3" t="s">
        <v>90</v>
      </c>
      <c r="C14370" s="5">
        <v>12055</v>
      </c>
      <c r="D14370" s="6">
        <v>4.68</v>
      </c>
      <c r="E14370" t="s">
        <v>11</v>
      </c>
    </row>
    <row r="14371" spans="1:5" x14ac:dyDescent="0.25">
      <c r="A14371" t="str">
        <f>HYPERLINK("https://www.773grp.com/globalSearch/TLV2475CD/page-1", "TLV2475CD")</f>
        <v>TLV2475CD</v>
      </c>
      <c r="B14371" s="3" t="s">
        <v>90</v>
      </c>
      <c r="C14371" s="5">
        <v>9957</v>
      </c>
      <c r="D14371" s="6">
        <v>4.68</v>
      </c>
      <c r="E14371" t="s">
        <v>11</v>
      </c>
    </row>
    <row r="14372" spans="1:5" x14ac:dyDescent="0.25">
      <c r="A14372" t="str">
        <f>HYPERLINK("https://www.773grp.com/globalSearch/OPA820IDBVR/page-1", "OPA820IDBVR")</f>
        <v>OPA820IDBVR</v>
      </c>
      <c r="B14372" s="3" t="s">
        <v>90</v>
      </c>
      <c r="C14372" s="5">
        <v>15000</v>
      </c>
      <c r="D14372" s="6">
        <v>5.16</v>
      </c>
      <c r="E14372" t="s">
        <v>11</v>
      </c>
    </row>
    <row r="14373" spans="1:5" x14ac:dyDescent="0.25">
      <c r="A14373" t="str">
        <f>HYPERLINK("https://www.773grp.com/globalSearch/OPA820IDR/page-1", "OPA820IDR")</f>
        <v>OPA820IDR</v>
      </c>
      <c r="B14373" s="3" t="s">
        <v>90</v>
      </c>
      <c r="C14373" s="5">
        <v>17500</v>
      </c>
      <c r="D14373" s="6">
        <v>5.16</v>
      </c>
      <c r="E14373" t="s">
        <v>11</v>
      </c>
    </row>
    <row r="14374" spans="1:5" x14ac:dyDescent="0.25">
      <c r="A14374" t="str">
        <f>HYPERLINK("https://www.773grp.com/globalSearch/TLE2081ACD/page-1", "TLE2081ACD")</f>
        <v>TLE2081ACD</v>
      </c>
      <c r="B14374" s="3" t="s">
        <v>90</v>
      </c>
      <c r="C14374" s="5">
        <v>1375</v>
      </c>
      <c r="D14374" s="6">
        <v>5.16</v>
      </c>
      <c r="E14374" t="s">
        <v>11</v>
      </c>
    </row>
    <row r="14375" spans="1:5" x14ac:dyDescent="0.25">
      <c r="A14375" t="str">
        <f>HYPERLINK("https://www.773grp.com/globalSearch/TLV2302ID/page-1", "TLV2302ID")</f>
        <v>TLV2302ID</v>
      </c>
      <c r="B14375" s="3" t="s">
        <v>90</v>
      </c>
      <c r="C14375" s="5">
        <v>6357</v>
      </c>
      <c r="D14375" s="6">
        <v>5.16</v>
      </c>
      <c r="E14375" t="s">
        <v>11</v>
      </c>
    </row>
    <row r="14376" spans="1:5" x14ac:dyDescent="0.25">
      <c r="A14376" t="str">
        <f>HYPERLINK("https://www.773grp.com/globalSearch/TLV2302IDGK/page-1", "TLV2302IDGK")</f>
        <v>TLV2302IDGK</v>
      </c>
      <c r="B14376" s="3" t="s">
        <v>90</v>
      </c>
      <c r="C14376" s="5">
        <v>11418</v>
      </c>
      <c r="D14376" s="6">
        <v>5.16</v>
      </c>
      <c r="E14376" t="s">
        <v>11</v>
      </c>
    </row>
    <row r="14377" spans="1:5" x14ac:dyDescent="0.25">
      <c r="A14377" t="str">
        <f>HYPERLINK("https://www.773grp.com/globalSearch/TLV2473IDGQR/page-1", "TLV2473IDGQR")</f>
        <v>TLV2473IDGQR</v>
      </c>
      <c r="B14377" s="3" t="s">
        <v>90</v>
      </c>
      <c r="C14377" s="5">
        <v>68065</v>
      </c>
      <c r="D14377" s="6">
        <v>5.16</v>
      </c>
      <c r="E14377" t="s">
        <v>11</v>
      </c>
    </row>
    <row r="14378" spans="1:5" x14ac:dyDescent="0.25">
      <c r="A14378" t="str">
        <f>HYPERLINK("https://www.773grp.com/globalSearch/OPA2340PA/page-1", "OPA2340PA")</f>
        <v>OPA2340PA</v>
      </c>
      <c r="B14378" s="3" t="s">
        <v>90</v>
      </c>
      <c r="C14378" s="5">
        <v>1300</v>
      </c>
      <c r="D14378" s="6">
        <v>4.6900000000000004</v>
      </c>
      <c r="E14378" t="s">
        <v>11</v>
      </c>
    </row>
    <row r="14379" spans="1:5" x14ac:dyDescent="0.25">
      <c r="A14379" t="str">
        <f>HYPERLINK("https://www.773grp.com/globalSearch/TLE2062BCD/page-1", "TLE2062BCD")</f>
        <v>TLE2062BCD</v>
      </c>
      <c r="B14379" s="3" t="s">
        <v>90</v>
      </c>
      <c r="C14379" s="5">
        <v>1104</v>
      </c>
      <c r="D14379" s="6">
        <v>4.6900000000000004</v>
      </c>
      <c r="E14379" t="s">
        <v>11</v>
      </c>
    </row>
    <row r="14380" spans="1:5" x14ac:dyDescent="0.25">
      <c r="A14380" t="str">
        <f>HYPERLINK("https://www.773grp.com/globalSearch/OPA684IDBVT/page-1", "OPA684IDBVT")</f>
        <v>OPA684IDBVT</v>
      </c>
      <c r="B14380" s="3" t="s">
        <v>90</v>
      </c>
      <c r="C14380" s="5">
        <v>13500</v>
      </c>
      <c r="D14380" s="6">
        <v>4.7300000000000004</v>
      </c>
      <c r="E14380" t="s">
        <v>11</v>
      </c>
    </row>
    <row r="14381" spans="1:5" x14ac:dyDescent="0.25">
      <c r="A14381" t="str">
        <f>HYPERLINK("https://www.773grp.com/globalSearch/TLE2142ACP/page-1", "TLE2142ACP")</f>
        <v>TLE2142ACP</v>
      </c>
      <c r="B14381" s="3" t="s">
        <v>90</v>
      </c>
      <c r="C14381" s="5">
        <v>72</v>
      </c>
      <c r="D14381" s="6">
        <v>4.7300000000000004</v>
      </c>
      <c r="E14381" t="s">
        <v>11</v>
      </c>
    </row>
    <row r="14382" spans="1:5" x14ac:dyDescent="0.25">
      <c r="A14382" t="str">
        <f>HYPERLINK("https://www.773grp.com/globalSearch/TLE2161MP/page-1", "TLE2161MP")</f>
        <v>TLE2161MP</v>
      </c>
      <c r="B14382" s="3" t="s">
        <v>90</v>
      </c>
      <c r="C14382" s="5">
        <v>570</v>
      </c>
      <c r="D14382" s="6">
        <v>4.7300000000000004</v>
      </c>
      <c r="E14382" t="s">
        <v>11</v>
      </c>
    </row>
    <row r="14383" spans="1:5" x14ac:dyDescent="0.25">
      <c r="A14383" t="str">
        <f>HYPERLINK("https://www.773grp.com/globalSearch/OPA2244PA/page-1", "OPA2244PA")</f>
        <v>OPA2244PA</v>
      </c>
      <c r="B14383" s="3" t="s">
        <v>90</v>
      </c>
      <c r="C14383" s="5">
        <v>861</v>
      </c>
      <c r="D14383" s="6">
        <v>5.21</v>
      </c>
      <c r="E14383" t="s">
        <v>11</v>
      </c>
    </row>
    <row r="14384" spans="1:5" x14ac:dyDescent="0.25">
      <c r="A14384" t="str">
        <f>HYPERLINK("https://www.773grp.com/globalSearch/OPA890ID/page-1", "OPA890ID")</f>
        <v>OPA890ID</v>
      </c>
      <c r="B14384" s="3" t="s">
        <v>90</v>
      </c>
      <c r="C14384" s="5">
        <v>13350</v>
      </c>
      <c r="D14384" s="6">
        <v>5.21</v>
      </c>
      <c r="E14384" t="s">
        <v>11</v>
      </c>
    </row>
    <row r="14385" spans="1:5" x14ac:dyDescent="0.25">
      <c r="A14385" t="str">
        <f>HYPERLINK("https://www.773grp.com/globalSearch/TL33072AP/page-1", "TL33072AP")</f>
        <v>TL33072AP</v>
      </c>
      <c r="B14385" s="3" t="s">
        <v>90</v>
      </c>
      <c r="C14385" s="5">
        <v>2450</v>
      </c>
      <c r="D14385" s="6">
        <v>5.21</v>
      </c>
      <c r="E14385" t="s">
        <v>11</v>
      </c>
    </row>
    <row r="14386" spans="1:5" x14ac:dyDescent="0.25">
      <c r="A14386" t="str">
        <f>HYPERLINK("https://www.773grp.com/globalSearch/TLC2274AID/page-1", "TLC2274AID")</f>
        <v>TLC2274AID</v>
      </c>
      <c r="B14386" s="3" t="s">
        <v>90</v>
      </c>
      <c r="C14386" s="5">
        <v>9074</v>
      </c>
      <c r="D14386" s="6">
        <v>5.21</v>
      </c>
      <c r="E14386" t="s">
        <v>11</v>
      </c>
    </row>
    <row r="14387" spans="1:5" x14ac:dyDescent="0.25">
      <c r="A14387" t="str">
        <f>HYPERLINK("https://www.773grp.com/globalSearch/TLC2274AIPW/page-1", "TLC2274AIPW")</f>
        <v>TLC2274AIPW</v>
      </c>
      <c r="B14387" s="3" t="s">
        <v>90</v>
      </c>
      <c r="C14387" s="5">
        <v>45</v>
      </c>
      <c r="D14387" s="6">
        <v>5.21</v>
      </c>
      <c r="E14387" t="s">
        <v>11</v>
      </c>
    </row>
    <row r="14388" spans="1:5" x14ac:dyDescent="0.25">
      <c r="A14388" t="str">
        <f>HYPERLINK("https://www.773grp.com/globalSearch/TLE2061AID/page-1", "TLE2061AID")</f>
        <v>TLE2061AID</v>
      </c>
      <c r="B14388" s="3" t="s">
        <v>90</v>
      </c>
      <c r="C14388" s="5">
        <v>868</v>
      </c>
      <c r="D14388" s="6">
        <v>5.21</v>
      </c>
      <c r="E14388" t="s">
        <v>11</v>
      </c>
    </row>
    <row r="14389" spans="1:5" x14ac:dyDescent="0.25">
      <c r="A14389" t="str">
        <f>HYPERLINK("https://www.773grp.com/globalSearch/TLV2772AIDR/page-1", "TLV2772AIDR")</f>
        <v>TLV2772AIDR</v>
      </c>
      <c r="B14389" s="3" t="s">
        <v>90</v>
      </c>
      <c r="C14389" s="5">
        <v>3597</v>
      </c>
      <c r="D14389" s="6">
        <v>5.21</v>
      </c>
      <c r="E14389" t="s">
        <v>11</v>
      </c>
    </row>
    <row r="14390" spans="1:5" x14ac:dyDescent="0.25">
      <c r="A14390" t="str">
        <f>HYPERLINK("https://www.773grp.com/globalSearch/TLV2773CN/page-1", "TLV2773CN")</f>
        <v>TLV2773CN</v>
      </c>
      <c r="B14390" s="3" t="s">
        <v>90</v>
      </c>
      <c r="C14390" s="5">
        <v>1408</v>
      </c>
      <c r="D14390" s="6">
        <v>5.21</v>
      </c>
      <c r="E14390" t="s">
        <v>11</v>
      </c>
    </row>
    <row r="14391" spans="1:5" x14ac:dyDescent="0.25">
      <c r="A14391" t="str">
        <f>HYPERLINK("https://www.773grp.com/globalSearch/TLV2304ID/page-1", "TLV2304ID")</f>
        <v>TLV2304ID</v>
      </c>
      <c r="B14391" s="3" t="s">
        <v>90</v>
      </c>
      <c r="C14391" s="5">
        <v>34500</v>
      </c>
      <c r="D14391" s="6">
        <v>4.76</v>
      </c>
      <c r="E14391" t="s">
        <v>11</v>
      </c>
    </row>
    <row r="14392" spans="1:5" x14ac:dyDescent="0.25">
      <c r="A14392" t="str">
        <f>HYPERLINK("https://www.773grp.com/globalSearch/INA2143UA/page-1", "INA2143UA")</f>
        <v>INA2143UA</v>
      </c>
      <c r="B14392" s="3" t="s">
        <v>90</v>
      </c>
      <c r="C14392" s="5">
        <v>1546</v>
      </c>
      <c r="D14392" s="6">
        <v>4.78</v>
      </c>
      <c r="E14392" t="s">
        <v>11</v>
      </c>
    </row>
    <row r="14393" spans="1:5" x14ac:dyDescent="0.25">
      <c r="A14393" t="str">
        <f>HYPERLINK("https://www.773grp.com/globalSearch/INA2143UA-2K5E4/page-1", "INA2143UA-2K5E4")</f>
        <v>INA2143UA-2K5E4</v>
      </c>
      <c r="B14393" s="3" t="s">
        <v>90</v>
      </c>
      <c r="C14393" s="5">
        <v>5000</v>
      </c>
      <c r="D14393" s="6">
        <v>4.78</v>
      </c>
      <c r="E14393" t="s">
        <v>11</v>
      </c>
    </row>
    <row r="14394" spans="1:5" x14ac:dyDescent="0.25">
      <c r="A14394" t="str">
        <f>HYPERLINK("https://www.773grp.com/globalSearch/INA2143UAE4/page-1", "INA2143UAE4")</f>
        <v>INA2143UAE4</v>
      </c>
      <c r="B14394" s="3" t="s">
        <v>90</v>
      </c>
      <c r="C14394" s="5">
        <v>1448</v>
      </c>
      <c r="D14394" s="6">
        <v>4.78</v>
      </c>
      <c r="E14394" t="s">
        <v>11</v>
      </c>
    </row>
    <row r="14395" spans="1:5" x14ac:dyDescent="0.25">
      <c r="A14395" t="str">
        <f>HYPERLINK("https://www.773grp.com/globalSearch/OPA130UA/page-1", "OPA130UA")</f>
        <v>OPA130UA</v>
      </c>
      <c r="B14395" s="3" t="s">
        <v>90</v>
      </c>
      <c r="C14395" s="5">
        <v>28220</v>
      </c>
      <c r="D14395" s="6">
        <v>4.78</v>
      </c>
      <c r="E14395" t="s">
        <v>11</v>
      </c>
    </row>
    <row r="14396" spans="1:5" x14ac:dyDescent="0.25">
      <c r="A14396" t="str">
        <f>HYPERLINK("https://www.773grp.com/globalSearch/OPA130UA/page-1", "OPA130UA")</f>
        <v>OPA130UA</v>
      </c>
      <c r="B14396" s="3" t="s">
        <v>90</v>
      </c>
      <c r="C14396" s="5">
        <v>600</v>
      </c>
      <c r="D14396" s="6">
        <v>4.78</v>
      </c>
      <c r="E14396" t="s">
        <v>11</v>
      </c>
    </row>
    <row r="14397" spans="1:5" x14ac:dyDescent="0.25">
      <c r="A14397" t="str">
        <f>HYPERLINK("https://www.773grp.com/globalSearch/OPA130UA/page-1", "OPA130UA")</f>
        <v>OPA130UA</v>
      </c>
      <c r="B14397" s="3" t="s">
        <v>90</v>
      </c>
      <c r="C14397" s="5">
        <v>63</v>
      </c>
      <c r="D14397" s="6">
        <v>4.78</v>
      </c>
      <c r="E14397" t="s">
        <v>11</v>
      </c>
    </row>
    <row r="14398" spans="1:5" x14ac:dyDescent="0.25">
      <c r="A14398" t="str">
        <f>HYPERLINK("https://www.773grp.com/globalSearch/OPA2336U-2K5/page-1", "OPA2336U-2K5")</f>
        <v>OPA2336U-2K5</v>
      </c>
      <c r="B14398" s="3" t="s">
        <v>90</v>
      </c>
      <c r="C14398" s="5">
        <v>5000</v>
      </c>
      <c r="D14398" s="6">
        <v>4.78</v>
      </c>
      <c r="E14398" t="s">
        <v>11</v>
      </c>
    </row>
    <row r="14399" spans="1:5" x14ac:dyDescent="0.25">
      <c r="A14399" t="str">
        <f>HYPERLINK("https://www.773grp.com/globalSearch/OPA2340EA-250/page-1", "OPA2340EA-250")</f>
        <v>OPA2340EA-250</v>
      </c>
      <c r="B14399" s="3" t="s">
        <v>90</v>
      </c>
      <c r="C14399" s="5">
        <v>1750</v>
      </c>
      <c r="D14399" s="6">
        <v>4.78</v>
      </c>
      <c r="E14399" t="s">
        <v>11</v>
      </c>
    </row>
    <row r="14400" spans="1:5" x14ac:dyDescent="0.25">
      <c r="A14400" t="str">
        <f>HYPERLINK("https://www.773grp.com/globalSearch/OPA234U/page-1", "OPA234U")</f>
        <v>OPA234U</v>
      </c>
      <c r="B14400" s="3" t="s">
        <v>90</v>
      </c>
      <c r="C14400" s="5">
        <v>24645</v>
      </c>
      <c r="D14400" s="6">
        <v>4.78</v>
      </c>
      <c r="E14400" t="s">
        <v>11</v>
      </c>
    </row>
    <row r="14401" spans="1:5" x14ac:dyDescent="0.25">
      <c r="A14401" t="str">
        <f>HYPERLINK("https://www.773grp.com/globalSearch/OPA2353EA-2K5/page-1", "OPA2353EA-2K5")</f>
        <v>OPA2353EA-2K5</v>
      </c>
      <c r="B14401" s="3" t="s">
        <v>90</v>
      </c>
      <c r="C14401" s="5">
        <v>39500</v>
      </c>
      <c r="D14401" s="6">
        <v>4.78</v>
      </c>
      <c r="E14401" t="s">
        <v>11</v>
      </c>
    </row>
    <row r="14402" spans="1:5" x14ac:dyDescent="0.25">
      <c r="A14402" t="str">
        <f>HYPERLINK("https://www.773grp.com/globalSearch/OPA2677IDDAR/page-1", "OPA2677IDDAR")</f>
        <v>OPA2677IDDAR</v>
      </c>
      <c r="B14402" s="3" t="s">
        <v>90</v>
      </c>
      <c r="C14402" s="5">
        <v>57280</v>
      </c>
      <c r="D14402" s="6">
        <v>4.78</v>
      </c>
      <c r="E14402" t="s">
        <v>11</v>
      </c>
    </row>
    <row r="14403" spans="1:5" x14ac:dyDescent="0.25">
      <c r="A14403" t="str">
        <f>HYPERLINK("https://www.773grp.com/globalSearch/OPA4137U/page-1", "OPA4137U")</f>
        <v>OPA4137U</v>
      </c>
      <c r="B14403" s="3" t="s">
        <v>90</v>
      </c>
      <c r="C14403" s="5">
        <v>7396</v>
      </c>
      <c r="D14403" s="6">
        <v>4.78</v>
      </c>
      <c r="E14403" t="s">
        <v>11</v>
      </c>
    </row>
    <row r="14404" spans="1:5" x14ac:dyDescent="0.25">
      <c r="A14404" t="str">
        <f>HYPERLINK("https://www.773grp.com/globalSearch/OPA4244EA-250/page-1", "OPA4244EA-250")</f>
        <v>OPA4244EA-250</v>
      </c>
      <c r="B14404" s="3" t="s">
        <v>90</v>
      </c>
      <c r="C14404" s="5">
        <v>112850</v>
      </c>
      <c r="D14404" s="6">
        <v>4.78</v>
      </c>
      <c r="E14404" t="s">
        <v>11</v>
      </c>
    </row>
    <row r="14405" spans="1:5" x14ac:dyDescent="0.25">
      <c r="A14405" t="str">
        <f>HYPERLINK("https://www.773grp.com/globalSearch/OPA4342EA-2K5/page-1", "OPA4342EA-2K5")</f>
        <v>OPA4342EA-2K5</v>
      </c>
      <c r="B14405" s="3" t="s">
        <v>90</v>
      </c>
      <c r="C14405" s="5">
        <v>2500</v>
      </c>
      <c r="D14405" s="6">
        <v>4.78</v>
      </c>
      <c r="E14405" t="s">
        <v>11</v>
      </c>
    </row>
    <row r="14406" spans="1:5" x14ac:dyDescent="0.25">
      <c r="A14406" t="str">
        <f>HYPERLINK("https://www.773grp.com/globalSearch/OPA4364AID/page-1", "OPA4364AID")</f>
        <v>OPA4364AID</v>
      </c>
      <c r="B14406" s="3" t="s">
        <v>90</v>
      </c>
      <c r="C14406" s="5">
        <v>2051</v>
      </c>
      <c r="D14406" s="6">
        <v>4.78</v>
      </c>
      <c r="E14406" t="s">
        <v>11</v>
      </c>
    </row>
    <row r="14407" spans="1:5" x14ac:dyDescent="0.25">
      <c r="A14407" t="str">
        <f>HYPERLINK("https://www.773grp.com/globalSearch/OPA4376AIPW/page-1", "OPA4376AIPW")</f>
        <v>OPA4376AIPW</v>
      </c>
      <c r="B14407" s="3" t="s">
        <v>90</v>
      </c>
      <c r="C14407" s="5">
        <v>1706</v>
      </c>
      <c r="D14407" s="6">
        <v>4.78</v>
      </c>
      <c r="E14407" t="s">
        <v>11</v>
      </c>
    </row>
    <row r="14408" spans="1:5" x14ac:dyDescent="0.25">
      <c r="A14408" t="str">
        <f>HYPERLINK("https://www.773grp.com/globalSearch/THS4052IDR/page-1", "THS4052IDR")</f>
        <v>THS4052IDR</v>
      </c>
      <c r="B14408" s="3" t="s">
        <v>90</v>
      </c>
      <c r="C14408" s="5">
        <v>2500</v>
      </c>
      <c r="D14408" s="6">
        <v>4.78</v>
      </c>
      <c r="E14408" t="s">
        <v>11</v>
      </c>
    </row>
    <row r="14409" spans="1:5" x14ac:dyDescent="0.25">
      <c r="A14409" t="str">
        <f>HYPERLINK("https://www.773grp.com/globalSearch/TLE2024CDW/page-1", "TLE2024CDW")</f>
        <v>TLE2024CDW</v>
      </c>
      <c r="B14409" s="3" t="s">
        <v>90</v>
      </c>
      <c r="C14409" s="5">
        <v>529</v>
      </c>
      <c r="D14409" s="6">
        <v>4.78</v>
      </c>
      <c r="E14409" t="s">
        <v>11</v>
      </c>
    </row>
    <row r="14410" spans="1:5" x14ac:dyDescent="0.25">
      <c r="A14410" t="str">
        <f>HYPERLINK("https://www.773grp.com/globalSearch/TLV2344ID/page-1", "TLV2344ID")</f>
        <v>TLV2344ID</v>
      </c>
      <c r="B14410" s="3" t="s">
        <v>90</v>
      </c>
      <c r="C14410" s="5">
        <v>12757</v>
      </c>
      <c r="D14410" s="6">
        <v>4.78</v>
      </c>
      <c r="E14410" t="s">
        <v>11</v>
      </c>
    </row>
    <row r="14411" spans="1:5" x14ac:dyDescent="0.25">
      <c r="A14411" t="str">
        <f>HYPERLINK("https://www.773grp.com/globalSearch/TLV2374MDREP/page-1", "TLV2374MDREP")</f>
        <v>TLV2374MDREP</v>
      </c>
      <c r="B14411" s="3" t="s">
        <v>90</v>
      </c>
      <c r="C14411" s="5">
        <v>1748</v>
      </c>
      <c r="D14411" s="6">
        <v>4.78</v>
      </c>
      <c r="E14411" t="s">
        <v>11</v>
      </c>
    </row>
    <row r="14412" spans="1:5" x14ac:dyDescent="0.25">
      <c r="A14412" t="str">
        <f>HYPERLINK("https://www.773grp.com/globalSearch/TLV2404CPW/page-1", "TLV2404CPW")</f>
        <v>TLV2404CPW</v>
      </c>
      <c r="B14412" s="3" t="s">
        <v>90</v>
      </c>
      <c r="C14412" s="5">
        <v>4199</v>
      </c>
      <c r="D14412" s="6">
        <v>4.78</v>
      </c>
      <c r="E14412" t="s">
        <v>11</v>
      </c>
    </row>
    <row r="14413" spans="1:5" x14ac:dyDescent="0.25">
      <c r="A14413" t="str">
        <f>HYPERLINK("https://www.773grp.com/globalSearch/TLV2404IN/page-1", "TLV2404IN")</f>
        <v>TLV2404IN</v>
      </c>
      <c r="B14413" s="3" t="s">
        <v>90</v>
      </c>
      <c r="C14413" s="5">
        <v>8041</v>
      </c>
      <c r="D14413" s="6">
        <v>4.78</v>
      </c>
      <c r="E14413" t="s">
        <v>11</v>
      </c>
    </row>
    <row r="14414" spans="1:5" x14ac:dyDescent="0.25">
      <c r="A14414" t="str">
        <f>HYPERLINK("https://www.773grp.com/globalSearch/TLV2455CPW/page-1", "TLV2455CPW")</f>
        <v>TLV2455CPW</v>
      </c>
      <c r="B14414" s="3" t="s">
        <v>90</v>
      </c>
      <c r="C14414" s="5">
        <v>22125</v>
      </c>
      <c r="D14414" s="6">
        <v>4.78</v>
      </c>
      <c r="E14414" t="s">
        <v>11</v>
      </c>
    </row>
    <row r="14415" spans="1:5" x14ac:dyDescent="0.25">
      <c r="A14415" t="str">
        <f>HYPERLINK("https://www.773grp.com/globalSearch/TLV2475IN/page-1", "TLV2475IN")</f>
        <v>TLV2475IN</v>
      </c>
      <c r="B14415" s="3" t="s">
        <v>90</v>
      </c>
      <c r="C14415" s="5">
        <v>11500</v>
      </c>
      <c r="D14415" s="6">
        <v>4.78</v>
      </c>
      <c r="E14415" t="s">
        <v>11</v>
      </c>
    </row>
    <row r="14416" spans="1:5" x14ac:dyDescent="0.25">
      <c r="A14416" t="str">
        <f>HYPERLINK("https://www.773grp.com/globalSearch/TLV2785IDR/page-1", "TLV2785IDR")</f>
        <v>TLV2785IDR</v>
      </c>
      <c r="B14416" s="3" t="s">
        <v>90</v>
      </c>
      <c r="C14416" s="5">
        <v>6401</v>
      </c>
      <c r="D14416" s="6">
        <v>4.78</v>
      </c>
      <c r="E14416" t="s">
        <v>11</v>
      </c>
    </row>
    <row r="14417" spans="1:5" x14ac:dyDescent="0.25">
      <c r="A14417" t="str">
        <f>HYPERLINK("https://www.773grp.com/globalSearch/OPA2822E-250/page-1", "OPA2822E-250")</f>
        <v>OPA2822E-250</v>
      </c>
      <c r="B14417" s="3" t="s">
        <v>90</v>
      </c>
      <c r="C14417" s="5">
        <v>12500</v>
      </c>
      <c r="D14417" s="6">
        <v>4.8099999999999996</v>
      </c>
      <c r="E14417" t="s">
        <v>11</v>
      </c>
    </row>
    <row r="14418" spans="1:5" x14ac:dyDescent="0.25">
      <c r="A14418" t="str">
        <f>HYPERLINK("https://www.773grp.com/globalSearch/TL051ACD/page-1", "TL051ACD")</f>
        <v>TL051ACD</v>
      </c>
      <c r="B14418" s="3" t="s">
        <v>90</v>
      </c>
      <c r="C14418" s="5">
        <v>758</v>
      </c>
      <c r="D14418" s="6">
        <v>4.8099999999999996</v>
      </c>
      <c r="E14418" t="s">
        <v>11</v>
      </c>
    </row>
    <row r="14419" spans="1:5" x14ac:dyDescent="0.25">
      <c r="A14419" t="str">
        <f>HYPERLINK("https://www.773grp.com/globalSearch/TLC25L2BCD/page-1", "TLC25L2BCD")</f>
        <v>TLC25L2BCD</v>
      </c>
      <c r="B14419" s="3" t="s">
        <v>90</v>
      </c>
      <c r="C14419" s="5">
        <v>6435</v>
      </c>
      <c r="D14419" s="6">
        <v>4.8099999999999996</v>
      </c>
      <c r="E14419" t="s">
        <v>11</v>
      </c>
    </row>
    <row r="14420" spans="1:5" x14ac:dyDescent="0.25">
      <c r="A14420" t="str">
        <f>HYPERLINK("https://www.773grp.com/globalSearch/TLV2474AID/page-1", "TLV2474AID")</f>
        <v>TLV2474AID</v>
      </c>
      <c r="B14420" s="3" t="s">
        <v>90</v>
      </c>
      <c r="C14420" s="5">
        <v>1829</v>
      </c>
      <c r="D14420" s="6">
        <v>4.8099999999999996</v>
      </c>
      <c r="E14420" t="s">
        <v>11</v>
      </c>
    </row>
    <row r="14421" spans="1:5" x14ac:dyDescent="0.25">
      <c r="A14421" t="str">
        <f>HYPERLINK("https://www.773grp.com/globalSearch/TLC2201CDR/page-1", "TLC2201CDR")</f>
        <v>TLC2201CDR</v>
      </c>
      <c r="B14421" s="3" t="s">
        <v>90</v>
      </c>
      <c r="C14421" s="5">
        <v>5000</v>
      </c>
      <c r="D14421" s="6">
        <v>4.8600000000000003</v>
      </c>
      <c r="E14421" t="s">
        <v>11</v>
      </c>
    </row>
    <row r="14422" spans="1:5" x14ac:dyDescent="0.25">
      <c r="A14422" t="str">
        <f>HYPERLINK("https://www.773grp.com/globalSearch/OPA681N-250/page-1", "OPA681N-250")</f>
        <v>OPA681N-250</v>
      </c>
      <c r="B14422" s="3" t="s">
        <v>90</v>
      </c>
      <c r="C14422" s="5">
        <v>3813</v>
      </c>
      <c r="D14422" s="6">
        <v>4.9000000000000004</v>
      </c>
      <c r="E14422" t="s">
        <v>11</v>
      </c>
    </row>
    <row r="14423" spans="1:5" x14ac:dyDescent="0.25">
      <c r="A14423" t="str">
        <f>HYPERLINK("https://www.773grp.com/globalSearch/OPA681N-3K/page-1", "OPA681N-3K")</f>
        <v>OPA681N-3K</v>
      </c>
      <c r="B14423" s="3" t="s">
        <v>90</v>
      </c>
      <c r="C14423" s="5">
        <v>37000</v>
      </c>
      <c r="D14423" s="6">
        <v>4.9000000000000004</v>
      </c>
      <c r="E14423" t="s">
        <v>11</v>
      </c>
    </row>
    <row r="14424" spans="1:5" x14ac:dyDescent="0.25">
      <c r="A14424" t="str">
        <f>HYPERLINK("https://www.773grp.com/globalSearch/TLV2785AID/page-1", "TLV2785AID")</f>
        <v>TLV2785AID</v>
      </c>
      <c r="B14424" s="3" t="s">
        <v>90</v>
      </c>
      <c r="C14424" s="5">
        <v>14800</v>
      </c>
      <c r="D14424" s="6">
        <v>4.9000000000000004</v>
      </c>
      <c r="E14424" t="s">
        <v>11</v>
      </c>
    </row>
    <row r="14425" spans="1:5" x14ac:dyDescent="0.25">
      <c r="A14425" t="str">
        <f>HYPERLINK("https://www.773grp.com/globalSearch/OPA2333AIDGKT/page-1", "OPA2333AIDGKT")</f>
        <v>OPA2333AIDGKT</v>
      </c>
      <c r="B14425" s="3" t="s">
        <v>90</v>
      </c>
      <c r="C14425" s="5">
        <v>179</v>
      </c>
      <c r="D14425" s="6">
        <v>4.93</v>
      </c>
      <c r="E14425" t="s">
        <v>11</v>
      </c>
    </row>
    <row r="14426" spans="1:5" x14ac:dyDescent="0.25">
      <c r="A14426" t="str">
        <f>HYPERLINK("https://www.773grp.com/globalSearch/OPA2340UA/page-1", "OPA2340UA")</f>
        <v>OPA2340UA</v>
      </c>
      <c r="B14426" s="3" t="s">
        <v>90</v>
      </c>
      <c r="C14426" s="5">
        <v>1275</v>
      </c>
      <c r="D14426" s="6">
        <v>4.93</v>
      </c>
      <c r="E14426" t="s">
        <v>11</v>
      </c>
    </row>
    <row r="14427" spans="1:5" x14ac:dyDescent="0.25">
      <c r="A14427" t="str">
        <f>HYPERLINK("https://www.773grp.com/globalSearch/OPA2340UAG4/page-1", "OPA2340UAG4")</f>
        <v>OPA2340UAG4</v>
      </c>
      <c r="B14427" s="3" t="s">
        <v>90</v>
      </c>
      <c r="C14427" s="5">
        <v>1</v>
      </c>
      <c r="D14427" s="6">
        <v>4.93</v>
      </c>
      <c r="E14427" t="s">
        <v>11</v>
      </c>
    </row>
    <row r="14428" spans="1:5" x14ac:dyDescent="0.25">
      <c r="A14428" t="str">
        <f>HYPERLINK("https://www.773grp.com/globalSearch/OPA2614IDTJ/page-1", "OPA2614IDTJ")</f>
        <v>OPA2614IDTJ</v>
      </c>
      <c r="B14428" s="3" t="s">
        <v>90</v>
      </c>
      <c r="C14428" s="5">
        <v>2600</v>
      </c>
      <c r="D14428" s="6">
        <v>4.93</v>
      </c>
      <c r="E14428" t="s">
        <v>11</v>
      </c>
    </row>
    <row r="14429" spans="1:5" x14ac:dyDescent="0.25">
      <c r="A14429" t="str">
        <f>HYPERLINK("https://www.773grp.com/globalSearch/OPA2677IRGVR/page-1", "OPA2677IRGVR")</f>
        <v>OPA2677IRGVR</v>
      </c>
      <c r="B14429" s="3" t="s">
        <v>90</v>
      </c>
      <c r="C14429" s="5">
        <v>192500</v>
      </c>
      <c r="D14429" s="6">
        <v>4.93</v>
      </c>
      <c r="E14429" t="s">
        <v>11</v>
      </c>
    </row>
    <row r="14430" spans="1:5" x14ac:dyDescent="0.25">
      <c r="A14430" t="str">
        <f>HYPERLINK("https://www.773grp.com/globalSearch/OPA2677IRGVR/page-1", "OPA2677IRGVR")</f>
        <v>OPA2677IRGVR</v>
      </c>
      <c r="B14430" s="3" t="s">
        <v>90</v>
      </c>
      <c r="C14430" s="5">
        <v>62500</v>
      </c>
      <c r="D14430" s="6">
        <v>4.93</v>
      </c>
      <c r="E14430" t="s">
        <v>11</v>
      </c>
    </row>
    <row r="14431" spans="1:5" x14ac:dyDescent="0.25">
      <c r="A14431" t="str">
        <f>HYPERLINK("https://www.773grp.com/globalSearch/OPA4336EA-2K5/page-1", "OPA4336EA-2K5")</f>
        <v>OPA4336EA-2K5</v>
      </c>
      <c r="B14431" s="3" t="s">
        <v>90</v>
      </c>
      <c r="C14431" s="5">
        <v>27763</v>
      </c>
      <c r="D14431" s="6">
        <v>4.93</v>
      </c>
      <c r="E14431" t="s">
        <v>11</v>
      </c>
    </row>
    <row r="14432" spans="1:5" x14ac:dyDescent="0.25">
      <c r="A14432" t="str">
        <f>HYPERLINK("https://www.773grp.com/globalSearch/OPA684ID/page-1", "OPA684ID")</f>
        <v>OPA684ID</v>
      </c>
      <c r="B14432" s="3" t="s">
        <v>90</v>
      </c>
      <c r="C14432" s="5">
        <v>2724</v>
      </c>
      <c r="D14432" s="6">
        <v>4.93</v>
      </c>
      <c r="E14432" t="s">
        <v>11</v>
      </c>
    </row>
    <row r="14433" spans="1:5" x14ac:dyDescent="0.25">
      <c r="A14433" t="str">
        <f>HYPERLINK("https://www.773grp.com/globalSearch/OPA684ID/page-1", "OPA684ID")</f>
        <v>OPA684ID</v>
      </c>
      <c r="B14433" s="3" t="s">
        <v>90</v>
      </c>
      <c r="C14433" s="5">
        <v>3180</v>
      </c>
      <c r="D14433" s="6">
        <v>4.93</v>
      </c>
      <c r="E14433" t="s">
        <v>11</v>
      </c>
    </row>
    <row r="14434" spans="1:5" x14ac:dyDescent="0.25">
      <c r="A14434" t="str">
        <f>HYPERLINK("https://www.773grp.com/globalSearch/TLC25L4ACD/page-1", "TLC25L4ACD")</f>
        <v>TLC25L4ACD</v>
      </c>
      <c r="B14434" s="3" t="s">
        <v>90</v>
      </c>
      <c r="C14434" s="5">
        <v>300</v>
      </c>
      <c r="D14434" s="6">
        <v>4.93</v>
      </c>
      <c r="E14434" t="s">
        <v>11</v>
      </c>
    </row>
    <row r="14435" spans="1:5" x14ac:dyDescent="0.25">
      <c r="A14435" t="str">
        <f>HYPERLINK("https://www.773grp.com/globalSearch/TLC25M4ACD/page-1", "TLC25M4ACD")</f>
        <v>TLC25M4ACD</v>
      </c>
      <c r="B14435" s="3" t="s">
        <v>90</v>
      </c>
      <c r="C14435" s="5">
        <v>3750</v>
      </c>
      <c r="D14435" s="6">
        <v>4.93</v>
      </c>
      <c r="E14435" t="s">
        <v>11</v>
      </c>
    </row>
    <row r="14436" spans="1:5" x14ac:dyDescent="0.25">
      <c r="A14436" t="str">
        <f>HYPERLINK("https://www.773grp.com/globalSearch/TLC2654Q-8D/page-1", "TLC2654Q-8D")</f>
        <v>TLC2654Q-8D</v>
      </c>
      <c r="B14436" s="3" t="s">
        <v>90</v>
      </c>
      <c r="C14436" s="5">
        <v>13425</v>
      </c>
      <c r="D14436" s="6">
        <v>4.93</v>
      </c>
      <c r="E14436" t="s">
        <v>11</v>
      </c>
    </row>
    <row r="14437" spans="1:5" x14ac:dyDescent="0.25">
      <c r="A14437" t="str">
        <f>HYPERLINK("https://www.773grp.com/globalSearch/TLE2144CDWR/page-1", "TLE2144CDWR")</f>
        <v>TLE2144CDWR</v>
      </c>
      <c r="B14437" s="3" t="s">
        <v>90</v>
      </c>
      <c r="C14437" s="5">
        <v>11430</v>
      </c>
      <c r="D14437" s="6">
        <v>4.93</v>
      </c>
      <c r="E14437" t="s">
        <v>11</v>
      </c>
    </row>
    <row r="14438" spans="1:5" x14ac:dyDescent="0.25">
      <c r="A14438" t="str">
        <f>HYPERLINK("https://www.773grp.com/globalSearch/TLV2404ID/page-1", "TLV2404ID")</f>
        <v>TLV2404ID</v>
      </c>
      <c r="B14438" s="3" t="s">
        <v>90</v>
      </c>
      <c r="C14438" s="5">
        <v>250</v>
      </c>
      <c r="D14438" s="6">
        <v>4.93</v>
      </c>
      <c r="E14438" t="s">
        <v>11</v>
      </c>
    </row>
    <row r="14439" spans="1:5" x14ac:dyDescent="0.25">
      <c r="A14439" t="str">
        <f>HYPERLINK("https://www.773grp.com/globalSearch/TLV2404IPW/page-1", "TLV2404IPW")</f>
        <v>TLV2404IPW</v>
      </c>
      <c r="B14439" s="3" t="s">
        <v>90</v>
      </c>
      <c r="C14439" s="5">
        <v>3738</v>
      </c>
      <c r="D14439" s="6">
        <v>4.93</v>
      </c>
      <c r="E14439" t="s">
        <v>11</v>
      </c>
    </row>
    <row r="14440" spans="1:5" x14ac:dyDescent="0.25">
      <c r="A14440" t="str">
        <f>HYPERLINK("https://www.773grp.com/globalSearch/TLV2404IPWG4/page-1", "TLV2404IPWG4")</f>
        <v>TLV2404IPWG4</v>
      </c>
      <c r="B14440" s="3" t="s">
        <v>90</v>
      </c>
      <c r="C14440" s="5">
        <v>88</v>
      </c>
      <c r="D14440" s="6">
        <v>4.93</v>
      </c>
      <c r="E14440" t="s">
        <v>11</v>
      </c>
    </row>
    <row r="14441" spans="1:5" x14ac:dyDescent="0.25">
      <c r="A14441" t="str">
        <f>HYPERLINK("https://www.773grp.com/globalSearch/TLE2024IN/page-1", "TLE2024IN")</f>
        <v>TLE2024IN</v>
      </c>
      <c r="B14441" s="3" t="s">
        <v>90</v>
      </c>
      <c r="C14441" s="5">
        <v>87</v>
      </c>
      <c r="D14441" s="6">
        <v>4.95</v>
      </c>
      <c r="E14441" t="s">
        <v>11</v>
      </c>
    </row>
    <row r="14442" spans="1:5" x14ac:dyDescent="0.25">
      <c r="A14442" t="str">
        <f>HYPERLINK("https://www.773grp.com/globalSearch/TLV2474AIPWP/page-1", "TLV2474AIPWP")</f>
        <v>TLV2474AIPWP</v>
      </c>
      <c r="B14442" s="3" t="s">
        <v>90</v>
      </c>
      <c r="C14442" s="5">
        <v>9281</v>
      </c>
      <c r="D14442" s="6">
        <v>4.95</v>
      </c>
      <c r="E14442" t="s">
        <v>11</v>
      </c>
    </row>
    <row r="14443" spans="1:5" x14ac:dyDescent="0.25">
      <c r="A14443" t="str">
        <f>HYPERLINK("https://www.773grp.com/globalSearch/TL33072ADR/page-1", "TL33072ADR")</f>
        <v>TL33072ADR</v>
      </c>
      <c r="B14443" s="3" t="s">
        <v>90</v>
      </c>
      <c r="C14443" s="5">
        <v>42500</v>
      </c>
      <c r="D14443" s="6">
        <v>4.9800000000000004</v>
      </c>
      <c r="E14443" t="s">
        <v>11</v>
      </c>
    </row>
    <row r="14444" spans="1:5" x14ac:dyDescent="0.25">
      <c r="A14444" t="str">
        <f>HYPERLINK("https://www.773grp.com/globalSearch/OPA2822U/page-1", "OPA2822U")</f>
        <v>OPA2822U</v>
      </c>
      <c r="B14444" s="3" t="s">
        <v>90</v>
      </c>
      <c r="C14444" s="5">
        <v>503</v>
      </c>
      <c r="D14444" s="6">
        <v>5.01</v>
      </c>
      <c r="E14444" t="s">
        <v>11</v>
      </c>
    </row>
    <row r="14445" spans="1:5" x14ac:dyDescent="0.25">
      <c r="A14445" t="str">
        <f>HYPERLINK("https://www.773grp.com/globalSearch/OPA2822U/page-1", "OPA2822U")</f>
        <v>OPA2822U</v>
      </c>
      <c r="B14445" s="3" t="s">
        <v>90</v>
      </c>
      <c r="C14445" s="5">
        <v>1314</v>
      </c>
      <c r="D14445" s="6">
        <v>5.01</v>
      </c>
      <c r="E14445" t="s">
        <v>11</v>
      </c>
    </row>
    <row r="14446" spans="1:5" x14ac:dyDescent="0.25">
      <c r="A14446" t="str">
        <f>HYPERLINK("https://www.773grp.com/globalSearch/TLC252CP/page-1", "TLC252CP")</f>
        <v>TLC252CP</v>
      </c>
      <c r="B14446" s="3" t="s">
        <v>90</v>
      </c>
      <c r="C14446" s="5">
        <v>10678</v>
      </c>
      <c r="D14446" s="6">
        <v>5.01</v>
      </c>
      <c r="E14446" t="s">
        <v>11</v>
      </c>
    </row>
    <row r="14447" spans="1:5" x14ac:dyDescent="0.25">
      <c r="A14447" t="str">
        <f>HYPERLINK("https://www.773grp.com/globalSearch/TLE2027AIP/page-1", "TLE2027AIP")</f>
        <v>TLE2027AIP</v>
      </c>
      <c r="B14447" s="3" t="s">
        <v>90</v>
      </c>
      <c r="C14447" s="5">
        <v>2</v>
      </c>
      <c r="D14447" s="6">
        <v>5.01</v>
      </c>
      <c r="E14447" t="s">
        <v>11</v>
      </c>
    </row>
    <row r="14448" spans="1:5" x14ac:dyDescent="0.25">
      <c r="A14448" t="str">
        <f>HYPERLINK("https://www.773grp.com/globalSearch/TLE2662IDW/page-1", "TLE2662IDW")</f>
        <v>TLE2662IDW</v>
      </c>
      <c r="B14448" s="3" t="s">
        <v>90</v>
      </c>
      <c r="C14448" s="5">
        <v>1300</v>
      </c>
      <c r="D14448" s="6">
        <v>5.01</v>
      </c>
      <c r="E14448" t="s">
        <v>11</v>
      </c>
    </row>
    <row r="14449" spans="1:5" x14ac:dyDescent="0.25">
      <c r="A14449" t="str">
        <f>HYPERLINK("https://www.773grp.com/globalSearch/TLE2682IDW/page-1", "TLE2682IDW")</f>
        <v>TLE2682IDW</v>
      </c>
      <c r="B14449" s="3" t="s">
        <v>90</v>
      </c>
      <c r="C14449" s="5">
        <v>1660</v>
      </c>
      <c r="D14449" s="6">
        <v>5.01</v>
      </c>
      <c r="E14449" t="s">
        <v>11</v>
      </c>
    </row>
    <row r="14450" spans="1:5" x14ac:dyDescent="0.25">
      <c r="A14450" t="str">
        <f>HYPERLINK("https://www.773grp.com/globalSearch/TLC25L2CP/page-1", "TLC25L2CP")</f>
        <v>TLC25L2CP</v>
      </c>
      <c r="B14450" s="3" t="s">
        <v>90</v>
      </c>
      <c r="C14450" s="5">
        <v>25502</v>
      </c>
      <c r="D14450" s="6">
        <v>5.03</v>
      </c>
      <c r="E14450" t="s">
        <v>11</v>
      </c>
    </row>
    <row r="14451" spans="1:5" x14ac:dyDescent="0.25">
      <c r="A14451" t="str">
        <f>HYPERLINK("https://www.773grp.com/globalSearch/TLC25M2CP/page-1", "TLC25M2CP")</f>
        <v>TLC25M2CP</v>
      </c>
      <c r="B14451" s="3" t="s">
        <v>90</v>
      </c>
      <c r="C14451" s="5">
        <v>12439</v>
      </c>
      <c r="D14451" s="6">
        <v>5.03</v>
      </c>
      <c r="E14451" t="s">
        <v>11</v>
      </c>
    </row>
    <row r="14452" spans="1:5" x14ac:dyDescent="0.25">
      <c r="A14452" t="str">
        <f>HYPERLINK("https://www.773grp.com/globalSearch/INA2132UA-2K5/page-1", "INA2132UA-2K5")</f>
        <v>INA2132UA-2K5</v>
      </c>
      <c r="B14452" s="3" t="s">
        <v>90</v>
      </c>
      <c r="C14452" s="5">
        <v>9190</v>
      </c>
      <c r="D14452" s="6">
        <v>5.0599999999999996</v>
      </c>
      <c r="E14452" t="s">
        <v>11</v>
      </c>
    </row>
    <row r="14453" spans="1:5" x14ac:dyDescent="0.25">
      <c r="A14453" t="str">
        <f>HYPERLINK("https://www.773grp.com/globalSearch/INA2133UA/page-1", "INA2133UA")</f>
        <v>INA2133UA</v>
      </c>
      <c r="B14453" s="3" t="s">
        <v>90</v>
      </c>
      <c r="C14453" s="5">
        <v>3785</v>
      </c>
      <c r="D14453" s="6">
        <v>5.0599999999999996</v>
      </c>
      <c r="E14453" t="s">
        <v>11</v>
      </c>
    </row>
    <row r="14454" spans="1:5" x14ac:dyDescent="0.25">
      <c r="A14454" t="str">
        <f>HYPERLINK("https://www.773grp.com/globalSearch/INA2133UA/page-1", "INA2133UA")</f>
        <v>INA2133UA</v>
      </c>
      <c r="B14454" s="3" t="s">
        <v>90</v>
      </c>
      <c r="C14454" s="5">
        <v>22</v>
      </c>
      <c r="D14454" s="6">
        <v>5.0599999999999996</v>
      </c>
      <c r="E14454" t="s">
        <v>11</v>
      </c>
    </row>
    <row r="14455" spans="1:5" x14ac:dyDescent="0.25">
      <c r="A14455" t="str">
        <f>HYPERLINK("https://www.773grp.com/globalSearch/INA2133UAE4/page-1", "INA2133UAE4")</f>
        <v>INA2133UAE4</v>
      </c>
      <c r="B14455" s="3" t="s">
        <v>90</v>
      </c>
      <c r="C14455" s="5">
        <v>4</v>
      </c>
      <c r="D14455" s="6">
        <v>5.0599999999999996</v>
      </c>
      <c r="E14455" t="s">
        <v>11</v>
      </c>
    </row>
    <row r="14456" spans="1:5" x14ac:dyDescent="0.25">
      <c r="A14456" t="str">
        <f>HYPERLINK("https://www.773grp.com/globalSearch/OPA140AIDGKT/page-1", "OPA140AIDGKT")</f>
        <v>OPA140AIDGKT</v>
      </c>
      <c r="B14456" s="3" t="s">
        <v>90</v>
      </c>
      <c r="C14456" s="5">
        <v>3250</v>
      </c>
      <c r="D14456" s="6">
        <v>5.0599999999999996</v>
      </c>
      <c r="E14456" t="s">
        <v>11</v>
      </c>
    </row>
    <row r="14457" spans="1:5" x14ac:dyDescent="0.25">
      <c r="A14457" t="str">
        <f>HYPERLINK("https://www.773grp.com/globalSearch/OPA2131UA-2K5/page-1", "OPA2131UA-2K5")</f>
        <v>OPA2131UA-2K5</v>
      </c>
      <c r="B14457" s="3" t="s">
        <v>90</v>
      </c>
      <c r="C14457" s="5">
        <v>4865</v>
      </c>
      <c r="D14457" s="6">
        <v>5.0599999999999996</v>
      </c>
      <c r="E14457" t="s">
        <v>11</v>
      </c>
    </row>
    <row r="14458" spans="1:5" x14ac:dyDescent="0.25">
      <c r="A14458" t="str">
        <f>HYPERLINK("https://www.773grp.com/globalSearch/OPA2333AID/page-1", "OPA2333AID")</f>
        <v>OPA2333AID</v>
      </c>
      <c r="B14458" s="3" t="s">
        <v>90</v>
      </c>
      <c r="C14458" s="5">
        <v>750</v>
      </c>
      <c r="D14458" s="6">
        <v>5.0599999999999996</v>
      </c>
      <c r="E14458" t="s">
        <v>11</v>
      </c>
    </row>
    <row r="14459" spans="1:5" x14ac:dyDescent="0.25">
      <c r="A14459" t="str">
        <f>HYPERLINK("https://www.773grp.com/globalSearch/OPA2333AQDRQ1/page-1", "OPA2333AQDRQ1")</f>
        <v>OPA2333AQDRQ1</v>
      </c>
      <c r="B14459" s="3" t="s">
        <v>90</v>
      </c>
      <c r="C14459" s="5">
        <v>34700</v>
      </c>
      <c r="D14459" s="6">
        <v>5.0599999999999996</v>
      </c>
      <c r="E14459" t="s">
        <v>11</v>
      </c>
    </row>
    <row r="14460" spans="1:5" x14ac:dyDescent="0.25">
      <c r="A14460" t="str">
        <f>HYPERLINK("https://www.773grp.com/globalSearch/OPA3355EA-2K5/page-1", "OPA3355EA-2K5")</f>
        <v>OPA3355EA-2K5</v>
      </c>
      <c r="B14460" s="3" t="s">
        <v>90</v>
      </c>
      <c r="C14460" s="5">
        <v>7500</v>
      </c>
      <c r="D14460" s="6">
        <v>5.0599999999999996</v>
      </c>
      <c r="E14460" t="s">
        <v>11</v>
      </c>
    </row>
    <row r="14461" spans="1:5" x14ac:dyDescent="0.25">
      <c r="A14461" t="str">
        <f>HYPERLINK("https://www.773grp.com/globalSearch/OPA3355EA-2K5/page-1", "OPA3355EA-2K5")</f>
        <v>OPA3355EA-2K5</v>
      </c>
      <c r="B14461" s="3" t="s">
        <v>90</v>
      </c>
      <c r="C14461" s="5">
        <v>40000</v>
      </c>
      <c r="D14461" s="6">
        <v>5.0599999999999996</v>
      </c>
      <c r="E14461" t="s">
        <v>11</v>
      </c>
    </row>
    <row r="14462" spans="1:5" x14ac:dyDescent="0.25">
      <c r="A14462" t="str">
        <f>HYPERLINK("https://www.773grp.com/globalSearch/OPA3355UA-2K5/page-1", "OPA3355UA-2K5")</f>
        <v>OPA3355UA-2K5</v>
      </c>
      <c r="B14462" s="3" t="s">
        <v>90</v>
      </c>
      <c r="C14462" s="5">
        <v>2873</v>
      </c>
      <c r="D14462" s="6">
        <v>5.0599999999999996</v>
      </c>
      <c r="E14462" t="s">
        <v>11</v>
      </c>
    </row>
    <row r="14463" spans="1:5" x14ac:dyDescent="0.25">
      <c r="A14463" t="str">
        <f>HYPERLINK("https://www.773grp.com/globalSearch/THS4052CDGNR/page-1", "THS4052CDGNR")</f>
        <v>THS4052CDGNR</v>
      </c>
      <c r="B14463" s="3" t="s">
        <v>90</v>
      </c>
      <c r="C14463" s="5">
        <v>42810</v>
      </c>
      <c r="D14463" s="6">
        <v>5.0599999999999996</v>
      </c>
      <c r="E14463" t="s">
        <v>11</v>
      </c>
    </row>
    <row r="14464" spans="1:5" x14ac:dyDescent="0.25">
      <c r="A14464" t="str">
        <f>HYPERLINK("https://www.773grp.com/globalSearch/TLV2455ID/page-1", "TLV2455ID")</f>
        <v>TLV2455ID</v>
      </c>
      <c r="B14464" s="3" t="s">
        <v>90</v>
      </c>
      <c r="C14464" s="5">
        <v>205</v>
      </c>
      <c r="D14464" s="6">
        <v>5.0599999999999996</v>
      </c>
      <c r="E14464" t="s">
        <v>11</v>
      </c>
    </row>
    <row r="14465" spans="1:5" x14ac:dyDescent="0.25">
      <c r="A14465" t="str">
        <f>HYPERLINK("https://www.773grp.com/globalSearch/TLV2765CD/page-1", "TLV2765CD")</f>
        <v>TLV2765CD</v>
      </c>
      <c r="B14465" s="3" t="s">
        <v>90</v>
      </c>
      <c r="C14465" s="5">
        <v>20625</v>
      </c>
      <c r="D14465" s="6">
        <v>5.0599999999999996</v>
      </c>
      <c r="E14465" t="s">
        <v>11</v>
      </c>
    </row>
    <row r="14466" spans="1:5" x14ac:dyDescent="0.25">
      <c r="A14466" t="str">
        <f>HYPERLINK("https://www.773grp.com/globalSearch/TLV2775AIDR/page-1", "TLV2775AIDR")</f>
        <v>TLV2775AIDR</v>
      </c>
      <c r="B14466" s="3" t="s">
        <v>90</v>
      </c>
      <c r="C14466" s="5">
        <v>7500</v>
      </c>
      <c r="D14466" s="6">
        <v>5.0599999999999996</v>
      </c>
      <c r="E14466" t="s">
        <v>11</v>
      </c>
    </row>
    <row r="14467" spans="1:5" x14ac:dyDescent="0.25">
      <c r="A14467" t="str">
        <f>HYPERLINK("https://www.773grp.com/globalSearch/TLC2654CN/page-1", "TLC2654CN")</f>
        <v>TLC2654CN</v>
      </c>
      <c r="B14467" s="3" t="s">
        <v>90</v>
      </c>
      <c r="C14467" s="5">
        <v>174</v>
      </c>
      <c r="D14467" s="6">
        <v>5.0999999999999996</v>
      </c>
      <c r="E14467" t="s">
        <v>11</v>
      </c>
    </row>
    <row r="14468" spans="1:5" x14ac:dyDescent="0.25">
      <c r="A14468" t="str">
        <f>HYPERLINK("https://www.773grp.com/globalSearch/TLC2654CP/page-1", "TLC2654CP")</f>
        <v>TLC2654CP</v>
      </c>
      <c r="B14468" s="3" t="s">
        <v>90</v>
      </c>
      <c r="C14468" s="5">
        <v>7717</v>
      </c>
      <c r="D14468" s="6">
        <v>5.0999999999999996</v>
      </c>
      <c r="E14468" t="s">
        <v>11</v>
      </c>
    </row>
    <row r="14469" spans="1:5" x14ac:dyDescent="0.25">
      <c r="A14469" t="str">
        <f>HYPERLINK("https://www.773grp.com/globalSearch/TLE2061BIP/page-1", "TLE2061BIP")</f>
        <v>TLE2061BIP</v>
      </c>
      <c r="B14469" s="3" t="s">
        <v>90</v>
      </c>
      <c r="C14469" s="5">
        <v>767</v>
      </c>
      <c r="D14469" s="6">
        <v>5.0999999999999996</v>
      </c>
      <c r="E14469" t="s">
        <v>11</v>
      </c>
    </row>
    <row r="14470" spans="1:5" x14ac:dyDescent="0.25">
      <c r="A14470" t="str">
        <f>HYPERLINK("https://www.773grp.com/globalSearch/TLV2475IPWR/page-1", "TLV2475IPWR")</f>
        <v>TLV2475IPWR</v>
      </c>
      <c r="B14470" s="3" t="s">
        <v>90</v>
      </c>
      <c r="C14470" s="5">
        <v>4000</v>
      </c>
      <c r="D14470" s="6">
        <v>5.0999999999999996</v>
      </c>
      <c r="E14470" t="s">
        <v>11</v>
      </c>
    </row>
    <row r="14471" spans="1:5" x14ac:dyDescent="0.25">
      <c r="A14471" t="str">
        <f>HYPERLINK("https://www.773grp.com/globalSearch/THS4520RGTR/page-1", "THS4520RGTR")</f>
        <v>THS4520RGTR</v>
      </c>
      <c r="B14471" s="3" t="s">
        <v>90</v>
      </c>
      <c r="C14471" s="5">
        <v>41960</v>
      </c>
      <c r="D14471" s="6">
        <v>5.1100000000000003</v>
      </c>
      <c r="E14471" t="s">
        <v>11</v>
      </c>
    </row>
    <row r="14472" spans="1:5" x14ac:dyDescent="0.25">
      <c r="A14472" t="str">
        <f>HYPERLINK("https://www.773grp.com/globalSearch/OPA2335AIDGKT/page-1", "OPA2335AIDGKT")</f>
        <v>OPA2335AIDGKT</v>
      </c>
      <c r="B14472" s="3" t="s">
        <v>90</v>
      </c>
      <c r="C14472" s="5">
        <v>3854</v>
      </c>
      <c r="D14472" s="6">
        <v>5.2</v>
      </c>
      <c r="E14472" t="s">
        <v>11</v>
      </c>
    </row>
    <row r="14473" spans="1:5" x14ac:dyDescent="0.25">
      <c r="A14473" t="str">
        <f>HYPERLINK("https://www.773grp.com/globalSearch/OPA2336E-250/page-1", "OPA2336E-250")</f>
        <v>OPA2336E-250</v>
      </c>
      <c r="B14473" s="3" t="s">
        <v>90</v>
      </c>
      <c r="C14473" s="5">
        <v>500</v>
      </c>
      <c r="D14473" s="6">
        <v>5.2</v>
      </c>
      <c r="E14473" t="s">
        <v>11</v>
      </c>
    </row>
    <row r="14474" spans="1:5" x14ac:dyDescent="0.25">
      <c r="A14474" t="str">
        <f>HYPERLINK("https://www.773grp.com/globalSearch/OPA2336P/page-1", "OPA2336P")</f>
        <v>OPA2336P</v>
      </c>
      <c r="B14474" s="3" t="s">
        <v>90</v>
      </c>
      <c r="C14474" s="5">
        <v>16650</v>
      </c>
      <c r="D14474" s="6">
        <v>5.2</v>
      </c>
      <c r="E14474" t="s">
        <v>11</v>
      </c>
    </row>
    <row r="14475" spans="1:5" x14ac:dyDescent="0.25">
      <c r="A14475" t="str">
        <f>HYPERLINK("https://www.773grp.com/globalSearch/OPA2677H/page-1", "OPA2677H")</f>
        <v>OPA2677H</v>
      </c>
      <c r="B14475" s="3" t="s">
        <v>90</v>
      </c>
      <c r="C14475" s="5">
        <v>13319</v>
      </c>
      <c r="D14475" s="6">
        <v>5.2</v>
      </c>
      <c r="E14475" t="s">
        <v>11</v>
      </c>
    </row>
    <row r="14476" spans="1:5" x14ac:dyDescent="0.25">
      <c r="A14476" t="str">
        <f>HYPERLINK("https://www.773grp.com/globalSearch/OPA2677H-2K5/page-1", "OPA2677H-2K5")</f>
        <v>OPA2677H-2K5</v>
      </c>
      <c r="B14476" s="3" t="s">
        <v>90</v>
      </c>
      <c r="C14476" s="5">
        <v>352455</v>
      </c>
      <c r="D14476" s="6">
        <v>5.2</v>
      </c>
      <c r="E14476" t="s">
        <v>11</v>
      </c>
    </row>
    <row r="14477" spans="1:5" x14ac:dyDescent="0.25">
      <c r="A14477" t="str">
        <f>HYPERLINK("https://www.773grp.com/globalSearch/OPA4343EA-2K5/page-1", "OPA4343EA-2K5")</f>
        <v>OPA4343EA-2K5</v>
      </c>
      <c r="B14477" s="3" t="s">
        <v>90</v>
      </c>
      <c r="C14477" s="5">
        <v>5000</v>
      </c>
      <c r="D14477" s="6">
        <v>5.2</v>
      </c>
      <c r="E14477" t="s">
        <v>11</v>
      </c>
    </row>
    <row r="14478" spans="1:5" x14ac:dyDescent="0.25">
      <c r="A14478" t="str">
        <f>HYPERLINK("https://www.773grp.com/globalSearch/OPA4343UA-2K5/page-1", "OPA4343UA-2K5")</f>
        <v>OPA4343UA-2K5</v>
      </c>
      <c r="B14478" s="3" t="s">
        <v>90</v>
      </c>
      <c r="C14478" s="5">
        <v>2495</v>
      </c>
      <c r="D14478" s="6">
        <v>5.2</v>
      </c>
      <c r="E14478" t="s">
        <v>11</v>
      </c>
    </row>
    <row r="14479" spans="1:5" x14ac:dyDescent="0.25">
      <c r="A14479" t="str">
        <f>HYPERLINK("https://www.773grp.com/globalSearch/OPA4343UA-2K5/page-1", "OPA4343UA-2K5")</f>
        <v>OPA4343UA-2K5</v>
      </c>
      <c r="B14479" s="3" t="s">
        <v>90</v>
      </c>
      <c r="C14479" s="5">
        <v>3989</v>
      </c>
      <c r="D14479" s="6">
        <v>5.2</v>
      </c>
      <c r="E14479" t="s">
        <v>11</v>
      </c>
    </row>
    <row r="14480" spans="1:5" x14ac:dyDescent="0.25">
      <c r="A14480" t="str">
        <f>HYPERLINK("https://www.773grp.com/globalSearch/TLC252CD/page-1", "TLC252CD")</f>
        <v>TLC252CD</v>
      </c>
      <c r="B14480" s="3" t="s">
        <v>90</v>
      </c>
      <c r="C14480" s="5">
        <v>4837</v>
      </c>
      <c r="D14480" s="6">
        <v>5.2</v>
      </c>
      <c r="E14480" t="s">
        <v>11</v>
      </c>
    </row>
    <row r="14481" spans="1:5" x14ac:dyDescent="0.25">
      <c r="A14481" t="str">
        <f>HYPERLINK("https://www.773grp.com/globalSearch/TLC4502CDR/page-1", "TLC4502CDR")</f>
        <v>TLC4502CDR</v>
      </c>
      <c r="B14481" s="3" t="s">
        <v>90</v>
      </c>
      <c r="C14481" s="5">
        <v>12100</v>
      </c>
      <c r="D14481" s="6">
        <v>5.2</v>
      </c>
      <c r="E14481" t="s">
        <v>11</v>
      </c>
    </row>
    <row r="14482" spans="1:5" x14ac:dyDescent="0.25">
      <c r="A14482" t="str">
        <f>HYPERLINK("https://www.773grp.com/globalSearch/TLE2024MDW/page-1", "TLE2024MDW")</f>
        <v>TLE2024MDW</v>
      </c>
      <c r="B14482" s="3" t="s">
        <v>90</v>
      </c>
      <c r="C14482" s="5">
        <v>1668</v>
      </c>
      <c r="D14482" s="6">
        <v>5.2</v>
      </c>
      <c r="E14482" t="s">
        <v>11</v>
      </c>
    </row>
    <row r="14483" spans="1:5" x14ac:dyDescent="0.25">
      <c r="A14483" t="str">
        <f>HYPERLINK("https://www.773grp.com/globalSearch/TLE2064CN/page-1", "TLE2064CN")</f>
        <v>TLE2064CN</v>
      </c>
      <c r="B14483" s="3" t="s">
        <v>90</v>
      </c>
      <c r="C14483" s="5">
        <v>141</v>
      </c>
      <c r="D14483" s="6">
        <v>5.2</v>
      </c>
      <c r="E14483" t="s">
        <v>11</v>
      </c>
    </row>
    <row r="14484" spans="1:5" x14ac:dyDescent="0.25">
      <c r="A14484" t="str">
        <f>HYPERLINK("https://www.773grp.com/globalSearch/TLV2765ID/page-1", "TLV2765ID")</f>
        <v>TLV2765ID</v>
      </c>
      <c r="B14484" s="3" t="s">
        <v>90</v>
      </c>
      <c r="C14484" s="5">
        <v>12085</v>
      </c>
      <c r="D14484" s="6">
        <v>5.2</v>
      </c>
      <c r="E14484" t="s">
        <v>11</v>
      </c>
    </row>
    <row r="14485" spans="1:5" x14ac:dyDescent="0.25">
      <c r="A14485" t="str">
        <f>HYPERLINK("https://www.773grp.com/globalSearch/TLV2765IPW/page-1", "TLV2765IPW")</f>
        <v>TLV2765IPW</v>
      </c>
      <c r="B14485" s="3" t="s">
        <v>90</v>
      </c>
      <c r="C14485" s="5">
        <v>818</v>
      </c>
      <c r="D14485" s="6">
        <v>5.2</v>
      </c>
      <c r="E14485" t="s">
        <v>11</v>
      </c>
    </row>
    <row r="14486" spans="1:5" x14ac:dyDescent="0.25">
      <c r="A14486" t="str">
        <f>HYPERLINK("https://www.773grp.com/globalSearch/TLV2774AIN/page-1", "TLV2774AIN")</f>
        <v>TLV2774AIN</v>
      </c>
      <c r="B14486" s="3" t="s">
        <v>90</v>
      </c>
      <c r="C14486" s="5">
        <v>17090</v>
      </c>
      <c r="D14486" s="6">
        <v>5.2</v>
      </c>
      <c r="E14486" t="s">
        <v>11</v>
      </c>
    </row>
    <row r="14487" spans="1:5" x14ac:dyDescent="0.25">
      <c r="A14487" t="str">
        <f>HYPERLINK("https://www.773grp.com/globalSearch/TLV2785ID/page-1", "TLV2785ID")</f>
        <v>TLV2785ID</v>
      </c>
      <c r="B14487" s="3" t="s">
        <v>90</v>
      </c>
      <c r="C14487" s="5">
        <v>21200</v>
      </c>
      <c r="D14487" s="6">
        <v>5.2</v>
      </c>
      <c r="E14487" t="s">
        <v>11</v>
      </c>
    </row>
    <row r="14488" spans="1:5" x14ac:dyDescent="0.25">
      <c r="A14488" t="str">
        <f>HYPERLINK("https://www.773grp.com/globalSearch/TLC25L2CD/page-1", "TLC25L2CD")</f>
        <v>TLC25L2CD</v>
      </c>
      <c r="B14488" s="3" t="s">
        <v>90</v>
      </c>
      <c r="C14488" s="5">
        <v>2850</v>
      </c>
      <c r="D14488" s="6">
        <v>5.24</v>
      </c>
      <c r="E14488" t="s">
        <v>11</v>
      </c>
    </row>
    <row r="14489" spans="1:5" x14ac:dyDescent="0.25">
      <c r="A14489" t="str">
        <f>HYPERLINK("https://www.773grp.com/globalSearch/TLC25M2ACP/page-1", "TLC25M2ACP")</f>
        <v>TLC25M2ACP</v>
      </c>
      <c r="B14489" s="3" t="s">
        <v>90</v>
      </c>
      <c r="C14489" s="5">
        <v>27620</v>
      </c>
      <c r="D14489" s="6">
        <v>5.24</v>
      </c>
      <c r="E14489" t="s">
        <v>11</v>
      </c>
    </row>
    <row r="14490" spans="1:5" x14ac:dyDescent="0.25">
      <c r="A14490" t="str">
        <f>HYPERLINK("https://www.773grp.com/globalSearch/TLC25M2CD/page-1", "TLC25M2CD")</f>
        <v>TLC25M2CD</v>
      </c>
      <c r="B14490" s="3" t="s">
        <v>90</v>
      </c>
      <c r="C14490" s="5">
        <v>8400</v>
      </c>
      <c r="D14490" s="6">
        <v>5.24</v>
      </c>
      <c r="E14490" t="s">
        <v>11</v>
      </c>
    </row>
    <row r="14491" spans="1:5" x14ac:dyDescent="0.25">
      <c r="A14491" t="str">
        <f>HYPERLINK("https://www.773grp.com/globalSearch/TLV4120IDGN/page-1", "TLV4120IDGN")</f>
        <v>TLV4120IDGN</v>
      </c>
      <c r="B14491" s="3" t="s">
        <v>90</v>
      </c>
      <c r="C14491" s="5">
        <v>10350</v>
      </c>
      <c r="D14491" s="6">
        <v>5.24</v>
      </c>
      <c r="E14491" t="s">
        <v>11</v>
      </c>
    </row>
    <row r="14492" spans="1:5" x14ac:dyDescent="0.25">
      <c r="A14492" t="str">
        <f>HYPERLINK("https://www.773grp.com/globalSearch/TL288CP/page-1", "TL288CP")</f>
        <v>TL288CP</v>
      </c>
      <c r="B14492" s="3" t="s">
        <v>90</v>
      </c>
      <c r="C14492" s="5">
        <v>26832</v>
      </c>
      <c r="D14492" s="6">
        <v>5.31</v>
      </c>
      <c r="E14492" t="s">
        <v>11</v>
      </c>
    </row>
    <row r="14493" spans="1:5" x14ac:dyDescent="0.25">
      <c r="A14493" t="str">
        <f>HYPERLINK("https://www.773grp.com/globalSearch/TLC2654C-8D/page-1", "TLC2654C-8D")</f>
        <v>TLC2654C-8D</v>
      </c>
      <c r="B14493" s="3" t="s">
        <v>90</v>
      </c>
      <c r="C14493" s="5">
        <v>52327</v>
      </c>
      <c r="D14493" s="6">
        <v>5.31</v>
      </c>
      <c r="E14493" t="s">
        <v>11</v>
      </c>
    </row>
    <row r="14494" spans="1:5" x14ac:dyDescent="0.25">
      <c r="A14494" t="str">
        <f>HYPERLINK("https://www.773grp.com/globalSearch/TLC2654IP/page-1", "TLC2654IP")</f>
        <v>TLC2654IP</v>
      </c>
      <c r="B14494" s="3" t="s">
        <v>90</v>
      </c>
      <c r="C14494" s="5">
        <v>12831</v>
      </c>
      <c r="D14494" s="6">
        <v>5.31</v>
      </c>
      <c r="E14494" t="s">
        <v>11</v>
      </c>
    </row>
    <row r="14495" spans="1:5" x14ac:dyDescent="0.25">
      <c r="A14495" t="str">
        <f>HYPERLINK("https://www.773grp.com/globalSearch/TLV2784AID/page-1", "TLV2784AID")</f>
        <v>TLV2784AID</v>
      </c>
      <c r="B14495" s="3" t="s">
        <v>90</v>
      </c>
      <c r="C14495" s="5">
        <v>705</v>
      </c>
      <c r="D14495" s="6">
        <v>5.31</v>
      </c>
      <c r="E14495" t="s">
        <v>11</v>
      </c>
    </row>
    <row r="14496" spans="1:5" x14ac:dyDescent="0.25">
      <c r="A14496" t="str">
        <f>HYPERLINK("https://www.773grp.com/globalSearch/OPA2234UA-2K5/page-1", "OPA2234UA-2K5")</f>
        <v>OPA2234UA-2K5</v>
      </c>
      <c r="B14496" s="3" t="s">
        <v>90</v>
      </c>
      <c r="C14496" s="5">
        <v>1950</v>
      </c>
      <c r="D14496" s="6">
        <v>5.35</v>
      </c>
      <c r="E14496" t="s">
        <v>11</v>
      </c>
    </row>
    <row r="14497" spans="1:5" x14ac:dyDescent="0.25">
      <c r="A14497" t="str">
        <f>HYPERLINK("https://www.773grp.com/globalSearch/OPA2277PA/page-1", "OPA2277PA")</f>
        <v>OPA2277PA</v>
      </c>
      <c r="B14497" s="3" t="s">
        <v>90</v>
      </c>
      <c r="C14497" s="5">
        <v>29117</v>
      </c>
      <c r="D14497" s="6">
        <v>5.35</v>
      </c>
      <c r="E14497" t="s">
        <v>11</v>
      </c>
    </row>
    <row r="14498" spans="1:5" x14ac:dyDescent="0.25">
      <c r="A14498" t="str">
        <f>HYPERLINK("https://www.773grp.com/globalSearch/OPA2335AID/page-1", "OPA2335AID")</f>
        <v>OPA2335AID</v>
      </c>
      <c r="B14498" s="3" t="s">
        <v>90</v>
      </c>
      <c r="C14498" s="5">
        <v>528</v>
      </c>
      <c r="D14498" s="6">
        <v>5.35</v>
      </c>
      <c r="E14498" t="s">
        <v>11</v>
      </c>
    </row>
    <row r="14499" spans="1:5" x14ac:dyDescent="0.25">
      <c r="A14499" t="str">
        <f>HYPERLINK("https://www.773grp.com/globalSearch/OPA2336U/page-1", "OPA2336U")</f>
        <v>OPA2336U</v>
      </c>
      <c r="B14499" s="3" t="s">
        <v>90</v>
      </c>
      <c r="C14499" s="5">
        <v>14</v>
      </c>
      <c r="D14499" s="6">
        <v>5.35</v>
      </c>
      <c r="E14499" t="s">
        <v>11</v>
      </c>
    </row>
    <row r="14500" spans="1:5" x14ac:dyDescent="0.25">
      <c r="A14500" t="str">
        <f>HYPERLINK("https://www.773grp.com/globalSearch/OPA2743EA-250/page-1", "OPA2743EA-250")</f>
        <v>OPA2743EA-250</v>
      </c>
      <c r="B14500" s="3" t="s">
        <v>90</v>
      </c>
      <c r="C14500" s="5">
        <v>2737</v>
      </c>
      <c r="D14500" s="6">
        <v>5.35</v>
      </c>
      <c r="E14500" t="s">
        <v>11</v>
      </c>
    </row>
    <row r="14501" spans="1:5" x14ac:dyDescent="0.25">
      <c r="A14501" t="str">
        <f>HYPERLINK("https://www.773grp.com/globalSearch/OPA2743PA/page-1", "OPA2743PA")</f>
        <v>OPA2743PA</v>
      </c>
      <c r="B14501" s="3" t="s">
        <v>90</v>
      </c>
      <c r="C14501" s="5">
        <v>17300</v>
      </c>
      <c r="D14501" s="6">
        <v>5.35</v>
      </c>
      <c r="E14501" t="s">
        <v>11</v>
      </c>
    </row>
    <row r="14502" spans="1:5" x14ac:dyDescent="0.25">
      <c r="A14502" t="str">
        <f>HYPERLINK("https://www.773grp.com/globalSearch/OPA551UA-2K5/page-1", "OPA551UA-2K5")</f>
        <v>OPA551UA-2K5</v>
      </c>
      <c r="B14502" s="3" t="s">
        <v>90</v>
      </c>
      <c r="C14502" s="5">
        <v>8676</v>
      </c>
      <c r="D14502" s="6">
        <v>5.35</v>
      </c>
      <c r="E14502" t="s">
        <v>11</v>
      </c>
    </row>
    <row r="14503" spans="1:5" x14ac:dyDescent="0.25">
      <c r="A14503" t="str">
        <f>HYPERLINK("https://www.773grp.com/globalSearch/OPA691IDBVT/page-1", "OPA691IDBVT")</f>
        <v>OPA691IDBVT</v>
      </c>
      <c r="B14503" s="3" t="s">
        <v>90</v>
      </c>
      <c r="C14503" s="5">
        <v>19005</v>
      </c>
      <c r="D14503" s="6">
        <v>5.35</v>
      </c>
      <c r="E14503" t="s">
        <v>11</v>
      </c>
    </row>
    <row r="14504" spans="1:5" x14ac:dyDescent="0.25">
      <c r="A14504" t="str">
        <f>HYPERLINK("https://www.773grp.com/globalSearch/THS4052IDGNR/page-1", "THS4052IDGNR")</f>
        <v>THS4052IDGNR</v>
      </c>
      <c r="B14504" s="3" t="s">
        <v>90</v>
      </c>
      <c r="C14504" s="5">
        <v>5000</v>
      </c>
      <c r="D14504" s="6">
        <v>5.35</v>
      </c>
      <c r="E14504" t="s">
        <v>11</v>
      </c>
    </row>
    <row r="14505" spans="1:5" x14ac:dyDescent="0.25">
      <c r="A14505" t="str">
        <f>HYPERLINK("https://www.773grp.com/globalSearch/THS4120CDR/page-1", "THS4120CDR")</f>
        <v>THS4120CDR</v>
      </c>
      <c r="B14505" s="3" t="s">
        <v>90</v>
      </c>
      <c r="C14505" s="5">
        <v>2500</v>
      </c>
      <c r="D14505" s="6">
        <v>5.35</v>
      </c>
      <c r="E14505" t="s">
        <v>11</v>
      </c>
    </row>
    <row r="14506" spans="1:5" x14ac:dyDescent="0.25">
      <c r="A14506" t="str">
        <f>HYPERLINK("https://www.773grp.com/globalSearch/THS4504DGNR/page-1", "THS4504DGNR")</f>
        <v>THS4504DGNR</v>
      </c>
      <c r="B14506" s="3" t="s">
        <v>90</v>
      </c>
      <c r="C14506" s="5">
        <v>2500</v>
      </c>
      <c r="D14506" s="6">
        <v>5.35</v>
      </c>
      <c r="E14506" t="s">
        <v>11</v>
      </c>
    </row>
    <row r="14507" spans="1:5" x14ac:dyDescent="0.25">
      <c r="A14507" t="str">
        <f>HYPERLINK("https://www.773grp.com/globalSearch/TLE2024ACDW/page-1", "TLE2024ACDW")</f>
        <v>TLE2024ACDW</v>
      </c>
      <c r="B14507" s="3" t="s">
        <v>90</v>
      </c>
      <c r="C14507" s="5">
        <v>1121</v>
      </c>
      <c r="D14507" s="6">
        <v>5.35</v>
      </c>
      <c r="E14507" t="s">
        <v>11</v>
      </c>
    </row>
    <row r="14508" spans="1:5" x14ac:dyDescent="0.25">
      <c r="A14508" t="str">
        <f>HYPERLINK("https://www.773grp.com/globalSearch/TLE2144IDWR/page-1", "TLE2144IDWR")</f>
        <v>TLE2144IDWR</v>
      </c>
      <c r="B14508" s="3" t="s">
        <v>90</v>
      </c>
      <c r="C14508" s="5">
        <v>47</v>
      </c>
      <c r="D14508" s="6">
        <v>5.35</v>
      </c>
      <c r="E14508" t="s">
        <v>11</v>
      </c>
    </row>
    <row r="14509" spans="1:5" x14ac:dyDescent="0.25">
      <c r="A14509" t="str">
        <f>HYPERLINK("https://www.773grp.com/globalSearch/TLV2475AIDR/page-1", "TLV2475AIDR")</f>
        <v>TLV2475AIDR</v>
      </c>
      <c r="B14509" s="3" t="s">
        <v>90</v>
      </c>
      <c r="C14509" s="5">
        <v>20000</v>
      </c>
      <c r="D14509" s="6">
        <v>5.35</v>
      </c>
      <c r="E14509" t="s">
        <v>11</v>
      </c>
    </row>
    <row r="14510" spans="1:5" x14ac:dyDescent="0.25">
      <c r="A14510" t="str">
        <f>HYPERLINK("https://www.773grp.com/globalSearch/TLV2785CPW/page-1", "TLV2785CPW")</f>
        <v>TLV2785CPW</v>
      </c>
      <c r="B14510" s="3" t="s">
        <v>90</v>
      </c>
      <c r="C14510" s="5">
        <v>5495</v>
      </c>
      <c r="D14510" s="6">
        <v>5.35</v>
      </c>
      <c r="E14510" t="s">
        <v>11</v>
      </c>
    </row>
    <row r="14511" spans="1:5" x14ac:dyDescent="0.25">
      <c r="A14511" t="str">
        <f>HYPERLINK("https://www.773grp.com/globalSearch/TLV2785IN/page-1", "TLV2785IN")</f>
        <v>TLV2785IN</v>
      </c>
      <c r="B14511" s="3" t="s">
        <v>90</v>
      </c>
      <c r="C14511" s="5">
        <v>2115</v>
      </c>
      <c r="D14511" s="6">
        <v>5.35</v>
      </c>
      <c r="E14511" t="s">
        <v>11</v>
      </c>
    </row>
    <row r="14512" spans="1:5" x14ac:dyDescent="0.25">
      <c r="A14512" t="str">
        <f>HYPERLINK("https://www.773grp.com/globalSearch/THS4052CD/page-1", "THS4052CD")</f>
        <v>THS4052CD</v>
      </c>
      <c r="B14512" s="3" t="s">
        <v>90</v>
      </c>
      <c r="C14512" s="5">
        <v>636</v>
      </c>
      <c r="D14512" s="6">
        <v>5.36</v>
      </c>
      <c r="E14512" t="s">
        <v>11</v>
      </c>
    </row>
    <row r="14513" spans="1:5" x14ac:dyDescent="0.25">
      <c r="A14513" t="str">
        <f>HYPERLINK("https://www.773grp.com/globalSearch/OPA4336PA/page-1", "OPA4336PA")</f>
        <v>OPA4336PA</v>
      </c>
      <c r="B14513" s="3" t="s">
        <v>90</v>
      </c>
      <c r="C14513" s="5">
        <v>2512</v>
      </c>
      <c r="D14513" s="6">
        <v>5.4</v>
      </c>
      <c r="E14513" t="s">
        <v>11</v>
      </c>
    </row>
    <row r="14514" spans="1:5" x14ac:dyDescent="0.25">
      <c r="A14514" t="str">
        <f>HYPERLINK("https://www.773grp.com/globalSearch/TLC252BCP/page-1", "TLC252BCP")</f>
        <v>TLC252BCP</v>
      </c>
      <c r="B14514" s="3" t="s">
        <v>90</v>
      </c>
      <c r="C14514" s="5">
        <v>23914</v>
      </c>
      <c r="D14514" s="6">
        <v>5.4</v>
      </c>
      <c r="E14514" t="s">
        <v>11</v>
      </c>
    </row>
    <row r="14515" spans="1:5" x14ac:dyDescent="0.25">
      <c r="A14515" t="str">
        <f>HYPERLINK("https://www.773grp.com/globalSearch/THS4031CDR/page-1", "THS4031CDR")</f>
        <v>THS4031CDR</v>
      </c>
      <c r="B14515" s="3" t="s">
        <v>90</v>
      </c>
      <c r="C14515" s="5">
        <v>4700</v>
      </c>
      <c r="D14515" s="6">
        <v>5.45</v>
      </c>
      <c r="E14515" t="s">
        <v>11</v>
      </c>
    </row>
    <row r="14516" spans="1:5" x14ac:dyDescent="0.25">
      <c r="A14516" t="str">
        <f>HYPERLINK("https://www.773grp.com/globalSearch/TLC25L2BCP/page-1", "TLC25L2BCP")</f>
        <v>TLC25L2BCP</v>
      </c>
      <c r="B14516" s="3" t="s">
        <v>90</v>
      </c>
      <c r="C14516" s="5">
        <v>5169</v>
      </c>
      <c r="D14516" s="6">
        <v>5.45</v>
      </c>
      <c r="E14516" t="s">
        <v>11</v>
      </c>
    </row>
    <row r="14517" spans="1:5" x14ac:dyDescent="0.25">
      <c r="A14517" t="str">
        <f>HYPERLINK("https://www.773grp.com/globalSearch/OPA1644AIPWR/page-1", "OPA1644AIPWR")</f>
        <v>OPA1644AIPWR</v>
      </c>
      <c r="B14517" s="3" t="s">
        <v>90</v>
      </c>
      <c r="C14517" s="5">
        <v>2000</v>
      </c>
      <c r="D14517" s="6">
        <v>5.49</v>
      </c>
      <c r="E14517" t="s">
        <v>11</v>
      </c>
    </row>
    <row r="14518" spans="1:5" x14ac:dyDescent="0.25">
      <c r="A14518" t="str">
        <f>HYPERLINK("https://www.773grp.com/globalSearch/OPA2251UA-2K5/page-1", "OPA2251UA-2K5")</f>
        <v>OPA2251UA-2K5</v>
      </c>
      <c r="B14518" s="3" t="s">
        <v>90</v>
      </c>
      <c r="C14518" s="5">
        <v>16474</v>
      </c>
      <c r="D14518" s="6">
        <v>5.49</v>
      </c>
      <c r="E14518" t="s">
        <v>11</v>
      </c>
    </row>
    <row r="14519" spans="1:5" x14ac:dyDescent="0.25">
      <c r="A14519" t="str">
        <f>HYPERLINK("https://www.773grp.com/globalSearch/OPA2277UA/page-1", "OPA2277UA")</f>
        <v>OPA2277UA</v>
      </c>
      <c r="B14519" s="3" t="s">
        <v>90</v>
      </c>
      <c r="C14519" s="5">
        <v>52</v>
      </c>
      <c r="D14519" s="6">
        <v>5.49</v>
      </c>
      <c r="E14519" t="s">
        <v>11</v>
      </c>
    </row>
    <row r="14520" spans="1:5" x14ac:dyDescent="0.25">
      <c r="A14520" t="str">
        <f>HYPERLINK("https://www.773grp.com/globalSearch/OPA2277UA/page-1", "OPA2277UA")</f>
        <v>OPA2277UA</v>
      </c>
      <c r="B14520" s="3" t="s">
        <v>90</v>
      </c>
      <c r="C14520" s="5">
        <v>1050</v>
      </c>
      <c r="D14520" s="6">
        <v>5.49</v>
      </c>
      <c r="E14520" t="s">
        <v>11</v>
      </c>
    </row>
    <row r="14521" spans="1:5" x14ac:dyDescent="0.25">
      <c r="A14521" t="str">
        <f>HYPERLINK("https://www.773grp.com/globalSearch/OPA2277UA/page-1", "OPA2277UA")</f>
        <v>OPA2277UA</v>
      </c>
      <c r="B14521" s="3" t="s">
        <v>90</v>
      </c>
      <c r="C14521" s="5">
        <v>1650</v>
      </c>
      <c r="D14521" s="6">
        <v>5.49</v>
      </c>
      <c r="E14521" t="s">
        <v>11</v>
      </c>
    </row>
    <row r="14522" spans="1:5" x14ac:dyDescent="0.25">
      <c r="A14522" t="str">
        <f>HYPERLINK("https://www.773grp.com/globalSearch/OPA2353EA-250/page-1", "OPA2353EA-250")</f>
        <v>OPA2353EA-250</v>
      </c>
      <c r="B14522" s="3" t="s">
        <v>90</v>
      </c>
      <c r="C14522" s="5">
        <v>10000</v>
      </c>
      <c r="D14522" s="6">
        <v>5.49</v>
      </c>
      <c r="E14522" t="s">
        <v>11</v>
      </c>
    </row>
    <row r="14523" spans="1:5" x14ac:dyDescent="0.25">
      <c r="A14523" t="str">
        <f>HYPERLINK("https://www.773grp.com/globalSearch/OPA2614IDR/page-1", "OPA2614IDR")</f>
        <v>OPA2614IDR</v>
      </c>
      <c r="B14523" s="3" t="s">
        <v>90</v>
      </c>
      <c r="C14523" s="5">
        <v>2500</v>
      </c>
      <c r="D14523" s="6">
        <v>5.49</v>
      </c>
      <c r="E14523" t="s">
        <v>11</v>
      </c>
    </row>
    <row r="14524" spans="1:5" x14ac:dyDescent="0.25">
      <c r="A14524" t="str">
        <f>HYPERLINK("https://www.773grp.com/globalSearch/OPA2726AIDGST/page-1", "OPA2726AIDGST")</f>
        <v>OPA2726AIDGST</v>
      </c>
      <c r="B14524" s="3" t="s">
        <v>90</v>
      </c>
      <c r="C14524" s="5">
        <v>5700</v>
      </c>
      <c r="D14524" s="6">
        <v>5.49</v>
      </c>
      <c r="E14524" t="s">
        <v>11</v>
      </c>
    </row>
    <row r="14525" spans="1:5" x14ac:dyDescent="0.25">
      <c r="A14525" t="str">
        <f>HYPERLINK("https://www.773grp.com/globalSearch/OPA2743UA/page-1", "OPA2743UA")</f>
        <v>OPA2743UA</v>
      </c>
      <c r="B14525" s="3" t="s">
        <v>90</v>
      </c>
      <c r="C14525" s="5">
        <v>356</v>
      </c>
      <c r="D14525" s="6">
        <v>5.49</v>
      </c>
      <c r="E14525" t="s">
        <v>11</v>
      </c>
    </row>
    <row r="14526" spans="1:5" x14ac:dyDescent="0.25">
      <c r="A14526" t="str">
        <f>HYPERLINK("https://www.773grp.com/globalSearch/TLC4502ACDR/page-1", "TLC4502ACDR")</f>
        <v>TLC4502ACDR</v>
      </c>
      <c r="B14526" s="3" t="s">
        <v>90</v>
      </c>
      <c r="C14526" s="5">
        <v>5000</v>
      </c>
      <c r="D14526" s="6">
        <v>5.49</v>
      </c>
      <c r="E14526" t="s">
        <v>11</v>
      </c>
    </row>
    <row r="14527" spans="1:5" x14ac:dyDescent="0.25">
      <c r="A14527" t="str">
        <f>HYPERLINK("https://www.773grp.com/globalSearch/TLE2064CD/page-1", "TLE2064CD")</f>
        <v>TLE2064CD</v>
      </c>
      <c r="B14527" s="3" t="s">
        <v>90</v>
      </c>
      <c r="C14527" s="5">
        <v>1065</v>
      </c>
      <c r="D14527" s="6">
        <v>5.49</v>
      </c>
      <c r="E14527" t="s">
        <v>11</v>
      </c>
    </row>
    <row r="14528" spans="1:5" x14ac:dyDescent="0.25">
      <c r="A14528" t="str">
        <f>HYPERLINK("https://www.773grp.com/globalSearch/TLV2344IN/page-1", "TLV2344IN")</f>
        <v>TLV2344IN</v>
      </c>
      <c r="B14528" s="3" t="s">
        <v>90</v>
      </c>
      <c r="C14528" s="5">
        <v>3550</v>
      </c>
      <c r="D14528" s="6">
        <v>5.49</v>
      </c>
      <c r="E14528" t="s">
        <v>11</v>
      </c>
    </row>
    <row r="14529" spans="1:5" x14ac:dyDescent="0.25">
      <c r="A14529" t="str">
        <f>HYPERLINK("https://www.773grp.com/globalSearch/TLV2475AIPWPR/page-1", "TLV2475AIPWPR")</f>
        <v>TLV2475AIPWPR</v>
      </c>
      <c r="B14529" s="3" t="s">
        <v>90</v>
      </c>
      <c r="C14529" s="5">
        <v>4000</v>
      </c>
      <c r="D14529" s="6">
        <v>5.49</v>
      </c>
      <c r="E14529" t="s">
        <v>11</v>
      </c>
    </row>
    <row r="14530" spans="1:5" x14ac:dyDescent="0.25">
      <c r="A14530" t="str">
        <f>HYPERLINK("https://www.773grp.com/globalSearch/THS4522IPWR/page-1", "THS4522IPWR")</f>
        <v>THS4522IPWR</v>
      </c>
      <c r="B14530" s="3" t="s">
        <v>90</v>
      </c>
      <c r="C14530" s="5">
        <v>1800</v>
      </c>
      <c r="D14530" s="6">
        <v>5.51</v>
      </c>
      <c r="E14530" t="s">
        <v>11</v>
      </c>
    </row>
    <row r="14531" spans="1:5" x14ac:dyDescent="0.25">
      <c r="A14531" t="str">
        <f>HYPERLINK("https://www.773grp.com/globalSearch/TLC2654I-8D/page-1", "TLC2654I-8D")</f>
        <v>TLC2654I-8D</v>
      </c>
      <c r="B14531" s="3" t="s">
        <v>90</v>
      </c>
      <c r="C14531" s="5">
        <v>53158</v>
      </c>
      <c r="D14531" s="6">
        <v>5.51</v>
      </c>
      <c r="E14531" t="s">
        <v>11</v>
      </c>
    </row>
    <row r="14532" spans="1:5" x14ac:dyDescent="0.25">
      <c r="A14532" t="str">
        <f>HYPERLINK("https://www.773grp.com/globalSearch/OPA691ID/page-1", "OPA691ID")</f>
        <v>OPA691ID</v>
      </c>
      <c r="B14532" s="3" t="s">
        <v>90</v>
      </c>
      <c r="C14532" s="5">
        <v>10029</v>
      </c>
      <c r="D14532" s="6">
        <v>5.54</v>
      </c>
      <c r="E14532" t="s">
        <v>11</v>
      </c>
    </row>
    <row r="14533" spans="1:5" x14ac:dyDescent="0.25">
      <c r="A14533" t="str">
        <f>HYPERLINK("https://www.773grp.com/globalSearch/OPA2677U/page-1", "OPA2677U")</f>
        <v>OPA2677U</v>
      </c>
      <c r="B14533" s="3" t="s">
        <v>90</v>
      </c>
      <c r="C14533" s="5">
        <v>12468</v>
      </c>
      <c r="D14533" s="6">
        <v>5.58</v>
      </c>
      <c r="E14533" t="s">
        <v>11</v>
      </c>
    </row>
    <row r="14534" spans="1:5" x14ac:dyDescent="0.25">
      <c r="A14534" t="str">
        <f>HYPERLINK("https://www.773grp.com/globalSearch/TLC2201CP/page-1", "TLC2201CP")</f>
        <v>TLC2201CP</v>
      </c>
      <c r="B14534" s="3" t="s">
        <v>90</v>
      </c>
      <c r="C14534" s="5">
        <v>1547</v>
      </c>
      <c r="D14534" s="6">
        <v>5.58</v>
      </c>
      <c r="E14534" t="s">
        <v>11</v>
      </c>
    </row>
    <row r="14535" spans="1:5" x14ac:dyDescent="0.25">
      <c r="A14535" t="str">
        <f>HYPERLINK("https://www.773grp.com/globalSearch/THS4011CDR/page-1", "THS4011CDR")</f>
        <v>THS4011CDR</v>
      </c>
      <c r="B14535" s="3" t="s">
        <v>90</v>
      </c>
      <c r="C14535" s="5">
        <v>2500</v>
      </c>
      <c r="D14535" s="6">
        <v>5.6</v>
      </c>
      <c r="E14535" t="s">
        <v>11</v>
      </c>
    </row>
    <row r="14536" spans="1:5" x14ac:dyDescent="0.25">
      <c r="A14536" t="str">
        <f>HYPERLINK("https://www.773grp.com/globalSearch/OPA2334AIDGSR/page-1", "OPA2334AIDGSR")</f>
        <v>OPA2334AIDGSR</v>
      </c>
      <c r="B14536" s="3" t="s">
        <v>90</v>
      </c>
      <c r="C14536" s="5">
        <v>7218</v>
      </c>
      <c r="D14536" s="6">
        <v>5.63</v>
      </c>
      <c r="E14536" t="s">
        <v>11</v>
      </c>
    </row>
    <row r="14537" spans="1:5" x14ac:dyDescent="0.25">
      <c r="A14537" t="str">
        <f>HYPERLINK("https://www.773grp.com/globalSearch/OPA2677IRGVT/page-1", "OPA2677IRGVT")</f>
        <v>OPA2677IRGVT</v>
      </c>
      <c r="B14537" s="3" t="s">
        <v>90</v>
      </c>
      <c r="C14537" s="5">
        <v>127</v>
      </c>
      <c r="D14537" s="6">
        <v>5.63</v>
      </c>
      <c r="E14537" t="s">
        <v>11</v>
      </c>
    </row>
    <row r="14538" spans="1:5" x14ac:dyDescent="0.25">
      <c r="A14538" t="str">
        <f>HYPERLINK("https://www.773grp.com/globalSearch/OPA2734AIDGSR/page-1", "OPA2734AIDGSR")</f>
        <v>OPA2734AIDGSR</v>
      </c>
      <c r="B14538" s="3" t="s">
        <v>90</v>
      </c>
      <c r="C14538" s="5">
        <v>20000</v>
      </c>
      <c r="D14538" s="6">
        <v>5.63</v>
      </c>
      <c r="E14538" t="s">
        <v>11</v>
      </c>
    </row>
    <row r="14539" spans="1:5" x14ac:dyDescent="0.25">
      <c r="A14539" t="str">
        <f>HYPERLINK("https://www.773grp.com/globalSearch/OPA4243EA-2K5/page-1", "OPA4243EA-2K5")</f>
        <v>OPA4243EA-2K5</v>
      </c>
      <c r="B14539" s="3" t="s">
        <v>90</v>
      </c>
      <c r="C14539" s="5">
        <v>42500</v>
      </c>
      <c r="D14539" s="6">
        <v>5.63</v>
      </c>
      <c r="E14539" t="s">
        <v>11</v>
      </c>
    </row>
    <row r="14540" spans="1:5" x14ac:dyDescent="0.25">
      <c r="A14540" t="str">
        <f>HYPERLINK("https://www.773grp.com/globalSearch/OPA4336EA-250/page-1", "OPA4336EA-250")</f>
        <v>OPA4336EA-250</v>
      </c>
      <c r="B14540" s="3" t="s">
        <v>90</v>
      </c>
      <c r="C14540" s="5">
        <v>258</v>
      </c>
      <c r="D14540" s="6">
        <v>5.63</v>
      </c>
      <c r="E14540" t="s">
        <v>11</v>
      </c>
    </row>
    <row r="14541" spans="1:5" x14ac:dyDescent="0.25">
      <c r="A14541" t="str">
        <f>HYPERLINK("https://www.773grp.com/globalSearch/OPA4345EA-2K5/page-1", "OPA4345EA-2K5")</f>
        <v>OPA4345EA-2K5</v>
      </c>
      <c r="B14541" s="3" t="s">
        <v>90</v>
      </c>
      <c r="C14541" s="5">
        <v>2500</v>
      </c>
      <c r="D14541" s="6">
        <v>5.63</v>
      </c>
      <c r="E14541" t="s">
        <v>11</v>
      </c>
    </row>
    <row r="14542" spans="1:5" x14ac:dyDescent="0.25">
      <c r="A14542" t="str">
        <f>HYPERLINK("https://www.773grp.com/globalSearch/OPA552PA/page-1", "OPA552PA")</f>
        <v>OPA552PA</v>
      </c>
      <c r="B14542" s="3" t="s">
        <v>90</v>
      </c>
      <c r="C14542" s="5">
        <v>245</v>
      </c>
      <c r="D14542" s="6">
        <v>5.63</v>
      </c>
      <c r="E14542" t="s">
        <v>11</v>
      </c>
    </row>
    <row r="14543" spans="1:5" x14ac:dyDescent="0.25">
      <c r="A14543" t="str">
        <f>HYPERLINK("https://www.773grp.com/globalSearch/OPA552PA/page-1", "OPA552PA")</f>
        <v>OPA552PA</v>
      </c>
      <c r="B14543" s="3" t="s">
        <v>90</v>
      </c>
      <c r="C14543" s="5">
        <v>686</v>
      </c>
      <c r="D14543" s="6">
        <v>5.63</v>
      </c>
      <c r="E14543" t="s">
        <v>11</v>
      </c>
    </row>
    <row r="14544" spans="1:5" x14ac:dyDescent="0.25">
      <c r="A14544" t="str">
        <f>HYPERLINK("https://www.773grp.com/globalSearch/TLC252BCD/page-1", "TLC252BCD")</f>
        <v>TLC252BCD</v>
      </c>
      <c r="B14544" s="3" t="s">
        <v>90</v>
      </c>
      <c r="C14544" s="5">
        <v>6256</v>
      </c>
      <c r="D14544" s="6">
        <v>5.63</v>
      </c>
      <c r="E14544" t="s">
        <v>11</v>
      </c>
    </row>
    <row r="14545" spans="1:5" x14ac:dyDescent="0.25">
      <c r="A14545" t="str">
        <f>HYPERLINK("https://www.773grp.com/globalSearch/TLE2024AIN/page-1", "TLE2024AIN")</f>
        <v>TLE2024AIN</v>
      </c>
      <c r="B14545" s="3" t="s">
        <v>90</v>
      </c>
      <c r="C14545" s="5">
        <v>1740</v>
      </c>
      <c r="D14545" s="6">
        <v>5.63</v>
      </c>
      <c r="E14545" t="s">
        <v>11</v>
      </c>
    </row>
    <row r="14546" spans="1:5" x14ac:dyDescent="0.25">
      <c r="A14546" t="str">
        <f>HYPERLINK("https://www.773grp.com/globalSearch/TLV2775AIN/page-1", "TLV2775AIN")</f>
        <v>TLV2775AIN</v>
      </c>
      <c r="B14546" s="3" t="s">
        <v>90</v>
      </c>
      <c r="C14546" s="5">
        <v>11857</v>
      </c>
      <c r="D14546" s="6">
        <v>5.63</v>
      </c>
      <c r="E14546" t="s">
        <v>11</v>
      </c>
    </row>
    <row r="14547" spans="1:5" x14ac:dyDescent="0.25">
      <c r="A14547" t="str">
        <f>HYPERLINK("https://www.773grp.com/globalSearch/OPA2631U/page-1", "OPA2631U")</f>
        <v>OPA2631U</v>
      </c>
      <c r="B14547" s="3" t="s">
        <v>90</v>
      </c>
      <c r="C14547" s="5">
        <v>290</v>
      </c>
      <c r="D14547" s="6">
        <v>5.65</v>
      </c>
      <c r="E14547" t="s">
        <v>11</v>
      </c>
    </row>
    <row r="14548" spans="1:5" x14ac:dyDescent="0.25">
      <c r="A14548" t="str">
        <f>HYPERLINK("https://www.773grp.com/globalSearch/THS4052ID/page-1", "THS4052ID")</f>
        <v>THS4052ID</v>
      </c>
      <c r="B14548" s="3" t="s">
        <v>90</v>
      </c>
      <c r="C14548" s="5">
        <v>802</v>
      </c>
      <c r="D14548" s="6">
        <v>5.65</v>
      </c>
      <c r="E14548" t="s">
        <v>11</v>
      </c>
    </row>
    <row r="14549" spans="1:5" x14ac:dyDescent="0.25">
      <c r="A14549" t="str">
        <f>HYPERLINK("https://www.773grp.com/globalSearch/TLV2475AIPWR/page-1", "TLV2475AIPWR")</f>
        <v>TLV2475AIPWR</v>
      </c>
      <c r="B14549" s="3" t="s">
        <v>90</v>
      </c>
      <c r="C14549" s="5">
        <v>2000</v>
      </c>
      <c r="D14549" s="6">
        <v>5.69</v>
      </c>
      <c r="E14549" t="s">
        <v>11</v>
      </c>
    </row>
    <row r="14550" spans="1:5" x14ac:dyDescent="0.25">
      <c r="A14550" t="str">
        <f>HYPERLINK("https://www.773grp.com/globalSearch/OPA2677IDDA/page-1", "OPA2677IDDA")</f>
        <v>OPA2677IDDA</v>
      </c>
      <c r="B14550" s="3" t="s">
        <v>90</v>
      </c>
      <c r="C14550" s="5">
        <v>10987</v>
      </c>
      <c r="D14550" s="6">
        <v>5.7</v>
      </c>
      <c r="E14550" t="s">
        <v>11</v>
      </c>
    </row>
    <row r="14551" spans="1:5" x14ac:dyDescent="0.25">
      <c r="A14551" t="str">
        <f>HYPERLINK("https://www.773grp.com/globalSearch/TLC2274AMDREP/page-1", "TLC2274AMDREP")</f>
        <v>TLC2274AMDREP</v>
      </c>
      <c r="B14551" s="3" t="s">
        <v>90</v>
      </c>
      <c r="C14551" s="5">
        <v>500</v>
      </c>
      <c r="D14551" s="6">
        <v>5.78</v>
      </c>
      <c r="E14551" t="s">
        <v>11</v>
      </c>
    </row>
    <row r="14552" spans="1:5" x14ac:dyDescent="0.25">
      <c r="A14552" t="str">
        <f>HYPERLINK("https://www.773grp.com/globalSearch/TLE2064IN/page-1", "TLE2064IN")</f>
        <v>TLE2064IN</v>
      </c>
      <c r="B14552" s="3" t="s">
        <v>90</v>
      </c>
      <c r="C14552" s="5">
        <v>146</v>
      </c>
      <c r="D14552" s="6">
        <v>5.78</v>
      </c>
      <c r="E14552" t="s">
        <v>11</v>
      </c>
    </row>
    <row r="14553" spans="1:5" x14ac:dyDescent="0.25">
      <c r="A14553" t="str">
        <f>HYPERLINK("https://www.773grp.com/globalSearch/TLC2201CD/page-1", "TLC2201CD")</f>
        <v>TLC2201CD</v>
      </c>
      <c r="B14553" s="3" t="s">
        <v>90</v>
      </c>
      <c r="C14553" s="5">
        <v>510</v>
      </c>
      <c r="D14553" s="6">
        <v>5.79</v>
      </c>
      <c r="E14553" t="s">
        <v>11</v>
      </c>
    </row>
    <row r="14554" spans="1:5" x14ac:dyDescent="0.25">
      <c r="A14554" t="str">
        <f>HYPERLINK("https://www.773grp.com/globalSearch/TLC2201CDG4/page-1", "TLC2201CDG4")</f>
        <v>TLC2201CDG4</v>
      </c>
      <c r="B14554" s="3" t="s">
        <v>90</v>
      </c>
      <c r="C14554" s="5">
        <v>39</v>
      </c>
      <c r="D14554" s="6">
        <v>5.79</v>
      </c>
      <c r="E14554" t="s">
        <v>11</v>
      </c>
    </row>
    <row r="14555" spans="1:5" x14ac:dyDescent="0.25">
      <c r="A14555" t="str">
        <f>HYPERLINK("https://www.773grp.com/globalSearch/TLC2201IP/page-1", "TLC2201IP")</f>
        <v>TLC2201IP</v>
      </c>
      <c r="B14555" s="3" t="s">
        <v>90</v>
      </c>
      <c r="C14555" s="5">
        <v>481</v>
      </c>
      <c r="D14555" s="6">
        <v>5.79</v>
      </c>
      <c r="E14555" t="s">
        <v>11</v>
      </c>
    </row>
    <row r="14556" spans="1:5" x14ac:dyDescent="0.25">
      <c r="A14556" t="str">
        <f>HYPERLINK("https://www.773grp.com/globalSearch/TLV2475AIN/page-1", "TLV2475AIN")</f>
        <v>TLV2475AIN</v>
      </c>
      <c r="B14556" s="3" t="s">
        <v>90</v>
      </c>
      <c r="C14556" s="5">
        <v>10951</v>
      </c>
      <c r="D14556" s="6">
        <v>5.79</v>
      </c>
      <c r="E14556" t="s">
        <v>11</v>
      </c>
    </row>
    <row r="14557" spans="1:5" x14ac:dyDescent="0.25">
      <c r="A14557" t="str">
        <f>HYPERLINK("https://www.773grp.com/globalSearch/TLC2654AC-8D/page-1", "TLC2654AC-8D")</f>
        <v>TLC2654AC-8D</v>
      </c>
      <c r="B14557" s="3" t="s">
        <v>90</v>
      </c>
      <c r="C14557" s="5">
        <v>4163</v>
      </c>
      <c r="D14557" s="6">
        <v>5.85</v>
      </c>
      <c r="E14557" t="s">
        <v>11</v>
      </c>
    </row>
    <row r="14558" spans="1:5" x14ac:dyDescent="0.25">
      <c r="A14558" t="str">
        <f>HYPERLINK("https://www.773grp.com/globalSearch/OPA4343EA-250/page-1", "OPA4343EA-250")</f>
        <v>OPA4343EA-250</v>
      </c>
      <c r="B14558" s="3" t="s">
        <v>90</v>
      </c>
      <c r="C14558" s="5">
        <v>3250</v>
      </c>
      <c r="D14558" s="6">
        <v>5.88</v>
      </c>
      <c r="E14558" t="s">
        <v>11</v>
      </c>
    </row>
    <row r="14559" spans="1:5" x14ac:dyDescent="0.25">
      <c r="A14559" t="str">
        <f>HYPERLINK("https://www.773grp.com/globalSearch/OPA4343NA-250/page-1", "OPA4343NA-250")</f>
        <v>OPA4343NA-250</v>
      </c>
      <c r="B14559" s="3" t="s">
        <v>90</v>
      </c>
      <c r="C14559" s="5">
        <v>26590</v>
      </c>
      <c r="D14559" s="6">
        <v>5.88</v>
      </c>
      <c r="E14559" t="s">
        <v>11</v>
      </c>
    </row>
    <row r="14560" spans="1:5" x14ac:dyDescent="0.25">
      <c r="A14560" t="str">
        <f>HYPERLINK("https://www.773grp.com/globalSearch/OPA2227PA/page-1", "OPA2227PA")</f>
        <v>OPA2227PA</v>
      </c>
      <c r="B14560" s="3" t="s">
        <v>90</v>
      </c>
      <c r="C14560" s="5">
        <v>19907</v>
      </c>
      <c r="D14560" s="6">
        <v>5.91</v>
      </c>
      <c r="E14560" t="s">
        <v>11</v>
      </c>
    </row>
    <row r="14561" spans="1:5" x14ac:dyDescent="0.25">
      <c r="A14561" t="str">
        <f>HYPERLINK("https://www.773grp.com/globalSearch/OPA2228PA/page-1", "OPA2228PA")</f>
        <v>OPA2228PA</v>
      </c>
      <c r="B14561" s="3" t="s">
        <v>90</v>
      </c>
      <c r="C14561" s="5">
        <v>3175</v>
      </c>
      <c r="D14561" s="6">
        <v>5.91</v>
      </c>
      <c r="E14561" t="s">
        <v>11</v>
      </c>
    </row>
    <row r="14562" spans="1:5" x14ac:dyDescent="0.25">
      <c r="A14562" t="str">
        <f>HYPERLINK("https://www.773grp.com/globalSearch/OPA3355EA-250/page-1", "OPA3355EA-250")</f>
        <v>OPA3355EA-250</v>
      </c>
      <c r="B14562" s="3" t="s">
        <v>90</v>
      </c>
      <c r="C14562" s="5">
        <v>4750</v>
      </c>
      <c r="D14562" s="6">
        <v>5.91</v>
      </c>
      <c r="E14562" t="s">
        <v>11</v>
      </c>
    </row>
    <row r="14563" spans="1:5" x14ac:dyDescent="0.25">
      <c r="A14563" t="str">
        <f>HYPERLINK("https://www.773grp.com/globalSearch/TLC4502QD/page-1", "TLC4502QD")</f>
        <v>TLC4502QD</v>
      </c>
      <c r="B14563" s="3" t="s">
        <v>90</v>
      </c>
      <c r="C14563" s="5">
        <v>2879</v>
      </c>
      <c r="D14563" s="6">
        <v>5.91</v>
      </c>
      <c r="E14563" t="s">
        <v>11</v>
      </c>
    </row>
    <row r="14564" spans="1:5" x14ac:dyDescent="0.25">
      <c r="A14564" t="str">
        <f>HYPERLINK("https://www.773grp.com/globalSearch/TLE2084CNE4/page-1", "TLE2084CNE4")</f>
        <v>TLE2084CNE4</v>
      </c>
      <c r="B14564" s="3" t="s">
        <v>90</v>
      </c>
      <c r="C14564" s="5">
        <v>25</v>
      </c>
      <c r="D14564" s="6">
        <v>5.91</v>
      </c>
      <c r="E14564" t="s">
        <v>11</v>
      </c>
    </row>
    <row r="14565" spans="1:5" x14ac:dyDescent="0.25">
      <c r="A14565" t="str">
        <f>HYPERLINK("https://www.773grp.com/globalSearch/TLV2775AIPW/page-1", "TLV2775AIPW")</f>
        <v>TLV2775AIPW</v>
      </c>
      <c r="B14565" s="3" t="s">
        <v>90</v>
      </c>
      <c r="C14565" s="5">
        <v>2043</v>
      </c>
      <c r="D14565" s="6">
        <v>5.91</v>
      </c>
      <c r="E14565" t="s">
        <v>11</v>
      </c>
    </row>
    <row r="14566" spans="1:5" x14ac:dyDescent="0.25">
      <c r="A14566" t="str">
        <f>HYPERLINK("https://www.773grp.com/globalSearch/THS4052CDGN/page-1", "THS4052CDGN")</f>
        <v>THS4052CDGN</v>
      </c>
      <c r="B14566" s="3" t="s">
        <v>90</v>
      </c>
      <c r="C14566" s="5">
        <v>23233</v>
      </c>
      <c r="D14566" s="6">
        <v>5.94</v>
      </c>
      <c r="E14566" t="s">
        <v>11</v>
      </c>
    </row>
    <row r="14567" spans="1:5" x14ac:dyDescent="0.25">
      <c r="A14567" t="str">
        <f>HYPERLINK("https://www.773grp.com/globalSearch/OPA699IDR/page-1", "OPA699IDR")</f>
        <v>OPA699IDR</v>
      </c>
      <c r="B14567" s="3" t="s">
        <v>90</v>
      </c>
      <c r="C14567" s="5">
        <v>34880</v>
      </c>
      <c r="D14567" s="6">
        <v>6.03</v>
      </c>
      <c r="E14567" t="s">
        <v>11</v>
      </c>
    </row>
    <row r="14568" spans="1:5" x14ac:dyDescent="0.25">
      <c r="A14568" t="str">
        <f>HYPERLINK("https://www.773grp.com/globalSearch/INA2132UA/page-1", "INA2132UA")</f>
        <v>INA2132UA</v>
      </c>
      <c r="B14568" s="3" t="s">
        <v>90</v>
      </c>
      <c r="C14568" s="5">
        <v>150</v>
      </c>
      <c r="D14568" s="6">
        <v>6.04</v>
      </c>
      <c r="E14568" t="s">
        <v>11</v>
      </c>
    </row>
    <row r="14569" spans="1:5" x14ac:dyDescent="0.25">
      <c r="A14569" t="str">
        <f>HYPERLINK("https://www.773grp.com/globalSearch/OPA2703EA-2K5/page-1", "OPA2703EA-2K5")</f>
        <v>OPA2703EA-2K5</v>
      </c>
      <c r="B14569" s="3" t="s">
        <v>90</v>
      </c>
      <c r="C14569" s="5">
        <v>5000</v>
      </c>
      <c r="D14569" s="6">
        <v>6.04</v>
      </c>
      <c r="E14569" t="s">
        <v>11</v>
      </c>
    </row>
    <row r="14570" spans="1:5" x14ac:dyDescent="0.25">
      <c r="A14570" t="str">
        <f>HYPERLINK("https://www.773grp.com/globalSearch/OPA4658UB/page-1", "OPA4658UB")</f>
        <v>OPA4658UB</v>
      </c>
      <c r="B14570" s="3" t="s">
        <v>90</v>
      </c>
      <c r="C14570" s="5">
        <v>4162</v>
      </c>
      <c r="D14570" s="6">
        <v>6.04</v>
      </c>
      <c r="E14570" t="s">
        <v>11</v>
      </c>
    </row>
    <row r="14571" spans="1:5" x14ac:dyDescent="0.25">
      <c r="A14571" t="str">
        <f>HYPERLINK("https://www.773grp.com/globalSearch/OPA551PA/page-1", "OPA551PA")</f>
        <v>OPA551PA</v>
      </c>
      <c r="B14571" s="3" t="s">
        <v>90</v>
      </c>
      <c r="C14571" s="5">
        <v>50</v>
      </c>
      <c r="D14571" s="6">
        <v>6.04</v>
      </c>
      <c r="E14571" t="s">
        <v>11</v>
      </c>
    </row>
    <row r="14572" spans="1:5" x14ac:dyDescent="0.25">
      <c r="A14572" t="str">
        <f>HYPERLINK("https://www.773grp.com/globalSearch/THS4041IDR/page-1", "THS4041IDR")</f>
        <v>THS4041IDR</v>
      </c>
      <c r="B14572" s="3" t="s">
        <v>90</v>
      </c>
      <c r="C14572" s="5">
        <v>5000</v>
      </c>
      <c r="D14572" s="6">
        <v>6.04</v>
      </c>
      <c r="E14572" t="s">
        <v>11</v>
      </c>
    </row>
    <row r="14573" spans="1:5" x14ac:dyDescent="0.25">
      <c r="A14573" t="str">
        <f>HYPERLINK("https://www.773grp.com/globalSearch/THS4121IDR/page-1", "THS4121IDR")</f>
        <v>THS4121IDR</v>
      </c>
      <c r="B14573" s="3" t="s">
        <v>90</v>
      </c>
      <c r="C14573" s="5">
        <v>9849</v>
      </c>
      <c r="D14573" s="6">
        <v>6.04</v>
      </c>
      <c r="E14573" t="s">
        <v>11</v>
      </c>
    </row>
    <row r="14574" spans="1:5" x14ac:dyDescent="0.25">
      <c r="A14574" t="str">
        <f>HYPERLINK("https://www.773grp.com/globalSearch/TLC2201ID/page-1", "TLC2201ID")</f>
        <v>TLC2201ID</v>
      </c>
      <c r="B14574" s="3" t="s">
        <v>90</v>
      </c>
      <c r="C14574" s="5">
        <v>323</v>
      </c>
      <c r="D14574" s="6">
        <v>6.04</v>
      </c>
      <c r="E14574" t="s">
        <v>11</v>
      </c>
    </row>
    <row r="14575" spans="1:5" x14ac:dyDescent="0.25">
      <c r="A14575" t="str">
        <f>HYPERLINK("https://www.773grp.com/globalSearch/TLE2144IN/page-1", "TLE2144IN")</f>
        <v>TLE2144IN</v>
      </c>
      <c r="B14575" s="3" t="s">
        <v>90</v>
      </c>
      <c r="C14575" s="5">
        <v>9162</v>
      </c>
      <c r="D14575" s="6">
        <v>6.04</v>
      </c>
      <c r="E14575" t="s">
        <v>11</v>
      </c>
    </row>
    <row r="14576" spans="1:5" x14ac:dyDescent="0.25">
      <c r="A14576" t="str">
        <f>HYPERLINK("https://www.773grp.com/globalSearch/OPA2691I-14DR/page-1", "OPA2691I-14DR")</f>
        <v>OPA2691I-14DR</v>
      </c>
      <c r="B14576" s="3" t="s">
        <v>90</v>
      </c>
      <c r="C14576" s="5">
        <v>15000</v>
      </c>
      <c r="D14576" s="6">
        <v>6.08</v>
      </c>
      <c r="E14576" t="s">
        <v>11</v>
      </c>
    </row>
    <row r="14577" spans="1:5" x14ac:dyDescent="0.25">
      <c r="A14577" t="str">
        <f>HYPERLINK("https://www.773grp.com/globalSearch/OPA2691IDR/page-1", "OPA2691IDR")</f>
        <v>OPA2691IDR</v>
      </c>
      <c r="B14577" s="3" t="s">
        <v>90</v>
      </c>
      <c r="C14577" s="5">
        <v>32500</v>
      </c>
      <c r="D14577" s="6">
        <v>6.08</v>
      </c>
      <c r="E14577" t="s">
        <v>11</v>
      </c>
    </row>
    <row r="14578" spans="1:5" x14ac:dyDescent="0.25">
      <c r="A14578" t="str">
        <f>HYPERLINK("https://www.773grp.com/globalSearch/TLC254CD/page-1", "TLC254CD")</f>
        <v>TLC254CD</v>
      </c>
      <c r="B14578" s="3" t="s">
        <v>90</v>
      </c>
      <c r="C14578" s="5">
        <v>11005</v>
      </c>
      <c r="D14578" s="6">
        <v>6.08</v>
      </c>
      <c r="E14578" t="s">
        <v>11</v>
      </c>
    </row>
    <row r="14579" spans="1:5" x14ac:dyDescent="0.25">
      <c r="A14579" t="str">
        <f>HYPERLINK("https://www.773grp.com/globalSearch/TLC25L4CD/page-1", "TLC25L4CD")</f>
        <v>TLC25L4CD</v>
      </c>
      <c r="B14579" s="3" t="s">
        <v>90</v>
      </c>
      <c r="C14579" s="5">
        <v>6805</v>
      </c>
      <c r="D14579" s="6">
        <v>6.08</v>
      </c>
      <c r="E14579" t="s">
        <v>11</v>
      </c>
    </row>
    <row r="14580" spans="1:5" x14ac:dyDescent="0.25">
      <c r="A14580" t="str">
        <f>HYPERLINK("https://www.773grp.com/globalSearch/TLC25M4CD/page-1", "TLC25M4CD")</f>
        <v>TLC25M4CD</v>
      </c>
      <c r="B14580" s="3" t="s">
        <v>90</v>
      </c>
      <c r="C14580" s="5">
        <v>9499</v>
      </c>
      <c r="D14580" s="6">
        <v>6.08</v>
      </c>
      <c r="E14580" t="s">
        <v>11</v>
      </c>
    </row>
    <row r="14581" spans="1:5" x14ac:dyDescent="0.25">
      <c r="A14581" t="str">
        <f>HYPERLINK("https://www.773grp.com/globalSearch/TLV2475AIPWP/page-1", "TLV2475AIPWP")</f>
        <v>TLV2475AIPWP</v>
      </c>
      <c r="B14581" s="3" t="s">
        <v>90</v>
      </c>
      <c r="C14581" s="5">
        <v>5130</v>
      </c>
      <c r="D14581" s="6">
        <v>6.08</v>
      </c>
      <c r="E14581" t="s">
        <v>11</v>
      </c>
    </row>
    <row r="14582" spans="1:5" x14ac:dyDescent="0.25">
      <c r="A14582" t="str">
        <f>HYPERLINK("https://www.773grp.com/globalSearch/OPA847IDBVR/page-1", "OPA847IDBVR")</f>
        <v>OPA847IDBVR</v>
      </c>
      <c r="B14582" s="3" t="s">
        <v>90</v>
      </c>
      <c r="C14582" s="5">
        <v>7536</v>
      </c>
      <c r="D14582" s="6">
        <v>6.11</v>
      </c>
      <c r="E14582" t="s">
        <v>11</v>
      </c>
    </row>
    <row r="14583" spans="1:5" x14ac:dyDescent="0.25">
      <c r="A14583" t="str">
        <f>HYPERLINK("https://www.773grp.com/globalSearch/OPA847IDR/page-1", "OPA847IDR")</f>
        <v>OPA847IDR</v>
      </c>
      <c r="B14583" s="3" t="s">
        <v>90</v>
      </c>
      <c r="C14583" s="5">
        <v>2360</v>
      </c>
      <c r="D14583" s="6">
        <v>6.11</v>
      </c>
      <c r="E14583" t="s">
        <v>11</v>
      </c>
    </row>
    <row r="14584" spans="1:5" x14ac:dyDescent="0.25">
      <c r="A14584" t="str">
        <f>HYPERLINK("https://www.773grp.com/globalSearch/TLC2654AI-8D/page-1", "TLC2654AI-8D")</f>
        <v>TLC2654AI-8D</v>
      </c>
      <c r="B14584" s="3" t="s">
        <v>90</v>
      </c>
      <c r="C14584" s="5">
        <v>3495</v>
      </c>
      <c r="D14584" s="6">
        <v>6.11</v>
      </c>
      <c r="E14584" t="s">
        <v>11</v>
      </c>
    </row>
    <row r="14585" spans="1:5" x14ac:dyDescent="0.25">
      <c r="A14585" t="str">
        <f>HYPERLINK("https://www.773grp.com/globalSearch/OPA2604AP/page-1", "OPA2604AP")</f>
        <v>OPA2604AP</v>
      </c>
      <c r="B14585" s="3" t="s">
        <v>90</v>
      </c>
      <c r="C14585" s="5">
        <v>6</v>
      </c>
      <c r="D14585" s="6">
        <v>6.16</v>
      </c>
      <c r="E14585" t="s">
        <v>11</v>
      </c>
    </row>
    <row r="14586" spans="1:5" x14ac:dyDescent="0.25">
      <c r="A14586" t="str">
        <f>HYPERLINK("https://www.773grp.com/globalSearch/THS4011CDGNR/page-1", "THS4011CDGNR")</f>
        <v>THS4011CDGNR</v>
      </c>
      <c r="B14586" s="3" t="s">
        <v>90</v>
      </c>
      <c r="C14586" s="5">
        <v>2900</v>
      </c>
      <c r="D14586" s="6">
        <v>6.16</v>
      </c>
      <c r="E14586" t="s">
        <v>11</v>
      </c>
    </row>
    <row r="14587" spans="1:5" x14ac:dyDescent="0.25">
      <c r="A14587" t="str">
        <f>HYPERLINK("https://www.773grp.com/globalSearch/TLE2084CDW/page-1", "TLE2084CDW")</f>
        <v>TLE2084CDW</v>
      </c>
      <c r="B14587" s="3" t="s">
        <v>90</v>
      </c>
      <c r="C14587" s="5">
        <v>195</v>
      </c>
      <c r="D14587" s="6">
        <v>6.16</v>
      </c>
      <c r="E14587" t="s">
        <v>11</v>
      </c>
    </row>
    <row r="14588" spans="1:5" x14ac:dyDescent="0.25">
      <c r="A14588" t="str">
        <f>HYPERLINK("https://www.773grp.com/globalSearch/OPA2228UA/page-1", "OPA2228UA")</f>
        <v>OPA2228UA</v>
      </c>
      <c r="B14588" s="3" t="s">
        <v>90</v>
      </c>
      <c r="C14588" s="5">
        <v>755</v>
      </c>
      <c r="D14588" s="6">
        <v>6.19</v>
      </c>
      <c r="E14588" t="s">
        <v>11</v>
      </c>
    </row>
    <row r="14589" spans="1:5" x14ac:dyDescent="0.25">
      <c r="A14589" t="str">
        <f>HYPERLINK("https://www.773grp.com/globalSearch/OPA3355UA/page-1", "OPA3355UA")</f>
        <v>OPA3355UA</v>
      </c>
      <c r="B14589" s="3" t="s">
        <v>90</v>
      </c>
      <c r="C14589" s="5">
        <v>5207</v>
      </c>
      <c r="D14589" s="6">
        <v>6.19</v>
      </c>
      <c r="E14589" t="s">
        <v>11</v>
      </c>
    </row>
    <row r="14590" spans="1:5" x14ac:dyDescent="0.25">
      <c r="A14590" t="str">
        <f>HYPERLINK("https://www.773grp.com/globalSearch/OPA3355UA/page-1", "OPA3355UA")</f>
        <v>OPA3355UA</v>
      </c>
      <c r="B14590" s="3" t="s">
        <v>90</v>
      </c>
      <c r="C14590" s="5">
        <v>1363</v>
      </c>
      <c r="D14590" s="6">
        <v>6.19</v>
      </c>
      <c r="E14590" t="s">
        <v>11</v>
      </c>
    </row>
    <row r="14591" spans="1:5" x14ac:dyDescent="0.25">
      <c r="A14591" t="str">
        <f>HYPERLINK("https://www.773grp.com/globalSearch/OPA4343UA/page-1", "OPA4343UA")</f>
        <v>OPA4343UA</v>
      </c>
      <c r="B14591" s="3" t="s">
        <v>90</v>
      </c>
      <c r="C14591" s="5">
        <v>6</v>
      </c>
      <c r="D14591" s="6">
        <v>6.19</v>
      </c>
      <c r="E14591" t="s">
        <v>11</v>
      </c>
    </row>
    <row r="14592" spans="1:5" x14ac:dyDescent="0.25">
      <c r="A14592" t="str">
        <f>HYPERLINK("https://www.773grp.com/globalSearch/OPA4343UA/page-1", "OPA4343UA")</f>
        <v>OPA4343UA</v>
      </c>
      <c r="B14592" s="3" t="s">
        <v>90</v>
      </c>
      <c r="C14592" s="5">
        <v>62</v>
      </c>
      <c r="D14592" s="6">
        <v>6.19</v>
      </c>
      <c r="E14592" t="s">
        <v>11</v>
      </c>
    </row>
    <row r="14593" spans="1:5" x14ac:dyDescent="0.25">
      <c r="A14593" t="str">
        <f>HYPERLINK("https://www.773grp.com/globalSearch/THS4120CDGNR/page-1", "THS4120CDGNR")</f>
        <v>THS4120CDGNR</v>
      </c>
      <c r="B14593" s="3" t="s">
        <v>90</v>
      </c>
      <c r="C14593" s="5">
        <v>17500</v>
      </c>
      <c r="D14593" s="6">
        <v>6.19</v>
      </c>
      <c r="E14593" t="s">
        <v>11</v>
      </c>
    </row>
    <row r="14594" spans="1:5" x14ac:dyDescent="0.25">
      <c r="A14594" t="str">
        <f>HYPERLINK("https://www.773grp.com/globalSearch/TLC254ID/page-1", "TLC254ID")</f>
        <v>TLC254ID</v>
      </c>
      <c r="B14594" s="3" t="s">
        <v>90</v>
      </c>
      <c r="C14594" s="5">
        <v>13018</v>
      </c>
      <c r="D14594" s="6">
        <v>6.19</v>
      </c>
      <c r="E14594" t="s">
        <v>11</v>
      </c>
    </row>
    <row r="14595" spans="1:5" x14ac:dyDescent="0.25">
      <c r="A14595" t="str">
        <f>HYPERLINK("https://www.773grp.com/globalSearch/TLC4502AQD/page-1", "TLC4502AQD")</f>
        <v>TLC4502AQD</v>
      </c>
      <c r="B14595" s="3" t="s">
        <v>90</v>
      </c>
      <c r="C14595" s="5">
        <v>4654</v>
      </c>
      <c r="D14595" s="6">
        <v>6.19</v>
      </c>
      <c r="E14595" t="s">
        <v>11</v>
      </c>
    </row>
    <row r="14596" spans="1:5" x14ac:dyDescent="0.25">
      <c r="A14596" t="str">
        <f>HYPERLINK("https://www.773grp.com/globalSearch/TLC4502AQDR/page-1", "TLC4502AQDR")</f>
        <v>TLC4502AQDR</v>
      </c>
      <c r="B14596" s="3" t="s">
        <v>90</v>
      </c>
      <c r="C14596" s="5">
        <v>2500</v>
      </c>
      <c r="D14596" s="6">
        <v>6.19</v>
      </c>
      <c r="E14596" t="s">
        <v>11</v>
      </c>
    </row>
    <row r="14597" spans="1:5" x14ac:dyDescent="0.25">
      <c r="A14597" t="str">
        <f>HYPERLINK("https://www.773grp.com/globalSearch/TLC4502CD/page-1", "TLC4502CD")</f>
        <v>TLC4502CD</v>
      </c>
      <c r="B14597" s="3" t="s">
        <v>90</v>
      </c>
      <c r="C14597" s="5">
        <v>1074</v>
      </c>
      <c r="D14597" s="6">
        <v>6.19</v>
      </c>
      <c r="E14597" t="s">
        <v>11</v>
      </c>
    </row>
    <row r="14598" spans="1:5" x14ac:dyDescent="0.25">
      <c r="A14598" t="str">
        <f>HYPERLINK("https://www.773grp.com/globalSearch/TLE2074CN/page-1", "TLE2074CN")</f>
        <v>TLE2074CN</v>
      </c>
      <c r="B14598" s="3" t="s">
        <v>90</v>
      </c>
      <c r="C14598" s="5">
        <v>3746</v>
      </c>
      <c r="D14598" s="6">
        <v>6.19</v>
      </c>
      <c r="E14598" t="s">
        <v>11</v>
      </c>
    </row>
    <row r="14599" spans="1:5" x14ac:dyDescent="0.25">
      <c r="A14599" t="str">
        <f>HYPERLINK("https://www.773grp.com/globalSearch/THS4052IDGN/page-1", "THS4052IDGN")</f>
        <v>THS4052IDGN</v>
      </c>
      <c r="B14599" s="3" t="s">
        <v>90</v>
      </c>
      <c r="C14599" s="5">
        <v>27150</v>
      </c>
      <c r="D14599" s="6">
        <v>6.21</v>
      </c>
      <c r="E14599" t="s">
        <v>11</v>
      </c>
    </row>
    <row r="14600" spans="1:5" x14ac:dyDescent="0.25">
      <c r="A14600" t="str">
        <f>HYPERLINK("https://www.773grp.com/globalSearch/LT1001CP/page-1", "LT1001CP")</f>
        <v>LT1001CP</v>
      </c>
      <c r="B14600" s="3" t="s">
        <v>90</v>
      </c>
      <c r="C14600" s="5">
        <v>624</v>
      </c>
      <c r="D14600" s="6">
        <v>6.25</v>
      </c>
      <c r="E14600" t="s">
        <v>11</v>
      </c>
    </row>
    <row r="14601" spans="1:5" x14ac:dyDescent="0.25">
      <c r="A14601" t="str">
        <f>HYPERLINK("https://www.773grp.com/globalSearch/THS4041CDR/page-1", "THS4041CDR")</f>
        <v>THS4041CDR</v>
      </c>
      <c r="B14601" s="3" t="s">
        <v>90</v>
      </c>
      <c r="C14601" s="5">
        <v>22500</v>
      </c>
      <c r="D14601" s="6">
        <v>6.28</v>
      </c>
      <c r="E14601" t="s">
        <v>11</v>
      </c>
    </row>
    <row r="14602" spans="1:5" x14ac:dyDescent="0.25">
      <c r="A14602" t="str">
        <f>HYPERLINK("https://www.773grp.com/globalSearch/TLC2201AID/page-1", "TLC2201AID")</f>
        <v>TLC2201AID</v>
      </c>
      <c r="B14602" s="3" t="s">
        <v>90</v>
      </c>
      <c r="C14602" s="5">
        <v>374</v>
      </c>
      <c r="D14602" s="6">
        <v>6.28</v>
      </c>
      <c r="E14602" t="s">
        <v>11</v>
      </c>
    </row>
    <row r="14603" spans="1:5" x14ac:dyDescent="0.25">
      <c r="A14603" t="str">
        <f>HYPERLINK("https://www.773grp.com/globalSearch/TLE2082AMP/page-1", "TLE2082AMP")</f>
        <v>TLE2082AMP</v>
      </c>
      <c r="B14603" s="3" t="s">
        <v>90</v>
      </c>
      <c r="C14603" s="5">
        <v>1040</v>
      </c>
      <c r="D14603" s="6">
        <v>6.3</v>
      </c>
      <c r="E14603" t="s">
        <v>11</v>
      </c>
    </row>
    <row r="14604" spans="1:5" x14ac:dyDescent="0.25">
      <c r="A14604" t="str">
        <f>HYPERLINK("https://www.773grp.com/globalSearch/INA2143U/page-1", "INA2143U")</f>
        <v>INA2143U</v>
      </c>
      <c r="B14604" s="3" t="s">
        <v>90</v>
      </c>
      <c r="C14604" s="5">
        <v>1</v>
      </c>
      <c r="D14604" s="6">
        <v>6.33</v>
      </c>
      <c r="E14604" t="s">
        <v>11</v>
      </c>
    </row>
    <row r="14605" spans="1:5" x14ac:dyDescent="0.25">
      <c r="A14605" t="str">
        <f>HYPERLINK("https://www.773grp.com/globalSearch/INA2143U/page-1", "INA2143U")</f>
        <v>INA2143U</v>
      </c>
      <c r="B14605" s="3" t="s">
        <v>90</v>
      </c>
      <c r="C14605" s="5">
        <v>128</v>
      </c>
      <c r="D14605" s="6">
        <v>6.33</v>
      </c>
      <c r="E14605" t="s">
        <v>11</v>
      </c>
    </row>
    <row r="14606" spans="1:5" x14ac:dyDescent="0.25">
      <c r="A14606" t="str">
        <f>HYPERLINK("https://www.773grp.com/globalSearch/OPA1013DN8/page-1", "OPA1013DN8")</f>
        <v>OPA1013DN8</v>
      </c>
      <c r="B14606" s="3" t="s">
        <v>90</v>
      </c>
      <c r="C14606" s="5">
        <v>2775</v>
      </c>
      <c r="D14606" s="6">
        <v>6.33</v>
      </c>
      <c r="E14606" t="s">
        <v>11</v>
      </c>
    </row>
    <row r="14607" spans="1:5" x14ac:dyDescent="0.25">
      <c r="A14607" t="str">
        <f>HYPERLINK("https://www.773grp.com/globalSearch/OPA131U/page-1", "OPA131U")</f>
        <v>OPA131U</v>
      </c>
      <c r="B14607" s="3" t="s">
        <v>90</v>
      </c>
      <c r="C14607" s="5">
        <v>257</v>
      </c>
      <c r="D14607" s="6">
        <v>6.33</v>
      </c>
      <c r="E14607" t="s">
        <v>11</v>
      </c>
    </row>
    <row r="14608" spans="1:5" x14ac:dyDescent="0.25">
      <c r="A14608" t="str">
        <f>HYPERLINK("https://www.773grp.com/globalSearch/OPA131U/page-1", "OPA131U")</f>
        <v>OPA131U</v>
      </c>
      <c r="B14608" s="3" t="s">
        <v>90</v>
      </c>
      <c r="C14608" s="5">
        <v>16312</v>
      </c>
      <c r="D14608" s="6">
        <v>6.33</v>
      </c>
      <c r="E14608" t="s">
        <v>11</v>
      </c>
    </row>
    <row r="14609" spans="1:5" x14ac:dyDescent="0.25">
      <c r="A14609" t="str">
        <f>HYPERLINK("https://www.773grp.com/globalSearch/OPA551UA/page-1", "OPA551UA")</f>
        <v>OPA551UA</v>
      </c>
      <c r="B14609" s="3" t="s">
        <v>90</v>
      </c>
      <c r="C14609" s="5">
        <v>134</v>
      </c>
      <c r="D14609" s="6">
        <v>6.33</v>
      </c>
      <c r="E14609" t="s">
        <v>11</v>
      </c>
    </row>
    <row r="14610" spans="1:5" x14ac:dyDescent="0.25">
      <c r="A14610" t="str">
        <f>HYPERLINK("https://www.773grp.com/globalSearch/THS4041CDGN/page-1", "THS4041CDGN")</f>
        <v>THS4041CDGN</v>
      </c>
      <c r="B14610" s="3" t="s">
        <v>90</v>
      </c>
      <c r="C14610" s="5">
        <v>27680</v>
      </c>
      <c r="D14610" s="6">
        <v>6.33</v>
      </c>
      <c r="E14610" t="s">
        <v>11</v>
      </c>
    </row>
    <row r="14611" spans="1:5" x14ac:dyDescent="0.25">
      <c r="A14611" t="str">
        <f>HYPERLINK("https://www.773grp.com/globalSearch/TLE2144IDW/page-1", "TLE2144IDW")</f>
        <v>TLE2144IDW</v>
      </c>
      <c r="B14611" s="3" t="s">
        <v>90</v>
      </c>
      <c r="C14611" s="5">
        <v>4071</v>
      </c>
      <c r="D14611" s="6">
        <v>6.33</v>
      </c>
      <c r="E14611" t="s">
        <v>11</v>
      </c>
    </row>
    <row r="14612" spans="1:5" x14ac:dyDescent="0.25">
      <c r="A14612" t="str">
        <f>HYPERLINK("https://www.773grp.com/globalSearch/TLE2144MDWG4/page-1", "TLE2144MDWG4")</f>
        <v>TLE2144MDWG4</v>
      </c>
      <c r="B14612" s="3" t="s">
        <v>90</v>
      </c>
      <c r="C14612" s="5">
        <v>440</v>
      </c>
      <c r="D14612" s="6">
        <v>6.33</v>
      </c>
      <c r="E14612" t="s">
        <v>11</v>
      </c>
    </row>
    <row r="14613" spans="1:5" x14ac:dyDescent="0.25">
      <c r="A14613" t="str">
        <f>HYPERLINK("https://www.773grp.com/globalSearch/OPA2234P/page-1", "OPA2234P")</f>
        <v>OPA2234P</v>
      </c>
      <c r="B14613" s="3" t="s">
        <v>90</v>
      </c>
      <c r="C14613" s="5">
        <v>3</v>
      </c>
      <c r="D14613" s="6">
        <v>6.36</v>
      </c>
      <c r="E14613" t="s">
        <v>11</v>
      </c>
    </row>
    <row r="14614" spans="1:5" x14ac:dyDescent="0.25">
      <c r="A14614" t="str">
        <f>HYPERLINK("https://www.773grp.com/globalSearch/THS4031IDGNR/page-1", "THS4031IDGNR")</f>
        <v>THS4031IDGNR</v>
      </c>
      <c r="B14614" s="3" t="s">
        <v>90</v>
      </c>
      <c r="C14614" s="5">
        <v>14502</v>
      </c>
      <c r="D14614" s="6">
        <v>6.36</v>
      </c>
      <c r="E14614" t="s">
        <v>11</v>
      </c>
    </row>
    <row r="14615" spans="1:5" x14ac:dyDescent="0.25">
      <c r="A14615" t="str">
        <f>HYPERLINK("https://www.773grp.com/globalSearch/TLC254ACD/page-1", "TLC254ACD")</f>
        <v>TLC254ACD</v>
      </c>
      <c r="B14615" s="3" t="s">
        <v>90</v>
      </c>
      <c r="C14615" s="5">
        <v>9075</v>
      </c>
      <c r="D14615" s="6">
        <v>6.38</v>
      </c>
      <c r="E14615" t="s">
        <v>11</v>
      </c>
    </row>
    <row r="14616" spans="1:5" x14ac:dyDescent="0.25">
      <c r="A14616" t="str">
        <f>HYPERLINK("https://www.773grp.com/globalSearch/OPA4141AIPW/page-1", "OPA4141AIPW")</f>
        <v>OPA4141AIPW</v>
      </c>
      <c r="B14616" s="3" t="s">
        <v>90</v>
      </c>
      <c r="C14616" s="5">
        <v>630</v>
      </c>
      <c r="D14616" s="6">
        <v>6.41</v>
      </c>
      <c r="E14616" t="s">
        <v>11</v>
      </c>
    </row>
    <row r="14617" spans="1:5" x14ac:dyDescent="0.25">
      <c r="A14617" t="str">
        <f>HYPERLINK("https://www.773grp.com/globalSearch/THS4504DGK/page-1", "THS4504DGK")</f>
        <v>THS4504DGK</v>
      </c>
      <c r="B14617" s="3" t="s">
        <v>90</v>
      </c>
      <c r="C14617" s="5">
        <v>8764</v>
      </c>
      <c r="D14617" s="6">
        <v>6.41</v>
      </c>
      <c r="E14617" t="s">
        <v>11</v>
      </c>
    </row>
    <row r="14618" spans="1:5" x14ac:dyDescent="0.25">
      <c r="A14618" t="str">
        <f>HYPERLINK("https://www.773grp.com/globalSearch/THS4504DGN/page-1", "THS4504DGN")</f>
        <v>THS4504DGN</v>
      </c>
      <c r="B14618" s="3" t="s">
        <v>90</v>
      </c>
      <c r="C14618" s="5">
        <v>10561</v>
      </c>
      <c r="D14618" s="6">
        <v>6.41</v>
      </c>
      <c r="E14618" t="s">
        <v>11</v>
      </c>
    </row>
    <row r="14619" spans="1:5" x14ac:dyDescent="0.25">
      <c r="A14619" t="str">
        <f>HYPERLINK("https://www.773grp.com/globalSearch/THS4505DGK/page-1", "THS4505DGK")</f>
        <v>THS4505DGK</v>
      </c>
      <c r="B14619" s="3" t="s">
        <v>90</v>
      </c>
      <c r="C14619" s="5">
        <v>6812</v>
      </c>
      <c r="D14619" s="6">
        <v>6.41</v>
      </c>
      <c r="E14619" t="s">
        <v>11</v>
      </c>
    </row>
    <row r="14620" spans="1:5" x14ac:dyDescent="0.25">
      <c r="A14620" t="str">
        <f>HYPERLINK("https://www.773grp.com/globalSearch/THS4505DGN/page-1", "THS4505DGN")</f>
        <v>THS4505DGN</v>
      </c>
      <c r="B14620" s="3" t="s">
        <v>90</v>
      </c>
      <c r="C14620" s="5">
        <v>5477</v>
      </c>
      <c r="D14620" s="6">
        <v>6.41</v>
      </c>
      <c r="E14620" t="s">
        <v>11</v>
      </c>
    </row>
    <row r="14621" spans="1:5" x14ac:dyDescent="0.25">
      <c r="A14621" t="str">
        <f>HYPERLINK("https://www.773grp.com/globalSearch/THS4011IDGNR/page-1", "THS4011IDGNR")</f>
        <v>THS4011IDGNR</v>
      </c>
      <c r="B14621" s="3" t="str">
        <f>HYPERLINK("https://www.773grp.com/manufacturer/texas-instruments?pageNo=36", "Texas Instruments")</f>
        <v>Texas Instruments</v>
      </c>
      <c r="C14621" s="5">
        <v>11492</v>
      </c>
      <c r="D14621" s="6">
        <v>6.45</v>
      </c>
      <c r="E14621" t="s">
        <v>11</v>
      </c>
    </row>
    <row r="14622" spans="1:5" x14ac:dyDescent="0.25">
      <c r="A14622" t="str">
        <f>HYPERLINK("https://www.773grp.com/globalSearch/OPA2241UA/page-1", "OPA2241UA")</f>
        <v>OPA2241UA</v>
      </c>
      <c r="B14622" s="3" t="str">
        <f>HYPERLINK("https://www.773grp.com/manufacturer/texas-instruments?pageNo=78", "Texas Instruments")</f>
        <v>Texas Instruments</v>
      </c>
      <c r="C14622" s="5">
        <v>6425</v>
      </c>
      <c r="D14622" s="6">
        <v>6.46</v>
      </c>
      <c r="E14622" t="s">
        <v>11</v>
      </c>
    </row>
    <row r="14623" spans="1:5" x14ac:dyDescent="0.25">
      <c r="A14623" t="str">
        <f>HYPERLINK("https://www.773grp.com/globalSearch/OPA2334AIDGST/page-1", "OPA2334AIDGST")</f>
        <v>OPA2334AIDGST</v>
      </c>
      <c r="B14623" s="3" t="str">
        <f>HYPERLINK("https://www.773grp.com/manufacturer/texas-instruments?pageNo=80", "Texas Instruments")</f>
        <v>Texas Instruments</v>
      </c>
      <c r="C14623" s="5">
        <v>11088</v>
      </c>
      <c r="D14623" s="6">
        <v>6.46</v>
      </c>
      <c r="E14623" t="s">
        <v>11</v>
      </c>
    </row>
    <row r="14624" spans="1:5" x14ac:dyDescent="0.25">
      <c r="A14624" t="str">
        <f>HYPERLINK("https://www.773grp.com/globalSearch/OPA2604AU/page-1", "OPA2604AU")</f>
        <v>OPA2604AU</v>
      </c>
      <c r="B14624" s="3" t="str">
        <f>HYPERLINK("https://www.773grp.com/manufacturer/texas-instruments?pageNo=82", "Texas Instruments")</f>
        <v>Texas Instruments</v>
      </c>
      <c r="C14624" s="5">
        <v>580</v>
      </c>
      <c r="D14624" s="6">
        <v>6.46</v>
      </c>
      <c r="E14624" t="s">
        <v>11</v>
      </c>
    </row>
    <row r="14625" spans="1:5" x14ac:dyDescent="0.25">
      <c r="A14625" t="str">
        <f>HYPERLINK("https://www.773grp.com/globalSearch/OPA2614ID/page-1", "OPA2614ID")</f>
        <v>OPA2614ID</v>
      </c>
      <c r="B14625" s="3" t="str">
        <f>HYPERLINK("https://www.773grp.com/manufacturer/texas-instruments?pageNo=84", "Texas Instruments")</f>
        <v>Texas Instruments</v>
      </c>
      <c r="C14625" s="5">
        <v>8603</v>
      </c>
      <c r="D14625" s="6">
        <v>6.46</v>
      </c>
      <c r="E14625" t="s">
        <v>11</v>
      </c>
    </row>
    <row r="14626" spans="1:5" x14ac:dyDescent="0.25">
      <c r="A14626" t="str">
        <f>HYPERLINK("https://www.773grp.com/globalSearch/OPA2734AIDGST/page-1", "OPA2734AIDGST")</f>
        <v>OPA2734AIDGST</v>
      </c>
      <c r="B14626" s="3" t="str">
        <f>HYPERLINK("https://www.773grp.com/manufacturer/texas-instruments?pageNo=88", "Texas Instruments")</f>
        <v>Texas Instruments</v>
      </c>
      <c r="C14626" s="5">
        <v>33580</v>
      </c>
      <c r="D14626" s="6">
        <v>6.46</v>
      </c>
      <c r="E14626" t="s">
        <v>11</v>
      </c>
    </row>
    <row r="14627" spans="1:5" x14ac:dyDescent="0.25">
      <c r="A14627" t="str">
        <f>HYPERLINK("https://www.773grp.com/globalSearch/OPA2735AIDGKT/page-1", "OPA2735AIDGKT")</f>
        <v>OPA2735AIDGKT</v>
      </c>
      <c r="B14627" s="3" t="str">
        <f>HYPERLINK("https://www.773grp.com/manufacturer/texas-instruments?pageNo=89", "Texas Instruments")</f>
        <v>Texas Instruments</v>
      </c>
      <c r="C14627" s="5">
        <v>1176</v>
      </c>
      <c r="D14627" s="6">
        <v>6.46</v>
      </c>
      <c r="E14627" t="s">
        <v>11</v>
      </c>
    </row>
    <row r="14628" spans="1:5" x14ac:dyDescent="0.25">
      <c r="A14628" t="str">
        <f>HYPERLINK("https://www.773grp.com/globalSearch/OPA567AIRHGR/page-1", "OPA567AIRHGR")</f>
        <v>OPA567AIRHGR</v>
      </c>
      <c r="B14628" s="3" t="str">
        <f>HYPERLINK("https://www.773grp.com/manufacturer/texas-instruments?pageNo=91", "Texas Instruments")</f>
        <v>Texas Instruments</v>
      </c>
      <c r="C14628" s="5">
        <v>96560</v>
      </c>
      <c r="D14628" s="6">
        <v>6.46</v>
      </c>
      <c r="E14628" t="s">
        <v>11</v>
      </c>
    </row>
    <row r="14629" spans="1:5" x14ac:dyDescent="0.25">
      <c r="A14629" t="str">
        <f>HYPERLINK("https://www.773grp.com/globalSearch/OPA685U/page-1", "OPA685U")</f>
        <v>OPA685U</v>
      </c>
      <c r="B14629" s="3" t="str">
        <f>HYPERLINK("https://www.773grp.com/manufacturer/texas-instruments?pageNo=92", "Texas Instruments")</f>
        <v>Texas Instruments</v>
      </c>
      <c r="C14629" s="5">
        <v>2786</v>
      </c>
      <c r="D14629" s="6">
        <v>6.46</v>
      </c>
      <c r="E14629" t="s">
        <v>11</v>
      </c>
    </row>
    <row r="14630" spans="1:5" x14ac:dyDescent="0.25">
      <c r="A14630" t="str">
        <f>HYPERLINK("https://www.773grp.com/globalSearch/TLC2652IN/page-1", "TLC2652IN")</f>
        <v>TLC2652IN</v>
      </c>
      <c r="B14630" s="3" t="str">
        <f>HYPERLINK("https://www.773grp.com/manufacturer/texas-instruments?pageNo=117", "Texas Instruments")</f>
        <v>Texas Instruments</v>
      </c>
      <c r="C14630" s="5">
        <v>2644</v>
      </c>
      <c r="D14630" s="6">
        <v>6.46</v>
      </c>
      <c r="E14630" t="s">
        <v>11</v>
      </c>
    </row>
    <row r="14631" spans="1:5" x14ac:dyDescent="0.25">
      <c r="A14631" t="str">
        <f>HYPERLINK("https://www.773grp.com/globalSearch/TLC2654AQ-8D/page-1", "TLC2654AQ-8D")</f>
        <v>TLC2654AQ-8D</v>
      </c>
      <c r="B14631" s="3" t="str">
        <f>HYPERLINK("https://www.773grp.com/manufacturer/texas-instruments?pageNo=118", "Texas Instruments")</f>
        <v>Texas Instruments</v>
      </c>
      <c r="C14631" s="5">
        <v>4200</v>
      </c>
      <c r="D14631" s="6">
        <v>6.46</v>
      </c>
      <c r="E14631" t="s">
        <v>11</v>
      </c>
    </row>
    <row r="14632" spans="1:5" x14ac:dyDescent="0.25">
      <c r="A14632" t="str">
        <f>HYPERLINK("https://www.773grp.com/globalSearch/TLC4502ACD/page-1", "TLC4502ACD")</f>
        <v>TLC4502ACD</v>
      </c>
      <c r="B14632" s="3" t="str">
        <f>HYPERLINK("https://www.773grp.com/manufacturer/texas-instruments?pageNo=119", "Texas Instruments")</f>
        <v>Texas Instruments</v>
      </c>
      <c r="C14632" s="5">
        <v>17</v>
      </c>
      <c r="D14632" s="6">
        <v>6.46</v>
      </c>
      <c r="E14632" t="s">
        <v>11</v>
      </c>
    </row>
    <row r="14633" spans="1:5" x14ac:dyDescent="0.25">
      <c r="A14633" t="str">
        <f>HYPERLINK("https://www.773grp.com/globalSearch/TLE2074CDW/page-1", "TLE2074CDW")</f>
        <v>TLE2074CDW</v>
      </c>
      <c r="B14633" s="3" t="str">
        <f>HYPERLINK("https://www.773grp.com/manufacturer/texas-instruments?pageNo=123", "Texas Instruments")</f>
        <v>Texas Instruments</v>
      </c>
      <c r="C14633" s="5">
        <v>7</v>
      </c>
      <c r="D14633" s="6">
        <v>6.46</v>
      </c>
      <c r="E14633" t="s">
        <v>11</v>
      </c>
    </row>
    <row r="14634" spans="1:5" x14ac:dyDescent="0.25">
      <c r="A14634" t="str">
        <f>HYPERLINK("https://www.773grp.com/globalSearch/THS4120IDGNR/page-1", "THS4120IDGNR")</f>
        <v>THS4120IDGNR</v>
      </c>
      <c r="B14634" s="3" t="str">
        <f>HYPERLINK("https://www.773grp.com/manufacturer/texas-instruments?pageNo=182", "Texas Instruments")</f>
        <v>Texas Instruments</v>
      </c>
      <c r="C14634" s="5">
        <v>89845</v>
      </c>
      <c r="D14634" s="6">
        <v>6.5</v>
      </c>
      <c r="E14634" t="s">
        <v>11</v>
      </c>
    </row>
    <row r="14635" spans="1:5" x14ac:dyDescent="0.25">
      <c r="A14635" t="str">
        <f>HYPERLINK("https://www.773grp.com/globalSearch/THS4121IDGNR/page-1", "THS4121IDGNR")</f>
        <v>THS4121IDGNR</v>
      </c>
      <c r="B14635" s="3" t="str">
        <f>HYPERLINK("https://www.773grp.com/manufacturer/texas-instruments?pageNo=184", "Texas Instruments")</f>
        <v>Texas Instruments</v>
      </c>
      <c r="C14635" s="5">
        <v>7500</v>
      </c>
      <c r="D14635" s="6">
        <v>6.5</v>
      </c>
      <c r="E14635" t="s">
        <v>11</v>
      </c>
    </row>
    <row r="14636" spans="1:5" x14ac:dyDescent="0.25">
      <c r="A14636" t="str">
        <f>HYPERLINK("https://www.773grp.com/globalSearch/TLC2201AMD/page-1", "TLC2201AMD")</f>
        <v>TLC2201AMD</v>
      </c>
      <c r="B14636" s="3" t="str">
        <f>HYPERLINK("https://www.773grp.com/manufacturer/texas-instruments?pageNo=185", "Texas Instruments")</f>
        <v>Texas Instruments</v>
      </c>
      <c r="C14636" s="5">
        <v>182</v>
      </c>
      <c r="D14636" s="6">
        <v>6.5</v>
      </c>
      <c r="E14636" t="s">
        <v>11</v>
      </c>
    </row>
    <row r="14637" spans="1:5" x14ac:dyDescent="0.25">
      <c r="A14637" t="str">
        <f>HYPERLINK("https://www.773grp.com/globalSearch/TL2828ZD/page-1", "TL2828ZD")</f>
        <v>TL2828ZD</v>
      </c>
      <c r="B14637" s="3" t="str">
        <f>HYPERLINK("https://www.773grp.com/manufacturer/texas-instruments?pageNo=215", "Texas Instruments")</f>
        <v>Texas Instruments</v>
      </c>
      <c r="C14637" s="5">
        <v>769</v>
      </c>
      <c r="D14637" s="6">
        <v>6.53</v>
      </c>
      <c r="E14637" t="s">
        <v>11</v>
      </c>
    </row>
    <row r="14638" spans="1:5" x14ac:dyDescent="0.25">
      <c r="A14638" t="str">
        <f>HYPERLINK("https://www.773grp.com/globalSearch/TL2828ZP/page-1", "TL2828ZP")</f>
        <v>TL2828ZP</v>
      </c>
      <c r="B14638" s="3" t="str">
        <f>HYPERLINK("https://www.773grp.com/manufacturer/texas-instruments?pageNo=216", "Texas Instruments")</f>
        <v>Texas Instruments</v>
      </c>
      <c r="C14638" s="5">
        <v>172</v>
      </c>
      <c r="D14638" s="6">
        <v>6.53</v>
      </c>
      <c r="E14638" t="s">
        <v>11</v>
      </c>
    </row>
    <row r="14639" spans="1:5" x14ac:dyDescent="0.25">
      <c r="A14639" t="str">
        <f>HYPERLINK("https://www.773grp.com/globalSearch/THS4031CD/page-1", "THS4031CD")</f>
        <v>THS4031CD</v>
      </c>
      <c r="B14639" s="3" t="str">
        <f>HYPERLINK("https://www.773grp.com/manufacturer/texas-instruments?pageNo=239", "Texas Instruments")</f>
        <v>Texas Instruments</v>
      </c>
      <c r="C14639" s="5">
        <v>22</v>
      </c>
      <c r="D14639" s="6">
        <v>6.55</v>
      </c>
      <c r="E14639" t="s">
        <v>11</v>
      </c>
    </row>
    <row r="14640" spans="1:5" x14ac:dyDescent="0.25">
      <c r="A14640" t="str">
        <f>HYPERLINK("https://www.773grp.com/globalSearch/THS4041IDGNR/page-1", "THS4041IDGNR")</f>
        <v>THS4041IDGNR</v>
      </c>
      <c r="B14640" s="3" t="str">
        <f>HYPERLINK("https://www.773grp.com/manufacturer/texas-instruments?pageNo=240", "Texas Instruments")</f>
        <v>Texas Instruments</v>
      </c>
      <c r="C14640" s="5">
        <v>10000</v>
      </c>
      <c r="D14640" s="6">
        <v>6.55</v>
      </c>
      <c r="E14640" t="s">
        <v>11</v>
      </c>
    </row>
    <row r="14641" spans="1:5" x14ac:dyDescent="0.25">
      <c r="A14641" t="str">
        <f>HYPERLINK("https://www.773grp.com/globalSearch/INA2133U/page-1", "INA2133U")</f>
        <v>INA2133U</v>
      </c>
      <c r="B14641" s="3" t="str">
        <f>HYPERLINK("https://www.773grp.com/manufacturer/texas-instruments?pageNo=278", "Texas Instruments")</f>
        <v>Texas Instruments</v>
      </c>
      <c r="C14641" s="5">
        <v>6</v>
      </c>
      <c r="D14641" s="6">
        <v>6.61</v>
      </c>
      <c r="E14641" t="s">
        <v>11</v>
      </c>
    </row>
    <row r="14642" spans="1:5" x14ac:dyDescent="0.25">
      <c r="A14642" t="str">
        <f>HYPERLINK("https://www.773grp.com/globalSearch/INA2133UA-2K5/page-1", "INA2133UA-2K5")</f>
        <v>INA2133UA-2K5</v>
      </c>
      <c r="B14642" s="3" t="str">
        <f>HYPERLINK("https://www.773grp.com/manufacturer/texas-instruments?pageNo=279", "Texas Instruments")</f>
        <v>Texas Instruments</v>
      </c>
      <c r="C14642" s="5">
        <v>4900</v>
      </c>
      <c r="D14642" s="6">
        <v>6.61</v>
      </c>
      <c r="E14642" t="s">
        <v>11</v>
      </c>
    </row>
    <row r="14643" spans="1:5" x14ac:dyDescent="0.25">
      <c r="A14643" t="str">
        <f>HYPERLINK("https://www.773grp.com/globalSearch/INA2133UE4/page-1", "INA2133UE4")</f>
        <v>INA2133UE4</v>
      </c>
      <c r="B14643" s="3" t="str">
        <f>HYPERLINK("https://www.773grp.com/manufacturer/texas-instruments?pageNo=280", "Texas Instruments")</f>
        <v>Texas Instruments</v>
      </c>
      <c r="C14643" s="5">
        <v>58</v>
      </c>
      <c r="D14643" s="6">
        <v>6.61</v>
      </c>
      <c r="E14643" t="s">
        <v>11</v>
      </c>
    </row>
    <row r="14644" spans="1:5" x14ac:dyDescent="0.25">
      <c r="A14644" t="str">
        <f>HYPERLINK("https://www.773grp.com/globalSearch/LT1037ACP/page-1", "LT1037ACP")</f>
        <v>LT1037ACP</v>
      </c>
      <c r="B14644" s="3" t="str">
        <f>HYPERLINK("https://www.773grp.com/manufacturer/texas-instruments?pageNo=281", "Texas Instruments")</f>
        <v>Texas Instruments</v>
      </c>
      <c r="C14644" s="5">
        <v>6247</v>
      </c>
      <c r="D14644" s="6">
        <v>6.61</v>
      </c>
      <c r="E14644" t="s">
        <v>11</v>
      </c>
    </row>
    <row r="14645" spans="1:5" x14ac:dyDescent="0.25">
      <c r="A14645" t="str">
        <f>HYPERLINK("https://www.773grp.com/globalSearch/OPA1644AIPW/page-1", "OPA1644AIPW")</f>
        <v>OPA1644AIPW</v>
      </c>
      <c r="B14645" s="3" t="str">
        <f>HYPERLINK("https://www.773grp.com/manufacturer/texas-instruments?pageNo=288", "Texas Instruments")</f>
        <v>Texas Instruments</v>
      </c>
      <c r="C14645" s="5">
        <v>1633</v>
      </c>
      <c r="D14645" s="6">
        <v>6.61</v>
      </c>
      <c r="E14645" t="s">
        <v>11</v>
      </c>
    </row>
    <row r="14646" spans="1:5" x14ac:dyDescent="0.25">
      <c r="A14646" t="str">
        <f>HYPERLINK("https://www.773grp.com/globalSearch/TL088CD/page-1", "TL088CD")</f>
        <v>TL088CD</v>
      </c>
      <c r="B14646" s="3" t="str">
        <f>HYPERLINK("https://www.773grp.com/manufacturer/texas-instruments?pageNo=311", "Texas Instruments")</f>
        <v>Texas Instruments</v>
      </c>
      <c r="C14646" s="5">
        <v>850</v>
      </c>
      <c r="D14646" s="6">
        <v>6.61</v>
      </c>
      <c r="E14646" t="s">
        <v>11</v>
      </c>
    </row>
    <row r="14647" spans="1:5" x14ac:dyDescent="0.25">
      <c r="A14647" t="str">
        <f>HYPERLINK("https://www.773grp.com/globalSearch/TL034ACDR/page-1", "TL034ACDR")</f>
        <v>TL034ACDR</v>
      </c>
      <c r="B14647" s="3" t="str">
        <f>HYPERLINK("https://www.773grp.com/manufacturer/texas-instruments?pageNo=397", "Texas Instruments")</f>
        <v>Texas Instruments</v>
      </c>
      <c r="C14647" s="5">
        <v>2199</v>
      </c>
      <c r="D14647" s="6">
        <v>6.64</v>
      </c>
      <c r="E14647" t="s">
        <v>11</v>
      </c>
    </row>
    <row r="14648" spans="1:5" x14ac:dyDescent="0.25">
      <c r="A14648" t="str">
        <f>HYPERLINK("https://www.773grp.com/globalSearch/TLC2654ACP/page-1", "TLC2654ACP")</f>
        <v>TLC2654ACP</v>
      </c>
      <c r="B14648" s="3" t="str">
        <f>HYPERLINK("https://www.773grp.com/manufacturer/texas-instruments?pageNo=399", "Texas Instruments")</f>
        <v>Texas Instruments</v>
      </c>
      <c r="C14648" s="5">
        <v>30089</v>
      </c>
      <c r="D14648" s="6">
        <v>6.64</v>
      </c>
      <c r="E14648" t="s">
        <v>11</v>
      </c>
    </row>
    <row r="14649" spans="1:5" x14ac:dyDescent="0.25">
      <c r="A14649" t="str">
        <f>HYPERLINK("https://www.773grp.com/globalSearch/TLC254BCD/page-1", "TLC254BCD")</f>
        <v>TLC254BCD</v>
      </c>
      <c r="B14649" s="3" t="str">
        <f>HYPERLINK("https://www.773grp.com/manufacturer/texas-instruments?pageNo=417", "Texas Instruments")</f>
        <v>Texas Instruments</v>
      </c>
      <c r="C14649" s="5">
        <v>3885</v>
      </c>
      <c r="D14649" s="6">
        <v>6.66</v>
      </c>
      <c r="E14649" t="s">
        <v>11</v>
      </c>
    </row>
    <row r="14650" spans="1:5" x14ac:dyDescent="0.25">
      <c r="A14650" t="str">
        <f>HYPERLINK("https://www.773grp.com/globalSearch/TLC25L4BCD/page-1", "TLC25L4BCD")</f>
        <v>TLC25L4BCD</v>
      </c>
      <c r="B14650" s="3" t="str">
        <f>HYPERLINK("https://www.773grp.com/manufacturer/texas-instruments?pageNo=418", "Texas Instruments")</f>
        <v>Texas Instruments</v>
      </c>
      <c r="C14650" s="5">
        <v>11779</v>
      </c>
      <c r="D14650" s="6">
        <v>6.66</v>
      </c>
      <c r="E14650" t="s">
        <v>11</v>
      </c>
    </row>
    <row r="14651" spans="1:5" x14ac:dyDescent="0.25">
      <c r="A14651" t="str">
        <f>HYPERLINK("https://www.773grp.com/globalSearch/THS4011CD/page-1", "THS4011CD")</f>
        <v>THS4011CD</v>
      </c>
      <c r="B14651" s="3" t="str">
        <f>HYPERLINK("https://www.773grp.com/manufacturer/texas-instruments?pageNo=441", "Texas Instruments")</f>
        <v>Texas Instruments</v>
      </c>
      <c r="C14651" s="5">
        <v>1550</v>
      </c>
      <c r="D14651" s="6">
        <v>6.71</v>
      </c>
      <c r="E14651" t="s">
        <v>11</v>
      </c>
    </row>
    <row r="14652" spans="1:5" x14ac:dyDescent="0.25">
      <c r="A14652" t="str">
        <f>HYPERLINK("https://www.773grp.com/globalSearch/THS4011CDG4/page-1", "THS4011CDG4")</f>
        <v>THS4011CDG4</v>
      </c>
      <c r="B14652" s="3" t="str">
        <f>HYPERLINK("https://www.773grp.com/manufacturer/texas-instruments?pageNo=442", "Texas Instruments")</f>
        <v>Texas Instruments</v>
      </c>
      <c r="C14652" s="5">
        <v>75</v>
      </c>
      <c r="D14652" s="6">
        <v>6.71</v>
      </c>
      <c r="E14652" t="s">
        <v>11</v>
      </c>
    </row>
    <row r="14653" spans="1:5" x14ac:dyDescent="0.25">
      <c r="A14653" t="str">
        <f>HYPERLINK("https://www.773grp.com/globalSearch/TLC2652AC-14D/page-1", "TLC2652AC-14D")</f>
        <v>TLC2652AC-14D</v>
      </c>
      <c r="B14653" s="3" t="str">
        <f>HYPERLINK("https://www.773grp.com/manufacturer/texas-instruments?pageNo=444", "Texas Instruments")</f>
        <v>Texas Instruments</v>
      </c>
      <c r="C14653" s="5">
        <v>9350</v>
      </c>
      <c r="D14653" s="6">
        <v>6.71</v>
      </c>
      <c r="E14653" t="s">
        <v>11</v>
      </c>
    </row>
    <row r="14654" spans="1:5" x14ac:dyDescent="0.25">
      <c r="A14654" t="str">
        <f>HYPERLINK("https://www.773grp.com/globalSearch/OPA2132UA-2K5/page-1", "OPA2132UA-2K5")</f>
        <v>OPA2132UA-2K5</v>
      </c>
      <c r="B14654" s="3" t="str">
        <f>HYPERLINK("https://www.773grp.com/manufacturer/texas-instruments?pageNo=467", "Texas Instruments")</f>
        <v>Texas Instruments</v>
      </c>
      <c r="C14654" s="5">
        <v>153293</v>
      </c>
      <c r="D14654" s="6">
        <v>6.75</v>
      </c>
      <c r="E14654" t="s">
        <v>11</v>
      </c>
    </row>
    <row r="14655" spans="1:5" x14ac:dyDescent="0.25">
      <c r="A14655" t="str">
        <f>HYPERLINK("https://www.773grp.com/globalSearch/TLC2652C-14D/page-1", "TLC2652C-14D")</f>
        <v>TLC2652C-14D</v>
      </c>
      <c r="B14655" s="3" t="str">
        <f>HYPERLINK("https://www.773grp.com/manufacturer/texas-instruments?pageNo=509", "Texas Instruments")</f>
        <v>Texas Instruments</v>
      </c>
      <c r="C14655" s="5">
        <v>10450</v>
      </c>
      <c r="D14655" s="6">
        <v>6.75</v>
      </c>
      <c r="E14655" t="s">
        <v>11</v>
      </c>
    </row>
    <row r="14656" spans="1:5" x14ac:dyDescent="0.25">
      <c r="A14656" t="str">
        <f>HYPERLINK("https://www.773grp.com/globalSearch/TLC4502AID/page-1", "TLC4502AID")</f>
        <v>TLC4502AID</v>
      </c>
      <c r="B14656" s="3" t="str">
        <f>HYPERLINK("https://www.773grp.com/manufacturer/texas-instruments?pageNo=510", "Texas Instruments")</f>
        <v>Texas Instruments</v>
      </c>
      <c r="C14656" s="5">
        <v>4014</v>
      </c>
      <c r="D14656" s="6">
        <v>6.75</v>
      </c>
      <c r="E14656" t="s">
        <v>11</v>
      </c>
    </row>
    <row r="14657" spans="1:5" x14ac:dyDescent="0.25">
      <c r="A14657" t="str">
        <f>HYPERLINK("https://www.773grp.com/globalSearch/TLC4502AIDG4/page-1", "TLC4502AIDG4")</f>
        <v>TLC4502AIDG4</v>
      </c>
      <c r="B14657" s="3" t="str">
        <f>HYPERLINK("https://www.773grp.com/manufacturer/texas-instruments?pageNo=511", "Texas Instruments")</f>
        <v>Texas Instruments</v>
      </c>
      <c r="C14657" s="5">
        <v>29</v>
      </c>
      <c r="D14657" s="6">
        <v>6.75</v>
      </c>
      <c r="E14657" t="s">
        <v>11</v>
      </c>
    </row>
    <row r="14658" spans="1:5" x14ac:dyDescent="0.25">
      <c r="A14658" t="str">
        <f>HYPERLINK("https://www.773grp.com/globalSearch/TLC4502MD/page-1", "TLC4502MD")</f>
        <v>TLC4502MD</v>
      </c>
      <c r="B14658" s="3" t="str">
        <f>HYPERLINK("https://www.773grp.com/manufacturer/texas-instruments?pageNo=512", "Texas Instruments")</f>
        <v>Texas Instruments</v>
      </c>
      <c r="C14658" s="5">
        <v>2408</v>
      </c>
      <c r="D14658" s="6">
        <v>6.75</v>
      </c>
      <c r="E14658" t="s">
        <v>11</v>
      </c>
    </row>
    <row r="14659" spans="1:5" x14ac:dyDescent="0.25">
      <c r="A14659" t="str">
        <f>HYPERLINK("https://www.773grp.com/globalSearch/TLE2074IN/page-1", "TLE2074IN")</f>
        <v>TLE2074IN</v>
      </c>
      <c r="B14659" s="3" t="str">
        <f>HYPERLINK("https://www.773grp.com/manufacturer/texas-instruments?pageNo=515", "Texas Instruments")</f>
        <v>Texas Instruments</v>
      </c>
      <c r="C14659" s="5">
        <v>1729</v>
      </c>
      <c r="D14659" s="6">
        <v>6.75</v>
      </c>
      <c r="E14659" t="s">
        <v>11</v>
      </c>
    </row>
    <row r="14660" spans="1:5" x14ac:dyDescent="0.25">
      <c r="A14660" t="str">
        <f>HYPERLINK("https://www.773grp.com/globalSearch/TLV2462AMDREP/page-1", "TLV2462AMDREP")</f>
        <v>TLV2462AMDREP</v>
      </c>
      <c r="B14660" s="3" t="str">
        <f>HYPERLINK("https://www.773grp.com/manufacturer/texas-instruments?pageNo=518", "Texas Instruments")</f>
        <v>Texas Instruments</v>
      </c>
      <c r="C14660" s="5">
        <v>2825</v>
      </c>
      <c r="D14660" s="6">
        <v>6.75</v>
      </c>
      <c r="E14660" t="s">
        <v>11</v>
      </c>
    </row>
    <row r="14661" spans="1:5" x14ac:dyDescent="0.25">
      <c r="A14661" t="str">
        <f>HYPERLINK("https://www.773grp.com/globalSearch/THS4031ID/page-1", "THS4031ID")</f>
        <v>THS4031ID</v>
      </c>
      <c r="B14661" s="3" t="str">
        <f>HYPERLINK("https://www.773grp.com/manufacturer/texas-instruments?pageNo=619", "Texas Instruments")</f>
        <v>Texas Instruments</v>
      </c>
      <c r="C14661" s="5">
        <v>2231</v>
      </c>
      <c r="D14661" s="6">
        <v>6.86</v>
      </c>
      <c r="E14661" t="s">
        <v>11</v>
      </c>
    </row>
    <row r="14662" spans="1:5" x14ac:dyDescent="0.25">
      <c r="A14662" t="str">
        <f>HYPERLINK("https://www.773grp.com/globalSearch/THS4031IDG4/page-1", "THS4031IDG4")</f>
        <v>THS4031IDG4</v>
      </c>
      <c r="B14662" s="3" t="str">
        <f>HYPERLINK("https://www.773grp.com/manufacturer/texas-instruments?pageNo=620", "Texas Instruments")</f>
        <v>Texas Instruments</v>
      </c>
      <c r="C14662" s="5">
        <v>11</v>
      </c>
      <c r="D14662" s="6">
        <v>6.86</v>
      </c>
      <c r="E14662" t="s">
        <v>11</v>
      </c>
    </row>
    <row r="14663" spans="1:5" x14ac:dyDescent="0.25">
      <c r="A14663" t="str">
        <f>HYPERLINK("https://www.773grp.com/globalSearch/TLC2202CDR/page-1", "TLC2202CDR")</f>
        <v>TLC2202CDR</v>
      </c>
      <c r="B14663" s="3" t="str">
        <f>HYPERLINK("https://www.773grp.com/manufacturer/texas-instruments?pageNo=624", "Texas Instruments")</f>
        <v>Texas Instruments</v>
      </c>
      <c r="C14663" s="5">
        <v>9840</v>
      </c>
      <c r="D14663" s="6">
        <v>6.86</v>
      </c>
      <c r="E14663" t="s">
        <v>11</v>
      </c>
    </row>
    <row r="14664" spans="1:5" x14ac:dyDescent="0.25">
      <c r="A14664" t="str">
        <f>HYPERLINK("https://www.773grp.com/globalSearch/OPA2703EA-250/page-1", "OPA2703EA-250")</f>
        <v>OPA2703EA-250</v>
      </c>
      <c r="B14664" s="3" t="str">
        <f>HYPERLINK("https://www.773grp.com/manufacturer/texas-instruments?pageNo=659", "Texas Instruments")</f>
        <v>Texas Instruments</v>
      </c>
      <c r="C14664" s="5">
        <v>250</v>
      </c>
      <c r="D14664" s="6">
        <v>6.89</v>
      </c>
      <c r="E14664" t="s">
        <v>11</v>
      </c>
    </row>
    <row r="14665" spans="1:5" x14ac:dyDescent="0.25">
      <c r="A14665" t="str">
        <f>HYPERLINK("https://www.773grp.com/globalSearch/OPA2704EA-250/page-1", "OPA2704EA-250")</f>
        <v>OPA2704EA-250</v>
      </c>
      <c r="B14665" s="3" t="str">
        <f>HYPERLINK("https://www.773grp.com/manufacturer/texas-instruments?pageNo=660", "Texas Instruments")</f>
        <v>Texas Instruments</v>
      </c>
      <c r="C14665" s="5">
        <v>9340</v>
      </c>
      <c r="D14665" s="6">
        <v>6.89</v>
      </c>
      <c r="E14665" t="s">
        <v>11</v>
      </c>
    </row>
    <row r="14666" spans="1:5" x14ac:dyDescent="0.25">
      <c r="A14666" t="str">
        <f>HYPERLINK("https://www.773grp.com/globalSearch/OPA2704PA/page-1", "OPA2704PA")</f>
        <v>OPA2704PA</v>
      </c>
      <c r="B14666" s="3" t="str">
        <f>HYPERLINK("https://www.773grp.com/manufacturer/texas-instruments?pageNo=661", "Texas Instruments")</f>
        <v>Texas Instruments</v>
      </c>
      <c r="C14666" s="5">
        <v>5650</v>
      </c>
      <c r="D14666" s="6">
        <v>6.89</v>
      </c>
      <c r="E14666" t="s">
        <v>11</v>
      </c>
    </row>
    <row r="14667" spans="1:5" x14ac:dyDescent="0.25">
      <c r="A14667" t="str">
        <f>HYPERLINK("https://www.773grp.com/globalSearch/OPA2704PA/page-1", "OPA2704PA")</f>
        <v>OPA2704PA</v>
      </c>
      <c r="B14667" s="3" t="str">
        <f>HYPERLINK("https://www.773grp.com/manufacturer/texas-instruments?pageNo=662", "Texas Instruments")</f>
        <v>Texas Instruments</v>
      </c>
      <c r="C14667" s="5">
        <v>4528</v>
      </c>
      <c r="D14667" s="6">
        <v>6.89</v>
      </c>
      <c r="E14667" t="s">
        <v>11</v>
      </c>
    </row>
    <row r="14668" spans="1:5" x14ac:dyDescent="0.25">
      <c r="A14668" t="str">
        <f>HYPERLINK("https://www.773grp.com/globalSearch/OPA336MDBVREP/page-1", "OPA336MDBVREP")</f>
        <v>OPA336MDBVREP</v>
      </c>
      <c r="B14668" s="3" t="str">
        <f>HYPERLINK("https://www.773grp.com/manufacturer/texas-instruments?pageNo=663", "Texas Instruments")</f>
        <v>Texas Instruments</v>
      </c>
      <c r="C14668" s="5">
        <v>3335</v>
      </c>
      <c r="D14668" s="6">
        <v>6.89</v>
      </c>
      <c r="E14668" t="s">
        <v>11</v>
      </c>
    </row>
    <row r="14669" spans="1:5" x14ac:dyDescent="0.25">
      <c r="A14669" t="str">
        <f>HYPERLINK("https://www.773grp.com/globalSearch/TL33074DW/page-1", "TL33074DW")</f>
        <v>TL33074DW</v>
      </c>
      <c r="B14669" s="3" t="str">
        <f>HYPERLINK("https://www.773grp.com/manufacturer/texas-instruments?pageNo=672", "Texas Instruments")</f>
        <v>Texas Instruments</v>
      </c>
      <c r="C14669" s="5">
        <v>557</v>
      </c>
      <c r="D14669" s="6">
        <v>6.89</v>
      </c>
      <c r="E14669" t="s">
        <v>11</v>
      </c>
    </row>
    <row r="14670" spans="1:5" x14ac:dyDescent="0.25">
      <c r="A14670" t="str">
        <f>HYPERLINK("https://www.773grp.com/globalSearch/TLC2654AIP/page-1", "TLC2654AIP")</f>
        <v>TLC2654AIP</v>
      </c>
      <c r="B14670" s="3" t="str">
        <f>HYPERLINK("https://www.773grp.com/manufacturer/texas-instruments?pageNo=700", "Texas Instruments")</f>
        <v>Texas Instruments</v>
      </c>
      <c r="C14670" s="5">
        <v>10900</v>
      </c>
      <c r="D14670" s="6">
        <v>6.93</v>
      </c>
      <c r="E14670" t="s">
        <v>11</v>
      </c>
    </row>
    <row r="14671" spans="1:5" x14ac:dyDescent="0.25">
      <c r="A14671" t="str">
        <f>HYPERLINK("https://www.773grp.com/globalSearch/TLC254CN/page-1", "TLC254CN")</f>
        <v>TLC254CN</v>
      </c>
      <c r="B14671" s="3" t="str">
        <f>HYPERLINK("https://www.773grp.com/manufacturer/texas-instruments?pageNo=719", "Texas Instruments")</f>
        <v>Texas Instruments</v>
      </c>
      <c r="C14671" s="5">
        <v>13575</v>
      </c>
      <c r="D14671" s="6">
        <v>6.95</v>
      </c>
      <c r="E14671" t="s">
        <v>11</v>
      </c>
    </row>
    <row r="14672" spans="1:5" x14ac:dyDescent="0.25">
      <c r="A14672" t="str">
        <f>HYPERLINK("https://www.773grp.com/globalSearch/TLC25L4CN/page-1", "TLC25L4CN")</f>
        <v>TLC25L4CN</v>
      </c>
      <c r="B14672" s="3" t="str">
        <f>HYPERLINK("https://www.773grp.com/manufacturer/texas-instruments?pageNo=720", "Texas Instruments")</f>
        <v>Texas Instruments</v>
      </c>
      <c r="C14672" s="5">
        <v>23194</v>
      </c>
      <c r="D14672" s="6">
        <v>6.95</v>
      </c>
      <c r="E14672" t="s">
        <v>11</v>
      </c>
    </row>
    <row r="14673" spans="1:5" x14ac:dyDescent="0.25">
      <c r="A14673" t="str">
        <f>HYPERLINK("https://www.773grp.com/globalSearch/TLC25M4CN/page-1", "TLC25M4CN")</f>
        <v>TLC25M4CN</v>
      </c>
      <c r="B14673" s="3" t="str">
        <f>HYPERLINK("https://www.773grp.com/manufacturer/texas-instruments?pageNo=721", "Texas Instruments")</f>
        <v>Texas Instruments</v>
      </c>
      <c r="C14673" s="5">
        <v>18138</v>
      </c>
      <c r="D14673" s="6">
        <v>6.95</v>
      </c>
      <c r="E14673" t="s">
        <v>11</v>
      </c>
    </row>
    <row r="14674" spans="1:5" x14ac:dyDescent="0.25">
      <c r="A14674" t="str">
        <f>HYPERLINK("https://www.773grp.com/globalSearch/THS4011ID/page-1", "THS4011ID")</f>
        <v>THS4011ID</v>
      </c>
      <c r="B14674" s="3" t="str">
        <f>HYPERLINK("https://www.773grp.com/manufacturer/texas-instruments?pageNo=741", "Texas Instruments")</f>
        <v>Texas Instruments</v>
      </c>
      <c r="C14674" s="5">
        <v>33869</v>
      </c>
      <c r="D14674" s="6">
        <v>7</v>
      </c>
      <c r="E14674" t="s">
        <v>11</v>
      </c>
    </row>
    <row r="14675" spans="1:5" x14ac:dyDescent="0.25">
      <c r="A14675" t="str">
        <f>HYPERLINK("https://www.773grp.com/globalSearch/INA148UAG4/page-1", "INA148UAG4")</f>
        <v>INA148UAG4</v>
      </c>
      <c r="B14675" s="3" t="str">
        <f>HYPERLINK("https://www.773grp.com/manufacturer/texas-instruments?pageNo=776", "Texas Instruments")</f>
        <v>Texas Instruments</v>
      </c>
      <c r="C14675" s="5">
        <v>13</v>
      </c>
      <c r="D14675" s="6">
        <v>7.04</v>
      </c>
      <c r="E14675" t="s">
        <v>11</v>
      </c>
    </row>
    <row r="14676" spans="1:5" x14ac:dyDescent="0.25">
      <c r="A14676" t="str">
        <f>HYPERLINK("https://www.773grp.com/globalSearch/OPA4353EA-2K5/page-1", "OPA4353EA-2K5")</f>
        <v>OPA4353EA-2K5</v>
      </c>
      <c r="B14676" s="3" t="str">
        <f>HYPERLINK("https://www.773grp.com/manufacturer/texas-instruments?pageNo=794", "Texas Instruments")</f>
        <v>Texas Instruments</v>
      </c>
      <c r="C14676" s="5">
        <v>17167</v>
      </c>
      <c r="D14676" s="6">
        <v>7.04</v>
      </c>
      <c r="E14676" t="s">
        <v>11</v>
      </c>
    </row>
    <row r="14677" spans="1:5" x14ac:dyDescent="0.25">
      <c r="A14677" t="str">
        <f>HYPERLINK("https://www.773grp.com/globalSearch/OPA4353UA-2K5/page-1", "OPA4353UA-2K5")</f>
        <v>OPA4353UA-2K5</v>
      </c>
      <c r="B14677" s="3" t="str">
        <f>HYPERLINK("https://www.773grp.com/manufacturer/texas-instruments?pageNo=795", "Texas Instruments")</f>
        <v>Texas Instruments</v>
      </c>
      <c r="C14677" s="5">
        <v>41700</v>
      </c>
      <c r="D14677" s="6">
        <v>7.04</v>
      </c>
      <c r="E14677" t="s">
        <v>11</v>
      </c>
    </row>
    <row r="14678" spans="1:5" x14ac:dyDescent="0.25">
      <c r="A14678" t="str">
        <f>HYPERLINK("https://www.773grp.com/globalSearch/TL081CJG/page-1", "TL081CJG")</f>
        <v>TL081CJG</v>
      </c>
      <c r="B14678" s="3" t="str">
        <f>HYPERLINK("https://www.773grp.com/manufacturer/texas-instruments?pageNo=849", "Texas Instruments")</f>
        <v>Texas Instruments</v>
      </c>
      <c r="C14678" s="5">
        <v>82</v>
      </c>
      <c r="D14678" s="6">
        <v>7.04</v>
      </c>
      <c r="E14678" t="s">
        <v>11</v>
      </c>
    </row>
    <row r="14679" spans="1:5" x14ac:dyDescent="0.25">
      <c r="A14679" t="str">
        <f>HYPERLINK("https://www.773grp.com/globalSearch/TLC2652AI-14D/page-1", "TLC2652AI-14D")</f>
        <v>TLC2652AI-14D</v>
      </c>
      <c r="B14679" s="3" t="str">
        <f>HYPERLINK("https://www.773grp.com/manufacturer/texas-instruments?pageNo=852", "Texas Instruments")</f>
        <v>Texas Instruments</v>
      </c>
      <c r="C14679" s="5">
        <v>620</v>
      </c>
      <c r="D14679" s="6">
        <v>7.04</v>
      </c>
      <c r="E14679" t="s">
        <v>11</v>
      </c>
    </row>
    <row r="14680" spans="1:5" x14ac:dyDescent="0.25">
      <c r="A14680" t="str">
        <f>HYPERLINK("https://www.773grp.com/globalSearch/TLC4502AMD/page-1", "TLC4502AMD")</f>
        <v>TLC4502AMD</v>
      </c>
      <c r="B14680" s="3" t="str">
        <f>HYPERLINK("https://www.773grp.com/manufacturer/texas-instruments?pageNo=854", "Texas Instruments")</f>
        <v>Texas Instruments</v>
      </c>
      <c r="C14680" s="5">
        <v>6436</v>
      </c>
      <c r="D14680" s="6">
        <v>7.04</v>
      </c>
      <c r="E14680" t="s">
        <v>11</v>
      </c>
    </row>
    <row r="14681" spans="1:5" x14ac:dyDescent="0.25">
      <c r="A14681" t="str">
        <f>HYPERLINK("https://www.773grp.com/globalSearch/OPA277P/page-1", "OPA277P")</f>
        <v>OPA277P</v>
      </c>
      <c r="B14681" s="3" t="str">
        <f>HYPERLINK("https://www.773grp.com/manufacturer/texas-instruments?pageNo=923", "Texas Instruments")</f>
        <v>Texas Instruments</v>
      </c>
      <c r="C14681" s="5">
        <v>9300</v>
      </c>
      <c r="D14681" s="6">
        <v>7.09</v>
      </c>
      <c r="E14681" t="s">
        <v>11</v>
      </c>
    </row>
    <row r="14682" spans="1:5" x14ac:dyDescent="0.25">
      <c r="A14682" t="str">
        <f>HYPERLINK("https://www.773grp.com/globalSearch/OPA699ID/page-1", "OPA699ID")</f>
        <v>OPA699ID</v>
      </c>
      <c r="B14682" s="3" t="str">
        <f>HYPERLINK("https://www.773grp.com/manufacturer/texas-instruments?pageNo=954", "Texas Instruments")</f>
        <v>Texas Instruments</v>
      </c>
      <c r="C14682" s="5">
        <v>20300</v>
      </c>
      <c r="D14682" s="6">
        <v>7.14</v>
      </c>
      <c r="E14682" t="s">
        <v>11</v>
      </c>
    </row>
    <row r="14683" spans="1:5" x14ac:dyDescent="0.25">
      <c r="A14683" t="str">
        <f>HYPERLINK("https://www.773grp.com/globalSearch/THS4031CDGN/page-1", "THS4031CDGN")</f>
        <v>THS4031CDGN</v>
      </c>
      <c r="B14683" s="3" t="str">
        <f>HYPERLINK("https://www.773grp.com/manufacturer/texas-instruments?pageNo=959", "Texas Instruments")</f>
        <v>Texas Instruments</v>
      </c>
      <c r="C14683" s="5">
        <v>20198</v>
      </c>
      <c r="D14683" s="6">
        <v>7.14</v>
      </c>
      <c r="E14683" t="s">
        <v>11</v>
      </c>
    </row>
    <row r="14684" spans="1:5" x14ac:dyDescent="0.25">
      <c r="A14684" t="str">
        <f>HYPERLINK("https://www.773grp.com/globalSearch/OPA228P/page-1", "OPA228P")</f>
        <v>OPA228P</v>
      </c>
      <c r="B14684" s="3" t="str">
        <f>HYPERLINK("https://www.773grp.com/manufacturer/texas-instruments?pageNo=980", "Texas Instruments")</f>
        <v>Texas Instruments</v>
      </c>
      <c r="C14684" s="5">
        <v>15308</v>
      </c>
      <c r="D14684" s="6">
        <v>7.18</v>
      </c>
      <c r="E14684" t="s">
        <v>11</v>
      </c>
    </row>
    <row r="14685" spans="1:5" x14ac:dyDescent="0.25">
      <c r="A14685" t="str">
        <f>HYPERLINK("https://www.773grp.com/globalSearch/OPA228P/page-1", "OPA228P")</f>
        <v>OPA228P</v>
      </c>
      <c r="B14685" s="3" t="str">
        <f>HYPERLINK("https://www.773grp.com/manufacturer/texas-instruments?pageNo=981", "Texas Instruments")</f>
        <v>Texas Instruments</v>
      </c>
      <c r="C14685" s="5">
        <v>544</v>
      </c>
      <c r="D14685" s="6">
        <v>7.18</v>
      </c>
      <c r="E14685" t="s">
        <v>11</v>
      </c>
    </row>
    <row r="14686" spans="1:5" x14ac:dyDescent="0.25">
      <c r="A14686" t="str">
        <f>HYPERLINK("https://www.773grp.com/globalSearch/THS4041IDGN/page-1", "THS4041IDGN")</f>
        <v>THS4041IDGN</v>
      </c>
      <c r="B14686" s="3" t="s">
        <v>90</v>
      </c>
      <c r="C14686" s="5">
        <v>7600</v>
      </c>
      <c r="D14686" s="6">
        <v>7.18</v>
      </c>
      <c r="E14686" t="s">
        <v>11</v>
      </c>
    </row>
    <row r="14687" spans="1:5" x14ac:dyDescent="0.25">
      <c r="A14687" t="str">
        <f>HYPERLINK("https://www.773grp.com/globalSearch/TLV2772AMDREP/page-1", "TLV2772AMDREP")</f>
        <v>TLV2772AMDREP</v>
      </c>
      <c r="B14687" s="3" t="s">
        <v>90</v>
      </c>
      <c r="C14687" s="5">
        <v>4445</v>
      </c>
      <c r="D14687" s="6">
        <v>7.18</v>
      </c>
      <c r="E14687" t="s">
        <v>11</v>
      </c>
    </row>
    <row r="14688" spans="1:5" x14ac:dyDescent="0.25">
      <c r="A14688" t="str">
        <f>HYPERLINK("https://www.773grp.com/globalSearch/OPA2691I-14D/page-1", "OPA2691I-14D")</f>
        <v>OPA2691I-14D</v>
      </c>
      <c r="B14688" s="3" t="s">
        <v>90</v>
      </c>
      <c r="C14688" s="5">
        <v>8997</v>
      </c>
      <c r="D14688" s="6">
        <v>7.23</v>
      </c>
      <c r="E14688" t="s">
        <v>11</v>
      </c>
    </row>
    <row r="14689" spans="1:5" x14ac:dyDescent="0.25">
      <c r="A14689" t="str">
        <f>HYPERLINK("https://www.773grp.com/globalSearch/OPA2691ID/page-1", "OPA2691ID")</f>
        <v>OPA2691ID</v>
      </c>
      <c r="B14689" s="3" t="s">
        <v>90</v>
      </c>
      <c r="C14689" s="5">
        <v>1423</v>
      </c>
      <c r="D14689" s="6">
        <v>7.23</v>
      </c>
      <c r="E14689" t="s">
        <v>11</v>
      </c>
    </row>
    <row r="14690" spans="1:5" x14ac:dyDescent="0.25">
      <c r="A14690" t="str">
        <f>HYPERLINK("https://www.773grp.com/globalSearch/OPA847ID/page-1", "OPA847ID")</f>
        <v>OPA847ID</v>
      </c>
      <c r="B14690" s="3" t="s">
        <v>90</v>
      </c>
      <c r="C14690" s="5">
        <v>17</v>
      </c>
      <c r="D14690" s="6">
        <v>7.26</v>
      </c>
      <c r="E14690" t="s">
        <v>11</v>
      </c>
    </row>
    <row r="14691" spans="1:5" x14ac:dyDescent="0.25">
      <c r="A14691" t="str">
        <f>HYPERLINK("https://www.773grp.com/globalSearch/TLC254ACN/page-1", "TLC254ACN")</f>
        <v>TLC254ACN</v>
      </c>
      <c r="B14691" s="3" t="s">
        <v>90</v>
      </c>
      <c r="C14691" s="5">
        <v>5575</v>
      </c>
      <c r="D14691" s="6">
        <v>7.26</v>
      </c>
      <c r="E14691" t="s">
        <v>11</v>
      </c>
    </row>
    <row r="14692" spans="1:5" x14ac:dyDescent="0.25">
      <c r="A14692" t="str">
        <f>HYPERLINK("https://www.773grp.com/globalSearch/TLC25L4ACN/page-1", "TLC25L4ACN")</f>
        <v>TLC25L4ACN</v>
      </c>
      <c r="B14692" s="3" t="s">
        <v>90</v>
      </c>
      <c r="C14692" s="5">
        <v>9364</v>
      </c>
      <c r="D14692" s="6">
        <v>7.26</v>
      </c>
      <c r="E14692" t="s">
        <v>11</v>
      </c>
    </row>
    <row r="14693" spans="1:5" x14ac:dyDescent="0.25">
      <c r="A14693" t="str">
        <f>HYPERLINK("https://www.773grp.com/globalSearch/OPA651UB/page-1", "OPA651UB")</f>
        <v>OPA651UB</v>
      </c>
      <c r="B14693" s="3" t="s">
        <v>90</v>
      </c>
      <c r="C14693" s="5">
        <v>260</v>
      </c>
      <c r="D14693" s="6">
        <v>7.29</v>
      </c>
      <c r="E14693" t="s">
        <v>11</v>
      </c>
    </row>
    <row r="14694" spans="1:5" x14ac:dyDescent="0.25">
      <c r="A14694" t="str">
        <f>HYPERLINK("https://www.773grp.com/globalSearch/THS4011CDGN/page-1", "THS4011CDGN")</f>
        <v>THS4011CDGN</v>
      </c>
      <c r="B14694" s="3" t="s">
        <v>90</v>
      </c>
      <c r="C14694" s="5">
        <v>240</v>
      </c>
      <c r="D14694" s="6">
        <v>7.29</v>
      </c>
      <c r="E14694" t="s">
        <v>11</v>
      </c>
    </row>
    <row r="14695" spans="1:5" x14ac:dyDescent="0.25">
      <c r="A14695" t="str">
        <f>HYPERLINK("https://www.773grp.com/globalSearch/ICL7652P/page-1", "ICL7652P")</f>
        <v>ICL7652P</v>
      </c>
      <c r="B14695" s="3" t="s">
        <v>90</v>
      </c>
      <c r="C14695" s="5">
        <v>4650</v>
      </c>
      <c r="D14695" s="6">
        <v>7.31</v>
      </c>
      <c r="E14695" t="s">
        <v>11</v>
      </c>
    </row>
    <row r="14696" spans="1:5" x14ac:dyDescent="0.25">
      <c r="A14696" t="str">
        <f>HYPERLINK("https://www.773grp.com/globalSearch/ICL7652PE4/page-1", "ICL7652PE4")</f>
        <v>ICL7652PE4</v>
      </c>
      <c r="B14696" s="3" t="s">
        <v>90</v>
      </c>
      <c r="C14696" s="5">
        <v>50</v>
      </c>
      <c r="D14696" s="6">
        <v>7.31</v>
      </c>
      <c r="E14696" t="s">
        <v>11</v>
      </c>
    </row>
    <row r="14697" spans="1:5" x14ac:dyDescent="0.25">
      <c r="A14697" t="str">
        <f>HYPERLINK("https://www.773grp.com/globalSearch/OPA228U/page-1", "OPA228U")</f>
        <v>OPA228U</v>
      </c>
      <c r="B14697" s="3" t="s">
        <v>90</v>
      </c>
      <c r="C14697" s="5">
        <v>14486</v>
      </c>
      <c r="D14697" s="6">
        <v>7.31</v>
      </c>
      <c r="E14697" t="s">
        <v>11</v>
      </c>
    </row>
    <row r="14698" spans="1:5" x14ac:dyDescent="0.25">
      <c r="A14698" t="str">
        <f>HYPERLINK("https://www.773grp.com/globalSearch/TLC254BCNE4/page-1", "TLC254BCNE4")</f>
        <v>TLC254BCNE4</v>
      </c>
      <c r="B14698" s="3" t="s">
        <v>90</v>
      </c>
      <c r="C14698" s="5">
        <v>148</v>
      </c>
      <c r="D14698" s="6">
        <v>7.31</v>
      </c>
      <c r="E14698" t="s">
        <v>11</v>
      </c>
    </row>
    <row r="14699" spans="1:5" x14ac:dyDescent="0.25">
      <c r="A14699" t="str">
        <f>HYPERLINK("https://www.773grp.com/globalSearch/TLC25M4BCN/page-1", "TLC25M4BCN")</f>
        <v>TLC25M4BCN</v>
      </c>
      <c r="B14699" s="3" t="s">
        <v>90</v>
      </c>
      <c r="C14699" s="5">
        <v>17007</v>
      </c>
      <c r="D14699" s="6">
        <v>7.31</v>
      </c>
      <c r="E14699" t="s">
        <v>11</v>
      </c>
    </row>
    <row r="14700" spans="1:5" x14ac:dyDescent="0.25">
      <c r="A14700" t="str">
        <f>HYPERLINK("https://www.773grp.com/globalSearch/TLC2652CN/page-1", "TLC2652CN")</f>
        <v>TLC2652CN</v>
      </c>
      <c r="B14700" s="3" t="s">
        <v>90</v>
      </c>
      <c r="C14700" s="5">
        <v>802</v>
      </c>
      <c r="D14700" s="6">
        <v>7.31</v>
      </c>
      <c r="E14700" t="s">
        <v>11</v>
      </c>
    </row>
    <row r="14701" spans="1:5" x14ac:dyDescent="0.25">
      <c r="A14701" t="str">
        <f>HYPERLINK("https://www.773grp.com/globalSearch/TLC2652CP/page-1", "TLC2652CP")</f>
        <v>TLC2652CP</v>
      </c>
      <c r="B14701" s="3" t="s">
        <v>90</v>
      </c>
      <c r="C14701" s="5">
        <v>1106</v>
      </c>
      <c r="D14701" s="6">
        <v>7.31</v>
      </c>
      <c r="E14701" t="s">
        <v>11</v>
      </c>
    </row>
    <row r="14702" spans="1:5" x14ac:dyDescent="0.25">
      <c r="A14702" t="str">
        <f>HYPERLINK("https://www.773grp.com/globalSearch/TLC2652Q-8D/page-1", "TLC2652Q-8D")</f>
        <v>TLC2652Q-8D</v>
      </c>
      <c r="B14702" s="3" t="s">
        <v>90</v>
      </c>
      <c r="C14702" s="5">
        <v>3602</v>
      </c>
      <c r="D14702" s="6">
        <v>7.31</v>
      </c>
      <c r="E14702" t="s">
        <v>11</v>
      </c>
    </row>
    <row r="14703" spans="1:5" x14ac:dyDescent="0.25">
      <c r="A14703" t="str">
        <f>HYPERLINK("https://www.773grp.com/globalSearch/TLC2652Q-8DG4/page-1", "TLC2652Q-8DG4")</f>
        <v>TLC2652Q-8DG4</v>
      </c>
      <c r="B14703" s="3" t="s">
        <v>90</v>
      </c>
      <c r="C14703" s="5">
        <v>9225</v>
      </c>
      <c r="D14703" s="6">
        <v>7.31</v>
      </c>
      <c r="E14703" t="s">
        <v>11</v>
      </c>
    </row>
    <row r="14704" spans="1:5" x14ac:dyDescent="0.25">
      <c r="A14704" t="str">
        <f>HYPERLINK("https://www.773grp.com/globalSearch/TLE2064ACN/page-1", "TLE2064ACN")</f>
        <v>TLE2064ACN</v>
      </c>
      <c r="B14704" s="3" t="s">
        <v>90</v>
      </c>
      <c r="C14704" s="5">
        <v>19916</v>
      </c>
      <c r="D14704" s="6">
        <v>7.31</v>
      </c>
      <c r="E14704" t="s">
        <v>11</v>
      </c>
    </row>
    <row r="14705" spans="1:5" x14ac:dyDescent="0.25">
      <c r="A14705" t="str">
        <f>HYPERLINK("https://www.773grp.com/globalSearch/TLE2024BCN/page-1", "TLE2024BCN")</f>
        <v>TLE2024BCN</v>
      </c>
      <c r="B14705" s="3" t="s">
        <v>90</v>
      </c>
      <c r="C14705" s="5">
        <v>1140</v>
      </c>
      <c r="D14705" s="6">
        <v>7.34</v>
      </c>
      <c r="E14705" t="s">
        <v>11</v>
      </c>
    </row>
    <row r="14706" spans="1:5" x14ac:dyDescent="0.25">
      <c r="A14706" t="str">
        <f>HYPERLINK("https://www.773grp.com/globalSearch/THS4120CD/page-1", "THS4120CD")</f>
        <v>THS4120CD</v>
      </c>
      <c r="B14706" s="3" t="s">
        <v>90</v>
      </c>
      <c r="C14706" s="5">
        <v>12545</v>
      </c>
      <c r="D14706" s="6">
        <v>7.43</v>
      </c>
      <c r="E14706" t="s">
        <v>11</v>
      </c>
    </row>
    <row r="14707" spans="1:5" x14ac:dyDescent="0.25">
      <c r="A14707" t="str">
        <f>HYPERLINK("https://www.773grp.com/globalSearch/THS4120CDGN/page-1", "THS4120CDGN")</f>
        <v>THS4120CDGN</v>
      </c>
      <c r="B14707" s="3" t="s">
        <v>90</v>
      </c>
      <c r="C14707" s="5">
        <v>43120</v>
      </c>
      <c r="D14707" s="6">
        <v>7.43</v>
      </c>
      <c r="E14707" t="s">
        <v>11</v>
      </c>
    </row>
    <row r="14708" spans="1:5" x14ac:dyDescent="0.25">
      <c r="A14708" t="str">
        <f>HYPERLINK("https://www.773grp.com/globalSearch/THS4121CD/page-1", "THS4121CD")</f>
        <v>THS4121CD</v>
      </c>
      <c r="B14708" s="3" t="s">
        <v>90</v>
      </c>
      <c r="C14708" s="5">
        <v>29595</v>
      </c>
      <c r="D14708" s="6">
        <v>7.43</v>
      </c>
      <c r="E14708" t="s">
        <v>11</v>
      </c>
    </row>
    <row r="14709" spans="1:5" x14ac:dyDescent="0.25">
      <c r="A14709" t="str">
        <f>HYPERLINK("https://www.773grp.com/globalSearch/THS4121CDGK/page-1", "THS4121CDGK")</f>
        <v>THS4121CDGK</v>
      </c>
      <c r="B14709" s="3" t="s">
        <v>90</v>
      </c>
      <c r="C14709" s="5">
        <v>30023</v>
      </c>
      <c r="D14709" s="6">
        <v>7.43</v>
      </c>
      <c r="E14709" t="s">
        <v>11</v>
      </c>
    </row>
    <row r="14710" spans="1:5" x14ac:dyDescent="0.25">
      <c r="A14710" t="str">
        <f>HYPERLINK("https://www.773grp.com/globalSearch/THS4121CDGN/page-1", "THS4121CDGN")</f>
        <v>THS4121CDGN</v>
      </c>
      <c r="B14710" s="3" t="s">
        <v>90</v>
      </c>
      <c r="C14710" s="5">
        <v>27484</v>
      </c>
      <c r="D14710" s="6">
        <v>7.43</v>
      </c>
      <c r="E14710" t="s">
        <v>11</v>
      </c>
    </row>
    <row r="14711" spans="1:5" x14ac:dyDescent="0.25">
      <c r="A14711" t="str">
        <f>HYPERLINK("https://www.773grp.com/globalSearch/OPA4340EA-2K5/page-1", "OPA4340EA-2K5")</f>
        <v>OPA4340EA-2K5</v>
      </c>
      <c r="B14711" s="3" t="s">
        <v>90</v>
      </c>
      <c r="C14711" s="5">
        <v>7000</v>
      </c>
      <c r="D14711" s="6">
        <v>7.46</v>
      </c>
      <c r="E14711" t="s">
        <v>11</v>
      </c>
    </row>
    <row r="14712" spans="1:5" x14ac:dyDescent="0.25">
      <c r="A14712" t="str">
        <f>HYPERLINK("https://www.773grp.com/globalSearch/OPA552FA-500/page-1", "OPA552FA-500")</f>
        <v>OPA552FA-500</v>
      </c>
      <c r="B14712" s="3" t="s">
        <v>90</v>
      </c>
      <c r="C14712" s="5">
        <v>4000</v>
      </c>
      <c r="D14712" s="6">
        <v>7.46</v>
      </c>
      <c r="E14712" t="s">
        <v>11</v>
      </c>
    </row>
    <row r="14713" spans="1:5" x14ac:dyDescent="0.25">
      <c r="A14713" t="str">
        <f>HYPERLINK("https://www.773grp.com/globalSearch/THS4031IDGN/page-1", "THS4031IDGN")</f>
        <v>THS4031IDGN</v>
      </c>
      <c r="B14713" s="3" t="s">
        <v>90</v>
      </c>
      <c r="C14713" s="5">
        <v>1883</v>
      </c>
      <c r="D14713" s="6">
        <v>7.46</v>
      </c>
      <c r="E14713" t="s">
        <v>11</v>
      </c>
    </row>
    <row r="14714" spans="1:5" x14ac:dyDescent="0.25">
      <c r="A14714" t="str">
        <f>HYPERLINK("https://www.773grp.com/globalSearch/THS4041CD/page-1", "THS4041CD")</f>
        <v>THS4041CD</v>
      </c>
      <c r="B14714" s="3" t="s">
        <v>90</v>
      </c>
      <c r="C14714" s="5">
        <v>166100</v>
      </c>
      <c r="D14714" s="6">
        <v>7.54</v>
      </c>
      <c r="E14714" t="s">
        <v>11</v>
      </c>
    </row>
    <row r="14715" spans="1:5" x14ac:dyDescent="0.25">
      <c r="A14715" t="str">
        <f>HYPERLINK("https://www.773grp.com/globalSearch/TLC254BCN/page-1", "TLC254BCN")</f>
        <v>TLC254BCN</v>
      </c>
      <c r="B14715" s="3" t="s">
        <v>90</v>
      </c>
      <c r="C14715" s="5">
        <v>10820</v>
      </c>
      <c r="D14715" s="6">
        <v>7.54</v>
      </c>
      <c r="E14715" t="s">
        <v>11</v>
      </c>
    </row>
    <row r="14716" spans="1:5" x14ac:dyDescent="0.25">
      <c r="A14716" t="str">
        <f>HYPERLINK("https://www.773grp.com/globalSearch/TLC25L4BCN/page-1", "TLC25L4BCN")</f>
        <v>TLC25L4BCN</v>
      </c>
      <c r="B14716" s="3" t="s">
        <v>90</v>
      </c>
      <c r="C14716" s="5">
        <v>13175</v>
      </c>
      <c r="D14716" s="6">
        <v>7.54</v>
      </c>
      <c r="E14716" t="s">
        <v>11</v>
      </c>
    </row>
    <row r="14717" spans="1:5" x14ac:dyDescent="0.25">
      <c r="A14717" t="str">
        <f>HYPERLINK("https://www.773grp.com/globalSearch/THS4011IDGN/page-1", "THS4011IDGN")</f>
        <v>THS4011IDGN</v>
      </c>
      <c r="B14717" s="3" t="s">
        <v>90</v>
      </c>
      <c r="C14717" s="5">
        <v>15062</v>
      </c>
      <c r="D14717" s="6">
        <v>7.56</v>
      </c>
      <c r="E14717" t="s">
        <v>11</v>
      </c>
    </row>
    <row r="14718" spans="1:5" x14ac:dyDescent="0.25">
      <c r="A14718" t="str">
        <f>HYPERLINK("https://www.773grp.com/globalSearch/OPA1013CN8/page-1", "OPA1013CN8")</f>
        <v>OPA1013CN8</v>
      </c>
      <c r="B14718" s="3" t="s">
        <v>90</v>
      </c>
      <c r="C14718" s="5">
        <v>100</v>
      </c>
      <c r="D14718" s="6">
        <v>7.6</v>
      </c>
      <c r="E14718" t="s">
        <v>11</v>
      </c>
    </row>
    <row r="14719" spans="1:5" x14ac:dyDescent="0.25">
      <c r="A14719" t="str">
        <f>HYPERLINK("https://www.773grp.com/globalSearch/OPA2234U/page-1", "OPA2234U")</f>
        <v>OPA2234U</v>
      </c>
      <c r="B14719" s="3" t="s">
        <v>90</v>
      </c>
      <c r="C14719" s="5">
        <v>673</v>
      </c>
      <c r="D14719" s="6">
        <v>7.6</v>
      </c>
      <c r="E14719" t="s">
        <v>11</v>
      </c>
    </row>
    <row r="14720" spans="1:5" x14ac:dyDescent="0.25">
      <c r="A14720" t="str">
        <f>HYPERLINK("https://www.773grp.com/globalSearch/TLC2652ACN/page-1", "TLC2652ACN")</f>
        <v>TLC2652ACN</v>
      </c>
      <c r="B14720" s="3" t="s">
        <v>90</v>
      </c>
      <c r="C14720" s="5">
        <v>6187</v>
      </c>
      <c r="D14720" s="6">
        <v>7.63</v>
      </c>
      <c r="E14720" t="s">
        <v>11</v>
      </c>
    </row>
    <row r="14721" spans="1:5" x14ac:dyDescent="0.25">
      <c r="A14721" t="str">
        <f>HYPERLINK("https://www.773grp.com/globalSearch/TLC2652ACP/page-1", "TLC2652ACP")</f>
        <v>TLC2652ACP</v>
      </c>
      <c r="B14721" s="3" t="s">
        <v>90</v>
      </c>
      <c r="C14721" s="5">
        <v>104</v>
      </c>
      <c r="D14721" s="6">
        <v>7.63</v>
      </c>
      <c r="E14721" t="s">
        <v>11</v>
      </c>
    </row>
    <row r="14722" spans="1:5" x14ac:dyDescent="0.25">
      <c r="A14722" t="str">
        <f>HYPERLINK("https://www.773grp.com/globalSearch/TLC2652C-8D/page-1", "TLC2652C-8D")</f>
        <v>TLC2652C-8D</v>
      </c>
      <c r="B14722" s="3" t="s">
        <v>90</v>
      </c>
      <c r="C14722" s="5">
        <v>303</v>
      </c>
      <c r="D14722" s="6">
        <v>7.63</v>
      </c>
      <c r="E14722" t="s">
        <v>11</v>
      </c>
    </row>
    <row r="14723" spans="1:5" x14ac:dyDescent="0.25">
      <c r="A14723" t="str">
        <f>HYPERLINK("https://www.773grp.com/globalSearch/TLC2652IP/page-1", "TLC2652IP")</f>
        <v>TLC2652IP</v>
      </c>
      <c r="B14723" s="3" t="s">
        <v>90</v>
      </c>
      <c r="C14723" s="5">
        <v>1225</v>
      </c>
      <c r="D14723" s="6">
        <v>7.63</v>
      </c>
      <c r="E14723" t="s">
        <v>11</v>
      </c>
    </row>
    <row r="14724" spans="1:5" x14ac:dyDescent="0.25">
      <c r="A14724" t="str">
        <f>HYPERLINK("https://www.773grp.com/globalSearch/TL072MJG/page-1", "TL072MJG")</f>
        <v>TL072MJG</v>
      </c>
      <c r="B14724" s="3" t="s">
        <v>90</v>
      </c>
      <c r="C14724" s="5">
        <v>41</v>
      </c>
      <c r="D14724" s="6">
        <v>7.68</v>
      </c>
      <c r="E14724" t="s">
        <v>11</v>
      </c>
    </row>
    <row r="14725" spans="1:5" x14ac:dyDescent="0.25">
      <c r="A14725" t="str">
        <f>HYPERLINK("https://www.773grp.com/globalSearch/LT1013AIP/page-1", "LT1013AIP")</f>
        <v>LT1013AIP</v>
      </c>
      <c r="B14725" s="3" t="s">
        <v>90</v>
      </c>
      <c r="C14725" s="5">
        <v>60</v>
      </c>
      <c r="D14725" s="6">
        <v>7.71</v>
      </c>
      <c r="E14725" t="s">
        <v>11</v>
      </c>
    </row>
    <row r="14726" spans="1:5" x14ac:dyDescent="0.25">
      <c r="A14726" t="str">
        <f>HYPERLINK("https://www.773grp.com/globalSearch/OPA227P/page-1", "OPA227P")</f>
        <v>OPA227P</v>
      </c>
      <c r="B14726" s="3" t="s">
        <v>90</v>
      </c>
      <c r="C14726" s="5">
        <v>45</v>
      </c>
      <c r="D14726" s="6">
        <v>7.71</v>
      </c>
      <c r="E14726" t="s">
        <v>11</v>
      </c>
    </row>
    <row r="14727" spans="1:5" x14ac:dyDescent="0.25">
      <c r="A14727" t="str">
        <f>HYPERLINK("https://www.773grp.com/globalSearch/OPA227P/page-1", "OPA227P")</f>
        <v>OPA227P</v>
      </c>
      <c r="B14727" s="3" t="s">
        <v>90</v>
      </c>
      <c r="C14727" s="5">
        <v>6555</v>
      </c>
      <c r="D14727" s="6">
        <v>7.71</v>
      </c>
      <c r="E14727" t="s">
        <v>11</v>
      </c>
    </row>
    <row r="14728" spans="1:5" x14ac:dyDescent="0.25">
      <c r="A14728" t="str">
        <f>HYPERLINK("https://www.773grp.com/globalSearch/OPA227P/page-1", "OPA227P")</f>
        <v>OPA227P</v>
      </c>
      <c r="B14728" s="3" t="s">
        <v>90</v>
      </c>
      <c r="C14728" s="5">
        <v>43</v>
      </c>
      <c r="D14728" s="6">
        <v>7.71</v>
      </c>
      <c r="E14728" t="s">
        <v>11</v>
      </c>
    </row>
    <row r="14729" spans="1:5" x14ac:dyDescent="0.25">
      <c r="A14729" t="str">
        <f>HYPERLINK("https://www.773grp.com/globalSearch/TLC1078CP/page-1", "TLC1078CP")</f>
        <v>TLC1078CP</v>
      </c>
      <c r="B14729" s="3" t="s">
        <v>90</v>
      </c>
      <c r="C14729" s="5">
        <v>11950</v>
      </c>
      <c r="D14729" s="6">
        <v>7.71</v>
      </c>
      <c r="E14729" t="s">
        <v>11</v>
      </c>
    </row>
    <row r="14730" spans="1:5" x14ac:dyDescent="0.25">
      <c r="A14730" t="str">
        <f>HYPERLINK("https://www.773grp.com/globalSearch/TLC1078CPE4/page-1", "TLC1078CPE4")</f>
        <v>TLC1078CPE4</v>
      </c>
      <c r="B14730" s="3" t="s">
        <v>90</v>
      </c>
      <c r="C14730" s="5">
        <v>98</v>
      </c>
      <c r="D14730" s="6">
        <v>7.71</v>
      </c>
      <c r="E14730" t="s">
        <v>11</v>
      </c>
    </row>
    <row r="14731" spans="1:5" x14ac:dyDescent="0.25">
      <c r="A14731" t="str">
        <f>HYPERLINK("https://www.773grp.com/globalSearch/OPA564AIDWPR/page-1", "OPA564AIDWPR")</f>
        <v>OPA564AIDWPR</v>
      </c>
      <c r="B14731" s="3" t="s">
        <v>90</v>
      </c>
      <c r="C14731" s="5">
        <v>3417</v>
      </c>
      <c r="D14731" s="6">
        <v>7.73</v>
      </c>
      <c r="E14731" t="s">
        <v>11</v>
      </c>
    </row>
    <row r="14732" spans="1:5" x14ac:dyDescent="0.25">
      <c r="A14732" t="str">
        <f>HYPERLINK("https://www.773grp.com/globalSearch/THS4120ID/page-1", "THS4120ID")</f>
        <v>THS4120ID</v>
      </c>
      <c r="B14732" s="3" t="s">
        <v>90</v>
      </c>
      <c r="C14732" s="5">
        <v>30200</v>
      </c>
      <c r="D14732" s="6">
        <v>7.73</v>
      </c>
      <c r="E14732" t="s">
        <v>11</v>
      </c>
    </row>
    <row r="14733" spans="1:5" x14ac:dyDescent="0.25">
      <c r="A14733" t="str">
        <f>HYPERLINK("https://www.773grp.com/globalSearch/THS4120IDGK/page-1", "THS4120IDGK")</f>
        <v>THS4120IDGK</v>
      </c>
      <c r="B14733" s="3" t="s">
        <v>90</v>
      </c>
      <c r="C14733" s="5">
        <v>7302</v>
      </c>
      <c r="D14733" s="6">
        <v>7.73</v>
      </c>
      <c r="E14733" t="s">
        <v>11</v>
      </c>
    </row>
    <row r="14734" spans="1:5" x14ac:dyDescent="0.25">
      <c r="A14734" t="str">
        <f>HYPERLINK("https://www.773grp.com/globalSearch/THS4120IDGN/page-1", "THS4120IDGN")</f>
        <v>THS4120IDGN</v>
      </c>
      <c r="B14734" s="3" t="s">
        <v>90</v>
      </c>
      <c r="C14734" s="5">
        <v>18541</v>
      </c>
      <c r="D14734" s="6">
        <v>7.73</v>
      </c>
      <c r="E14734" t="s">
        <v>11</v>
      </c>
    </row>
    <row r="14735" spans="1:5" x14ac:dyDescent="0.25">
      <c r="A14735" t="str">
        <f>HYPERLINK("https://www.773grp.com/globalSearch/THS4121ID/page-1", "THS4121ID")</f>
        <v>THS4121ID</v>
      </c>
      <c r="B14735" s="3" t="s">
        <v>90</v>
      </c>
      <c r="C14735" s="5">
        <v>23450</v>
      </c>
      <c r="D14735" s="6">
        <v>7.73</v>
      </c>
      <c r="E14735" t="s">
        <v>11</v>
      </c>
    </row>
    <row r="14736" spans="1:5" x14ac:dyDescent="0.25">
      <c r="A14736" t="str">
        <f>HYPERLINK("https://www.773grp.com/globalSearch/THS4121IDGK/page-1", "THS4121IDGK")</f>
        <v>THS4121IDGK</v>
      </c>
      <c r="B14736" s="3" t="s">
        <v>90</v>
      </c>
      <c r="C14736" s="5">
        <v>9178</v>
      </c>
      <c r="D14736" s="6">
        <v>7.73</v>
      </c>
      <c r="E14736" t="s">
        <v>11</v>
      </c>
    </row>
    <row r="14737" spans="1:5" x14ac:dyDescent="0.25">
      <c r="A14737" t="str">
        <f>HYPERLINK("https://www.773grp.com/globalSearch/THS4121IDGN/page-1", "THS4121IDGN")</f>
        <v>THS4121IDGN</v>
      </c>
      <c r="B14737" s="3" t="s">
        <v>90</v>
      </c>
      <c r="C14737" s="5">
        <v>20050</v>
      </c>
      <c r="D14737" s="6">
        <v>7.73</v>
      </c>
      <c r="E14737" t="s">
        <v>11</v>
      </c>
    </row>
    <row r="14738" spans="1:5" x14ac:dyDescent="0.25">
      <c r="A14738" t="str">
        <f>HYPERLINK("https://www.773grp.com/globalSearch/TL061CJG/page-1", "TL061CJG")</f>
        <v>TL061CJG</v>
      </c>
      <c r="B14738" s="3" t="s">
        <v>90</v>
      </c>
      <c r="C14738" s="5">
        <v>2882</v>
      </c>
      <c r="D14738" s="6">
        <v>7.73</v>
      </c>
      <c r="E14738" t="s">
        <v>11</v>
      </c>
    </row>
    <row r="14739" spans="1:5" x14ac:dyDescent="0.25">
      <c r="A14739" t="str">
        <f>HYPERLINK("https://www.773grp.com/globalSearch/TL082CJG/page-1", "TL082CJG")</f>
        <v>TL082CJG</v>
      </c>
      <c r="B14739" s="3" t="s">
        <v>90</v>
      </c>
      <c r="C14739" s="5">
        <v>1337</v>
      </c>
      <c r="D14739" s="6">
        <v>7.73</v>
      </c>
      <c r="E14739" t="s">
        <v>11</v>
      </c>
    </row>
    <row r="14740" spans="1:5" x14ac:dyDescent="0.25">
      <c r="A14740" t="str">
        <f>HYPERLINK("https://www.773grp.com/globalSearch/TLE2074ACDW/page-1", "TLE2074ACDW")</f>
        <v>TLE2074ACDW</v>
      </c>
      <c r="B14740" s="3" t="s">
        <v>90</v>
      </c>
      <c r="C14740" s="5">
        <v>1897</v>
      </c>
      <c r="D14740" s="6">
        <v>7.73</v>
      </c>
      <c r="E14740" t="s">
        <v>11</v>
      </c>
    </row>
    <row r="14741" spans="1:5" x14ac:dyDescent="0.25">
      <c r="A14741" t="str">
        <f>HYPERLINK("https://www.773grp.com/globalSearch/OPA2132PA/page-1", "OPA2132PA")</f>
        <v>OPA2132PA</v>
      </c>
      <c r="B14741" s="3" t="s">
        <v>90</v>
      </c>
      <c r="C14741" s="5">
        <v>57100</v>
      </c>
      <c r="D14741" s="6">
        <v>7.76</v>
      </c>
      <c r="E14741" t="s">
        <v>11</v>
      </c>
    </row>
    <row r="14742" spans="1:5" x14ac:dyDescent="0.25">
      <c r="A14742" t="str">
        <f>HYPERLINK("https://www.773grp.com/globalSearch/TLE2024BCDW/page-1", "TLE2024BCDW")</f>
        <v>TLE2024BCDW</v>
      </c>
      <c r="B14742" s="3" t="s">
        <v>90</v>
      </c>
      <c r="C14742" s="5">
        <v>702</v>
      </c>
      <c r="D14742" s="6">
        <v>7.76</v>
      </c>
      <c r="E14742" t="s">
        <v>11</v>
      </c>
    </row>
    <row r="14743" spans="1:5" x14ac:dyDescent="0.25">
      <c r="A14743" t="str">
        <f>HYPERLINK("https://www.773grp.com/globalSearch/THS4304DBVT/page-1", "THS4304DBVT")</f>
        <v>THS4304DBVT</v>
      </c>
      <c r="B14743" s="3" t="s">
        <v>90</v>
      </c>
      <c r="C14743" s="5">
        <v>4075</v>
      </c>
      <c r="D14743" s="6">
        <v>7.8</v>
      </c>
      <c r="E14743" t="s">
        <v>11</v>
      </c>
    </row>
    <row r="14744" spans="1:5" x14ac:dyDescent="0.25">
      <c r="A14744" t="str">
        <f>HYPERLINK("https://www.773grp.com/globalSearch/TL2829ZD/page-1", "TL2829ZD")</f>
        <v>TL2829ZD</v>
      </c>
      <c r="B14744" s="3" t="s">
        <v>90</v>
      </c>
      <c r="C14744" s="5">
        <v>488</v>
      </c>
      <c r="D14744" s="6">
        <v>7.8</v>
      </c>
      <c r="E14744" t="s">
        <v>11</v>
      </c>
    </row>
    <row r="14745" spans="1:5" x14ac:dyDescent="0.25">
      <c r="A14745" t="str">
        <f>HYPERLINK("https://www.773grp.com/globalSearch/THS4041ID/page-1", "THS4041ID")</f>
        <v>THS4041ID</v>
      </c>
      <c r="B14745" s="3" t="s">
        <v>90</v>
      </c>
      <c r="C14745" s="5">
        <v>33886</v>
      </c>
      <c r="D14745" s="6">
        <v>7.81</v>
      </c>
      <c r="E14745" t="s">
        <v>11</v>
      </c>
    </row>
    <row r="14746" spans="1:5" x14ac:dyDescent="0.25">
      <c r="A14746" t="str">
        <f>HYPERLINK("https://www.773grp.com/globalSearch/TLC2202CP/page-1", "TLC2202CP")</f>
        <v>TLC2202CP</v>
      </c>
      <c r="B14746" s="3" t="s">
        <v>90</v>
      </c>
      <c r="C14746" s="5">
        <v>33500</v>
      </c>
      <c r="D14746" s="6">
        <v>7.81</v>
      </c>
      <c r="E14746" t="s">
        <v>11</v>
      </c>
    </row>
    <row r="14747" spans="1:5" x14ac:dyDescent="0.25">
      <c r="A14747" t="str">
        <f>HYPERLINK("https://www.773grp.com/globalSearch/TLE2024BMDW/page-1", "TLE2024BMDW")</f>
        <v>TLE2024BMDW</v>
      </c>
      <c r="B14747" s="3" t="s">
        <v>90</v>
      </c>
      <c r="C14747" s="5">
        <v>8</v>
      </c>
      <c r="D14747" s="6">
        <v>7.81</v>
      </c>
      <c r="E14747" t="s">
        <v>11</v>
      </c>
    </row>
    <row r="14748" spans="1:5" x14ac:dyDescent="0.25">
      <c r="A14748" t="str">
        <f>HYPERLINK("https://www.773grp.com/globalSearch/TLE2024BMDWG4/page-1", "TLE2024BMDWG4")</f>
        <v>TLE2024BMDWG4</v>
      </c>
      <c r="B14748" s="3" t="s">
        <v>90</v>
      </c>
      <c r="C14748" s="5">
        <v>8760</v>
      </c>
      <c r="D14748" s="6">
        <v>7.81</v>
      </c>
      <c r="E14748" t="s">
        <v>11</v>
      </c>
    </row>
    <row r="14749" spans="1:5" x14ac:dyDescent="0.25">
      <c r="A14749" t="str">
        <f>HYPERLINK("https://www.773grp.com/globalSearch/OPA2677T/page-1", "OPA2677T")</f>
        <v>OPA2677T</v>
      </c>
      <c r="B14749" s="3" t="s">
        <v>90</v>
      </c>
      <c r="C14749" s="5">
        <v>43</v>
      </c>
      <c r="D14749" s="6">
        <v>7.88</v>
      </c>
      <c r="E14749" t="s">
        <v>11</v>
      </c>
    </row>
    <row r="14750" spans="1:5" x14ac:dyDescent="0.25">
      <c r="A14750" t="str">
        <f>HYPERLINK("https://www.773grp.com/globalSearch/THS4130CDGKR/page-1", "THS4130CDGKR")</f>
        <v>THS4130CDGKR</v>
      </c>
      <c r="B14750" s="3" t="s">
        <v>90</v>
      </c>
      <c r="C14750" s="5">
        <v>10000</v>
      </c>
      <c r="D14750" s="6">
        <v>7.88</v>
      </c>
      <c r="E14750" t="s">
        <v>11</v>
      </c>
    </row>
    <row r="14751" spans="1:5" x14ac:dyDescent="0.25">
      <c r="A14751" t="str">
        <f>HYPERLINK("https://www.773grp.com/globalSearch/TLE2144ACN/page-1", "TLE2144ACN")</f>
        <v>TLE2144ACN</v>
      </c>
      <c r="B14751" s="3" t="s">
        <v>90</v>
      </c>
      <c r="C14751" s="5">
        <v>7550</v>
      </c>
      <c r="D14751" s="6">
        <v>7.88</v>
      </c>
      <c r="E14751" t="s">
        <v>11</v>
      </c>
    </row>
    <row r="14752" spans="1:5" x14ac:dyDescent="0.25">
      <c r="A14752" t="str">
        <f>HYPERLINK("https://www.773grp.com/globalSearch/OPA2680N/page-1", "OPA2680N")</f>
        <v>OPA2680N</v>
      </c>
      <c r="B14752" s="3" t="s">
        <v>90</v>
      </c>
      <c r="C14752" s="5">
        <v>16833</v>
      </c>
      <c r="D14752" s="6">
        <v>7.9</v>
      </c>
      <c r="E14752" t="s">
        <v>11</v>
      </c>
    </row>
    <row r="14753" spans="1:5" x14ac:dyDescent="0.25">
      <c r="A14753" t="str">
        <f>HYPERLINK("https://www.773grp.com/globalSearch/TLC2652AIN/page-1", "TLC2652AIN")</f>
        <v>TLC2652AIN</v>
      </c>
      <c r="B14753" s="3" t="s">
        <v>90</v>
      </c>
      <c r="C14753" s="5">
        <v>7725</v>
      </c>
      <c r="D14753" s="6">
        <v>7.94</v>
      </c>
      <c r="E14753" t="s">
        <v>11</v>
      </c>
    </row>
    <row r="14754" spans="1:5" x14ac:dyDescent="0.25">
      <c r="A14754" t="str">
        <f>HYPERLINK("https://www.773grp.com/globalSearch/TLC2652AIP/page-1", "TLC2652AIP")</f>
        <v>TLC2652AIP</v>
      </c>
      <c r="B14754" s="3" t="s">
        <v>90</v>
      </c>
      <c r="C14754" s="5">
        <v>12030</v>
      </c>
      <c r="D14754" s="6">
        <v>7.94</v>
      </c>
      <c r="E14754" t="s">
        <v>11</v>
      </c>
    </row>
    <row r="14755" spans="1:5" x14ac:dyDescent="0.25">
      <c r="A14755" t="str">
        <f>HYPERLINK("https://www.773grp.com/globalSearch/TLC2652I-8D/page-1", "TLC2652I-8D")</f>
        <v>TLC2652I-8D</v>
      </c>
      <c r="B14755" s="3" t="s">
        <v>90</v>
      </c>
      <c r="C14755" s="5">
        <v>7340</v>
      </c>
      <c r="D14755" s="6">
        <v>7.94</v>
      </c>
      <c r="E14755" t="s">
        <v>11</v>
      </c>
    </row>
    <row r="14756" spans="1:5" x14ac:dyDescent="0.25">
      <c r="A14756" t="str">
        <f>HYPERLINK("https://www.773grp.com/globalSearch/OPA689U-2K5/page-1", "OPA689U-2K5")</f>
        <v>OPA689U-2K5</v>
      </c>
      <c r="B14756" s="3" t="s">
        <v>90</v>
      </c>
      <c r="C14756" s="5">
        <v>1939</v>
      </c>
      <c r="D14756" s="6">
        <v>7.99</v>
      </c>
      <c r="E14756" t="s">
        <v>11</v>
      </c>
    </row>
    <row r="14757" spans="1:5" x14ac:dyDescent="0.25">
      <c r="A14757" t="str">
        <f>HYPERLINK("https://www.773grp.com/globalSearch/OPA132U-2K5/page-1", "OPA132U-2K5")</f>
        <v>OPA132U-2K5</v>
      </c>
      <c r="B14757" s="3" t="s">
        <v>90</v>
      </c>
      <c r="C14757" s="5">
        <v>5790</v>
      </c>
      <c r="D14757" s="6">
        <v>8.01</v>
      </c>
      <c r="E14757" t="s">
        <v>11</v>
      </c>
    </row>
    <row r="14758" spans="1:5" x14ac:dyDescent="0.25">
      <c r="A14758" t="str">
        <f>HYPERLINK("https://www.773grp.com/globalSearch/OPA4353EA-250/page-1", "OPA4353EA-250")</f>
        <v>OPA4353EA-250</v>
      </c>
      <c r="B14758" s="3" t="s">
        <v>90</v>
      </c>
      <c r="C14758" s="5">
        <v>1000</v>
      </c>
      <c r="D14758" s="6">
        <v>8.01</v>
      </c>
      <c r="E14758" t="s">
        <v>11</v>
      </c>
    </row>
    <row r="14759" spans="1:5" x14ac:dyDescent="0.25">
      <c r="A14759" t="str">
        <f>HYPERLINK("https://www.773grp.com/globalSearch/OPA551FA-500/page-1", "OPA551FA-500")</f>
        <v>OPA551FA-500</v>
      </c>
      <c r="B14759" s="3" t="s">
        <v>90</v>
      </c>
      <c r="C14759" s="5">
        <v>9000</v>
      </c>
      <c r="D14759" s="6">
        <v>8.01</v>
      </c>
      <c r="E14759" t="s">
        <v>11</v>
      </c>
    </row>
    <row r="14760" spans="1:5" x14ac:dyDescent="0.25">
      <c r="A14760" t="str">
        <f>HYPERLINK("https://www.773grp.com/globalSearch/TLC1078IP/page-1", "TLC1078IP")</f>
        <v>TLC1078IP</v>
      </c>
      <c r="B14760" s="3" t="s">
        <v>90</v>
      </c>
      <c r="C14760" s="5">
        <v>14203</v>
      </c>
      <c r="D14760" s="6">
        <v>8.01</v>
      </c>
      <c r="E14760" t="s">
        <v>11</v>
      </c>
    </row>
    <row r="14761" spans="1:5" x14ac:dyDescent="0.25">
      <c r="A14761" t="str">
        <f>HYPERLINK("https://www.773grp.com/globalSearch/TLC2652M-8D/page-1", "TLC2652M-8D")</f>
        <v>TLC2652M-8D</v>
      </c>
      <c r="B14761" s="3" t="s">
        <v>90</v>
      </c>
      <c r="C14761" s="5">
        <v>9084</v>
      </c>
      <c r="D14761" s="6">
        <v>8.01</v>
      </c>
      <c r="E14761" t="s">
        <v>11</v>
      </c>
    </row>
    <row r="14762" spans="1:5" x14ac:dyDescent="0.25">
      <c r="A14762" t="str">
        <f>HYPERLINK("https://www.773grp.com/globalSearch/TLE2064AID/page-1", "TLE2064AID")</f>
        <v>TLE2064AID</v>
      </c>
      <c r="B14762" s="3" t="s">
        <v>90</v>
      </c>
      <c r="C14762" s="5">
        <v>39</v>
      </c>
      <c r="D14762" s="6">
        <v>8.01</v>
      </c>
      <c r="E14762" t="s">
        <v>11</v>
      </c>
    </row>
    <row r="14763" spans="1:5" x14ac:dyDescent="0.25">
      <c r="A14763" t="str">
        <f>HYPERLINK("https://www.773grp.com/globalSearch/TLE2064AMD/page-1", "TLE2064AMD")</f>
        <v>TLE2064AMD</v>
      </c>
      <c r="B14763" s="3" t="s">
        <v>90</v>
      </c>
      <c r="C14763" s="5">
        <v>2320</v>
      </c>
      <c r="D14763" s="6">
        <v>8.01</v>
      </c>
      <c r="E14763" t="s">
        <v>11</v>
      </c>
    </row>
    <row r="14764" spans="1:5" x14ac:dyDescent="0.25">
      <c r="A14764" t="str">
        <f>HYPERLINK("https://www.773grp.com/globalSearch/TLE2064AMDR/page-1", "TLE2064AMDR")</f>
        <v>TLE2064AMDR</v>
      </c>
      <c r="B14764" s="3" t="s">
        <v>90</v>
      </c>
      <c r="C14764" s="5">
        <v>2500</v>
      </c>
      <c r="D14764" s="6">
        <v>8.01</v>
      </c>
      <c r="E14764" t="s">
        <v>11</v>
      </c>
    </row>
    <row r="14765" spans="1:5" x14ac:dyDescent="0.25">
      <c r="A14765" t="str">
        <f>HYPERLINK("https://www.773grp.com/globalSearch/OPA2703PA/page-1", "OPA2703PA")</f>
        <v>OPA2703PA</v>
      </c>
      <c r="B14765" s="3" t="s">
        <v>90</v>
      </c>
      <c r="C14765" s="5">
        <v>7040</v>
      </c>
      <c r="D14765" s="6">
        <v>8.0500000000000007</v>
      </c>
      <c r="E14765" t="s">
        <v>11</v>
      </c>
    </row>
    <row r="14766" spans="1:5" x14ac:dyDescent="0.25">
      <c r="A14766" t="str">
        <f>HYPERLINK("https://www.773grp.com/globalSearch/OPA2703PA/page-1", "OPA2703PA")</f>
        <v>OPA2703PA</v>
      </c>
      <c r="B14766" s="3" t="s">
        <v>90</v>
      </c>
      <c r="C14766" s="5">
        <v>4450</v>
      </c>
      <c r="D14766" s="6">
        <v>8.0500000000000007</v>
      </c>
      <c r="E14766" t="s">
        <v>11</v>
      </c>
    </row>
    <row r="14767" spans="1:5" x14ac:dyDescent="0.25">
      <c r="A14767" t="str">
        <f>HYPERLINK("https://www.773grp.com/globalSearch/TL034ACD/page-1", "TL034ACD")</f>
        <v>TL034ACD</v>
      </c>
      <c r="B14767" s="3" t="s">
        <v>90</v>
      </c>
      <c r="C14767" s="5">
        <v>55862</v>
      </c>
      <c r="D14767" s="6">
        <v>8.0500000000000007</v>
      </c>
      <c r="E14767" t="s">
        <v>11</v>
      </c>
    </row>
    <row r="14768" spans="1:5" x14ac:dyDescent="0.25">
      <c r="A14768" t="str">
        <f>HYPERLINK("https://www.773grp.com/globalSearch/THS4304D/page-1", "THS4304D")</f>
        <v>THS4304D</v>
      </c>
      <c r="B14768" s="3" t="s">
        <v>90</v>
      </c>
      <c r="C14768" s="5">
        <v>87751</v>
      </c>
      <c r="D14768" s="6">
        <v>8.14</v>
      </c>
      <c r="E14768" t="s">
        <v>11</v>
      </c>
    </row>
    <row r="14769" spans="1:5" x14ac:dyDescent="0.25">
      <c r="A14769" t="str">
        <f>HYPERLINK("https://www.773grp.com/globalSearch/THS4304DGK/page-1", "THS4304DGK")</f>
        <v>THS4304DGK</v>
      </c>
      <c r="B14769" s="3" t="s">
        <v>90</v>
      </c>
      <c r="C14769" s="5">
        <v>25940</v>
      </c>
      <c r="D14769" s="6">
        <v>8.14</v>
      </c>
      <c r="E14769" t="s">
        <v>11</v>
      </c>
    </row>
    <row r="14770" spans="1:5" x14ac:dyDescent="0.25">
      <c r="A14770" t="str">
        <f>HYPERLINK("https://www.773grp.com/globalSearch/OPA2132UA/page-1", "OPA2132UA")</f>
        <v>OPA2132UA</v>
      </c>
      <c r="B14770" s="3" t="s">
        <v>90</v>
      </c>
      <c r="C14770" s="5">
        <v>121654</v>
      </c>
      <c r="D14770" s="6">
        <v>8.15</v>
      </c>
      <c r="E14770" t="s">
        <v>11</v>
      </c>
    </row>
    <row r="14771" spans="1:5" x14ac:dyDescent="0.25">
      <c r="A14771" t="str">
        <f>HYPERLINK("https://www.773grp.com/globalSearch/OPA452FA-500/page-1", "OPA452FA-500")</f>
        <v>OPA452FA-500</v>
      </c>
      <c r="B14771" s="3" t="s">
        <v>90</v>
      </c>
      <c r="C14771" s="5">
        <v>40900</v>
      </c>
      <c r="D14771" s="6">
        <v>8.15</v>
      </c>
      <c r="E14771" t="s">
        <v>11</v>
      </c>
    </row>
    <row r="14772" spans="1:5" x14ac:dyDescent="0.25">
      <c r="A14772" t="str">
        <f>HYPERLINK("https://www.773grp.com/globalSearch/OPA452TA/page-1", "OPA452TA")</f>
        <v>OPA452TA</v>
      </c>
      <c r="B14772" s="3" t="s">
        <v>90</v>
      </c>
      <c r="C14772" s="5">
        <v>4</v>
      </c>
      <c r="D14772" s="6">
        <v>8.15</v>
      </c>
      <c r="E14772" t="s">
        <v>11</v>
      </c>
    </row>
    <row r="14773" spans="1:5" x14ac:dyDescent="0.25">
      <c r="A14773" t="str">
        <f>HYPERLINK("https://www.773grp.com/globalSearch/OPA452TA/page-1", "OPA452TA")</f>
        <v>OPA452TA</v>
      </c>
      <c r="B14773" s="3" t="s">
        <v>90</v>
      </c>
      <c r="C14773" s="5">
        <v>6850</v>
      </c>
      <c r="D14773" s="6">
        <v>8.15</v>
      </c>
      <c r="E14773" t="s">
        <v>11</v>
      </c>
    </row>
    <row r="14774" spans="1:5" x14ac:dyDescent="0.25">
      <c r="A14774" t="str">
        <f>HYPERLINK("https://www.773grp.com/globalSearch/OPA452TA-1/page-1", "OPA452TA-1")</f>
        <v>OPA452TA-1</v>
      </c>
      <c r="B14774" s="3" t="s">
        <v>90</v>
      </c>
      <c r="C14774" s="5">
        <v>23029</v>
      </c>
      <c r="D14774" s="6">
        <v>8.15</v>
      </c>
      <c r="E14774" t="s">
        <v>11</v>
      </c>
    </row>
    <row r="14775" spans="1:5" x14ac:dyDescent="0.25">
      <c r="A14775" t="str">
        <f>HYPERLINK("https://www.773grp.com/globalSearch/OPA453FAKTWT/page-1", "OPA453FAKTWT")</f>
        <v>OPA453FAKTWT</v>
      </c>
      <c r="B14775" s="3" t="s">
        <v>90</v>
      </c>
      <c r="C14775" s="5">
        <v>9200</v>
      </c>
      <c r="D14775" s="6">
        <v>8.15</v>
      </c>
      <c r="E14775" t="s">
        <v>11</v>
      </c>
    </row>
    <row r="14776" spans="1:5" x14ac:dyDescent="0.25">
      <c r="A14776" t="str">
        <f>HYPERLINK("https://www.773grp.com/globalSearch/OPA453FAKTWT/page-1", "OPA453FAKTWT")</f>
        <v>OPA453FAKTWT</v>
      </c>
      <c r="B14776" s="3" t="s">
        <v>90</v>
      </c>
      <c r="C14776" s="5">
        <v>25</v>
      </c>
      <c r="D14776" s="6">
        <v>8.15</v>
      </c>
      <c r="E14776" t="s">
        <v>11</v>
      </c>
    </row>
    <row r="14777" spans="1:5" x14ac:dyDescent="0.25">
      <c r="A14777" t="str">
        <f>HYPERLINK("https://www.773grp.com/globalSearch/OPA453TA/page-1", "OPA453TA")</f>
        <v>OPA453TA</v>
      </c>
      <c r="B14777" s="3" t="s">
        <v>90</v>
      </c>
      <c r="C14777" s="5">
        <v>66</v>
      </c>
      <c r="D14777" s="6">
        <v>8.15</v>
      </c>
      <c r="E14777" t="s">
        <v>11</v>
      </c>
    </row>
    <row r="14778" spans="1:5" x14ac:dyDescent="0.25">
      <c r="A14778" t="str">
        <f>HYPERLINK("https://www.773grp.com/globalSearch/OPA4743EA-250/page-1", "OPA4743EA-250")</f>
        <v>OPA4743EA-250</v>
      </c>
      <c r="B14778" s="3" t="s">
        <v>90</v>
      </c>
      <c r="C14778" s="5">
        <v>8804</v>
      </c>
      <c r="D14778" s="6">
        <v>8.15</v>
      </c>
      <c r="E14778" t="s">
        <v>11</v>
      </c>
    </row>
    <row r="14779" spans="1:5" x14ac:dyDescent="0.25">
      <c r="A14779" t="str">
        <f>HYPERLINK("https://www.773grp.com/globalSearch/TLC2202CD/page-1", "TLC2202CD")</f>
        <v>TLC2202CD</v>
      </c>
      <c r="B14779" s="3" t="s">
        <v>90</v>
      </c>
      <c r="C14779" s="5">
        <v>20903</v>
      </c>
      <c r="D14779" s="6">
        <v>8.15</v>
      </c>
      <c r="E14779" t="s">
        <v>11</v>
      </c>
    </row>
    <row r="14780" spans="1:5" x14ac:dyDescent="0.25">
      <c r="A14780" t="str">
        <f>HYPERLINK("https://www.773grp.com/globalSearch/TLC2652AI-8D/page-1", "TLC2652AI-8D")</f>
        <v>TLC2652AI-8D</v>
      </c>
      <c r="B14780" s="3" t="s">
        <v>90</v>
      </c>
      <c r="C14780" s="5">
        <v>205</v>
      </c>
      <c r="D14780" s="6">
        <v>8.24</v>
      </c>
      <c r="E14780" t="s">
        <v>11</v>
      </c>
    </row>
    <row r="14781" spans="1:5" x14ac:dyDescent="0.25">
      <c r="A14781" t="str">
        <f>HYPERLINK("https://www.773grp.com/globalSearch/TLC2652M-8DG4/page-1", "TLC2652M-8DG4")</f>
        <v>TLC2652M-8DG4</v>
      </c>
      <c r="B14781" s="3" t="s">
        <v>90</v>
      </c>
      <c r="C14781" s="5">
        <v>1225</v>
      </c>
      <c r="D14781" s="6">
        <v>8.24</v>
      </c>
      <c r="E14781" t="s">
        <v>11</v>
      </c>
    </row>
    <row r="14782" spans="1:5" x14ac:dyDescent="0.25">
      <c r="A14782" t="str">
        <f>HYPERLINK("https://www.773grp.com/globalSearch/OPA2681N/page-1", "OPA2681N")</f>
        <v>OPA2681N</v>
      </c>
      <c r="B14782" s="3" t="s">
        <v>90</v>
      </c>
      <c r="C14782" s="5">
        <v>33496</v>
      </c>
      <c r="D14782" s="6">
        <v>8.3000000000000007</v>
      </c>
      <c r="E14782" t="s">
        <v>11</v>
      </c>
    </row>
    <row r="14783" spans="1:5" x14ac:dyDescent="0.25">
      <c r="A14783" t="str">
        <f>HYPERLINK("https://www.773grp.com/globalSearch/OPA653IDRBR/page-1", "OPA653IDRBR")</f>
        <v>OPA653IDRBR</v>
      </c>
      <c r="B14783" s="3" t="s">
        <v>90</v>
      </c>
      <c r="C14783" s="5">
        <v>3000</v>
      </c>
      <c r="D14783" s="6">
        <v>8.3000000000000007</v>
      </c>
      <c r="E14783" t="s">
        <v>11</v>
      </c>
    </row>
    <row r="14784" spans="1:5" x14ac:dyDescent="0.25">
      <c r="A14784" t="str">
        <f>HYPERLINK("https://www.773grp.com/globalSearch/OPA659IDBVR/page-1", "OPA659IDBVR")</f>
        <v>OPA659IDBVR</v>
      </c>
      <c r="B14784" s="3" t="s">
        <v>90</v>
      </c>
      <c r="C14784" s="5">
        <v>11588</v>
      </c>
      <c r="D14784" s="6">
        <v>8.3000000000000007</v>
      </c>
      <c r="E14784" t="s">
        <v>11</v>
      </c>
    </row>
    <row r="14785" spans="1:5" x14ac:dyDescent="0.25">
      <c r="A14785" t="str">
        <f>HYPERLINK("https://www.773grp.com/globalSearch/OPA659IDRBR/page-1", "OPA659IDRBR")</f>
        <v>OPA659IDRBR</v>
      </c>
      <c r="B14785" s="3" t="s">
        <v>90</v>
      </c>
      <c r="C14785" s="5">
        <v>24000</v>
      </c>
      <c r="D14785" s="6">
        <v>8.3000000000000007</v>
      </c>
      <c r="E14785" t="s">
        <v>11</v>
      </c>
    </row>
    <row r="14786" spans="1:5" x14ac:dyDescent="0.25">
      <c r="A14786" t="str">
        <f>HYPERLINK("https://www.773grp.com/globalSearch/OPA686N-250/page-1", "OPA686N-250")</f>
        <v>OPA686N-250</v>
      </c>
      <c r="B14786" s="3" t="s">
        <v>90</v>
      </c>
      <c r="C14786" s="5">
        <v>3050</v>
      </c>
      <c r="D14786" s="6">
        <v>8.3000000000000007</v>
      </c>
      <c r="E14786" t="s">
        <v>11</v>
      </c>
    </row>
    <row r="14787" spans="1:5" x14ac:dyDescent="0.25">
      <c r="A14787" t="str">
        <f>HYPERLINK("https://www.773grp.com/globalSearch/OPA686N-3K/page-1", "OPA686N-3K")</f>
        <v>OPA686N-3K</v>
      </c>
      <c r="B14787" s="3" t="s">
        <v>90</v>
      </c>
      <c r="C14787" s="5">
        <v>53700</v>
      </c>
      <c r="D14787" s="6">
        <v>8.3000000000000007</v>
      </c>
      <c r="E14787" t="s">
        <v>11</v>
      </c>
    </row>
    <row r="14788" spans="1:5" x14ac:dyDescent="0.25">
      <c r="A14788" t="str">
        <f>HYPERLINK("https://www.773grp.com/globalSearch/OPA686U/page-1", "OPA686U")</f>
        <v>OPA686U</v>
      </c>
      <c r="B14788" s="3" t="s">
        <v>90</v>
      </c>
      <c r="C14788" s="5">
        <v>7025</v>
      </c>
      <c r="D14788" s="6">
        <v>8.3000000000000007</v>
      </c>
      <c r="E14788" t="s">
        <v>11</v>
      </c>
    </row>
    <row r="14789" spans="1:5" x14ac:dyDescent="0.25">
      <c r="A14789" t="str">
        <f>HYPERLINK("https://www.773grp.com/globalSearch/TLE2084ACN/page-1", "TLE2084ACN")</f>
        <v>TLE2084ACN</v>
      </c>
      <c r="B14789" s="3" t="s">
        <v>90</v>
      </c>
      <c r="C14789" s="5">
        <v>22433</v>
      </c>
      <c r="D14789" s="6">
        <v>8.35</v>
      </c>
      <c r="E14789" t="s">
        <v>11</v>
      </c>
    </row>
    <row r="14790" spans="1:5" x14ac:dyDescent="0.25">
      <c r="A14790" t="str">
        <f>HYPERLINK("https://www.773grp.com/globalSearch/LT1014CN/page-1", "LT1014CN")</f>
        <v>LT1014CN</v>
      </c>
      <c r="B14790" s="3" t="s">
        <v>90</v>
      </c>
      <c r="C14790" s="5">
        <v>30841</v>
      </c>
      <c r="D14790" s="6">
        <v>8.4</v>
      </c>
      <c r="E14790" t="s">
        <v>11</v>
      </c>
    </row>
    <row r="14791" spans="1:5" x14ac:dyDescent="0.25">
      <c r="A14791" t="str">
        <f>HYPERLINK("https://www.773grp.com/globalSearch/LT1014DIN/page-1", "LT1014DIN")</f>
        <v>LT1014DIN</v>
      </c>
      <c r="B14791" s="3" t="s">
        <v>90</v>
      </c>
      <c r="C14791" s="5">
        <v>22243</v>
      </c>
      <c r="D14791" s="6">
        <v>8.44</v>
      </c>
      <c r="E14791" t="s">
        <v>11</v>
      </c>
    </row>
    <row r="14792" spans="1:5" x14ac:dyDescent="0.25">
      <c r="A14792" t="str">
        <f>HYPERLINK("https://www.773grp.com/globalSearch/LT1014DN/page-1", "LT1014DN")</f>
        <v>LT1014DN</v>
      </c>
      <c r="B14792" s="3" t="s">
        <v>90</v>
      </c>
      <c r="C14792" s="5">
        <v>109397</v>
      </c>
      <c r="D14792" s="6">
        <v>8.44</v>
      </c>
      <c r="E14792" t="s">
        <v>11</v>
      </c>
    </row>
    <row r="14793" spans="1:5" x14ac:dyDescent="0.25">
      <c r="A14793" t="str">
        <f>HYPERLINK("https://www.773grp.com/globalSearch/OPA2681N-2K5/page-1", "OPA2681N-2K5")</f>
        <v>OPA2681N-2K5</v>
      </c>
      <c r="B14793" s="3" t="s">
        <v>90</v>
      </c>
      <c r="C14793" s="5">
        <v>2500</v>
      </c>
      <c r="D14793" s="6">
        <v>8.44</v>
      </c>
      <c r="E14793" t="s">
        <v>11</v>
      </c>
    </row>
    <row r="14794" spans="1:5" x14ac:dyDescent="0.25">
      <c r="A14794" t="str">
        <f>HYPERLINK("https://www.773grp.com/globalSearch/OPA4353UA/page-1", "OPA4353UA")</f>
        <v>OPA4353UA</v>
      </c>
      <c r="B14794" s="3" t="s">
        <v>90</v>
      </c>
      <c r="C14794" s="5">
        <v>42</v>
      </c>
      <c r="D14794" s="6">
        <v>8.44</v>
      </c>
      <c r="E14794" t="s">
        <v>11</v>
      </c>
    </row>
    <row r="14795" spans="1:5" x14ac:dyDescent="0.25">
      <c r="A14795" t="str">
        <f>HYPERLINK("https://www.773grp.com/globalSearch/OPA4353UA/page-1", "OPA4353UA")</f>
        <v>OPA4353UA</v>
      </c>
      <c r="B14795" s="3" t="s">
        <v>90</v>
      </c>
      <c r="C14795" s="5">
        <v>58</v>
      </c>
      <c r="D14795" s="6">
        <v>8.44</v>
      </c>
      <c r="E14795" t="s">
        <v>11</v>
      </c>
    </row>
    <row r="14796" spans="1:5" x14ac:dyDescent="0.25">
      <c r="A14796" t="str">
        <f>HYPERLINK("https://www.773grp.com/globalSearch/OPA552FAKTWT/page-1", "OPA552FAKTWT")</f>
        <v>OPA552FAKTWT</v>
      </c>
      <c r="B14796" s="3" t="s">
        <v>90</v>
      </c>
      <c r="C14796" s="5">
        <v>150</v>
      </c>
      <c r="D14796" s="6">
        <v>8.44</v>
      </c>
      <c r="E14796" t="s">
        <v>11</v>
      </c>
    </row>
    <row r="14797" spans="1:5" x14ac:dyDescent="0.25">
      <c r="A14797" t="str">
        <f>HYPERLINK("https://www.773grp.com/globalSearch/TLC1078MD/page-1", "TLC1078MD")</f>
        <v>TLC1078MD</v>
      </c>
      <c r="B14797" s="3" t="s">
        <v>90</v>
      </c>
      <c r="C14797" s="5">
        <v>3098</v>
      </c>
      <c r="D14797" s="6">
        <v>8.44</v>
      </c>
      <c r="E14797" t="s">
        <v>11</v>
      </c>
    </row>
    <row r="14798" spans="1:5" x14ac:dyDescent="0.25">
      <c r="A14798" t="str">
        <f>HYPERLINK("https://www.773grp.com/globalSearch/TLE2144AIN/page-1", "TLE2144AIN")</f>
        <v>TLE2144AIN</v>
      </c>
      <c r="B14798" s="3" t="s">
        <v>90</v>
      </c>
      <c r="C14798" s="5">
        <v>7272</v>
      </c>
      <c r="D14798" s="6">
        <v>8.44</v>
      </c>
      <c r="E14798" t="s">
        <v>11</v>
      </c>
    </row>
    <row r="14799" spans="1:5" x14ac:dyDescent="0.25">
      <c r="A14799" t="str">
        <f>HYPERLINK("https://www.773grp.com/globalSearch/OPA635N-250/page-1", "OPA635N-250")</f>
        <v>OPA635N-250</v>
      </c>
      <c r="B14799" s="3" t="s">
        <v>90</v>
      </c>
      <c r="C14799" s="5">
        <v>3000</v>
      </c>
      <c r="D14799" s="6">
        <v>8.48</v>
      </c>
      <c r="E14799" t="s">
        <v>11</v>
      </c>
    </row>
    <row r="14800" spans="1:5" x14ac:dyDescent="0.25">
      <c r="A14800" t="str">
        <f>HYPERLINK("https://www.773grp.com/globalSearch/TLC2202ID/page-1", "TLC2202ID")</f>
        <v>TLC2202ID</v>
      </c>
      <c r="B14800" s="3" t="s">
        <v>90</v>
      </c>
      <c r="C14800" s="5">
        <v>9650</v>
      </c>
      <c r="D14800" s="6">
        <v>8.49</v>
      </c>
      <c r="E14800" t="s">
        <v>11</v>
      </c>
    </row>
    <row r="14801" spans="1:5" x14ac:dyDescent="0.25">
      <c r="A14801" t="str">
        <f>HYPERLINK("https://www.773grp.com/globalSearch/OPA3681E-250/page-1", "OPA3681E-250")</f>
        <v>OPA3681E-250</v>
      </c>
      <c r="B14801" s="3" t="s">
        <v>90</v>
      </c>
      <c r="C14801" s="5">
        <v>32500</v>
      </c>
      <c r="D14801" s="6">
        <v>8.5299999999999994</v>
      </c>
      <c r="E14801" t="s">
        <v>11</v>
      </c>
    </row>
    <row r="14802" spans="1:5" x14ac:dyDescent="0.25">
      <c r="A14802" t="str">
        <f>HYPERLINK("https://www.773grp.com/globalSearch/TLE2062BIP/page-1", "TLE2062BIP")</f>
        <v>TLE2062BIP</v>
      </c>
      <c r="B14802" s="3" t="s">
        <v>90</v>
      </c>
      <c r="C14802" s="5">
        <v>16</v>
      </c>
      <c r="D14802" s="6">
        <v>8.5299999999999994</v>
      </c>
      <c r="E14802" t="s">
        <v>11</v>
      </c>
    </row>
    <row r="14803" spans="1:5" x14ac:dyDescent="0.25">
      <c r="A14803" t="str">
        <f>HYPERLINK("https://www.773grp.com/globalSearch/OPA4340EA-250/page-1", "OPA4340EA-250")</f>
        <v>OPA4340EA-250</v>
      </c>
      <c r="B14803" s="3" t="s">
        <v>90</v>
      </c>
      <c r="C14803" s="5">
        <v>3250</v>
      </c>
      <c r="D14803" s="6">
        <v>8.58</v>
      </c>
      <c r="E14803" t="s">
        <v>11</v>
      </c>
    </row>
    <row r="14804" spans="1:5" x14ac:dyDescent="0.25">
      <c r="A14804" t="str">
        <f>HYPERLINK("https://www.773grp.com/globalSearch/TL034ACN/page-1", "TL034ACN")</f>
        <v>TL034ACN</v>
      </c>
      <c r="B14804" s="3" t="s">
        <v>90</v>
      </c>
      <c r="C14804" s="5">
        <v>9747</v>
      </c>
      <c r="D14804" s="6">
        <v>8.64</v>
      </c>
      <c r="E14804" t="s">
        <v>11</v>
      </c>
    </row>
    <row r="14805" spans="1:5" x14ac:dyDescent="0.25">
      <c r="A14805" t="str">
        <f>HYPERLINK("https://www.773grp.com/globalSearch/TL034AID/page-1", "TL034AID")</f>
        <v>TL034AID</v>
      </c>
      <c r="B14805" s="3" t="s">
        <v>90</v>
      </c>
      <c r="C14805" s="5">
        <v>951</v>
      </c>
      <c r="D14805" s="6">
        <v>8.64</v>
      </c>
      <c r="E14805" t="s">
        <v>11</v>
      </c>
    </row>
    <row r="14806" spans="1:5" x14ac:dyDescent="0.25">
      <c r="A14806" t="str">
        <f>HYPERLINK("https://www.773grp.com/globalSearch/TLE2074ACN/page-1", "TLE2074ACN")</f>
        <v>TLE2074ACN</v>
      </c>
      <c r="B14806" s="3" t="s">
        <v>90</v>
      </c>
      <c r="C14806" s="5">
        <v>25695</v>
      </c>
      <c r="D14806" s="6">
        <v>8.73</v>
      </c>
      <c r="E14806" t="s">
        <v>11</v>
      </c>
    </row>
    <row r="14807" spans="1:5" x14ac:dyDescent="0.25">
      <c r="A14807" t="str">
        <f>HYPERLINK("https://www.773grp.com/globalSearch/INA117P/page-1", "INA117P")</f>
        <v>INA117P</v>
      </c>
      <c r="B14807" s="3" t="s">
        <v>90</v>
      </c>
      <c r="C14807" s="5">
        <v>5775</v>
      </c>
      <c r="D14807" s="6">
        <v>8.74</v>
      </c>
      <c r="E14807" t="s">
        <v>11</v>
      </c>
    </row>
    <row r="14808" spans="1:5" x14ac:dyDescent="0.25">
      <c r="A14808" t="str">
        <f>HYPERLINK("https://www.773grp.com/globalSearch/LT1001CJG/page-1", "LT1001CJG")</f>
        <v>LT1001CJG</v>
      </c>
      <c r="B14808" s="3" t="s">
        <v>90</v>
      </c>
      <c r="C14808" s="5">
        <v>49</v>
      </c>
      <c r="D14808" s="6">
        <v>8.74</v>
      </c>
      <c r="E14808" t="s">
        <v>11</v>
      </c>
    </row>
    <row r="14809" spans="1:5" x14ac:dyDescent="0.25">
      <c r="A14809" t="str">
        <f>HYPERLINK("https://www.773grp.com/globalSearch/OPA4820IDR/page-1", "OPA4820IDR")</f>
        <v>OPA4820IDR</v>
      </c>
      <c r="B14809" s="3" t="s">
        <v>90</v>
      </c>
      <c r="C14809" s="5">
        <v>2500</v>
      </c>
      <c r="D14809" s="6">
        <v>8.81</v>
      </c>
      <c r="E14809" t="s">
        <v>11</v>
      </c>
    </row>
    <row r="14810" spans="1:5" x14ac:dyDescent="0.25">
      <c r="A14810" t="str">
        <f>HYPERLINK("https://www.773grp.com/globalSearch/OPA4820IPWR/page-1", "OPA4820IPWR")</f>
        <v>OPA4820IPWR</v>
      </c>
      <c r="B14810" s="3" t="s">
        <v>90</v>
      </c>
      <c r="C14810" s="5">
        <v>5000</v>
      </c>
      <c r="D14810" s="6">
        <v>8.81</v>
      </c>
      <c r="E14810" t="s">
        <v>11</v>
      </c>
    </row>
    <row r="14811" spans="1:5" x14ac:dyDescent="0.25">
      <c r="A14811" t="str">
        <f>HYPERLINK("https://www.773grp.com/globalSearch/THS4131IDGKR/page-1", "THS4131IDGKR")</f>
        <v>THS4131IDGKR</v>
      </c>
      <c r="B14811" s="3" t="s">
        <v>90</v>
      </c>
      <c r="C14811" s="5">
        <v>4640</v>
      </c>
      <c r="D14811" s="6">
        <v>8.81</v>
      </c>
      <c r="E14811" t="s">
        <v>11</v>
      </c>
    </row>
    <row r="14812" spans="1:5" x14ac:dyDescent="0.25">
      <c r="A14812" t="str">
        <f>HYPERLINK("https://www.773grp.com/globalSearch/OPA4340UA/page-1", "OPA4340UA")</f>
        <v>OPA4340UA</v>
      </c>
      <c r="B14812" s="3" t="s">
        <v>90</v>
      </c>
      <c r="C14812" s="5">
        <v>781</v>
      </c>
      <c r="D14812" s="6">
        <v>8.83</v>
      </c>
      <c r="E14812" t="s">
        <v>11</v>
      </c>
    </row>
    <row r="14813" spans="1:5" x14ac:dyDescent="0.25">
      <c r="A14813" t="str">
        <f>HYPERLINK("https://www.773grp.com/globalSearch/OPA860ID/page-1", "OPA860ID")</f>
        <v>OPA860ID</v>
      </c>
      <c r="B14813" s="3" t="s">
        <v>90</v>
      </c>
      <c r="C14813" s="5">
        <v>1530</v>
      </c>
      <c r="D14813" s="6">
        <v>8.83</v>
      </c>
      <c r="E14813" t="s">
        <v>11</v>
      </c>
    </row>
    <row r="14814" spans="1:5" x14ac:dyDescent="0.25">
      <c r="A14814" t="str">
        <f>HYPERLINK("https://www.773grp.com/globalSearch/OPA860ID/page-1", "OPA860ID")</f>
        <v>OPA860ID</v>
      </c>
      <c r="B14814" s="3" t="s">
        <v>90</v>
      </c>
      <c r="C14814" s="5">
        <v>16292</v>
      </c>
      <c r="D14814" s="6">
        <v>8.83</v>
      </c>
      <c r="E14814" t="s">
        <v>11</v>
      </c>
    </row>
    <row r="14815" spans="1:5" x14ac:dyDescent="0.25">
      <c r="A14815" t="str">
        <f>HYPERLINK("https://www.773grp.com/globalSearch/OPA132U/page-1", "OPA132U")</f>
        <v>OPA132U</v>
      </c>
      <c r="B14815" s="3" t="s">
        <v>90</v>
      </c>
      <c r="C14815" s="5">
        <v>20267</v>
      </c>
      <c r="D14815" s="6">
        <v>8.86</v>
      </c>
      <c r="E14815" t="s">
        <v>11</v>
      </c>
    </row>
    <row r="14816" spans="1:5" x14ac:dyDescent="0.25">
      <c r="A14816" t="str">
        <f>HYPERLINK("https://www.773grp.com/globalSearch/TLC2202BCP/page-1", "TLC2202BCP")</f>
        <v>TLC2202BCP</v>
      </c>
      <c r="B14816" s="3" t="s">
        <v>90</v>
      </c>
      <c r="C14816" s="5">
        <v>650</v>
      </c>
      <c r="D14816" s="6">
        <v>8.89</v>
      </c>
      <c r="E14816" t="s">
        <v>11</v>
      </c>
    </row>
    <row r="14817" spans="1:5" x14ac:dyDescent="0.25">
      <c r="A14817" t="str">
        <f>HYPERLINK("https://www.773grp.com/globalSearch/THS4302RGTR/page-1", "THS4302RGTR")</f>
        <v>THS4302RGTR</v>
      </c>
      <c r="B14817" s="3" t="s">
        <v>90</v>
      </c>
      <c r="C14817" s="5">
        <v>10928</v>
      </c>
      <c r="D14817" s="6">
        <v>8.91</v>
      </c>
      <c r="E14817" t="s">
        <v>11</v>
      </c>
    </row>
    <row r="14818" spans="1:5" x14ac:dyDescent="0.25">
      <c r="A14818" t="str">
        <f>HYPERLINK("https://www.773grp.com/globalSearch/THS4130IDR/page-1", "THS4130IDR")</f>
        <v>THS4130IDR</v>
      </c>
      <c r="B14818" s="3" t="s">
        <v>90</v>
      </c>
      <c r="C14818" s="5">
        <v>2500</v>
      </c>
      <c r="D14818" s="6">
        <v>8.9499999999999993</v>
      </c>
      <c r="E14818" t="s">
        <v>11</v>
      </c>
    </row>
    <row r="14819" spans="1:5" x14ac:dyDescent="0.25">
      <c r="A14819" t="str">
        <f>HYPERLINK("https://www.773grp.com/globalSearch/TL082MJG/page-1", "TL082MJG")</f>
        <v>TL082MJG</v>
      </c>
      <c r="B14819" s="3" t="s">
        <v>90</v>
      </c>
      <c r="C14819" s="5">
        <v>435</v>
      </c>
      <c r="D14819" s="6">
        <v>8.9499999999999993</v>
      </c>
      <c r="E14819" t="s">
        <v>11</v>
      </c>
    </row>
    <row r="14820" spans="1:5" x14ac:dyDescent="0.25">
      <c r="A14820" t="str">
        <f>HYPERLINK("https://www.773grp.com/globalSearch/TLC2202ACDR/page-1", "TLC2202ACDR")</f>
        <v>TLC2202ACDR</v>
      </c>
      <c r="B14820" s="3" t="s">
        <v>90</v>
      </c>
      <c r="C14820" s="5">
        <v>7500</v>
      </c>
      <c r="D14820" s="6">
        <v>8.98</v>
      </c>
      <c r="E14820" t="s">
        <v>11</v>
      </c>
    </row>
    <row r="14821" spans="1:5" x14ac:dyDescent="0.25">
      <c r="A14821" t="str">
        <f>HYPERLINK("https://www.773grp.com/globalSearch/OPA129U/page-1", "OPA129U")</f>
        <v>OPA129U</v>
      </c>
      <c r="B14821" s="3" t="s">
        <v>90</v>
      </c>
      <c r="C14821" s="5">
        <v>4352</v>
      </c>
      <c r="D14821" s="6">
        <v>9</v>
      </c>
      <c r="E14821" t="s">
        <v>11</v>
      </c>
    </row>
    <row r="14822" spans="1:5" x14ac:dyDescent="0.25">
      <c r="A14822" t="str">
        <f>HYPERLINK("https://www.773grp.com/globalSearch/OPA129U/page-1", "OPA129U")</f>
        <v>OPA129U</v>
      </c>
      <c r="B14822" s="3" t="s">
        <v>90</v>
      </c>
      <c r="C14822" s="5">
        <v>275</v>
      </c>
      <c r="D14822" s="6">
        <v>9</v>
      </c>
      <c r="E14822" t="s">
        <v>11</v>
      </c>
    </row>
    <row r="14823" spans="1:5" x14ac:dyDescent="0.25">
      <c r="A14823" t="str">
        <f>HYPERLINK("https://www.773grp.com/globalSearch/LT1001CD/page-1", "LT1001CD")</f>
        <v>LT1001CD</v>
      </c>
      <c r="B14823" s="3" t="s">
        <v>90</v>
      </c>
      <c r="C14823" s="5">
        <v>800</v>
      </c>
      <c r="D14823" s="6">
        <v>9.06</v>
      </c>
      <c r="E14823" t="s">
        <v>11</v>
      </c>
    </row>
    <row r="14824" spans="1:5" x14ac:dyDescent="0.25">
      <c r="A14824" t="str">
        <f>HYPERLINK("https://www.773grp.com/globalSearch/THS4012CDR/page-1", "THS4012CDR")</f>
        <v>THS4012CDR</v>
      </c>
      <c r="B14824" s="3" t="s">
        <v>90</v>
      </c>
      <c r="C14824" s="5">
        <v>10000</v>
      </c>
      <c r="D14824" s="6">
        <v>9.08</v>
      </c>
      <c r="E14824" t="s">
        <v>11</v>
      </c>
    </row>
    <row r="14825" spans="1:5" x14ac:dyDescent="0.25">
      <c r="A14825" t="str">
        <f>HYPERLINK("https://www.773grp.com/globalSearch/INA117KU/page-1", "INA117KU")</f>
        <v>INA117KU</v>
      </c>
      <c r="B14825" s="3" t="s">
        <v>90</v>
      </c>
      <c r="C14825" s="5">
        <v>450</v>
      </c>
      <c r="D14825" s="6">
        <v>9.15</v>
      </c>
      <c r="E14825" t="s">
        <v>11</v>
      </c>
    </row>
    <row r="14826" spans="1:5" x14ac:dyDescent="0.25">
      <c r="A14826" t="str">
        <f>HYPERLINK("https://www.773grp.com/globalSearch/OPA2140AID/page-1", "OPA2140AID")</f>
        <v>OPA2140AID</v>
      </c>
      <c r="B14826" s="3" t="s">
        <v>90</v>
      </c>
      <c r="C14826" s="5">
        <v>46</v>
      </c>
      <c r="D14826" s="6">
        <v>9.15</v>
      </c>
      <c r="E14826" t="s">
        <v>11</v>
      </c>
    </row>
    <row r="14827" spans="1:5" x14ac:dyDescent="0.25">
      <c r="A14827" t="str">
        <f>HYPERLINK("https://www.773grp.com/globalSearch/OPA551FAKTWT/page-1", "OPA551FAKTWT")</f>
        <v>OPA551FAKTWT</v>
      </c>
      <c r="B14827" s="3" t="s">
        <v>90</v>
      </c>
      <c r="C14827" s="5">
        <v>5129</v>
      </c>
      <c r="D14827" s="6">
        <v>9.15</v>
      </c>
      <c r="E14827" t="s">
        <v>11</v>
      </c>
    </row>
    <row r="14828" spans="1:5" x14ac:dyDescent="0.25">
      <c r="A14828" t="str">
        <f>HYPERLINK("https://www.773grp.com/globalSearch/THS4042CDR/page-1", "THS4042CDR")</f>
        <v>THS4042CDR</v>
      </c>
      <c r="B14828" s="3" t="s">
        <v>90</v>
      </c>
      <c r="C14828" s="5">
        <v>1794</v>
      </c>
      <c r="D14828" s="6">
        <v>9.15</v>
      </c>
      <c r="E14828" t="s">
        <v>11</v>
      </c>
    </row>
    <row r="14829" spans="1:5" x14ac:dyDescent="0.25">
      <c r="A14829" t="str">
        <f>HYPERLINK("https://www.773grp.com/globalSearch/LT1014DDW/page-1", "LT1014DDW")</f>
        <v>LT1014DDW</v>
      </c>
      <c r="B14829" s="3" t="s">
        <v>90</v>
      </c>
      <c r="C14829" s="5">
        <v>583</v>
      </c>
      <c r="D14829" s="6">
        <v>9.25</v>
      </c>
      <c r="E14829" t="s">
        <v>11</v>
      </c>
    </row>
    <row r="14830" spans="1:5" x14ac:dyDescent="0.25">
      <c r="A14830" t="str">
        <f>HYPERLINK("https://www.773grp.com/globalSearch/OPA2658P/page-1", "OPA2658P")</f>
        <v>OPA2658P</v>
      </c>
      <c r="B14830" s="3" t="s">
        <v>90</v>
      </c>
      <c r="C14830" s="5">
        <v>48</v>
      </c>
      <c r="D14830" s="6">
        <v>9.2899999999999991</v>
      </c>
      <c r="E14830" t="s">
        <v>11</v>
      </c>
    </row>
    <row r="14831" spans="1:5" x14ac:dyDescent="0.25">
      <c r="A14831" t="str">
        <f>HYPERLINK("https://www.773grp.com/globalSearch/OPA452FAKTWT/page-1", "OPA452FAKTWT")</f>
        <v>OPA452FAKTWT</v>
      </c>
      <c r="B14831" s="3" t="s">
        <v>90</v>
      </c>
      <c r="C14831" s="5">
        <v>3400</v>
      </c>
      <c r="D14831" s="6">
        <v>9.2899999999999991</v>
      </c>
      <c r="E14831" t="s">
        <v>11</v>
      </c>
    </row>
    <row r="14832" spans="1:5" x14ac:dyDescent="0.25">
      <c r="A14832" t="str">
        <f>HYPERLINK("https://www.773grp.com/globalSearch/OPA564AIDWD/page-1", "OPA564AIDWD")</f>
        <v>OPA564AIDWD</v>
      </c>
      <c r="B14832" s="3" t="s">
        <v>90</v>
      </c>
      <c r="C14832" s="5">
        <v>8678</v>
      </c>
      <c r="D14832" s="6">
        <v>9.2899999999999991</v>
      </c>
      <c r="E14832" t="s">
        <v>11</v>
      </c>
    </row>
    <row r="14833" spans="1:5" x14ac:dyDescent="0.25">
      <c r="A14833" t="str">
        <f>HYPERLINK("https://www.773grp.com/globalSearch/OPA564AIDWP/page-1", "OPA564AIDWP")</f>
        <v>OPA564AIDWP</v>
      </c>
      <c r="B14833" s="3" t="s">
        <v>90</v>
      </c>
      <c r="C14833" s="5">
        <v>1</v>
      </c>
      <c r="D14833" s="6">
        <v>9.2899999999999991</v>
      </c>
      <c r="E14833" t="s">
        <v>11</v>
      </c>
    </row>
    <row r="14834" spans="1:5" x14ac:dyDescent="0.25">
      <c r="A14834" t="str">
        <f>HYPERLINK("https://www.773grp.com/globalSearch/OPA689P/page-1", "OPA689P")</f>
        <v>OPA689P</v>
      </c>
      <c r="B14834" s="3" t="s">
        <v>90</v>
      </c>
      <c r="C14834" s="5">
        <v>6638</v>
      </c>
      <c r="D14834" s="6">
        <v>9.2899999999999991</v>
      </c>
      <c r="E14834" t="s">
        <v>11</v>
      </c>
    </row>
    <row r="14835" spans="1:5" x14ac:dyDescent="0.25">
      <c r="A14835" t="str">
        <f>HYPERLINK("https://www.773grp.com/globalSearch/OPA689P/page-1", "OPA689P")</f>
        <v>OPA689P</v>
      </c>
      <c r="B14835" s="3" t="s">
        <v>90</v>
      </c>
      <c r="C14835" s="5">
        <v>148</v>
      </c>
      <c r="D14835" s="6">
        <v>9.2899999999999991</v>
      </c>
      <c r="E14835" t="s">
        <v>11</v>
      </c>
    </row>
    <row r="14836" spans="1:5" x14ac:dyDescent="0.25">
      <c r="A14836" t="str">
        <f>HYPERLINK("https://www.773grp.com/globalSearch/THS4524IDBTR/page-1", "THS4524IDBTR")</f>
        <v>THS4524IDBTR</v>
      </c>
      <c r="B14836" s="3" t="s">
        <v>90</v>
      </c>
      <c r="C14836" s="5">
        <v>13</v>
      </c>
      <c r="D14836" s="6">
        <v>9.2899999999999991</v>
      </c>
      <c r="E14836" t="s">
        <v>11</v>
      </c>
    </row>
    <row r="14837" spans="1:5" x14ac:dyDescent="0.25">
      <c r="A14837" t="str">
        <f>HYPERLINK("https://www.773grp.com/globalSearch/TLE2074AIN/page-1", "TLE2074AIN")</f>
        <v>TLE2074AIN</v>
      </c>
      <c r="B14837" s="3" t="s">
        <v>90</v>
      </c>
      <c r="C14837" s="5">
        <v>780</v>
      </c>
      <c r="D14837" s="6">
        <v>9.2899999999999991</v>
      </c>
      <c r="E14837" t="s">
        <v>11</v>
      </c>
    </row>
    <row r="14838" spans="1:5" x14ac:dyDescent="0.25">
      <c r="A14838" t="str">
        <f>HYPERLINK("https://www.773grp.com/globalSearch/TLC1079CDR/page-1", "TLC1079CDR")</f>
        <v>TLC1079CDR</v>
      </c>
      <c r="B14838" s="3" t="s">
        <v>90</v>
      </c>
      <c r="C14838" s="5">
        <v>2500</v>
      </c>
      <c r="D14838" s="6">
        <v>9.4</v>
      </c>
      <c r="E14838" t="s">
        <v>11</v>
      </c>
    </row>
    <row r="14839" spans="1:5" x14ac:dyDescent="0.25">
      <c r="A14839" t="str">
        <f>HYPERLINK("https://www.773grp.com/globalSearch/TLC2202AID/page-1", "TLC2202AID")</f>
        <v>TLC2202AID</v>
      </c>
      <c r="B14839" s="3" t="s">
        <v>90</v>
      </c>
      <c r="C14839" s="5">
        <v>964</v>
      </c>
      <c r="D14839" s="6">
        <v>9.4</v>
      </c>
      <c r="E14839" t="s">
        <v>11</v>
      </c>
    </row>
    <row r="14840" spans="1:5" x14ac:dyDescent="0.25">
      <c r="A14840" t="str">
        <f>HYPERLINK("https://www.773grp.com/globalSearch/TL034AIN/page-1", "TL034AIN")</f>
        <v>TL034AIN</v>
      </c>
      <c r="B14840" s="3" t="s">
        <v>90</v>
      </c>
      <c r="C14840" s="5">
        <v>1710</v>
      </c>
      <c r="D14840" s="6">
        <v>9.4499999999999993</v>
      </c>
      <c r="E14840" t="s">
        <v>11</v>
      </c>
    </row>
    <row r="14841" spans="1:5" x14ac:dyDescent="0.25">
      <c r="A14841" t="str">
        <f>HYPERLINK("https://www.773grp.com/globalSearch/TLC2202IP/page-1", "TLC2202IP")</f>
        <v>TLC2202IP</v>
      </c>
      <c r="B14841" s="3" t="s">
        <v>90</v>
      </c>
      <c r="C14841" s="5">
        <v>135</v>
      </c>
      <c r="D14841" s="6">
        <v>9.4499999999999993</v>
      </c>
      <c r="E14841" t="s">
        <v>11</v>
      </c>
    </row>
    <row r="14842" spans="1:5" x14ac:dyDescent="0.25">
      <c r="A14842" t="str">
        <f>HYPERLINK("https://www.773grp.com/globalSearch/TLC2202BID/page-1", "TLC2202BID")</f>
        <v>TLC2202BID</v>
      </c>
      <c r="B14842" s="3" t="s">
        <v>90</v>
      </c>
      <c r="C14842" s="5">
        <v>610</v>
      </c>
      <c r="D14842" s="6">
        <v>9.5</v>
      </c>
      <c r="E14842" t="s">
        <v>11</v>
      </c>
    </row>
    <row r="14843" spans="1:5" x14ac:dyDescent="0.25">
      <c r="A14843" t="str">
        <f>HYPERLINK("https://www.773grp.com/globalSearch/TLC2202BIP/page-1", "TLC2202BIP")</f>
        <v>TLC2202BIP</v>
      </c>
      <c r="B14843" s="3" t="s">
        <v>90</v>
      </c>
      <c r="C14843" s="5">
        <v>475</v>
      </c>
      <c r="D14843" s="6">
        <v>9.5</v>
      </c>
      <c r="E14843" t="s">
        <v>11</v>
      </c>
    </row>
    <row r="14844" spans="1:5" x14ac:dyDescent="0.25">
      <c r="A14844" t="str">
        <f>HYPERLINK("https://www.773grp.com/globalSearch/OPA3691IDBQR/page-1", "OPA3691IDBQR")</f>
        <v>OPA3691IDBQR</v>
      </c>
      <c r="B14844" s="3" t="s">
        <v>90</v>
      </c>
      <c r="C14844" s="5">
        <v>14800</v>
      </c>
      <c r="D14844" s="6">
        <v>9.56</v>
      </c>
      <c r="E14844" t="s">
        <v>11</v>
      </c>
    </row>
    <row r="14845" spans="1:5" x14ac:dyDescent="0.25">
      <c r="A14845" t="str">
        <f>HYPERLINK("https://www.773grp.com/globalSearch/OPA3691IDR/page-1", "OPA3691IDR")</f>
        <v>OPA3691IDR</v>
      </c>
      <c r="B14845" s="3" t="s">
        <v>90</v>
      </c>
      <c r="C14845" s="5">
        <v>14885</v>
      </c>
      <c r="D14845" s="6">
        <v>9.56</v>
      </c>
      <c r="E14845" t="s">
        <v>11</v>
      </c>
    </row>
    <row r="14846" spans="1:5" x14ac:dyDescent="0.25">
      <c r="A14846" t="str">
        <f>HYPERLINK("https://www.773grp.com/globalSearch/OPA653IDBVT/page-1", "OPA653IDBVT")</f>
        <v>OPA653IDBVT</v>
      </c>
      <c r="B14846" s="3" t="s">
        <v>90</v>
      </c>
      <c r="C14846" s="5">
        <v>1201</v>
      </c>
      <c r="D14846" s="6">
        <v>9.56</v>
      </c>
      <c r="E14846" t="s">
        <v>11</v>
      </c>
    </row>
    <row r="14847" spans="1:5" x14ac:dyDescent="0.25">
      <c r="A14847" t="str">
        <f>HYPERLINK("https://www.773grp.com/globalSearch/OPA653IDRBT/page-1", "OPA653IDRBT")</f>
        <v>OPA653IDRBT</v>
      </c>
      <c r="B14847" s="3" t="s">
        <v>90</v>
      </c>
      <c r="C14847" s="5">
        <v>4564</v>
      </c>
      <c r="D14847" s="6">
        <v>9.56</v>
      </c>
      <c r="E14847" t="s">
        <v>11</v>
      </c>
    </row>
    <row r="14848" spans="1:5" x14ac:dyDescent="0.25">
      <c r="A14848" t="str">
        <f>HYPERLINK("https://www.773grp.com/globalSearch/OPA659IDBVT/page-1", "OPA659IDBVT")</f>
        <v>OPA659IDBVT</v>
      </c>
      <c r="B14848" s="3" t="s">
        <v>90</v>
      </c>
      <c r="C14848" s="5">
        <v>4503</v>
      </c>
      <c r="D14848" s="6">
        <v>9.56</v>
      </c>
      <c r="E14848" t="s">
        <v>11</v>
      </c>
    </row>
    <row r="14849" spans="1:5" x14ac:dyDescent="0.25">
      <c r="A14849" t="str">
        <f>HYPERLINK("https://www.773grp.com/globalSearch/OPA659IDRBT/page-1", "OPA659IDRBT")</f>
        <v>OPA659IDRBT</v>
      </c>
      <c r="B14849" s="3" t="s">
        <v>90</v>
      </c>
      <c r="C14849" s="5">
        <v>8975</v>
      </c>
      <c r="D14849" s="6">
        <v>9.56</v>
      </c>
      <c r="E14849" t="s">
        <v>11</v>
      </c>
    </row>
    <row r="14850" spans="1:5" x14ac:dyDescent="0.25">
      <c r="A14850" t="str">
        <f>HYPERLINK("https://www.773grp.com/globalSearch/OPA2650P/page-1", "OPA2650P")</f>
        <v>OPA2650P</v>
      </c>
      <c r="B14850" s="3" t="s">
        <v>90</v>
      </c>
      <c r="C14850" s="5">
        <v>489</v>
      </c>
      <c r="D14850" s="6">
        <v>9.65</v>
      </c>
      <c r="E14850" t="s">
        <v>11</v>
      </c>
    </row>
    <row r="14851" spans="1:5" x14ac:dyDescent="0.25">
      <c r="A14851" t="str">
        <f>HYPERLINK("https://www.773grp.com/globalSearch/THS4012CDGNR/page-1", "THS4012CDGNR")</f>
        <v>THS4012CDGNR</v>
      </c>
      <c r="B14851" s="3" t="s">
        <v>90</v>
      </c>
      <c r="C14851" s="5">
        <v>13511</v>
      </c>
      <c r="D14851" s="6">
        <v>9.65</v>
      </c>
      <c r="E14851" t="s">
        <v>11</v>
      </c>
    </row>
    <row r="14852" spans="1:5" x14ac:dyDescent="0.25">
      <c r="A14852" t="str">
        <f>HYPERLINK("https://www.773grp.com/globalSearch/TLC2202AMD/page-1", "TLC2202AMD")</f>
        <v>TLC2202AMD</v>
      </c>
      <c r="B14852" s="3" t="s">
        <v>90</v>
      </c>
      <c r="C14852" s="5">
        <v>90</v>
      </c>
      <c r="D14852" s="6">
        <v>9.65</v>
      </c>
      <c r="E14852" t="s">
        <v>11</v>
      </c>
    </row>
    <row r="14853" spans="1:5" x14ac:dyDescent="0.25">
      <c r="A14853" t="str">
        <f>HYPERLINK("https://www.773grp.com/globalSearch/OPA211AIDR/page-1", "OPA211AIDR")</f>
        <v>OPA211AIDR</v>
      </c>
      <c r="B14853" s="3" t="s">
        <v>90</v>
      </c>
      <c r="C14853" s="5">
        <v>15000</v>
      </c>
      <c r="D14853" s="6">
        <v>9.6999999999999993</v>
      </c>
      <c r="E14853" t="s">
        <v>11</v>
      </c>
    </row>
    <row r="14854" spans="1:5" x14ac:dyDescent="0.25">
      <c r="A14854" t="str">
        <f>HYPERLINK("https://www.773grp.com/globalSearch/OPA4234UA-2K5/page-1", "OPA4234UA-2K5")</f>
        <v>OPA4234UA-2K5</v>
      </c>
      <c r="B14854" s="3" t="s">
        <v>90</v>
      </c>
      <c r="C14854" s="5">
        <v>17500</v>
      </c>
      <c r="D14854" s="6">
        <v>9.6999999999999993</v>
      </c>
      <c r="E14854" t="s">
        <v>11</v>
      </c>
    </row>
    <row r="14855" spans="1:5" x14ac:dyDescent="0.25">
      <c r="A14855" t="str">
        <f>HYPERLINK("https://www.773grp.com/globalSearch/OPA642N-3K/page-1", "OPA642N-3K")</f>
        <v>OPA642N-3K</v>
      </c>
      <c r="B14855" s="3" t="s">
        <v>90</v>
      </c>
      <c r="C14855" s="5">
        <v>2840</v>
      </c>
      <c r="D14855" s="6">
        <v>9.6999999999999993</v>
      </c>
      <c r="E14855" t="s">
        <v>11</v>
      </c>
    </row>
    <row r="14856" spans="1:5" x14ac:dyDescent="0.25">
      <c r="A14856" t="str">
        <f>HYPERLINK("https://www.773grp.com/globalSearch/OPA3681U-2K5/page-1", "OPA3681U-2K5")</f>
        <v>OPA3681U-2K5</v>
      </c>
      <c r="B14856" s="3" t="s">
        <v>90</v>
      </c>
      <c r="C14856" s="5">
        <v>22500</v>
      </c>
      <c r="D14856" s="6">
        <v>9.75</v>
      </c>
      <c r="E14856" t="s">
        <v>11</v>
      </c>
    </row>
    <row r="14857" spans="1:5" x14ac:dyDescent="0.25">
      <c r="A14857" t="str">
        <f>HYPERLINK("https://www.773grp.com/globalSearch/LT1001CDR/page-1", "LT1001CDR")</f>
        <v>LT1001CDR</v>
      </c>
      <c r="B14857" s="3" t="s">
        <v>90</v>
      </c>
      <c r="C14857" s="5">
        <v>1000</v>
      </c>
      <c r="D14857" s="6">
        <v>9.84</v>
      </c>
      <c r="E14857" t="s">
        <v>11</v>
      </c>
    </row>
    <row r="14858" spans="1:5" x14ac:dyDescent="0.25">
      <c r="A14858" t="str">
        <f>HYPERLINK("https://www.773grp.com/globalSearch/OPA4131PJ/page-1", "OPA4131PJ")</f>
        <v>OPA4131PJ</v>
      </c>
      <c r="B14858" s="3" t="s">
        <v>90</v>
      </c>
      <c r="C14858" s="5">
        <v>6525</v>
      </c>
      <c r="D14858" s="6">
        <v>9.84</v>
      </c>
      <c r="E14858" t="s">
        <v>11</v>
      </c>
    </row>
    <row r="14859" spans="1:5" x14ac:dyDescent="0.25">
      <c r="A14859" t="str">
        <f>HYPERLINK("https://www.773grp.com/globalSearch/OPA4131PJ/page-1", "OPA4131PJ")</f>
        <v>OPA4131PJ</v>
      </c>
      <c r="B14859" s="3" t="s">
        <v>90</v>
      </c>
      <c r="C14859" s="5">
        <v>5</v>
      </c>
      <c r="D14859" s="6">
        <v>9.84</v>
      </c>
      <c r="E14859" t="s">
        <v>11</v>
      </c>
    </row>
    <row r="14860" spans="1:5" x14ac:dyDescent="0.25">
      <c r="A14860" t="str">
        <f>HYPERLINK("https://www.773grp.com/globalSearch/OPA4743UA/page-1", "OPA4743UA")</f>
        <v>OPA4743UA</v>
      </c>
      <c r="B14860" s="3" t="s">
        <v>90</v>
      </c>
      <c r="C14860" s="5">
        <v>22</v>
      </c>
      <c r="D14860" s="6">
        <v>9.84</v>
      </c>
      <c r="E14860" t="s">
        <v>11</v>
      </c>
    </row>
    <row r="14861" spans="1:5" x14ac:dyDescent="0.25">
      <c r="A14861" t="str">
        <f>HYPERLINK("https://www.773grp.com/globalSearch/TLC1079IDR/page-1", "TLC1079IDR")</f>
        <v>TLC1079IDR</v>
      </c>
      <c r="B14861" s="3" t="s">
        <v>90</v>
      </c>
      <c r="C14861" s="5">
        <v>89</v>
      </c>
      <c r="D14861" s="6">
        <v>9.84</v>
      </c>
      <c r="E14861" t="s">
        <v>11</v>
      </c>
    </row>
    <row r="14862" spans="1:5" x14ac:dyDescent="0.25">
      <c r="A14862" t="str">
        <f>HYPERLINK("https://www.773grp.com/globalSearch/OPA3681E-2K5/page-1", "OPA3681E-2K5")</f>
        <v>OPA3681E-2K5</v>
      </c>
      <c r="B14862" s="3" t="s">
        <v>90</v>
      </c>
      <c r="C14862" s="5">
        <v>12500</v>
      </c>
      <c r="D14862" s="6">
        <v>9.93</v>
      </c>
      <c r="E14862" t="s">
        <v>11</v>
      </c>
    </row>
    <row r="14863" spans="1:5" x14ac:dyDescent="0.25">
      <c r="A14863" t="str">
        <f>HYPERLINK("https://www.773grp.com/globalSearch/THS4012IDGNR/page-1", "THS4012IDGNR")</f>
        <v>THS4012IDGNR</v>
      </c>
      <c r="B14863" s="3" t="s">
        <v>90</v>
      </c>
      <c r="C14863" s="5">
        <v>10000</v>
      </c>
      <c r="D14863" s="6">
        <v>9.93</v>
      </c>
      <c r="E14863" t="s">
        <v>11</v>
      </c>
    </row>
    <row r="14864" spans="1:5" x14ac:dyDescent="0.25">
      <c r="A14864" t="str">
        <f>HYPERLINK("https://www.773grp.com/globalSearch/OPA687U/page-1", "OPA687U")</f>
        <v>OPA687U</v>
      </c>
      <c r="B14864" s="3" t="s">
        <v>90</v>
      </c>
      <c r="C14864" s="5">
        <v>5169</v>
      </c>
      <c r="D14864" s="6">
        <v>9.99</v>
      </c>
      <c r="E14864" t="s">
        <v>11</v>
      </c>
    </row>
    <row r="14865" spans="1:5" x14ac:dyDescent="0.25">
      <c r="A14865" t="str">
        <f>HYPERLINK("https://www.773grp.com/globalSearch/LT1014DMDW/page-1", "LT1014DMDW")</f>
        <v>LT1014DMDW</v>
      </c>
      <c r="B14865" s="3" t="s">
        <v>90</v>
      </c>
      <c r="C14865" s="5">
        <v>65</v>
      </c>
      <c r="D14865" s="6">
        <v>10.039999999999999</v>
      </c>
      <c r="E14865" t="s">
        <v>11</v>
      </c>
    </row>
    <row r="14866" spans="1:5" x14ac:dyDescent="0.25">
      <c r="A14866" t="str">
        <f>HYPERLINK("https://www.773grp.com/globalSearch/LT1014DMDWG4/page-1", "LT1014DMDWG4")</f>
        <v>LT1014DMDWG4</v>
      </c>
      <c r="B14866" s="3" t="s">
        <v>90</v>
      </c>
      <c r="C14866" s="5">
        <v>720</v>
      </c>
      <c r="D14866" s="6">
        <v>10.039999999999999</v>
      </c>
      <c r="E14866" t="s">
        <v>11</v>
      </c>
    </row>
    <row r="14867" spans="1:5" x14ac:dyDescent="0.25">
      <c r="A14867" t="str">
        <f>HYPERLINK("https://www.773grp.com/globalSearch/TLE2021MP/page-1", "TLE2021MP")</f>
        <v>TLE2021MP</v>
      </c>
      <c r="B14867" s="3" t="s">
        <v>90</v>
      </c>
      <c r="C14867" s="5">
        <v>1141</v>
      </c>
      <c r="D14867" s="6">
        <v>10.039999999999999</v>
      </c>
      <c r="E14867" t="s">
        <v>11</v>
      </c>
    </row>
    <row r="14868" spans="1:5" x14ac:dyDescent="0.25">
      <c r="A14868" t="str">
        <f>HYPERLINK("https://www.773grp.com/globalSearch/THS4032CDR/page-1", "THS4032CDR")</f>
        <v>THS4032CDR</v>
      </c>
      <c r="B14868" s="3" t="s">
        <v>90</v>
      </c>
      <c r="C14868" s="5">
        <v>5000</v>
      </c>
      <c r="D14868" s="6">
        <v>10.08</v>
      </c>
      <c r="E14868" t="s">
        <v>11</v>
      </c>
    </row>
    <row r="14869" spans="1:5" x14ac:dyDescent="0.25">
      <c r="A14869" t="str">
        <f>HYPERLINK("https://www.773grp.com/globalSearch/THS4131CD/page-1", "THS4131CD")</f>
        <v>THS4131CD</v>
      </c>
      <c r="B14869" s="3" t="s">
        <v>90</v>
      </c>
      <c r="C14869" s="5">
        <v>1</v>
      </c>
      <c r="D14869" s="6">
        <v>10.210000000000001</v>
      </c>
      <c r="E14869" t="s">
        <v>11</v>
      </c>
    </row>
    <row r="14870" spans="1:5" x14ac:dyDescent="0.25">
      <c r="A14870" t="str">
        <f>HYPERLINK("https://www.773grp.com/globalSearch/THS4131CDGK/page-1", "THS4131CDGK")</f>
        <v>THS4131CDGK</v>
      </c>
      <c r="B14870" s="3" t="s">
        <v>90</v>
      </c>
      <c r="C14870" s="5">
        <v>5811</v>
      </c>
      <c r="D14870" s="6">
        <v>10.210000000000001</v>
      </c>
      <c r="E14870" t="s">
        <v>11</v>
      </c>
    </row>
    <row r="14871" spans="1:5" x14ac:dyDescent="0.25">
      <c r="A14871" t="str">
        <f>HYPERLINK("https://www.773grp.com/globalSearch/THS4302RGTT/page-1", "THS4302RGTT")</f>
        <v>THS4302RGTT</v>
      </c>
      <c r="B14871" s="3" t="s">
        <v>90</v>
      </c>
      <c r="C14871" s="5">
        <v>24580</v>
      </c>
      <c r="D14871" s="6">
        <v>10.24</v>
      </c>
      <c r="E14871" t="s">
        <v>11</v>
      </c>
    </row>
    <row r="14872" spans="1:5" x14ac:dyDescent="0.25">
      <c r="A14872" t="str">
        <f>HYPERLINK("https://www.773grp.com/globalSearch/THS4141CDR/page-1", "THS4141CDR")</f>
        <v>THS4141CDR</v>
      </c>
      <c r="B14872" s="3" t="s">
        <v>90</v>
      </c>
      <c r="C14872" s="5">
        <v>14575</v>
      </c>
      <c r="D14872" s="6">
        <v>10.26</v>
      </c>
      <c r="E14872" t="s">
        <v>11</v>
      </c>
    </row>
    <row r="14873" spans="1:5" x14ac:dyDescent="0.25">
      <c r="A14873" t="str">
        <f>HYPERLINK("https://www.773grp.com/globalSearch/THS4500CDGKR/page-1", "THS4500CDGKR")</f>
        <v>THS4500CDGKR</v>
      </c>
      <c r="B14873" s="3" t="s">
        <v>90</v>
      </c>
      <c r="C14873" s="5">
        <v>7500</v>
      </c>
      <c r="D14873" s="6">
        <v>10.26</v>
      </c>
      <c r="E14873" t="s">
        <v>11</v>
      </c>
    </row>
    <row r="14874" spans="1:5" x14ac:dyDescent="0.25">
      <c r="A14874" t="str">
        <f>HYPERLINK("https://www.773grp.com/globalSearch/THS4501CDGNR/page-1", "THS4501CDGNR")</f>
        <v>THS4501CDGNR</v>
      </c>
      <c r="B14874" s="3" t="s">
        <v>90</v>
      </c>
      <c r="C14874" s="5">
        <v>2500</v>
      </c>
      <c r="D14874" s="6">
        <v>10.26</v>
      </c>
      <c r="E14874" t="s">
        <v>11</v>
      </c>
    </row>
    <row r="14875" spans="1:5" x14ac:dyDescent="0.25">
      <c r="A14875" t="str">
        <f>HYPERLINK("https://www.773grp.com/globalSearch/THS4130CD/page-1", "THS4130CD")</f>
        <v>THS4130CD</v>
      </c>
      <c r="B14875" s="3" t="s">
        <v>90</v>
      </c>
      <c r="C14875" s="5">
        <v>98</v>
      </c>
      <c r="D14875" s="6">
        <v>10.35</v>
      </c>
      <c r="E14875" t="s">
        <v>11</v>
      </c>
    </row>
    <row r="14876" spans="1:5" x14ac:dyDescent="0.25">
      <c r="A14876" t="str">
        <f>HYPERLINK("https://www.773grp.com/globalSearch/OPA4820ID/page-1", "OPA4820ID")</f>
        <v>OPA4820ID</v>
      </c>
      <c r="B14876" s="3" t="s">
        <v>90</v>
      </c>
      <c r="C14876" s="5">
        <v>176</v>
      </c>
      <c r="D14876" s="6">
        <v>10.5</v>
      </c>
      <c r="E14876" t="s">
        <v>11</v>
      </c>
    </row>
    <row r="14877" spans="1:5" x14ac:dyDescent="0.25">
      <c r="A14877" t="str">
        <f>HYPERLINK("https://www.773grp.com/globalSearch/THS4131ID/page-1", "THS4131ID")</f>
        <v>THS4131ID</v>
      </c>
      <c r="B14877" s="3" t="s">
        <v>90</v>
      </c>
      <c r="C14877" s="5">
        <v>757</v>
      </c>
      <c r="D14877" s="6">
        <v>10.5</v>
      </c>
      <c r="E14877" t="s">
        <v>11</v>
      </c>
    </row>
    <row r="14878" spans="1:5" x14ac:dyDescent="0.25">
      <c r="A14878" t="str">
        <f>HYPERLINK("https://www.773grp.com/globalSearch/THS4131IDGK/page-1", "THS4131IDGK")</f>
        <v>THS4131IDGK</v>
      </c>
      <c r="B14878" s="3" t="s">
        <v>90</v>
      </c>
      <c r="C14878" s="5">
        <v>9248</v>
      </c>
      <c r="D14878" s="6">
        <v>10.5</v>
      </c>
      <c r="E14878" t="s">
        <v>11</v>
      </c>
    </row>
    <row r="14879" spans="1:5" x14ac:dyDescent="0.25">
      <c r="A14879" t="str">
        <f>HYPERLINK("https://www.773grp.com/globalSearch/OPA643P/page-1", "OPA643P")</f>
        <v>OPA643P</v>
      </c>
      <c r="B14879" s="3" t="s">
        <v>90</v>
      </c>
      <c r="C14879" s="5">
        <v>5966</v>
      </c>
      <c r="D14879" s="6">
        <v>10.55</v>
      </c>
      <c r="E14879" t="s">
        <v>11</v>
      </c>
    </row>
    <row r="14880" spans="1:5" x14ac:dyDescent="0.25">
      <c r="A14880" t="str">
        <f>HYPERLINK("https://www.773grp.com/globalSearch/THS4141IDGKR/page-1", "THS4141IDGKR")</f>
        <v>THS4141IDGKR</v>
      </c>
      <c r="B14880" s="3" t="s">
        <v>90</v>
      </c>
      <c r="C14880" s="5">
        <v>10000</v>
      </c>
      <c r="D14880" s="6">
        <v>10.55</v>
      </c>
      <c r="E14880" t="s">
        <v>11</v>
      </c>
    </row>
    <row r="14881" spans="1:5" x14ac:dyDescent="0.25">
      <c r="A14881" t="str">
        <f>HYPERLINK("https://www.773grp.com/globalSearch/THS4500IDR/page-1", "THS4500IDR")</f>
        <v>THS4500IDR</v>
      </c>
      <c r="B14881" s="3" t="s">
        <v>90</v>
      </c>
      <c r="C14881" s="5">
        <v>4950</v>
      </c>
      <c r="D14881" s="6">
        <v>10.55</v>
      </c>
      <c r="E14881" t="s">
        <v>11</v>
      </c>
    </row>
    <row r="14882" spans="1:5" x14ac:dyDescent="0.25">
      <c r="A14882" t="str">
        <f>HYPERLINK("https://www.773grp.com/globalSearch/TL051AIJG/page-1", "TL051AIJG")</f>
        <v>TL051AIJG</v>
      </c>
      <c r="B14882" s="3" t="s">
        <v>90</v>
      </c>
      <c r="C14882" s="5">
        <v>495</v>
      </c>
      <c r="D14882" s="6">
        <v>10.55</v>
      </c>
      <c r="E14882" t="s">
        <v>11</v>
      </c>
    </row>
    <row r="14883" spans="1:5" x14ac:dyDescent="0.25">
      <c r="A14883" t="str">
        <f>HYPERLINK("https://www.773grp.com/globalSearch/8102304PA/page-1", "8102304PA")</f>
        <v>8102304PA</v>
      </c>
      <c r="B14883" s="3" t="s">
        <v>90</v>
      </c>
      <c r="C14883" s="5">
        <v>166</v>
      </c>
      <c r="D14883" s="6">
        <v>10.58</v>
      </c>
      <c r="E14883" t="s">
        <v>11</v>
      </c>
    </row>
    <row r="14884" spans="1:5" x14ac:dyDescent="0.25">
      <c r="A14884" t="str">
        <f>HYPERLINK("https://www.773grp.com/globalSearch/OPA643N-3K/page-1", "OPA643N-3K")</f>
        <v>OPA643N-3K</v>
      </c>
      <c r="B14884" s="3" t="s">
        <v>90</v>
      </c>
      <c r="C14884" s="5">
        <v>12000</v>
      </c>
      <c r="D14884" s="6">
        <v>10.6</v>
      </c>
      <c r="E14884" t="s">
        <v>11</v>
      </c>
    </row>
    <row r="14885" spans="1:5" x14ac:dyDescent="0.25">
      <c r="A14885" t="str">
        <f>HYPERLINK("https://www.773grp.com/globalSearch/TLC2202ACD/page-1", "TLC2202ACD")</f>
        <v>TLC2202ACD</v>
      </c>
      <c r="B14885" s="3" t="s">
        <v>90</v>
      </c>
      <c r="C14885" s="5">
        <v>5006</v>
      </c>
      <c r="D14885" s="6">
        <v>10.6</v>
      </c>
      <c r="E14885" t="s">
        <v>11</v>
      </c>
    </row>
    <row r="14886" spans="1:5" x14ac:dyDescent="0.25">
      <c r="A14886" t="str">
        <f>HYPERLINK("https://www.773grp.com/globalSearch/THS4130ID/page-1", "THS4130ID")</f>
        <v>THS4130ID</v>
      </c>
      <c r="B14886" s="3" t="s">
        <v>90</v>
      </c>
      <c r="C14886" s="5">
        <v>308</v>
      </c>
      <c r="D14886" s="6">
        <v>10.64</v>
      </c>
      <c r="E14886" t="s">
        <v>11</v>
      </c>
    </row>
    <row r="14887" spans="1:5" x14ac:dyDescent="0.25">
      <c r="A14887" t="str">
        <f>HYPERLINK("https://www.773grp.com/globalSearch/THS4130IDGK/page-1", "THS4130IDGK")</f>
        <v>THS4130IDGK</v>
      </c>
      <c r="B14887" s="3" t="s">
        <v>90</v>
      </c>
      <c r="C14887" s="5">
        <v>819</v>
      </c>
      <c r="D14887" s="6">
        <v>10.64</v>
      </c>
      <c r="E14887" t="s">
        <v>11</v>
      </c>
    </row>
    <row r="14888" spans="1:5" x14ac:dyDescent="0.25">
      <c r="A14888" t="str">
        <f>HYPERLINK("https://www.773grp.com/globalSearch/OPA642P/page-1", "OPA642P")</f>
        <v>OPA642P</v>
      </c>
      <c r="B14888" s="3" t="s">
        <v>90</v>
      </c>
      <c r="C14888" s="5">
        <v>6</v>
      </c>
      <c r="D14888" s="6">
        <v>10.69</v>
      </c>
      <c r="E14888" t="s">
        <v>11</v>
      </c>
    </row>
    <row r="14889" spans="1:5" x14ac:dyDescent="0.25">
      <c r="A14889" t="str">
        <f>HYPERLINK("https://www.773grp.com/globalSearch/OPA642P/page-1", "OPA642P")</f>
        <v>OPA642P</v>
      </c>
      <c r="B14889" s="3" t="s">
        <v>90</v>
      </c>
      <c r="C14889" s="5">
        <v>4</v>
      </c>
      <c r="D14889" s="6">
        <v>10.69</v>
      </c>
      <c r="E14889" t="s">
        <v>11</v>
      </c>
    </row>
    <row r="14890" spans="1:5" x14ac:dyDescent="0.25">
      <c r="A14890" t="str">
        <f>HYPERLINK("https://www.773grp.com/globalSearch/OPA643U/page-1", "OPA643U")</f>
        <v>OPA643U</v>
      </c>
      <c r="B14890" s="3" t="s">
        <v>90</v>
      </c>
      <c r="C14890" s="5">
        <v>84</v>
      </c>
      <c r="D14890" s="6">
        <v>10.69</v>
      </c>
      <c r="E14890" t="s">
        <v>11</v>
      </c>
    </row>
    <row r="14891" spans="1:5" x14ac:dyDescent="0.25">
      <c r="A14891" t="str">
        <f>HYPERLINK("https://www.773grp.com/globalSearch/OPA3681U/page-1", "OPA3681U")</f>
        <v>OPA3681U</v>
      </c>
      <c r="B14891" s="3" t="s">
        <v>90</v>
      </c>
      <c r="C14891" s="5">
        <v>4176</v>
      </c>
      <c r="D14891" s="6">
        <v>10.71</v>
      </c>
      <c r="E14891" t="s">
        <v>11</v>
      </c>
    </row>
    <row r="14892" spans="1:5" x14ac:dyDescent="0.25">
      <c r="A14892" t="str">
        <f>HYPERLINK("https://www.773grp.com/globalSearch/OPA3681U/page-1", "OPA3681U")</f>
        <v>OPA3681U</v>
      </c>
      <c r="B14892" s="3" t="s">
        <v>90</v>
      </c>
      <c r="C14892" s="5">
        <v>28</v>
      </c>
      <c r="D14892" s="6">
        <v>10.71</v>
      </c>
      <c r="E14892" t="s">
        <v>11</v>
      </c>
    </row>
    <row r="14893" spans="1:5" x14ac:dyDescent="0.25">
      <c r="A14893" t="str">
        <f>HYPERLINK("https://www.773grp.com/globalSearch/TLC1079CN/page-1", "TLC1079CN")</f>
        <v>TLC1079CN</v>
      </c>
      <c r="B14893" s="3" t="s">
        <v>90</v>
      </c>
      <c r="C14893" s="5">
        <v>24562</v>
      </c>
      <c r="D14893" s="6">
        <v>10.75</v>
      </c>
      <c r="E14893" t="s">
        <v>11</v>
      </c>
    </row>
    <row r="14894" spans="1:5" x14ac:dyDescent="0.25">
      <c r="A14894" t="str">
        <f>HYPERLINK("https://www.773grp.com/globalSearch/OPA4277UA-2K5/page-1", "OPA4277UA-2K5")</f>
        <v>OPA4277UA-2K5</v>
      </c>
      <c r="B14894" s="3" t="s">
        <v>90</v>
      </c>
      <c r="C14894" s="5">
        <v>17400</v>
      </c>
      <c r="D14894" s="6">
        <v>10.84</v>
      </c>
      <c r="E14894" t="s">
        <v>11</v>
      </c>
    </row>
    <row r="14895" spans="1:5" x14ac:dyDescent="0.25">
      <c r="A14895" t="str">
        <f>HYPERLINK("https://www.773grp.com/globalSearch/OPA606KP/page-1", "OPA606KP")</f>
        <v>OPA606KP</v>
      </c>
      <c r="B14895" s="3" t="s">
        <v>90</v>
      </c>
      <c r="C14895" s="5">
        <v>2450</v>
      </c>
      <c r="D14895" s="6">
        <v>10.84</v>
      </c>
      <c r="E14895" t="s">
        <v>11</v>
      </c>
    </row>
    <row r="14896" spans="1:5" x14ac:dyDescent="0.25">
      <c r="A14896" t="str">
        <f>HYPERLINK("https://www.773grp.com/globalSearch/OPA642N-250/page-1", "OPA642N-250")</f>
        <v>OPA642N-250</v>
      </c>
      <c r="B14896" s="3" t="s">
        <v>90</v>
      </c>
      <c r="C14896" s="5">
        <v>12294</v>
      </c>
      <c r="D14896" s="6">
        <v>10.84</v>
      </c>
      <c r="E14896" t="s">
        <v>11</v>
      </c>
    </row>
    <row r="14897" spans="1:5" x14ac:dyDescent="0.25">
      <c r="A14897" t="str">
        <f>HYPERLINK("https://www.773grp.com/globalSearch/OPA2658UB/page-1", "OPA2658UB")</f>
        <v>OPA2658UB</v>
      </c>
      <c r="B14897" s="3" t="s">
        <v>90</v>
      </c>
      <c r="C14897" s="5">
        <v>3</v>
      </c>
      <c r="D14897" s="6">
        <v>10.91</v>
      </c>
      <c r="E14897" t="s">
        <v>11</v>
      </c>
    </row>
    <row r="14898" spans="1:5" x14ac:dyDescent="0.25">
      <c r="A14898" t="str">
        <f>HYPERLINK("https://www.773grp.com/globalSearch/THS4012CD/page-1", "THS4012CD")</f>
        <v>THS4012CD</v>
      </c>
      <c r="B14898" s="3" t="s">
        <v>90</v>
      </c>
      <c r="C14898" s="5">
        <v>7227</v>
      </c>
      <c r="D14898" s="6">
        <v>10.91</v>
      </c>
      <c r="E14898" t="s">
        <v>11</v>
      </c>
    </row>
    <row r="14899" spans="1:5" x14ac:dyDescent="0.25">
      <c r="A14899" t="str">
        <f>HYPERLINK("https://www.773grp.com/globalSearch/THS4032IDGNR/page-1", "THS4032IDGNR")</f>
        <v>THS4032IDGNR</v>
      </c>
      <c r="B14899" s="3" t="s">
        <v>90</v>
      </c>
      <c r="C14899" s="5">
        <v>4706</v>
      </c>
      <c r="D14899" s="6">
        <v>10.91</v>
      </c>
      <c r="E14899" t="s">
        <v>11</v>
      </c>
    </row>
    <row r="14900" spans="1:5" x14ac:dyDescent="0.25">
      <c r="A14900" t="str">
        <f>HYPERLINK("https://www.773grp.com/globalSearch/OPA2277P/page-1", "OPA2277P")</f>
        <v>OPA2277P</v>
      </c>
      <c r="B14900" s="3" t="s">
        <v>90</v>
      </c>
      <c r="C14900" s="5">
        <v>4280</v>
      </c>
      <c r="D14900" s="6">
        <v>10.98</v>
      </c>
      <c r="E14900" t="s">
        <v>11</v>
      </c>
    </row>
    <row r="14901" spans="1:5" x14ac:dyDescent="0.25">
      <c r="A14901" t="str">
        <f>HYPERLINK("https://www.773grp.com/globalSearch/OPA3691IDBQT/page-1", "OPA3691IDBQT")</f>
        <v>OPA3691IDBQT</v>
      </c>
      <c r="B14901" s="3" t="s">
        <v>90</v>
      </c>
      <c r="C14901" s="5">
        <v>2168</v>
      </c>
      <c r="D14901" s="6">
        <v>10.98</v>
      </c>
      <c r="E14901" t="s">
        <v>11</v>
      </c>
    </row>
    <row r="14902" spans="1:5" x14ac:dyDescent="0.25">
      <c r="A14902" t="str">
        <f>HYPERLINK("https://www.773grp.com/globalSearch/THS4131IDGN/page-1", "THS4131IDGN")</f>
        <v>THS4131IDGN</v>
      </c>
      <c r="B14902" s="3" t="s">
        <v>90</v>
      </c>
      <c r="C14902" s="5">
        <v>60</v>
      </c>
      <c r="D14902" s="6">
        <v>11.05</v>
      </c>
      <c r="E14902" t="s">
        <v>11</v>
      </c>
    </row>
    <row r="14903" spans="1:5" x14ac:dyDescent="0.25">
      <c r="A14903" t="str">
        <f>HYPERLINK("https://www.773grp.com/globalSearch/TLE2064BCN/page-1", "TLE2064BCN")</f>
        <v>TLE2064BCN</v>
      </c>
      <c r="B14903" s="3" t="s">
        <v>90</v>
      </c>
      <c r="C14903" s="5">
        <v>838</v>
      </c>
      <c r="D14903" s="6">
        <v>11.09</v>
      </c>
      <c r="E14903" t="s">
        <v>11</v>
      </c>
    </row>
    <row r="14904" spans="1:5" x14ac:dyDescent="0.25">
      <c r="A14904" t="str">
        <f>HYPERLINK("https://www.773grp.com/globalSearch/OPA124U-2K5/page-1", "OPA124U-2K5")</f>
        <v>OPA124U-2K5</v>
      </c>
      <c r="B14904" s="3" t="s">
        <v>90</v>
      </c>
      <c r="C14904" s="5">
        <v>27150</v>
      </c>
      <c r="D14904" s="6">
        <v>11.1</v>
      </c>
      <c r="E14904" t="s">
        <v>11</v>
      </c>
    </row>
    <row r="14905" spans="1:5" x14ac:dyDescent="0.25">
      <c r="A14905" t="str">
        <f>HYPERLINK("https://www.773grp.com/globalSearch/OPA124U-2K5/page-1", "OPA124U-2K5")</f>
        <v>OPA124U-2K5</v>
      </c>
      <c r="B14905" s="3" t="s">
        <v>90</v>
      </c>
      <c r="C14905" s="5">
        <v>11850</v>
      </c>
      <c r="D14905" s="6">
        <v>11.1</v>
      </c>
      <c r="E14905" t="s">
        <v>11</v>
      </c>
    </row>
    <row r="14906" spans="1:5" x14ac:dyDescent="0.25">
      <c r="A14906" t="str">
        <f>HYPERLINK("https://www.773grp.com/globalSearch/OPA4234U-2K5/page-1", "OPA4234U-2K5")</f>
        <v>OPA4234U-2K5</v>
      </c>
      <c r="B14906" s="3" t="s">
        <v>90</v>
      </c>
      <c r="C14906" s="5">
        <v>22500</v>
      </c>
      <c r="D14906" s="6">
        <v>11.1</v>
      </c>
      <c r="E14906" t="s">
        <v>11</v>
      </c>
    </row>
    <row r="14907" spans="1:5" x14ac:dyDescent="0.25">
      <c r="A14907" t="str">
        <f>HYPERLINK("https://www.773grp.com/globalSearch/THS7530PWPR/page-1", "THS7530PWPR")</f>
        <v>THS7530PWPR</v>
      </c>
      <c r="B14907" s="3" t="s">
        <v>90</v>
      </c>
      <c r="C14907" s="5">
        <v>61751</v>
      </c>
      <c r="D14907" s="6">
        <v>11.1</v>
      </c>
      <c r="E14907" t="s">
        <v>11</v>
      </c>
    </row>
    <row r="14908" spans="1:5" x14ac:dyDescent="0.25">
      <c r="A14908" t="str">
        <f>HYPERLINK("https://www.773grp.com/globalSearch/TL064MJ/page-1", "TL064MJ")</f>
        <v>TL064MJ</v>
      </c>
      <c r="B14908" s="3" t="s">
        <v>90</v>
      </c>
      <c r="C14908" s="5">
        <v>165</v>
      </c>
      <c r="D14908" s="6">
        <v>11.1</v>
      </c>
      <c r="E14908" t="s">
        <v>11</v>
      </c>
    </row>
    <row r="14909" spans="1:5" x14ac:dyDescent="0.25">
      <c r="A14909" t="str">
        <f>HYPERLINK("https://www.773grp.com/globalSearch/THS4012ID/page-1", "THS4012ID")</f>
        <v>THS4012ID</v>
      </c>
      <c r="B14909" s="3" t="s">
        <v>90</v>
      </c>
      <c r="C14909" s="5">
        <v>10392</v>
      </c>
      <c r="D14909" s="6">
        <v>11.19</v>
      </c>
      <c r="E14909" t="s">
        <v>11</v>
      </c>
    </row>
    <row r="14910" spans="1:5" x14ac:dyDescent="0.25">
      <c r="A14910" t="str">
        <f>HYPERLINK("https://www.773grp.com/globalSearch/THS4141CDGNR/page-1", "THS4141CDGNR")</f>
        <v>THS4141CDGNR</v>
      </c>
      <c r="B14910" s="3" t="s">
        <v>90</v>
      </c>
      <c r="C14910" s="5">
        <v>10000</v>
      </c>
      <c r="D14910" s="6">
        <v>11.19</v>
      </c>
      <c r="E14910" t="s">
        <v>11</v>
      </c>
    </row>
    <row r="14911" spans="1:5" x14ac:dyDescent="0.25">
      <c r="A14911" t="str">
        <f>HYPERLINK("https://www.773grp.com/globalSearch/TLC1079CD/page-1", "TLC1079CD")</f>
        <v>TLC1079CD</v>
      </c>
      <c r="B14911" s="3" t="s">
        <v>90</v>
      </c>
      <c r="C14911" s="5">
        <v>1462</v>
      </c>
      <c r="D14911" s="6">
        <v>11.19</v>
      </c>
      <c r="E14911" t="s">
        <v>11</v>
      </c>
    </row>
    <row r="14912" spans="1:5" x14ac:dyDescent="0.25">
      <c r="A14912" t="str">
        <f>HYPERLINK("https://www.773grp.com/globalSearch/TLC1079CNS/page-1", "TLC1079CNS")</f>
        <v>TLC1079CNS</v>
      </c>
      <c r="B14912" s="3" t="s">
        <v>90</v>
      </c>
      <c r="C14912" s="5">
        <v>17400</v>
      </c>
      <c r="D14912" s="6">
        <v>11.19</v>
      </c>
      <c r="E14912" t="s">
        <v>11</v>
      </c>
    </row>
    <row r="14913" spans="1:5" x14ac:dyDescent="0.25">
      <c r="A14913" t="str">
        <f>HYPERLINK("https://www.773grp.com/globalSearch/TLC1079IN/page-1", "TLC1079IN")</f>
        <v>TLC1079IN</v>
      </c>
      <c r="B14913" s="3" t="s">
        <v>90</v>
      </c>
      <c r="C14913" s="5">
        <v>9529</v>
      </c>
      <c r="D14913" s="6">
        <v>11.19</v>
      </c>
      <c r="E14913" t="s">
        <v>11</v>
      </c>
    </row>
    <row r="14914" spans="1:5" x14ac:dyDescent="0.25">
      <c r="A14914" t="str">
        <f>HYPERLINK("https://www.773grp.com/globalSearch/LT1014DMDWREP/page-1", "LT1014DMDWREP")</f>
        <v>LT1014DMDWREP</v>
      </c>
      <c r="B14914" s="3" t="s">
        <v>90</v>
      </c>
      <c r="C14914" s="5">
        <v>4294</v>
      </c>
      <c r="D14914" s="6">
        <v>11.25</v>
      </c>
      <c r="E14914" t="s">
        <v>11</v>
      </c>
    </row>
    <row r="14915" spans="1:5" x14ac:dyDescent="0.25">
      <c r="A14915" t="str">
        <f>HYPERLINK("https://www.773grp.com/globalSearch/OPA211AIDGKT/page-1", "OPA211AIDGKT")</f>
        <v>OPA211AIDGKT</v>
      </c>
      <c r="B14915" s="3" t="s">
        <v>90</v>
      </c>
      <c r="C14915" s="5">
        <v>108</v>
      </c>
      <c r="D14915" s="6">
        <v>11.25</v>
      </c>
      <c r="E14915" t="s">
        <v>11</v>
      </c>
    </row>
    <row r="14916" spans="1:5" x14ac:dyDescent="0.25">
      <c r="A14916" t="str">
        <f>HYPERLINK("https://www.773grp.com/globalSearch/5962-9760301QPA/page-1", "5962-9760301QPA")</f>
        <v>5962-9760301QPA</v>
      </c>
      <c r="B14916" s="3" t="s">
        <v>90</v>
      </c>
      <c r="C14916" s="5">
        <v>190</v>
      </c>
      <c r="D14916" s="6">
        <v>11.34</v>
      </c>
      <c r="E14916" t="s">
        <v>11</v>
      </c>
    </row>
    <row r="14917" spans="1:5" x14ac:dyDescent="0.25">
      <c r="A14917" t="str">
        <f>HYPERLINK("https://www.773grp.com/globalSearch/MC1558JGB/page-1", "MC1558JGB")</f>
        <v>MC1558JGB</v>
      </c>
      <c r="B14917" s="3" t="s">
        <v>90</v>
      </c>
      <c r="C14917" s="5">
        <v>42</v>
      </c>
      <c r="D14917" s="6">
        <v>11.34</v>
      </c>
      <c r="E14917" t="s">
        <v>11</v>
      </c>
    </row>
    <row r="14918" spans="1:5" x14ac:dyDescent="0.25">
      <c r="A14918" t="str">
        <f>HYPERLINK("https://www.773grp.com/globalSearch/OPA2227U-2K5/page-1", "OPA2227U-2K5")</f>
        <v>OPA2227U-2K5</v>
      </c>
      <c r="B14918" s="3" t="s">
        <v>90</v>
      </c>
      <c r="C14918" s="5">
        <v>30000</v>
      </c>
      <c r="D14918" s="6">
        <v>11.39</v>
      </c>
      <c r="E14918" t="s">
        <v>11</v>
      </c>
    </row>
    <row r="14919" spans="1:5" x14ac:dyDescent="0.25">
      <c r="A14919" t="str">
        <f>HYPERLINK("https://www.773grp.com/globalSearch/OPA4703EA-2K5/page-1", "OPA4703EA-2K5")</f>
        <v>OPA4703EA-2K5</v>
      </c>
      <c r="B14919" s="3" t="s">
        <v>90</v>
      </c>
      <c r="C14919" s="5">
        <v>24960</v>
      </c>
      <c r="D14919" s="6">
        <v>11.39</v>
      </c>
      <c r="E14919" t="s">
        <v>11</v>
      </c>
    </row>
    <row r="14920" spans="1:5" x14ac:dyDescent="0.25">
      <c r="A14920" t="str">
        <f>HYPERLINK("https://www.773grp.com/globalSearch/OPA4703UA-2K5/page-1", "OPA4703UA-2K5")</f>
        <v>OPA4703UA-2K5</v>
      </c>
      <c r="B14920" s="3" t="s">
        <v>90</v>
      </c>
      <c r="C14920" s="5">
        <v>4000</v>
      </c>
      <c r="D14920" s="6">
        <v>11.39</v>
      </c>
      <c r="E14920" t="s">
        <v>11</v>
      </c>
    </row>
    <row r="14921" spans="1:5" x14ac:dyDescent="0.25">
      <c r="A14921" t="str">
        <f>HYPERLINK("https://www.773grp.com/globalSearch/OPA3691ID/page-1", "OPA3691ID")</f>
        <v>OPA3691ID</v>
      </c>
      <c r="B14921" s="3" t="s">
        <v>90</v>
      </c>
      <c r="C14921" s="5">
        <v>6148</v>
      </c>
      <c r="D14921" s="6">
        <v>11.43</v>
      </c>
      <c r="E14921" t="s">
        <v>11</v>
      </c>
    </row>
    <row r="14922" spans="1:5" x14ac:dyDescent="0.25">
      <c r="A14922" t="str">
        <f>HYPERLINK("https://www.773grp.com/globalSearch/THS4012CDGN/page-1", "THS4012CDGN")</f>
        <v>THS4012CDGN</v>
      </c>
      <c r="B14922" s="3" t="s">
        <v>90</v>
      </c>
      <c r="C14922" s="5">
        <v>19319</v>
      </c>
      <c r="D14922" s="6">
        <v>11.48</v>
      </c>
      <c r="E14922" t="s">
        <v>11</v>
      </c>
    </row>
    <row r="14923" spans="1:5" x14ac:dyDescent="0.25">
      <c r="A14923" t="str">
        <f>HYPERLINK("https://www.773grp.com/globalSearch/THS4012CDGNG4/page-1", "THS4012CDGNG4")</f>
        <v>THS4012CDGNG4</v>
      </c>
      <c r="B14923" s="3" t="s">
        <v>90</v>
      </c>
      <c r="C14923" s="5">
        <v>53</v>
      </c>
      <c r="D14923" s="6">
        <v>11.48</v>
      </c>
      <c r="E14923" t="s">
        <v>11</v>
      </c>
    </row>
    <row r="14924" spans="1:5" x14ac:dyDescent="0.25">
      <c r="A14924" t="str">
        <f>HYPERLINK("https://www.773grp.com/globalSearch/OPA124PA/page-1", "OPA124PA")</f>
        <v>OPA124PA</v>
      </c>
      <c r="B14924" s="3" t="s">
        <v>90</v>
      </c>
      <c r="C14924" s="5">
        <v>36392</v>
      </c>
      <c r="D14924" s="6">
        <v>11.51</v>
      </c>
      <c r="E14924" t="s">
        <v>11</v>
      </c>
    </row>
    <row r="14925" spans="1:5" x14ac:dyDescent="0.25">
      <c r="A14925" t="str">
        <f>HYPERLINK("https://www.773grp.com/globalSearch/OPA124PA/page-1", "OPA124PA")</f>
        <v>OPA124PA</v>
      </c>
      <c r="B14925" s="3" t="s">
        <v>90</v>
      </c>
      <c r="C14925" s="5">
        <v>14566</v>
      </c>
      <c r="D14925" s="6">
        <v>11.51</v>
      </c>
      <c r="E14925" t="s">
        <v>11</v>
      </c>
    </row>
    <row r="14926" spans="1:5" x14ac:dyDescent="0.25">
      <c r="A14926" t="str">
        <f>HYPERLINK("https://www.773grp.com/globalSearch/THS4140IDGNR/page-1", "THS4140IDGNR")</f>
        <v>THS4140IDGNR</v>
      </c>
      <c r="B14926" s="3" t="s">
        <v>90</v>
      </c>
      <c r="C14926" s="5">
        <v>13421</v>
      </c>
      <c r="D14926" s="6">
        <v>11.51</v>
      </c>
      <c r="E14926" t="s">
        <v>11</v>
      </c>
    </row>
    <row r="14927" spans="1:5" x14ac:dyDescent="0.25">
      <c r="A14927" t="str">
        <f>HYPERLINK("https://www.773grp.com/globalSearch/THS4141IDGNR/page-1", "THS4141IDGNR")</f>
        <v>THS4141IDGNR</v>
      </c>
      <c r="B14927" s="3" t="s">
        <v>90</v>
      </c>
      <c r="C14927" s="5">
        <v>2500</v>
      </c>
      <c r="D14927" s="6">
        <v>11.51</v>
      </c>
      <c r="E14927" t="s">
        <v>11</v>
      </c>
    </row>
    <row r="14928" spans="1:5" x14ac:dyDescent="0.25">
      <c r="A14928" t="str">
        <f>HYPERLINK("https://www.773grp.com/globalSearch/THS4141IDR/page-1", "THS4141IDR")</f>
        <v>THS4141IDR</v>
      </c>
      <c r="B14928" s="3" t="s">
        <v>90</v>
      </c>
      <c r="C14928" s="5">
        <v>2500</v>
      </c>
      <c r="D14928" s="6">
        <v>11.51</v>
      </c>
      <c r="E14928" t="s">
        <v>11</v>
      </c>
    </row>
    <row r="14929" spans="1:5" x14ac:dyDescent="0.25">
      <c r="A14929" t="str">
        <f>HYPERLINK("https://www.773grp.com/globalSearch/OPA4130UA/page-1", "OPA4130UA")</f>
        <v>OPA4130UA</v>
      </c>
      <c r="B14929" s="3" t="s">
        <v>90</v>
      </c>
      <c r="C14929" s="5">
        <v>15400</v>
      </c>
      <c r="D14929" s="6">
        <v>11.53</v>
      </c>
      <c r="E14929" t="s">
        <v>11</v>
      </c>
    </row>
    <row r="14930" spans="1:5" x14ac:dyDescent="0.25">
      <c r="A14930" t="str">
        <f>HYPERLINK("https://www.773grp.com/globalSearch/OPA4130UA/page-1", "OPA4130UA")</f>
        <v>OPA4130UA</v>
      </c>
      <c r="B14930" s="3" t="s">
        <v>90</v>
      </c>
      <c r="C14930" s="5">
        <v>9457</v>
      </c>
      <c r="D14930" s="6">
        <v>11.53</v>
      </c>
      <c r="E14930" t="s">
        <v>11</v>
      </c>
    </row>
    <row r="14931" spans="1:5" x14ac:dyDescent="0.25">
      <c r="A14931" t="str">
        <f>HYPERLINK("https://www.773grp.com/globalSearch/OPA4131PA/page-1", "OPA4131PA")</f>
        <v>OPA4131PA</v>
      </c>
      <c r="B14931" s="3" t="s">
        <v>90</v>
      </c>
      <c r="C14931" s="5">
        <v>9427</v>
      </c>
      <c r="D14931" s="6">
        <v>11.53</v>
      </c>
      <c r="E14931" t="s">
        <v>11</v>
      </c>
    </row>
    <row r="14932" spans="1:5" x14ac:dyDescent="0.25">
      <c r="A14932" t="str">
        <f>HYPERLINK("https://www.773grp.com/globalSearch/THS4503IDGKR/page-1", "THS4503IDGKR")</f>
        <v>THS4503IDGKR</v>
      </c>
      <c r="B14932" s="3" t="s">
        <v>90</v>
      </c>
      <c r="C14932" s="5">
        <v>2500</v>
      </c>
      <c r="D14932" s="6">
        <v>11.53</v>
      </c>
      <c r="E14932" t="s">
        <v>11</v>
      </c>
    </row>
    <row r="14933" spans="1:5" x14ac:dyDescent="0.25">
      <c r="A14933" t="str">
        <f>HYPERLINK("https://www.773grp.com/globalSearch/THS4503IDR/page-1", "THS4503IDR")</f>
        <v>THS4503IDR</v>
      </c>
      <c r="B14933" s="3" t="s">
        <v>90</v>
      </c>
      <c r="C14933" s="5">
        <v>2500</v>
      </c>
      <c r="D14933" s="6">
        <v>11.53</v>
      </c>
      <c r="E14933" t="s">
        <v>11</v>
      </c>
    </row>
    <row r="14934" spans="1:5" x14ac:dyDescent="0.25">
      <c r="A14934" t="str">
        <f>HYPERLINK("https://www.773grp.com/globalSearch/OP07EP/page-1", "OP07EP")</f>
        <v>OP07EP</v>
      </c>
      <c r="B14934" s="3" t="s">
        <v>90</v>
      </c>
      <c r="C14934" s="5">
        <v>27135</v>
      </c>
      <c r="D14934" s="6">
        <v>11.56</v>
      </c>
      <c r="E14934" t="s">
        <v>11</v>
      </c>
    </row>
    <row r="14935" spans="1:5" x14ac:dyDescent="0.25">
      <c r="A14935" t="str">
        <f>HYPERLINK("https://www.773grp.com/globalSearch/THS4631DGNR/page-1", "THS4631DGNR")</f>
        <v>THS4631DGNR</v>
      </c>
      <c r="B14935" s="3" t="s">
        <v>90</v>
      </c>
      <c r="C14935" s="5">
        <v>146</v>
      </c>
      <c r="D14935" s="6">
        <v>11.56</v>
      </c>
      <c r="E14935" t="s">
        <v>11</v>
      </c>
    </row>
    <row r="14936" spans="1:5" x14ac:dyDescent="0.25">
      <c r="A14936" t="str">
        <f>HYPERLINK("https://www.773grp.com/globalSearch/THS4509RGTR/page-1", "THS4509RGTR")</f>
        <v>THS4509RGTR</v>
      </c>
      <c r="B14936" s="3" t="s">
        <v>90</v>
      </c>
      <c r="C14936" s="5">
        <v>5951</v>
      </c>
      <c r="D14936" s="6">
        <v>11.61</v>
      </c>
      <c r="E14936" t="s">
        <v>11</v>
      </c>
    </row>
    <row r="14937" spans="1:5" x14ac:dyDescent="0.25">
      <c r="A14937" t="str">
        <f>HYPERLINK("https://www.773grp.com/globalSearch/TLC1079ID/page-1", "TLC1079ID")</f>
        <v>TLC1079ID</v>
      </c>
      <c r="B14937" s="3" t="s">
        <v>90</v>
      </c>
      <c r="C14937" s="5">
        <v>17</v>
      </c>
      <c r="D14937" s="6">
        <v>11.61</v>
      </c>
      <c r="E14937" t="s">
        <v>11</v>
      </c>
    </row>
    <row r="14938" spans="1:5" x14ac:dyDescent="0.25">
      <c r="A14938" t="str">
        <f>HYPERLINK("https://www.773grp.com/globalSearch/8102301PA/page-1", "8102301PA")</f>
        <v>8102301PA</v>
      </c>
      <c r="B14938" s="3" t="s">
        <v>90</v>
      </c>
      <c r="C14938" s="5">
        <v>173</v>
      </c>
      <c r="D14938" s="6">
        <v>11.65</v>
      </c>
      <c r="E14938" t="s">
        <v>11</v>
      </c>
    </row>
    <row r="14939" spans="1:5" x14ac:dyDescent="0.25">
      <c r="A14939" t="str">
        <f>HYPERLINK("https://www.773grp.com/globalSearch/OPA211AID/page-1", "OPA211AID")</f>
        <v>OPA211AID</v>
      </c>
      <c r="B14939" s="3" t="s">
        <v>90</v>
      </c>
      <c r="C14939" s="5">
        <v>1577</v>
      </c>
      <c r="D14939" s="6">
        <v>11.68</v>
      </c>
      <c r="E14939" t="s">
        <v>11</v>
      </c>
    </row>
    <row r="14940" spans="1:5" x14ac:dyDescent="0.25">
      <c r="A14940" t="str">
        <f>HYPERLINK("https://www.773grp.com/globalSearch/OPA4234UA/page-1", "OPA4234UA")</f>
        <v>OPA4234UA</v>
      </c>
      <c r="B14940" s="3" t="s">
        <v>90</v>
      </c>
      <c r="C14940" s="5">
        <v>16191</v>
      </c>
      <c r="D14940" s="6">
        <v>11.68</v>
      </c>
      <c r="E14940" t="s">
        <v>11</v>
      </c>
    </row>
    <row r="14941" spans="1:5" x14ac:dyDescent="0.25">
      <c r="A14941" t="str">
        <f>HYPERLINK("https://www.773grp.com/globalSearch/THS4012IDGN/page-1", "THS4012IDGN")</f>
        <v>THS4012IDGN</v>
      </c>
      <c r="B14941" s="3" t="s">
        <v>90</v>
      </c>
      <c r="C14941" s="5">
        <v>7064</v>
      </c>
      <c r="D14941" s="6">
        <v>11.76</v>
      </c>
      <c r="E14941" t="s">
        <v>11</v>
      </c>
    </row>
    <row r="14942" spans="1:5" x14ac:dyDescent="0.25">
      <c r="A14942" t="str">
        <f>HYPERLINK("https://www.773grp.com/globalSearch/OPA4241UA-2K5/page-1", "OPA4241UA-2K5")</f>
        <v>OPA4241UA-2K5</v>
      </c>
      <c r="B14942" s="3" t="s">
        <v>90</v>
      </c>
      <c r="C14942" s="5">
        <v>10000</v>
      </c>
      <c r="D14942" s="6">
        <v>11.81</v>
      </c>
      <c r="E14942" t="s">
        <v>11</v>
      </c>
    </row>
    <row r="14943" spans="1:5" x14ac:dyDescent="0.25">
      <c r="A14943" t="str">
        <f>HYPERLINK("https://www.773grp.com/globalSearch/TL054ACD/page-1", "TL054ACD")</f>
        <v>TL054ACD</v>
      </c>
      <c r="B14943" s="3" t="s">
        <v>90</v>
      </c>
      <c r="C14943" s="5">
        <v>54290</v>
      </c>
      <c r="D14943" s="6">
        <v>11.85</v>
      </c>
      <c r="E14943" t="s">
        <v>11</v>
      </c>
    </row>
    <row r="14944" spans="1:5" x14ac:dyDescent="0.25">
      <c r="A14944" t="str">
        <f>HYPERLINK("https://www.773grp.com/globalSearch/TL054AIN/page-1", "TL054AIN")</f>
        <v>TL054AIN</v>
      </c>
      <c r="B14944" s="3" t="s">
        <v>90</v>
      </c>
      <c r="C14944" s="5">
        <v>75</v>
      </c>
      <c r="D14944" s="6">
        <v>11.85</v>
      </c>
      <c r="E14944" t="s">
        <v>11</v>
      </c>
    </row>
    <row r="14945" spans="1:5" x14ac:dyDescent="0.25">
      <c r="A14945" t="str">
        <f>HYPERLINK("https://www.773grp.com/globalSearch/TL087IP/page-1", "TL087IP")</f>
        <v>TL087IP</v>
      </c>
      <c r="B14945" s="3" t="s">
        <v>90</v>
      </c>
      <c r="C14945" s="5">
        <v>1140</v>
      </c>
      <c r="D14945" s="6">
        <v>11.93</v>
      </c>
      <c r="E14945" t="s">
        <v>11</v>
      </c>
    </row>
    <row r="14946" spans="1:5" x14ac:dyDescent="0.25">
      <c r="A14946" t="str">
        <f>HYPERLINK("https://www.773grp.com/globalSearch/OPA4131UA/page-1", "OPA4131UA")</f>
        <v>OPA4131UA</v>
      </c>
      <c r="B14946" s="3" t="s">
        <v>90</v>
      </c>
      <c r="C14946" s="5">
        <v>25</v>
      </c>
      <c r="D14946" s="6">
        <v>11.95</v>
      </c>
      <c r="E14946" t="s">
        <v>11</v>
      </c>
    </row>
    <row r="14947" spans="1:5" x14ac:dyDescent="0.25">
      <c r="A14947" t="str">
        <f>HYPERLINK("https://www.773grp.com/globalSearch/OPA4131UA/page-1", "OPA4131UA")</f>
        <v>OPA4131UA</v>
      </c>
      <c r="B14947" s="3" t="s">
        <v>90</v>
      </c>
      <c r="C14947" s="5">
        <v>120</v>
      </c>
      <c r="D14947" s="6">
        <v>11.95</v>
      </c>
      <c r="E14947" t="s">
        <v>11</v>
      </c>
    </row>
    <row r="14948" spans="1:5" x14ac:dyDescent="0.25">
      <c r="A14948" t="str">
        <f>HYPERLINK("https://www.773grp.com/globalSearch/THS4032CD/page-1", "THS4032CD")</f>
        <v>THS4032CD</v>
      </c>
      <c r="B14948" s="3" t="s">
        <v>90</v>
      </c>
      <c r="C14948" s="5">
        <v>344</v>
      </c>
      <c r="D14948" s="6">
        <v>12.06</v>
      </c>
      <c r="E14948" t="s">
        <v>11</v>
      </c>
    </row>
    <row r="14949" spans="1:5" x14ac:dyDescent="0.25">
      <c r="A14949" t="str">
        <f>HYPERLINK("https://www.773grp.com/globalSearch/OPA2227P/page-1", "OPA2227P")</f>
        <v>OPA2227P</v>
      </c>
      <c r="B14949" s="3" t="s">
        <v>90</v>
      </c>
      <c r="C14949" s="5">
        <v>9811</v>
      </c>
      <c r="D14949" s="6">
        <v>12.1</v>
      </c>
      <c r="E14949" t="s">
        <v>11</v>
      </c>
    </row>
    <row r="14950" spans="1:5" x14ac:dyDescent="0.25">
      <c r="A14950" t="str">
        <f>HYPERLINK("https://www.773grp.com/globalSearch/OPA2227P/page-1", "OPA2227P")</f>
        <v>OPA2227P</v>
      </c>
      <c r="B14950" s="3" t="s">
        <v>90</v>
      </c>
      <c r="C14950" s="5">
        <v>4300</v>
      </c>
      <c r="D14950" s="6">
        <v>12.1</v>
      </c>
      <c r="E14950" t="s">
        <v>11</v>
      </c>
    </row>
    <row r="14951" spans="1:5" x14ac:dyDescent="0.25">
      <c r="A14951" t="str">
        <f>HYPERLINK("https://www.773grp.com/globalSearch/OPA2228P/page-1", "OPA2228P")</f>
        <v>OPA2228P</v>
      </c>
      <c r="B14951" s="3" t="s">
        <v>90</v>
      </c>
      <c r="C14951" s="5">
        <v>3615</v>
      </c>
      <c r="D14951" s="6">
        <v>12.1</v>
      </c>
      <c r="E14951" t="s">
        <v>11</v>
      </c>
    </row>
    <row r="14952" spans="1:5" x14ac:dyDescent="0.25">
      <c r="A14952" t="str">
        <f>HYPERLINK("https://www.773grp.com/globalSearch/OPA602AP/page-1", "OPA602AP")</f>
        <v>OPA602AP</v>
      </c>
      <c r="B14952" s="3" t="str">
        <f>HYPERLINK("https://www.773grp.com/manufacturer/texas-instruments?pageNo=48", "Texas Instruments")</f>
        <v>Texas Instruments</v>
      </c>
      <c r="C14952" s="5">
        <v>5505</v>
      </c>
      <c r="D14952" s="6">
        <v>12.24</v>
      </c>
      <c r="E14952" t="s">
        <v>11</v>
      </c>
    </row>
    <row r="14953" spans="1:5" x14ac:dyDescent="0.25">
      <c r="A14953" t="str">
        <f>HYPERLINK("https://www.773grp.com/globalSearch/THS4140CDGK/page-1", "THS4140CDGK")</f>
        <v>THS4140CDGK</v>
      </c>
      <c r="B14953" s="3" t="str">
        <f>HYPERLINK("https://www.773grp.com/manufacturer/texas-instruments?pageNo=56", "Texas Instruments")</f>
        <v>Texas Instruments</v>
      </c>
      <c r="C14953" s="5">
        <v>9814</v>
      </c>
      <c r="D14953" s="6">
        <v>12.24</v>
      </c>
      <c r="E14953" t="s">
        <v>11</v>
      </c>
    </row>
    <row r="14954" spans="1:5" x14ac:dyDescent="0.25">
      <c r="A14954" t="str">
        <f>HYPERLINK("https://www.773grp.com/globalSearch/THS4141CDGK/page-1", "THS4141CDGK")</f>
        <v>THS4141CDGK</v>
      </c>
      <c r="B14954" s="3" t="str">
        <f>HYPERLINK("https://www.773grp.com/manufacturer/texas-instruments?pageNo=57", "Texas Instruments")</f>
        <v>Texas Instruments</v>
      </c>
      <c r="C14954" s="5">
        <v>8270</v>
      </c>
      <c r="D14954" s="6">
        <v>12.24</v>
      </c>
      <c r="E14954" t="s">
        <v>11</v>
      </c>
    </row>
    <row r="14955" spans="1:5" x14ac:dyDescent="0.25">
      <c r="A14955" t="str">
        <f>HYPERLINK("https://www.773grp.com/globalSearch/THS4511RGTR/page-1", "THS4511RGTR")</f>
        <v>THS4511RGTR</v>
      </c>
      <c r="B14955" s="3" t="str">
        <f>HYPERLINK("https://www.773grp.com/manufacturer/texas-instruments?pageNo=58", "Texas Instruments")</f>
        <v>Texas Instruments</v>
      </c>
      <c r="C14955" s="5">
        <v>9000</v>
      </c>
      <c r="D14955" s="6">
        <v>12.24</v>
      </c>
      <c r="E14955" t="s">
        <v>11</v>
      </c>
    </row>
    <row r="14956" spans="1:5" x14ac:dyDescent="0.25">
      <c r="A14956" t="str">
        <f>HYPERLINK("https://www.773grp.com/globalSearch/THS4503CDR/page-1", "THS4503CDR")</f>
        <v>THS4503CDR</v>
      </c>
      <c r="B14956" s="3" t="str">
        <f>HYPERLINK("https://www.773grp.com/manufacturer/texas-instruments?pageNo=76", "Texas Instruments")</f>
        <v>Texas Instruments</v>
      </c>
      <c r="C14956" s="5">
        <v>2480</v>
      </c>
      <c r="D14956" s="6">
        <v>12.26</v>
      </c>
      <c r="E14956" t="s">
        <v>11</v>
      </c>
    </row>
    <row r="14957" spans="1:5" x14ac:dyDescent="0.25">
      <c r="A14957" t="str">
        <f>HYPERLINK("https://www.773grp.com/globalSearch/THS4032ID/page-1", "THS4032ID")</f>
        <v>THS4032ID</v>
      </c>
      <c r="B14957" s="3" t="str">
        <f>HYPERLINK("https://www.773grp.com/manufacturer/texas-instruments?pageNo=105", "Texas Instruments")</f>
        <v>Texas Instruments</v>
      </c>
      <c r="C14957" s="5">
        <v>109</v>
      </c>
      <c r="D14957" s="6">
        <v>12.35</v>
      </c>
      <c r="E14957" t="s">
        <v>11</v>
      </c>
    </row>
    <row r="14958" spans="1:5" x14ac:dyDescent="0.25">
      <c r="A14958" t="str">
        <f>HYPERLINK("https://www.773grp.com/globalSearch/OPA2228U/page-1", "OPA2228U")</f>
        <v>OPA2228U</v>
      </c>
      <c r="B14958" s="3" t="str">
        <f>HYPERLINK("https://www.773grp.com/manufacturer/texas-instruments?pageNo=135", "Texas Instruments")</f>
        <v>Texas Instruments</v>
      </c>
      <c r="C14958" s="5">
        <v>15633</v>
      </c>
      <c r="D14958" s="6">
        <v>12.38</v>
      </c>
      <c r="E14958" t="s">
        <v>11</v>
      </c>
    </row>
    <row r="14959" spans="1:5" x14ac:dyDescent="0.25">
      <c r="A14959" t="str">
        <f>HYPERLINK("https://www.773grp.com/globalSearch/OPA4277PA/page-1", "OPA4277PA")</f>
        <v>OPA4277PA</v>
      </c>
      <c r="B14959" s="3" t="str">
        <f>HYPERLINK("https://www.773grp.com/manufacturer/texas-instruments?pageNo=136", "Texas Instruments")</f>
        <v>Texas Instruments</v>
      </c>
      <c r="C14959" s="5">
        <v>18568</v>
      </c>
      <c r="D14959" s="6">
        <v>12.38</v>
      </c>
      <c r="E14959" t="s">
        <v>11</v>
      </c>
    </row>
    <row r="14960" spans="1:5" x14ac:dyDescent="0.25">
      <c r="A14960" t="str">
        <f>HYPERLINK("https://www.773grp.com/globalSearch/OPA4277PA/page-1", "OPA4277PA")</f>
        <v>OPA4277PA</v>
      </c>
      <c r="B14960" s="3" t="str">
        <f>HYPERLINK("https://www.773grp.com/manufacturer/texas-instruments?pageNo=137", "Texas Instruments")</f>
        <v>Texas Instruments</v>
      </c>
      <c r="C14960" s="5">
        <v>1675</v>
      </c>
      <c r="D14960" s="6">
        <v>12.38</v>
      </c>
      <c r="E14960" t="s">
        <v>11</v>
      </c>
    </row>
    <row r="14961" spans="1:5" x14ac:dyDescent="0.25">
      <c r="A14961" t="str">
        <f>HYPERLINK("https://www.773grp.com/globalSearch/OPA4277PA/page-1", "OPA4277PA")</f>
        <v>OPA4277PA</v>
      </c>
      <c r="B14961" s="3" t="str">
        <f>HYPERLINK("https://www.773grp.com/manufacturer/texas-instruments?pageNo=138", "Texas Instruments")</f>
        <v>Texas Instruments</v>
      </c>
      <c r="C14961" s="5">
        <v>4012</v>
      </c>
      <c r="D14961" s="6">
        <v>12.38</v>
      </c>
      <c r="E14961" t="s">
        <v>11</v>
      </c>
    </row>
    <row r="14962" spans="1:5" x14ac:dyDescent="0.25">
      <c r="A14962" t="str">
        <f>HYPERLINK("https://www.773grp.com/globalSearch/THS4042CDGNR/page-1", "THS4042CDGNR")</f>
        <v>THS4042CDGNR</v>
      </c>
      <c r="B14962" s="3" t="str">
        <f>HYPERLINK("https://www.773grp.com/manufacturer/texas-instruments?pageNo=187", "Texas Instruments")</f>
        <v>Texas Instruments</v>
      </c>
      <c r="C14962" s="5">
        <v>12500</v>
      </c>
      <c r="D14962" s="6">
        <v>12.45</v>
      </c>
      <c r="E14962" t="s">
        <v>11</v>
      </c>
    </row>
    <row r="14963" spans="1:5" x14ac:dyDescent="0.25">
      <c r="A14963" t="str">
        <f>HYPERLINK("https://www.773grp.com/globalSearch/THS4502IDR/page-1", "THS4502IDR")</f>
        <v>THS4502IDR</v>
      </c>
      <c r="B14963" s="3" t="str">
        <f>HYPERLINK("https://www.773grp.com/manufacturer/texas-instruments?pageNo=249", "Texas Instruments")</f>
        <v>Texas Instruments</v>
      </c>
      <c r="C14963" s="5">
        <v>15000</v>
      </c>
      <c r="D14963" s="6">
        <v>12.54</v>
      </c>
      <c r="E14963" t="s">
        <v>11</v>
      </c>
    </row>
    <row r="14964" spans="1:5" x14ac:dyDescent="0.25">
      <c r="A14964" t="str">
        <f>HYPERLINK("https://www.773grp.com/globalSearch/OPA2681U/page-1", "OPA2681U")</f>
        <v>OPA2681U</v>
      </c>
      <c r="B14964" s="3" t="str">
        <f>HYPERLINK("https://www.773grp.com/manufacturer/texas-instruments?pageNo=253", "Texas Instruments")</f>
        <v>Texas Instruments</v>
      </c>
      <c r="C14964" s="5">
        <v>4053</v>
      </c>
      <c r="D14964" s="6">
        <v>12.58</v>
      </c>
      <c r="E14964" t="s">
        <v>11</v>
      </c>
    </row>
    <row r="14965" spans="1:5" x14ac:dyDescent="0.25">
      <c r="A14965" t="str">
        <f>HYPERLINK("https://www.773grp.com/globalSearch/THS4513RGTR/page-1", "THS4513RGTR")</f>
        <v>THS4513RGTR</v>
      </c>
      <c r="B14965" s="3" t="str">
        <f>HYPERLINK("https://www.773grp.com/manufacturer/texas-instruments?pageNo=257", "Texas Instruments")</f>
        <v>Texas Instruments</v>
      </c>
      <c r="C14965" s="5">
        <v>6000</v>
      </c>
      <c r="D14965" s="6">
        <v>12.58</v>
      </c>
      <c r="E14965" t="s">
        <v>11</v>
      </c>
    </row>
    <row r="14966" spans="1:5" x14ac:dyDescent="0.25">
      <c r="A14966" t="str">
        <f>HYPERLINK("https://www.773grp.com/globalSearch/THS4032CDGN/page-1", "THS4032CDGN")</f>
        <v>THS4032CDGN</v>
      </c>
      <c r="B14966" s="3" t="str">
        <f>HYPERLINK("https://www.773grp.com/manufacturer/texas-instruments?pageNo=268", "Texas Instruments")</f>
        <v>Texas Instruments</v>
      </c>
      <c r="C14966" s="5">
        <v>6740</v>
      </c>
      <c r="D14966" s="6">
        <v>12.63</v>
      </c>
      <c r="E14966" t="s">
        <v>11</v>
      </c>
    </row>
    <row r="14967" spans="1:5" x14ac:dyDescent="0.25">
      <c r="A14967" t="str">
        <f>HYPERLINK("https://www.773grp.com/globalSearch/THS4042IDGNR/page-1", "THS4042IDGNR")</f>
        <v>THS4042IDGNR</v>
      </c>
      <c r="B14967" s="3" t="str">
        <f>HYPERLINK("https://www.773grp.com/manufacturer/texas-instruments?pageNo=355", "Texas Instruments")</f>
        <v>Texas Instruments</v>
      </c>
      <c r="C14967" s="5">
        <v>10000</v>
      </c>
      <c r="D14967" s="6">
        <v>12.74</v>
      </c>
      <c r="E14967" t="s">
        <v>11</v>
      </c>
    </row>
    <row r="14968" spans="1:5" x14ac:dyDescent="0.25">
      <c r="A14968" t="str">
        <f>HYPERLINK("https://www.773grp.com/globalSearch/OPA2662AU/page-1", "OPA2662AU")</f>
        <v>OPA2662AU</v>
      </c>
      <c r="B14968" s="3" t="str">
        <f>HYPERLINK("https://www.773grp.com/manufacturer/texas-instruments?pageNo=360", "Texas Instruments")</f>
        <v>Texas Instruments</v>
      </c>
      <c r="C14968" s="5">
        <v>3739</v>
      </c>
      <c r="D14968" s="6">
        <v>12.78</v>
      </c>
      <c r="E14968" t="s">
        <v>11</v>
      </c>
    </row>
    <row r="14969" spans="1:5" x14ac:dyDescent="0.25">
      <c r="A14969" t="str">
        <f>HYPERLINK("https://www.773grp.com/globalSearch/OPA4132UA-2K5/page-1", "OPA4132UA-2K5")</f>
        <v>OPA4132UA-2K5</v>
      </c>
      <c r="B14969" s="3" t="str">
        <f>HYPERLINK("https://www.773grp.com/manufacturer/texas-instruments?pageNo=376", "Texas Instruments")</f>
        <v>Texas Instruments</v>
      </c>
      <c r="C14969" s="5">
        <v>2473</v>
      </c>
      <c r="D14969" s="6">
        <v>12.79</v>
      </c>
      <c r="E14969" t="s">
        <v>11</v>
      </c>
    </row>
    <row r="14970" spans="1:5" x14ac:dyDescent="0.25">
      <c r="A14970" t="str">
        <f>HYPERLINK("https://www.773grp.com/globalSearch/TL054ACN/page-1", "TL054ACN")</f>
        <v>TL054ACN</v>
      </c>
      <c r="B14970" s="3" t="str">
        <f>HYPERLINK("https://www.773grp.com/manufacturer/texas-instruments?pageNo=417", "Texas Instruments")</f>
        <v>Texas Instruments</v>
      </c>
      <c r="C14970" s="5">
        <v>944</v>
      </c>
      <c r="D14970" s="6">
        <v>12.86</v>
      </c>
      <c r="E14970" t="s">
        <v>11</v>
      </c>
    </row>
    <row r="14971" spans="1:5" x14ac:dyDescent="0.25">
      <c r="A14971" t="str">
        <f>HYPERLINK("https://www.773grp.com/globalSearch/THS4032IDGN/page-1", "THS4032IDGN")</f>
        <v>THS4032IDGN</v>
      </c>
      <c r="B14971" s="3" t="str">
        <f>HYPERLINK("https://www.773grp.com/manufacturer/texas-instruments?pageNo=428", "Texas Instruments")</f>
        <v>Texas Instruments</v>
      </c>
      <c r="C14971" s="5">
        <v>1505</v>
      </c>
      <c r="D14971" s="6">
        <v>12.91</v>
      </c>
      <c r="E14971" t="s">
        <v>11</v>
      </c>
    </row>
    <row r="14972" spans="1:5" x14ac:dyDescent="0.25">
      <c r="A14972" t="str">
        <f>HYPERLINK("https://www.773grp.com/globalSearch/OPA4277UA/page-1", "OPA4277UA")</f>
        <v>OPA4277UA</v>
      </c>
      <c r="B14972" s="3" t="str">
        <f>HYPERLINK("https://www.773grp.com/manufacturer/texas-instruments?pageNo=444", "Texas Instruments")</f>
        <v>Texas Instruments</v>
      </c>
      <c r="C14972" s="5">
        <v>503</v>
      </c>
      <c r="D14972" s="6">
        <v>12.94</v>
      </c>
      <c r="E14972" t="s">
        <v>11</v>
      </c>
    </row>
    <row r="14973" spans="1:5" x14ac:dyDescent="0.25">
      <c r="A14973" t="str">
        <f>HYPERLINK("https://www.773grp.com/globalSearch/OPA4227PA/page-1", "OPA4227PA")</f>
        <v>OPA4227PA</v>
      </c>
      <c r="B14973" s="3" t="str">
        <f>HYPERLINK("https://www.773grp.com/manufacturer/texas-instruments?pageNo=521", "Texas Instruments")</f>
        <v>Texas Instruments</v>
      </c>
      <c r="C14973" s="5">
        <v>1025</v>
      </c>
      <c r="D14973" s="6">
        <v>13.08</v>
      </c>
      <c r="E14973" t="s">
        <v>11</v>
      </c>
    </row>
    <row r="14974" spans="1:5" x14ac:dyDescent="0.25">
      <c r="A14974" t="str">
        <f>HYPERLINK("https://www.773grp.com/globalSearch/OPA4227PA/page-1", "OPA4227PA")</f>
        <v>OPA4227PA</v>
      </c>
      <c r="B14974" s="3" t="str">
        <f>HYPERLINK("https://www.773grp.com/manufacturer/texas-instruments?pageNo=522", "Texas Instruments")</f>
        <v>Texas Instruments</v>
      </c>
      <c r="C14974" s="5">
        <v>2698</v>
      </c>
      <c r="D14974" s="6">
        <v>13.08</v>
      </c>
      <c r="E14974" t="s">
        <v>11</v>
      </c>
    </row>
    <row r="14975" spans="1:5" x14ac:dyDescent="0.25">
      <c r="A14975" t="str">
        <f>HYPERLINK("https://www.773grp.com/globalSearch/OPA4228PA/page-1", "OPA4228PA")</f>
        <v>OPA4228PA</v>
      </c>
      <c r="B14975" s="3" t="str">
        <f>HYPERLINK("https://www.773grp.com/manufacturer/texas-instruments?pageNo=523", "Texas Instruments")</f>
        <v>Texas Instruments</v>
      </c>
      <c r="C14975" s="5">
        <v>1025</v>
      </c>
      <c r="D14975" s="6">
        <v>13.08</v>
      </c>
      <c r="E14975" t="s">
        <v>11</v>
      </c>
    </row>
    <row r="14976" spans="1:5" x14ac:dyDescent="0.25">
      <c r="A14976" t="str">
        <f>HYPERLINK("https://www.773grp.com/globalSearch/OPA4234U/page-1", "OPA4234U")</f>
        <v>OPA4234U</v>
      </c>
      <c r="B14976" s="3" t="str">
        <f>HYPERLINK("https://www.773grp.com/manufacturer/texas-instruments?pageNo=524", "Texas Instruments")</f>
        <v>Texas Instruments</v>
      </c>
      <c r="C14976" s="5">
        <v>44198</v>
      </c>
      <c r="D14976" s="6">
        <v>13.08</v>
      </c>
      <c r="E14976" t="s">
        <v>11</v>
      </c>
    </row>
    <row r="14977" spans="1:5" x14ac:dyDescent="0.25">
      <c r="A14977" t="str">
        <f>HYPERLINK("https://www.773grp.com/globalSearch/OPA4234UG4/page-1", "OPA4234UG4")</f>
        <v>OPA4234UG4</v>
      </c>
      <c r="B14977" s="3" t="str">
        <f>HYPERLINK("https://www.773grp.com/manufacturer/texas-instruments?pageNo=525", "Texas Instruments")</f>
        <v>Texas Instruments</v>
      </c>
      <c r="C14977" s="5">
        <v>74</v>
      </c>
      <c r="D14977" s="6">
        <v>13.08</v>
      </c>
      <c r="E14977" t="s">
        <v>11</v>
      </c>
    </row>
    <row r="14978" spans="1:5" x14ac:dyDescent="0.25">
      <c r="A14978" t="str">
        <f>HYPERLINK("https://www.773grp.com/globalSearch/OPA4703EA-250/page-1", "OPA4703EA-250")</f>
        <v>OPA4703EA-250</v>
      </c>
      <c r="B14978" s="3" t="str">
        <f>HYPERLINK("https://www.773grp.com/manufacturer/texas-instruments?pageNo=526", "Texas Instruments")</f>
        <v>Texas Instruments</v>
      </c>
      <c r="C14978" s="5">
        <v>500</v>
      </c>
      <c r="D14978" s="6">
        <v>13.08</v>
      </c>
      <c r="E14978" t="s">
        <v>11</v>
      </c>
    </row>
    <row r="14979" spans="1:5" x14ac:dyDescent="0.25">
      <c r="A14979" t="str">
        <f>HYPERLINK("https://www.773grp.com/globalSearch/OPA4704EA-250/page-1", "OPA4704EA-250")</f>
        <v>OPA4704EA-250</v>
      </c>
      <c r="B14979" s="3" t="str">
        <f>HYPERLINK("https://www.773grp.com/manufacturer/texas-instruments?pageNo=527", "Texas Instruments")</f>
        <v>Texas Instruments</v>
      </c>
      <c r="C14979" s="5">
        <v>450</v>
      </c>
      <c r="D14979" s="6">
        <v>13.08</v>
      </c>
      <c r="E14979" t="s">
        <v>11</v>
      </c>
    </row>
    <row r="14980" spans="1:5" x14ac:dyDescent="0.25">
      <c r="A14980" t="str">
        <f>HYPERLINK("https://www.773grp.com/globalSearch/8102306CA/page-1", "8102306CA")</f>
        <v>8102306CA</v>
      </c>
      <c r="B14980" s="3" t="str">
        <f>HYPERLINK("https://www.773grp.com/manufacturer/texas-instruments?pageNo=545", "Texas Instruments")</f>
        <v>Texas Instruments</v>
      </c>
      <c r="C14980" s="5">
        <v>6372</v>
      </c>
      <c r="D14980" s="6">
        <v>13.13</v>
      </c>
      <c r="E14980" t="s">
        <v>11</v>
      </c>
    </row>
    <row r="14981" spans="1:5" x14ac:dyDescent="0.25">
      <c r="A14981" t="str">
        <f>HYPERLINK("https://www.773grp.com/globalSearch/TL074MJ/page-1", "TL074MJ")</f>
        <v>TL074MJ</v>
      </c>
      <c r="B14981" s="3" t="str">
        <f>HYPERLINK("https://www.773grp.com/manufacturer/texas-instruments?pageNo=548", "Texas Instruments")</f>
        <v>Texas Instruments</v>
      </c>
      <c r="C14981" s="5">
        <v>31</v>
      </c>
      <c r="D14981" s="6">
        <v>13.13</v>
      </c>
      <c r="E14981" t="s">
        <v>11</v>
      </c>
    </row>
    <row r="14982" spans="1:5" x14ac:dyDescent="0.25">
      <c r="A14982" t="str">
        <f>HYPERLINK("https://www.773grp.com/globalSearch/TL074MJB/page-1", "TL074MJB")</f>
        <v>TL074MJB</v>
      </c>
      <c r="B14982" s="3" t="str">
        <f>HYPERLINK("https://www.773grp.com/manufacturer/texas-instruments?pageNo=549", "Texas Instruments")</f>
        <v>Texas Instruments</v>
      </c>
      <c r="C14982" s="5">
        <v>4</v>
      </c>
      <c r="D14982" s="6">
        <v>13.13</v>
      </c>
      <c r="E14982" t="s">
        <v>11</v>
      </c>
    </row>
    <row r="14983" spans="1:5" x14ac:dyDescent="0.25">
      <c r="A14983" t="str">
        <f>HYPERLINK("https://www.773grp.com/globalSearch/THS4151CDR/page-1", "THS4151CDR")</f>
        <v>THS4151CDR</v>
      </c>
      <c r="B14983" s="3" t="str">
        <f>HYPERLINK("https://www.773grp.com/manufacturer/texas-instruments?pageNo=575", "Texas Instruments")</f>
        <v>Texas Instruments</v>
      </c>
      <c r="C14983" s="5">
        <v>2042</v>
      </c>
      <c r="D14983" s="6">
        <v>13.21</v>
      </c>
      <c r="E14983" t="s">
        <v>11</v>
      </c>
    </row>
    <row r="14984" spans="1:5" x14ac:dyDescent="0.25">
      <c r="A14984" t="str">
        <f>HYPERLINK("https://www.773grp.com/globalSearch/THS4509RGTT/page-1", "THS4509RGTT")</f>
        <v>THS4509RGTT</v>
      </c>
      <c r="B14984" s="3" t="str">
        <f>HYPERLINK("https://www.773grp.com/manufacturer/texas-instruments?pageNo=650", "Texas Instruments")</f>
        <v>Texas Instruments</v>
      </c>
      <c r="C14984" s="5">
        <v>1231</v>
      </c>
      <c r="D14984" s="6">
        <v>13.34</v>
      </c>
      <c r="E14984" t="s">
        <v>11</v>
      </c>
    </row>
    <row r="14985" spans="1:5" x14ac:dyDescent="0.25">
      <c r="A14985" t="str">
        <f>HYPERLINK("https://www.773grp.com/globalSearch/OPA124U/page-1", "OPA124U")</f>
        <v>OPA124U</v>
      </c>
      <c r="B14985" s="3" t="str">
        <f>HYPERLINK("https://www.773grp.com/manufacturer/texas-instruments?pageNo=659", "Texas Instruments")</f>
        <v>Texas Instruments</v>
      </c>
      <c r="C14985" s="5">
        <v>5397</v>
      </c>
      <c r="D14985" s="6">
        <v>13.36</v>
      </c>
      <c r="E14985" t="s">
        <v>11</v>
      </c>
    </row>
    <row r="14986" spans="1:5" x14ac:dyDescent="0.25">
      <c r="A14986" t="str">
        <f>HYPERLINK("https://www.773grp.com/globalSearch/OPA124UA-2K5/page-1", "OPA124UA-2K5")</f>
        <v>OPA124UA-2K5</v>
      </c>
      <c r="B14986" s="3" t="str">
        <f>HYPERLINK("https://www.773grp.com/manufacturer/texas-instruments?pageNo=660", "Texas Instruments")</f>
        <v>Texas Instruments</v>
      </c>
      <c r="C14986" s="5">
        <v>11975</v>
      </c>
      <c r="D14986" s="6">
        <v>13.36</v>
      </c>
      <c r="E14986" t="s">
        <v>11</v>
      </c>
    </row>
    <row r="14987" spans="1:5" x14ac:dyDescent="0.25">
      <c r="A14987" t="str">
        <f>HYPERLINK("https://www.773grp.com/globalSearch/OPA445ADDAR/page-1", "OPA445ADDAR")</f>
        <v>OPA445ADDAR</v>
      </c>
      <c r="B14987" s="3" t="str">
        <f>HYPERLINK("https://www.773grp.com/manufacturer/texas-instruments?pageNo=661", "Texas Instruments")</f>
        <v>Texas Instruments</v>
      </c>
      <c r="C14987" s="5">
        <v>4950</v>
      </c>
      <c r="D14987" s="6">
        <v>13.36</v>
      </c>
      <c r="E14987" t="s">
        <v>11</v>
      </c>
    </row>
    <row r="14988" spans="1:5" x14ac:dyDescent="0.25">
      <c r="A14988" t="str">
        <f>HYPERLINK("https://www.773grp.com/globalSearch/THS7530PWP/page-1", "THS7530PWP")</f>
        <v>THS7530PWP</v>
      </c>
      <c r="B14988" s="3" t="str">
        <f>HYPERLINK("https://www.773grp.com/manufacturer/texas-instruments?pageNo=668", "Texas Instruments")</f>
        <v>Texas Instruments</v>
      </c>
      <c r="C14988" s="5">
        <v>15749</v>
      </c>
      <c r="D14988" s="6">
        <v>13.36</v>
      </c>
      <c r="E14988" t="s">
        <v>11</v>
      </c>
    </row>
    <row r="14989" spans="1:5" x14ac:dyDescent="0.25">
      <c r="A14989" t="str">
        <f>HYPERLINK("https://www.773grp.com/globalSearch/THS770006IRGET/page-1", "THS770006IRGET")</f>
        <v>THS770006IRGET</v>
      </c>
      <c r="B14989" s="3" t="str">
        <f>HYPERLINK("https://www.773grp.com/manufacturer/texas-instruments?pageNo=669", "Texas Instruments")</f>
        <v>Texas Instruments</v>
      </c>
      <c r="C14989" s="5">
        <v>1250</v>
      </c>
      <c r="D14989" s="6">
        <v>13.36</v>
      </c>
      <c r="E14989" t="s">
        <v>11</v>
      </c>
    </row>
    <row r="14990" spans="1:5" x14ac:dyDescent="0.25">
      <c r="A14990" t="str">
        <f>HYPERLINK("https://www.773grp.com/globalSearch/THS4140CD/page-1", "THS4140CD")</f>
        <v>THS4140CD</v>
      </c>
      <c r="B14990" s="3" t="str">
        <f>HYPERLINK("https://www.773grp.com/manufacturer/texas-instruments?pageNo=695", "Texas Instruments")</f>
        <v>Texas Instruments</v>
      </c>
      <c r="C14990" s="5">
        <v>19318</v>
      </c>
      <c r="D14990" s="6">
        <v>13.41</v>
      </c>
      <c r="E14990" t="s">
        <v>11</v>
      </c>
    </row>
    <row r="14991" spans="1:5" x14ac:dyDescent="0.25">
      <c r="A14991" t="str">
        <f>HYPERLINK("https://www.773grp.com/globalSearch/THS4140CDGN/page-1", "THS4140CDGN")</f>
        <v>THS4140CDGN</v>
      </c>
      <c r="B14991" s="3" t="str">
        <f>HYPERLINK("https://www.773grp.com/manufacturer/texas-instruments?pageNo=696", "Texas Instruments")</f>
        <v>Texas Instruments</v>
      </c>
      <c r="C14991" s="5">
        <v>30741</v>
      </c>
      <c r="D14991" s="6">
        <v>13.41</v>
      </c>
      <c r="E14991" t="s">
        <v>11</v>
      </c>
    </row>
    <row r="14992" spans="1:5" x14ac:dyDescent="0.25">
      <c r="A14992" t="str">
        <f>HYPERLINK("https://www.773grp.com/globalSearch/THS4141CD/page-1", "THS4141CD")</f>
        <v>THS4141CD</v>
      </c>
      <c r="B14992" s="3" t="str">
        <f>HYPERLINK("https://www.773grp.com/manufacturer/texas-instruments?pageNo=697", "Texas Instruments")</f>
        <v>Texas Instruments</v>
      </c>
      <c r="C14992" s="5">
        <v>5130</v>
      </c>
      <c r="D14992" s="6">
        <v>13.41</v>
      </c>
      <c r="E14992" t="s">
        <v>11</v>
      </c>
    </row>
    <row r="14993" spans="1:5" x14ac:dyDescent="0.25">
      <c r="A14993" t="str">
        <f>HYPERLINK("https://www.773grp.com/globalSearch/THS4141CDGN/page-1", "THS4141CDGN")</f>
        <v>THS4141CDGN</v>
      </c>
      <c r="B14993" s="3" t="str">
        <f>HYPERLINK("https://www.773grp.com/manufacturer/texas-instruments?pageNo=698", "Texas Instruments")</f>
        <v>Texas Instruments</v>
      </c>
      <c r="C14993" s="5">
        <v>8720</v>
      </c>
      <c r="D14993" s="6">
        <v>13.41</v>
      </c>
      <c r="E14993" t="s">
        <v>11</v>
      </c>
    </row>
    <row r="14994" spans="1:5" x14ac:dyDescent="0.25">
      <c r="A14994" t="str">
        <f>HYPERLINK("https://www.773grp.com/globalSearch/THS4500CD/page-1", "THS4500CD")</f>
        <v>THS4500CD</v>
      </c>
      <c r="B14994" s="3" t="str">
        <f>HYPERLINK("https://www.773grp.com/manufacturer/texas-instruments?pageNo=704", "Texas Instruments")</f>
        <v>Texas Instruments</v>
      </c>
      <c r="C14994" s="5">
        <v>5957</v>
      </c>
      <c r="D14994" s="6">
        <v>13.45</v>
      </c>
      <c r="E14994" t="s">
        <v>11</v>
      </c>
    </row>
    <row r="14995" spans="1:5" x14ac:dyDescent="0.25">
      <c r="A14995" t="str">
        <f>HYPERLINK("https://www.773grp.com/globalSearch/THS4500CDGN/page-1", "THS4500CDGN")</f>
        <v>THS4500CDGN</v>
      </c>
      <c r="B14995" s="3" t="str">
        <f>HYPERLINK("https://www.773grp.com/manufacturer/texas-instruments?pageNo=705", "Texas Instruments")</f>
        <v>Texas Instruments</v>
      </c>
      <c r="C14995" s="5">
        <v>3776</v>
      </c>
      <c r="D14995" s="6">
        <v>13.45</v>
      </c>
      <c r="E14995" t="s">
        <v>11</v>
      </c>
    </row>
    <row r="14996" spans="1:5" x14ac:dyDescent="0.25">
      <c r="A14996" t="str">
        <f>HYPERLINK("https://www.773grp.com/globalSearch/THS4501CD/page-1", "THS4501CD")</f>
        <v>THS4501CD</v>
      </c>
      <c r="B14996" s="3" t="str">
        <f>HYPERLINK("https://www.773grp.com/manufacturer/texas-instruments?pageNo=706", "Texas Instruments")</f>
        <v>Texas Instruments</v>
      </c>
      <c r="C14996" s="5">
        <v>4369</v>
      </c>
      <c r="D14996" s="6">
        <v>13.45</v>
      </c>
      <c r="E14996" t="s">
        <v>11</v>
      </c>
    </row>
    <row r="14997" spans="1:5" x14ac:dyDescent="0.25">
      <c r="A14997" t="str">
        <f>HYPERLINK("https://www.773grp.com/globalSearch/THS4501CDGN/page-1", "THS4501CDGN")</f>
        <v>THS4501CDGN</v>
      </c>
      <c r="B14997" s="3" t="str">
        <f>HYPERLINK("https://www.773grp.com/manufacturer/texas-instruments?pageNo=707", "Texas Instruments")</f>
        <v>Texas Instruments</v>
      </c>
      <c r="C14997" s="5">
        <v>9704</v>
      </c>
      <c r="D14997" s="6">
        <v>13.45</v>
      </c>
      <c r="E14997" t="s">
        <v>11</v>
      </c>
    </row>
    <row r="14998" spans="1:5" x14ac:dyDescent="0.25">
      <c r="A14998" t="str">
        <f>HYPERLINK("https://www.773grp.com/globalSearch/THS4501CDGNG4/page-1", "THS4501CDGNG4")</f>
        <v>THS4501CDGNG4</v>
      </c>
      <c r="B14998" s="3" t="str">
        <f>HYPERLINK("https://www.773grp.com/manufacturer/texas-instruments?pageNo=708", "Texas Instruments")</f>
        <v>Texas Instruments</v>
      </c>
      <c r="C14998" s="5">
        <v>80</v>
      </c>
      <c r="D14998" s="6">
        <v>13.45</v>
      </c>
      <c r="E14998" t="s">
        <v>11</v>
      </c>
    </row>
    <row r="14999" spans="1:5" x14ac:dyDescent="0.25">
      <c r="A14999" t="str">
        <f>HYPERLINK("https://www.773grp.com/globalSearch/OPA4241PA/page-1", "OPA4241PA")</f>
        <v>OPA4241PA</v>
      </c>
      <c r="B14999" s="3" t="str">
        <f>HYPERLINK("https://www.773grp.com/manufacturer/texas-instruments?pageNo=737", "Texas Instruments")</f>
        <v>Texas Instruments</v>
      </c>
      <c r="C14999" s="5">
        <v>12141</v>
      </c>
      <c r="D14999" s="6">
        <v>13.5</v>
      </c>
      <c r="E14999" t="s">
        <v>11</v>
      </c>
    </row>
    <row r="15000" spans="1:5" x14ac:dyDescent="0.25">
      <c r="A15000" t="str">
        <f>HYPERLINK("https://www.773grp.com/globalSearch/THS4151IDR/page-1", "THS4151IDR")</f>
        <v>THS4151IDR</v>
      </c>
      <c r="B15000" s="3" t="str">
        <f>HYPERLINK("https://www.773grp.com/manufacturer/texas-instruments?pageNo=750", "Texas Instruments")</f>
        <v>Texas Instruments</v>
      </c>
      <c r="C15000" s="5">
        <v>1138</v>
      </c>
      <c r="D15000" s="6">
        <v>13.5</v>
      </c>
      <c r="E15000" t="s">
        <v>11</v>
      </c>
    </row>
    <row r="15001" spans="1:5" x14ac:dyDescent="0.25">
      <c r="A15001" t="str">
        <f>HYPERLINK("https://www.773grp.com/globalSearch/THS4509QRGTRQ1/page-1", "THS4509QRGTRQ1")</f>
        <v>THS4509QRGTRQ1</v>
      </c>
      <c r="B15001" s="3" t="str">
        <f>HYPERLINK("https://www.773grp.com/manufacturer/texas-instruments?pageNo=789", "Texas Instruments")</f>
        <v>Texas Instruments</v>
      </c>
      <c r="C15001" s="5">
        <v>25000</v>
      </c>
      <c r="D15001" s="6">
        <v>13.59</v>
      </c>
      <c r="E15001" t="s">
        <v>11</v>
      </c>
    </row>
    <row r="15002" spans="1:5" x14ac:dyDescent="0.25">
      <c r="A15002" t="str">
        <f>HYPERLINK("https://www.773grp.com/globalSearch/OPA4227UA/page-1", "OPA4227UA")</f>
        <v>OPA4227UA</v>
      </c>
      <c r="B15002" s="3" t="str">
        <f>HYPERLINK("https://www.773grp.com/manufacturer/texas-instruments?pageNo=813", "Texas Instruments")</f>
        <v>Texas Instruments</v>
      </c>
      <c r="C15002" s="5">
        <v>7709</v>
      </c>
      <c r="D15002" s="6">
        <v>13.64</v>
      </c>
      <c r="E15002" t="s">
        <v>11</v>
      </c>
    </row>
    <row r="15003" spans="1:5" x14ac:dyDescent="0.25">
      <c r="A15003" t="str">
        <f>HYPERLINK("https://www.773grp.com/globalSearch/OPA4704UA/page-1", "OPA4704UA")</f>
        <v>OPA4704UA</v>
      </c>
      <c r="B15003" s="3" t="str">
        <f>HYPERLINK("https://www.773grp.com/manufacturer/texas-instruments?pageNo=817", "Texas Instruments")</f>
        <v>Texas Instruments</v>
      </c>
      <c r="C15003" s="5">
        <v>3958</v>
      </c>
      <c r="D15003" s="6">
        <v>13.64</v>
      </c>
      <c r="E15003" t="s">
        <v>11</v>
      </c>
    </row>
    <row r="15004" spans="1:5" x14ac:dyDescent="0.25">
      <c r="A15004" t="str">
        <f>HYPERLINK("https://www.773grp.com/globalSearch/OPA4704UA/page-1", "OPA4704UA")</f>
        <v>OPA4704UA</v>
      </c>
      <c r="B15004" s="3" t="str">
        <f>HYPERLINK("https://www.773grp.com/manufacturer/texas-instruments?pageNo=818", "Texas Instruments")</f>
        <v>Texas Instruments</v>
      </c>
      <c r="C15004" s="5">
        <v>4453</v>
      </c>
      <c r="D15004" s="6">
        <v>13.64</v>
      </c>
      <c r="E15004" t="s">
        <v>11</v>
      </c>
    </row>
    <row r="15005" spans="1:5" x14ac:dyDescent="0.25">
      <c r="A15005" t="str">
        <f>HYPERLINK("https://www.773grp.com/globalSearch/THS4140ID/page-1", "THS4140ID")</f>
        <v>THS4140ID</v>
      </c>
      <c r="B15005" s="3" t="str">
        <f>HYPERLINK("https://www.773grp.com/manufacturer/texas-instruments?pageNo=848", "Texas Instruments")</f>
        <v>Texas Instruments</v>
      </c>
      <c r="C15005" s="5">
        <v>17337</v>
      </c>
      <c r="D15005" s="6">
        <v>13.73</v>
      </c>
      <c r="E15005" t="s">
        <v>11</v>
      </c>
    </row>
    <row r="15006" spans="1:5" x14ac:dyDescent="0.25">
      <c r="A15006" t="str">
        <f>HYPERLINK("https://www.773grp.com/globalSearch/THS4140IDGK/page-1", "THS4140IDGK")</f>
        <v>THS4140IDGK</v>
      </c>
      <c r="B15006" s="3" t="str">
        <f>HYPERLINK("https://www.773grp.com/manufacturer/texas-instruments?pageNo=849", "Texas Instruments")</f>
        <v>Texas Instruments</v>
      </c>
      <c r="C15006" s="5">
        <v>7527</v>
      </c>
      <c r="D15006" s="6">
        <v>13.73</v>
      </c>
      <c r="E15006" t="s">
        <v>11</v>
      </c>
    </row>
    <row r="15007" spans="1:5" x14ac:dyDescent="0.25">
      <c r="A15007" t="str">
        <f>HYPERLINK("https://www.773grp.com/globalSearch/THS4140IDGN/page-1", "THS4140IDGN")</f>
        <v>THS4140IDGN</v>
      </c>
      <c r="B15007" s="3" t="str">
        <f>HYPERLINK("https://www.773grp.com/manufacturer/texas-instruments?pageNo=850", "Texas Instruments")</f>
        <v>Texas Instruments</v>
      </c>
      <c r="C15007" s="5">
        <v>13888</v>
      </c>
      <c r="D15007" s="6">
        <v>13.73</v>
      </c>
      <c r="E15007" t="s">
        <v>11</v>
      </c>
    </row>
    <row r="15008" spans="1:5" x14ac:dyDescent="0.25">
      <c r="A15008" t="str">
        <f>HYPERLINK("https://www.773grp.com/globalSearch/THS4141ID/page-1", "THS4141ID")</f>
        <v>THS4141ID</v>
      </c>
      <c r="B15008" s="3" t="str">
        <f>HYPERLINK("https://www.773grp.com/manufacturer/texas-instruments?pageNo=851", "Texas Instruments")</f>
        <v>Texas Instruments</v>
      </c>
      <c r="C15008" s="5">
        <v>7601</v>
      </c>
      <c r="D15008" s="6">
        <v>13.73</v>
      </c>
      <c r="E15008" t="s">
        <v>11</v>
      </c>
    </row>
    <row r="15009" spans="1:5" x14ac:dyDescent="0.25">
      <c r="A15009" t="str">
        <f>HYPERLINK("https://www.773grp.com/globalSearch/THS4141IDGK/page-1", "THS4141IDGK")</f>
        <v>THS4141IDGK</v>
      </c>
      <c r="B15009" s="3" t="str">
        <f>HYPERLINK("https://www.773grp.com/manufacturer/texas-instruments?pageNo=852", "Texas Instruments")</f>
        <v>Texas Instruments</v>
      </c>
      <c r="C15009" s="5">
        <v>15440</v>
      </c>
      <c r="D15009" s="6">
        <v>13.73</v>
      </c>
      <c r="E15009" t="s">
        <v>11</v>
      </c>
    </row>
    <row r="15010" spans="1:5" x14ac:dyDescent="0.25">
      <c r="A15010" t="str">
        <f>HYPERLINK("https://www.773grp.com/globalSearch/THS4141IDGN/page-1", "THS4141IDGN")</f>
        <v>THS4141IDGN</v>
      </c>
      <c r="B15010" s="3" t="str">
        <f>HYPERLINK("https://www.773grp.com/manufacturer/texas-instruments?pageNo=853", "Texas Instruments")</f>
        <v>Texas Instruments</v>
      </c>
      <c r="C15010" s="5">
        <v>14640</v>
      </c>
      <c r="D15010" s="6">
        <v>13.73</v>
      </c>
      <c r="E15010" t="s">
        <v>11</v>
      </c>
    </row>
    <row r="15011" spans="1:5" x14ac:dyDescent="0.25">
      <c r="A15011" t="str">
        <f>HYPERLINK("https://www.773grp.com/globalSearch/THS4500ID/page-1", "THS4500ID")</f>
        <v>THS4500ID</v>
      </c>
      <c r="B15011" s="3" t="str">
        <f>HYPERLINK("https://www.773grp.com/manufacturer/texas-instruments?pageNo=854", "Texas Instruments")</f>
        <v>Texas Instruments</v>
      </c>
      <c r="C15011" s="5">
        <v>11521</v>
      </c>
      <c r="D15011" s="6">
        <v>13.73</v>
      </c>
      <c r="E15011" t="s">
        <v>11</v>
      </c>
    </row>
    <row r="15012" spans="1:5" x14ac:dyDescent="0.25">
      <c r="A15012" t="str">
        <f>HYPERLINK("https://www.773grp.com/globalSearch/THS4500IDGK/page-1", "THS4500IDGK")</f>
        <v>THS4500IDGK</v>
      </c>
      <c r="B15012" s="3" t="str">
        <f>HYPERLINK("https://www.773grp.com/manufacturer/texas-instruments?pageNo=855", "Texas Instruments")</f>
        <v>Texas Instruments</v>
      </c>
      <c r="C15012" s="5">
        <v>11915</v>
      </c>
      <c r="D15012" s="6">
        <v>13.73</v>
      </c>
      <c r="E15012" t="s">
        <v>11</v>
      </c>
    </row>
    <row r="15013" spans="1:5" x14ac:dyDescent="0.25">
      <c r="A15013" t="str">
        <f>HYPERLINK("https://www.773grp.com/globalSearch/THS4500IDGN/page-1", "THS4500IDGN")</f>
        <v>THS4500IDGN</v>
      </c>
      <c r="B15013" s="3" t="str">
        <f>HYPERLINK("https://www.773grp.com/manufacturer/texas-instruments?pageNo=856", "Texas Instruments")</f>
        <v>Texas Instruments</v>
      </c>
      <c r="C15013" s="5">
        <v>797</v>
      </c>
      <c r="D15013" s="6">
        <v>13.73</v>
      </c>
      <c r="E15013" t="s">
        <v>11</v>
      </c>
    </row>
    <row r="15014" spans="1:5" x14ac:dyDescent="0.25">
      <c r="A15014" t="str">
        <f>HYPERLINK("https://www.773grp.com/globalSearch/THS4501ID/page-1", "THS4501ID")</f>
        <v>THS4501ID</v>
      </c>
      <c r="B15014" s="3" t="str">
        <f>HYPERLINK("https://www.773grp.com/manufacturer/texas-instruments?pageNo=857", "Texas Instruments")</f>
        <v>Texas Instruments</v>
      </c>
      <c r="C15014" s="5">
        <v>13141</v>
      </c>
      <c r="D15014" s="6">
        <v>13.73</v>
      </c>
      <c r="E15014" t="s">
        <v>11</v>
      </c>
    </row>
    <row r="15015" spans="1:5" x14ac:dyDescent="0.25">
      <c r="A15015" t="str">
        <f>HYPERLINK("https://www.773grp.com/globalSearch/THS4501IDGK/page-1", "THS4501IDGK")</f>
        <v>THS4501IDGK</v>
      </c>
      <c r="B15015" s="3" t="str">
        <f>HYPERLINK("https://www.773grp.com/manufacturer/texas-instruments?pageNo=858", "Texas Instruments")</f>
        <v>Texas Instruments</v>
      </c>
      <c r="C15015" s="5">
        <v>6993</v>
      </c>
      <c r="D15015" s="6">
        <v>13.73</v>
      </c>
      <c r="E15015" t="s">
        <v>11</v>
      </c>
    </row>
    <row r="15016" spans="1:5" x14ac:dyDescent="0.25">
      <c r="A15016" t="str">
        <f>HYPERLINK("https://www.773grp.com/globalSearch/THS4501IDGN/page-1", "THS4501IDGN")</f>
        <v>THS4501IDGN</v>
      </c>
      <c r="B15016" s="3" t="str">
        <f>HYPERLINK("https://www.773grp.com/manufacturer/texas-instruments?pageNo=859", "Texas Instruments")</f>
        <v>Texas Instruments</v>
      </c>
      <c r="C15016" s="5">
        <v>7389</v>
      </c>
      <c r="D15016" s="6">
        <v>13.73</v>
      </c>
      <c r="E15016" t="s">
        <v>11</v>
      </c>
    </row>
    <row r="15017" spans="1:5" x14ac:dyDescent="0.25">
      <c r="A15017" t="str">
        <f>HYPERLINK("https://www.773grp.com/globalSearch/MPA4609IPFBR/page-1", "MPA4609IPFBR")</f>
        <v>MPA4609IPFBR</v>
      </c>
      <c r="B15017" s="3" t="str">
        <f>HYPERLINK("https://www.773grp.com/manufacturer/texas-instruments?pageNo=957", "Texas Instruments")</f>
        <v>Texas Instruments</v>
      </c>
      <c r="C15017" s="5">
        <v>16000</v>
      </c>
      <c r="D15017" s="6">
        <v>13.93</v>
      </c>
      <c r="E15017" t="s">
        <v>11</v>
      </c>
    </row>
    <row r="15018" spans="1:5" x14ac:dyDescent="0.25">
      <c r="A15018" t="str">
        <f>HYPERLINK("https://www.773grp.com/globalSearch/OPA4241UA/page-1", "OPA4241UA")</f>
        <v>OPA4241UA</v>
      </c>
      <c r="B15018" s="3" t="s">
        <v>90</v>
      </c>
      <c r="C15018" s="5">
        <v>2798</v>
      </c>
      <c r="D15018" s="6">
        <v>14.06</v>
      </c>
      <c r="E15018" t="s">
        <v>11</v>
      </c>
    </row>
    <row r="15019" spans="1:5" x14ac:dyDescent="0.25">
      <c r="A15019" t="str">
        <f>HYPERLINK("https://www.773grp.com/globalSearch/OPA4241UA/page-1", "OPA4241UA")</f>
        <v>OPA4241UA</v>
      </c>
      <c r="B15019" s="3" t="s">
        <v>90</v>
      </c>
      <c r="C15019" s="5">
        <v>166</v>
      </c>
      <c r="D15019" s="6">
        <v>14.06</v>
      </c>
      <c r="E15019" t="s">
        <v>11</v>
      </c>
    </row>
    <row r="15020" spans="1:5" x14ac:dyDescent="0.25">
      <c r="A15020" t="str">
        <f>HYPERLINK("https://www.773grp.com/globalSearch/PGA870IRHDT/page-1", "PGA870IRHDT")</f>
        <v>PGA870IRHDT</v>
      </c>
      <c r="B15020" s="3" t="s">
        <v>90</v>
      </c>
      <c r="C15020" s="5">
        <v>2434</v>
      </c>
      <c r="D15020" s="6">
        <v>14.06</v>
      </c>
      <c r="E15020" t="s">
        <v>11</v>
      </c>
    </row>
    <row r="15021" spans="1:5" x14ac:dyDescent="0.25">
      <c r="A15021" t="str">
        <f>HYPERLINK("https://www.773grp.com/globalSearch/OPA2132U-2K5/page-1", "OPA2132U-2K5")</f>
        <v>OPA2132U-2K5</v>
      </c>
      <c r="B15021" s="3" t="s">
        <v>90</v>
      </c>
      <c r="C15021" s="5">
        <v>31860</v>
      </c>
      <c r="D15021" s="6">
        <v>14.21</v>
      </c>
      <c r="E15021" t="s">
        <v>11</v>
      </c>
    </row>
    <row r="15022" spans="1:5" x14ac:dyDescent="0.25">
      <c r="A15022" t="str">
        <f>HYPERLINK("https://www.773grp.com/globalSearch/THS4150IDR/page-1", "THS4150IDR")</f>
        <v>THS4150IDR</v>
      </c>
      <c r="B15022" s="3" t="s">
        <v>90</v>
      </c>
      <c r="C15022" s="5">
        <v>10000</v>
      </c>
      <c r="D15022" s="6">
        <v>14.35</v>
      </c>
      <c r="E15022" t="s">
        <v>11</v>
      </c>
    </row>
    <row r="15023" spans="1:5" x14ac:dyDescent="0.25">
      <c r="A15023" t="str">
        <f>HYPERLINK("https://www.773grp.com/globalSearch/OPA606KM/page-1", "OPA606KM")</f>
        <v>OPA606KM</v>
      </c>
      <c r="B15023" s="3" t="s">
        <v>90</v>
      </c>
      <c r="C15023" s="5">
        <v>10339</v>
      </c>
      <c r="D15023" s="6">
        <v>14.4</v>
      </c>
      <c r="E15023" t="s">
        <v>11</v>
      </c>
    </row>
    <row r="15024" spans="1:5" x14ac:dyDescent="0.25">
      <c r="A15024" t="str">
        <f>HYPERLINK("https://www.773grp.com/globalSearch/THS4513RGTT/page-1", "THS4513RGTT")</f>
        <v>THS4513RGTT</v>
      </c>
      <c r="B15024" s="3" t="s">
        <v>90</v>
      </c>
      <c r="C15024" s="5">
        <v>14470</v>
      </c>
      <c r="D15024" s="6">
        <v>14.46</v>
      </c>
      <c r="E15024" t="s">
        <v>11</v>
      </c>
    </row>
    <row r="15025" spans="1:5" x14ac:dyDescent="0.25">
      <c r="A15025" t="str">
        <f>HYPERLINK("https://www.773grp.com/globalSearch/OPA211IDR/page-1", "OPA211IDR")</f>
        <v>OPA211IDR</v>
      </c>
      <c r="B15025" s="3" t="s">
        <v>90</v>
      </c>
      <c r="C15025" s="5">
        <v>12500</v>
      </c>
      <c r="D15025" s="6">
        <v>14.48</v>
      </c>
      <c r="E15025" t="s">
        <v>11</v>
      </c>
    </row>
    <row r="15026" spans="1:5" x14ac:dyDescent="0.25">
      <c r="A15026" t="str">
        <f>HYPERLINK("https://www.773grp.com/globalSearch/8102305PA/page-1", "8102305PA")</f>
        <v>8102305PA</v>
      </c>
      <c r="B15026" s="3" t="s">
        <v>90</v>
      </c>
      <c r="C15026" s="5">
        <v>1377</v>
      </c>
      <c r="D15026" s="6">
        <v>14.69</v>
      </c>
      <c r="E15026" t="s">
        <v>11</v>
      </c>
    </row>
    <row r="15027" spans="1:5" x14ac:dyDescent="0.25">
      <c r="A15027" t="str">
        <f>HYPERLINK("https://www.773grp.com/globalSearch/LT1001ACP/page-1", "LT1001ACP")</f>
        <v>LT1001ACP</v>
      </c>
      <c r="B15027" s="3" t="s">
        <v>90</v>
      </c>
      <c r="C15027" s="5">
        <v>601</v>
      </c>
      <c r="D15027" s="6">
        <v>14.69</v>
      </c>
      <c r="E15027" t="s">
        <v>11</v>
      </c>
    </row>
    <row r="15028" spans="1:5" x14ac:dyDescent="0.25">
      <c r="A15028" t="str">
        <f>HYPERLINK("https://www.773grp.com/globalSearch/THS4502CD/page-1", "THS4502CD")</f>
        <v>THS4502CD</v>
      </c>
      <c r="B15028" s="3" t="s">
        <v>90</v>
      </c>
      <c r="C15028" s="5">
        <v>3290</v>
      </c>
      <c r="D15028" s="6">
        <v>14.71</v>
      </c>
      <c r="E15028" t="s">
        <v>11</v>
      </c>
    </row>
    <row r="15029" spans="1:5" x14ac:dyDescent="0.25">
      <c r="A15029" t="str">
        <f>HYPERLINK("https://www.773grp.com/globalSearch/THS4502CDGN/page-1", "THS4502CDGN")</f>
        <v>THS4502CDGN</v>
      </c>
      <c r="B15029" s="3" t="s">
        <v>90</v>
      </c>
      <c r="C15029" s="5">
        <v>206</v>
      </c>
      <c r="D15029" s="6">
        <v>14.71</v>
      </c>
      <c r="E15029" t="s">
        <v>11</v>
      </c>
    </row>
    <row r="15030" spans="1:5" x14ac:dyDescent="0.25">
      <c r="A15030" t="str">
        <f>HYPERLINK("https://www.773grp.com/globalSearch/THS4503CD/page-1", "THS4503CD")</f>
        <v>THS4503CD</v>
      </c>
      <c r="B15030" s="3" t="s">
        <v>90</v>
      </c>
      <c r="C15030" s="5">
        <v>10620</v>
      </c>
      <c r="D15030" s="6">
        <v>14.71</v>
      </c>
      <c r="E15030" t="s">
        <v>11</v>
      </c>
    </row>
    <row r="15031" spans="1:5" x14ac:dyDescent="0.25">
      <c r="A15031" t="str">
        <f>HYPERLINK("https://www.773grp.com/globalSearch/OPA4251UA-2K5/page-1", "OPA4251UA-2K5")</f>
        <v>OPA4251UA-2K5</v>
      </c>
      <c r="B15031" s="3" t="s">
        <v>90</v>
      </c>
      <c r="C15031" s="5">
        <v>20000</v>
      </c>
      <c r="D15031" s="6">
        <v>14.76</v>
      </c>
      <c r="E15031" t="s">
        <v>11</v>
      </c>
    </row>
    <row r="15032" spans="1:5" x14ac:dyDescent="0.25">
      <c r="A15032" t="str">
        <f>HYPERLINK("https://www.773grp.com/globalSearch/OPA4650P/page-1", "OPA4650P")</f>
        <v>OPA4650P</v>
      </c>
      <c r="B15032" s="3" t="s">
        <v>90</v>
      </c>
      <c r="C15032" s="5">
        <v>887</v>
      </c>
      <c r="D15032" s="6">
        <v>14.89</v>
      </c>
      <c r="E15032" t="s">
        <v>11</v>
      </c>
    </row>
    <row r="15033" spans="1:5" x14ac:dyDescent="0.25">
      <c r="A15033" t="str">
        <f>HYPERLINK("https://www.773grp.com/globalSearch/THS4042CD/page-1", "THS4042CD")</f>
        <v>THS4042CD</v>
      </c>
      <c r="B15033" s="3" t="s">
        <v>90</v>
      </c>
      <c r="C15033" s="5">
        <v>67</v>
      </c>
      <c r="D15033" s="6">
        <v>14.96</v>
      </c>
      <c r="E15033" t="s">
        <v>11</v>
      </c>
    </row>
    <row r="15034" spans="1:5" x14ac:dyDescent="0.25">
      <c r="A15034" t="str">
        <f>HYPERLINK("https://www.773grp.com/globalSearch/THS4042CDGN/page-1", "THS4042CDGN")</f>
        <v>THS4042CDGN</v>
      </c>
      <c r="B15034" s="3" t="s">
        <v>90</v>
      </c>
      <c r="C15034" s="5">
        <v>20212</v>
      </c>
      <c r="D15034" s="6">
        <v>14.96</v>
      </c>
      <c r="E15034" t="s">
        <v>11</v>
      </c>
    </row>
    <row r="15035" spans="1:5" x14ac:dyDescent="0.25">
      <c r="A15035" t="str">
        <f>HYPERLINK("https://www.773grp.com/globalSearch/OPA602AM/page-1", "OPA602AM")</f>
        <v>OPA602AM</v>
      </c>
      <c r="B15035" s="3" t="s">
        <v>90</v>
      </c>
      <c r="C15035" s="5">
        <v>1</v>
      </c>
      <c r="D15035" s="6">
        <v>14.99</v>
      </c>
      <c r="E15035" t="s">
        <v>11</v>
      </c>
    </row>
    <row r="15036" spans="1:5" x14ac:dyDescent="0.25">
      <c r="A15036" t="str">
        <f>HYPERLINK("https://www.773grp.com/globalSearch/THS4502ID/page-1", "THS4502ID")</f>
        <v>THS4502ID</v>
      </c>
      <c r="B15036" s="3" t="s">
        <v>90</v>
      </c>
      <c r="C15036" s="5">
        <v>2327</v>
      </c>
      <c r="D15036" s="6">
        <v>14.99</v>
      </c>
      <c r="E15036" t="s">
        <v>11</v>
      </c>
    </row>
    <row r="15037" spans="1:5" x14ac:dyDescent="0.25">
      <c r="A15037" t="str">
        <f>HYPERLINK("https://www.773grp.com/globalSearch/THS4502IDGK/page-1", "THS4502IDGK")</f>
        <v>THS4502IDGK</v>
      </c>
      <c r="B15037" s="3" t="s">
        <v>90</v>
      </c>
      <c r="C15037" s="5">
        <v>14673</v>
      </c>
      <c r="D15037" s="6">
        <v>14.99</v>
      </c>
      <c r="E15037" t="s">
        <v>11</v>
      </c>
    </row>
    <row r="15038" spans="1:5" x14ac:dyDescent="0.25">
      <c r="A15038" t="str">
        <f>HYPERLINK("https://www.773grp.com/globalSearch/THS4502IDGN/page-1", "THS4502IDGN")</f>
        <v>THS4502IDGN</v>
      </c>
      <c r="B15038" s="3" t="s">
        <v>90</v>
      </c>
      <c r="C15038" s="5">
        <v>80</v>
      </c>
      <c r="D15038" s="6">
        <v>14.99</v>
      </c>
      <c r="E15038" t="s">
        <v>11</v>
      </c>
    </row>
    <row r="15039" spans="1:5" x14ac:dyDescent="0.25">
      <c r="A15039" t="str">
        <f>HYPERLINK("https://www.773grp.com/globalSearch/THS4503ID/page-1", "THS4503ID")</f>
        <v>THS4503ID</v>
      </c>
      <c r="B15039" s="3" t="s">
        <v>90</v>
      </c>
      <c r="C15039" s="5">
        <v>1047</v>
      </c>
      <c r="D15039" s="6">
        <v>14.99</v>
      </c>
      <c r="E15039" t="s">
        <v>11</v>
      </c>
    </row>
    <row r="15040" spans="1:5" x14ac:dyDescent="0.25">
      <c r="A15040" t="str">
        <f>HYPERLINK("https://www.773grp.com/globalSearch/THS4503IDGK/page-1", "THS4503IDGK")</f>
        <v>THS4503IDGK</v>
      </c>
      <c r="B15040" s="3" t="s">
        <v>90</v>
      </c>
      <c r="C15040" s="5">
        <v>8624</v>
      </c>
      <c r="D15040" s="6">
        <v>14.99</v>
      </c>
      <c r="E15040" t="s">
        <v>11</v>
      </c>
    </row>
    <row r="15041" spans="1:5" x14ac:dyDescent="0.25">
      <c r="A15041" t="str">
        <f>HYPERLINK("https://www.773grp.com/globalSearch/TLC2810ZP/page-1", "TLC2810ZP")</f>
        <v>TLC2810ZP</v>
      </c>
      <c r="B15041" s="3" t="s">
        <v>90</v>
      </c>
      <c r="C15041" s="5">
        <v>4515</v>
      </c>
      <c r="D15041" s="6">
        <v>15.05</v>
      </c>
      <c r="E15041" t="s">
        <v>11</v>
      </c>
    </row>
    <row r="15042" spans="1:5" x14ac:dyDescent="0.25">
      <c r="A15042" t="str">
        <f>HYPERLINK("https://www.773grp.com/globalSearch/OPA643UB/page-1", "OPA643UB")</f>
        <v>OPA643UB</v>
      </c>
      <c r="B15042" s="3" t="s">
        <v>90</v>
      </c>
      <c r="C15042" s="5">
        <v>5941</v>
      </c>
      <c r="D15042" s="6">
        <v>15.19</v>
      </c>
      <c r="E15042" t="s">
        <v>11</v>
      </c>
    </row>
    <row r="15043" spans="1:5" x14ac:dyDescent="0.25">
      <c r="A15043" t="str">
        <f>HYPERLINK("https://www.773grp.com/globalSearch/OPA2132P/page-1", "OPA2132P")</f>
        <v>OPA2132P</v>
      </c>
      <c r="B15043" s="3" t="s">
        <v>90</v>
      </c>
      <c r="C15043" s="5">
        <v>100515</v>
      </c>
      <c r="D15043" s="6">
        <v>15.23</v>
      </c>
      <c r="E15043" t="s">
        <v>11</v>
      </c>
    </row>
    <row r="15044" spans="1:5" x14ac:dyDescent="0.25">
      <c r="A15044" t="str">
        <f>HYPERLINK("https://www.773grp.com/globalSearch/THS4042ID/page-1", "THS4042ID")</f>
        <v>THS4042ID</v>
      </c>
      <c r="B15044" s="3" t="s">
        <v>90</v>
      </c>
      <c r="C15044" s="5">
        <v>17913</v>
      </c>
      <c r="D15044" s="6">
        <v>15.24</v>
      </c>
      <c r="E15044" t="s">
        <v>11</v>
      </c>
    </row>
    <row r="15045" spans="1:5" x14ac:dyDescent="0.25">
      <c r="A15045" t="str">
        <f>HYPERLINK("https://www.773grp.com/globalSearch/THS4042IDGN/page-1", "THS4042IDGN")</f>
        <v>THS4042IDGN</v>
      </c>
      <c r="B15045" s="3" t="s">
        <v>90</v>
      </c>
      <c r="C15045" s="5">
        <v>26333</v>
      </c>
      <c r="D15045" s="6">
        <v>15.24</v>
      </c>
      <c r="E15045" t="s">
        <v>11</v>
      </c>
    </row>
    <row r="15046" spans="1:5" x14ac:dyDescent="0.25">
      <c r="A15046" t="str">
        <f>HYPERLINK("https://www.773grp.com/globalSearch/5962-9460201QPA/page-1", "5962-9460201QPA")</f>
        <v>5962-9460201QPA</v>
      </c>
      <c r="B15046" s="3" t="s">
        <v>90</v>
      </c>
      <c r="C15046" s="5">
        <v>1</v>
      </c>
      <c r="D15046" s="6">
        <v>15.28</v>
      </c>
      <c r="E15046" t="s">
        <v>11</v>
      </c>
    </row>
    <row r="15047" spans="1:5" x14ac:dyDescent="0.25">
      <c r="A15047" t="str">
        <f>HYPERLINK("https://www.773grp.com/globalSearch/THS4508RGTR/page-1", "THS4508RGTR")</f>
        <v>THS4508RGTR</v>
      </c>
      <c r="B15047" s="3" t="s">
        <v>90</v>
      </c>
      <c r="C15047" s="5">
        <v>6000</v>
      </c>
      <c r="D15047" s="6">
        <v>15.28</v>
      </c>
      <c r="E15047" t="s">
        <v>11</v>
      </c>
    </row>
    <row r="15048" spans="1:5" x14ac:dyDescent="0.25">
      <c r="A15048" t="str">
        <f>HYPERLINK("https://www.773grp.com/globalSearch/LT1013CJG/page-1", "LT1013CJG")</f>
        <v>LT1013CJG</v>
      </c>
      <c r="B15048" s="3" t="s">
        <v>90</v>
      </c>
      <c r="C15048" s="5">
        <v>745</v>
      </c>
      <c r="D15048" s="6">
        <v>15.3</v>
      </c>
      <c r="E15048" t="s">
        <v>11</v>
      </c>
    </row>
    <row r="15049" spans="1:5" x14ac:dyDescent="0.25">
      <c r="A15049" t="str">
        <f>HYPERLINK("https://www.773grp.com/globalSearch/OPA4132UA/page-1", "OPA4132UA")</f>
        <v>OPA4132UA</v>
      </c>
      <c r="B15049" s="3" t="s">
        <v>90</v>
      </c>
      <c r="C15049" s="5">
        <v>8809</v>
      </c>
      <c r="D15049" s="6">
        <v>15.33</v>
      </c>
      <c r="E15049" t="s">
        <v>11</v>
      </c>
    </row>
    <row r="15050" spans="1:5" x14ac:dyDescent="0.25">
      <c r="A15050" t="str">
        <f>HYPERLINK("https://www.773grp.com/globalSearch/OPA4132UA/page-1", "OPA4132UA")</f>
        <v>OPA4132UA</v>
      </c>
      <c r="B15050" s="3" t="s">
        <v>90</v>
      </c>
      <c r="C15050" s="5">
        <v>19950</v>
      </c>
      <c r="D15050" s="6">
        <v>15.33</v>
      </c>
      <c r="E15050" t="s">
        <v>11</v>
      </c>
    </row>
    <row r="15051" spans="1:5" x14ac:dyDescent="0.25">
      <c r="A15051" t="str">
        <f>HYPERLINK("https://www.773grp.com/globalSearch/OPA643NB-250/page-1", "OPA643NB-250")</f>
        <v>OPA643NB-250</v>
      </c>
      <c r="B15051" s="3" t="s">
        <v>90</v>
      </c>
      <c r="C15051" s="5">
        <v>19250</v>
      </c>
      <c r="D15051" s="6">
        <v>15.33</v>
      </c>
      <c r="E15051" t="s">
        <v>11</v>
      </c>
    </row>
    <row r="15052" spans="1:5" x14ac:dyDescent="0.25">
      <c r="A15052" t="str">
        <f>HYPERLINK("https://www.773grp.com/globalSearch/THS4511RGTT/page-1", "THS4511RGTT")</f>
        <v>THS4511RGTT</v>
      </c>
      <c r="B15052" s="3" t="s">
        <v>90</v>
      </c>
      <c r="C15052" s="5">
        <v>10750</v>
      </c>
      <c r="D15052" s="6">
        <v>15.33</v>
      </c>
      <c r="E15052" t="s">
        <v>11</v>
      </c>
    </row>
    <row r="15053" spans="1:5" x14ac:dyDescent="0.25">
      <c r="A15053" t="str">
        <f>HYPERLINK("https://www.773grp.com/globalSearch/OPA657U-2K5/page-1", "OPA657U-2K5")</f>
        <v>OPA657U-2K5</v>
      </c>
      <c r="B15053" s="3" t="s">
        <v>90</v>
      </c>
      <c r="C15053" s="5">
        <v>4940</v>
      </c>
      <c r="D15053" s="6">
        <v>15.39</v>
      </c>
      <c r="E15053" t="s">
        <v>11</v>
      </c>
    </row>
    <row r="15054" spans="1:5" x14ac:dyDescent="0.25">
      <c r="A15054" t="str">
        <f>HYPERLINK("https://www.773grp.com/globalSearch/OPA124UA/page-1", "OPA124UA")</f>
        <v>OPA124UA</v>
      </c>
      <c r="B15054" s="3" t="s">
        <v>90</v>
      </c>
      <c r="C15054" s="5">
        <v>16780</v>
      </c>
      <c r="D15054" s="6">
        <v>15.61</v>
      </c>
      <c r="E15054" t="s">
        <v>11</v>
      </c>
    </row>
    <row r="15055" spans="1:5" x14ac:dyDescent="0.25">
      <c r="A15055" t="str">
        <f>HYPERLINK("https://www.773grp.com/globalSearch/OPA2686U/page-1", "OPA2686U")</f>
        <v>OPA2686U</v>
      </c>
      <c r="B15055" s="3" t="s">
        <v>90</v>
      </c>
      <c r="C15055" s="5">
        <v>11158</v>
      </c>
      <c r="D15055" s="6">
        <v>15.75</v>
      </c>
      <c r="E15055" t="s">
        <v>11</v>
      </c>
    </row>
    <row r="15056" spans="1:5" x14ac:dyDescent="0.25">
      <c r="A15056" t="str">
        <f>HYPERLINK("https://www.773grp.com/globalSearch/THS4150IDGNR/page-1", "THS4150IDGNR")</f>
        <v>THS4150IDGNR</v>
      </c>
      <c r="B15056" s="3" t="s">
        <v>90</v>
      </c>
      <c r="C15056" s="5">
        <v>2500</v>
      </c>
      <c r="D15056" s="6">
        <v>15.75</v>
      </c>
      <c r="E15056" t="s">
        <v>11</v>
      </c>
    </row>
    <row r="15057" spans="1:5" x14ac:dyDescent="0.25">
      <c r="A15057" t="str">
        <f>HYPERLINK("https://www.773grp.com/globalSearch/THS4151IDGNR/page-1", "THS4151IDGNR")</f>
        <v>THS4151IDGNR</v>
      </c>
      <c r="B15057" s="3" t="s">
        <v>90</v>
      </c>
      <c r="C15057" s="5">
        <v>12092</v>
      </c>
      <c r="D15057" s="6">
        <v>15.75</v>
      </c>
      <c r="E15057" t="s">
        <v>11</v>
      </c>
    </row>
    <row r="15058" spans="1:5" x14ac:dyDescent="0.25">
      <c r="A15058" t="str">
        <f>HYPERLINK("https://www.773grp.com/globalSearch/TLE2062MJG/page-1", "TLE2062MJG")</f>
        <v>TLE2062MJG</v>
      </c>
      <c r="B15058" s="3" t="s">
        <v>90</v>
      </c>
      <c r="C15058" s="5">
        <v>807</v>
      </c>
      <c r="D15058" s="6">
        <v>15.78</v>
      </c>
      <c r="E15058" t="s">
        <v>11</v>
      </c>
    </row>
    <row r="15059" spans="1:5" x14ac:dyDescent="0.25">
      <c r="A15059" t="str">
        <f>HYPERLINK("https://www.773grp.com/globalSearch/TLE2024AMDW/page-1", "TLE2024AMDW")</f>
        <v>TLE2024AMDW</v>
      </c>
      <c r="B15059" s="3" t="s">
        <v>90</v>
      </c>
      <c r="C15059" s="5">
        <v>1730</v>
      </c>
      <c r="D15059" s="6">
        <v>15.98</v>
      </c>
      <c r="E15059" t="s">
        <v>11</v>
      </c>
    </row>
    <row r="15060" spans="1:5" x14ac:dyDescent="0.25">
      <c r="A15060" t="str">
        <f>HYPERLINK("https://www.773grp.com/globalSearch/TL062MJG/page-1", "TL062MJG")</f>
        <v>TL062MJG</v>
      </c>
      <c r="B15060" s="3" t="s">
        <v>90</v>
      </c>
      <c r="C15060" s="5">
        <v>5258</v>
      </c>
      <c r="D15060" s="6">
        <v>16</v>
      </c>
      <c r="E15060" t="s">
        <v>11</v>
      </c>
    </row>
    <row r="15061" spans="1:5" x14ac:dyDescent="0.25">
      <c r="A15061" t="str">
        <f>HYPERLINK("https://www.773grp.com/globalSearch/OPA445ADDA/page-1", "OPA445ADDA")</f>
        <v>OPA445ADDA</v>
      </c>
      <c r="B15061" s="3" t="s">
        <v>90</v>
      </c>
      <c r="C15061" s="5">
        <v>90</v>
      </c>
      <c r="D15061" s="6">
        <v>16.04</v>
      </c>
      <c r="E15061" t="s">
        <v>11</v>
      </c>
    </row>
    <row r="15062" spans="1:5" x14ac:dyDescent="0.25">
      <c r="A15062" t="str">
        <f>HYPERLINK("https://www.773grp.com/globalSearch/INA106KP/page-1", "INA106KP")</f>
        <v>INA106KP</v>
      </c>
      <c r="B15062" s="3" t="s">
        <v>90</v>
      </c>
      <c r="C15062" s="5">
        <v>23550</v>
      </c>
      <c r="D15062" s="6">
        <v>16.16</v>
      </c>
      <c r="E15062" t="s">
        <v>11</v>
      </c>
    </row>
    <row r="15063" spans="1:5" x14ac:dyDescent="0.25">
      <c r="A15063" t="str">
        <f>HYPERLINK("https://www.773grp.com/globalSearch/OPA547T-1/page-1", "OPA547T-1")</f>
        <v>OPA547T-1</v>
      </c>
      <c r="B15063" s="3" t="s">
        <v>90</v>
      </c>
      <c r="C15063" s="5">
        <v>12762</v>
      </c>
      <c r="D15063" s="6">
        <v>16.16</v>
      </c>
      <c r="E15063" t="s">
        <v>11</v>
      </c>
    </row>
    <row r="15064" spans="1:5" x14ac:dyDescent="0.25">
      <c r="A15064" t="str">
        <f>HYPERLINK("https://www.773grp.com/globalSearch/OPA547T-1/page-1", "OPA547T-1")</f>
        <v>OPA547T-1</v>
      </c>
      <c r="B15064" s="3" t="s">
        <v>90</v>
      </c>
      <c r="C15064" s="5">
        <v>2600</v>
      </c>
      <c r="D15064" s="6">
        <v>16.16</v>
      </c>
      <c r="E15064" t="s">
        <v>11</v>
      </c>
    </row>
    <row r="15065" spans="1:5" x14ac:dyDescent="0.25">
      <c r="A15065" t="str">
        <f>HYPERLINK("https://www.773grp.com/globalSearch/5962-9086101QPA/page-1", "5962-9086101QPA")</f>
        <v>5962-9086101QPA</v>
      </c>
      <c r="B15065" s="3" t="s">
        <v>90</v>
      </c>
      <c r="C15065" s="5">
        <v>280</v>
      </c>
      <c r="D15065" s="6">
        <v>16.309999999999999</v>
      </c>
      <c r="E15065" t="s">
        <v>11</v>
      </c>
    </row>
    <row r="15066" spans="1:5" x14ac:dyDescent="0.25">
      <c r="A15066" t="str">
        <f>HYPERLINK("https://www.773grp.com/globalSearch/OPA4658P/page-1", "OPA4658P")</f>
        <v>OPA4658P</v>
      </c>
      <c r="B15066" s="3" t="s">
        <v>90</v>
      </c>
      <c r="C15066" s="5">
        <v>4</v>
      </c>
      <c r="D15066" s="6">
        <v>16.399999999999999</v>
      </c>
      <c r="E15066" t="s">
        <v>11</v>
      </c>
    </row>
    <row r="15067" spans="1:5" x14ac:dyDescent="0.25">
      <c r="A15067" t="str">
        <f>HYPERLINK("https://www.773grp.com/globalSearch/OPA4658P/page-1", "OPA4658P")</f>
        <v>OPA4658P</v>
      </c>
      <c r="B15067" s="3" t="s">
        <v>90</v>
      </c>
      <c r="C15067" s="5">
        <v>4900</v>
      </c>
      <c r="D15067" s="6">
        <v>16.399999999999999</v>
      </c>
      <c r="E15067" t="s">
        <v>11</v>
      </c>
    </row>
    <row r="15068" spans="1:5" x14ac:dyDescent="0.25">
      <c r="A15068" t="str">
        <f>HYPERLINK("https://www.773grp.com/globalSearch/OPA211ID/page-1", "OPA211ID")</f>
        <v>OPA211ID</v>
      </c>
      <c r="B15068" s="3" t="s">
        <v>90</v>
      </c>
      <c r="C15068" s="5">
        <v>5888</v>
      </c>
      <c r="D15068" s="6">
        <v>16.45</v>
      </c>
      <c r="E15068" t="s">
        <v>11</v>
      </c>
    </row>
    <row r="15069" spans="1:5" x14ac:dyDescent="0.25">
      <c r="A15069" t="str">
        <f>HYPERLINK("https://www.773grp.com/globalSearch/TLE2062AMJG/page-1", "TLE2062AMJG")</f>
        <v>TLE2062AMJG</v>
      </c>
      <c r="B15069" s="3" t="s">
        <v>90</v>
      </c>
      <c r="C15069" s="5">
        <v>25</v>
      </c>
      <c r="D15069" s="6">
        <v>16.45</v>
      </c>
      <c r="E15069" t="s">
        <v>11</v>
      </c>
    </row>
    <row r="15070" spans="1:5" x14ac:dyDescent="0.25">
      <c r="A15070" t="str">
        <f>HYPERLINK("https://www.773grp.com/globalSearch/TLC2262MJG/page-1", "TLC2262MJG")</f>
        <v>TLC2262MJG</v>
      </c>
      <c r="B15070" s="3" t="s">
        <v>90</v>
      </c>
      <c r="C15070" s="5">
        <v>219</v>
      </c>
      <c r="D15070" s="6">
        <v>16.489999999999998</v>
      </c>
      <c r="E15070" t="s">
        <v>11</v>
      </c>
    </row>
    <row r="15071" spans="1:5" x14ac:dyDescent="0.25">
      <c r="A15071" t="str">
        <f>HYPERLINK("https://www.773grp.com/globalSearch/OPA643PB/page-1", "OPA643PB")</f>
        <v>OPA643PB</v>
      </c>
      <c r="B15071" s="3" t="s">
        <v>90</v>
      </c>
      <c r="C15071" s="5">
        <v>1035</v>
      </c>
      <c r="D15071" s="6">
        <v>16.5</v>
      </c>
      <c r="E15071" t="s">
        <v>11</v>
      </c>
    </row>
    <row r="15072" spans="1:5" x14ac:dyDescent="0.25">
      <c r="A15072" t="str">
        <f>HYPERLINK("https://www.773grp.com/globalSearch/MPA4609IPFBT/page-1", "MPA4609IPFBT")</f>
        <v>MPA4609IPFBT</v>
      </c>
      <c r="B15072" s="3" t="s">
        <v>90</v>
      </c>
      <c r="C15072" s="5">
        <v>9250</v>
      </c>
      <c r="D15072" s="6">
        <v>16.739999999999998</v>
      </c>
      <c r="E15072" t="s">
        <v>11</v>
      </c>
    </row>
    <row r="15073" spans="1:5" x14ac:dyDescent="0.25">
      <c r="A15073" t="str">
        <f>HYPERLINK("https://www.773grp.com/globalSearch/INA106U/page-1", "INA106U")</f>
        <v>INA106U</v>
      </c>
      <c r="B15073" s="3" t="s">
        <v>90</v>
      </c>
      <c r="C15073" s="5">
        <v>16200</v>
      </c>
      <c r="D15073" s="6">
        <v>16.88</v>
      </c>
      <c r="E15073" t="s">
        <v>11</v>
      </c>
    </row>
    <row r="15074" spans="1:5" x14ac:dyDescent="0.25">
      <c r="A15074" t="str">
        <f>HYPERLINK("https://www.773grp.com/globalSearch/OPA4251PA/page-1", "OPA4251PA")</f>
        <v>OPA4251PA</v>
      </c>
      <c r="B15074" s="3" t="s">
        <v>90</v>
      </c>
      <c r="C15074" s="5">
        <v>3601</v>
      </c>
      <c r="D15074" s="6">
        <v>16.88</v>
      </c>
      <c r="E15074" t="s">
        <v>11</v>
      </c>
    </row>
    <row r="15075" spans="1:5" x14ac:dyDescent="0.25">
      <c r="A15075" t="str">
        <f>HYPERLINK("https://www.773grp.com/globalSearch/OPA121KU/page-1", "OPA121KU")</f>
        <v>OPA121KU</v>
      </c>
      <c r="B15075" s="3" t="s">
        <v>90</v>
      </c>
      <c r="C15075" s="5">
        <v>52</v>
      </c>
      <c r="D15075" s="6">
        <v>17.16</v>
      </c>
      <c r="E15075" t="s">
        <v>11</v>
      </c>
    </row>
    <row r="15076" spans="1:5" x14ac:dyDescent="0.25">
      <c r="A15076" t="str">
        <f>HYPERLINK("https://www.773grp.com/globalSearch/THS4150IDGK/page-1", "THS4150IDGK")</f>
        <v>THS4150IDGK</v>
      </c>
      <c r="B15076" s="3" t="s">
        <v>90</v>
      </c>
      <c r="C15076" s="5">
        <v>13765</v>
      </c>
      <c r="D15076" s="6">
        <v>17.16</v>
      </c>
      <c r="E15076" t="s">
        <v>11</v>
      </c>
    </row>
    <row r="15077" spans="1:5" x14ac:dyDescent="0.25">
      <c r="A15077" t="str">
        <f>HYPERLINK("https://www.773grp.com/globalSearch/OPA644U/page-1", "OPA644U")</f>
        <v>OPA644U</v>
      </c>
      <c r="B15077" s="3" t="s">
        <v>90</v>
      </c>
      <c r="C15077" s="5">
        <v>20</v>
      </c>
      <c r="D15077" s="6">
        <v>17.41</v>
      </c>
      <c r="E15077" t="s">
        <v>11</v>
      </c>
    </row>
    <row r="15078" spans="1:5" x14ac:dyDescent="0.25">
      <c r="A15078" t="str">
        <f>HYPERLINK("https://www.773grp.com/globalSearch/OPA646U/page-1", "OPA646U")</f>
        <v>OPA646U</v>
      </c>
      <c r="B15078" s="3" t="s">
        <v>90</v>
      </c>
      <c r="C15078" s="5">
        <v>7757</v>
      </c>
      <c r="D15078" s="6">
        <v>17.41</v>
      </c>
      <c r="E15078" t="s">
        <v>11</v>
      </c>
    </row>
    <row r="15079" spans="1:5" x14ac:dyDescent="0.25">
      <c r="A15079" t="str">
        <f>HYPERLINK("https://www.773grp.com/globalSearch/OPA4251UA/page-1", "OPA4251UA")</f>
        <v>OPA4251UA</v>
      </c>
      <c r="B15079" s="3" t="s">
        <v>90</v>
      </c>
      <c r="C15079" s="5">
        <v>4972</v>
      </c>
      <c r="D15079" s="6">
        <v>17.59</v>
      </c>
      <c r="E15079" t="s">
        <v>11</v>
      </c>
    </row>
    <row r="15080" spans="1:5" x14ac:dyDescent="0.25">
      <c r="A15080" t="str">
        <f>HYPERLINK("https://www.773grp.com/globalSearch/THS4508RGTT/page-1", "THS4508RGTT")</f>
        <v>THS4508RGTT</v>
      </c>
      <c r="B15080" s="3" t="s">
        <v>90</v>
      </c>
      <c r="C15080" s="5">
        <v>11500</v>
      </c>
      <c r="D15080" s="6">
        <v>17.59</v>
      </c>
      <c r="E15080" t="s">
        <v>11</v>
      </c>
    </row>
    <row r="15081" spans="1:5" x14ac:dyDescent="0.25">
      <c r="A15081" t="str">
        <f>HYPERLINK("https://www.773grp.com/globalSearch/OPA657N-250/page-1", "OPA657N-250")</f>
        <v>OPA657N-250</v>
      </c>
      <c r="B15081" s="3" t="s">
        <v>90</v>
      </c>
      <c r="C15081" s="5">
        <v>13735</v>
      </c>
      <c r="D15081" s="6">
        <v>17.690000000000001</v>
      </c>
      <c r="E15081" t="s">
        <v>11</v>
      </c>
    </row>
    <row r="15082" spans="1:5" x14ac:dyDescent="0.25">
      <c r="A15082" t="str">
        <f>HYPERLINK("https://www.773grp.com/globalSearch/OPA657NB-250/page-1", "OPA657NB-250")</f>
        <v>OPA657NB-250</v>
      </c>
      <c r="B15082" s="3" t="s">
        <v>90</v>
      </c>
      <c r="C15082" s="5">
        <v>39750</v>
      </c>
      <c r="D15082" s="6">
        <v>17.690000000000001</v>
      </c>
      <c r="E15082" t="s">
        <v>11</v>
      </c>
    </row>
    <row r="15083" spans="1:5" x14ac:dyDescent="0.25">
      <c r="A15083" t="str">
        <f>HYPERLINK("https://www.773grp.com/globalSearch/VCA810IDR/page-1", "VCA810IDR")</f>
        <v>VCA810IDR</v>
      </c>
      <c r="B15083" s="3" t="s">
        <v>90</v>
      </c>
      <c r="C15083" s="5">
        <v>200000</v>
      </c>
      <c r="D15083" s="6">
        <v>17.84</v>
      </c>
      <c r="E15083" t="s">
        <v>11</v>
      </c>
    </row>
    <row r="15084" spans="1:5" x14ac:dyDescent="0.25">
      <c r="A15084" t="str">
        <f>HYPERLINK("https://www.773grp.com/globalSearch/OPA643N-250/page-1", "OPA643N-250")</f>
        <v>OPA643N-250</v>
      </c>
      <c r="B15084" s="3" t="s">
        <v>90</v>
      </c>
      <c r="C15084" s="5">
        <v>7750</v>
      </c>
      <c r="D15084" s="6">
        <v>18</v>
      </c>
      <c r="E15084" t="s">
        <v>11</v>
      </c>
    </row>
    <row r="15085" spans="1:5" x14ac:dyDescent="0.25">
      <c r="A15085" t="str">
        <f>HYPERLINK("https://www.773grp.com/globalSearch/OPA643N-250/page-1", "OPA643N-250")</f>
        <v>OPA643N-250</v>
      </c>
      <c r="B15085" s="3" t="s">
        <v>90</v>
      </c>
      <c r="C15085" s="5">
        <v>1500</v>
      </c>
      <c r="D15085" s="6">
        <v>18</v>
      </c>
      <c r="E15085" t="s">
        <v>11</v>
      </c>
    </row>
    <row r="15086" spans="1:5" x14ac:dyDescent="0.25">
      <c r="A15086" t="str">
        <f>HYPERLINK("https://www.773grp.com/globalSearch/LM148J/page-1", "LM148J")</f>
        <v>LM148J</v>
      </c>
      <c r="B15086" s="3" t="s">
        <v>90</v>
      </c>
      <c r="C15086" s="5">
        <v>2861</v>
      </c>
      <c r="D15086" s="6">
        <v>18.18</v>
      </c>
      <c r="E15086" t="s">
        <v>11</v>
      </c>
    </row>
    <row r="15087" spans="1:5" x14ac:dyDescent="0.25">
      <c r="A15087" t="str">
        <f>HYPERLINK("https://www.773grp.com/globalSearch/OPA547FKTWT/page-1", "OPA547FKTWT")</f>
        <v>OPA547FKTWT</v>
      </c>
      <c r="B15087" s="3" t="s">
        <v>90</v>
      </c>
      <c r="C15087" s="5">
        <v>1750</v>
      </c>
      <c r="D15087" s="6">
        <v>18.28</v>
      </c>
      <c r="E15087" t="s">
        <v>11</v>
      </c>
    </row>
    <row r="15088" spans="1:5" x14ac:dyDescent="0.25">
      <c r="A15088" t="str">
        <f>HYPERLINK("https://www.773grp.com/globalSearch/OPA657U/page-1", "OPA657U")</f>
        <v>OPA657U</v>
      </c>
      <c r="B15088" s="3" t="s">
        <v>90</v>
      </c>
      <c r="C15088" s="5">
        <v>9041</v>
      </c>
      <c r="D15088" s="6">
        <v>18.45</v>
      </c>
      <c r="E15088" t="s">
        <v>11</v>
      </c>
    </row>
    <row r="15089" spans="1:5" x14ac:dyDescent="0.25">
      <c r="A15089" t="str">
        <f>HYPERLINK("https://www.773grp.com/globalSearch/OPA657UB/page-1", "OPA657UB")</f>
        <v>OPA657UB</v>
      </c>
      <c r="B15089" s="3" t="s">
        <v>90</v>
      </c>
      <c r="C15089" s="5">
        <v>2811</v>
      </c>
      <c r="D15089" s="6">
        <v>18.45</v>
      </c>
      <c r="E15089" t="s">
        <v>11</v>
      </c>
    </row>
    <row r="15090" spans="1:5" x14ac:dyDescent="0.25">
      <c r="A15090" t="str">
        <f>HYPERLINK("https://www.773grp.com/globalSearch/THS4150CD/page-1", "THS4150CD")</f>
        <v>THS4150CD</v>
      </c>
      <c r="B15090" s="3" t="s">
        <v>90</v>
      </c>
      <c r="C15090" s="5">
        <v>13235</v>
      </c>
      <c r="D15090" s="6">
        <v>18.559999999999999</v>
      </c>
      <c r="E15090" t="s">
        <v>11</v>
      </c>
    </row>
    <row r="15091" spans="1:5" x14ac:dyDescent="0.25">
      <c r="A15091" t="str">
        <f>HYPERLINK("https://www.773grp.com/globalSearch/THS4150CDGN/page-1", "THS4150CDGN")</f>
        <v>THS4150CDGN</v>
      </c>
      <c r="B15091" s="3" t="s">
        <v>90</v>
      </c>
      <c r="C15091" s="5">
        <v>10487</v>
      </c>
      <c r="D15091" s="6">
        <v>18.559999999999999</v>
      </c>
      <c r="E15091" t="s">
        <v>11</v>
      </c>
    </row>
    <row r="15092" spans="1:5" x14ac:dyDescent="0.25">
      <c r="A15092" t="str">
        <f>HYPERLINK("https://www.773grp.com/globalSearch/THS4151CD/page-1", "THS4151CD")</f>
        <v>THS4151CD</v>
      </c>
      <c r="B15092" s="3" t="s">
        <v>90</v>
      </c>
      <c r="C15092" s="5">
        <v>26550</v>
      </c>
      <c r="D15092" s="6">
        <v>18.559999999999999</v>
      </c>
      <c r="E15092" t="s">
        <v>11</v>
      </c>
    </row>
    <row r="15093" spans="1:5" x14ac:dyDescent="0.25">
      <c r="A15093" t="str">
        <f>HYPERLINK("https://www.773grp.com/globalSearch/THS4151CDGN/page-1", "THS4151CDGN")</f>
        <v>THS4151CDGN</v>
      </c>
      <c r="B15093" s="3" t="s">
        <v>90</v>
      </c>
      <c r="C15093" s="5">
        <v>20044</v>
      </c>
      <c r="D15093" s="6">
        <v>18.559999999999999</v>
      </c>
      <c r="E15093" t="s">
        <v>11</v>
      </c>
    </row>
    <row r="15094" spans="1:5" x14ac:dyDescent="0.25">
      <c r="A15094" t="str">
        <f>HYPERLINK("https://www.773grp.com/globalSearch/UA741MFKB/page-1", "UA741MFKB")</f>
        <v>UA741MFKB</v>
      </c>
      <c r="B15094" s="3" t="s">
        <v>90</v>
      </c>
      <c r="C15094" s="5">
        <v>61</v>
      </c>
      <c r="D15094" s="6">
        <v>18.68</v>
      </c>
      <c r="E15094" t="s">
        <v>11</v>
      </c>
    </row>
    <row r="15095" spans="1:5" x14ac:dyDescent="0.25">
      <c r="A15095" t="str">
        <f>HYPERLINK("https://www.773grp.com/globalSearch/TLE2024AMN/page-1", "TLE2024AMN")</f>
        <v>TLE2024AMN</v>
      </c>
      <c r="B15095" s="3" t="s">
        <v>90</v>
      </c>
      <c r="C15095" s="5">
        <v>560</v>
      </c>
      <c r="D15095" s="6">
        <v>18.739999999999998</v>
      </c>
      <c r="E15095" t="s">
        <v>11</v>
      </c>
    </row>
    <row r="15096" spans="1:5" x14ac:dyDescent="0.25">
      <c r="A15096" t="str">
        <f>HYPERLINK("https://www.773grp.com/globalSearch/THS4150ID/page-1", "THS4150ID")</f>
        <v>THS4150ID</v>
      </c>
      <c r="B15096" s="3" t="s">
        <v>90</v>
      </c>
      <c r="C15096" s="5">
        <v>12965</v>
      </c>
      <c r="D15096" s="6">
        <v>18.850000000000001</v>
      </c>
      <c r="E15096" t="s">
        <v>11</v>
      </c>
    </row>
    <row r="15097" spans="1:5" x14ac:dyDescent="0.25">
      <c r="A15097" t="str">
        <f>HYPERLINK("https://www.773grp.com/globalSearch/THS4150IDGN/page-1", "THS4150IDGN")</f>
        <v>THS4150IDGN</v>
      </c>
      <c r="B15097" s="3" t="s">
        <v>90</v>
      </c>
      <c r="C15097" s="5">
        <v>7843</v>
      </c>
      <c r="D15097" s="6">
        <v>18.850000000000001</v>
      </c>
      <c r="E15097" t="s">
        <v>11</v>
      </c>
    </row>
    <row r="15098" spans="1:5" x14ac:dyDescent="0.25">
      <c r="A15098" t="str">
        <f>HYPERLINK("https://www.773grp.com/globalSearch/THS4150IDGNG4/page-1", "THS4150IDGNG4")</f>
        <v>THS4150IDGNG4</v>
      </c>
      <c r="B15098" s="3" t="s">
        <v>90</v>
      </c>
      <c r="C15098" s="5">
        <v>55</v>
      </c>
      <c r="D15098" s="6">
        <v>18.850000000000001</v>
      </c>
      <c r="E15098" t="s">
        <v>11</v>
      </c>
    </row>
    <row r="15099" spans="1:5" x14ac:dyDescent="0.25">
      <c r="A15099" t="str">
        <f>HYPERLINK("https://www.773grp.com/globalSearch/THS4151ID/page-1", "THS4151ID")</f>
        <v>THS4151ID</v>
      </c>
      <c r="B15099" s="3" t="s">
        <v>90</v>
      </c>
      <c r="C15099" s="5">
        <v>18973</v>
      </c>
      <c r="D15099" s="6">
        <v>18.850000000000001</v>
      </c>
      <c r="E15099" t="s">
        <v>11</v>
      </c>
    </row>
    <row r="15100" spans="1:5" x14ac:dyDescent="0.25">
      <c r="A15100" t="str">
        <f>HYPERLINK("https://www.773grp.com/globalSearch/THS4151IDGK/page-1", "THS4151IDGK")</f>
        <v>THS4151IDGK</v>
      </c>
      <c r="B15100" s="3" t="s">
        <v>90</v>
      </c>
      <c r="C15100" s="5">
        <v>17903</v>
      </c>
      <c r="D15100" s="6">
        <v>18.850000000000001</v>
      </c>
      <c r="E15100" t="s">
        <v>11</v>
      </c>
    </row>
    <row r="15101" spans="1:5" x14ac:dyDescent="0.25">
      <c r="A15101" t="str">
        <f>HYPERLINK("https://www.773grp.com/globalSearch/THS4151IDGN/page-1", "THS4151IDGN")</f>
        <v>THS4151IDGN</v>
      </c>
      <c r="B15101" s="3" t="s">
        <v>90</v>
      </c>
      <c r="C15101" s="5">
        <v>18320</v>
      </c>
      <c r="D15101" s="6">
        <v>18.850000000000001</v>
      </c>
      <c r="E15101" t="s">
        <v>11</v>
      </c>
    </row>
    <row r="15102" spans="1:5" x14ac:dyDescent="0.25">
      <c r="A15102" t="str">
        <f>HYPERLINK("https://www.773grp.com/globalSearch/LM158JG/page-1", "LM158JG")</f>
        <v>LM158JG</v>
      </c>
      <c r="B15102" s="3" t="s">
        <v>90</v>
      </c>
      <c r="C15102" s="5">
        <v>112</v>
      </c>
      <c r="D15102" s="6">
        <v>18.899999999999999</v>
      </c>
      <c r="E15102" t="s">
        <v>11</v>
      </c>
    </row>
    <row r="15103" spans="1:5" x14ac:dyDescent="0.25">
      <c r="A15103" t="str">
        <f>HYPERLINK("https://www.773grp.com/globalSearch/THS4503MDGNREP/page-1", "THS4503MDGNREP")</f>
        <v>THS4503MDGNREP</v>
      </c>
      <c r="B15103" s="3" t="s">
        <v>90</v>
      </c>
      <c r="C15103" s="5">
        <v>1730</v>
      </c>
      <c r="D15103" s="6">
        <v>19.690000000000001</v>
      </c>
      <c r="E15103" t="s">
        <v>11</v>
      </c>
    </row>
    <row r="15104" spans="1:5" x14ac:dyDescent="0.25">
      <c r="A15104" t="str">
        <f>HYPERLINK("https://www.773grp.com/globalSearch/8102303CA/page-1", "8102303CA")</f>
        <v>8102303CA</v>
      </c>
      <c r="B15104" s="3" t="s">
        <v>90</v>
      </c>
      <c r="C15104" s="5">
        <v>1744</v>
      </c>
      <c r="D15104" s="6">
        <v>20.68</v>
      </c>
      <c r="E15104" t="s">
        <v>11</v>
      </c>
    </row>
    <row r="15105" spans="1:5" x14ac:dyDescent="0.25">
      <c r="A15105" t="str">
        <f>HYPERLINK("https://www.773grp.com/globalSearch/OPA2107AU-2K5/page-1", "OPA2107AU-2K5")</f>
        <v>OPA2107AU-2K5</v>
      </c>
      <c r="B15105" s="3" t="s">
        <v>90</v>
      </c>
      <c r="C15105" s="5">
        <v>5000</v>
      </c>
      <c r="D15105" s="6">
        <v>20.68</v>
      </c>
      <c r="E15105" t="s">
        <v>11</v>
      </c>
    </row>
    <row r="15106" spans="1:5" x14ac:dyDescent="0.25">
      <c r="A15106" t="str">
        <f>HYPERLINK("https://www.773grp.com/globalSearch/TL064MJB/page-1", "TL064MJB")</f>
        <v>TL064MJB</v>
      </c>
      <c r="B15106" s="3" t="s">
        <v>90</v>
      </c>
      <c r="C15106" s="5">
        <v>2999</v>
      </c>
      <c r="D15106" s="6">
        <v>20.68</v>
      </c>
      <c r="E15106" t="s">
        <v>11</v>
      </c>
    </row>
    <row r="15107" spans="1:5" x14ac:dyDescent="0.25">
      <c r="A15107" t="str">
        <f>HYPERLINK("https://www.773grp.com/globalSearch/OPA628AU/page-1", "OPA628AU")</f>
        <v>OPA628AU</v>
      </c>
      <c r="B15107" s="3" t="s">
        <v>90</v>
      </c>
      <c r="C15107" s="5">
        <v>668</v>
      </c>
      <c r="D15107" s="6">
        <v>21.4</v>
      </c>
      <c r="E15107" t="s">
        <v>11</v>
      </c>
    </row>
    <row r="15108" spans="1:5" x14ac:dyDescent="0.25">
      <c r="A15108" t="str">
        <f>HYPERLINK("https://www.773grp.com/globalSearch/VCA810ID/page-1", "VCA810ID")</f>
        <v>VCA810ID</v>
      </c>
      <c r="B15108" s="3" t="s">
        <v>90</v>
      </c>
      <c r="C15108" s="5">
        <v>50</v>
      </c>
      <c r="D15108" s="6">
        <v>21.4</v>
      </c>
      <c r="E15108" t="s">
        <v>11</v>
      </c>
    </row>
    <row r="15109" spans="1:5" x14ac:dyDescent="0.25">
      <c r="A15109" t="str">
        <f>HYPERLINK("https://www.773grp.com/globalSearch/LT1028CP/page-1", "LT1028CP")</f>
        <v>LT1028CP</v>
      </c>
      <c r="B15109" s="3" t="s">
        <v>90</v>
      </c>
      <c r="C15109" s="5">
        <v>338</v>
      </c>
      <c r="D15109" s="6">
        <v>21.55</v>
      </c>
      <c r="E15109" t="s">
        <v>11</v>
      </c>
    </row>
    <row r="15110" spans="1:5" x14ac:dyDescent="0.25">
      <c r="A15110" t="str">
        <f>HYPERLINK("https://www.773grp.com/globalSearch/INA117P-BI/page-1", "INA117P-BI")</f>
        <v>INA117P-BI</v>
      </c>
      <c r="B15110" s="3" t="s">
        <v>90</v>
      </c>
      <c r="C15110" s="5">
        <v>105</v>
      </c>
      <c r="D15110" s="6">
        <v>21.65</v>
      </c>
      <c r="E15110" t="s">
        <v>11</v>
      </c>
    </row>
    <row r="15111" spans="1:5" x14ac:dyDescent="0.25">
      <c r="A15111" t="str">
        <f>HYPERLINK("https://www.773grp.com/globalSearch/LT1007ACP/page-1", "LT1007ACP")</f>
        <v>LT1007ACP</v>
      </c>
      <c r="B15111" s="3" t="s">
        <v>90</v>
      </c>
      <c r="C15111" s="5">
        <v>4087</v>
      </c>
      <c r="D15111" s="6">
        <v>21.85</v>
      </c>
      <c r="E15111" t="s">
        <v>11</v>
      </c>
    </row>
    <row r="15112" spans="1:5" x14ac:dyDescent="0.25">
      <c r="A15112" t="str">
        <f>HYPERLINK("https://www.773grp.com/globalSearch/LT1007CJG/page-1", "LT1007CJG")</f>
        <v>LT1007CJG</v>
      </c>
      <c r="B15112" s="3" t="s">
        <v>90</v>
      </c>
      <c r="C15112" s="5">
        <v>277</v>
      </c>
      <c r="D15112" s="6">
        <v>21.85</v>
      </c>
      <c r="E15112" t="s">
        <v>11</v>
      </c>
    </row>
    <row r="15113" spans="1:5" x14ac:dyDescent="0.25">
      <c r="A15113" t="str">
        <f>HYPERLINK("https://www.773grp.com/globalSearch/LT1037CL/page-1", "LT1037CL")</f>
        <v>LT1037CL</v>
      </c>
      <c r="B15113" s="3" t="s">
        <v>90</v>
      </c>
      <c r="C15113" s="5">
        <v>513</v>
      </c>
      <c r="D15113" s="6">
        <v>21.85</v>
      </c>
      <c r="E15113" t="s">
        <v>11</v>
      </c>
    </row>
    <row r="15114" spans="1:5" x14ac:dyDescent="0.25">
      <c r="A15114" t="str">
        <f>HYPERLINK("https://www.773grp.com/globalSearch/8102302PA/page-1", "8102302PA")</f>
        <v>8102302PA</v>
      </c>
      <c r="B15114" s="3" t="s">
        <v>90</v>
      </c>
      <c r="C15114" s="5">
        <v>64</v>
      </c>
      <c r="D15114" s="6">
        <v>21.89</v>
      </c>
      <c r="E15114" t="s">
        <v>11</v>
      </c>
    </row>
    <row r="15115" spans="1:5" x14ac:dyDescent="0.25">
      <c r="A15115" t="str">
        <f>HYPERLINK("https://www.773grp.com/globalSearch/TL062MJGB/page-1", "TL062MJGB")</f>
        <v>TL062MJGB</v>
      </c>
      <c r="B15115" s="3" t="s">
        <v>90</v>
      </c>
      <c r="C15115" s="5">
        <v>3</v>
      </c>
      <c r="D15115" s="6">
        <v>21.89</v>
      </c>
      <c r="E15115" t="s">
        <v>11</v>
      </c>
    </row>
    <row r="15116" spans="1:5" x14ac:dyDescent="0.25">
      <c r="A15116" t="str">
        <f>HYPERLINK("https://www.773grp.com/globalSearch/OPA548F-500/page-1", "OPA548F-500")</f>
        <v>OPA548F-500</v>
      </c>
      <c r="B15116" s="3" t="s">
        <v>90</v>
      </c>
      <c r="C15116" s="5">
        <v>3935</v>
      </c>
      <c r="D15116" s="6">
        <v>22.33</v>
      </c>
      <c r="E15116" t="s">
        <v>11</v>
      </c>
    </row>
    <row r="15117" spans="1:5" x14ac:dyDescent="0.25">
      <c r="A15117" t="str">
        <f>HYPERLINK("https://www.773grp.com/globalSearch/OPA548T/page-1", "OPA548T")</f>
        <v>OPA548T</v>
      </c>
      <c r="B15117" s="3" t="s">
        <v>90</v>
      </c>
      <c r="C15117" s="5">
        <v>8560</v>
      </c>
      <c r="D15117" s="6">
        <v>22.33</v>
      </c>
      <c r="E15117" t="s">
        <v>11</v>
      </c>
    </row>
    <row r="15118" spans="1:5" x14ac:dyDescent="0.25">
      <c r="A15118" t="str">
        <f>HYPERLINK("https://www.773grp.com/globalSearch/OPA548T/page-1", "OPA548T")</f>
        <v>OPA548T</v>
      </c>
      <c r="B15118" s="3" t="s">
        <v>90</v>
      </c>
      <c r="C15118" s="5">
        <v>1200</v>
      </c>
      <c r="D15118" s="6">
        <v>22.33</v>
      </c>
      <c r="E15118" t="s">
        <v>11</v>
      </c>
    </row>
    <row r="15119" spans="1:5" x14ac:dyDescent="0.25">
      <c r="A15119" t="str">
        <f>HYPERLINK("https://www.773grp.com/globalSearch/OPA548T-1/page-1", "OPA548T-1")</f>
        <v>OPA548T-1</v>
      </c>
      <c r="B15119" s="3" t="s">
        <v>90</v>
      </c>
      <c r="C15119" s="5">
        <v>28326</v>
      </c>
      <c r="D15119" s="6">
        <v>22.33</v>
      </c>
      <c r="E15119" t="s">
        <v>11</v>
      </c>
    </row>
    <row r="15120" spans="1:5" x14ac:dyDescent="0.25">
      <c r="A15120" t="str">
        <f>HYPERLINK("https://www.773grp.com/globalSearch/OPA640P/page-1", "OPA640P")</f>
        <v>OPA640P</v>
      </c>
      <c r="B15120" s="3" t="s">
        <v>90</v>
      </c>
      <c r="C15120" s="5">
        <v>2096</v>
      </c>
      <c r="D15120" s="6">
        <v>22.36</v>
      </c>
      <c r="E15120" t="s">
        <v>11</v>
      </c>
    </row>
    <row r="15121" spans="1:5" x14ac:dyDescent="0.25">
      <c r="A15121" t="str">
        <f>HYPERLINK("https://www.773grp.com/globalSearch/LM124JB/page-1", "LM124JB")</f>
        <v>LM124JB</v>
      </c>
      <c r="B15121" s="3" t="s">
        <v>90</v>
      </c>
      <c r="C15121" s="5">
        <v>59</v>
      </c>
      <c r="D15121" s="6">
        <v>22.56</v>
      </c>
      <c r="E15121" t="s">
        <v>11</v>
      </c>
    </row>
    <row r="15122" spans="1:5" x14ac:dyDescent="0.25">
      <c r="A15122" t="str">
        <f>HYPERLINK("https://www.773grp.com/globalSearch/TLE2062MJGB/page-1", "TLE2062MJGB")</f>
        <v>TLE2062MJGB</v>
      </c>
      <c r="B15122" s="3" t="s">
        <v>90</v>
      </c>
      <c r="C15122" s="5">
        <v>112</v>
      </c>
      <c r="D15122" s="6">
        <v>22.56</v>
      </c>
      <c r="E15122" t="s">
        <v>11</v>
      </c>
    </row>
    <row r="15123" spans="1:5" x14ac:dyDescent="0.25">
      <c r="A15123" t="str">
        <f>HYPERLINK("https://www.773grp.com/globalSearch/5962-9080701MPA/page-1", "5962-9080701MPA")</f>
        <v>5962-9080701MPA</v>
      </c>
      <c r="B15123" s="3" t="s">
        <v>90</v>
      </c>
      <c r="C15123" s="5">
        <v>89</v>
      </c>
      <c r="D15123" s="6">
        <v>22.91</v>
      </c>
      <c r="E15123" t="s">
        <v>11</v>
      </c>
    </row>
    <row r="15124" spans="1:5" x14ac:dyDescent="0.25">
      <c r="A15124" t="str">
        <f>HYPERLINK("https://www.773grp.com/globalSearch/TLE2061MJGB/page-1", "TLE2061MJGB")</f>
        <v>TLE2061MJGB</v>
      </c>
      <c r="B15124" s="3" t="s">
        <v>90</v>
      </c>
      <c r="C15124" s="5">
        <v>203</v>
      </c>
      <c r="D15124" s="6">
        <v>22.91</v>
      </c>
      <c r="E15124" t="s">
        <v>11</v>
      </c>
    </row>
    <row r="15125" spans="1:5" x14ac:dyDescent="0.25">
      <c r="A15125" t="str">
        <f>HYPERLINK("https://www.773grp.com/globalSearch/5962-87710012A/page-1", "5962-87710012A")</f>
        <v>5962-87710012A</v>
      </c>
      <c r="B15125" s="3" t="s">
        <v>90</v>
      </c>
      <c r="C15125" s="5">
        <v>220</v>
      </c>
      <c r="D15125" s="6">
        <v>23.46</v>
      </c>
      <c r="E15125" t="s">
        <v>11</v>
      </c>
    </row>
    <row r="15126" spans="1:5" x14ac:dyDescent="0.25">
      <c r="A15126" t="str">
        <f>HYPERLINK("https://www.773grp.com/globalSearch/LM158FKB/page-1", "LM158FKB")</f>
        <v>LM158FKB</v>
      </c>
      <c r="B15126" s="3" t="s">
        <v>90</v>
      </c>
      <c r="C15126" s="5">
        <v>64</v>
      </c>
      <c r="D15126" s="6">
        <v>23.46</v>
      </c>
      <c r="E15126" t="s">
        <v>11</v>
      </c>
    </row>
    <row r="15127" spans="1:5" x14ac:dyDescent="0.25">
      <c r="A15127" t="str">
        <f>HYPERLINK("https://www.773grp.com/globalSearch/LM148JB/page-1", "LM148JB")</f>
        <v>LM148JB</v>
      </c>
      <c r="B15127" s="3" t="s">
        <v>90</v>
      </c>
      <c r="C15127" s="5">
        <v>796</v>
      </c>
      <c r="D15127" s="6">
        <v>23.91</v>
      </c>
      <c r="E15127" t="s">
        <v>11</v>
      </c>
    </row>
    <row r="15128" spans="1:5" x14ac:dyDescent="0.25">
      <c r="A15128" t="str">
        <f>HYPERLINK("https://www.773grp.com/globalSearch/OPA404KU/page-1", "OPA404KU")</f>
        <v>OPA404KU</v>
      </c>
      <c r="B15128" s="3" t="s">
        <v>90</v>
      </c>
      <c r="C15128" s="5">
        <v>2047</v>
      </c>
      <c r="D15128" s="6">
        <v>24.05</v>
      </c>
      <c r="E15128" t="s">
        <v>11</v>
      </c>
    </row>
    <row r="15129" spans="1:5" x14ac:dyDescent="0.25">
      <c r="A15129" t="str">
        <f>HYPERLINK("https://www.773grp.com/globalSearch/OPA404KP/page-1", "OPA404KP")</f>
        <v>OPA404KP</v>
      </c>
      <c r="B15129" s="3" t="s">
        <v>90</v>
      </c>
      <c r="C15129" s="5">
        <v>18065</v>
      </c>
      <c r="D15129" s="6">
        <v>24.19</v>
      </c>
      <c r="E15129" t="s">
        <v>11</v>
      </c>
    </row>
    <row r="15130" spans="1:5" x14ac:dyDescent="0.25">
      <c r="A15130" t="str">
        <f>HYPERLINK("https://www.773grp.com/globalSearch/77043012A/page-1", "77043012A")</f>
        <v>77043012A</v>
      </c>
      <c r="B15130" s="3" t="s">
        <v>90</v>
      </c>
      <c r="C15130" s="5">
        <v>271</v>
      </c>
      <c r="D15130" s="6">
        <v>24.26</v>
      </c>
      <c r="E15130" t="s">
        <v>11</v>
      </c>
    </row>
    <row r="15131" spans="1:5" x14ac:dyDescent="0.25">
      <c r="A15131" t="str">
        <f>HYPERLINK("https://www.773grp.com/globalSearch/TLE2071AMJGB/page-1", "TLE2071AMJGB")</f>
        <v>TLE2071AMJGB</v>
      </c>
      <c r="B15131" s="3" t="s">
        <v>90</v>
      </c>
      <c r="C15131" s="5">
        <v>173</v>
      </c>
      <c r="D15131" s="6">
        <v>24.48</v>
      </c>
      <c r="E15131" t="s">
        <v>11</v>
      </c>
    </row>
    <row r="15132" spans="1:5" x14ac:dyDescent="0.25">
      <c r="A15132" t="str">
        <f>HYPERLINK("https://www.773grp.com/globalSearch/OPA2107AU/page-1", "OPA2107AU")</f>
        <v>OPA2107AU</v>
      </c>
      <c r="B15132" s="3" t="s">
        <v>90</v>
      </c>
      <c r="C15132" s="5">
        <v>11930</v>
      </c>
      <c r="D15132" s="6">
        <v>24.89</v>
      </c>
      <c r="E15132" t="s">
        <v>11</v>
      </c>
    </row>
    <row r="15133" spans="1:5" x14ac:dyDescent="0.25">
      <c r="A15133" t="str">
        <f>HYPERLINK("https://www.773grp.com/globalSearch/OPA2111KP/page-1", "OPA2111KP")</f>
        <v>OPA2111KP</v>
      </c>
      <c r="B15133" s="3" t="s">
        <v>90</v>
      </c>
      <c r="C15133" s="5">
        <v>5</v>
      </c>
      <c r="D15133" s="6">
        <v>24.93</v>
      </c>
      <c r="E15133" t="s">
        <v>11</v>
      </c>
    </row>
    <row r="15134" spans="1:5" x14ac:dyDescent="0.25">
      <c r="A15134" t="str">
        <f>HYPERLINK("https://www.773grp.com/globalSearch/5962-9751401QPA/page-1", "5962-9751401QPA")</f>
        <v>5962-9751401QPA</v>
      </c>
      <c r="B15134" s="3" t="s">
        <v>90</v>
      </c>
      <c r="C15134" s="5">
        <v>327</v>
      </c>
      <c r="D15134" s="6">
        <v>25.03</v>
      </c>
      <c r="E15134" t="s">
        <v>11</v>
      </c>
    </row>
    <row r="15135" spans="1:5" x14ac:dyDescent="0.25">
      <c r="A15135" t="str">
        <f>HYPERLINK("https://www.773grp.com/globalSearch/TLV2422MJGB/page-1", "TLV2422MJGB")</f>
        <v>TLV2422MJGB</v>
      </c>
      <c r="B15135" s="3" t="s">
        <v>90</v>
      </c>
      <c r="C15135" s="5">
        <v>174</v>
      </c>
      <c r="D15135" s="6">
        <v>25.03</v>
      </c>
      <c r="E15135" t="s">
        <v>11</v>
      </c>
    </row>
    <row r="15136" spans="1:5" x14ac:dyDescent="0.25">
      <c r="A15136" t="str">
        <f>HYPERLINK("https://www.773grp.com/globalSearch/OPA548FKTWT/page-1", "OPA548FKTWT")</f>
        <v>OPA548FKTWT</v>
      </c>
      <c r="B15136" s="3" t="s">
        <v>90</v>
      </c>
      <c r="C15136" s="5">
        <v>5186</v>
      </c>
      <c r="D15136" s="6">
        <v>25.23</v>
      </c>
      <c r="E15136" t="s">
        <v>11</v>
      </c>
    </row>
    <row r="15137" spans="1:5" x14ac:dyDescent="0.25">
      <c r="A15137" t="str">
        <f>HYPERLINK("https://www.773grp.com/globalSearch/TLC27M4MJ/page-1", "TLC27M4MJ")</f>
        <v>TLC27M4MJ</v>
      </c>
      <c r="B15137" s="3" t="s">
        <v>90</v>
      </c>
      <c r="C15137" s="5">
        <v>79</v>
      </c>
      <c r="D15137" s="6">
        <v>25.31</v>
      </c>
      <c r="E15137" t="s">
        <v>11</v>
      </c>
    </row>
    <row r="15138" spans="1:5" x14ac:dyDescent="0.25">
      <c r="A15138" t="str">
        <f>HYPERLINK("https://www.773grp.com/globalSearch/5962-87710022A/page-1", "5962-87710022A")</f>
        <v>5962-87710022A</v>
      </c>
      <c r="B15138" s="3" t="s">
        <v>90</v>
      </c>
      <c r="C15138" s="5">
        <v>20</v>
      </c>
      <c r="D15138" s="6">
        <v>25.6</v>
      </c>
      <c r="E15138" t="s">
        <v>11</v>
      </c>
    </row>
    <row r="15139" spans="1:5" x14ac:dyDescent="0.25">
      <c r="A15139" t="str">
        <f>HYPERLINK("https://www.773grp.com/globalSearch/TL054AMJB/page-1", "TL054AMJB")</f>
        <v>TL054AMJB</v>
      </c>
      <c r="B15139" s="3" t="s">
        <v>90</v>
      </c>
      <c r="C15139" s="5">
        <v>42</v>
      </c>
      <c r="D15139" s="6">
        <v>25.76</v>
      </c>
      <c r="E15139" t="s">
        <v>11</v>
      </c>
    </row>
    <row r="15140" spans="1:5" x14ac:dyDescent="0.25">
      <c r="A15140" t="str">
        <f>HYPERLINK("https://www.773grp.com/globalSearch/TLE2021MJG/page-1", "TLE2021MJG")</f>
        <v>TLE2021MJG</v>
      </c>
      <c r="B15140" s="3" t="s">
        <v>90</v>
      </c>
      <c r="C15140" s="5">
        <v>213</v>
      </c>
      <c r="D15140" s="6">
        <v>25.85</v>
      </c>
      <c r="E15140" t="s">
        <v>11</v>
      </c>
    </row>
    <row r="15141" spans="1:5" x14ac:dyDescent="0.25">
      <c r="A15141" t="str">
        <f>HYPERLINK("https://www.773grp.com/globalSearch/5962-9080702QPA/page-1", "5962-9080702QPA")</f>
        <v>5962-9080702QPA</v>
      </c>
      <c r="B15141" s="3" t="s">
        <v>90</v>
      </c>
      <c r="C15141" s="5">
        <v>181</v>
      </c>
      <c r="D15141" s="6">
        <v>25.94</v>
      </c>
      <c r="E15141" t="s">
        <v>11</v>
      </c>
    </row>
    <row r="15142" spans="1:5" x14ac:dyDescent="0.25">
      <c r="A15142" t="str">
        <f>HYPERLINK("https://www.773grp.com/globalSearch/TLE2061AMJGB/page-1", "TLE2061AMJGB")</f>
        <v>TLE2061AMJGB</v>
      </c>
      <c r="B15142" s="3" t="s">
        <v>90</v>
      </c>
      <c r="C15142" s="5">
        <v>182</v>
      </c>
      <c r="D15142" s="6">
        <v>25.94</v>
      </c>
      <c r="E15142" t="s">
        <v>11</v>
      </c>
    </row>
    <row r="15143" spans="1:5" x14ac:dyDescent="0.25">
      <c r="A15143" t="str">
        <f>HYPERLINK("https://www.773grp.com/globalSearch/TLV2264MJ/page-1", "TLV2264MJ")</f>
        <v>TLV2264MJ</v>
      </c>
      <c r="B15143" s="3" t="s">
        <v>90</v>
      </c>
      <c r="C15143" s="5">
        <v>272</v>
      </c>
      <c r="D15143" s="6">
        <v>25.95</v>
      </c>
      <c r="E15143" t="s">
        <v>11</v>
      </c>
    </row>
    <row r="15144" spans="1:5" x14ac:dyDescent="0.25">
      <c r="A15144" t="str">
        <f>HYPERLINK("https://www.773grp.com/globalSearch/TLE2061BMJGB/page-1", "TLE2061BMJGB")</f>
        <v>TLE2061BMJGB</v>
      </c>
      <c r="B15144" s="3" t="s">
        <v>90</v>
      </c>
      <c r="C15144" s="5">
        <v>296</v>
      </c>
      <c r="D15144" s="6">
        <v>26.1</v>
      </c>
      <c r="E15144" t="s">
        <v>11</v>
      </c>
    </row>
    <row r="15145" spans="1:5" x14ac:dyDescent="0.25">
      <c r="A15145" t="str">
        <f>HYPERLINK("https://www.773grp.com/globalSearch/JM38510-10107BPA/page-1", "JM38510-10107BPA")</f>
        <v>JM38510-10107BPA</v>
      </c>
      <c r="B15145" s="3" t="s">
        <v>90</v>
      </c>
      <c r="C15145" s="5">
        <v>13</v>
      </c>
      <c r="D15145" s="6">
        <v>26.13</v>
      </c>
      <c r="E15145" t="s">
        <v>11</v>
      </c>
    </row>
    <row r="15146" spans="1:5" x14ac:dyDescent="0.25">
      <c r="A15146" t="str">
        <f>HYPERLINK("https://www.773grp.com/globalSearch/TLE2161MJGB/page-1", "TLE2161MJGB")</f>
        <v>TLE2161MJGB</v>
      </c>
      <c r="B15146" s="3" t="s">
        <v>90</v>
      </c>
      <c r="C15146" s="5">
        <v>177</v>
      </c>
      <c r="D15146" s="6">
        <v>26.13</v>
      </c>
      <c r="E15146" t="s">
        <v>11</v>
      </c>
    </row>
    <row r="15147" spans="1:5" x14ac:dyDescent="0.25">
      <c r="A15147" t="str">
        <f>HYPERLINK("https://www.773grp.com/globalSearch/LM158JGB/page-1", "LM158JGB")</f>
        <v>LM158JGB</v>
      </c>
      <c r="B15147" s="3" t="s">
        <v>90</v>
      </c>
      <c r="C15147" s="5">
        <v>15</v>
      </c>
      <c r="D15147" s="6">
        <v>26.24</v>
      </c>
      <c r="E15147" t="s">
        <v>11</v>
      </c>
    </row>
    <row r="15148" spans="1:5" x14ac:dyDescent="0.25">
      <c r="A15148" t="str">
        <f>HYPERLINK("https://www.773grp.com/globalSearch/AD515JH/page-1", "AD515JH")</f>
        <v>AD515JH</v>
      </c>
      <c r="B15148" s="3" t="s">
        <v>90</v>
      </c>
      <c r="C15148" s="5">
        <v>2694</v>
      </c>
      <c r="D15148" s="6">
        <v>26.66</v>
      </c>
      <c r="E15148" t="s">
        <v>11</v>
      </c>
    </row>
    <row r="15149" spans="1:5" x14ac:dyDescent="0.25">
      <c r="A15149" t="str">
        <f>HYPERLINK("https://www.773grp.com/globalSearch/5962-9321601QPA/page-1", "5962-9321601QPA")</f>
        <v>5962-9321601QPA</v>
      </c>
      <c r="B15149" s="3" t="s">
        <v>90</v>
      </c>
      <c r="C15149" s="5">
        <v>258</v>
      </c>
      <c r="D15149" s="6">
        <v>26.7</v>
      </c>
      <c r="E15149" t="s">
        <v>11</v>
      </c>
    </row>
    <row r="15150" spans="1:5" x14ac:dyDescent="0.25">
      <c r="A15150" t="str">
        <f>HYPERLINK("https://www.773grp.com/globalSearch/TLE2082AMJGB/page-1", "TLE2082AMJGB")</f>
        <v>TLE2082AMJGB</v>
      </c>
      <c r="B15150" s="3" t="s">
        <v>90</v>
      </c>
      <c r="C15150" s="5">
        <v>891</v>
      </c>
      <c r="D15150" s="6">
        <v>26.8</v>
      </c>
      <c r="E15150" t="s">
        <v>11</v>
      </c>
    </row>
    <row r="15151" spans="1:5" x14ac:dyDescent="0.25">
      <c r="A15151" t="str">
        <f>HYPERLINK("https://www.773grp.com/globalSearch/OPA621KP/page-1", "OPA621KP")</f>
        <v>OPA621KP</v>
      </c>
      <c r="B15151" s="3" t="s">
        <v>90</v>
      </c>
      <c r="C15151" s="5">
        <v>768</v>
      </c>
      <c r="D15151" s="6">
        <v>26.91</v>
      </c>
      <c r="E15151" t="s">
        <v>11</v>
      </c>
    </row>
    <row r="15152" spans="1:5" x14ac:dyDescent="0.25">
      <c r="A15152" t="str">
        <f>HYPERLINK("https://www.773grp.com/globalSearch/LM124FK/page-1", "LM124FK")</f>
        <v>LM124FK</v>
      </c>
      <c r="B15152" s="3" t="s">
        <v>90</v>
      </c>
      <c r="C15152" s="5">
        <v>2</v>
      </c>
      <c r="D15152" s="6">
        <v>27.09</v>
      </c>
      <c r="E15152" t="s">
        <v>11</v>
      </c>
    </row>
    <row r="15153" spans="1:5" x14ac:dyDescent="0.25">
      <c r="A15153" t="str">
        <f>HYPERLINK("https://www.773grp.com/globalSearch/TLC2272MJG/page-1", "TLC2272MJG")</f>
        <v>TLC2272MJG</v>
      </c>
      <c r="B15153" s="3" t="str">
        <f>HYPERLINK("https://www.773grp.com/manufacturer/texas-instruments?pageNo=6", "Texas Instruments")</f>
        <v>Texas Instruments</v>
      </c>
      <c r="C15153" s="5">
        <v>103</v>
      </c>
      <c r="D15153" s="6">
        <v>27.38</v>
      </c>
      <c r="E15153" t="s">
        <v>11</v>
      </c>
    </row>
    <row r="15154" spans="1:5" x14ac:dyDescent="0.25">
      <c r="A15154" t="str">
        <f>HYPERLINK("https://www.773grp.com/globalSearch/5962-9584001QPA/page-1", "5962-9584001QPA")</f>
        <v>5962-9584001QPA</v>
      </c>
      <c r="B15154" s="3" t="str">
        <f>HYPERLINK("https://www.773grp.com/manufacturer/texas-instruments?pageNo=8", "Texas Instruments")</f>
        <v>Texas Instruments</v>
      </c>
      <c r="C15154" s="5">
        <v>155</v>
      </c>
      <c r="D15154" s="6">
        <v>27.43</v>
      </c>
      <c r="E15154" t="s">
        <v>11</v>
      </c>
    </row>
    <row r="15155" spans="1:5" x14ac:dyDescent="0.25">
      <c r="A15155" t="str">
        <f>HYPERLINK("https://www.773grp.com/globalSearch/TLC2272MJGB/page-1", "TLC2272MJGB")</f>
        <v>TLC2272MJGB</v>
      </c>
      <c r="B15155" s="3" t="str">
        <f>HYPERLINK("https://www.773grp.com/manufacturer/texas-instruments?pageNo=195", "Texas Instruments")</f>
        <v>Texas Instruments</v>
      </c>
      <c r="C15155" s="5">
        <v>22</v>
      </c>
      <c r="D15155" s="6">
        <v>28.26</v>
      </c>
      <c r="E15155" t="s">
        <v>11</v>
      </c>
    </row>
    <row r="15156" spans="1:5" x14ac:dyDescent="0.25">
      <c r="A15156" t="str">
        <f>HYPERLINK("https://www.773grp.com/globalSearch/8102306DA/page-1", "8102306DA")</f>
        <v>8102306DA</v>
      </c>
      <c r="B15156" s="3" t="str">
        <f>HYPERLINK("https://www.773grp.com/manufacturer/texas-instruments?pageNo=199", "Texas Instruments")</f>
        <v>Texas Instruments</v>
      </c>
      <c r="C15156" s="5">
        <v>87</v>
      </c>
      <c r="D15156" s="6">
        <v>28.3</v>
      </c>
      <c r="E15156" t="s">
        <v>11</v>
      </c>
    </row>
    <row r="15157" spans="1:5" x14ac:dyDescent="0.25">
      <c r="A15157" t="str">
        <f>HYPERLINK("https://www.773grp.com/globalSearch/77043022A/page-1", "77043022A")</f>
        <v>77043022A</v>
      </c>
      <c r="B15157" s="3" t="str">
        <f>HYPERLINK("https://www.773grp.com/manufacturer/texas-instruments?pageNo=205", "Texas Instruments")</f>
        <v>Texas Instruments</v>
      </c>
      <c r="C15157" s="5">
        <v>159</v>
      </c>
      <c r="D15157" s="6">
        <v>28.35</v>
      </c>
      <c r="E15157" t="s">
        <v>11</v>
      </c>
    </row>
    <row r="15158" spans="1:5" x14ac:dyDescent="0.25">
      <c r="A15158" t="str">
        <f>HYPERLINK("https://www.773grp.com/globalSearch/5962-9321602QPA/page-1", "5962-9321602QPA")</f>
        <v>5962-9321602QPA</v>
      </c>
      <c r="B15158" s="3" t="str">
        <f>HYPERLINK("https://www.773grp.com/manufacturer/texas-instruments?pageNo=300", "Texas Instruments")</f>
        <v>Texas Instruments</v>
      </c>
      <c r="C15158" s="5">
        <v>18</v>
      </c>
      <c r="D15158" s="6">
        <v>29.11</v>
      </c>
      <c r="E15158" t="s">
        <v>11</v>
      </c>
    </row>
    <row r="15159" spans="1:5" x14ac:dyDescent="0.25">
      <c r="A15159" t="str">
        <f>HYPERLINK("https://www.773grp.com/globalSearch/TLE2141AMJGB/page-1", "TLE2141AMJGB")</f>
        <v>TLE2141AMJGB</v>
      </c>
      <c r="B15159" s="3" t="str">
        <f>HYPERLINK("https://www.773grp.com/manufacturer/texas-instruments?pageNo=305", "Texas Instruments")</f>
        <v>Texas Instruments</v>
      </c>
      <c r="C15159" s="5">
        <v>14</v>
      </c>
      <c r="D15159" s="6">
        <v>29.11</v>
      </c>
      <c r="E15159" t="s">
        <v>11</v>
      </c>
    </row>
    <row r="15160" spans="1:5" x14ac:dyDescent="0.25">
      <c r="A15160" t="str">
        <f>HYPERLINK("https://www.773grp.com/globalSearch/5962-9080901MCA/page-1", "5962-9080901MCA")</f>
        <v>5962-9080901MCA</v>
      </c>
      <c r="B15160" s="3" t="str">
        <f>HYPERLINK("https://www.773grp.com/manufacturer/texas-instruments?pageNo=327", "Texas Instruments")</f>
        <v>Texas Instruments</v>
      </c>
      <c r="C15160" s="5">
        <v>193</v>
      </c>
      <c r="D15160" s="6">
        <v>29.33</v>
      </c>
      <c r="E15160" t="s">
        <v>11</v>
      </c>
    </row>
    <row r="15161" spans="1:5" x14ac:dyDescent="0.25">
      <c r="A15161" t="str">
        <f>HYPERLINK("https://www.773grp.com/globalSearch/LT1007ACJG/page-1", "LT1007ACJG")</f>
        <v>LT1007ACJG</v>
      </c>
      <c r="B15161" s="3" t="str">
        <f>HYPERLINK("https://www.773grp.com/manufacturer/texas-instruments?pageNo=394", "Texas Instruments")</f>
        <v>Texas Instruments</v>
      </c>
      <c r="C15161" s="5">
        <v>165</v>
      </c>
      <c r="D15161" s="6">
        <v>29.66</v>
      </c>
      <c r="E15161" t="s">
        <v>11</v>
      </c>
    </row>
    <row r="15162" spans="1:5" x14ac:dyDescent="0.25">
      <c r="A15162" t="str">
        <f>HYPERLINK("https://www.773grp.com/globalSearch/TLC2262AMJG/page-1", "TLC2262AMJG")</f>
        <v>TLC2262AMJG</v>
      </c>
      <c r="B15162" s="3" t="str">
        <f>HYPERLINK("https://www.773grp.com/manufacturer/texas-instruments?pageNo=435", "Texas Instruments")</f>
        <v>Texas Instruments</v>
      </c>
      <c r="C15162" s="5">
        <v>1</v>
      </c>
      <c r="D15162" s="6">
        <v>29.99</v>
      </c>
      <c r="E15162" t="s">
        <v>11</v>
      </c>
    </row>
    <row r="15163" spans="1:5" x14ac:dyDescent="0.25">
      <c r="A15163" t="str">
        <f>HYPERLINK("https://www.773grp.com/globalSearch/5962-9060404CA/page-1", "5962-9060404CA")</f>
        <v>5962-9060404CA</v>
      </c>
      <c r="B15163" s="3" t="str">
        <f>HYPERLINK("https://www.773grp.com/manufacturer/texas-instruments?pageNo=460", "Texas Instruments")</f>
        <v>Texas Instruments</v>
      </c>
      <c r="C15163" s="5">
        <v>18</v>
      </c>
      <c r="D15163" s="6">
        <v>30.24</v>
      </c>
      <c r="E15163" t="s">
        <v>11</v>
      </c>
    </row>
    <row r="15164" spans="1:5" x14ac:dyDescent="0.25">
      <c r="A15164" t="str">
        <f>HYPERLINK("https://www.773grp.com/globalSearch/5962-9566601QPA/page-1", "5962-9566601QPA")</f>
        <v>5962-9566601QPA</v>
      </c>
      <c r="B15164" s="3" t="str">
        <f>HYPERLINK("https://www.773grp.com/manufacturer/texas-instruments?pageNo=530", "Texas Instruments")</f>
        <v>Texas Instruments</v>
      </c>
      <c r="C15164" s="5">
        <v>38</v>
      </c>
      <c r="D15164" s="6">
        <v>30.66</v>
      </c>
      <c r="E15164" t="s">
        <v>11</v>
      </c>
    </row>
    <row r="15165" spans="1:5" x14ac:dyDescent="0.25">
      <c r="A15165" t="str">
        <f>HYPERLINK("https://www.773grp.com/globalSearch/5962-9753701QPA/page-1", "5962-9753701QPA")</f>
        <v>5962-9753701QPA</v>
      </c>
      <c r="B15165" s="3" t="str">
        <f>HYPERLINK("https://www.773grp.com/manufacturer/texas-instruments?pageNo=532", "Texas Instruments")</f>
        <v>Texas Instruments</v>
      </c>
      <c r="C15165" s="5">
        <v>2</v>
      </c>
      <c r="D15165" s="6">
        <v>30.68</v>
      </c>
      <c r="E15165" t="s">
        <v>11</v>
      </c>
    </row>
    <row r="15166" spans="1:5" x14ac:dyDescent="0.25">
      <c r="A15166" t="str">
        <f>HYPERLINK("https://www.773grp.com/globalSearch/5962-9460202QPA/page-1", "5962-9460202QPA")</f>
        <v>5962-9460202QPA</v>
      </c>
      <c r="B15166" s="3" t="str">
        <f>HYPERLINK("https://www.773grp.com/manufacturer/texas-instruments?pageNo=663", "Texas Instruments")</f>
        <v>Texas Instruments</v>
      </c>
      <c r="C15166" s="5">
        <v>18</v>
      </c>
      <c r="D15166" s="6">
        <v>31.3</v>
      </c>
      <c r="E15166" t="s">
        <v>11</v>
      </c>
    </row>
    <row r="15167" spans="1:5" x14ac:dyDescent="0.25">
      <c r="A15167" t="str">
        <f>HYPERLINK("https://www.773grp.com/globalSearch/TLE2072MJGB/page-1", "TLE2072MJGB")</f>
        <v>TLE2072MJGB</v>
      </c>
      <c r="B15167" s="3" t="str">
        <f>HYPERLINK("https://www.773grp.com/manufacturer/texas-instruments?pageNo=665", "Texas Instruments")</f>
        <v>Texas Instruments</v>
      </c>
      <c r="C15167" s="5">
        <v>523</v>
      </c>
      <c r="D15167" s="6">
        <v>31.3</v>
      </c>
      <c r="E15167" t="s">
        <v>11</v>
      </c>
    </row>
    <row r="15168" spans="1:5" x14ac:dyDescent="0.25">
      <c r="A15168" t="str">
        <f>HYPERLINK("https://www.773grp.com/globalSearch/SE5534FKB/page-1", "SE5534FKB")</f>
        <v>SE5534FKB</v>
      </c>
      <c r="B15168" s="3" t="str">
        <f>HYPERLINK("https://www.773grp.com/manufacturer/texas-instruments?pageNo=677", "Texas Instruments")</f>
        <v>Texas Instruments</v>
      </c>
      <c r="C15168" s="5">
        <v>95</v>
      </c>
      <c r="D15168" s="6">
        <v>31.35</v>
      </c>
      <c r="E15168" t="s">
        <v>11</v>
      </c>
    </row>
    <row r="15169" spans="1:5" x14ac:dyDescent="0.25">
      <c r="A15169" t="str">
        <f>HYPERLINK("https://www.773grp.com/globalSearch/OPA646UB/page-1", "OPA646UB")</f>
        <v>OPA646UB</v>
      </c>
      <c r="B15169" s="3" t="str">
        <f>HYPERLINK("https://www.773grp.com/manufacturer/texas-instruments?pageNo=744", "Texas Instruments")</f>
        <v>Texas Instruments</v>
      </c>
      <c r="C15169" s="5">
        <v>3225</v>
      </c>
      <c r="D15169" s="6">
        <v>31.84</v>
      </c>
      <c r="E15169" t="s">
        <v>11</v>
      </c>
    </row>
    <row r="15170" spans="1:5" x14ac:dyDescent="0.25">
      <c r="A15170" t="str">
        <f>HYPERLINK("https://www.773grp.com/globalSearch/81023062A/page-1", "81023062A")</f>
        <v>81023062A</v>
      </c>
      <c r="B15170" s="3" t="str">
        <f>HYPERLINK("https://www.773grp.com/manufacturer/texas-instruments?pageNo=825", "Texas Instruments")</f>
        <v>Texas Instruments</v>
      </c>
      <c r="C15170" s="5">
        <v>359</v>
      </c>
      <c r="D15170" s="6">
        <v>32.35</v>
      </c>
      <c r="E15170" t="s">
        <v>11</v>
      </c>
    </row>
    <row r="15171" spans="1:5" x14ac:dyDescent="0.25">
      <c r="A15171" t="str">
        <f>HYPERLINK("https://www.773grp.com/globalSearch/5962-9751402QPA/page-1", "5962-9751402QPA")</f>
        <v>5962-9751402QPA</v>
      </c>
      <c r="B15171" s="3" t="str">
        <f>HYPERLINK("https://www.773grp.com/manufacturer/texas-instruments?pageNo=854", "Texas Instruments")</f>
        <v>Texas Instruments</v>
      </c>
      <c r="C15171" s="5">
        <v>273</v>
      </c>
      <c r="D15171" s="6">
        <v>32.51</v>
      </c>
      <c r="E15171" t="s">
        <v>11</v>
      </c>
    </row>
    <row r="15172" spans="1:5" x14ac:dyDescent="0.25">
      <c r="A15172" t="str">
        <f>HYPERLINK("https://www.773grp.com/globalSearch/5962-9088101MPA/page-1", "5962-9088101MPA")</f>
        <v>5962-9088101MPA</v>
      </c>
      <c r="B15172" s="3" t="str">
        <f>HYPERLINK("https://www.773grp.com/manufacturer/texas-instruments?pageNo=860", "Texas Instruments")</f>
        <v>Texas Instruments</v>
      </c>
      <c r="C15172" s="5">
        <v>112</v>
      </c>
      <c r="D15172" s="6">
        <v>32.54</v>
      </c>
      <c r="E15172" t="s">
        <v>11</v>
      </c>
    </row>
    <row r="15173" spans="1:5" x14ac:dyDescent="0.25">
      <c r="A15173" t="str">
        <f>HYPERLINK("https://www.773grp.com/globalSearch/TLE2021MJGB/page-1", "TLE2021MJGB")</f>
        <v>TLE2021MJGB</v>
      </c>
      <c r="B15173" s="3" t="str">
        <f>HYPERLINK("https://www.773grp.com/manufacturer/texas-instruments?pageNo=865", "Texas Instruments")</f>
        <v>Texas Instruments</v>
      </c>
      <c r="C15173" s="5">
        <v>91</v>
      </c>
      <c r="D15173" s="6">
        <v>32.54</v>
      </c>
      <c r="E15173" t="s">
        <v>11</v>
      </c>
    </row>
    <row r="15174" spans="1:5" x14ac:dyDescent="0.25">
      <c r="A15174" t="str">
        <f>HYPERLINK("https://www.773grp.com/globalSearch/TLC2652MJG/page-1", "TLC2652MJG")</f>
        <v>TLC2652MJG</v>
      </c>
      <c r="B15174" s="3" t="str">
        <f>HYPERLINK("https://www.773grp.com/manufacturer/texas-instruments?pageNo=872", "Texas Instruments")</f>
        <v>Texas Instruments</v>
      </c>
      <c r="C15174" s="5">
        <v>280</v>
      </c>
      <c r="D15174" s="6">
        <v>32.65</v>
      </c>
      <c r="E15174" t="s">
        <v>11</v>
      </c>
    </row>
    <row r="15175" spans="1:5" x14ac:dyDescent="0.25">
      <c r="A15175" t="str">
        <f>HYPERLINK("https://www.773grp.com/globalSearch/TLE2161BMJG/page-1", "TLE2161BMJG")</f>
        <v>TLE2161BMJG</v>
      </c>
      <c r="B15175" s="3" t="str">
        <f>HYPERLINK("https://www.773grp.com/manufacturer/texas-instruments?pageNo=874", "Texas Instruments")</f>
        <v>Texas Instruments</v>
      </c>
      <c r="C15175" s="5">
        <v>247</v>
      </c>
      <c r="D15175" s="6">
        <v>32.69</v>
      </c>
      <c r="E15175" t="s">
        <v>11</v>
      </c>
    </row>
    <row r="15176" spans="1:5" x14ac:dyDescent="0.25">
      <c r="A15176" t="str">
        <f>HYPERLINK("https://www.773grp.com/globalSearch/TLC2202MJG/page-1", "TLC2202MJG")</f>
        <v>TLC2202MJG</v>
      </c>
      <c r="B15176" s="3" t="str">
        <f>HYPERLINK("https://www.773grp.com/manufacturer/texas-instruments?pageNo=880", "Texas Instruments")</f>
        <v>Texas Instruments</v>
      </c>
      <c r="C15176" s="5">
        <v>2</v>
      </c>
      <c r="D15176" s="6">
        <v>32.78</v>
      </c>
      <c r="E15176" t="s">
        <v>11</v>
      </c>
    </row>
    <row r="15177" spans="1:5" x14ac:dyDescent="0.25">
      <c r="A15177" t="str">
        <f>HYPERLINK("https://www.773grp.com/globalSearch/5962-0051203QPA/page-1", "5962-0051203QPA")</f>
        <v>5962-0051203QPA</v>
      </c>
      <c r="B15177" s="3" t="str">
        <f>HYPERLINK("https://www.773grp.com/manufacturer/texas-instruments?pageNo=944", "Texas Instruments")</f>
        <v>Texas Instruments</v>
      </c>
      <c r="C15177" s="5">
        <v>154</v>
      </c>
      <c r="D15177" s="6">
        <v>33.33</v>
      </c>
      <c r="E15177" t="s">
        <v>11</v>
      </c>
    </row>
    <row r="15178" spans="1:5" x14ac:dyDescent="0.25">
      <c r="A15178" t="str">
        <f>HYPERLINK("https://www.773grp.com/globalSearch/5962-9080801MHA/page-1", "5962-9080801MHA")</f>
        <v>5962-9080801MHA</v>
      </c>
      <c r="B15178" s="3" t="s">
        <v>90</v>
      </c>
      <c r="C15178" s="5">
        <v>832</v>
      </c>
      <c r="D15178" s="6">
        <v>33.46</v>
      </c>
      <c r="E15178" t="s">
        <v>11</v>
      </c>
    </row>
    <row r="15179" spans="1:5" x14ac:dyDescent="0.25">
      <c r="A15179" t="str">
        <f>HYPERLINK("https://www.773grp.com/globalSearch/TLE2062MUB/page-1", "TLE2062MUB")</f>
        <v>TLE2062MUB</v>
      </c>
      <c r="B15179" s="3" t="s">
        <v>90</v>
      </c>
      <c r="C15179" s="5">
        <v>3</v>
      </c>
      <c r="D15179" s="6">
        <v>33.46</v>
      </c>
      <c r="E15179" t="s">
        <v>11</v>
      </c>
    </row>
    <row r="15180" spans="1:5" x14ac:dyDescent="0.25">
      <c r="A15180" t="str">
        <f>HYPERLINK("https://www.773grp.com/globalSearch/5962-9080902MCA/page-1", "5962-9080902MCA")</f>
        <v>5962-9080902MCA</v>
      </c>
      <c r="B15180" s="3" t="s">
        <v>90</v>
      </c>
      <c r="C15180" s="5">
        <v>856</v>
      </c>
      <c r="D15180" s="6">
        <v>33.71</v>
      </c>
      <c r="E15180" t="s">
        <v>11</v>
      </c>
    </row>
    <row r="15181" spans="1:5" x14ac:dyDescent="0.25">
      <c r="A15181" t="str">
        <f>HYPERLINK("https://www.773grp.com/globalSearch/TLE2064AMJB/page-1", "TLE2064AMJB")</f>
        <v>TLE2064AMJB</v>
      </c>
      <c r="B15181" s="3" t="s">
        <v>90</v>
      </c>
      <c r="C15181" s="5">
        <v>128</v>
      </c>
      <c r="D15181" s="6">
        <v>33.71</v>
      </c>
      <c r="E15181" t="s">
        <v>11</v>
      </c>
    </row>
    <row r="15182" spans="1:5" x14ac:dyDescent="0.25">
      <c r="A15182" t="str">
        <f>HYPERLINK("https://www.773grp.com/globalSearch/5962-9080801M2A/page-1", "5962-9080801M2A")</f>
        <v>5962-9080801M2A</v>
      </c>
      <c r="B15182" s="3" t="s">
        <v>90</v>
      </c>
      <c r="C15182" s="5">
        <v>128</v>
      </c>
      <c r="D15182" s="6">
        <v>33.799999999999997</v>
      </c>
      <c r="E15182" t="s">
        <v>11</v>
      </c>
    </row>
    <row r="15183" spans="1:5" x14ac:dyDescent="0.25">
      <c r="A15183" t="str">
        <f>HYPERLINK("https://www.773grp.com/globalSearch/5962-9080701M2A/page-1", "5962-9080701M2A")</f>
        <v>5962-9080701M2A</v>
      </c>
      <c r="B15183" s="3" t="s">
        <v>90</v>
      </c>
      <c r="C15183" s="5">
        <v>41</v>
      </c>
      <c r="D15183" s="6">
        <v>34.630000000000003</v>
      </c>
      <c r="E15183" t="s">
        <v>11</v>
      </c>
    </row>
    <row r="15184" spans="1:5" x14ac:dyDescent="0.25">
      <c r="A15184" t="str">
        <f>HYPERLINK("https://www.773grp.com/globalSearch/TLE2061MFKB/page-1", "TLE2061MFKB")</f>
        <v>TLE2061MFKB</v>
      </c>
      <c r="B15184" s="3" t="s">
        <v>90</v>
      </c>
      <c r="C15184" s="5">
        <v>148</v>
      </c>
      <c r="D15184" s="6">
        <v>34.630000000000003</v>
      </c>
      <c r="E15184" t="s">
        <v>11</v>
      </c>
    </row>
    <row r="15185" spans="1:5" x14ac:dyDescent="0.25">
      <c r="A15185" t="str">
        <f>HYPERLINK("https://www.773grp.com/globalSearch/5962-9089601MPA/page-1", "5962-9089601MPA")</f>
        <v>5962-9089601MPA</v>
      </c>
      <c r="B15185" s="3" t="s">
        <v>90</v>
      </c>
      <c r="C15185" s="5">
        <v>2</v>
      </c>
      <c r="D15185" s="6">
        <v>35.299999999999997</v>
      </c>
      <c r="E15185" t="s">
        <v>11</v>
      </c>
    </row>
    <row r="15186" spans="1:5" x14ac:dyDescent="0.25">
      <c r="A15186" t="str">
        <f>HYPERLINK("https://www.773grp.com/globalSearch/TLE2027MJGB/page-1", "TLE2027MJGB")</f>
        <v>TLE2027MJGB</v>
      </c>
      <c r="B15186" s="3" t="s">
        <v>90</v>
      </c>
      <c r="C15186" s="5">
        <v>4</v>
      </c>
      <c r="D15186" s="6">
        <v>35.299999999999997</v>
      </c>
      <c r="E15186" t="s">
        <v>11</v>
      </c>
    </row>
    <row r="15187" spans="1:5" x14ac:dyDescent="0.25">
      <c r="A15187" t="str">
        <f>HYPERLINK("https://www.773grp.com/globalSearch/5962-9080702Q2A/page-1", "5962-9080702Q2A")</f>
        <v>5962-9080702Q2A</v>
      </c>
      <c r="B15187" s="3" t="s">
        <v>90</v>
      </c>
      <c r="C15187" s="5">
        <v>3</v>
      </c>
      <c r="D15187" s="6">
        <v>35.4</v>
      </c>
      <c r="E15187" t="s">
        <v>11</v>
      </c>
    </row>
    <row r="15188" spans="1:5" x14ac:dyDescent="0.25">
      <c r="A15188" t="str">
        <f>HYPERLINK("https://www.773grp.com/globalSearch/OPA541AP/page-1", "OPA541AP")</f>
        <v>OPA541AP</v>
      </c>
      <c r="B15188" s="3" t="s">
        <v>90</v>
      </c>
      <c r="C15188" s="5">
        <v>7314</v>
      </c>
      <c r="D15188" s="6">
        <v>35.44</v>
      </c>
      <c r="E15188" t="s">
        <v>11</v>
      </c>
    </row>
    <row r="15189" spans="1:5" x14ac:dyDescent="0.25">
      <c r="A15189" t="str">
        <f>HYPERLINK("https://www.773grp.com/globalSearch/LM158AJGB/page-1", "LM158AJGB")</f>
        <v>LM158AJGB</v>
      </c>
      <c r="B15189" s="3" t="s">
        <v>90</v>
      </c>
      <c r="C15189" s="5">
        <v>150</v>
      </c>
      <c r="D15189" s="6">
        <v>35.479999999999997</v>
      </c>
      <c r="E15189" t="s">
        <v>11</v>
      </c>
    </row>
    <row r="15190" spans="1:5" x14ac:dyDescent="0.25">
      <c r="A15190" t="str">
        <f>HYPERLINK("https://www.773grp.com/globalSearch/TLE2064MWB/page-1", "TLE2064MWB")</f>
        <v>TLE2064MWB</v>
      </c>
      <c r="B15190" s="3" t="s">
        <v>90</v>
      </c>
      <c r="C15190" s="5">
        <v>38</v>
      </c>
      <c r="D15190" s="6">
        <v>35.909999999999997</v>
      </c>
      <c r="E15190" t="s">
        <v>11</v>
      </c>
    </row>
    <row r="15191" spans="1:5" x14ac:dyDescent="0.25">
      <c r="A15191" t="str">
        <f>HYPERLINK("https://www.773grp.com/globalSearch/5962-0051204QPA/page-1", "5962-0051204QPA")</f>
        <v>5962-0051204QPA</v>
      </c>
      <c r="B15191" s="3" t="s">
        <v>90</v>
      </c>
      <c r="C15191" s="5">
        <v>203</v>
      </c>
      <c r="D15191" s="6">
        <v>35.950000000000003</v>
      </c>
      <c r="E15191" t="s">
        <v>11</v>
      </c>
    </row>
    <row r="15192" spans="1:5" x14ac:dyDescent="0.25">
      <c r="A15192" t="str">
        <f>HYPERLINK("https://www.773grp.com/globalSearch/5962-9555202QPA/page-1", "5962-9555202QPA")</f>
        <v>5962-9555202QPA</v>
      </c>
      <c r="B15192" s="3" t="s">
        <v>90</v>
      </c>
      <c r="C15192" s="5">
        <v>28</v>
      </c>
      <c r="D15192" s="6">
        <v>36.15</v>
      </c>
      <c r="E15192" t="s">
        <v>11</v>
      </c>
    </row>
    <row r="15193" spans="1:5" x14ac:dyDescent="0.25">
      <c r="A15193" t="str">
        <f>HYPERLINK("https://www.773grp.com/globalSearch/TLC2272AMJGB/page-1", "TLC2272AMJGB")</f>
        <v>TLC2272AMJGB</v>
      </c>
      <c r="B15193" s="3" t="s">
        <v>90</v>
      </c>
      <c r="C15193" s="5">
        <v>2145</v>
      </c>
      <c r="D15193" s="6">
        <v>36.15</v>
      </c>
      <c r="E15193" t="s">
        <v>11</v>
      </c>
    </row>
    <row r="15194" spans="1:5" x14ac:dyDescent="0.25">
      <c r="A15194" t="str">
        <f>HYPERLINK("https://www.773grp.com/globalSearch/OPA637AU-2K5/page-1", "OPA637AU-2K5")</f>
        <v>OPA637AU-2K5</v>
      </c>
      <c r="B15194" s="3" t="s">
        <v>90</v>
      </c>
      <c r="C15194" s="5">
        <v>5000</v>
      </c>
      <c r="D15194" s="6">
        <v>36.159999999999997</v>
      </c>
      <c r="E15194" t="s">
        <v>11</v>
      </c>
    </row>
    <row r="15195" spans="1:5" x14ac:dyDescent="0.25">
      <c r="A15195" t="str">
        <f>HYPERLINK("https://www.773grp.com/globalSearch/5962-0051201QPA/page-1", "5962-0051201QPA")</f>
        <v>5962-0051201QPA</v>
      </c>
      <c r="B15195" s="3" t="s">
        <v>90</v>
      </c>
      <c r="C15195" s="5">
        <v>134</v>
      </c>
      <c r="D15195" s="6">
        <v>36.5</v>
      </c>
      <c r="E15195" t="s">
        <v>11</v>
      </c>
    </row>
    <row r="15196" spans="1:5" x14ac:dyDescent="0.25">
      <c r="A15196" t="str">
        <f>HYPERLINK("https://www.773grp.com/globalSearch/TLE2142AMJG/page-1", "TLE2142AMJG")</f>
        <v>TLE2142AMJG</v>
      </c>
      <c r="B15196" s="3" t="s">
        <v>90</v>
      </c>
      <c r="C15196" s="5">
        <v>181</v>
      </c>
      <c r="D15196" s="6">
        <v>36.54</v>
      </c>
      <c r="E15196" t="s">
        <v>11</v>
      </c>
    </row>
    <row r="15197" spans="1:5" x14ac:dyDescent="0.25">
      <c r="A15197" t="str">
        <f>HYPERLINK("https://www.773grp.com/globalSearch/TLC2274AMJB/page-1", "TLC2274AMJB")</f>
        <v>TLC2274AMJB</v>
      </c>
      <c r="B15197" s="3" t="s">
        <v>90</v>
      </c>
      <c r="C15197" s="5">
        <v>67</v>
      </c>
      <c r="D15197" s="6">
        <v>36.74</v>
      </c>
      <c r="E15197" t="s">
        <v>11</v>
      </c>
    </row>
    <row r="15198" spans="1:5" x14ac:dyDescent="0.25">
      <c r="A15198" t="str">
        <f>HYPERLINK("https://www.773grp.com/globalSearch/5962-9555201NXDR/page-1", "5962-9555201NXDR")</f>
        <v>5962-9555201NXDR</v>
      </c>
      <c r="B15198" s="3" t="s">
        <v>90</v>
      </c>
      <c r="C15198" s="5">
        <v>7401</v>
      </c>
      <c r="D15198" s="6">
        <v>36.880000000000003</v>
      </c>
      <c r="E15198" t="s">
        <v>11</v>
      </c>
    </row>
    <row r="15199" spans="1:5" x14ac:dyDescent="0.25">
      <c r="A15199" t="str">
        <f>HYPERLINK("https://www.773grp.com/globalSearch/5962-0051202QPA/page-1", "5962-0051202QPA")</f>
        <v>5962-0051202QPA</v>
      </c>
      <c r="B15199" s="3" t="s">
        <v>90</v>
      </c>
      <c r="C15199" s="5">
        <v>215</v>
      </c>
      <c r="D15199" s="6">
        <v>36.96</v>
      </c>
      <c r="E15199" t="s">
        <v>11</v>
      </c>
    </row>
    <row r="15200" spans="1:5" x14ac:dyDescent="0.25">
      <c r="A15200" t="str">
        <f>HYPERLINK("https://www.773grp.com/globalSearch/LM108LB/page-1", "LM108LB")</f>
        <v>LM108LB</v>
      </c>
      <c r="B15200" s="3" t="s">
        <v>90</v>
      </c>
      <c r="C15200" s="5">
        <v>168</v>
      </c>
      <c r="D15200" s="6">
        <v>37.130000000000003</v>
      </c>
      <c r="E15200" t="s">
        <v>11</v>
      </c>
    </row>
    <row r="15201" spans="1:5" x14ac:dyDescent="0.25">
      <c r="A15201" t="str">
        <f>HYPERLINK("https://www.773grp.com/globalSearch/TLC2252MFKB/page-1", "TLC2252MFKB")</f>
        <v>TLC2252MFKB</v>
      </c>
      <c r="B15201" s="3" t="s">
        <v>90</v>
      </c>
      <c r="C15201" s="5">
        <v>39</v>
      </c>
      <c r="D15201" s="6">
        <v>37.21</v>
      </c>
      <c r="E15201" t="s">
        <v>11</v>
      </c>
    </row>
    <row r="15202" spans="1:5" x14ac:dyDescent="0.25">
      <c r="A15202" t="str">
        <f>HYPERLINK("https://www.773grp.com/globalSearch/TLE2024BMJ/page-1", "TLE2024BMJ")</f>
        <v>TLE2024BMJ</v>
      </c>
      <c r="B15202" s="3" t="s">
        <v>90</v>
      </c>
      <c r="C15202" s="5">
        <v>19</v>
      </c>
      <c r="D15202" s="6">
        <v>37.549999999999997</v>
      </c>
      <c r="E15202" t="s">
        <v>11</v>
      </c>
    </row>
    <row r="15203" spans="1:5" x14ac:dyDescent="0.25">
      <c r="A15203" t="str">
        <f>HYPERLINK("https://www.773grp.com/globalSearch/OPA2544T/page-1", "OPA2544T")</f>
        <v>OPA2544T</v>
      </c>
      <c r="B15203" s="3" t="s">
        <v>90</v>
      </c>
      <c r="C15203" s="5">
        <v>5281</v>
      </c>
      <c r="D15203" s="6">
        <v>37.979999999999997</v>
      </c>
      <c r="E15203" t="s">
        <v>11</v>
      </c>
    </row>
    <row r="15204" spans="1:5" x14ac:dyDescent="0.25">
      <c r="A15204" t="str">
        <f>HYPERLINK("https://www.773grp.com/globalSearch/OPA549TG3/page-1", "OPA549TG3")</f>
        <v>OPA549TG3</v>
      </c>
      <c r="B15204" s="3" t="s">
        <v>90</v>
      </c>
      <c r="C15204" s="5">
        <v>2</v>
      </c>
      <c r="D15204" s="6">
        <v>37.979999999999997</v>
      </c>
      <c r="E15204" t="s">
        <v>11</v>
      </c>
    </row>
    <row r="15205" spans="1:5" x14ac:dyDescent="0.25">
      <c r="A15205" t="str">
        <f>HYPERLINK("https://www.773grp.com/globalSearch/TLC27M7MJGB/page-1", "TLC27M7MJGB")</f>
        <v>TLC27M7MJGB</v>
      </c>
      <c r="B15205" s="3" t="s">
        <v>90</v>
      </c>
      <c r="C15205" s="5">
        <v>124</v>
      </c>
      <c r="D15205" s="6">
        <v>37.979999999999997</v>
      </c>
      <c r="E15205" t="s">
        <v>11</v>
      </c>
    </row>
    <row r="15206" spans="1:5" x14ac:dyDescent="0.25">
      <c r="A15206" t="str">
        <f>HYPERLINK("https://www.773grp.com/globalSearch/5962-9564003QPA/page-1", "5962-9564003QPA")</f>
        <v>5962-9564003QPA</v>
      </c>
      <c r="B15206" s="3" t="s">
        <v>90</v>
      </c>
      <c r="C15206" s="5">
        <v>230</v>
      </c>
      <c r="D15206" s="6">
        <v>38.31</v>
      </c>
      <c r="E15206" t="s">
        <v>11</v>
      </c>
    </row>
    <row r="15207" spans="1:5" x14ac:dyDescent="0.25">
      <c r="A15207" t="str">
        <f>HYPERLINK("https://www.773grp.com/globalSearch/TLC2252AMJGB/page-1", "TLC2252AMJGB")</f>
        <v>TLC2252AMJGB</v>
      </c>
      <c r="B15207" s="3" t="s">
        <v>90</v>
      </c>
      <c r="C15207" s="5">
        <v>500</v>
      </c>
      <c r="D15207" s="6">
        <v>38.31</v>
      </c>
      <c r="E15207" t="s">
        <v>11</v>
      </c>
    </row>
    <row r="15208" spans="1:5" x14ac:dyDescent="0.25">
      <c r="A15208" t="str">
        <f>HYPERLINK("https://www.773grp.com/globalSearch/8102302HA/page-1", "8102302HA")</f>
        <v>8102302HA</v>
      </c>
      <c r="B15208" s="3" t="s">
        <v>90</v>
      </c>
      <c r="C15208" s="5">
        <v>76</v>
      </c>
      <c r="D15208" s="6">
        <v>38.700000000000003</v>
      </c>
      <c r="E15208" t="s">
        <v>11</v>
      </c>
    </row>
    <row r="15209" spans="1:5" x14ac:dyDescent="0.25">
      <c r="A15209" t="str">
        <f>HYPERLINK("https://www.773grp.com/globalSearch/TLE2074AMJ/page-1", "TLE2074AMJ")</f>
        <v>TLE2074AMJ</v>
      </c>
      <c r="B15209" s="3" t="s">
        <v>90</v>
      </c>
      <c r="C15209" s="5">
        <v>25</v>
      </c>
      <c r="D15209" s="6">
        <v>38.729999999999997</v>
      </c>
      <c r="E15209" t="s">
        <v>11</v>
      </c>
    </row>
    <row r="15210" spans="1:5" x14ac:dyDescent="0.25">
      <c r="A15210" t="str">
        <f>HYPERLINK("https://www.773grp.com/globalSearch/5962-9469203QPA/page-1", "5962-9469203QPA")</f>
        <v>5962-9469203QPA</v>
      </c>
      <c r="B15210" s="3" t="s">
        <v>90</v>
      </c>
      <c r="C15210" s="5">
        <v>264</v>
      </c>
      <c r="D15210" s="6">
        <v>39.1</v>
      </c>
      <c r="E15210" t="s">
        <v>11</v>
      </c>
    </row>
    <row r="15211" spans="1:5" x14ac:dyDescent="0.25">
      <c r="A15211" t="str">
        <f>HYPERLINK("https://www.773grp.com/globalSearch/TLC2262AMJGB/page-1", "TLC2262AMJGB")</f>
        <v>TLC2262AMJGB</v>
      </c>
      <c r="B15211" s="3" t="s">
        <v>90</v>
      </c>
      <c r="C15211" s="5">
        <v>227</v>
      </c>
      <c r="D15211" s="6">
        <v>39.1</v>
      </c>
      <c r="E15211" t="s">
        <v>11</v>
      </c>
    </row>
    <row r="15212" spans="1:5" x14ac:dyDescent="0.25">
      <c r="A15212" t="str">
        <f>HYPERLINK("https://www.773grp.com/globalSearch/TLC2202AMJG/page-1", "TLC2202AMJG")</f>
        <v>TLC2202AMJG</v>
      </c>
      <c r="B15212" s="3" t="s">
        <v>90</v>
      </c>
      <c r="C15212" s="5">
        <v>16349</v>
      </c>
      <c r="D15212" s="6">
        <v>39.11</v>
      </c>
      <c r="E15212" t="s">
        <v>11</v>
      </c>
    </row>
    <row r="15213" spans="1:5" x14ac:dyDescent="0.25">
      <c r="A15213" t="str">
        <f>HYPERLINK("https://www.773grp.com/globalSearch/5962-9460205QPA/page-1", "5962-9460205QPA")</f>
        <v>5962-9460205QPA</v>
      </c>
      <c r="B15213" s="3" t="s">
        <v>90</v>
      </c>
      <c r="C15213" s="5">
        <v>769</v>
      </c>
      <c r="D15213" s="6">
        <v>39.33</v>
      </c>
      <c r="E15213" t="s">
        <v>11</v>
      </c>
    </row>
    <row r="15214" spans="1:5" x14ac:dyDescent="0.25">
      <c r="A15214" t="str">
        <f>HYPERLINK("https://www.773grp.com/globalSearch/TLC4502AMJGB/page-1", "TLC4502AMJGB")</f>
        <v>TLC4502AMJGB</v>
      </c>
      <c r="B15214" s="3" t="s">
        <v>90</v>
      </c>
      <c r="C15214" s="5">
        <v>2</v>
      </c>
      <c r="D15214" s="6">
        <v>39.33</v>
      </c>
      <c r="E15214" t="s">
        <v>11</v>
      </c>
    </row>
    <row r="15215" spans="1:5" x14ac:dyDescent="0.25">
      <c r="A15215" t="str">
        <f>HYPERLINK("https://www.773grp.com/globalSearch/TLE2072AMJGB/page-1", "TLE2072AMJGB")</f>
        <v>TLE2072AMJGB</v>
      </c>
      <c r="B15215" s="3" t="s">
        <v>90</v>
      </c>
      <c r="C15215" s="5">
        <v>8367</v>
      </c>
      <c r="D15215" s="6">
        <v>39.33</v>
      </c>
      <c r="E15215" t="s">
        <v>11</v>
      </c>
    </row>
    <row r="15216" spans="1:5" x14ac:dyDescent="0.25">
      <c r="A15216" t="str">
        <f>HYPERLINK("https://www.773grp.com/globalSearch/5962-9564003Q2A/page-1", "5962-9564003Q2A")</f>
        <v>5962-9564003Q2A</v>
      </c>
      <c r="B15216" s="3" t="s">
        <v>90</v>
      </c>
      <c r="C15216" s="5">
        <v>17</v>
      </c>
      <c r="D15216" s="6">
        <v>39.450000000000003</v>
      </c>
      <c r="E15216" t="s">
        <v>11</v>
      </c>
    </row>
    <row r="15217" spans="1:5" x14ac:dyDescent="0.25">
      <c r="A15217" t="str">
        <f>HYPERLINK("https://www.773grp.com/globalSearch/TLC2252MUB/page-1", "TLC2252MUB")</f>
        <v>TLC2252MUB</v>
      </c>
      <c r="B15217" s="3" t="s">
        <v>90</v>
      </c>
      <c r="C15217" s="5">
        <v>77</v>
      </c>
      <c r="D15217" s="6">
        <v>40.159999999999997</v>
      </c>
      <c r="E15217" t="s">
        <v>11</v>
      </c>
    </row>
    <row r="15218" spans="1:5" x14ac:dyDescent="0.25">
      <c r="A15218" t="str">
        <f>HYPERLINK("https://www.773grp.com/globalSearch/TLC2262AMUB/page-1", "TLC2262AMUB")</f>
        <v>TLC2262AMUB</v>
      </c>
      <c r="B15218" s="3" t="s">
        <v>90</v>
      </c>
      <c r="C15218" s="5">
        <v>2072</v>
      </c>
      <c r="D15218" s="6">
        <v>40.159999999999997</v>
      </c>
      <c r="E15218" t="s">
        <v>11</v>
      </c>
    </row>
    <row r="15219" spans="1:5" x14ac:dyDescent="0.25">
      <c r="A15219" t="str">
        <f>HYPERLINK("https://www.773grp.com/globalSearch/OPA627AP/page-1", "OPA627AP")</f>
        <v>OPA627AP</v>
      </c>
      <c r="B15219" s="3" t="s">
        <v>90</v>
      </c>
      <c r="C15219" s="5">
        <v>902</v>
      </c>
      <c r="D15219" s="6">
        <v>40.39</v>
      </c>
      <c r="E15219" t="s">
        <v>11</v>
      </c>
    </row>
    <row r="15220" spans="1:5" x14ac:dyDescent="0.25">
      <c r="A15220" t="str">
        <f>HYPERLINK("https://www.773grp.com/globalSearch/OPA637AP/page-1", "OPA637AP")</f>
        <v>OPA637AP</v>
      </c>
      <c r="B15220" s="3" t="s">
        <v>90</v>
      </c>
      <c r="C15220" s="5">
        <v>3580</v>
      </c>
      <c r="D15220" s="6">
        <v>40.39</v>
      </c>
      <c r="E15220" t="s">
        <v>11</v>
      </c>
    </row>
    <row r="15221" spans="1:5" x14ac:dyDescent="0.25">
      <c r="A15221" t="str">
        <f>HYPERLINK("https://www.773grp.com/globalSearch/TL052MFKB/page-1", "TL052MFKB")</f>
        <v>TL052MFKB</v>
      </c>
      <c r="B15221" s="3" t="s">
        <v>90</v>
      </c>
      <c r="C15221" s="5">
        <v>177</v>
      </c>
      <c r="D15221" s="6">
        <v>40.950000000000003</v>
      </c>
      <c r="E15221" t="s">
        <v>11</v>
      </c>
    </row>
    <row r="15222" spans="1:5" x14ac:dyDescent="0.25">
      <c r="A15222" t="str">
        <f>HYPERLINK("https://www.773grp.com/globalSearch/5962-9088104QPA/page-1", "5962-9088104QPA")</f>
        <v>5962-9088104QPA</v>
      </c>
      <c r="B15222" s="3" t="s">
        <v>90</v>
      </c>
      <c r="C15222" s="5">
        <v>88</v>
      </c>
      <c r="D15222" s="6">
        <v>41.09</v>
      </c>
      <c r="E15222" t="s">
        <v>11</v>
      </c>
    </row>
    <row r="15223" spans="1:5" x14ac:dyDescent="0.25">
      <c r="A15223" t="str">
        <f>HYPERLINK("https://www.773grp.com/globalSearch/TLE2074MJ/page-1", "TLE2074MJ")</f>
        <v>TLE2074MJ</v>
      </c>
      <c r="B15223" s="3" t="s">
        <v>90</v>
      </c>
      <c r="C15223" s="5">
        <v>187</v>
      </c>
      <c r="D15223" s="6">
        <v>41.09</v>
      </c>
      <c r="E15223" t="s">
        <v>11</v>
      </c>
    </row>
    <row r="15224" spans="1:5" x14ac:dyDescent="0.25">
      <c r="A15224" t="str">
        <f>HYPERLINK("https://www.773grp.com/globalSearch/TLV2262AMJGB/page-1", "TLV2262AMJGB")</f>
        <v>TLV2262AMJGB</v>
      </c>
      <c r="B15224" s="3" t="s">
        <v>90</v>
      </c>
      <c r="C15224" s="5">
        <v>134</v>
      </c>
      <c r="D15224" s="6">
        <v>41.38</v>
      </c>
      <c r="E15224" t="s">
        <v>11</v>
      </c>
    </row>
    <row r="15225" spans="1:5" x14ac:dyDescent="0.25">
      <c r="A15225" t="str">
        <f>HYPERLINK("https://www.773grp.com/globalSearch/5962-9080901M2A/page-1", "5962-9080901M2A")</f>
        <v>5962-9080901M2A</v>
      </c>
      <c r="B15225" s="3" t="s">
        <v>90</v>
      </c>
      <c r="C15225" s="5">
        <v>476</v>
      </c>
      <c r="D15225" s="6">
        <v>41.76</v>
      </c>
      <c r="E15225" t="s">
        <v>11</v>
      </c>
    </row>
    <row r="15226" spans="1:5" x14ac:dyDescent="0.25">
      <c r="A15226" t="str">
        <f>HYPERLINK("https://www.773grp.com/globalSearch/OPA627AU/page-1", "OPA627AU")</f>
        <v>OPA627AU</v>
      </c>
      <c r="B15226" s="3" t="s">
        <v>90</v>
      </c>
      <c r="C15226" s="5">
        <v>4</v>
      </c>
      <c r="D15226" s="6">
        <v>41.8</v>
      </c>
      <c r="E15226" t="s">
        <v>11</v>
      </c>
    </row>
    <row r="15227" spans="1:5" x14ac:dyDescent="0.25">
      <c r="A15227" t="str">
        <f>HYPERLINK("https://www.773grp.com/globalSearch/OPA637AU/page-1", "OPA637AU")</f>
        <v>OPA637AU</v>
      </c>
      <c r="B15227" s="3" t="s">
        <v>90</v>
      </c>
      <c r="C15227" s="5">
        <v>450</v>
      </c>
      <c r="D15227" s="6">
        <v>41.8</v>
      </c>
      <c r="E15227" t="s">
        <v>11</v>
      </c>
    </row>
    <row r="15228" spans="1:5" x14ac:dyDescent="0.25">
      <c r="A15228" t="str">
        <f>HYPERLINK("https://www.773grp.com/globalSearch/5962-9566602QDA/page-1", "5962-9566602QDA")</f>
        <v>5962-9566602QDA</v>
      </c>
      <c r="B15228" s="3" t="s">
        <v>90</v>
      </c>
      <c r="C15228" s="5">
        <v>3562</v>
      </c>
      <c r="D15228" s="6">
        <v>42.23</v>
      </c>
      <c r="E15228" t="s">
        <v>11</v>
      </c>
    </row>
    <row r="15229" spans="1:5" x14ac:dyDescent="0.25">
      <c r="A15229" t="str">
        <f>HYPERLINK("https://www.773grp.com/globalSearch/5962-9760301Q2A/page-1", "5962-9760301Q2A")</f>
        <v>5962-9760301Q2A</v>
      </c>
      <c r="B15229" s="3" t="s">
        <v>90</v>
      </c>
      <c r="C15229" s="5">
        <v>83</v>
      </c>
      <c r="D15229" s="6">
        <v>42.41</v>
      </c>
      <c r="E15229" t="s">
        <v>11</v>
      </c>
    </row>
    <row r="15230" spans="1:5" x14ac:dyDescent="0.25">
      <c r="A15230" t="str">
        <f>HYPERLINK("https://www.773grp.com/globalSearch/INA117BM-3/page-1", "INA117BM-3")</f>
        <v>INA117BM-3</v>
      </c>
      <c r="B15230" s="3" t="s">
        <v>90</v>
      </c>
      <c r="C15230" s="5">
        <v>13526</v>
      </c>
      <c r="D15230" s="6">
        <v>42.75</v>
      </c>
      <c r="E15230" t="s">
        <v>11</v>
      </c>
    </row>
    <row r="15231" spans="1:5" x14ac:dyDescent="0.25">
      <c r="A15231" t="str">
        <f>HYPERLINK("https://www.773grp.com/globalSearch/TLE2142MUB/page-1", "TLE2142MUB")</f>
        <v>TLE2142MUB</v>
      </c>
      <c r="B15231" s="3" t="s">
        <v>90</v>
      </c>
      <c r="C15231" s="5">
        <v>592</v>
      </c>
      <c r="D15231" s="6">
        <v>43.09</v>
      </c>
      <c r="E15231" t="s">
        <v>11</v>
      </c>
    </row>
    <row r="15232" spans="1:5" x14ac:dyDescent="0.25">
      <c r="A15232" t="str">
        <f>HYPERLINK("https://www.773grp.com/globalSearch/5962-9460204QHA/page-1", "5962-9460204QHA")</f>
        <v>5962-9460204QHA</v>
      </c>
      <c r="B15232" s="3" t="s">
        <v>90</v>
      </c>
      <c r="C15232" s="5">
        <v>67</v>
      </c>
      <c r="D15232" s="6">
        <v>43.49</v>
      </c>
      <c r="E15232" t="s">
        <v>11</v>
      </c>
    </row>
    <row r="15233" spans="1:5" x14ac:dyDescent="0.25">
      <c r="A15233" t="str">
        <f>HYPERLINK("https://www.773grp.com/globalSearch/TLC2272AMFKB/page-1", "TLC2272AMFKB")</f>
        <v>TLC2272AMFKB</v>
      </c>
      <c r="B15233" s="3" t="s">
        <v>90</v>
      </c>
      <c r="C15233" s="5">
        <v>100</v>
      </c>
      <c r="D15233" s="6">
        <v>43.5</v>
      </c>
      <c r="E15233" t="s">
        <v>11</v>
      </c>
    </row>
    <row r="15234" spans="1:5" x14ac:dyDescent="0.25">
      <c r="A15234" t="str">
        <f>HYPERLINK("https://www.773grp.com/globalSearch/5962-9080902M2A/page-1", "5962-9080902M2A")</f>
        <v>5962-9080902M2A</v>
      </c>
      <c r="B15234" s="3" t="s">
        <v>90</v>
      </c>
      <c r="C15234" s="5">
        <v>1586</v>
      </c>
      <c r="D15234" s="6">
        <v>45.03</v>
      </c>
      <c r="E15234" t="s">
        <v>11</v>
      </c>
    </row>
    <row r="15235" spans="1:5" x14ac:dyDescent="0.25">
      <c r="A15235" t="str">
        <f>HYPERLINK("https://www.773grp.com/globalSearch/TLE2064AMFKB/page-1", "TLE2064AMFKB")</f>
        <v>TLE2064AMFKB</v>
      </c>
      <c r="B15235" s="3" t="s">
        <v>90</v>
      </c>
      <c r="C15235" s="5">
        <v>97</v>
      </c>
      <c r="D15235" s="6">
        <v>45.03</v>
      </c>
      <c r="E15235" t="s">
        <v>11</v>
      </c>
    </row>
    <row r="15236" spans="1:5" x14ac:dyDescent="0.25">
      <c r="A15236" t="str">
        <f>HYPERLINK("https://www.773grp.com/globalSearch/TLE2074AMJB/page-1", "TLE2074AMJB")</f>
        <v>TLE2074AMJB</v>
      </c>
      <c r="B15236" s="3" t="s">
        <v>90</v>
      </c>
      <c r="C15236" s="5">
        <v>329</v>
      </c>
      <c r="D15236" s="6">
        <v>45.23</v>
      </c>
      <c r="E15236" t="s">
        <v>11</v>
      </c>
    </row>
    <row r="15237" spans="1:5" x14ac:dyDescent="0.25">
      <c r="A15237" t="str">
        <f>HYPERLINK("https://www.773grp.com/globalSearch/TLE2082MFKB/page-1", "TLE2082MFKB")</f>
        <v>TLE2082MFKB</v>
      </c>
      <c r="B15237" s="3" t="s">
        <v>90</v>
      </c>
      <c r="C15237" s="5">
        <v>9</v>
      </c>
      <c r="D15237" s="6">
        <v>45.61</v>
      </c>
      <c r="E15237" t="s">
        <v>11</v>
      </c>
    </row>
    <row r="15238" spans="1:5" x14ac:dyDescent="0.25">
      <c r="A15238" t="str">
        <f>HYPERLINK("https://www.773grp.com/globalSearch/TLV2422MUB/page-1", "TLV2422MUB")</f>
        <v>TLV2422MUB</v>
      </c>
      <c r="B15238" s="3" t="s">
        <v>90</v>
      </c>
      <c r="C15238" s="5">
        <v>745</v>
      </c>
      <c r="D15238" s="6">
        <v>45.68</v>
      </c>
      <c r="E15238" t="s">
        <v>11</v>
      </c>
    </row>
    <row r="15239" spans="1:5" x14ac:dyDescent="0.25">
      <c r="A15239" t="str">
        <f>HYPERLINK("https://www.773grp.com/globalSearch/TLE2027AMJGB/page-1", "TLE2027AMJGB")</f>
        <v>TLE2027AMJGB</v>
      </c>
      <c r="B15239" s="3" t="s">
        <v>90</v>
      </c>
      <c r="C15239" s="5">
        <v>51</v>
      </c>
      <c r="D15239" s="6">
        <v>45.79</v>
      </c>
      <c r="E15239" t="s">
        <v>11</v>
      </c>
    </row>
    <row r="15240" spans="1:5" x14ac:dyDescent="0.25">
      <c r="A15240" t="str">
        <f>HYPERLINK("https://www.773grp.com/globalSearch/TL034MFKB/page-1", "TL034MFKB")</f>
        <v>TL034MFKB</v>
      </c>
      <c r="B15240" s="3" t="s">
        <v>90</v>
      </c>
      <c r="C15240" s="5">
        <v>3</v>
      </c>
      <c r="D15240" s="6">
        <v>45.85</v>
      </c>
      <c r="E15240" t="s">
        <v>11</v>
      </c>
    </row>
    <row r="15241" spans="1:5" x14ac:dyDescent="0.25">
      <c r="A15241" t="str">
        <f>HYPERLINK("https://www.773grp.com/globalSearch/5962-9751002QPA/page-1", "5962-9751002QPA")</f>
        <v>5962-9751002QPA</v>
      </c>
      <c r="B15241" s="3" t="s">
        <v>90</v>
      </c>
      <c r="C15241" s="5">
        <v>50</v>
      </c>
      <c r="D15241" s="6">
        <v>46.04</v>
      </c>
      <c r="E15241" t="s">
        <v>11</v>
      </c>
    </row>
    <row r="15242" spans="1:5" x14ac:dyDescent="0.25">
      <c r="A15242" t="str">
        <f>HYPERLINK("https://www.773grp.com/globalSearch/TLC2201AMFKB/page-1", "TLC2201AMFKB")</f>
        <v>TLC2201AMFKB</v>
      </c>
      <c r="B15242" s="3" t="s">
        <v>90</v>
      </c>
      <c r="C15242" s="5">
        <v>136</v>
      </c>
      <c r="D15242" s="6">
        <v>46.33</v>
      </c>
      <c r="E15242" t="s">
        <v>11</v>
      </c>
    </row>
    <row r="15243" spans="1:5" x14ac:dyDescent="0.25">
      <c r="A15243" t="str">
        <f>HYPERLINK("https://www.773grp.com/globalSearch/TLC2201MFKB/page-1", "TLC2201MFKB")</f>
        <v>TLC2201MFKB</v>
      </c>
      <c r="B15243" s="3" t="s">
        <v>90</v>
      </c>
      <c r="C15243" s="5">
        <v>1239</v>
      </c>
      <c r="D15243" s="6">
        <v>46.33</v>
      </c>
      <c r="E15243" t="s">
        <v>11</v>
      </c>
    </row>
    <row r="15244" spans="1:5" x14ac:dyDescent="0.25">
      <c r="A15244" t="str">
        <f>HYPERLINK("https://www.773grp.com/globalSearch/5962-0051201Q2A/page-1", "5962-0051201Q2A")</f>
        <v>5962-0051201Q2A</v>
      </c>
      <c r="B15244" s="3" t="s">
        <v>90</v>
      </c>
      <c r="C15244" s="5">
        <v>95</v>
      </c>
      <c r="D15244" s="6">
        <v>46.58</v>
      </c>
      <c r="E15244" t="s">
        <v>11</v>
      </c>
    </row>
    <row r="15245" spans="1:5" x14ac:dyDescent="0.25">
      <c r="A15245" t="str">
        <f>HYPERLINK("https://www.773grp.com/globalSearch/5962-9564002Q2A/page-1", "5962-9564002Q2A")</f>
        <v>5962-9564002Q2A</v>
      </c>
      <c r="B15245" s="3" t="s">
        <v>90</v>
      </c>
      <c r="C15245" s="5">
        <v>80</v>
      </c>
      <c r="D15245" s="6">
        <v>47</v>
      </c>
      <c r="E15245" t="s">
        <v>11</v>
      </c>
    </row>
    <row r="15246" spans="1:5" x14ac:dyDescent="0.25">
      <c r="A15246" t="str">
        <f>HYPERLINK("https://www.773grp.com/globalSearch/TLC2254MFKB/page-1", "TLC2254MFKB")</f>
        <v>TLC2254MFKB</v>
      </c>
      <c r="B15246" s="3" t="s">
        <v>90</v>
      </c>
      <c r="C15246" s="5">
        <v>25</v>
      </c>
      <c r="D15246" s="6">
        <v>47</v>
      </c>
      <c r="E15246" t="s">
        <v>11</v>
      </c>
    </row>
    <row r="15247" spans="1:5" x14ac:dyDescent="0.25">
      <c r="A15247" t="str">
        <f>HYPERLINK("https://www.773grp.com/globalSearch/TLC2274MFKB/page-1", "TLC2274MFKB")</f>
        <v>TLC2274MFKB</v>
      </c>
      <c r="B15247" s="3" t="s">
        <v>90</v>
      </c>
      <c r="C15247" s="5">
        <v>80</v>
      </c>
      <c r="D15247" s="6">
        <v>47.29</v>
      </c>
      <c r="E15247" t="s">
        <v>11</v>
      </c>
    </row>
    <row r="15248" spans="1:5" x14ac:dyDescent="0.25">
      <c r="A15248" t="str">
        <f>HYPERLINK("https://www.773grp.com/globalSearch/5962-9751102QPA/page-1", "5962-9751102QPA")</f>
        <v>5962-9751102QPA</v>
      </c>
      <c r="B15248" s="3" t="s">
        <v>90</v>
      </c>
      <c r="C15248" s="5">
        <v>180</v>
      </c>
      <c r="D15248" s="6">
        <v>47.54</v>
      </c>
      <c r="E15248" t="s">
        <v>11</v>
      </c>
    </row>
    <row r="15249" spans="1:5" x14ac:dyDescent="0.25">
      <c r="A15249" t="str">
        <f>HYPERLINK("https://www.773grp.com/globalSearch/TLV2442AMJGB/page-1", "TLV2442AMJGB")</f>
        <v>TLV2442AMJGB</v>
      </c>
      <c r="B15249" s="3" t="s">
        <v>90</v>
      </c>
      <c r="C15249" s="5">
        <v>185</v>
      </c>
      <c r="D15249" s="6">
        <v>47.54</v>
      </c>
      <c r="E15249" t="s">
        <v>11</v>
      </c>
    </row>
    <row r="15250" spans="1:5" x14ac:dyDescent="0.25">
      <c r="A15250" t="str">
        <f>HYPERLINK("https://www.773grp.com/globalSearch/5962-9851501Q2A/page-1", "5962-9851501Q2A")</f>
        <v>5962-9851501Q2A</v>
      </c>
      <c r="B15250" s="3" t="s">
        <v>90</v>
      </c>
      <c r="C15250" s="5">
        <v>140</v>
      </c>
      <c r="D15250" s="6">
        <v>47.68</v>
      </c>
      <c r="E15250" t="s">
        <v>11</v>
      </c>
    </row>
    <row r="15251" spans="1:5" x14ac:dyDescent="0.25">
      <c r="A15251" t="str">
        <f>HYPERLINK("https://www.773grp.com/globalSearch/TL082MFKB/page-1", "TL082MFKB")</f>
        <v>TL082MFKB</v>
      </c>
      <c r="B15251" s="3" t="s">
        <v>90</v>
      </c>
      <c r="C15251" s="5">
        <v>292</v>
      </c>
      <c r="D15251" s="6">
        <v>47.68</v>
      </c>
      <c r="E15251" t="s">
        <v>11</v>
      </c>
    </row>
    <row r="15252" spans="1:5" x14ac:dyDescent="0.25">
      <c r="A15252" t="str">
        <f>HYPERLINK("https://www.773grp.com/globalSearch/INA105AM/page-1", "INA105AM")</f>
        <v>INA105AM</v>
      </c>
      <c r="B15252" s="3" t="s">
        <v>90</v>
      </c>
      <c r="C15252" s="5">
        <v>10</v>
      </c>
      <c r="D15252" s="6">
        <v>47.81</v>
      </c>
      <c r="E15252" t="s">
        <v>11</v>
      </c>
    </row>
    <row r="15253" spans="1:5" x14ac:dyDescent="0.25">
      <c r="A15253" t="str">
        <f>HYPERLINK("https://www.773grp.com/globalSearch/5962-0051202Q2A/page-1", "5962-0051202Q2A")</f>
        <v>5962-0051202Q2A</v>
      </c>
      <c r="B15253" s="3" t="s">
        <v>90</v>
      </c>
      <c r="C15253" s="5">
        <v>93</v>
      </c>
      <c r="D15253" s="6">
        <v>47.93</v>
      </c>
      <c r="E15253" t="s">
        <v>11</v>
      </c>
    </row>
    <row r="15254" spans="1:5" x14ac:dyDescent="0.25">
      <c r="A15254" t="str">
        <f>HYPERLINK("https://www.773grp.com/globalSearch/5962-9460202Q2A/page-1", "5962-9460202Q2A")</f>
        <v>5962-9460202Q2A</v>
      </c>
      <c r="B15254" s="3" t="s">
        <v>90</v>
      </c>
      <c r="C15254" s="5">
        <v>1340</v>
      </c>
      <c r="D15254" s="6">
        <v>48.26</v>
      </c>
      <c r="E15254" t="s">
        <v>11</v>
      </c>
    </row>
    <row r="15255" spans="1:5" x14ac:dyDescent="0.25">
      <c r="A15255" t="str">
        <f>HYPERLINK("https://www.773grp.com/globalSearch/5962-9321604QPA/page-1", "5962-9321604QPA")</f>
        <v>5962-9321604QPA</v>
      </c>
      <c r="B15255" s="3" t="s">
        <v>90</v>
      </c>
      <c r="C15255" s="5">
        <v>23</v>
      </c>
      <c r="D15255" s="6">
        <v>48.31</v>
      </c>
      <c r="E15255" t="s">
        <v>11</v>
      </c>
    </row>
    <row r="15256" spans="1:5" x14ac:dyDescent="0.25">
      <c r="A15256" t="str">
        <f>HYPERLINK("https://www.773grp.com/globalSearch/TLE2022MFKB/page-1", "TLE2022MFKB")</f>
        <v>TLE2022MFKB</v>
      </c>
      <c r="B15256" s="3" t="s">
        <v>90</v>
      </c>
      <c r="C15256" s="5">
        <v>9</v>
      </c>
      <c r="D15256" s="6">
        <v>48.85</v>
      </c>
      <c r="E15256" t="s">
        <v>11</v>
      </c>
    </row>
    <row r="15257" spans="1:5" x14ac:dyDescent="0.25">
      <c r="A15257" t="str">
        <f>HYPERLINK("https://www.773grp.com/globalSearch/5962-9089504QPA/page-1", "5962-9089504QPA")</f>
        <v>5962-9089504QPA</v>
      </c>
      <c r="B15257" s="3" t="s">
        <v>90</v>
      </c>
      <c r="C15257" s="5">
        <v>14</v>
      </c>
      <c r="D15257" s="6">
        <v>48.99</v>
      </c>
      <c r="E15257" t="s">
        <v>11</v>
      </c>
    </row>
    <row r="15258" spans="1:5" x14ac:dyDescent="0.25">
      <c r="A15258" t="str">
        <f>HYPERLINK("https://www.773grp.com/globalSearch/LT1013MJGB/page-1", "LT1013MJGB")</f>
        <v>LT1013MJGB</v>
      </c>
      <c r="B15258" s="3" t="s">
        <v>90</v>
      </c>
      <c r="C15258" s="5">
        <v>1982</v>
      </c>
      <c r="D15258" s="6">
        <v>49.11</v>
      </c>
      <c r="E15258" t="s">
        <v>11</v>
      </c>
    </row>
    <row r="15259" spans="1:5" x14ac:dyDescent="0.25">
      <c r="A15259" t="str">
        <f>HYPERLINK("https://www.773grp.com/globalSearch/5962-0051205QPA/page-1", "5962-0051205QPA")</f>
        <v>5962-0051205QPA</v>
      </c>
      <c r="B15259" s="3" t="s">
        <v>90</v>
      </c>
      <c r="C15259" s="5">
        <v>162</v>
      </c>
      <c r="D15259" s="6">
        <v>49.23</v>
      </c>
      <c r="E15259" t="s">
        <v>11</v>
      </c>
    </row>
    <row r="15260" spans="1:5" x14ac:dyDescent="0.25">
      <c r="A15260" t="str">
        <f>HYPERLINK("https://www.773grp.com/globalSearch/5962-9088105QPA/page-1", "5962-9088105QPA")</f>
        <v>5962-9088105QPA</v>
      </c>
      <c r="B15260" s="3" t="s">
        <v>90</v>
      </c>
      <c r="C15260" s="5">
        <v>42</v>
      </c>
      <c r="D15260" s="6">
        <v>50.06</v>
      </c>
      <c r="E15260" t="s">
        <v>11</v>
      </c>
    </row>
    <row r="15261" spans="1:5" x14ac:dyDescent="0.25">
      <c r="A15261" t="str">
        <f>HYPERLINK("https://www.773grp.com/globalSearch/TLE2022AMJGB/page-1", "TLE2022AMJGB")</f>
        <v>TLE2022AMJGB</v>
      </c>
      <c r="B15261" s="3" t="s">
        <v>90</v>
      </c>
      <c r="C15261" s="5">
        <v>1</v>
      </c>
      <c r="D15261" s="6">
        <v>50.06</v>
      </c>
      <c r="E15261" t="s">
        <v>11</v>
      </c>
    </row>
    <row r="15262" spans="1:5" x14ac:dyDescent="0.25">
      <c r="A15262" t="str">
        <f>HYPERLINK("https://www.773grp.com/globalSearch/TLC2652MJGB/page-1", "TLC2652MJGB")</f>
        <v>TLC2652MJGB</v>
      </c>
      <c r="B15262" s="3" t="s">
        <v>90</v>
      </c>
      <c r="C15262" s="5">
        <v>458</v>
      </c>
      <c r="D15262" s="6">
        <v>50.13</v>
      </c>
      <c r="E15262" t="s">
        <v>11</v>
      </c>
    </row>
    <row r="15263" spans="1:5" x14ac:dyDescent="0.25">
      <c r="A15263" t="str">
        <f>HYPERLINK("https://www.773grp.com/globalSearch/5962-0051206QPA/page-1", "5962-0051206QPA")</f>
        <v>5962-0051206QPA</v>
      </c>
      <c r="B15263" s="3" t="s">
        <v>90</v>
      </c>
      <c r="C15263" s="5">
        <v>257</v>
      </c>
      <c r="D15263" s="6">
        <v>50.59</v>
      </c>
      <c r="E15263" t="s">
        <v>11</v>
      </c>
    </row>
    <row r="15264" spans="1:5" x14ac:dyDescent="0.25">
      <c r="A15264" t="str">
        <f>HYPERLINK("https://www.773grp.com/globalSearch/TLC2202MFKB/page-1", "TLC2202MFKB")</f>
        <v>TLC2202MFKB</v>
      </c>
      <c r="B15264" s="3" t="s">
        <v>90</v>
      </c>
      <c r="C15264" s="5">
        <v>42</v>
      </c>
      <c r="D15264" s="6">
        <v>50.96</v>
      </c>
      <c r="E15264" t="s">
        <v>11</v>
      </c>
    </row>
    <row r="15265" spans="1:5" x14ac:dyDescent="0.25">
      <c r="A15265" t="str">
        <f>HYPERLINK("https://www.773grp.com/globalSearch/TL064MFK/page-1", "TL064MFK")</f>
        <v>TL064MFK</v>
      </c>
      <c r="B15265" s="3" t="s">
        <v>90</v>
      </c>
      <c r="C15265" s="5">
        <v>14</v>
      </c>
      <c r="D15265" s="6">
        <v>51.08</v>
      </c>
      <c r="E15265" t="s">
        <v>11</v>
      </c>
    </row>
    <row r="15266" spans="1:5" x14ac:dyDescent="0.25">
      <c r="A15266" t="str">
        <f>HYPERLINK("https://www.773grp.com/globalSearch/TLC2202MJGB/page-1", "TLC2202MJGB")</f>
        <v>TLC2202MJGB</v>
      </c>
      <c r="B15266" s="3" t="s">
        <v>90</v>
      </c>
      <c r="C15266" s="5">
        <v>11842</v>
      </c>
      <c r="D15266" s="6">
        <v>51.19</v>
      </c>
      <c r="E15266" t="s">
        <v>11</v>
      </c>
    </row>
    <row r="15267" spans="1:5" x14ac:dyDescent="0.25">
      <c r="A15267" t="str">
        <f>HYPERLINK("https://www.773grp.com/globalSearch/81023032A/page-1", "81023032A")</f>
        <v>81023032A</v>
      </c>
      <c r="B15267" s="3" t="s">
        <v>90</v>
      </c>
      <c r="C15267" s="5">
        <v>9</v>
      </c>
      <c r="D15267" s="6">
        <v>51.78</v>
      </c>
      <c r="E15267" t="s">
        <v>11</v>
      </c>
    </row>
    <row r="15268" spans="1:5" x14ac:dyDescent="0.25">
      <c r="A15268" t="str">
        <f>HYPERLINK("https://www.773grp.com/globalSearch/TLE2021BMJG/page-1", "TLE2021BMJG")</f>
        <v>TLE2021BMJG</v>
      </c>
      <c r="B15268" s="3" t="s">
        <v>90</v>
      </c>
      <c r="C15268" s="5">
        <v>33</v>
      </c>
      <c r="D15268" s="6">
        <v>52.2</v>
      </c>
      <c r="E15268" t="s">
        <v>11</v>
      </c>
    </row>
    <row r="15269" spans="1:5" x14ac:dyDescent="0.25">
      <c r="A15269" t="str">
        <f>HYPERLINK("https://www.773grp.com/globalSearch/5962-9751402QHA/page-1", "5962-9751402QHA")</f>
        <v>5962-9751402QHA</v>
      </c>
      <c r="B15269" s="3" t="s">
        <v>90</v>
      </c>
      <c r="C15269" s="5">
        <v>111</v>
      </c>
      <c r="D15269" s="6">
        <v>52.6</v>
      </c>
      <c r="E15269" t="s">
        <v>11</v>
      </c>
    </row>
    <row r="15270" spans="1:5" x14ac:dyDescent="0.25">
      <c r="A15270" t="str">
        <f>HYPERLINK("https://www.773grp.com/globalSearch/5962-9460203QCA/page-1", "5962-9460203QCA")</f>
        <v>5962-9460203QCA</v>
      </c>
      <c r="B15270" s="3" t="s">
        <v>90</v>
      </c>
      <c r="C15270" s="5">
        <v>346</v>
      </c>
      <c r="D15270" s="6">
        <v>52.7</v>
      </c>
      <c r="E15270" t="s">
        <v>11</v>
      </c>
    </row>
    <row r="15271" spans="1:5" x14ac:dyDescent="0.25">
      <c r="A15271" t="str">
        <f>HYPERLINK("https://www.773grp.com/globalSearch/TLE2074MJB/page-1", "TLE2074MJB")</f>
        <v>TLE2074MJB</v>
      </c>
      <c r="B15271" s="3" t="s">
        <v>90</v>
      </c>
      <c r="C15271" s="5">
        <v>12</v>
      </c>
      <c r="D15271" s="6">
        <v>52.7</v>
      </c>
      <c r="E15271" t="s">
        <v>11</v>
      </c>
    </row>
    <row r="15272" spans="1:5" x14ac:dyDescent="0.25">
      <c r="A15272" t="str">
        <f>HYPERLINK("https://www.773grp.com/globalSearch/5962-0051207QCA/page-1", "5962-0051207QCA")</f>
        <v>5962-0051207QCA</v>
      </c>
      <c r="B15272" s="3" t="s">
        <v>90</v>
      </c>
      <c r="C15272" s="5">
        <v>245</v>
      </c>
      <c r="D15272" s="6">
        <v>52.85</v>
      </c>
      <c r="E15272" t="s">
        <v>11</v>
      </c>
    </row>
    <row r="15273" spans="1:5" x14ac:dyDescent="0.25">
      <c r="A15273" t="str">
        <f>HYPERLINK("https://www.773grp.com/globalSearch/TLC2264AMJB/page-1", "TLC2264AMJB")</f>
        <v>TLC2264AMJB</v>
      </c>
      <c r="B15273" s="3" t="s">
        <v>90</v>
      </c>
      <c r="C15273" s="5">
        <v>568</v>
      </c>
      <c r="D15273" s="6">
        <v>54.54</v>
      </c>
      <c r="E15273" t="s">
        <v>11</v>
      </c>
    </row>
    <row r="15274" spans="1:5" x14ac:dyDescent="0.25">
      <c r="A15274" t="str">
        <f>HYPERLINK("https://www.773grp.com/globalSearch/TLC2254AMJB/page-1", "TLC2254AMJB")</f>
        <v>TLC2254AMJB</v>
      </c>
      <c r="B15274" s="3" t="s">
        <v>90</v>
      </c>
      <c r="C15274" s="5">
        <v>1194</v>
      </c>
      <c r="D15274" s="6">
        <v>54.56</v>
      </c>
      <c r="E15274" t="s">
        <v>11</v>
      </c>
    </row>
    <row r="15275" spans="1:5" x14ac:dyDescent="0.25">
      <c r="A15275" t="str">
        <f>HYPERLINK("https://www.773grp.com/globalSearch/5962-9321604QHA/page-1", "5962-9321604QHA")</f>
        <v>5962-9321604QHA</v>
      </c>
      <c r="B15275" s="3" t="s">
        <v>90</v>
      </c>
      <c r="C15275" s="5">
        <v>66</v>
      </c>
      <c r="D15275" s="6">
        <v>54.71</v>
      </c>
      <c r="E15275" t="s">
        <v>11</v>
      </c>
    </row>
    <row r="15276" spans="1:5" x14ac:dyDescent="0.25">
      <c r="A15276" t="str">
        <f>HYPERLINK("https://www.773grp.com/globalSearch/TLE2142AMUB/page-1", "TLE2142AMUB")</f>
        <v>TLE2142AMUB</v>
      </c>
      <c r="B15276" s="3" t="s">
        <v>90</v>
      </c>
      <c r="C15276" s="5">
        <v>114</v>
      </c>
      <c r="D15276" s="6">
        <v>54.71</v>
      </c>
      <c r="E15276" t="s">
        <v>11</v>
      </c>
    </row>
    <row r="15277" spans="1:5" x14ac:dyDescent="0.25">
      <c r="A15277" t="str">
        <f>HYPERLINK("https://www.773grp.com/globalSearch/TL062MFKB/page-1", "TL062MFKB")</f>
        <v>TL062MFKB</v>
      </c>
      <c r="B15277" s="3" t="s">
        <v>90</v>
      </c>
      <c r="C15277" s="5">
        <v>102</v>
      </c>
      <c r="D15277" s="6">
        <v>54.88</v>
      </c>
      <c r="E15277" t="s">
        <v>11</v>
      </c>
    </row>
    <row r="15278" spans="1:5" x14ac:dyDescent="0.25">
      <c r="A15278" t="str">
        <f>HYPERLINK("https://www.773grp.com/globalSearch/5962-0051208QCA/page-1", "5962-0051208QCA")</f>
        <v>5962-0051208QCA</v>
      </c>
      <c r="B15278" s="3" t="s">
        <v>90</v>
      </c>
      <c r="C15278" s="5">
        <v>233</v>
      </c>
      <c r="D15278" s="6">
        <v>54.93</v>
      </c>
      <c r="E15278" t="s">
        <v>11</v>
      </c>
    </row>
    <row r="15279" spans="1:5" x14ac:dyDescent="0.25">
      <c r="A15279" t="str">
        <f>HYPERLINK("https://www.773grp.com/globalSearch/TLC2254AMFKB/page-1", "TLC2254AMFKB")</f>
        <v>TLC2254AMFKB</v>
      </c>
      <c r="B15279" s="3" t="s">
        <v>90</v>
      </c>
      <c r="C15279" s="5">
        <v>49</v>
      </c>
      <c r="D15279" s="6">
        <v>55.06</v>
      </c>
      <c r="E15279" t="s">
        <v>11</v>
      </c>
    </row>
    <row r="15280" spans="1:5" x14ac:dyDescent="0.25">
      <c r="A15280" t="str">
        <f>HYPERLINK("https://www.773grp.com/globalSearch/5962-9751401Q2A/page-1", "5962-9751401Q2A")</f>
        <v>5962-9751401Q2A</v>
      </c>
      <c r="B15280" s="3" t="s">
        <v>90</v>
      </c>
      <c r="C15280" s="5">
        <v>128</v>
      </c>
      <c r="D15280" s="6">
        <v>55.15</v>
      </c>
      <c r="E15280" t="s">
        <v>11</v>
      </c>
    </row>
    <row r="15281" spans="1:5" x14ac:dyDescent="0.25">
      <c r="A15281" t="str">
        <f>HYPERLINK("https://www.773grp.com/globalSearch/TLV2422MFKB/page-1", "TLV2422MFKB")</f>
        <v>TLV2422MFKB</v>
      </c>
      <c r="B15281" s="3" t="s">
        <v>90</v>
      </c>
      <c r="C15281" s="5">
        <v>102</v>
      </c>
      <c r="D15281" s="6">
        <v>55.15</v>
      </c>
      <c r="E15281" t="s">
        <v>11</v>
      </c>
    </row>
    <row r="15282" spans="1:5" x14ac:dyDescent="0.25">
      <c r="A15282" t="str">
        <f>HYPERLINK("https://www.773grp.com/globalSearch/TL084MFKB/page-1", "TL084MFKB")</f>
        <v>TL084MFKB</v>
      </c>
      <c r="B15282" s="3" t="s">
        <v>90</v>
      </c>
      <c r="C15282" s="5">
        <v>43</v>
      </c>
      <c r="D15282" s="6">
        <v>55.24</v>
      </c>
      <c r="E15282" t="s">
        <v>11</v>
      </c>
    </row>
    <row r="15283" spans="1:5" x14ac:dyDescent="0.25">
      <c r="A15283" t="str">
        <f>HYPERLINK("https://www.773grp.com/globalSearch/5962-9460205Q2A/page-1", "5962-9460205Q2A")</f>
        <v>5962-9460205Q2A</v>
      </c>
      <c r="B15283" s="3" t="s">
        <v>90</v>
      </c>
      <c r="C15283" s="5">
        <v>1</v>
      </c>
      <c r="D15283" s="6">
        <v>57.6</v>
      </c>
      <c r="E15283" t="s">
        <v>11</v>
      </c>
    </row>
    <row r="15284" spans="1:5" x14ac:dyDescent="0.25">
      <c r="A15284" t="str">
        <f>HYPERLINK("https://www.773grp.com/globalSearch/TLE2072AMFKB/page-1", "TLE2072AMFKB")</f>
        <v>TLE2072AMFKB</v>
      </c>
      <c r="B15284" s="3" t="s">
        <v>90</v>
      </c>
      <c r="C15284" s="5">
        <v>136</v>
      </c>
      <c r="D15284" s="6">
        <v>57.6</v>
      </c>
      <c r="E15284" t="s">
        <v>11</v>
      </c>
    </row>
    <row r="15285" spans="1:5" x14ac:dyDescent="0.25">
      <c r="A15285" t="str">
        <f>HYPERLINK("https://www.773grp.com/globalSearch/5962-90604012A/page-1", "5962-90604012A")</f>
        <v>5962-90604012A</v>
      </c>
      <c r="B15285" s="3" t="s">
        <v>90</v>
      </c>
      <c r="C15285" s="5">
        <v>57</v>
      </c>
      <c r="D15285" s="6">
        <v>57.66</v>
      </c>
      <c r="E15285" t="s">
        <v>11</v>
      </c>
    </row>
    <row r="15286" spans="1:5" x14ac:dyDescent="0.25">
      <c r="A15286" t="str">
        <f>HYPERLINK("https://www.773grp.com/globalSearch/TLC274MFKB/page-1", "TLC274MFKB")</f>
        <v>TLC274MFKB</v>
      </c>
      <c r="B15286" s="3" t="s">
        <v>90</v>
      </c>
      <c r="C15286" s="5">
        <v>84</v>
      </c>
      <c r="D15286" s="6">
        <v>57.66</v>
      </c>
      <c r="E15286" t="s">
        <v>11</v>
      </c>
    </row>
    <row r="15287" spans="1:5" x14ac:dyDescent="0.25">
      <c r="A15287" t="str">
        <f>HYPERLINK("https://www.773grp.com/globalSearch/5962-9088106QCA/page-1", "5962-9088106QCA")</f>
        <v>5962-9088106QCA</v>
      </c>
      <c r="B15287" s="3" t="s">
        <v>90</v>
      </c>
      <c r="C15287" s="5">
        <v>544</v>
      </c>
      <c r="D15287" s="6">
        <v>58.34</v>
      </c>
      <c r="E15287" t="s">
        <v>11</v>
      </c>
    </row>
    <row r="15288" spans="1:5" x14ac:dyDescent="0.25">
      <c r="A15288" t="str">
        <f>HYPERLINK("https://www.773grp.com/globalSearch/5962-9089603Q2A/page-1", "5962-9089603Q2A")</f>
        <v>5962-9089603Q2A</v>
      </c>
      <c r="B15288" s="3" t="s">
        <v>90</v>
      </c>
      <c r="C15288" s="5">
        <v>2</v>
      </c>
      <c r="D15288" s="6">
        <v>58.84</v>
      </c>
      <c r="E15288" t="s">
        <v>11</v>
      </c>
    </row>
    <row r="15289" spans="1:5" x14ac:dyDescent="0.25">
      <c r="A15289" t="str">
        <f>HYPERLINK("https://www.773grp.com/globalSearch/5962-9321605QCA/page-1", "5962-9321605QCA")</f>
        <v>5962-9321605QCA</v>
      </c>
      <c r="B15289" s="3" t="s">
        <v>90</v>
      </c>
      <c r="C15289" s="5">
        <v>45</v>
      </c>
      <c r="D15289" s="6">
        <v>58.86</v>
      </c>
      <c r="E15289" t="s">
        <v>11</v>
      </c>
    </row>
    <row r="15290" spans="1:5" x14ac:dyDescent="0.25">
      <c r="A15290" t="str">
        <f>HYPERLINK("https://www.773grp.com/globalSearch/TLE2144MJB/page-1", "TLE2144MJB")</f>
        <v>TLE2144MJB</v>
      </c>
      <c r="B15290" s="3" t="s">
        <v>90</v>
      </c>
      <c r="C15290" s="5">
        <v>32</v>
      </c>
      <c r="D15290" s="6">
        <v>58.86</v>
      </c>
      <c r="E15290" t="s">
        <v>11</v>
      </c>
    </row>
    <row r="15291" spans="1:5" x14ac:dyDescent="0.25">
      <c r="A15291" t="str">
        <f>HYPERLINK("https://www.773grp.com/globalSearch/5962-89494022A/page-1", "5962-89494022A")</f>
        <v>5962-89494022A</v>
      </c>
      <c r="B15291" s="3" t="s">
        <v>90</v>
      </c>
      <c r="C15291" s="5">
        <v>82</v>
      </c>
      <c r="D15291" s="6">
        <v>59.06</v>
      </c>
      <c r="E15291" t="s">
        <v>11</v>
      </c>
    </row>
    <row r="15292" spans="1:5" x14ac:dyDescent="0.25">
      <c r="A15292" t="str">
        <f>HYPERLINK("https://www.773grp.com/globalSearch/5962-0051205Q2A/page-1", "5962-0051205Q2A")</f>
        <v>5962-0051205Q2A</v>
      </c>
      <c r="B15292" s="3" t="s">
        <v>90</v>
      </c>
      <c r="C15292" s="5">
        <v>118</v>
      </c>
      <c r="D15292" s="6">
        <v>59.4</v>
      </c>
      <c r="E15292" t="s">
        <v>11</v>
      </c>
    </row>
    <row r="15293" spans="1:5" x14ac:dyDescent="0.25">
      <c r="A15293" t="str">
        <f>HYPERLINK("https://www.773grp.com/globalSearch/JM38510-11905BPA/page-1", "JM38510-11905BPA")</f>
        <v>JM38510-11905BPA</v>
      </c>
      <c r="B15293" s="3" t="s">
        <v>90</v>
      </c>
      <c r="C15293" s="5">
        <v>280</v>
      </c>
      <c r="D15293" s="6">
        <v>59.65</v>
      </c>
      <c r="E15293" t="s">
        <v>11</v>
      </c>
    </row>
    <row r="15294" spans="1:5" x14ac:dyDescent="0.25">
      <c r="A15294" t="str">
        <f>HYPERLINK("https://www.773grp.com/globalSearch/5962-9088204QPA/page-1", "5962-9088204QPA")</f>
        <v>5962-9088204QPA</v>
      </c>
      <c r="B15294" s="3" t="s">
        <v>90</v>
      </c>
      <c r="C15294" s="5">
        <v>7866</v>
      </c>
      <c r="D15294" s="6">
        <v>60.08</v>
      </c>
      <c r="E15294" t="s">
        <v>11</v>
      </c>
    </row>
    <row r="15295" spans="1:5" x14ac:dyDescent="0.25">
      <c r="A15295" t="str">
        <f>HYPERLINK("https://www.773grp.com/globalSearch/TLC2202AMJGB/page-1", "TLC2202AMJGB")</f>
        <v>TLC2202AMJGB</v>
      </c>
      <c r="B15295" s="3" t="s">
        <v>90</v>
      </c>
      <c r="C15295" s="5">
        <v>173</v>
      </c>
      <c r="D15295" s="6">
        <v>60.08</v>
      </c>
      <c r="E15295" t="s">
        <v>11</v>
      </c>
    </row>
    <row r="15296" spans="1:5" x14ac:dyDescent="0.25">
      <c r="A15296" t="str">
        <f>HYPERLINK("https://www.773grp.com/globalSearch/3550J/page-1", "3550J")</f>
        <v>3550J</v>
      </c>
      <c r="B15296" s="3" t="s">
        <v>90</v>
      </c>
      <c r="C15296" s="5">
        <v>1</v>
      </c>
      <c r="D15296" s="6">
        <v>60.33</v>
      </c>
      <c r="E15296" t="s">
        <v>11</v>
      </c>
    </row>
    <row r="15297" spans="1:5" x14ac:dyDescent="0.25">
      <c r="A15297" t="str">
        <f>HYPERLINK("https://www.773grp.com/globalSearch/5962-90604052A/page-1", "5962-90604052A")</f>
        <v>5962-90604052A</v>
      </c>
      <c r="B15297" s="3" t="s">
        <v>90</v>
      </c>
      <c r="C15297" s="5">
        <v>93</v>
      </c>
      <c r="D15297" s="6">
        <v>60.46</v>
      </c>
      <c r="E15297" t="s">
        <v>11</v>
      </c>
    </row>
    <row r="15298" spans="1:5" x14ac:dyDescent="0.25">
      <c r="A15298" t="str">
        <f>HYPERLINK("https://www.773grp.com/globalSearch/TLC27L7MFKB/page-1", "TLC27L7MFKB")</f>
        <v>TLC27L7MFKB</v>
      </c>
      <c r="B15298" s="3" t="s">
        <v>90</v>
      </c>
      <c r="C15298" s="5">
        <v>59</v>
      </c>
      <c r="D15298" s="6">
        <v>60.75</v>
      </c>
      <c r="E15298" t="s">
        <v>11</v>
      </c>
    </row>
    <row r="15299" spans="1:5" x14ac:dyDescent="0.25">
      <c r="A15299" t="str">
        <f>HYPERLINK("https://www.773grp.com/globalSearch/5962-9318202Q2A/page-1", "5962-9318202Q2A")</f>
        <v>5962-9318202Q2A</v>
      </c>
      <c r="B15299" s="3" t="s">
        <v>90</v>
      </c>
      <c r="C15299" s="5">
        <v>2</v>
      </c>
      <c r="D15299" s="6">
        <v>60.89</v>
      </c>
      <c r="E15299" t="s">
        <v>11</v>
      </c>
    </row>
    <row r="15300" spans="1:5" x14ac:dyDescent="0.25">
      <c r="A15300" t="str">
        <f>HYPERLINK("https://www.773grp.com/globalSearch/TLC2274AMFKB/page-1", "TLC2274AMFKB")</f>
        <v>TLC2274AMFKB</v>
      </c>
      <c r="B15300" s="3" t="s">
        <v>90</v>
      </c>
      <c r="C15300" s="5">
        <v>6</v>
      </c>
      <c r="D15300" s="6">
        <v>60.89</v>
      </c>
      <c r="E15300" t="s">
        <v>11</v>
      </c>
    </row>
    <row r="15301" spans="1:5" x14ac:dyDescent="0.25">
      <c r="A15301" t="str">
        <f>HYPERLINK("https://www.773grp.com/globalSearch/5962-0051207Q2A/page-1", "5962-0051207Q2A")</f>
        <v>5962-0051207Q2A</v>
      </c>
      <c r="B15301" s="3" t="s">
        <v>90</v>
      </c>
      <c r="C15301" s="5">
        <v>117</v>
      </c>
      <c r="D15301" s="6">
        <v>60.95</v>
      </c>
      <c r="E15301" t="s">
        <v>11</v>
      </c>
    </row>
    <row r="15302" spans="1:5" x14ac:dyDescent="0.25">
      <c r="A15302" t="str">
        <f>HYPERLINK("https://www.773grp.com/globalSearch/5962-9060402CA/page-1", "5962-9060402CA")</f>
        <v>5962-9060402CA</v>
      </c>
      <c r="B15302" s="3" t="s">
        <v>90</v>
      </c>
      <c r="C15302" s="5">
        <v>54</v>
      </c>
      <c r="D15302" s="6">
        <v>61.88</v>
      </c>
      <c r="E15302" t="s">
        <v>11</v>
      </c>
    </row>
    <row r="15303" spans="1:5" x14ac:dyDescent="0.25">
      <c r="A15303" t="str">
        <f>HYPERLINK("https://www.773grp.com/globalSearch/5962-9088103M2A/page-1", "5962-9088103M2A")</f>
        <v>5962-9088103M2A</v>
      </c>
      <c r="B15303" s="3" t="s">
        <v>90</v>
      </c>
      <c r="C15303" s="5">
        <v>2</v>
      </c>
      <c r="D15303" s="6">
        <v>62.33</v>
      </c>
      <c r="E15303" t="s">
        <v>11</v>
      </c>
    </row>
    <row r="15304" spans="1:5" x14ac:dyDescent="0.25">
      <c r="A15304" t="str">
        <f>HYPERLINK("https://www.773grp.com/globalSearch/TLE2024MFKB/page-1", "TLE2024MFKB")</f>
        <v>TLE2024MFKB</v>
      </c>
      <c r="B15304" s="3" t="s">
        <v>90</v>
      </c>
      <c r="C15304" s="5">
        <v>256</v>
      </c>
      <c r="D15304" s="6">
        <v>62.33</v>
      </c>
      <c r="E15304" t="s">
        <v>11</v>
      </c>
    </row>
    <row r="15305" spans="1:5" x14ac:dyDescent="0.25">
      <c r="A15305" t="str">
        <f>HYPERLINK("https://www.773grp.com/globalSearch/OPA111AM/page-1", "OPA111AM")</f>
        <v>OPA111AM</v>
      </c>
      <c r="B15305" s="3" t="s">
        <v>90</v>
      </c>
      <c r="C15305" s="5">
        <v>400</v>
      </c>
      <c r="D15305" s="6">
        <v>63</v>
      </c>
      <c r="E15305" t="s">
        <v>11</v>
      </c>
    </row>
    <row r="15306" spans="1:5" x14ac:dyDescent="0.25">
      <c r="A15306" t="str">
        <f>HYPERLINK("https://www.773grp.com/globalSearch/5962-9321605Q2A/page-1", "5962-9321605Q2A")</f>
        <v>5962-9321605Q2A</v>
      </c>
      <c r="B15306" s="3" t="s">
        <v>90</v>
      </c>
      <c r="C15306" s="5">
        <v>272</v>
      </c>
      <c r="D15306" s="6">
        <v>63.06</v>
      </c>
      <c r="E15306" t="s">
        <v>11</v>
      </c>
    </row>
    <row r="15307" spans="1:5" x14ac:dyDescent="0.25">
      <c r="A15307" t="str">
        <f>HYPERLINK("https://www.773grp.com/globalSearch/5962-0051208Q2A/page-1", "5962-0051208Q2A")</f>
        <v>5962-0051208Q2A</v>
      </c>
      <c r="B15307" s="3" t="s">
        <v>90</v>
      </c>
      <c r="C15307" s="5">
        <v>113</v>
      </c>
      <c r="D15307" s="6">
        <v>63.41</v>
      </c>
      <c r="E15307" t="s">
        <v>11</v>
      </c>
    </row>
    <row r="15308" spans="1:5" x14ac:dyDescent="0.25">
      <c r="A15308" t="str">
        <f>HYPERLINK("https://www.773grp.com/globalSearch/TLV2422AMFKB/page-1", "TLV2422AMFKB")</f>
        <v>TLV2422AMFKB</v>
      </c>
      <c r="B15308" s="3" t="s">
        <v>90</v>
      </c>
      <c r="C15308" s="5">
        <v>1095</v>
      </c>
      <c r="D15308" s="6">
        <v>63.54</v>
      </c>
      <c r="E15308" t="s">
        <v>11</v>
      </c>
    </row>
    <row r="15309" spans="1:5" x14ac:dyDescent="0.25">
      <c r="A15309" t="str">
        <f>HYPERLINK("https://www.773grp.com/globalSearch/5962-0051206Q2A/page-1", "5962-0051206Q2A")</f>
        <v>5962-0051206Q2A</v>
      </c>
      <c r="B15309" s="3" t="s">
        <v>90</v>
      </c>
      <c r="C15309" s="5">
        <v>123</v>
      </c>
      <c r="D15309" s="6">
        <v>64.38</v>
      </c>
      <c r="E15309" t="s">
        <v>11</v>
      </c>
    </row>
    <row r="15310" spans="1:5" x14ac:dyDescent="0.25">
      <c r="A15310" t="str">
        <f>HYPERLINK("https://www.773grp.com/globalSearch/THS4051MJG/page-1", "THS4051MJG")</f>
        <v>THS4051MJG</v>
      </c>
      <c r="B15310" s="3" t="s">
        <v>90</v>
      </c>
      <c r="C15310" s="5">
        <v>235</v>
      </c>
      <c r="D15310" s="6">
        <v>64.94</v>
      </c>
      <c r="E15310" t="s">
        <v>11</v>
      </c>
    </row>
    <row r="15311" spans="1:5" x14ac:dyDescent="0.25">
      <c r="A15311" t="str">
        <f>HYPERLINK("https://www.773grp.com/globalSearch/TLE2074AMFKB/page-1", "TLE2074AMFKB")</f>
        <v>TLE2074AMFKB</v>
      </c>
      <c r="B15311" s="3" t="s">
        <v>90</v>
      </c>
      <c r="C15311" s="5">
        <v>495</v>
      </c>
      <c r="D15311" s="6">
        <v>65.510000000000005</v>
      </c>
      <c r="E15311" t="s">
        <v>11</v>
      </c>
    </row>
    <row r="15312" spans="1:5" x14ac:dyDescent="0.25">
      <c r="A15312" t="str">
        <f>HYPERLINK("https://www.773grp.com/globalSearch/OPA2111KM/page-1", "OPA2111KM")</f>
        <v>OPA2111KM</v>
      </c>
      <c r="B15312" s="3" t="s">
        <v>90</v>
      </c>
      <c r="C15312" s="5">
        <v>132044</v>
      </c>
      <c r="D15312" s="6">
        <v>65.680000000000007</v>
      </c>
      <c r="E15312" t="s">
        <v>11</v>
      </c>
    </row>
    <row r="15313" spans="1:5" x14ac:dyDescent="0.25">
      <c r="A15313" t="str">
        <f>HYPERLINK("https://www.773grp.com/globalSearch/5962-9088106Q2A/page-1", "5962-9088106Q2A")</f>
        <v>5962-9088106Q2A</v>
      </c>
      <c r="B15313" s="3" t="s">
        <v>90</v>
      </c>
      <c r="C15313" s="5">
        <v>252</v>
      </c>
      <c r="D15313" s="6">
        <v>68.48</v>
      </c>
      <c r="E15313" t="s">
        <v>11</v>
      </c>
    </row>
    <row r="15314" spans="1:5" x14ac:dyDescent="0.25">
      <c r="A15314" t="str">
        <f>HYPERLINK("https://www.773grp.com/globalSearch/TLE2024AMFKB/page-1", "TLE2024AMFKB")</f>
        <v>TLE2024AMFKB</v>
      </c>
      <c r="B15314" s="3" t="s">
        <v>90</v>
      </c>
      <c r="C15314" s="5">
        <v>764</v>
      </c>
      <c r="D15314" s="6">
        <v>68.48</v>
      </c>
      <c r="E15314" t="s">
        <v>11</v>
      </c>
    </row>
    <row r="15315" spans="1:5" x14ac:dyDescent="0.25">
      <c r="A15315" t="str">
        <f>HYPERLINK("https://www.773grp.com/globalSearch/OPA2111AM/page-1", "OPA2111AM")</f>
        <v>OPA2111AM</v>
      </c>
      <c r="B15315" s="3" t="s">
        <v>90</v>
      </c>
      <c r="C15315" s="5">
        <v>42417</v>
      </c>
      <c r="D15315" s="6">
        <v>69.75</v>
      </c>
      <c r="E15315" t="s">
        <v>11</v>
      </c>
    </row>
    <row r="15316" spans="1:5" x14ac:dyDescent="0.25">
      <c r="A15316" t="str">
        <f>HYPERLINK("https://www.773grp.com/globalSearch/OPA2111AM/page-1", "OPA2111AM")</f>
        <v>OPA2111AM</v>
      </c>
      <c r="B15316" s="3" t="s">
        <v>90</v>
      </c>
      <c r="C15316" s="5">
        <v>606</v>
      </c>
      <c r="D15316" s="6">
        <v>69.75</v>
      </c>
      <c r="E15316" t="s">
        <v>11</v>
      </c>
    </row>
    <row r="15317" spans="1:5" x14ac:dyDescent="0.25">
      <c r="A15317" t="str">
        <f>HYPERLINK("https://www.773grp.com/globalSearch/5962-9959501QPA/page-1", "5962-9959501QPA")</f>
        <v>5962-9959501QPA</v>
      </c>
      <c r="B15317" s="3" t="s">
        <v>90</v>
      </c>
      <c r="C15317" s="5">
        <v>132</v>
      </c>
      <c r="D15317" s="6">
        <v>69.81</v>
      </c>
      <c r="E15317" t="s">
        <v>11</v>
      </c>
    </row>
    <row r="15318" spans="1:5" x14ac:dyDescent="0.25">
      <c r="A15318" t="str">
        <f>HYPERLINK("https://www.773grp.com/globalSearch/TLE2074MFKB/page-1", "TLE2074MFKB")</f>
        <v>TLE2074MFKB</v>
      </c>
      <c r="B15318" s="3" t="s">
        <v>90</v>
      </c>
      <c r="C15318" s="5">
        <v>19</v>
      </c>
      <c r="D15318" s="6">
        <v>72.430000000000007</v>
      </c>
      <c r="E15318" t="s">
        <v>11</v>
      </c>
    </row>
    <row r="15319" spans="1:5" x14ac:dyDescent="0.25">
      <c r="A15319" t="str">
        <f>HYPERLINK("https://www.773grp.com/globalSearch/5962-9089503M2A/page-1", "5962-9089503M2A")</f>
        <v>5962-9089503M2A</v>
      </c>
      <c r="B15319" s="3" t="s">
        <v>90</v>
      </c>
      <c r="C15319" s="5">
        <v>272</v>
      </c>
      <c r="D15319" s="6">
        <v>73.86</v>
      </c>
      <c r="E15319" t="s">
        <v>11</v>
      </c>
    </row>
    <row r="15320" spans="1:5" x14ac:dyDescent="0.25">
      <c r="A15320" t="str">
        <f>HYPERLINK("https://www.773grp.com/globalSearch/TLC2652AMFKB/page-1", "TLC2652AMFKB")</f>
        <v>TLC2652AMFKB</v>
      </c>
      <c r="B15320" s="3" t="s">
        <v>90</v>
      </c>
      <c r="C15320" s="5">
        <v>44</v>
      </c>
      <c r="D15320" s="6">
        <v>73.86</v>
      </c>
      <c r="E15320" t="s">
        <v>11</v>
      </c>
    </row>
    <row r="15321" spans="1:5" x14ac:dyDescent="0.25">
      <c r="A15321" t="str">
        <f>HYPERLINK("https://www.773grp.com/globalSearch/LT1014MFKB/page-1", "LT1014MFKB")</f>
        <v>LT1014MFKB</v>
      </c>
      <c r="B15321" s="3" t="s">
        <v>90</v>
      </c>
      <c r="C15321" s="5">
        <v>40</v>
      </c>
      <c r="D15321" s="6">
        <v>79.69</v>
      </c>
      <c r="E15321" t="s">
        <v>11</v>
      </c>
    </row>
    <row r="15322" spans="1:5" x14ac:dyDescent="0.25">
      <c r="A15322" t="str">
        <f>HYPERLINK("https://www.773grp.com/globalSearch/5962-88760012A/page-1", "5962-88760012A")</f>
        <v>5962-88760012A</v>
      </c>
      <c r="B15322" s="3" t="s">
        <v>90</v>
      </c>
      <c r="C15322" s="5">
        <v>3</v>
      </c>
      <c r="D15322" s="6">
        <v>80.5</v>
      </c>
      <c r="E15322" t="s">
        <v>11</v>
      </c>
    </row>
    <row r="15323" spans="1:5" x14ac:dyDescent="0.25">
      <c r="A15323" t="str">
        <f>HYPERLINK("https://www.773grp.com/globalSearch/TLE2064BMJ/page-1", "TLE2064BMJ")</f>
        <v>TLE2064BMJ</v>
      </c>
      <c r="B15323" s="3" t="s">
        <v>90</v>
      </c>
      <c r="C15323" s="5">
        <v>18</v>
      </c>
      <c r="D15323" s="6">
        <v>85.3</v>
      </c>
      <c r="E15323" t="s">
        <v>11</v>
      </c>
    </row>
    <row r="15324" spans="1:5" x14ac:dyDescent="0.25">
      <c r="A15324" t="str">
        <f>HYPERLINK("https://www.773grp.com/globalSearch/TLE2064BMFKB/page-1", "TLE2064BMFKB")</f>
        <v>TLE2064BMFKB</v>
      </c>
      <c r="B15324" s="3" t="s">
        <v>90</v>
      </c>
      <c r="C15324" s="5">
        <v>899</v>
      </c>
      <c r="D15324" s="6">
        <v>93.2</v>
      </c>
      <c r="E15324" t="s">
        <v>11</v>
      </c>
    </row>
    <row r="15325" spans="1:5" x14ac:dyDescent="0.25">
      <c r="A15325" t="str">
        <f>HYPERLINK("https://www.773grp.com/globalSearch/TLC2652AMJGB/page-1", "TLC2652AMJGB")</f>
        <v>TLC2652AMJGB</v>
      </c>
      <c r="B15325" s="3" t="s">
        <v>90</v>
      </c>
      <c r="C15325" s="5">
        <v>853</v>
      </c>
      <c r="D15325" s="6">
        <v>93.35</v>
      </c>
      <c r="E15325" t="s">
        <v>11</v>
      </c>
    </row>
    <row r="15326" spans="1:5" x14ac:dyDescent="0.25">
      <c r="A15326" t="str">
        <f>HYPERLINK("https://www.773grp.com/globalSearch/OPA627AM/page-1", "OPA627AM")</f>
        <v>OPA627AM</v>
      </c>
      <c r="B15326" s="3" t="s">
        <v>90</v>
      </c>
      <c r="C15326" s="5">
        <v>49323</v>
      </c>
      <c r="D15326" s="6">
        <v>93.79</v>
      </c>
      <c r="E15326" t="s">
        <v>11</v>
      </c>
    </row>
    <row r="15327" spans="1:5" x14ac:dyDescent="0.25">
      <c r="A15327" t="str">
        <f>HYPERLINK("https://www.773grp.com/globalSearch/OPA637AM/page-1", "OPA637AM")</f>
        <v>OPA637AM</v>
      </c>
      <c r="B15327" s="3" t="s">
        <v>90</v>
      </c>
      <c r="C15327" s="5">
        <v>896</v>
      </c>
      <c r="D15327" s="6">
        <v>94.21</v>
      </c>
      <c r="E15327" t="s">
        <v>11</v>
      </c>
    </row>
    <row r="15328" spans="1:5" x14ac:dyDescent="0.25">
      <c r="A15328" t="str">
        <f>HYPERLINK("https://www.773grp.com/globalSearch/OPA637AM/page-1", "OPA637AM")</f>
        <v>OPA637AM</v>
      </c>
      <c r="B15328" s="3" t="s">
        <v>90</v>
      </c>
      <c r="C15328" s="5">
        <v>4042</v>
      </c>
      <c r="D15328" s="6">
        <v>94.21</v>
      </c>
      <c r="E15328" t="s">
        <v>11</v>
      </c>
    </row>
    <row r="15329" spans="1:5" x14ac:dyDescent="0.25">
      <c r="A15329" t="str">
        <f>HYPERLINK("https://www.773grp.com/globalSearch/OPA637AM/page-1", "OPA637AM")</f>
        <v>OPA637AM</v>
      </c>
      <c r="B15329" s="3" t="s">
        <v>90</v>
      </c>
      <c r="C15329" s="5">
        <v>19961</v>
      </c>
      <c r="D15329" s="6">
        <v>94.21</v>
      </c>
      <c r="E15329" t="s">
        <v>11</v>
      </c>
    </row>
    <row r="15330" spans="1:5" x14ac:dyDescent="0.25">
      <c r="A15330" t="str">
        <f>HYPERLINK("https://www.773grp.com/globalSearch/OP27AJGB/page-1", "OP27AJGB")</f>
        <v>OP27AJGB</v>
      </c>
      <c r="B15330" s="3" t="s">
        <v>90</v>
      </c>
      <c r="C15330" s="5">
        <v>3830</v>
      </c>
      <c r="D15330" s="6">
        <v>95.31</v>
      </c>
      <c r="E15330" t="s">
        <v>11</v>
      </c>
    </row>
    <row r="15331" spans="1:5" x14ac:dyDescent="0.25">
      <c r="A15331" t="str">
        <f>HYPERLINK("https://www.773grp.com/globalSearch/5962-9080903QCA/page-1", "5962-9080903QCA")</f>
        <v>5962-9080903QCA</v>
      </c>
      <c r="B15331" s="3" t="s">
        <v>90</v>
      </c>
      <c r="C15331" s="5">
        <v>86</v>
      </c>
      <c r="D15331" s="6">
        <v>99.45</v>
      </c>
      <c r="E15331" t="s">
        <v>11</v>
      </c>
    </row>
    <row r="15332" spans="1:5" x14ac:dyDescent="0.25">
      <c r="A15332" t="str">
        <f>HYPERLINK("https://www.773grp.com/globalSearch/TLE2064BMJB/page-1", "TLE2064BMJB")</f>
        <v>TLE2064BMJB</v>
      </c>
      <c r="B15332" s="3" t="s">
        <v>90</v>
      </c>
      <c r="C15332" s="5">
        <v>223</v>
      </c>
      <c r="D15332" s="6">
        <v>99.45</v>
      </c>
      <c r="E15332" t="s">
        <v>11</v>
      </c>
    </row>
    <row r="15333" spans="1:5" x14ac:dyDescent="0.25">
      <c r="A15333" t="str">
        <f>HYPERLINK("https://www.773grp.com/globalSearch/OP27CJGB/page-1", "OP27CJGB")</f>
        <v>OP27CJGB</v>
      </c>
      <c r="B15333" s="3" t="s">
        <v>90</v>
      </c>
      <c r="C15333" s="5">
        <v>91</v>
      </c>
      <c r="D15333" s="6">
        <v>106.45</v>
      </c>
      <c r="E15333" t="s">
        <v>11</v>
      </c>
    </row>
    <row r="15334" spans="1:5" x14ac:dyDescent="0.25">
      <c r="A15334" t="str">
        <f>HYPERLINK("https://www.773grp.com/globalSearch/OP27AFKB/page-1", "OP27AFKB")</f>
        <v>OP27AFKB</v>
      </c>
      <c r="B15334" s="3" t="s">
        <v>90</v>
      </c>
      <c r="C15334" s="5">
        <v>747</v>
      </c>
      <c r="D15334" s="6">
        <v>110.88</v>
      </c>
      <c r="E15334" t="s">
        <v>11</v>
      </c>
    </row>
    <row r="15335" spans="1:5" x14ac:dyDescent="0.25">
      <c r="A15335" t="str">
        <f>HYPERLINK("https://www.773grp.com/globalSearch/TLE2022BMFKB/page-1", "TLE2022BMFKB")</f>
        <v>TLE2022BMFKB</v>
      </c>
      <c r="B15335" s="3" t="s">
        <v>90</v>
      </c>
      <c r="C15335" s="5">
        <v>582</v>
      </c>
      <c r="D15335" s="6">
        <v>120.2</v>
      </c>
      <c r="E15335" t="s">
        <v>11</v>
      </c>
    </row>
    <row r="15336" spans="1:5" x14ac:dyDescent="0.25">
      <c r="A15336" t="str">
        <f>HYPERLINK("https://www.773grp.com/globalSearch/OPA128JM/page-1", "OPA128JM")</f>
        <v>OPA128JM</v>
      </c>
      <c r="B15336" s="3" t="s">
        <v>90</v>
      </c>
      <c r="C15336" s="5">
        <v>210</v>
      </c>
      <c r="D15336" s="6">
        <v>124.74</v>
      </c>
      <c r="E15336" t="s">
        <v>11</v>
      </c>
    </row>
    <row r="15337" spans="1:5" x14ac:dyDescent="0.25">
      <c r="A15337" t="str">
        <f>HYPERLINK("https://www.773grp.com/globalSearch/OPA2333SHKJ/page-1", "OPA2333SHKJ")</f>
        <v>OPA2333SHKJ</v>
      </c>
      <c r="B15337" s="3" t="s">
        <v>90</v>
      </c>
      <c r="C15337" s="5">
        <v>55</v>
      </c>
      <c r="D15337" s="6">
        <v>126.56</v>
      </c>
      <c r="E15337" t="s">
        <v>11</v>
      </c>
    </row>
    <row r="15338" spans="1:5" x14ac:dyDescent="0.25">
      <c r="A15338" t="str">
        <f>HYPERLINK("https://www.773grp.com/globalSearch/INA117AM/page-1", "INA117AM")</f>
        <v>INA117AM</v>
      </c>
      <c r="B15338" s="3" t="s">
        <v>90</v>
      </c>
      <c r="C15338" s="5">
        <v>25187</v>
      </c>
      <c r="D15338" s="6">
        <v>131.91</v>
      </c>
      <c r="E15338" t="s">
        <v>11</v>
      </c>
    </row>
    <row r="15339" spans="1:5" x14ac:dyDescent="0.25">
      <c r="A15339" t="str">
        <f>HYPERLINK("https://www.773grp.com/globalSearch/INA117AM/page-1", "INA117AM")</f>
        <v>INA117AM</v>
      </c>
      <c r="B15339" s="3" t="s">
        <v>90</v>
      </c>
      <c r="C15339" s="5">
        <v>2592</v>
      </c>
      <c r="D15339" s="6">
        <v>131.91</v>
      </c>
      <c r="E15339" t="s">
        <v>11</v>
      </c>
    </row>
    <row r="15340" spans="1:5" x14ac:dyDescent="0.25">
      <c r="A15340" t="str">
        <f>HYPERLINK("https://www.773grp.com/globalSearch/OPA128KM/page-1", "OPA128KM")</f>
        <v>OPA128KM</v>
      </c>
      <c r="B15340" s="3" t="str">
        <f>HYPERLINK("https://www.773grp.com/manufacturer/texas-instruments?pageNo=61", "Texas Instruments")</f>
        <v>Texas Instruments</v>
      </c>
      <c r="C15340" s="5">
        <v>30</v>
      </c>
      <c r="D15340" s="6">
        <v>138.51</v>
      </c>
      <c r="E15340" t="s">
        <v>11</v>
      </c>
    </row>
    <row r="15341" spans="1:5" x14ac:dyDescent="0.25">
      <c r="A15341" t="str">
        <f>HYPERLINK("https://www.773grp.com/globalSearch/INA117BM/page-1", "INA117BM")</f>
        <v>INA117BM</v>
      </c>
      <c r="B15341" s="3" t="str">
        <f>HYPERLINK("https://www.773grp.com/manufacturer/texas-instruments?pageNo=95", "Texas Instruments")</f>
        <v>Texas Instruments</v>
      </c>
      <c r="C15341" s="5">
        <v>457</v>
      </c>
      <c r="D15341" s="6">
        <v>141.61000000000001</v>
      </c>
      <c r="E15341" t="s">
        <v>11</v>
      </c>
    </row>
    <row r="15342" spans="1:5" x14ac:dyDescent="0.25">
      <c r="A15342" t="str">
        <f>HYPERLINK("https://www.773grp.com/globalSearch/TLE2024BMFKB/page-1", "TLE2024BMFKB")</f>
        <v>TLE2024BMFKB</v>
      </c>
      <c r="B15342" s="3" t="str">
        <f>HYPERLINK("https://www.773grp.com/manufacturer/texas-instruments?pageNo=316", "Texas Instruments")</f>
        <v>Texas Instruments</v>
      </c>
      <c r="C15342" s="5">
        <v>15</v>
      </c>
      <c r="D15342" s="6">
        <v>175.68</v>
      </c>
      <c r="E15342" t="s">
        <v>11</v>
      </c>
    </row>
    <row r="15343" spans="1:5" x14ac:dyDescent="0.25">
      <c r="A15343" t="str">
        <f>HYPERLINK("https://www.773grp.com/globalSearch/5962-9088109QCA/page-1", "5962-9088109QCA")</f>
        <v>5962-9088109QCA</v>
      </c>
      <c r="B15343" s="3" t="str">
        <f>HYPERLINK("https://www.773grp.com/manufacturer/texas-instruments?pageNo=335", "Texas Instruments")</f>
        <v>Texas Instruments</v>
      </c>
      <c r="C15343" s="5">
        <v>110</v>
      </c>
      <c r="D15343" s="6">
        <v>178.45</v>
      </c>
      <c r="E15343" t="s">
        <v>11</v>
      </c>
    </row>
    <row r="15344" spans="1:5" x14ac:dyDescent="0.25">
      <c r="A15344" t="str">
        <f>HYPERLINK("https://www.773grp.com/globalSearch/TLE2024BMJB/page-1", "TLE2024BMJB")</f>
        <v>TLE2024BMJB</v>
      </c>
      <c r="B15344" s="3" t="str">
        <f>HYPERLINK("https://www.773grp.com/manufacturer/texas-instruments?pageNo=336", "Texas Instruments")</f>
        <v>Texas Instruments</v>
      </c>
      <c r="C15344" s="5">
        <v>602</v>
      </c>
      <c r="D15344" s="6">
        <v>178.45</v>
      </c>
      <c r="E15344" t="s">
        <v>11</v>
      </c>
    </row>
    <row r="15345" spans="1:5" x14ac:dyDescent="0.25">
      <c r="A15345" t="str">
        <f>HYPERLINK("https://www.773grp.com/globalSearch/OPA637SM/page-1", "OPA637SM")</f>
        <v>OPA637SM</v>
      </c>
      <c r="B15345" s="3" t="str">
        <f>HYPERLINK("https://www.773grp.com/manufacturer/texas-instruments?pageNo=347", "Texas Instruments")</f>
        <v>Texas Instruments</v>
      </c>
      <c r="C15345" s="5">
        <v>210</v>
      </c>
      <c r="D15345" s="6">
        <v>181.54</v>
      </c>
      <c r="E15345" t="s">
        <v>11</v>
      </c>
    </row>
    <row r="15346" spans="1:5" x14ac:dyDescent="0.25">
      <c r="A15346" t="str">
        <f>HYPERLINK("https://www.773grp.com/globalSearch/INA333SJD/page-1", "INA333SJD")</f>
        <v>INA333SJD</v>
      </c>
      <c r="B15346" s="3" t="str">
        <f>HYPERLINK("https://www.773grp.com/manufacturer/texas-instruments?pageNo=354", "Texas Instruments")</f>
        <v>Texas Instruments</v>
      </c>
      <c r="C15346" s="5">
        <v>43</v>
      </c>
      <c r="D15346" s="6">
        <v>182.81</v>
      </c>
      <c r="E15346" t="s">
        <v>11</v>
      </c>
    </row>
    <row r="15347" spans="1:5" x14ac:dyDescent="0.25">
      <c r="A15347" t="str">
        <f>HYPERLINK("https://www.773grp.com/globalSearch/OPA404AG/page-1", "OPA404AG")</f>
        <v>OPA404AG</v>
      </c>
      <c r="B15347" s="3" t="str">
        <f>HYPERLINK("https://www.773grp.com/manufacturer/texas-instruments?pageNo=412", "Texas Instruments")</f>
        <v>Texas Instruments</v>
      </c>
      <c r="C15347" s="5">
        <v>5643</v>
      </c>
      <c r="D15347" s="6">
        <v>194.06</v>
      </c>
      <c r="E15347" t="s">
        <v>11</v>
      </c>
    </row>
    <row r="15348" spans="1:5" x14ac:dyDescent="0.25">
      <c r="A15348" t="str">
        <f>HYPERLINK("https://www.773grp.com/globalSearch/OPA404BG/page-1", "OPA404BG")</f>
        <v>OPA404BG</v>
      </c>
      <c r="B15348" s="3" t="str">
        <f>HYPERLINK("https://www.773grp.com/manufacturer/texas-instruments?pageNo=530", "Texas Instruments")</f>
        <v>Texas Instruments</v>
      </c>
      <c r="C15348" s="5">
        <v>89</v>
      </c>
      <c r="D15348" s="6">
        <v>216.56</v>
      </c>
      <c r="E15348" t="s">
        <v>11</v>
      </c>
    </row>
    <row r="15349" spans="1:5" x14ac:dyDescent="0.25">
      <c r="A15349" t="str">
        <f>HYPERLINK("https://www.773grp.com/globalSearch/OPA404BG/page-1", "OPA404BG")</f>
        <v>OPA404BG</v>
      </c>
      <c r="B15349" s="3" t="str">
        <f>HYPERLINK("https://www.773grp.com/manufacturer/texas-instruments?pageNo=531", "Texas Instruments")</f>
        <v>Texas Instruments</v>
      </c>
      <c r="C15349" s="5">
        <v>309</v>
      </c>
      <c r="D15349" s="6">
        <v>216.56</v>
      </c>
      <c r="E15349" t="s">
        <v>11</v>
      </c>
    </row>
    <row r="15350" spans="1:5" x14ac:dyDescent="0.25">
      <c r="A15350" t="str">
        <f>HYPERLINK("https://www.773grp.com/globalSearch/OPA404SG/page-1", "OPA404SG")</f>
        <v>OPA404SG</v>
      </c>
      <c r="B15350" s="3" t="str">
        <f>HYPERLINK("https://www.773grp.com/manufacturer/texas-instruments?pageNo=622", "Texas Instruments")</f>
        <v>Texas Instruments</v>
      </c>
      <c r="C15350" s="5">
        <v>68</v>
      </c>
      <c r="D15350" s="6">
        <v>243.85</v>
      </c>
      <c r="E15350" t="s">
        <v>11</v>
      </c>
    </row>
    <row r="15351" spans="1:5" x14ac:dyDescent="0.25">
      <c r="A15351" t="str">
        <f>HYPERLINK("https://www.773grp.com/globalSearch/OPA541AM/page-1", "OPA541AM")</f>
        <v>OPA541AM</v>
      </c>
      <c r="B15351" s="3" t="str">
        <f>HYPERLINK("https://www.773grp.com/manufacturer/texas-instruments?pageNo=731", "Texas Instruments")</f>
        <v>Texas Instruments</v>
      </c>
      <c r="C15351" s="5">
        <v>64</v>
      </c>
      <c r="D15351" s="6">
        <v>227.28</v>
      </c>
      <c r="E15351" t="s">
        <v>11</v>
      </c>
    </row>
    <row r="15352" spans="1:5" x14ac:dyDescent="0.25">
      <c r="A15352" t="str">
        <f>HYPERLINK("https://www.773grp.com/globalSearch/OPA541AM/page-1", "OPA541AM")</f>
        <v>OPA541AM</v>
      </c>
      <c r="B15352" s="3" t="str">
        <f>HYPERLINK("https://www.773grp.com/manufacturer/texas-instruments?pageNo=732", "Texas Instruments")</f>
        <v>Texas Instruments</v>
      </c>
      <c r="C15352" s="5">
        <v>5</v>
      </c>
      <c r="D15352" s="6">
        <v>227.28</v>
      </c>
      <c r="E15352" t="s">
        <v>11</v>
      </c>
    </row>
    <row r="15353" spans="1:5" x14ac:dyDescent="0.25">
      <c r="A15353" t="str">
        <f>HYPERLINK("https://www.773grp.com/globalSearch/OPA512BM/page-1", "OPA512BM")</f>
        <v>OPA512BM</v>
      </c>
      <c r="B15353" s="3" t="s">
        <v>90</v>
      </c>
      <c r="C15353" s="5">
        <v>2377</v>
      </c>
      <c r="D15353" s="6">
        <v>258.14</v>
      </c>
      <c r="E15353" t="s">
        <v>11</v>
      </c>
    </row>
    <row r="15354" spans="1:5" x14ac:dyDescent="0.25">
      <c r="A15354" t="str">
        <f>HYPERLINK("https://www.773grp.com/globalSearch/3584JM/page-1", "3584JM")</f>
        <v>3584JM</v>
      </c>
      <c r="B15354" s="3" t="s">
        <v>90</v>
      </c>
      <c r="C15354" s="5">
        <v>820</v>
      </c>
      <c r="D15354" s="6">
        <v>430.54</v>
      </c>
      <c r="E15354" t="s">
        <v>11</v>
      </c>
    </row>
    <row r="15355" spans="1:5" x14ac:dyDescent="0.25">
      <c r="A15355" t="str">
        <f>HYPERLINK("https://www.773grp.com/globalSearch/3584JM/page-1", "3584JM")</f>
        <v>3584JM</v>
      </c>
      <c r="B15355" s="3" t="s">
        <v>90</v>
      </c>
      <c r="C15355" s="5">
        <v>3</v>
      </c>
      <c r="D15355" s="6">
        <v>430.54</v>
      </c>
      <c r="E15355" t="s">
        <v>11</v>
      </c>
    </row>
    <row r="15356" spans="1:5" x14ac:dyDescent="0.25">
      <c r="A15356" t="str">
        <f>HYPERLINK("https://www.773grp.com/globalSearch/OPA2541AM/page-1", "OPA2541AM")</f>
        <v>OPA2541AM</v>
      </c>
      <c r="B15356" s="3" t="s">
        <v>90</v>
      </c>
      <c r="C15356" s="5">
        <v>6838</v>
      </c>
      <c r="D15356" s="6">
        <v>441.74</v>
      </c>
      <c r="E15356" t="s">
        <v>11</v>
      </c>
    </row>
    <row r="15357" spans="1:5" x14ac:dyDescent="0.25">
      <c r="A15357" t="str">
        <f>HYPERLINK("https://www.773grp.com/globalSearch/OPA2541AM/page-1", "OPA2541AM")</f>
        <v>OPA2541AM</v>
      </c>
      <c r="B15357" s="3" t="s">
        <v>90</v>
      </c>
      <c r="C15357" s="5">
        <v>2239</v>
      </c>
      <c r="D15357" s="6">
        <v>441.74</v>
      </c>
      <c r="E15357" t="s">
        <v>11</v>
      </c>
    </row>
    <row r="15358" spans="1:5" x14ac:dyDescent="0.25">
      <c r="A15358" t="str">
        <f>HYPERLINK("https://www.773grp.com/globalSearch/OPA2541AM/page-1", "OPA2541AM")</f>
        <v>OPA2541AM</v>
      </c>
      <c r="B15358" s="3" t="s">
        <v>90</v>
      </c>
      <c r="C15358" s="5">
        <v>316</v>
      </c>
      <c r="D15358" s="6">
        <v>441.74</v>
      </c>
      <c r="E15358" t="s">
        <v>11</v>
      </c>
    </row>
    <row r="15359" spans="1:5" x14ac:dyDescent="0.25">
      <c r="A15359" t="str">
        <f>HYPERLINK("https://www.773grp.com/globalSearch/3583JM/page-1", "3583JM")</f>
        <v>3583JM</v>
      </c>
      <c r="B15359" s="3" t="s">
        <v>90</v>
      </c>
      <c r="C15359" s="5">
        <v>1465</v>
      </c>
      <c r="D15359" s="6">
        <v>445.36</v>
      </c>
      <c r="E15359" t="s">
        <v>11</v>
      </c>
    </row>
    <row r="15360" spans="1:5" x14ac:dyDescent="0.25">
      <c r="A15360" t="str">
        <f>HYPERLINK("https://www.773grp.com/globalSearch/OPA2541BM/page-1", "OPA2541BM")</f>
        <v>OPA2541BM</v>
      </c>
      <c r="B15360" s="3" t="s">
        <v>90</v>
      </c>
      <c r="C15360" s="5">
        <v>63</v>
      </c>
      <c r="D15360" s="6">
        <v>456.16</v>
      </c>
      <c r="E15360" t="s">
        <v>11</v>
      </c>
    </row>
    <row r="15361" spans="1:5" x14ac:dyDescent="0.25">
      <c r="A15361" t="str">
        <f>HYPERLINK("https://www.773grp.com/globalSearch/OPA2541BM/page-1", "OPA2541BM")</f>
        <v>OPA2541BM</v>
      </c>
      <c r="B15361" s="3" t="s">
        <v>90</v>
      </c>
      <c r="C15361" s="5">
        <v>92</v>
      </c>
      <c r="D15361" s="6">
        <v>456.16</v>
      </c>
      <c r="E15361" t="s">
        <v>11</v>
      </c>
    </row>
    <row r="15362" spans="1:5" x14ac:dyDescent="0.25">
      <c r="A15362" t="str">
        <f>HYPERLINK("https://www.773grp.com/globalSearch/OPA2541SMQ/page-1", "OPA2541SMQ")</f>
        <v>OPA2541SMQ</v>
      </c>
      <c r="B15362" s="3" t="s">
        <v>90</v>
      </c>
      <c r="C15362" s="5">
        <v>6</v>
      </c>
      <c r="D15362" s="6">
        <v>515.65</v>
      </c>
      <c r="E15362" t="s">
        <v>11</v>
      </c>
    </row>
    <row r="15363" spans="1:5" x14ac:dyDescent="0.25">
      <c r="A15363" t="str">
        <f>HYPERLINK("https://www.773grp.com/globalSearch/HCPL2631/page-1", "HCPL2631")</f>
        <v>HCPL2631</v>
      </c>
      <c r="B15363" s="3" t="str">
        <f>HYPERLINK("https://www.773grp.com/manufacturer/texas-instruments?pageNo=244", "Texas Instruments")</f>
        <v>Texas Instruments</v>
      </c>
      <c r="C15363" s="5">
        <v>42520</v>
      </c>
      <c r="D15363" s="6">
        <v>3.6</v>
      </c>
      <c r="E15363" t="s">
        <v>94</v>
      </c>
    </row>
    <row r="15364" spans="1:5" x14ac:dyDescent="0.25">
      <c r="A15364" t="str">
        <f>HYPERLINK("https://www.773grp.com/globalSearch/OPI8012/page-1", "OPI8012")</f>
        <v>OPI8012</v>
      </c>
      <c r="B15364" s="3" t="str">
        <f>HYPERLINK("https://www.773grp.com/manufacturer/texas-instruments?pageNo=298", "Texas Instruments")</f>
        <v>Texas Instruments</v>
      </c>
      <c r="C15364" s="5">
        <v>12446</v>
      </c>
      <c r="D15364" s="6">
        <v>3.63</v>
      </c>
      <c r="E15364" t="s">
        <v>94</v>
      </c>
    </row>
    <row r="15365" spans="1:5" x14ac:dyDescent="0.25">
      <c r="A15365" t="str">
        <f>HYPERLINK("https://www.773grp.com/globalSearch/6N138/page-1", "6N138")</f>
        <v>6N138</v>
      </c>
      <c r="B15365" s="3" t="str">
        <f>HYPERLINK("https://www.773grp.com/manufacturer/texas-instruments?pageNo=433", "Texas Instruments")</f>
        <v>Texas Instruments</v>
      </c>
      <c r="C15365" s="5">
        <v>22860</v>
      </c>
      <c r="D15365" s="6">
        <v>4.01</v>
      </c>
      <c r="E15365" t="s">
        <v>94</v>
      </c>
    </row>
    <row r="15366" spans="1:5" x14ac:dyDescent="0.25">
      <c r="A15366" t="str">
        <f>HYPERLINK("https://www.773grp.com/globalSearch/6N139/page-1", "6N139")</f>
        <v>6N139</v>
      </c>
      <c r="B15366" s="3" t="str">
        <f>HYPERLINK("https://www.773grp.com/manufacturer/texas-instruments?pageNo=859", "Texas Instruments")</f>
        <v>Texas Instruments</v>
      </c>
      <c r="C15366" s="5">
        <v>41027</v>
      </c>
      <c r="D15366" s="6">
        <v>4.1100000000000003</v>
      </c>
      <c r="E15366" t="s">
        <v>94</v>
      </c>
    </row>
    <row r="15367" spans="1:5" x14ac:dyDescent="0.25">
      <c r="A15367" t="str">
        <f>HYPERLINK("https://www.773grp.com/globalSearch/6N137/page-1", "6N137")</f>
        <v>6N137</v>
      </c>
      <c r="B15367" s="3" t="s">
        <v>90</v>
      </c>
      <c r="C15367" s="5">
        <v>731</v>
      </c>
      <c r="D15367" s="6">
        <v>4.59</v>
      </c>
      <c r="E15367" t="s">
        <v>94</v>
      </c>
    </row>
    <row r="15368" spans="1:5" x14ac:dyDescent="0.25">
      <c r="A15368" t="str">
        <f>HYPERLINK("https://www.773grp.com/globalSearch/4N45/page-1", "4N45")</f>
        <v>4N45</v>
      </c>
      <c r="B15368" s="3" t="s">
        <v>90</v>
      </c>
      <c r="C15368" s="5">
        <v>1230</v>
      </c>
      <c r="D15368" s="6">
        <v>4.3</v>
      </c>
      <c r="E15368" t="s">
        <v>94</v>
      </c>
    </row>
    <row r="15369" spans="1:5" x14ac:dyDescent="0.25">
      <c r="A15369" t="str">
        <f>HYPERLINK("https://www.773grp.com/globalSearch/6N135/page-1", "6N135")</f>
        <v>6N135</v>
      </c>
      <c r="B15369" s="3" t="str">
        <f>HYPERLINK("https://www.773grp.com/manufacturer/texas-instruments?pageNo=6", "Texas Instruments")</f>
        <v>Texas Instruments</v>
      </c>
      <c r="C15369" s="5">
        <v>163</v>
      </c>
      <c r="D15369" s="6">
        <v>4.91</v>
      </c>
      <c r="E15369" t="s">
        <v>94</v>
      </c>
    </row>
    <row r="15370" spans="1:5" x14ac:dyDescent="0.25">
      <c r="A15370" t="str">
        <f>HYPERLINK("https://www.773grp.com/globalSearch/HCPL2730/page-1", "HCPL2730")</f>
        <v>HCPL2730</v>
      </c>
      <c r="B15370" s="3" t="str">
        <f>HYPERLINK("https://www.773grp.com/manufacturer/texas-instruments?pageNo=760", "Texas Instruments")</f>
        <v>Texas Instruments</v>
      </c>
      <c r="C15370" s="5">
        <v>8493</v>
      </c>
      <c r="D15370" s="6">
        <v>4.5599999999999996</v>
      </c>
      <c r="E15370" t="s">
        <v>94</v>
      </c>
    </row>
    <row r="15371" spans="1:5" x14ac:dyDescent="0.25">
      <c r="A15371" t="str">
        <f>HYPERLINK("https://www.773grp.com/globalSearch/HCPL2731/page-1", "HCPL2731")</f>
        <v>HCPL2731</v>
      </c>
      <c r="B15371" s="3" t="s">
        <v>90</v>
      </c>
      <c r="C15371" s="5">
        <v>8275</v>
      </c>
      <c r="D15371" s="6">
        <v>4.68</v>
      </c>
      <c r="E15371" t="s">
        <v>94</v>
      </c>
    </row>
    <row r="15372" spans="1:5" x14ac:dyDescent="0.25">
      <c r="A15372" t="str">
        <f>HYPERLINK("https://www.773grp.com/globalSearch/6N136/page-1", "6N136")</f>
        <v>6N136</v>
      </c>
      <c r="B15372" s="3" t="s">
        <v>90</v>
      </c>
      <c r="C15372" s="5">
        <v>1950</v>
      </c>
      <c r="D15372" s="6">
        <v>5.16</v>
      </c>
      <c r="E15372" t="s">
        <v>94</v>
      </c>
    </row>
    <row r="15373" spans="1:5" x14ac:dyDescent="0.25">
      <c r="A15373" t="str">
        <f>HYPERLINK("https://www.773grp.com/globalSearch/OPI8015/page-1", "OPI8015")</f>
        <v>OPI8015</v>
      </c>
      <c r="B15373" s="3" t="s">
        <v>90</v>
      </c>
      <c r="C15373" s="5">
        <v>14696</v>
      </c>
      <c r="D15373" s="6">
        <v>5.6</v>
      </c>
      <c r="E15373" t="s">
        <v>94</v>
      </c>
    </row>
    <row r="15374" spans="1:5" x14ac:dyDescent="0.25">
      <c r="A15374" t="str">
        <f>HYPERLINK("https://www.773grp.com/globalSearch/HCPL2530/page-1", "HCPL2530")</f>
        <v>HCPL2530</v>
      </c>
      <c r="B15374" s="3" t="s">
        <v>90</v>
      </c>
      <c r="C15374" s="5">
        <v>16048</v>
      </c>
      <c r="D15374" s="6">
        <v>5.79</v>
      </c>
      <c r="E15374" t="s">
        <v>94</v>
      </c>
    </row>
    <row r="15375" spans="1:5" x14ac:dyDescent="0.25">
      <c r="A15375" t="str">
        <f>HYPERLINK("https://www.773grp.com/globalSearch/HCPL2531/page-1", "HCPL2531")</f>
        <v>HCPL2531</v>
      </c>
      <c r="B15375" s="3" t="s">
        <v>90</v>
      </c>
      <c r="C15375" s="5">
        <v>882</v>
      </c>
      <c r="D15375" s="6">
        <v>6.36</v>
      </c>
      <c r="E15375" t="s">
        <v>94</v>
      </c>
    </row>
    <row r="15376" spans="1:5" x14ac:dyDescent="0.25">
      <c r="A15376" t="str">
        <f>HYPERLINK("https://www.773grp.com/globalSearch/TIL921B/page-1", "TIL921B")</f>
        <v>TIL921B</v>
      </c>
      <c r="B15376" s="3" t="str">
        <f>HYPERLINK("https://www.773grp.com/manufacturer/texas-instruments?pageNo=445", "Texas Instruments")</f>
        <v>Texas Instruments</v>
      </c>
      <c r="C15376" s="5">
        <v>530</v>
      </c>
      <c r="D15376" s="6">
        <v>4.01</v>
      </c>
      <c r="E15376" t="s">
        <v>93</v>
      </c>
    </row>
    <row r="15377" spans="1:5" x14ac:dyDescent="0.25">
      <c r="A15377" t="str">
        <f>HYPERLINK("https://www.773grp.com/globalSearch/TIL919/page-1", "TIL919")</f>
        <v>TIL919</v>
      </c>
      <c r="B15377" s="3" t="str">
        <f>HYPERLINK("https://www.773grp.com/manufacturer/texas-instruments?pageNo=296", "Texas Instruments")</f>
        <v>Texas Instruments</v>
      </c>
      <c r="C15377" s="5">
        <v>8390</v>
      </c>
      <c r="D15377" s="6">
        <v>3.83</v>
      </c>
      <c r="E15377" t="s">
        <v>93</v>
      </c>
    </row>
    <row r="15378" spans="1:5" x14ac:dyDescent="0.25">
      <c r="A15378" t="str">
        <f>HYPERLINK("https://www.773grp.com/globalSearch/TIL921/page-1", "TIL921")</f>
        <v>TIL921</v>
      </c>
      <c r="B15378" s="3" t="s">
        <v>90</v>
      </c>
      <c r="C15378" s="5">
        <v>3560</v>
      </c>
      <c r="D15378" s="6">
        <v>4.59</v>
      </c>
      <c r="E15378" t="s">
        <v>93</v>
      </c>
    </row>
    <row r="15379" spans="1:5" x14ac:dyDescent="0.25">
      <c r="A15379" t="str">
        <f>HYPERLINK("https://www.773grp.com/globalSearch/TIL922B/page-1", "TIL922B")</f>
        <v>TIL922B</v>
      </c>
      <c r="B15379" s="3" t="s">
        <v>90</v>
      </c>
      <c r="C15379" s="5">
        <v>610</v>
      </c>
      <c r="D15379" s="6">
        <v>4.16</v>
      </c>
      <c r="E15379" t="s">
        <v>93</v>
      </c>
    </row>
    <row r="15380" spans="1:5" x14ac:dyDescent="0.25">
      <c r="A15380" t="str">
        <f>HYPERLINK("https://www.773grp.com/globalSearch/TPS5910DCS/page-1", "TPS5910DCS")</f>
        <v>TPS5910DCS</v>
      </c>
      <c r="B15380" s="3" t="s">
        <v>90</v>
      </c>
      <c r="C15380" s="5">
        <v>7069</v>
      </c>
      <c r="D15380" s="6">
        <v>5.16</v>
      </c>
      <c r="E15380" t="s">
        <v>93</v>
      </c>
    </row>
    <row r="15381" spans="1:5" x14ac:dyDescent="0.25">
      <c r="A15381" t="str">
        <f>HYPERLINK("https://www.773grp.com/globalSearch/TIL922/page-1", "TIL922")</f>
        <v>TIL922</v>
      </c>
      <c r="B15381" s="3" t="s">
        <v>90</v>
      </c>
      <c r="C15381" s="5">
        <v>1120</v>
      </c>
      <c r="D15381" s="6">
        <v>4.78</v>
      </c>
      <c r="E15381" t="s">
        <v>93</v>
      </c>
    </row>
    <row r="15382" spans="1:5" x14ac:dyDescent="0.25">
      <c r="A15382" t="str">
        <f>HYPERLINK("https://www.773grp.com/globalSearch/TIL300DCS/page-1", "TIL300DCS")</f>
        <v>TIL300DCS</v>
      </c>
      <c r="B15382" s="3" t="str">
        <f>HYPERLINK("https://www.773grp.com/manufacturer/texas-instruments?pageNo=431", "Texas Instruments")</f>
        <v>Texas Instruments</v>
      </c>
      <c r="C15382" s="5">
        <v>6931</v>
      </c>
      <c r="D15382" s="6">
        <v>3.89</v>
      </c>
      <c r="E15382" t="s">
        <v>98</v>
      </c>
    </row>
    <row r="15383" spans="1:5" x14ac:dyDescent="0.25">
      <c r="A15383" t="str">
        <f>HYPERLINK("https://www.773grp.com/globalSearch/SL6619-KG-TP2N/page-1", "SL6619-KG-TP2N")</f>
        <v>SL6619-KG-TP2N</v>
      </c>
      <c r="B15383" s="3" t="s">
        <v>116</v>
      </c>
      <c r="C15383" s="5">
        <v>164</v>
      </c>
      <c r="D15383" s="6">
        <v>0</v>
      </c>
      <c r="E15383" t="s">
        <v>117</v>
      </c>
    </row>
    <row r="15384" spans="1:5" x14ac:dyDescent="0.25">
      <c r="A15384" t="str">
        <f>HYPERLINK("https://www.773grp.com/globalSearch/PCF8575CDBQR/page-1", "PCF8575CDBQR")</f>
        <v>PCF8575CDBQR</v>
      </c>
      <c r="B15384" s="3" t="str">
        <f>HYPERLINK("https://www.773grp.com/manufacturer/texas-instruments?pageNo=302", "Texas Instruments")</f>
        <v>Texas Instruments</v>
      </c>
      <c r="C15384" s="5">
        <v>7500</v>
      </c>
      <c r="D15384" s="6">
        <v>3.63</v>
      </c>
      <c r="E15384" t="s">
        <v>78</v>
      </c>
    </row>
    <row r="15385" spans="1:5" x14ac:dyDescent="0.25">
      <c r="A15385" t="str">
        <f>HYPERLINK("https://www.773grp.com/globalSearch/PCF8575CDBR/page-1", "PCF8575CDBR")</f>
        <v>PCF8575CDBR</v>
      </c>
      <c r="B15385" s="3" t="str">
        <f>HYPERLINK("https://www.773grp.com/manufacturer/texas-instruments?pageNo=303", "Texas Instruments")</f>
        <v>Texas Instruments</v>
      </c>
      <c r="C15385" s="5">
        <v>9000</v>
      </c>
      <c r="D15385" s="6">
        <v>3.63</v>
      </c>
      <c r="E15385" t="s">
        <v>78</v>
      </c>
    </row>
    <row r="15386" spans="1:5" x14ac:dyDescent="0.25">
      <c r="A15386" t="str">
        <f>HYPERLINK("https://www.773grp.com/globalSearch/PCF8575CDGVR/page-1", "PCF8575CDGVR")</f>
        <v>PCF8575CDGVR</v>
      </c>
      <c r="B15386" s="3" t="str">
        <f>HYPERLINK("https://www.773grp.com/manufacturer/texas-instruments?pageNo=304", "Texas Instruments")</f>
        <v>Texas Instruments</v>
      </c>
      <c r="C15386" s="5">
        <v>9950</v>
      </c>
      <c r="D15386" s="6">
        <v>3.63</v>
      </c>
      <c r="E15386" t="s">
        <v>78</v>
      </c>
    </row>
    <row r="15387" spans="1:5" x14ac:dyDescent="0.25">
      <c r="A15387" t="str">
        <f>HYPERLINK("https://www.773grp.com/globalSearch/PCF8575CDWR/page-1", "PCF8575CDWR")</f>
        <v>PCF8575CDWR</v>
      </c>
      <c r="B15387" s="3" t="str">
        <f>HYPERLINK("https://www.773grp.com/manufacturer/texas-instruments?pageNo=305", "Texas Instruments")</f>
        <v>Texas Instruments</v>
      </c>
      <c r="C15387" s="5">
        <v>10600</v>
      </c>
      <c r="D15387" s="6">
        <v>3.63</v>
      </c>
      <c r="E15387" t="s">
        <v>78</v>
      </c>
    </row>
    <row r="15388" spans="1:5" x14ac:dyDescent="0.25">
      <c r="A15388" t="str">
        <f>HYPERLINK("https://www.773grp.com/globalSearch/PCF8575CPWR/page-1", "PCF8575CPWR")</f>
        <v>PCF8575CPWR</v>
      </c>
      <c r="B15388" s="3" t="str">
        <f>HYPERLINK("https://www.773grp.com/manufacturer/texas-instruments?pageNo=306", "Texas Instruments")</f>
        <v>Texas Instruments</v>
      </c>
      <c r="C15388" s="5">
        <v>37405</v>
      </c>
      <c r="D15388" s="6">
        <v>3.63</v>
      </c>
      <c r="E15388" t="s">
        <v>78</v>
      </c>
    </row>
    <row r="15389" spans="1:5" x14ac:dyDescent="0.25">
      <c r="A15389" t="str">
        <f>HYPERLINK("https://www.773grp.com/globalSearch/PCF8575CRGER/page-1", "PCF8575CRGER")</f>
        <v>PCF8575CRGER</v>
      </c>
      <c r="B15389" s="3" t="str">
        <f>HYPERLINK("https://www.773grp.com/manufacturer/texas-instruments?pageNo=307", "Texas Instruments")</f>
        <v>Texas Instruments</v>
      </c>
      <c r="C15389" s="5">
        <v>9000</v>
      </c>
      <c r="D15389" s="6">
        <v>3.63</v>
      </c>
      <c r="E15389" t="s">
        <v>78</v>
      </c>
    </row>
    <row r="15390" spans="1:5" x14ac:dyDescent="0.25">
      <c r="A15390" t="str">
        <f>HYPERLINK("https://www.773grp.com/globalSearch/PCF8575DGVR/page-1", "PCF8575DGVR")</f>
        <v>PCF8575DGVR</v>
      </c>
      <c r="B15390" s="3" t="str">
        <f>HYPERLINK("https://www.773grp.com/manufacturer/texas-instruments?pageNo=308", "Texas Instruments")</f>
        <v>Texas Instruments</v>
      </c>
      <c r="C15390" s="5">
        <v>6000</v>
      </c>
      <c r="D15390" s="6">
        <v>3.63</v>
      </c>
      <c r="E15390" t="s">
        <v>78</v>
      </c>
    </row>
    <row r="15391" spans="1:5" x14ac:dyDescent="0.25">
      <c r="A15391" t="str">
        <f>HYPERLINK("https://www.773grp.com/globalSearch/PCF8575DWR/page-1", "PCF8575DWR")</f>
        <v>PCF8575DWR</v>
      </c>
      <c r="B15391" s="3" t="str">
        <f>HYPERLINK("https://www.773grp.com/manufacturer/texas-instruments?pageNo=309", "Texas Instruments")</f>
        <v>Texas Instruments</v>
      </c>
      <c r="C15391" s="5">
        <v>1950</v>
      </c>
      <c r="D15391" s="6">
        <v>3.63</v>
      </c>
      <c r="E15391" t="s">
        <v>78</v>
      </c>
    </row>
    <row r="15392" spans="1:5" x14ac:dyDescent="0.25">
      <c r="A15392" t="str">
        <f>HYPERLINK("https://www.773grp.com/globalSearch/PCF8575RGER/page-1", "PCF8575RGER")</f>
        <v>PCF8575RGER</v>
      </c>
      <c r="B15392" s="3" t="str">
        <f>HYPERLINK("https://www.773grp.com/manufacturer/texas-instruments?pageNo=311", "Texas Instruments")</f>
        <v>Texas Instruments</v>
      </c>
      <c r="C15392" s="5">
        <v>47895</v>
      </c>
      <c r="D15392" s="6">
        <v>3.63</v>
      </c>
      <c r="E15392" t="s">
        <v>78</v>
      </c>
    </row>
    <row r="15393" spans="1:5" x14ac:dyDescent="0.25">
      <c r="A15393" t="str">
        <f>HYPERLINK("https://www.773grp.com/globalSearch/PCA9534ADB/page-1", "PCA9534ADB")</f>
        <v>PCA9534ADB</v>
      </c>
      <c r="B15393" s="3" t="str">
        <f>HYPERLINK("https://www.773grp.com/manufacturer/texas-instruments?pageNo=882", "Texas Instruments")</f>
        <v>Texas Instruments</v>
      </c>
      <c r="C15393" s="5">
        <v>20295</v>
      </c>
      <c r="D15393" s="6">
        <v>4.1100000000000003</v>
      </c>
      <c r="E15393" t="s">
        <v>78</v>
      </c>
    </row>
    <row r="15394" spans="1:5" x14ac:dyDescent="0.25">
      <c r="A15394" t="str">
        <f>HYPERLINK("https://www.773grp.com/globalSearch/PCA9534ADW/page-1", "PCA9534ADW")</f>
        <v>PCA9534ADW</v>
      </c>
      <c r="B15394" s="3" t="str">
        <f>HYPERLINK("https://www.773grp.com/manufacturer/texas-instruments?pageNo=883", "Texas Instruments")</f>
        <v>Texas Instruments</v>
      </c>
      <c r="C15394" s="5">
        <v>7115</v>
      </c>
      <c r="D15394" s="6">
        <v>4.1100000000000003</v>
      </c>
      <c r="E15394" t="s">
        <v>78</v>
      </c>
    </row>
    <row r="15395" spans="1:5" x14ac:dyDescent="0.25">
      <c r="A15395" t="str">
        <f>HYPERLINK("https://www.773grp.com/globalSearch/PCA9534APW/page-1", "PCA9534APW")</f>
        <v>PCA9534APW</v>
      </c>
      <c r="B15395" s="3" t="str">
        <f>HYPERLINK("https://www.773grp.com/manufacturer/texas-instruments?pageNo=884", "Texas Instruments")</f>
        <v>Texas Instruments</v>
      </c>
      <c r="C15395" s="5">
        <v>675</v>
      </c>
      <c r="D15395" s="6">
        <v>4.1100000000000003</v>
      </c>
      <c r="E15395" t="s">
        <v>78</v>
      </c>
    </row>
    <row r="15396" spans="1:5" x14ac:dyDescent="0.25">
      <c r="A15396" t="str">
        <f>HYPERLINK("https://www.773grp.com/globalSearch/PCA9534DB/page-1", "PCA9534DB")</f>
        <v>PCA9534DB</v>
      </c>
      <c r="B15396" s="3" t="str">
        <f>HYPERLINK("https://www.773grp.com/manufacturer/texas-instruments?pageNo=885", "Texas Instruments")</f>
        <v>Texas Instruments</v>
      </c>
      <c r="C15396" s="5">
        <v>208</v>
      </c>
      <c r="D15396" s="6">
        <v>4.1100000000000003</v>
      </c>
      <c r="E15396" t="s">
        <v>78</v>
      </c>
    </row>
    <row r="15397" spans="1:5" x14ac:dyDescent="0.25">
      <c r="A15397" t="str">
        <f>HYPERLINK("https://www.773grp.com/globalSearch/PCA9534DB/page-1", "PCA9534DB")</f>
        <v>PCA9534DB</v>
      </c>
      <c r="B15397" s="3" t="str">
        <f>HYPERLINK("https://www.773grp.com/manufacturer/texas-instruments?pageNo=886", "Texas Instruments")</f>
        <v>Texas Instruments</v>
      </c>
      <c r="C15397" s="5">
        <v>6480</v>
      </c>
      <c r="D15397" s="6">
        <v>4.1100000000000003</v>
      </c>
      <c r="E15397" t="s">
        <v>78</v>
      </c>
    </row>
    <row r="15398" spans="1:5" x14ac:dyDescent="0.25">
      <c r="A15398" t="str">
        <f>HYPERLINK("https://www.773grp.com/globalSearch/PCA9534DW/page-1", "PCA9534DW")</f>
        <v>PCA9534DW</v>
      </c>
      <c r="B15398" s="3" t="str">
        <f>HYPERLINK("https://www.773grp.com/manufacturer/texas-instruments?pageNo=887", "Texas Instruments")</f>
        <v>Texas Instruments</v>
      </c>
      <c r="C15398" s="5">
        <v>9270</v>
      </c>
      <c r="D15398" s="6">
        <v>4.1100000000000003</v>
      </c>
      <c r="E15398" t="s">
        <v>78</v>
      </c>
    </row>
    <row r="15399" spans="1:5" x14ac:dyDescent="0.25">
      <c r="A15399" t="str">
        <f>HYPERLINK("https://www.773grp.com/globalSearch/PCA9534PW/page-1", "PCA9534PW")</f>
        <v>PCA9534PW</v>
      </c>
      <c r="B15399" s="3" t="str">
        <f>HYPERLINK("https://www.773grp.com/manufacturer/texas-instruments?pageNo=888", "Texas Instruments")</f>
        <v>Texas Instruments</v>
      </c>
      <c r="C15399" s="5">
        <v>2319</v>
      </c>
      <c r="D15399" s="6">
        <v>4.1100000000000003</v>
      </c>
      <c r="E15399" t="s">
        <v>78</v>
      </c>
    </row>
    <row r="15400" spans="1:5" x14ac:dyDescent="0.25">
      <c r="A15400" t="str">
        <f>HYPERLINK("https://www.773grp.com/globalSearch/TCA6416APWR/page-1", "TCA6416APWR")</f>
        <v>TCA6416APWR</v>
      </c>
      <c r="B15400" s="3" t="s">
        <v>90</v>
      </c>
      <c r="C15400" s="5">
        <v>1457</v>
      </c>
      <c r="D15400" s="6">
        <v>4.16</v>
      </c>
      <c r="E15400" t="s">
        <v>78</v>
      </c>
    </row>
    <row r="15401" spans="1:5" x14ac:dyDescent="0.25">
      <c r="A15401" t="str">
        <f>HYPERLINK("https://www.773grp.com/globalSearch/TCA6416ARTWR/page-1", "TCA6416ARTWR")</f>
        <v>TCA6416ARTWR</v>
      </c>
      <c r="B15401" s="3" t="s">
        <v>90</v>
      </c>
      <c r="C15401" s="5">
        <v>17250</v>
      </c>
      <c r="D15401" s="6">
        <v>4.16</v>
      </c>
      <c r="E15401" t="s">
        <v>78</v>
      </c>
    </row>
    <row r="15402" spans="1:5" x14ac:dyDescent="0.25">
      <c r="A15402" t="str">
        <f>HYPERLINK("https://www.773grp.com/globalSearch/TCA6416AZQSR/page-1", "TCA6416AZQSR")</f>
        <v>TCA6416AZQSR</v>
      </c>
      <c r="B15402" s="3" t="s">
        <v>90</v>
      </c>
      <c r="C15402" s="5">
        <v>7500</v>
      </c>
      <c r="D15402" s="6">
        <v>4.16</v>
      </c>
      <c r="E15402" t="s">
        <v>78</v>
      </c>
    </row>
    <row r="15403" spans="1:5" x14ac:dyDescent="0.25">
      <c r="A15403" t="str">
        <f>HYPERLINK("https://www.773grp.com/globalSearch/TCA6408PW/page-1", "TCA6408PW")</f>
        <v>TCA6408PW</v>
      </c>
      <c r="B15403" s="3" t="s">
        <v>90</v>
      </c>
      <c r="C15403" s="5">
        <v>17955</v>
      </c>
      <c r="D15403" s="6">
        <v>3.8</v>
      </c>
      <c r="E15403" t="s">
        <v>78</v>
      </c>
    </row>
    <row r="15404" spans="1:5" x14ac:dyDescent="0.25">
      <c r="A15404" t="str">
        <f>HYPERLINK("https://www.773grp.com/globalSearch/PCA9539DBQR/page-1", "PCA9539DBQR")</f>
        <v>PCA9539DBQR</v>
      </c>
      <c r="B15404" s="3" t="str">
        <f>HYPERLINK("https://www.773grp.com/manufacturer/texas-instruments?pageNo=6", "Texas Instruments")</f>
        <v>Texas Instruments</v>
      </c>
      <c r="C15404" s="5">
        <v>13794</v>
      </c>
      <c r="D15404" s="6">
        <v>4.2300000000000004</v>
      </c>
      <c r="E15404" t="s">
        <v>78</v>
      </c>
    </row>
    <row r="15405" spans="1:5" x14ac:dyDescent="0.25">
      <c r="A15405" t="str">
        <f>HYPERLINK("https://www.773grp.com/globalSearch/PCA9539DBR/page-1", "PCA9539DBR")</f>
        <v>PCA9539DBR</v>
      </c>
      <c r="B15405" s="3" t="str">
        <f>HYPERLINK("https://www.773grp.com/manufacturer/texas-instruments?pageNo=7", "Texas Instruments")</f>
        <v>Texas Instruments</v>
      </c>
      <c r="C15405" s="5">
        <v>24917</v>
      </c>
      <c r="D15405" s="6">
        <v>4.2300000000000004</v>
      </c>
      <c r="E15405" t="s">
        <v>78</v>
      </c>
    </row>
    <row r="15406" spans="1:5" x14ac:dyDescent="0.25">
      <c r="A15406" t="str">
        <f>HYPERLINK("https://www.773grp.com/globalSearch/PCA9539DGVR/page-1", "PCA9539DGVR")</f>
        <v>PCA9539DGVR</v>
      </c>
      <c r="B15406" s="3" t="str">
        <f>HYPERLINK("https://www.773grp.com/manufacturer/texas-instruments?pageNo=8", "Texas Instruments")</f>
        <v>Texas Instruments</v>
      </c>
      <c r="C15406" s="5">
        <v>2000</v>
      </c>
      <c r="D15406" s="6">
        <v>4.2300000000000004</v>
      </c>
      <c r="E15406" t="s">
        <v>78</v>
      </c>
    </row>
    <row r="15407" spans="1:5" x14ac:dyDescent="0.25">
      <c r="A15407" t="str">
        <f>HYPERLINK("https://www.773grp.com/globalSearch/PCA9539DWR/page-1", "PCA9539DWR")</f>
        <v>PCA9539DWR</v>
      </c>
      <c r="B15407" s="3" t="str">
        <f>HYPERLINK("https://www.773grp.com/manufacturer/texas-instruments?pageNo=9", "Texas Instruments")</f>
        <v>Texas Instruments</v>
      </c>
      <c r="C15407" s="5">
        <v>15970</v>
      </c>
      <c r="D15407" s="6">
        <v>4.2300000000000004</v>
      </c>
      <c r="E15407" t="s">
        <v>78</v>
      </c>
    </row>
    <row r="15408" spans="1:5" x14ac:dyDescent="0.25">
      <c r="A15408" t="str">
        <f>HYPERLINK("https://www.773grp.com/globalSearch/PCA9539RGER/page-1", "PCA9539RGER")</f>
        <v>PCA9539RGER</v>
      </c>
      <c r="B15408" s="3" t="str">
        <f>HYPERLINK("https://www.773grp.com/manufacturer/texas-instruments?pageNo=10", "Texas Instruments")</f>
        <v>Texas Instruments</v>
      </c>
      <c r="C15408" s="5">
        <v>21000</v>
      </c>
      <c r="D15408" s="6">
        <v>4.2300000000000004</v>
      </c>
      <c r="E15408" t="s">
        <v>78</v>
      </c>
    </row>
    <row r="15409" spans="1:5" x14ac:dyDescent="0.25">
      <c r="A15409" t="str">
        <f>HYPERLINK("https://www.773grp.com/globalSearch/PCA9555DBQR/page-1", "PCA9555DBQR")</f>
        <v>PCA9555DBQR</v>
      </c>
      <c r="B15409" s="3" t="str">
        <f>HYPERLINK("https://www.773grp.com/manufacturer/texas-instruments?pageNo=370", "Texas Instruments")</f>
        <v>Texas Instruments</v>
      </c>
      <c r="C15409" s="5">
        <v>15450</v>
      </c>
      <c r="D15409" s="6">
        <v>4.28</v>
      </c>
      <c r="E15409" t="s">
        <v>78</v>
      </c>
    </row>
    <row r="15410" spans="1:5" x14ac:dyDescent="0.25">
      <c r="A15410" t="str">
        <f>HYPERLINK("https://www.773grp.com/globalSearch/PCA9555DBR/page-1", "PCA9555DBR")</f>
        <v>PCA9555DBR</v>
      </c>
      <c r="B15410" s="3" t="str">
        <f>HYPERLINK("https://www.773grp.com/manufacturer/texas-instruments?pageNo=371", "Texas Instruments")</f>
        <v>Texas Instruments</v>
      </c>
      <c r="C15410" s="5">
        <v>94764</v>
      </c>
      <c r="D15410" s="6">
        <v>4.28</v>
      </c>
      <c r="E15410" t="s">
        <v>78</v>
      </c>
    </row>
    <row r="15411" spans="1:5" x14ac:dyDescent="0.25">
      <c r="A15411" t="str">
        <f>HYPERLINK("https://www.773grp.com/globalSearch/PCA9555DGVR/page-1", "PCA9555DGVR")</f>
        <v>PCA9555DGVR</v>
      </c>
      <c r="B15411" s="3" t="str">
        <f>HYPERLINK("https://www.773grp.com/manufacturer/texas-instruments?pageNo=372", "Texas Instruments")</f>
        <v>Texas Instruments</v>
      </c>
      <c r="C15411" s="5">
        <v>7800</v>
      </c>
      <c r="D15411" s="6">
        <v>4.28</v>
      </c>
      <c r="E15411" t="s">
        <v>78</v>
      </c>
    </row>
    <row r="15412" spans="1:5" x14ac:dyDescent="0.25">
      <c r="A15412" t="str">
        <f>HYPERLINK("https://www.773grp.com/globalSearch/PCA9555RGER/page-1", "PCA9555RGER")</f>
        <v>PCA9555RGER</v>
      </c>
      <c r="B15412" s="3" t="str">
        <f>HYPERLINK("https://www.773grp.com/manufacturer/texas-instruments?pageNo=373", "Texas Instruments")</f>
        <v>Texas Instruments</v>
      </c>
      <c r="C15412" s="5">
        <v>38164</v>
      </c>
      <c r="D15412" s="6">
        <v>4.28</v>
      </c>
      <c r="E15412" t="s">
        <v>78</v>
      </c>
    </row>
    <row r="15413" spans="1:5" x14ac:dyDescent="0.25">
      <c r="A15413" t="str">
        <f>HYPERLINK("https://www.773grp.com/globalSearch/TCA6416RTWT/page-1", "TCA6416RTWT")</f>
        <v>TCA6416RTWT</v>
      </c>
      <c r="B15413" s="3" t="str">
        <f>HYPERLINK("https://www.773grp.com/manufacturer/texas-instruments?pageNo=608", "Texas Instruments")</f>
        <v>Texas Instruments</v>
      </c>
      <c r="C15413" s="5">
        <v>11848</v>
      </c>
      <c r="D15413" s="6">
        <v>3.94</v>
      </c>
      <c r="E15413" t="s">
        <v>78</v>
      </c>
    </row>
    <row r="15414" spans="1:5" x14ac:dyDescent="0.25">
      <c r="A15414" t="str">
        <f>HYPERLINK("https://www.773grp.com/globalSearch/TCA6424RGJR/page-1", "TCA6424RGJR")</f>
        <v>TCA6424RGJR</v>
      </c>
      <c r="B15414" s="3" t="str">
        <f>HYPERLINK("https://www.773grp.com/manufacturer/texas-instruments?pageNo=609", "Texas Instruments")</f>
        <v>Texas Instruments</v>
      </c>
      <c r="C15414" s="5">
        <v>94994</v>
      </c>
      <c r="D15414" s="6">
        <v>3.94</v>
      </c>
      <c r="E15414" t="s">
        <v>78</v>
      </c>
    </row>
    <row r="15415" spans="1:5" x14ac:dyDescent="0.25">
      <c r="A15415" t="str">
        <f>HYPERLINK("https://www.773grp.com/globalSearch/PCA9554ADB/page-1", "PCA9554ADB")</f>
        <v>PCA9554ADB</v>
      </c>
      <c r="B15415" s="3" t="str">
        <f>HYPERLINK("https://www.773grp.com/manufacturer/texas-instruments?pageNo=780", "Texas Instruments")</f>
        <v>Texas Instruments</v>
      </c>
      <c r="C15415" s="5">
        <v>6704</v>
      </c>
      <c r="D15415" s="6">
        <v>4.38</v>
      </c>
      <c r="E15415" t="s">
        <v>78</v>
      </c>
    </row>
    <row r="15416" spans="1:5" x14ac:dyDescent="0.25">
      <c r="A15416" t="str">
        <f>HYPERLINK("https://www.773grp.com/globalSearch/PCA9554ADW/page-1", "PCA9554ADW")</f>
        <v>PCA9554ADW</v>
      </c>
      <c r="B15416" s="3" t="str">
        <f>HYPERLINK("https://www.773grp.com/manufacturer/texas-instruments?pageNo=781", "Texas Instruments")</f>
        <v>Texas Instruments</v>
      </c>
      <c r="C15416" s="5">
        <v>1954</v>
      </c>
      <c r="D15416" s="6">
        <v>4.38</v>
      </c>
      <c r="E15416" t="s">
        <v>78</v>
      </c>
    </row>
    <row r="15417" spans="1:5" x14ac:dyDescent="0.25">
      <c r="A15417" t="str">
        <f>HYPERLINK("https://www.773grp.com/globalSearch/PCA9554DB/page-1", "PCA9554DB")</f>
        <v>PCA9554DB</v>
      </c>
      <c r="B15417" s="3" t="str">
        <f>HYPERLINK("https://www.773grp.com/manufacturer/texas-instruments?pageNo=782", "Texas Instruments")</f>
        <v>Texas Instruments</v>
      </c>
      <c r="C15417" s="5">
        <v>29910</v>
      </c>
      <c r="D15417" s="6">
        <v>4.38</v>
      </c>
      <c r="E15417" t="s">
        <v>78</v>
      </c>
    </row>
    <row r="15418" spans="1:5" x14ac:dyDescent="0.25">
      <c r="A15418" t="str">
        <f>HYPERLINK("https://www.773grp.com/globalSearch/PCA9554DW/page-1", "PCA9554DW")</f>
        <v>PCA9554DW</v>
      </c>
      <c r="B15418" s="3" t="str">
        <f>HYPERLINK("https://www.773grp.com/manufacturer/texas-instruments?pageNo=783", "Texas Instruments")</f>
        <v>Texas Instruments</v>
      </c>
      <c r="C15418" s="5">
        <v>4040</v>
      </c>
      <c r="D15418" s="6">
        <v>4.38</v>
      </c>
      <c r="E15418" t="s">
        <v>78</v>
      </c>
    </row>
    <row r="15419" spans="1:5" x14ac:dyDescent="0.25">
      <c r="A15419" t="str">
        <f>HYPERLINK("https://www.773grp.com/globalSearch/PCA9555PWR/page-1", "PCA9555PWR")</f>
        <v>PCA9555PWR</v>
      </c>
      <c r="B15419" s="3" t="s">
        <v>90</v>
      </c>
      <c r="C15419" s="5">
        <v>6000</v>
      </c>
      <c r="D15419" s="6">
        <v>4.09</v>
      </c>
      <c r="E15419" t="s">
        <v>78</v>
      </c>
    </row>
    <row r="15420" spans="1:5" x14ac:dyDescent="0.25">
      <c r="A15420" t="str">
        <f>HYPERLINK("https://www.773grp.com/globalSearch/PCA9535DBQR/page-1", "PCA9535DBQR")</f>
        <v>PCA9535DBQR</v>
      </c>
      <c r="B15420" s="3" t="s">
        <v>90</v>
      </c>
      <c r="C15420" s="5">
        <v>18621</v>
      </c>
      <c r="D15420" s="6">
        <v>4.54</v>
      </c>
      <c r="E15420" t="s">
        <v>78</v>
      </c>
    </row>
    <row r="15421" spans="1:5" x14ac:dyDescent="0.25">
      <c r="A15421" t="str">
        <f>HYPERLINK("https://www.773grp.com/globalSearch/PCA9535DBR/page-1", "PCA9535DBR")</f>
        <v>PCA9535DBR</v>
      </c>
      <c r="B15421" s="3" t="s">
        <v>90</v>
      </c>
      <c r="C15421" s="5">
        <v>25600</v>
      </c>
      <c r="D15421" s="6">
        <v>4.54</v>
      </c>
      <c r="E15421" t="s">
        <v>78</v>
      </c>
    </row>
    <row r="15422" spans="1:5" x14ac:dyDescent="0.25">
      <c r="A15422" t="str">
        <f>HYPERLINK("https://www.773grp.com/globalSearch/PCA9535DGVR/page-1", "PCA9535DGVR")</f>
        <v>PCA9535DGVR</v>
      </c>
      <c r="B15422" s="3" t="s">
        <v>90</v>
      </c>
      <c r="C15422" s="5">
        <v>73752</v>
      </c>
      <c r="D15422" s="6">
        <v>4.54</v>
      </c>
      <c r="E15422" t="s">
        <v>78</v>
      </c>
    </row>
    <row r="15423" spans="1:5" x14ac:dyDescent="0.25">
      <c r="A15423" t="str">
        <f>HYPERLINK("https://www.773grp.com/globalSearch/PCA9535DWR/page-1", "PCA9535DWR")</f>
        <v>PCA9535DWR</v>
      </c>
      <c r="B15423" s="3" t="s">
        <v>90</v>
      </c>
      <c r="C15423" s="5">
        <v>11865</v>
      </c>
      <c r="D15423" s="6">
        <v>4.54</v>
      </c>
      <c r="E15423" t="s">
        <v>78</v>
      </c>
    </row>
    <row r="15424" spans="1:5" x14ac:dyDescent="0.25">
      <c r="A15424" t="str">
        <f>HYPERLINK("https://www.773grp.com/globalSearch/PCA9535RGER/page-1", "PCA9535RGER")</f>
        <v>PCA9535RGER</v>
      </c>
      <c r="B15424" s="3" t="s">
        <v>90</v>
      </c>
      <c r="C15424" s="5">
        <v>938261</v>
      </c>
      <c r="D15424" s="6">
        <v>4.54</v>
      </c>
      <c r="E15424" t="s">
        <v>78</v>
      </c>
    </row>
    <row r="15425" spans="1:5" x14ac:dyDescent="0.25">
      <c r="A15425" t="str">
        <f>HYPERLINK("https://www.773grp.com/globalSearch/PCF8574ADGVR/page-1", "PCF8574ADGVR")</f>
        <v>PCF8574ADGVR</v>
      </c>
      <c r="B15425" s="3" t="s">
        <v>90</v>
      </c>
      <c r="C15425" s="5">
        <v>10000</v>
      </c>
      <c r="D15425" s="6">
        <v>4.54</v>
      </c>
      <c r="E15425" t="s">
        <v>78</v>
      </c>
    </row>
    <row r="15426" spans="1:5" x14ac:dyDescent="0.25">
      <c r="A15426" t="str">
        <f>HYPERLINK("https://www.773grp.com/globalSearch/PCF8574ADWR/page-1", "PCF8574ADWR")</f>
        <v>PCF8574ADWR</v>
      </c>
      <c r="B15426" s="3" t="s">
        <v>90</v>
      </c>
      <c r="C15426" s="5">
        <v>26000</v>
      </c>
      <c r="D15426" s="6">
        <v>4.54</v>
      </c>
      <c r="E15426" t="s">
        <v>78</v>
      </c>
    </row>
    <row r="15427" spans="1:5" x14ac:dyDescent="0.25">
      <c r="A15427" t="str">
        <f>HYPERLINK("https://www.773grp.com/globalSearch/PCF8574ADWR/page-1", "PCF8574ADWR")</f>
        <v>PCF8574ADWR</v>
      </c>
      <c r="B15427" s="3" t="s">
        <v>90</v>
      </c>
      <c r="C15427" s="5">
        <v>72145</v>
      </c>
      <c r="D15427" s="6">
        <v>4.54</v>
      </c>
      <c r="E15427" t="s">
        <v>78</v>
      </c>
    </row>
    <row r="15428" spans="1:5" x14ac:dyDescent="0.25">
      <c r="A15428" t="str">
        <f>HYPERLINK("https://www.773grp.com/globalSearch/PCF8574APWR/page-1", "PCF8574APWR")</f>
        <v>PCF8574APWR</v>
      </c>
      <c r="B15428" s="3" t="s">
        <v>90</v>
      </c>
      <c r="C15428" s="5">
        <v>37000</v>
      </c>
      <c r="D15428" s="6">
        <v>4.54</v>
      </c>
      <c r="E15428" t="s">
        <v>78</v>
      </c>
    </row>
    <row r="15429" spans="1:5" x14ac:dyDescent="0.25">
      <c r="A15429" t="str">
        <f>HYPERLINK("https://www.773grp.com/globalSearch/PCF8574ARGYR/page-1", "PCF8574ARGYR")</f>
        <v>PCF8574ARGYR</v>
      </c>
      <c r="B15429" s="3" t="s">
        <v>90</v>
      </c>
      <c r="C15429" s="5">
        <v>127426</v>
      </c>
      <c r="D15429" s="6">
        <v>4.54</v>
      </c>
      <c r="E15429" t="s">
        <v>78</v>
      </c>
    </row>
    <row r="15430" spans="1:5" x14ac:dyDescent="0.25">
      <c r="A15430" t="str">
        <f>HYPERLINK("https://www.773grp.com/globalSearch/PCF8574DGVR/page-1", "PCF8574DGVR")</f>
        <v>PCF8574DGVR</v>
      </c>
      <c r="B15430" s="3" t="s">
        <v>90</v>
      </c>
      <c r="C15430" s="5">
        <v>8000</v>
      </c>
      <c r="D15430" s="6">
        <v>4.54</v>
      </c>
      <c r="E15430" t="s">
        <v>78</v>
      </c>
    </row>
    <row r="15431" spans="1:5" x14ac:dyDescent="0.25">
      <c r="A15431" t="str">
        <f>HYPERLINK("https://www.773grp.com/globalSearch/PCF8574DWR/page-1", "PCF8574DWR")</f>
        <v>PCF8574DWR</v>
      </c>
      <c r="B15431" s="3" t="s">
        <v>90</v>
      </c>
      <c r="C15431" s="5">
        <v>66000</v>
      </c>
      <c r="D15431" s="6">
        <v>4.54</v>
      </c>
      <c r="E15431" t="s">
        <v>78</v>
      </c>
    </row>
    <row r="15432" spans="1:5" x14ac:dyDescent="0.25">
      <c r="A15432" t="str">
        <f>HYPERLINK("https://www.773grp.com/globalSearch/PCF8574RGTR/page-1", "PCF8574RGTR")</f>
        <v>PCF8574RGTR</v>
      </c>
      <c r="B15432" s="3" t="s">
        <v>90</v>
      </c>
      <c r="C15432" s="5">
        <v>3000</v>
      </c>
      <c r="D15432" s="6">
        <v>4.54</v>
      </c>
      <c r="E15432" t="s">
        <v>78</v>
      </c>
    </row>
    <row r="15433" spans="1:5" x14ac:dyDescent="0.25">
      <c r="A15433" t="str">
        <f>HYPERLINK("https://www.773grp.com/globalSearch/PCF8574RGYR/page-1", "PCF8574RGYR")</f>
        <v>PCF8574RGYR</v>
      </c>
      <c r="B15433" s="3" t="s">
        <v>90</v>
      </c>
      <c r="C15433" s="5">
        <v>54770</v>
      </c>
      <c r="D15433" s="6">
        <v>4.54</v>
      </c>
      <c r="E15433" t="s">
        <v>78</v>
      </c>
    </row>
    <row r="15434" spans="1:5" x14ac:dyDescent="0.25">
      <c r="A15434" t="str">
        <f>HYPERLINK("https://www.773grp.com/globalSearch/PCA6107DWR/page-1", "PCA6107DWR")</f>
        <v>PCA6107DWR</v>
      </c>
      <c r="B15434" s="3" t="s">
        <v>90</v>
      </c>
      <c r="C15434" s="5">
        <v>8000</v>
      </c>
      <c r="D15434" s="6">
        <v>4.74</v>
      </c>
      <c r="E15434" t="s">
        <v>78</v>
      </c>
    </row>
    <row r="15435" spans="1:5" x14ac:dyDescent="0.25">
      <c r="A15435" t="str">
        <f>HYPERLINK("https://www.773grp.com/globalSearch/PCF8575CDB/page-1", "PCF8575CDB")</f>
        <v>PCF8575CDB</v>
      </c>
      <c r="B15435" s="3" t="s">
        <v>90</v>
      </c>
      <c r="C15435" s="5">
        <v>5662</v>
      </c>
      <c r="D15435" s="6">
        <v>4.43</v>
      </c>
      <c r="E15435" t="s">
        <v>78</v>
      </c>
    </row>
    <row r="15436" spans="1:5" x14ac:dyDescent="0.25">
      <c r="A15436" t="str">
        <f>HYPERLINK("https://www.773grp.com/globalSearch/PCF8575CDW/page-1", "PCF8575CDW")</f>
        <v>PCF8575CDW</v>
      </c>
      <c r="B15436" s="3" t="s">
        <v>90</v>
      </c>
      <c r="C15436" s="5">
        <v>605</v>
      </c>
      <c r="D15436" s="6">
        <v>4.43</v>
      </c>
      <c r="E15436" t="s">
        <v>78</v>
      </c>
    </row>
    <row r="15437" spans="1:5" x14ac:dyDescent="0.25">
      <c r="A15437" t="str">
        <f>HYPERLINK("https://www.773grp.com/globalSearch/PCF8575CDW/page-1", "PCF8575CDW")</f>
        <v>PCF8575CDW</v>
      </c>
      <c r="B15437" s="3" t="s">
        <v>90</v>
      </c>
      <c r="C15437" s="5">
        <v>638</v>
      </c>
      <c r="D15437" s="6">
        <v>4.43</v>
      </c>
      <c r="E15437" t="s">
        <v>78</v>
      </c>
    </row>
    <row r="15438" spans="1:5" x14ac:dyDescent="0.25">
      <c r="A15438" t="str">
        <f>HYPERLINK("https://www.773grp.com/globalSearch/PCF8575CPW/page-1", "PCF8575CPW")</f>
        <v>PCF8575CPW</v>
      </c>
      <c r="B15438" s="3" t="s">
        <v>90</v>
      </c>
      <c r="C15438" s="5">
        <v>4370</v>
      </c>
      <c r="D15438" s="6">
        <v>4.43</v>
      </c>
      <c r="E15438" t="s">
        <v>78</v>
      </c>
    </row>
    <row r="15439" spans="1:5" x14ac:dyDescent="0.25">
      <c r="A15439" t="str">
        <f>HYPERLINK("https://www.773grp.com/globalSearch/PCF8575DBR/page-1", "PCF8575DBR")</f>
        <v>PCF8575DBR</v>
      </c>
      <c r="B15439" s="3" t="s">
        <v>90</v>
      </c>
      <c r="C15439" s="5">
        <v>7729</v>
      </c>
      <c r="D15439" s="6">
        <v>4.43</v>
      </c>
      <c r="E15439" t="s">
        <v>78</v>
      </c>
    </row>
    <row r="15440" spans="1:5" x14ac:dyDescent="0.25">
      <c r="A15440" t="str">
        <f>HYPERLINK("https://www.773grp.com/globalSearch/PCF8575DW/page-1", "PCF8575DW")</f>
        <v>PCF8575DW</v>
      </c>
      <c r="B15440" s="3" t="s">
        <v>90</v>
      </c>
      <c r="C15440" s="5">
        <v>4365</v>
      </c>
      <c r="D15440" s="6">
        <v>4.43</v>
      </c>
      <c r="E15440" t="s">
        <v>78</v>
      </c>
    </row>
    <row r="15441" spans="1:5" x14ac:dyDescent="0.25">
      <c r="A15441" t="str">
        <f>HYPERLINK("https://www.773grp.com/globalSearch/PCF8575PW/page-1", "PCF8575PW")</f>
        <v>PCF8575PW</v>
      </c>
      <c r="B15441" s="3" t="s">
        <v>90</v>
      </c>
      <c r="C15441" s="5">
        <v>255</v>
      </c>
      <c r="D15441" s="6">
        <v>4.43</v>
      </c>
      <c r="E15441" t="s">
        <v>78</v>
      </c>
    </row>
    <row r="15442" spans="1:5" x14ac:dyDescent="0.25">
      <c r="A15442" t="str">
        <f>HYPERLINK("https://www.773grp.com/globalSearch/PCF8575PWE4/page-1", "PCF8575PWE4")</f>
        <v>PCF8575PWE4</v>
      </c>
      <c r="B15442" s="3" t="s">
        <v>90</v>
      </c>
      <c r="C15442" s="5">
        <v>240</v>
      </c>
      <c r="D15442" s="6">
        <v>4.43</v>
      </c>
      <c r="E15442" t="s">
        <v>78</v>
      </c>
    </row>
    <row r="15443" spans="1:5" x14ac:dyDescent="0.25">
      <c r="A15443" t="str">
        <f>HYPERLINK("https://www.773grp.com/globalSearch/PCF8574AN/page-1", "PCF8574AN")</f>
        <v>PCF8574AN</v>
      </c>
      <c r="B15443" s="3" t="str">
        <f>HYPERLINK("https://www.773grp.com/manufacturer/texas-instruments?pageNo=270", "Texas Instruments")</f>
        <v>Texas Instruments</v>
      </c>
      <c r="C15443" s="5">
        <v>7122</v>
      </c>
      <c r="D15443" s="6">
        <v>4.96</v>
      </c>
      <c r="E15443" t="s">
        <v>78</v>
      </c>
    </row>
    <row r="15444" spans="1:5" x14ac:dyDescent="0.25">
      <c r="A15444" t="str">
        <f>HYPERLINK("https://www.773grp.com/globalSearch/PCF8574N/page-1", "PCF8574N")</f>
        <v>PCF8574N</v>
      </c>
      <c r="B15444" s="3" t="str">
        <f>HYPERLINK("https://www.773grp.com/manufacturer/texas-instruments?pageNo=271", "Texas Instruments")</f>
        <v>Texas Instruments</v>
      </c>
      <c r="C15444" s="5">
        <v>4178</v>
      </c>
      <c r="D15444" s="6">
        <v>4.96</v>
      </c>
      <c r="E15444" t="s">
        <v>78</v>
      </c>
    </row>
    <row r="15445" spans="1:5" x14ac:dyDescent="0.25">
      <c r="A15445" t="str">
        <f>HYPERLINK("https://www.773grp.com/globalSearch/PCA9539DB/page-1", "PCA9539DB")</f>
        <v>PCA9539DB</v>
      </c>
      <c r="B15445" s="3" t="str">
        <f>HYPERLINK("https://www.773grp.com/manufacturer/texas-instruments?pageNo=793", "Texas Instruments")</f>
        <v>Texas Instruments</v>
      </c>
      <c r="C15445" s="5">
        <v>8960</v>
      </c>
      <c r="D15445" s="6">
        <v>5.0599999999999996</v>
      </c>
      <c r="E15445" t="s">
        <v>78</v>
      </c>
    </row>
    <row r="15446" spans="1:5" x14ac:dyDescent="0.25">
      <c r="A15446" t="str">
        <f>HYPERLINK("https://www.773grp.com/globalSearch/PCA9539DW/page-1", "PCA9539DW")</f>
        <v>PCA9539DW</v>
      </c>
      <c r="B15446" s="3" t="str">
        <f>HYPERLINK("https://www.773grp.com/manufacturer/texas-instruments?pageNo=794", "Texas Instruments")</f>
        <v>Texas Instruments</v>
      </c>
      <c r="C15446" s="5">
        <v>6606</v>
      </c>
      <c r="D15446" s="6">
        <v>5.0599999999999996</v>
      </c>
      <c r="E15446" t="s">
        <v>78</v>
      </c>
    </row>
    <row r="15447" spans="1:5" x14ac:dyDescent="0.25">
      <c r="A15447" t="str">
        <f>HYPERLINK("https://www.773grp.com/globalSearch/PCA9555DB/page-1", "PCA9555DB")</f>
        <v>PCA9555DB</v>
      </c>
      <c r="B15447" s="3" t="str">
        <f>HYPERLINK("https://www.773grp.com/manufacturer/texas-instruments?pageNo=965", "Texas Instruments")</f>
        <v>Texas Instruments</v>
      </c>
      <c r="C15447" s="5">
        <v>6378</v>
      </c>
      <c r="D15447" s="6">
        <v>5.1100000000000003</v>
      </c>
      <c r="E15447" t="s">
        <v>78</v>
      </c>
    </row>
    <row r="15448" spans="1:5" x14ac:dyDescent="0.25">
      <c r="A15448" t="str">
        <f>HYPERLINK("https://www.773grp.com/globalSearch/PCA9555DW/page-1", "PCA9555DW")</f>
        <v>PCA9555DW</v>
      </c>
      <c r="B15448" s="3" t="str">
        <f>HYPERLINK("https://www.773grp.com/manufacturer/texas-instruments?pageNo=966", "Texas Instruments")</f>
        <v>Texas Instruments</v>
      </c>
      <c r="C15448" s="5">
        <v>340</v>
      </c>
      <c r="D15448" s="6">
        <v>5.1100000000000003</v>
      </c>
      <c r="E15448" t="s">
        <v>78</v>
      </c>
    </row>
    <row r="15449" spans="1:5" x14ac:dyDescent="0.25">
      <c r="A15449" t="str">
        <f>HYPERLINK("https://www.773grp.com/globalSearch/PCA9555PW/page-1", "PCA9555PW")</f>
        <v>PCA9555PW</v>
      </c>
      <c r="B15449" s="3" t="str">
        <f>HYPERLINK("https://www.773grp.com/manufacturer/texas-instruments?pageNo=967", "Texas Instruments")</f>
        <v>Texas Instruments</v>
      </c>
      <c r="C15449" s="5">
        <v>45196</v>
      </c>
      <c r="D15449" s="6">
        <v>5.1100000000000003</v>
      </c>
      <c r="E15449" t="s">
        <v>78</v>
      </c>
    </row>
    <row r="15450" spans="1:5" x14ac:dyDescent="0.25">
      <c r="A15450" t="str">
        <f>HYPERLINK("https://www.773grp.com/globalSearch/PCA9555PWE4/page-1", "PCA9555PWE4")</f>
        <v>PCA9555PWE4</v>
      </c>
      <c r="B15450" s="3" t="str">
        <f>HYPERLINK("https://www.773grp.com/manufacturer/texas-instruments?pageNo=968", "Texas Instruments")</f>
        <v>Texas Instruments</v>
      </c>
      <c r="C15450" s="5">
        <v>738</v>
      </c>
      <c r="D15450" s="6">
        <v>5.1100000000000003</v>
      </c>
      <c r="E15450" t="s">
        <v>78</v>
      </c>
    </row>
    <row r="15451" spans="1:5" x14ac:dyDescent="0.25">
      <c r="A15451" t="str">
        <f>HYPERLINK("https://www.773grp.com/globalSearch/SN74LS612FN/page-1", "SN74LS612FN")</f>
        <v>SN74LS612FN</v>
      </c>
      <c r="B15451" s="3" t="s">
        <v>90</v>
      </c>
      <c r="C15451" s="5">
        <v>15779</v>
      </c>
      <c r="D15451" s="6">
        <v>21.15</v>
      </c>
      <c r="E15451" t="s">
        <v>78</v>
      </c>
    </row>
    <row r="15452" spans="1:5" x14ac:dyDescent="0.25">
      <c r="A15452" t="str">
        <f>HYPERLINK("https://www.773grp.com/globalSearch/SN74LS612N/page-1", "SN74LS612N")</f>
        <v>SN74LS612N</v>
      </c>
      <c r="B15452" s="3" t="s">
        <v>90</v>
      </c>
      <c r="C15452" s="5">
        <v>5966</v>
      </c>
      <c r="D15452" s="6">
        <v>21.85</v>
      </c>
      <c r="E15452" t="s">
        <v>78</v>
      </c>
    </row>
    <row r="15453" spans="1:5" x14ac:dyDescent="0.25">
      <c r="A15453" t="str">
        <f>HYPERLINK("https://www.773grp.com/globalSearch/SN74LS610N/page-1", "SN74LS610N")</f>
        <v>SN74LS610N</v>
      </c>
      <c r="B15453" s="3" t="s">
        <v>90</v>
      </c>
      <c r="C15453" s="5">
        <v>4167</v>
      </c>
      <c r="D15453" s="6">
        <v>25.85</v>
      </c>
      <c r="E15453" t="s">
        <v>78</v>
      </c>
    </row>
    <row r="15454" spans="1:5" x14ac:dyDescent="0.25">
      <c r="A15454" t="str">
        <f>HYPERLINK("https://www.773grp.com/globalSearch/Z0842004VSC/page-1", "Z0842004VSC")</f>
        <v>Z0842004VSC</v>
      </c>
      <c r="B15454" s="3" t="s">
        <v>121</v>
      </c>
      <c r="C15454" s="5">
        <v>55</v>
      </c>
      <c r="D15454" s="6">
        <v>3.34</v>
      </c>
      <c r="E15454" t="s">
        <v>78</v>
      </c>
    </row>
    <row r="15455" spans="1:5" x14ac:dyDescent="0.25">
      <c r="A15455" t="str">
        <f>HYPERLINK("https://www.773grp.com/globalSearch/Z0842006VSC/page-1", "Z0842006VSC")</f>
        <v>Z0842006VSC</v>
      </c>
      <c r="B15455" s="3" t="s">
        <v>121</v>
      </c>
      <c r="C15455" s="5">
        <v>474</v>
      </c>
      <c r="D15455" s="6">
        <v>3.34</v>
      </c>
      <c r="E15455" t="s">
        <v>78</v>
      </c>
    </row>
    <row r="15456" spans="1:5" x14ac:dyDescent="0.25">
      <c r="A15456" t="str">
        <f>HYPERLINK("https://www.773grp.com/globalSearch/Z84C2006FEC/page-1", "Z84C2006FEC")</f>
        <v>Z84C2006FEC</v>
      </c>
      <c r="B15456" s="3" t="s">
        <v>121</v>
      </c>
      <c r="C15456" s="5">
        <v>902</v>
      </c>
      <c r="D15456" s="6">
        <v>5.85</v>
      </c>
      <c r="E15456" t="s">
        <v>78</v>
      </c>
    </row>
    <row r="15457" spans="1:5" x14ac:dyDescent="0.25">
      <c r="A15457" t="str">
        <f>HYPERLINK("https://www.773grp.com/globalSearch/Z84C2006FEG/page-1", "Z84C2006FEG")</f>
        <v>Z84C2006FEG</v>
      </c>
      <c r="B15457" s="3" t="s">
        <v>121</v>
      </c>
      <c r="C15457" s="5">
        <v>291</v>
      </c>
      <c r="D15457" s="6">
        <v>5.85</v>
      </c>
      <c r="E15457" t="s">
        <v>78</v>
      </c>
    </row>
    <row r="15458" spans="1:5" x14ac:dyDescent="0.25">
      <c r="A15458" t="str">
        <f>HYPERLINK("https://www.773grp.com/globalSearch/TPS2052AD/page-1", "TPS2052AD")</f>
        <v>TPS2052AD</v>
      </c>
      <c r="B15458" s="3" t="str">
        <f>HYPERLINK("https://www.773grp.com/manufacturer/texas-instruments?pageNo=611", "Texas Instruments")</f>
        <v>Texas Instruments</v>
      </c>
      <c r="C15458" s="5">
        <v>14457</v>
      </c>
      <c r="D15458" s="6">
        <v>3.66</v>
      </c>
      <c r="E15458" t="s">
        <v>9</v>
      </c>
    </row>
    <row r="15459" spans="1:5" x14ac:dyDescent="0.25">
      <c r="A15459" t="str">
        <f>HYPERLINK("https://www.773grp.com/globalSearch/TPS2085D/page-1", "TPS2085D")</f>
        <v>TPS2085D</v>
      </c>
      <c r="B15459" s="3" t="str">
        <f>HYPERLINK("https://www.773grp.com/manufacturer/texas-instruments?pageNo=612", "Texas Instruments")</f>
        <v>Texas Instruments</v>
      </c>
      <c r="C15459" s="5">
        <v>9060</v>
      </c>
      <c r="D15459" s="6">
        <v>3.66</v>
      </c>
      <c r="E15459" t="s">
        <v>9</v>
      </c>
    </row>
    <row r="15460" spans="1:5" x14ac:dyDescent="0.25">
      <c r="A15460" t="str">
        <f>HYPERLINK("https://www.773grp.com/globalSearch/TPS2087D/page-1", "TPS2087D")</f>
        <v>TPS2087D</v>
      </c>
      <c r="B15460" s="3" t="str">
        <f>HYPERLINK("https://www.773grp.com/manufacturer/texas-instruments?pageNo=613", "Texas Instruments")</f>
        <v>Texas Instruments</v>
      </c>
      <c r="C15460" s="5">
        <v>10908</v>
      </c>
      <c r="D15460" s="6">
        <v>3.66</v>
      </c>
      <c r="E15460" t="s">
        <v>9</v>
      </c>
    </row>
    <row r="15461" spans="1:5" x14ac:dyDescent="0.25">
      <c r="A15461" t="str">
        <f>HYPERLINK("https://www.773grp.com/globalSearch/TPS2097D/page-1", "TPS2097D")</f>
        <v>TPS2097D</v>
      </c>
      <c r="B15461" s="3" t="str">
        <f>HYPERLINK("https://www.773grp.com/manufacturer/texas-instruments?pageNo=614", "Texas Instruments")</f>
        <v>Texas Instruments</v>
      </c>
      <c r="C15461" s="5">
        <v>3184</v>
      </c>
      <c r="D15461" s="6">
        <v>3.66</v>
      </c>
      <c r="E15461" t="s">
        <v>9</v>
      </c>
    </row>
    <row r="15462" spans="1:5" x14ac:dyDescent="0.25">
      <c r="A15462" t="str">
        <f>HYPERLINK("https://www.773grp.com/globalSearch/UCC27200DDAR/page-1", "UCC27200DDAR")</f>
        <v>UCC27200DDAR</v>
      </c>
      <c r="B15462" s="3" t="str">
        <f>HYPERLINK("https://www.773grp.com/manufacturer/texas-instruments?pageNo=667", "Texas Instruments")</f>
        <v>Texas Instruments</v>
      </c>
      <c r="C15462" s="5">
        <v>2500</v>
      </c>
      <c r="D15462" s="6">
        <v>3.66</v>
      </c>
      <c r="E15462" t="s">
        <v>9</v>
      </c>
    </row>
    <row r="15463" spans="1:5" x14ac:dyDescent="0.25">
      <c r="A15463" t="str">
        <f>HYPERLINK("https://www.773grp.com/globalSearch/UCC27200DR/page-1", "UCC27200DR")</f>
        <v>UCC27200DR</v>
      </c>
      <c r="B15463" s="3" t="str">
        <f>HYPERLINK("https://www.773grp.com/manufacturer/texas-instruments?pageNo=668", "Texas Instruments")</f>
        <v>Texas Instruments</v>
      </c>
      <c r="C15463" s="5">
        <v>20000</v>
      </c>
      <c r="D15463" s="6">
        <v>3.66</v>
      </c>
      <c r="E15463" t="s">
        <v>9</v>
      </c>
    </row>
    <row r="15464" spans="1:5" x14ac:dyDescent="0.25">
      <c r="A15464" t="str">
        <f>HYPERLINK("https://www.773grp.com/globalSearch/UCC27200DRMR/page-1", "UCC27200DRMR")</f>
        <v>UCC27200DRMR</v>
      </c>
      <c r="B15464" s="3" t="str">
        <f>HYPERLINK("https://www.773grp.com/manufacturer/texas-instruments?pageNo=669", "Texas Instruments")</f>
        <v>Texas Instruments</v>
      </c>
      <c r="C15464" s="5">
        <v>6000</v>
      </c>
      <c r="D15464" s="6">
        <v>3.66</v>
      </c>
      <c r="E15464" t="s">
        <v>9</v>
      </c>
    </row>
    <row r="15465" spans="1:5" x14ac:dyDescent="0.25">
      <c r="A15465" t="str">
        <f>HYPERLINK("https://www.773grp.com/globalSearch/SN75463P/page-1", "SN75463P")</f>
        <v>SN75463P</v>
      </c>
      <c r="B15465" s="3" t="str">
        <f>HYPERLINK("https://www.773grp.com/manufacturer/texas-instruments?pageNo=703", "Texas Instruments")</f>
        <v>Texas Instruments</v>
      </c>
      <c r="C15465" s="5">
        <v>682</v>
      </c>
      <c r="D15465" s="6">
        <v>4.0599999999999996</v>
      </c>
      <c r="E15465" t="s">
        <v>9</v>
      </c>
    </row>
    <row r="15466" spans="1:5" x14ac:dyDescent="0.25">
      <c r="A15466" t="str">
        <f>HYPERLINK("https://www.773grp.com/globalSearch/TPS2056AD/page-1", "TPS2056AD")</f>
        <v>TPS2056AD</v>
      </c>
      <c r="B15466" s="3" t="str">
        <f>HYPERLINK("https://www.773grp.com/manufacturer/texas-instruments?pageNo=913", "Texas Instruments")</f>
        <v>Texas Instruments</v>
      </c>
      <c r="C15466" s="5">
        <v>514</v>
      </c>
      <c r="D15466" s="6">
        <v>4.1100000000000003</v>
      </c>
      <c r="E15466" t="s">
        <v>9</v>
      </c>
    </row>
    <row r="15467" spans="1:5" x14ac:dyDescent="0.25">
      <c r="A15467" t="str">
        <f>HYPERLINK("https://www.773grp.com/globalSearch/TPS2046AD/page-1", "TPS2046AD")</f>
        <v>TPS2046AD</v>
      </c>
      <c r="B15467" s="3" t="s">
        <v>90</v>
      </c>
      <c r="C15467" s="5">
        <v>18136</v>
      </c>
      <c r="D15467" s="6">
        <v>3.8</v>
      </c>
      <c r="E15467" t="s">
        <v>9</v>
      </c>
    </row>
    <row r="15468" spans="1:5" x14ac:dyDescent="0.25">
      <c r="A15468" t="str">
        <f>HYPERLINK("https://www.773grp.com/globalSearch/TPS2047ADR/page-1", "TPS2047ADR")</f>
        <v>TPS2047ADR</v>
      </c>
      <c r="B15468" s="3" t="s">
        <v>90</v>
      </c>
      <c r="C15468" s="5">
        <v>35000</v>
      </c>
      <c r="D15468" s="6">
        <v>3.8</v>
      </c>
      <c r="E15468" t="s">
        <v>9</v>
      </c>
    </row>
    <row r="15469" spans="1:5" x14ac:dyDescent="0.25">
      <c r="A15469" t="str">
        <f>HYPERLINK("https://www.773grp.com/globalSearch/TPS2047ADRG4/page-1", "TPS2047ADRG4")</f>
        <v>TPS2047ADRG4</v>
      </c>
      <c r="B15469" s="3" t="s">
        <v>90</v>
      </c>
      <c r="C15469" s="5">
        <v>20000</v>
      </c>
      <c r="D15469" s="6">
        <v>3.8</v>
      </c>
      <c r="E15469" t="s">
        <v>9</v>
      </c>
    </row>
    <row r="15470" spans="1:5" x14ac:dyDescent="0.25">
      <c r="A15470" t="str">
        <f>HYPERLINK("https://www.773grp.com/globalSearch/TPS2080D/page-1", "TPS2080D")</f>
        <v>TPS2080D</v>
      </c>
      <c r="B15470" s="3" t="str">
        <f>HYPERLINK("https://www.773grp.com/manufacturer/texas-instruments?pageNo=144", "Texas Instruments")</f>
        <v>Texas Instruments</v>
      </c>
      <c r="C15470" s="5">
        <v>2179</v>
      </c>
      <c r="D15470" s="6">
        <v>4.2300000000000004</v>
      </c>
      <c r="E15470" t="s">
        <v>9</v>
      </c>
    </row>
    <row r="15471" spans="1:5" x14ac:dyDescent="0.25">
      <c r="A15471" t="str">
        <f>HYPERLINK("https://www.773grp.com/globalSearch/TPS2082D/page-1", "TPS2082D")</f>
        <v>TPS2082D</v>
      </c>
      <c r="B15471" s="3" t="str">
        <f>HYPERLINK("https://www.773grp.com/manufacturer/texas-instruments?pageNo=145", "Texas Instruments")</f>
        <v>Texas Instruments</v>
      </c>
      <c r="C15471" s="5">
        <v>130</v>
      </c>
      <c r="D15471" s="6">
        <v>4.2300000000000004</v>
      </c>
      <c r="E15471" t="s">
        <v>9</v>
      </c>
    </row>
    <row r="15472" spans="1:5" x14ac:dyDescent="0.25">
      <c r="A15472" t="str">
        <f>HYPERLINK("https://www.773grp.com/globalSearch/TPS2090D/page-1", "TPS2090D")</f>
        <v>TPS2090D</v>
      </c>
      <c r="B15472" s="3" t="str">
        <f>HYPERLINK("https://www.773grp.com/manufacturer/texas-instruments?pageNo=146", "Texas Instruments")</f>
        <v>Texas Instruments</v>
      </c>
      <c r="C15472" s="5">
        <v>5815</v>
      </c>
      <c r="D15472" s="6">
        <v>4.2300000000000004</v>
      </c>
      <c r="E15472" t="s">
        <v>9</v>
      </c>
    </row>
    <row r="15473" spans="1:5" x14ac:dyDescent="0.25">
      <c r="A15473" t="str">
        <f>HYPERLINK("https://www.773grp.com/globalSearch/TPS2091D/page-1", "TPS2091D")</f>
        <v>TPS2091D</v>
      </c>
      <c r="B15473" s="3" t="str">
        <f>HYPERLINK("https://www.773grp.com/manufacturer/texas-instruments?pageNo=147", "Texas Instruments")</f>
        <v>Texas Instruments</v>
      </c>
      <c r="C15473" s="5">
        <v>7272</v>
      </c>
      <c r="D15473" s="6">
        <v>4.2300000000000004</v>
      </c>
      <c r="E15473" t="s">
        <v>9</v>
      </c>
    </row>
    <row r="15474" spans="1:5" x14ac:dyDescent="0.25">
      <c r="A15474" t="str">
        <f>HYPERLINK("https://www.773grp.com/globalSearch/TPS2048AD/page-1", "TPS2048AD")</f>
        <v>TPS2048AD</v>
      </c>
      <c r="B15474" s="3" t="str">
        <f>HYPERLINK("https://www.773grp.com/manufacturer/texas-instruments?pageNo=516", "Texas Instruments")</f>
        <v>Texas Instruments</v>
      </c>
      <c r="C15474" s="5">
        <v>2710</v>
      </c>
      <c r="D15474" s="6">
        <v>3.91</v>
      </c>
      <c r="E15474" t="s">
        <v>9</v>
      </c>
    </row>
    <row r="15475" spans="1:5" x14ac:dyDescent="0.25">
      <c r="A15475" t="str">
        <f>HYPERLINK("https://www.773grp.com/globalSearch/TPS2042AD/page-1", "TPS2042AD")</f>
        <v>TPS2042AD</v>
      </c>
      <c r="B15475" s="3" t="str">
        <f>HYPERLINK("https://www.773grp.com/manufacturer/texas-instruments?pageNo=647", "Texas Instruments")</f>
        <v>Texas Instruments</v>
      </c>
      <c r="C15475" s="5">
        <v>32881</v>
      </c>
      <c r="D15475" s="6">
        <v>3.94</v>
      </c>
      <c r="E15475" t="s">
        <v>9</v>
      </c>
    </row>
    <row r="15476" spans="1:5" x14ac:dyDescent="0.25">
      <c r="A15476" t="str">
        <f>HYPERLINK("https://www.773grp.com/globalSearch/TPS2051ADR/page-1", "TPS2051ADR")</f>
        <v>TPS2051ADR</v>
      </c>
      <c r="B15476" s="3" t="s">
        <v>90</v>
      </c>
      <c r="C15476" s="5">
        <v>82500</v>
      </c>
      <c r="D15476" s="6">
        <v>4.49</v>
      </c>
      <c r="E15476" t="s">
        <v>9</v>
      </c>
    </row>
    <row r="15477" spans="1:5" x14ac:dyDescent="0.25">
      <c r="A15477" t="str">
        <f>HYPERLINK("https://www.773grp.com/globalSearch/TPS2056P/page-1", "TPS2056P")</f>
        <v>TPS2056P</v>
      </c>
      <c r="B15477" s="3" t="s">
        <v>90</v>
      </c>
      <c r="C15477" s="5">
        <v>17800</v>
      </c>
      <c r="D15477" s="6">
        <v>4.09</v>
      </c>
      <c r="E15477" t="s">
        <v>9</v>
      </c>
    </row>
    <row r="15478" spans="1:5" x14ac:dyDescent="0.25">
      <c r="A15478" t="str">
        <f>HYPERLINK("https://www.773grp.com/globalSearch/TPIC6595DW/page-1", "TPIC6595DW")</f>
        <v>TPIC6595DW</v>
      </c>
      <c r="B15478" s="3" t="s">
        <v>90</v>
      </c>
      <c r="C15478" s="5">
        <v>8</v>
      </c>
      <c r="D15478" s="6">
        <v>4.2300000000000004</v>
      </c>
      <c r="E15478" t="s">
        <v>9</v>
      </c>
    </row>
    <row r="15479" spans="1:5" x14ac:dyDescent="0.25">
      <c r="A15479" t="str">
        <f>HYPERLINK("https://www.773grp.com/globalSearch/TPIC6596DW/page-1", "TPIC6596DW")</f>
        <v>TPIC6596DW</v>
      </c>
      <c r="B15479" s="3" t="s">
        <v>90</v>
      </c>
      <c r="C15479" s="5">
        <v>560</v>
      </c>
      <c r="D15479" s="6">
        <v>4.2300000000000004</v>
      </c>
      <c r="E15479" t="s">
        <v>9</v>
      </c>
    </row>
    <row r="15480" spans="1:5" x14ac:dyDescent="0.25">
      <c r="A15480" t="str">
        <f>HYPERLINK("https://www.773grp.com/globalSearch/UCC27200DRMT/page-1", "UCC27200DRMT")</f>
        <v>UCC27200DRMT</v>
      </c>
      <c r="B15480" s="3" t="s">
        <v>90</v>
      </c>
      <c r="C15480" s="5">
        <v>22960</v>
      </c>
      <c r="D15480" s="6">
        <v>4.2300000000000004</v>
      </c>
      <c r="E15480" t="s">
        <v>9</v>
      </c>
    </row>
    <row r="15481" spans="1:5" x14ac:dyDescent="0.25">
      <c r="A15481" t="str">
        <f>HYPERLINK("https://www.773grp.com/globalSearch/TPS2045DR/page-1", "TPS2045DR")</f>
        <v>TPS2045DR</v>
      </c>
      <c r="B15481" s="3" t="s">
        <v>90</v>
      </c>
      <c r="C15481" s="5">
        <v>38218</v>
      </c>
      <c r="D15481" s="6">
        <v>4.28</v>
      </c>
      <c r="E15481" t="s">
        <v>9</v>
      </c>
    </row>
    <row r="15482" spans="1:5" x14ac:dyDescent="0.25">
      <c r="A15482" t="str">
        <f>HYPERLINK("https://www.773grp.com/globalSearch/UCC27200QDDARQ1/page-1", "UCC27200QDDARQ1")</f>
        <v>UCC27200QDDARQ1</v>
      </c>
      <c r="B15482" s="3" t="s">
        <v>90</v>
      </c>
      <c r="C15482" s="5">
        <v>4968</v>
      </c>
      <c r="D15482" s="6">
        <v>4.28</v>
      </c>
      <c r="E15482" t="s">
        <v>9</v>
      </c>
    </row>
    <row r="15483" spans="1:5" x14ac:dyDescent="0.25">
      <c r="A15483" t="str">
        <f>HYPERLINK("https://www.773grp.com/globalSearch/TPS2020P/page-1", "TPS2020P")</f>
        <v>TPS2020P</v>
      </c>
      <c r="B15483" s="3" t="s">
        <v>90</v>
      </c>
      <c r="C15483" s="5">
        <v>5950</v>
      </c>
      <c r="D15483" s="6">
        <v>4.74</v>
      </c>
      <c r="E15483" t="s">
        <v>9</v>
      </c>
    </row>
    <row r="15484" spans="1:5" x14ac:dyDescent="0.25">
      <c r="A15484" t="str">
        <f>HYPERLINK("https://www.773grp.com/globalSearch/TPS2022P/page-1", "TPS2022P")</f>
        <v>TPS2022P</v>
      </c>
      <c r="B15484" s="3" t="s">
        <v>90</v>
      </c>
      <c r="C15484" s="5">
        <v>11893</v>
      </c>
      <c r="D15484" s="6">
        <v>4.74</v>
      </c>
      <c r="E15484" t="s">
        <v>9</v>
      </c>
    </row>
    <row r="15485" spans="1:5" x14ac:dyDescent="0.25">
      <c r="A15485" t="str">
        <f>HYPERLINK("https://www.773grp.com/globalSearch/TPS2033P/page-1", "TPS2033P")</f>
        <v>TPS2033P</v>
      </c>
      <c r="B15485" s="3" t="s">
        <v>90</v>
      </c>
      <c r="C15485" s="5">
        <v>3000</v>
      </c>
      <c r="D15485" s="6">
        <v>4.74</v>
      </c>
      <c r="E15485" t="s">
        <v>9</v>
      </c>
    </row>
    <row r="15486" spans="1:5" x14ac:dyDescent="0.25">
      <c r="A15486" t="str">
        <f>HYPERLINK("https://www.773grp.com/globalSearch/TPIC6595N/page-1", "TPIC6595N")</f>
        <v>TPIC6595N</v>
      </c>
      <c r="B15486" s="3" t="s">
        <v>90</v>
      </c>
      <c r="C15486" s="5">
        <v>14729</v>
      </c>
      <c r="D15486" s="6">
        <v>4.3499999999999996</v>
      </c>
      <c r="E15486" t="s">
        <v>9</v>
      </c>
    </row>
    <row r="15487" spans="1:5" x14ac:dyDescent="0.25">
      <c r="A15487" t="str">
        <f>HYPERLINK("https://www.773grp.com/globalSearch/TPIC6596N/page-1", "TPIC6596N")</f>
        <v>TPIC6596N</v>
      </c>
      <c r="B15487" s="3" t="s">
        <v>90</v>
      </c>
      <c r="C15487" s="5">
        <v>1100</v>
      </c>
      <c r="D15487" s="6">
        <v>4.3499999999999996</v>
      </c>
      <c r="E15487" t="s">
        <v>9</v>
      </c>
    </row>
    <row r="15488" spans="1:5" x14ac:dyDescent="0.25">
      <c r="A15488" t="str">
        <f>HYPERLINK("https://www.773grp.com/globalSearch/UCC27200D/page-1", "UCC27200D")</f>
        <v>UCC27200D</v>
      </c>
      <c r="B15488" s="3" t="s">
        <v>90</v>
      </c>
      <c r="C15488" s="5">
        <v>1627</v>
      </c>
      <c r="D15488" s="6">
        <v>4.3899999999999997</v>
      </c>
      <c r="E15488" t="s">
        <v>9</v>
      </c>
    </row>
    <row r="15489" spans="1:5" x14ac:dyDescent="0.25">
      <c r="A15489" t="str">
        <f>HYPERLINK("https://www.773grp.com/globalSearch/UCC27200DDA/page-1", "UCC27200DDA")</f>
        <v>UCC27200DDA</v>
      </c>
      <c r="B15489" s="3" t="s">
        <v>90</v>
      </c>
      <c r="C15489" s="5">
        <v>2425</v>
      </c>
      <c r="D15489" s="6">
        <v>4.3899999999999997</v>
      </c>
      <c r="E15489" t="s">
        <v>9</v>
      </c>
    </row>
    <row r="15490" spans="1:5" x14ac:dyDescent="0.25">
      <c r="A15490" t="str">
        <f>HYPERLINK("https://www.773grp.com/globalSearch/TPS2053AD/page-1", "TPS2053AD")</f>
        <v>TPS2053AD</v>
      </c>
      <c r="B15490" s="3" t="str">
        <f>HYPERLINK("https://www.773grp.com/manufacturer/texas-instruments?pageNo=387", "Texas Instruments")</f>
        <v>Texas Instruments</v>
      </c>
      <c r="C15490" s="5">
        <v>26055</v>
      </c>
      <c r="D15490" s="6">
        <v>4.5</v>
      </c>
      <c r="E15490" t="s">
        <v>9</v>
      </c>
    </row>
    <row r="15491" spans="1:5" x14ac:dyDescent="0.25">
      <c r="A15491" t="str">
        <f>HYPERLINK("https://www.773grp.com/globalSearch/TPS2054ADR/page-1", "TPS2054ADR")</f>
        <v>TPS2054ADR</v>
      </c>
      <c r="B15491" s="3" t="str">
        <f>HYPERLINK("https://www.773grp.com/manufacturer/texas-instruments?pageNo=388", "Texas Instruments")</f>
        <v>Texas Instruments</v>
      </c>
      <c r="C15491" s="5">
        <v>12500</v>
      </c>
      <c r="D15491" s="6">
        <v>4.5</v>
      </c>
      <c r="E15491" t="s">
        <v>9</v>
      </c>
    </row>
    <row r="15492" spans="1:5" x14ac:dyDescent="0.25">
      <c r="A15492" t="str">
        <f>HYPERLINK("https://www.773grp.com/globalSearch/TPS2020DR/page-1", "TPS2020DR")</f>
        <v>TPS2020DR</v>
      </c>
      <c r="B15492" s="3" t="str">
        <f>HYPERLINK("https://www.773grp.com/manufacturer/texas-instruments?pageNo=663", "Texas Instruments")</f>
        <v>Texas Instruments</v>
      </c>
      <c r="C15492" s="5">
        <v>4625</v>
      </c>
      <c r="D15492" s="6">
        <v>5.01</v>
      </c>
      <c r="E15492" t="s">
        <v>9</v>
      </c>
    </row>
    <row r="15493" spans="1:5" x14ac:dyDescent="0.25">
      <c r="A15493" t="str">
        <f>HYPERLINK("https://www.773grp.com/globalSearch/TPS2021DR/page-1", "TPS2021DR")</f>
        <v>TPS2021DR</v>
      </c>
      <c r="B15493" s="3" t="str">
        <f>HYPERLINK("https://www.773grp.com/manufacturer/texas-instruments?pageNo=664", "Texas Instruments")</f>
        <v>Texas Instruments</v>
      </c>
      <c r="C15493" s="5">
        <v>1263</v>
      </c>
      <c r="D15493" s="6">
        <v>5.01</v>
      </c>
      <c r="E15493" t="s">
        <v>9</v>
      </c>
    </row>
    <row r="15494" spans="1:5" x14ac:dyDescent="0.25">
      <c r="A15494" t="str">
        <f>HYPERLINK("https://www.773grp.com/globalSearch/TPS2021P/page-1", "TPS2021P")</f>
        <v>TPS2021P</v>
      </c>
      <c r="B15494" s="3" t="str">
        <f>HYPERLINK("https://www.773grp.com/manufacturer/texas-instruments?pageNo=665", "Texas Instruments")</f>
        <v>Texas Instruments</v>
      </c>
      <c r="C15494" s="5">
        <v>2850</v>
      </c>
      <c r="D15494" s="6">
        <v>5.01</v>
      </c>
      <c r="E15494" t="s">
        <v>9</v>
      </c>
    </row>
    <row r="15495" spans="1:5" x14ac:dyDescent="0.25">
      <c r="A15495" t="str">
        <f>HYPERLINK("https://www.773grp.com/globalSearch/TPS2023DR/page-1", "TPS2023DR")</f>
        <v>TPS2023DR</v>
      </c>
      <c r="B15495" s="3" t="str">
        <f>HYPERLINK("https://www.773grp.com/manufacturer/texas-instruments?pageNo=667", "Texas Instruments")</f>
        <v>Texas Instruments</v>
      </c>
      <c r="C15495" s="5">
        <v>271874</v>
      </c>
      <c r="D15495" s="6">
        <v>5.01</v>
      </c>
      <c r="E15495" t="s">
        <v>9</v>
      </c>
    </row>
    <row r="15496" spans="1:5" x14ac:dyDescent="0.25">
      <c r="A15496" t="str">
        <f>HYPERLINK("https://www.773grp.com/globalSearch/TPS2023P/page-1", "TPS2023P")</f>
        <v>TPS2023P</v>
      </c>
      <c r="B15496" s="3" t="str">
        <f>HYPERLINK("https://www.773grp.com/manufacturer/texas-instruments?pageNo=668", "Texas Instruments")</f>
        <v>Texas Instruments</v>
      </c>
      <c r="C15496" s="5">
        <v>8100</v>
      </c>
      <c r="D15496" s="6">
        <v>5.01</v>
      </c>
      <c r="E15496" t="s">
        <v>9</v>
      </c>
    </row>
    <row r="15497" spans="1:5" x14ac:dyDescent="0.25">
      <c r="A15497" t="str">
        <f>HYPERLINK("https://www.773grp.com/globalSearch/TPS2024DR/page-1", "TPS2024DR")</f>
        <v>TPS2024DR</v>
      </c>
      <c r="B15497" s="3" t="str">
        <f>HYPERLINK("https://www.773grp.com/manufacturer/texas-instruments?pageNo=669", "Texas Instruments")</f>
        <v>Texas Instruments</v>
      </c>
      <c r="C15497" s="5">
        <v>4000</v>
      </c>
      <c r="D15497" s="6">
        <v>5.01</v>
      </c>
      <c r="E15497" t="s">
        <v>9</v>
      </c>
    </row>
    <row r="15498" spans="1:5" x14ac:dyDescent="0.25">
      <c r="A15498" t="str">
        <f>HYPERLINK("https://www.773grp.com/globalSearch/TPS2024P/page-1", "TPS2024P")</f>
        <v>TPS2024P</v>
      </c>
      <c r="B15498" s="3" t="str">
        <f>HYPERLINK("https://www.773grp.com/manufacturer/texas-instruments?pageNo=670", "Texas Instruments")</f>
        <v>Texas Instruments</v>
      </c>
      <c r="C15498" s="5">
        <v>4400</v>
      </c>
      <c r="D15498" s="6">
        <v>5.01</v>
      </c>
      <c r="E15498" t="s">
        <v>9</v>
      </c>
    </row>
    <row r="15499" spans="1:5" x14ac:dyDescent="0.25">
      <c r="A15499" t="str">
        <f>HYPERLINK("https://www.773grp.com/globalSearch/TPS2030P/page-1", "TPS2030P")</f>
        <v>TPS2030P</v>
      </c>
      <c r="B15499" s="3" t="str">
        <f>HYPERLINK("https://www.773grp.com/manufacturer/texas-instruments?pageNo=671", "Texas Instruments")</f>
        <v>Texas Instruments</v>
      </c>
      <c r="C15499" s="5">
        <v>6554</v>
      </c>
      <c r="D15499" s="6">
        <v>5.01</v>
      </c>
      <c r="E15499" t="s">
        <v>9</v>
      </c>
    </row>
    <row r="15500" spans="1:5" x14ac:dyDescent="0.25">
      <c r="A15500" t="str">
        <f>HYPERLINK("https://www.773grp.com/globalSearch/TPS2031P/page-1", "TPS2031P")</f>
        <v>TPS2031P</v>
      </c>
      <c r="B15500" s="3" t="str">
        <f>HYPERLINK("https://www.773grp.com/manufacturer/texas-instruments?pageNo=672", "Texas Instruments")</f>
        <v>Texas Instruments</v>
      </c>
      <c r="C15500" s="5">
        <v>13100</v>
      </c>
      <c r="D15500" s="6">
        <v>5.01</v>
      </c>
      <c r="E15500" t="s">
        <v>9</v>
      </c>
    </row>
    <row r="15501" spans="1:5" x14ac:dyDescent="0.25">
      <c r="A15501" t="str">
        <f>HYPERLINK("https://www.773grp.com/globalSearch/TPS2032DR/page-1", "TPS2032DR")</f>
        <v>TPS2032DR</v>
      </c>
      <c r="B15501" s="3" t="str">
        <f>HYPERLINK("https://www.773grp.com/manufacturer/texas-instruments?pageNo=673", "Texas Instruments")</f>
        <v>Texas Instruments</v>
      </c>
      <c r="C15501" s="5">
        <v>12500</v>
      </c>
      <c r="D15501" s="6">
        <v>5.01</v>
      </c>
      <c r="E15501" t="s">
        <v>9</v>
      </c>
    </row>
    <row r="15502" spans="1:5" x14ac:dyDescent="0.25">
      <c r="A15502" t="str">
        <f>HYPERLINK("https://www.773grp.com/globalSearch/TPS2041ADR/page-1", "TPS2041ADR")</f>
        <v>TPS2041ADR</v>
      </c>
      <c r="B15502" s="3" t="str">
        <f>HYPERLINK("https://www.773grp.com/manufacturer/texas-instruments?pageNo=674", "Texas Instruments")</f>
        <v>Texas Instruments</v>
      </c>
      <c r="C15502" s="5">
        <v>191246</v>
      </c>
      <c r="D15502" s="6">
        <v>5.01</v>
      </c>
      <c r="E15502" t="s">
        <v>9</v>
      </c>
    </row>
    <row r="15503" spans="1:5" x14ac:dyDescent="0.25">
      <c r="A15503" t="str">
        <f>HYPERLINK("https://www.773grp.com/globalSearch/TPS2043AD/page-1", "TPS2043AD")</f>
        <v>TPS2043AD</v>
      </c>
      <c r="B15503" s="3" t="str">
        <f>HYPERLINK("https://www.773grp.com/manufacturer/texas-instruments?pageNo=954", "Texas Instruments")</f>
        <v>Texas Instruments</v>
      </c>
      <c r="C15503" s="5">
        <v>16985</v>
      </c>
      <c r="D15503" s="6">
        <v>4.6100000000000003</v>
      </c>
      <c r="E15503" t="s">
        <v>9</v>
      </c>
    </row>
    <row r="15504" spans="1:5" x14ac:dyDescent="0.25">
      <c r="A15504" t="str">
        <f>HYPERLINK("https://www.773grp.com/globalSearch/TPIC6273DW/page-1", "TPIC6273DW")</f>
        <v>TPIC6273DW</v>
      </c>
      <c r="B15504" s="3" t="s">
        <v>90</v>
      </c>
      <c r="C15504" s="5">
        <v>17</v>
      </c>
      <c r="D15504" s="6">
        <v>4.78</v>
      </c>
      <c r="E15504" t="s">
        <v>9</v>
      </c>
    </row>
    <row r="15505" spans="1:5" x14ac:dyDescent="0.25">
      <c r="A15505" t="str">
        <f>HYPERLINK("https://www.773grp.com/globalSearch/TPIC6273N/page-1", "TPIC6273N")</f>
        <v>TPIC6273N</v>
      </c>
      <c r="B15505" s="3" t="s">
        <v>90</v>
      </c>
      <c r="C15505" s="5">
        <v>6356</v>
      </c>
      <c r="D15505" s="6">
        <v>4.78</v>
      </c>
      <c r="E15505" t="s">
        <v>9</v>
      </c>
    </row>
    <row r="15506" spans="1:5" x14ac:dyDescent="0.25">
      <c r="A15506" t="str">
        <f>HYPERLINK("https://www.773grp.com/globalSearch/TPS2055D/page-1", "TPS2055D")</f>
        <v>TPS2055D</v>
      </c>
      <c r="B15506" s="3" t="s">
        <v>90</v>
      </c>
      <c r="C15506" s="5">
        <v>7425</v>
      </c>
      <c r="D15506" s="6">
        <v>4.8099999999999996</v>
      </c>
      <c r="E15506" t="s">
        <v>9</v>
      </c>
    </row>
    <row r="15507" spans="1:5" x14ac:dyDescent="0.25">
      <c r="A15507" t="str">
        <f>HYPERLINK("https://www.773grp.com/globalSearch/TPS2046P/page-1", "TPS2046P")</f>
        <v>TPS2046P</v>
      </c>
      <c r="B15507" s="3" t="s">
        <v>90</v>
      </c>
      <c r="C15507" s="5">
        <v>7060</v>
      </c>
      <c r="D15507" s="6">
        <v>5.03</v>
      </c>
      <c r="E15507" t="s">
        <v>9</v>
      </c>
    </row>
    <row r="15508" spans="1:5" x14ac:dyDescent="0.25">
      <c r="A15508" t="str">
        <f>HYPERLINK("https://www.773grp.com/globalSearch/TPS2045D/page-1", "TPS2045D")</f>
        <v>TPS2045D</v>
      </c>
      <c r="B15508" s="3" t="s">
        <v>90</v>
      </c>
      <c r="C15508" s="5">
        <v>3075</v>
      </c>
      <c r="D15508" s="6">
        <v>5.0999999999999996</v>
      </c>
      <c r="E15508" t="s">
        <v>9</v>
      </c>
    </row>
    <row r="15509" spans="1:5" x14ac:dyDescent="0.25">
      <c r="A15509" t="str">
        <f>HYPERLINK("https://www.773grp.com/globalSearch/L293DNE/page-1", "L293DNE")</f>
        <v>L293DNE</v>
      </c>
      <c r="B15509" s="3" t="s">
        <v>90</v>
      </c>
      <c r="C15509" s="5">
        <v>2078</v>
      </c>
      <c r="D15509" s="6">
        <v>5.36</v>
      </c>
      <c r="E15509" t="s">
        <v>9</v>
      </c>
    </row>
    <row r="15510" spans="1:5" x14ac:dyDescent="0.25">
      <c r="A15510" t="str">
        <f>HYPERLINK("https://www.773grp.com/globalSearch/L293NE/page-1", "L293NE")</f>
        <v>L293NE</v>
      </c>
      <c r="B15510" s="3" t="s">
        <v>90</v>
      </c>
      <c r="C15510" s="5">
        <v>1020</v>
      </c>
      <c r="D15510" s="6">
        <v>5.36</v>
      </c>
      <c r="E15510" t="s">
        <v>9</v>
      </c>
    </row>
    <row r="15511" spans="1:5" x14ac:dyDescent="0.25">
      <c r="A15511" t="str">
        <f>HYPERLINK("https://www.773grp.com/globalSearch/UC3702N/page-1", "UC3702N")</f>
        <v>UC3702N</v>
      </c>
      <c r="B15511" s="3" t="s">
        <v>90</v>
      </c>
      <c r="C15511" s="5">
        <v>1242</v>
      </c>
      <c r="D15511" s="6">
        <v>5.49</v>
      </c>
      <c r="E15511" t="s">
        <v>9</v>
      </c>
    </row>
    <row r="15512" spans="1:5" x14ac:dyDescent="0.25">
      <c r="A15512" t="str">
        <f>HYPERLINK("https://www.773grp.com/globalSearch/TPS2044AD/page-1", "TPS2044AD")</f>
        <v>TPS2044AD</v>
      </c>
      <c r="B15512" s="3" t="s">
        <v>90</v>
      </c>
      <c r="C15512" s="5">
        <v>2149</v>
      </c>
      <c r="D15512" s="6">
        <v>5.63</v>
      </c>
      <c r="E15512" t="s">
        <v>9</v>
      </c>
    </row>
    <row r="15513" spans="1:5" x14ac:dyDescent="0.25">
      <c r="A15513" t="str">
        <f>HYPERLINK("https://www.773grp.com/globalSearch/TPS2047DR/page-1", "TPS2047DR")</f>
        <v>TPS2047DR</v>
      </c>
      <c r="B15513" s="3" t="s">
        <v>90</v>
      </c>
      <c r="C15513" s="5">
        <v>300</v>
      </c>
      <c r="D15513" s="6">
        <v>5.63</v>
      </c>
      <c r="E15513" t="s">
        <v>9</v>
      </c>
    </row>
    <row r="15514" spans="1:5" x14ac:dyDescent="0.25">
      <c r="A15514" t="str">
        <f>HYPERLINK("https://www.773grp.com/globalSearch/TPS2054AD/page-1", "TPS2054AD")</f>
        <v>TPS2054AD</v>
      </c>
      <c r="B15514" s="3" t="s">
        <v>90</v>
      </c>
      <c r="C15514" s="5">
        <v>30860</v>
      </c>
      <c r="D15514" s="6">
        <v>5.91</v>
      </c>
      <c r="E15514" t="s">
        <v>9</v>
      </c>
    </row>
    <row r="15515" spans="1:5" x14ac:dyDescent="0.25">
      <c r="A15515" t="str">
        <f>HYPERLINK("https://www.773grp.com/globalSearch/TPS2046D/page-1", "TPS2046D")</f>
        <v>TPS2046D</v>
      </c>
      <c r="B15515" s="3" t="s">
        <v>90</v>
      </c>
      <c r="C15515" s="5">
        <v>13399</v>
      </c>
      <c r="D15515" s="6">
        <v>5.99</v>
      </c>
      <c r="E15515" t="s">
        <v>9</v>
      </c>
    </row>
    <row r="15516" spans="1:5" x14ac:dyDescent="0.25">
      <c r="A15516" t="str">
        <f>HYPERLINK("https://www.773grp.com/globalSearch/TPS2056D/page-1", "TPS2056D")</f>
        <v>TPS2056D</v>
      </c>
      <c r="B15516" s="3" t="s">
        <v>90</v>
      </c>
      <c r="C15516" s="5">
        <v>8003</v>
      </c>
      <c r="D15516" s="6">
        <v>5.99</v>
      </c>
      <c r="E15516" t="s">
        <v>9</v>
      </c>
    </row>
    <row r="15517" spans="1:5" x14ac:dyDescent="0.25">
      <c r="A15517" t="str">
        <f>HYPERLINK("https://www.773grp.com/globalSearch/DRV103H/page-1", "DRV103H")</f>
        <v>DRV103H</v>
      </c>
      <c r="B15517" s="3" t="str">
        <f>HYPERLINK("https://www.773grp.com/manufacturer/texas-instruments?pageNo=175", "Texas Instruments")</f>
        <v>Texas Instruments</v>
      </c>
      <c r="C15517" s="5">
        <v>300</v>
      </c>
      <c r="D15517" s="6">
        <v>6.5</v>
      </c>
      <c r="E15517" t="s">
        <v>9</v>
      </c>
    </row>
    <row r="15518" spans="1:5" x14ac:dyDescent="0.25">
      <c r="A15518" t="str">
        <f>HYPERLINK("https://www.773grp.com/globalSearch/TPS2057DR/page-1", "TPS2057DR")</f>
        <v>TPS2057DR</v>
      </c>
      <c r="B15518" s="3" t="str">
        <f>HYPERLINK("https://www.773grp.com/manufacturer/texas-instruments?pageNo=189", "Texas Instruments")</f>
        <v>Texas Instruments</v>
      </c>
      <c r="C15518" s="5">
        <v>4950</v>
      </c>
      <c r="D15518" s="6">
        <v>6.5</v>
      </c>
      <c r="E15518" t="s">
        <v>9</v>
      </c>
    </row>
    <row r="15519" spans="1:5" x14ac:dyDescent="0.25">
      <c r="A15519" t="str">
        <f>HYPERLINK("https://www.773grp.com/globalSearch/TPIC2603NE/page-1", "TPIC2603NE")</f>
        <v>TPIC2603NE</v>
      </c>
      <c r="B15519" s="3" t="str">
        <f>HYPERLINK("https://www.773grp.com/manufacturer/texas-instruments?pageNo=323", "Texas Instruments")</f>
        <v>Texas Instruments</v>
      </c>
      <c r="C15519" s="5">
        <v>20463</v>
      </c>
      <c r="D15519" s="6">
        <v>6.61</v>
      </c>
      <c r="E15519" t="s">
        <v>9</v>
      </c>
    </row>
    <row r="15520" spans="1:5" x14ac:dyDescent="0.25">
      <c r="A15520" t="str">
        <f>HYPERLINK("https://www.773grp.com/globalSearch/TPS2058D/page-1", "TPS2058D")</f>
        <v>TPS2058D</v>
      </c>
      <c r="B15520" s="3" t="str">
        <f>HYPERLINK("https://www.773grp.com/manufacturer/texas-instruments?pageNo=527", "Texas Instruments")</f>
        <v>Texas Instruments</v>
      </c>
      <c r="C15520" s="5">
        <v>5022</v>
      </c>
      <c r="D15520" s="6">
        <v>6.75</v>
      </c>
      <c r="E15520" t="s">
        <v>9</v>
      </c>
    </row>
    <row r="15521" spans="1:5" x14ac:dyDescent="0.25">
      <c r="A15521" t="str">
        <f>HYPERLINK("https://www.773grp.com/globalSearch/TPS2058DR/page-1", "TPS2058DR")</f>
        <v>TPS2058DR</v>
      </c>
      <c r="B15521" s="3" t="str">
        <f>HYPERLINK("https://www.773grp.com/manufacturer/texas-instruments?pageNo=528", "Texas Instruments")</f>
        <v>Texas Instruments</v>
      </c>
      <c r="C15521" s="5">
        <v>300</v>
      </c>
      <c r="D15521" s="6">
        <v>6.75</v>
      </c>
      <c r="E15521" t="s">
        <v>9</v>
      </c>
    </row>
    <row r="15522" spans="1:5" x14ac:dyDescent="0.25">
      <c r="A15522" t="str">
        <f>HYPERLINK("https://www.773grp.com/globalSearch/UC37136M/page-1", "UC37136M")</f>
        <v>UC37136M</v>
      </c>
      <c r="B15522" s="3" t="str">
        <f>HYPERLINK("https://www.773grp.com/manufacturer/texas-instruments?pageNo=543", "Texas Instruments")</f>
        <v>Texas Instruments</v>
      </c>
      <c r="C15522" s="5">
        <v>1350</v>
      </c>
      <c r="D15522" s="6">
        <v>6.75</v>
      </c>
      <c r="E15522" t="s">
        <v>9</v>
      </c>
    </row>
    <row r="15523" spans="1:5" x14ac:dyDescent="0.25">
      <c r="A15523" t="str">
        <f>HYPERLINK("https://www.773grp.com/globalSearch/DRV104PWP/page-1", "DRV104PWP")</f>
        <v>DRV104PWP</v>
      </c>
      <c r="B15523" s="3" t="str">
        <f>HYPERLINK("https://www.773grp.com/manufacturer/texas-instruments?pageNo=772", "Texas Instruments")</f>
        <v>Texas Instruments</v>
      </c>
      <c r="C15523" s="5">
        <v>12699</v>
      </c>
      <c r="D15523" s="6">
        <v>7.04</v>
      </c>
      <c r="E15523" t="s">
        <v>9</v>
      </c>
    </row>
    <row r="15524" spans="1:5" x14ac:dyDescent="0.25">
      <c r="A15524" t="str">
        <f>HYPERLINK("https://www.773grp.com/globalSearch/UC3726N/page-1", "UC3726N")</f>
        <v>UC3726N</v>
      </c>
      <c r="B15524" s="3" t="str">
        <f>HYPERLINK("https://www.773grp.com/manufacturer/texas-instruments?pageNo=951", "Texas Instruments")</f>
        <v>Texas Instruments</v>
      </c>
      <c r="C15524" s="5">
        <v>556</v>
      </c>
      <c r="D15524" s="6">
        <v>7.13</v>
      </c>
      <c r="E15524" t="s">
        <v>9</v>
      </c>
    </row>
    <row r="15525" spans="1:5" x14ac:dyDescent="0.25">
      <c r="A15525" t="str">
        <f>HYPERLINK("https://www.773grp.com/globalSearch/TPS2048D/page-1", "TPS2048D")</f>
        <v>TPS2048D</v>
      </c>
      <c r="B15525" s="3" t="s">
        <v>90</v>
      </c>
      <c r="C15525" s="5">
        <v>4095</v>
      </c>
      <c r="D15525" s="6">
        <v>7.18</v>
      </c>
      <c r="E15525" t="s">
        <v>9</v>
      </c>
    </row>
    <row r="15526" spans="1:5" x14ac:dyDescent="0.25">
      <c r="A15526" t="str">
        <f>HYPERLINK("https://www.773grp.com/globalSearch/TPS2048DR/page-1", "TPS2048DR")</f>
        <v>TPS2048DR</v>
      </c>
      <c r="B15526" s="3" t="s">
        <v>90</v>
      </c>
      <c r="C15526" s="5">
        <v>2799</v>
      </c>
      <c r="D15526" s="6">
        <v>7.18</v>
      </c>
      <c r="E15526" t="s">
        <v>9</v>
      </c>
    </row>
    <row r="15527" spans="1:5" x14ac:dyDescent="0.25">
      <c r="A15527" t="str">
        <f>HYPERLINK("https://www.773grp.com/globalSearch/UC2726N/page-1", "UC2726N")</f>
        <v>UC2726N</v>
      </c>
      <c r="B15527" s="3" t="s">
        <v>90</v>
      </c>
      <c r="C15527" s="5">
        <v>416</v>
      </c>
      <c r="D15527" s="6">
        <v>7.71</v>
      </c>
      <c r="E15527" t="s">
        <v>9</v>
      </c>
    </row>
    <row r="15528" spans="1:5" x14ac:dyDescent="0.25">
      <c r="A15528" t="str">
        <f>HYPERLINK("https://www.773grp.com/globalSearch/TPS2047D/page-1", "TPS2047D")</f>
        <v>TPS2047D</v>
      </c>
      <c r="B15528" s="3" t="s">
        <v>90</v>
      </c>
      <c r="C15528" s="5">
        <v>1726</v>
      </c>
      <c r="D15528" s="6">
        <v>7.73</v>
      </c>
      <c r="E15528" t="s">
        <v>9</v>
      </c>
    </row>
    <row r="15529" spans="1:5" x14ac:dyDescent="0.25">
      <c r="A15529" t="str">
        <f>HYPERLINK("https://www.773grp.com/globalSearch/TPS2057D/page-1", "TPS2057D")</f>
        <v>TPS2057D</v>
      </c>
      <c r="B15529" s="3" t="s">
        <v>90</v>
      </c>
      <c r="C15529" s="5">
        <v>5007</v>
      </c>
      <c r="D15529" s="6">
        <v>7.73</v>
      </c>
      <c r="E15529" t="s">
        <v>9</v>
      </c>
    </row>
    <row r="15530" spans="1:5" x14ac:dyDescent="0.25">
      <c r="A15530" t="str">
        <f>HYPERLINK("https://www.773grp.com/globalSearch/TPS2054DR/page-1", "TPS2054DR")</f>
        <v>TPS2054DR</v>
      </c>
      <c r="B15530" s="3" t="s">
        <v>90</v>
      </c>
      <c r="C15530" s="5">
        <v>25000</v>
      </c>
      <c r="D15530" s="6">
        <v>8.58</v>
      </c>
      <c r="E15530" t="s">
        <v>9</v>
      </c>
    </row>
    <row r="15531" spans="1:5" x14ac:dyDescent="0.25">
      <c r="A15531" t="str">
        <f>HYPERLINK("https://www.773grp.com/globalSearch/UC37131D/page-1", "UC37131D")</f>
        <v>UC37131D</v>
      </c>
      <c r="B15531" s="3" t="s">
        <v>90</v>
      </c>
      <c r="C15531" s="5">
        <v>12217</v>
      </c>
      <c r="D15531" s="6">
        <v>8.73</v>
      </c>
      <c r="E15531" t="s">
        <v>9</v>
      </c>
    </row>
    <row r="15532" spans="1:5" x14ac:dyDescent="0.25">
      <c r="A15532" t="str">
        <f>HYPERLINK("https://www.773grp.com/globalSearch/UC27131D/page-1", "UC27131D")</f>
        <v>UC27131D</v>
      </c>
      <c r="B15532" s="3" t="s">
        <v>90</v>
      </c>
      <c r="C15532" s="5">
        <v>12253</v>
      </c>
      <c r="D15532" s="6">
        <v>9</v>
      </c>
      <c r="E15532" t="s">
        <v>9</v>
      </c>
    </row>
    <row r="15533" spans="1:5" x14ac:dyDescent="0.25">
      <c r="A15533" t="str">
        <f>HYPERLINK("https://www.773grp.com/globalSearch/UC27133D/page-1", "UC27133D")</f>
        <v>UC27133D</v>
      </c>
      <c r="B15533" s="3" t="s">
        <v>90</v>
      </c>
      <c r="C15533" s="5">
        <v>1375</v>
      </c>
      <c r="D15533" s="6">
        <v>9</v>
      </c>
      <c r="E15533" t="s">
        <v>9</v>
      </c>
    </row>
    <row r="15534" spans="1:5" x14ac:dyDescent="0.25">
      <c r="A15534" t="str">
        <f>HYPERLINK("https://www.773grp.com/globalSearch/UC37133N/page-1", "UC37133N")</f>
        <v>UC37133N</v>
      </c>
      <c r="B15534" s="3" t="s">
        <v>90</v>
      </c>
      <c r="C15534" s="5">
        <v>850</v>
      </c>
      <c r="D15534" s="6">
        <v>9.65</v>
      </c>
      <c r="E15534" t="s">
        <v>9</v>
      </c>
    </row>
    <row r="15535" spans="1:5" x14ac:dyDescent="0.25">
      <c r="A15535" t="str">
        <f>HYPERLINK("https://www.773grp.com/globalSearch/UC37132D/page-1", "UC37132D")</f>
        <v>UC37132D</v>
      </c>
      <c r="B15535" s="3" t="s">
        <v>90</v>
      </c>
      <c r="C15535" s="5">
        <v>5417</v>
      </c>
      <c r="D15535" s="6">
        <v>9.6999999999999993</v>
      </c>
      <c r="E15535" t="s">
        <v>9</v>
      </c>
    </row>
    <row r="15536" spans="1:5" x14ac:dyDescent="0.25">
      <c r="A15536" t="str">
        <f>HYPERLINK("https://www.773grp.com/globalSearch/UC37132D/page-1", "UC37132D")</f>
        <v>UC37132D</v>
      </c>
      <c r="B15536" s="3" t="s">
        <v>90</v>
      </c>
      <c r="C15536" s="5">
        <v>5120</v>
      </c>
      <c r="D15536" s="6">
        <v>9.6999999999999993</v>
      </c>
      <c r="E15536" t="s">
        <v>9</v>
      </c>
    </row>
    <row r="15537" spans="1:5" x14ac:dyDescent="0.25">
      <c r="A15537" t="str">
        <f>HYPERLINK("https://www.773grp.com/globalSearch/UC2950T/page-1", "UC2950T")</f>
        <v>UC2950T</v>
      </c>
      <c r="B15537" s="3" t="s">
        <v>90</v>
      </c>
      <c r="C15537" s="5">
        <v>7550</v>
      </c>
      <c r="D15537" s="6">
        <v>10.039999999999999</v>
      </c>
      <c r="E15537" t="s">
        <v>9</v>
      </c>
    </row>
    <row r="15538" spans="1:5" x14ac:dyDescent="0.25">
      <c r="A15538" t="str">
        <f>HYPERLINK("https://www.773grp.com/globalSearch/UC2950T/page-1", "UC2950T")</f>
        <v>UC2950T</v>
      </c>
      <c r="B15538" s="3" t="s">
        <v>90</v>
      </c>
      <c r="C15538" s="5">
        <v>350</v>
      </c>
      <c r="D15538" s="6">
        <v>10.039999999999999</v>
      </c>
      <c r="E15538" t="s">
        <v>9</v>
      </c>
    </row>
    <row r="15539" spans="1:5" x14ac:dyDescent="0.25">
      <c r="A15539" t="str">
        <f>HYPERLINK("https://www.773grp.com/globalSearch/UC27131N/page-1", "UC27131N")</f>
        <v>UC27131N</v>
      </c>
      <c r="B15539" s="3" t="s">
        <v>90</v>
      </c>
      <c r="C15539" s="5">
        <v>5380</v>
      </c>
      <c r="D15539" s="6">
        <v>10.08</v>
      </c>
      <c r="E15539" t="s">
        <v>9</v>
      </c>
    </row>
    <row r="15540" spans="1:5" x14ac:dyDescent="0.25">
      <c r="A15540" t="str">
        <f>HYPERLINK("https://www.773grp.com/globalSearch/TPS2054D/page-1", "TPS2054D")</f>
        <v>TPS2054D</v>
      </c>
      <c r="B15540" s="3" t="s">
        <v>90</v>
      </c>
      <c r="C15540" s="5">
        <v>1100</v>
      </c>
      <c r="D15540" s="6">
        <v>10.09</v>
      </c>
      <c r="E15540" t="s">
        <v>9</v>
      </c>
    </row>
    <row r="15541" spans="1:5" x14ac:dyDescent="0.25">
      <c r="A15541" t="str">
        <f>HYPERLINK("https://www.773grp.com/globalSearch/TPS2044D/page-1", "TPS2044D")</f>
        <v>TPS2044D</v>
      </c>
      <c r="B15541" s="3" t="s">
        <v>90</v>
      </c>
      <c r="C15541" s="5">
        <v>4006</v>
      </c>
      <c r="D15541" s="6">
        <v>10.64</v>
      </c>
      <c r="E15541" t="s">
        <v>9</v>
      </c>
    </row>
    <row r="15542" spans="1:5" x14ac:dyDescent="0.25">
      <c r="A15542" t="str">
        <f>HYPERLINK("https://www.773grp.com/globalSearch/UC37132N/page-1", "UC37132N")</f>
        <v>UC37132N</v>
      </c>
      <c r="B15542" s="3" t="s">
        <v>90</v>
      </c>
      <c r="C15542" s="5">
        <v>5014</v>
      </c>
      <c r="D15542" s="6">
        <v>10.76</v>
      </c>
      <c r="E15542" t="s">
        <v>9</v>
      </c>
    </row>
    <row r="15543" spans="1:5" x14ac:dyDescent="0.25">
      <c r="A15543" t="str">
        <f>HYPERLINK("https://www.773grp.com/globalSearch/DRV101F-500/page-1", "DRV101F-500")</f>
        <v>DRV101F-500</v>
      </c>
      <c r="B15543" s="3" t="str">
        <f>HYPERLINK("https://www.773grp.com/manufacturer/texas-instruments?pageNo=477", "Texas Instruments")</f>
        <v>Texas Instruments</v>
      </c>
      <c r="C15543" s="5">
        <v>7488</v>
      </c>
      <c r="D15543" s="6">
        <v>13</v>
      </c>
      <c r="E15543" t="s">
        <v>9</v>
      </c>
    </row>
    <row r="15544" spans="1:5" x14ac:dyDescent="0.25">
      <c r="A15544" t="str">
        <f>HYPERLINK("https://www.773grp.com/globalSearch/DRV102F-500/page-1", "DRV102F-500")</f>
        <v>DRV102F-500</v>
      </c>
      <c r="B15544" s="3" t="str">
        <f>HYPERLINK("https://www.773grp.com/manufacturer/texas-instruments?pageNo=478", "Texas Instruments")</f>
        <v>Texas Instruments</v>
      </c>
      <c r="C15544" s="5">
        <v>16422</v>
      </c>
      <c r="D15544" s="6">
        <v>13</v>
      </c>
      <c r="E15544" t="s">
        <v>9</v>
      </c>
    </row>
    <row r="15545" spans="1:5" x14ac:dyDescent="0.25">
      <c r="A15545" t="str">
        <f>HYPERLINK("https://www.773grp.com/globalSearch/L293N/page-1", "L293N")</f>
        <v>L293N</v>
      </c>
      <c r="B15545" s="3" t="str">
        <f>HYPERLINK("https://www.773grp.com/manufacturer/texas-instruments?pageNo=731", "Texas Instruments")</f>
        <v>Texas Instruments</v>
      </c>
      <c r="C15545" s="5">
        <v>28</v>
      </c>
      <c r="D15545" s="6">
        <v>13.5</v>
      </c>
      <c r="E15545" t="s">
        <v>9</v>
      </c>
    </row>
    <row r="15546" spans="1:5" x14ac:dyDescent="0.25">
      <c r="A15546" t="str">
        <f>HYPERLINK("https://www.773grp.com/globalSearch/SN55453BJG/page-1", "SN55453BJG")</f>
        <v>SN55453BJG</v>
      </c>
      <c r="B15546" s="3" t="str">
        <f>HYPERLINK("https://www.773grp.com/manufacturer/texas-instruments?pageNo=797", "Texas Instruments")</f>
        <v>Texas Instruments</v>
      </c>
      <c r="C15546" s="5">
        <v>290</v>
      </c>
      <c r="D15546" s="6">
        <v>13.61</v>
      </c>
      <c r="E15546" t="s">
        <v>9</v>
      </c>
    </row>
    <row r="15547" spans="1:5" x14ac:dyDescent="0.25">
      <c r="A15547" t="str">
        <f>HYPERLINK("https://www.773grp.com/globalSearch/SN54S731J/page-1", "SN54S731J")</f>
        <v>SN54S731J</v>
      </c>
      <c r="B15547" s="3" t="s">
        <v>90</v>
      </c>
      <c r="C15547" s="5">
        <v>4</v>
      </c>
      <c r="D15547" s="6">
        <v>14.06</v>
      </c>
      <c r="E15547" t="s">
        <v>9</v>
      </c>
    </row>
    <row r="15548" spans="1:5" x14ac:dyDescent="0.25">
      <c r="A15548" t="str">
        <f>HYPERLINK("https://www.773grp.com/globalSearch/DRV101FKTWT/page-1", "DRV101FKTWT")</f>
        <v>DRV101FKTWT</v>
      </c>
      <c r="B15548" s="3" t="s">
        <v>90</v>
      </c>
      <c r="C15548" s="5">
        <v>6695</v>
      </c>
      <c r="D15548" s="6">
        <v>14.63</v>
      </c>
      <c r="E15548" t="s">
        <v>9</v>
      </c>
    </row>
    <row r="15549" spans="1:5" x14ac:dyDescent="0.25">
      <c r="A15549" t="str">
        <f>HYPERLINK("https://www.773grp.com/globalSearch/DRV102FKTWT/page-1", "DRV102FKTWT")</f>
        <v>DRV102FKTWT</v>
      </c>
      <c r="B15549" s="3" t="s">
        <v>90</v>
      </c>
      <c r="C15549" s="5">
        <v>15850</v>
      </c>
      <c r="D15549" s="6">
        <v>14.63</v>
      </c>
      <c r="E15549" t="s">
        <v>9</v>
      </c>
    </row>
    <row r="15550" spans="1:5" x14ac:dyDescent="0.25">
      <c r="A15550" t="str">
        <f>HYPERLINK("https://www.773grp.com/globalSearch/SN55451BJG/page-1", "SN55451BJG")</f>
        <v>SN55451BJG</v>
      </c>
      <c r="B15550" s="3" t="s">
        <v>90</v>
      </c>
      <c r="C15550" s="5">
        <v>259</v>
      </c>
      <c r="D15550" s="6">
        <v>14.63</v>
      </c>
      <c r="E15550" t="s">
        <v>9</v>
      </c>
    </row>
    <row r="15551" spans="1:5" x14ac:dyDescent="0.25">
      <c r="A15551" t="str">
        <f>HYPERLINK("https://www.773grp.com/globalSearch/DRV102T/page-1", "DRV102T")</f>
        <v>DRV102T</v>
      </c>
      <c r="B15551" s="3" t="s">
        <v>90</v>
      </c>
      <c r="C15551" s="5">
        <v>17728</v>
      </c>
      <c r="D15551" s="6">
        <v>15.15</v>
      </c>
      <c r="E15551" t="s">
        <v>9</v>
      </c>
    </row>
    <row r="15552" spans="1:5" x14ac:dyDescent="0.25">
      <c r="A15552" t="str">
        <f>HYPERLINK("https://www.773grp.com/globalSearch/DRV102TG3/page-1", "DRV102TG3")</f>
        <v>DRV102TG3</v>
      </c>
      <c r="B15552" s="3" t="s">
        <v>90</v>
      </c>
      <c r="C15552" s="5">
        <v>40</v>
      </c>
      <c r="D15552" s="6">
        <v>15.15</v>
      </c>
      <c r="E15552" t="s">
        <v>9</v>
      </c>
    </row>
    <row r="15553" spans="1:5" x14ac:dyDescent="0.25">
      <c r="A15553" t="str">
        <f>HYPERLINK("https://www.773grp.com/globalSearch/SNJ55462JG/page-1", "SNJ55462JG")</f>
        <v>SNJ55462JG</v>
      </c>
      <c r="B15553" s="3" t="s">
        <v>90</v>
      </c>
      <c r="C15553" s="5">
        <v>569</v>
      </c>
      <c r="D15553" s="6">
        <v>15.95</v>
      </c>
      <c r="E15553" t="s">
        <v>9</v>
      </c>
    </row>
    <row r="15554" spans="1:5" x14ac:dyDescent="0.25">
      <c r="A15554" t="str">
        <f>HYPERLINK("https://www.773grp.com/globalSearch/SNJ55461FK/page-1", "SNJ55461FK")</f>
        <v>SNJ55461FK</v>
      </c>
      <c r="B15554" s="3" t="s">
        <v>90</v>
      </c>
      <c r="C15554" s="5">
        <v>54</v>
      </c>
      <c r="D15554" s="6">
        <v>25.15</v>
      </c>
      <c r="E15554" t="s">
        <v>9</v>
      </c>
    </row>
    <row r="15555" spans="1:5" x14ac:dyDescent="0.25">
      <c r="A15555" t="str">
        <f>HYPERLINK("https://www.773grp.com/globalSearch/UC17131J/page-1", "UC17131J")</f>
        <v>UC17131J</v>
      </c>
      <c r="B15555" s="3" t="s">
        <v>90</v>
      </c>
      <c r="C15555" s="5">
        <v>38</v>
      </c>
      <c r="D15555" s="6">
        <v>26.38</v>
      </c>
      <c r="E15555" t="s">
        <v>9</v>
      </c>
    </row>
    <row r="15556" spans="1:5" x14ac:dyDescent="0.25">
      <c r="A15556" t="str">
        <f>HYPERLINK("https://www.773grp.com/globalSearch/UC17133J/page-1", "UC17133J")</f>
        <v>UC17133J</v>
      </c>
      <c r="B15556" s="3" t="str">
        <f>HYPERLINK("https://www.773grp.com/manufacturer/texas-instruments?pageNo=30", "Texas Instruments")</f>
        <v>Texas Instruments</v>
      </c>
      <c r="C15556" s="5">
        <v>397</v>
      </c>
      <c r="D15556" s="6">
        <v>27.54</v>
      </c>
      <c r="E15556" t="s">
        <v>9</v>
      </c>
    </row>
    <row r="15557" spans="1:5" x14ac:dyDescent="0.25">
      <c r="A15557" t="str">
        <f>HYPERLINK("https://www.773grp.com/globalSearch/SNJ55454BFK/page-1", "SNJ55454BFK")</f>
        <v>SNJ55454BFK</v>
      </c>
      <c r="B15557" s="3" t="str">
        <f>HYPERLINK("https://www.773grp.com/manufacturer/texas-instruments?pageNo=425", "Texas Instruments")</f>
        <v>Texas Instruments</v>
      </c>
      <c r="C15557" s="5">
        <v>148</v>
      </c>
      <c r="D15557" s="6">
        <v>29.95</v>
      </c>
      <c r="E15557" t="s">
        <v>9</v>
      </c>
    </row>
    <row r="15558" spans="1:5" x14ac:dyDescent="0.25">
      <c r="A15558" t="str">
        <f>HYPERLINK("https://www.773grp.com/globalSearch/DRV593VFPR/page-1", "DRV593VFPR")</f>
        <v>DRV593VFPR</v>
      </c>
      <c r="B15558" s="3" t="str">
        <f>HYPERLINK("https://www.773grp.com/manufacturer/texas-instruments?pageNo=748", "Texas Instruments")</f>
        <v>Texas Instruments</v>
      </c>
      <c r="C15558" s="5">
        <v>5687</v>
      </c>
      <c r="D15558" s="6">
        <v>31.9</v>
      </c>
      <c r="E15558" t="s">
        <v>9</v>
      </c>
    </row>
    <row r="15559" spans="1:5" x14ac:dyDescent="0.25">
      <c r="A15559" t="str">
        <f>HYPERLINK("https://www.773grp.com/globalSearch/DRV593VFP/page-1", "DRV593VFP")</f>
        <v>DRV593VFP</v>
      </c>
      <c r="B15559" s="3" t="s">
        <v>90</v>
      </c>
      <c r="C15559" s="5">
        <v>133</v>
      </c>
      <c r="D15559" s="6">
        <v>37.71</v>
      </c>
      <c r="E15559" t="s">
        <v>9</v>
      </c>
    </row>
    <row r="15560" spans="1:5" x14ac:dyDescent="0.25">
      <c r="A15560" t="str">
        <f>HYPERLINK("https://www.773grp.com/globalSearch/DRV591VFP/page-1", "DRV591VFP")</f>
        <v>DRV591VFP</v>
      </c>
      <c r="B15560" s="3" t="s">
        <v>90</v>
      </c>
      <c r="C15560" s="5">
        <v>466</v>
      </c>
      <c r="D15560" s="6">
        <v>38.99</v>
      </c>
      <c r="E15560" t="s">
        <v>9</v>
      </c>
    </row>
    <row r="15561" spans="1:5" x14ac:dyDescent="0.25">
      <c r="A15561" t="str">
        <f>HYPERLINK("https://www.773grp.com/globalSearch/DRV591VFPG4/page-1", "DRV591VFPG4")</f>
        <v>DRV591VFPG4</v>
      </c>
      <c r="B15561" s="3" t="s">
        <v>90</v>
      </c>
      <c r="C15561" s="5">
        <v>277</v>
      </c>
      <c r="D15561" s="6">
        <v>38.99</v>
      </c>
      <c r="E15561" t="s">
        <v>9</v>
      </c>
    </row>
    <row r="15562" spans="1:5" x14ac:dyDescent="0.25">
      <c r="A15562" t="str">
        <f>HYPERLINK("https://www.773grp.com/globalSearch/5962-9563301QPA/page-1", "5962-9563301QPA")</f>
        <v>5962-9563301QPA</v>
      </c>
      <c r="B15562" s="3" t="s">
        <v>90</v>
      </c>
      <c r="C15562" s="5">
        <v>303</v>
      </c>
      <c r="D15562" s="6">
        <v>41.04</v>
      </c>
      <c r="E15562" t="s">
        <v>9</v>
      </c>
    </row>
    <row r="15563" spans="1:5" x14ac:dyDescent="0.25">
      <c r="A15563" t="str">
        <f>HYPERLINK("https://www.773grp.com/globalSearch/SNJ55453BJG/page-1", "SNJ55453BJG")</f>
        <v>SNJ55453BJG</v>
      </c>
      <c r="B15563" s="3" t="s">
        <v>90</v>
      </c>
      <c r="C15563" s="5">
        <v>78</v>
      </c>
      <c r="D15563" s="6">
        <v>41.04</v>
      </c>
      <c r="E15563" t="s">
        <v>9</v>
      </c>
    </row>
    <row r="15564" spans="1:5" x14ac:dyDescent="0.25">
      <c r="A15564" t="str">
        <f>HYPERLINK("https://www.773grp.com/globalSearch/DRV590ZQCR/page-1", "DRV590ZQCR")</f>
        <v>DRV590ZQCR</v>
      </c>
      <c r="B15564" s="3" t="s">
        <v>90</v>
      </c>
      <c r="C15564" s="5">
        <v>12500</v>
      </c>
      <c r="D15564" s="6">
        <v>42.19</v>
      </c>
      <c r="E15564" t="s">
        <v>9</v>
      </c>
    </row>
    <row r="15565" spans="1:5" x14ac:dyDescent="0.25">
      <c r="A15565" t="str">
        <f>HYPERLINK("https://www.773grp.com/globalSearch/DRV590GQCR/page-1", "DRV590GQCR")</f>
        <v>DRV590GQCR</v>
      </c>
      <c r="B15565" s="3" t="s">
        <v>90</v>
      </c>
      <c r="C15565" s="5">
        <v>2470</v>
      </c>
      <c r="D15565" s="6">
        <v>43.04</v>
      </c>
      <c r="E15565" t="s">
        <v>9</v>
      </c>
    </row>
    <row r="15566" spans="1:5" x14ac:dyDescent="0.25">
      <c r="A15566" t="str">
        <f>HYPERLINK("https://www.773grp.com/globalSearch/SNJ55462FK/page-1", "SNJ55462FK")</f>
        <v>SNJ55462FK</v>
      </c>
      <c r="B15566" s="3" t="s">
        <v>90</v>
      </c>
      <c r="C15566" s="5">
        <v>1</v>
      </c>
      <c r="D15566" s="6">
        <v>43.16</v>
      </c>
      <c r="E15566" t="s">
        <v>9</v>
      </c>
    </row>
    <row r="15567" spans="1:5" x14ac:dyDescent="0.25">
      <c r="A15567" t="str">
        <f>HYPERLINK("https://www.773grp.com/globalSearch/DRV590DWP/page-1", "DRV590DWP")</f>
        <v>DRV590DWP</v>
      </c>
      <c r="B15567" s="3" t="s">
        <v>90</v>
      </c>
      <c r="C15567" s="5">
        <v>214</v>
      </c>
      <c r="D15567" s="6">
        <v>44.3</v>
      </c>
      <c r="E15567" t="s">
        <v>9</v>
      </c>
    </row>
    <row r="15568" spans="1:5" x14ac:dyDescent="0.25">
      <c r="A15568" t="str">
        <f>HYPERLINK("https://www.773grp.com/globalSearch/7704901PA/page-1", "7704901PA")</f>
        <v>7704901PA</v>
      </c>
      <c r="B15568" s="3" t="s">
        <v>90</v>
      </c>
      <c r="C15568" s="5">
        <v>7</v>
      </c>
      <c r="D15568" s="6">
        <v>47.05</v>
      </c>
      <c r="E15568" t="s">
        <v>9</v>
      </c>
    </row>
    <row r="15569" spans="1:5" x14ac:dyDescent="0.25">
      <c r="A15569" t="str">
        <f>HYPERLINK("https://www.773grp.com/globalSearch/SNJ55454BJG/page-1", "SNJ55454BJG")</f>
        <v>SNJ55454BJG</v>
      </c>
      <c r="B15569" s="3" t="s">
        <v>90</v>
      </c>
      <c r="C15569" s="5">
        <v>295</v>
      </c>
      <c r="D15569" s="6">
        <v>48.85</v>
      </c>
      <c r="E15569" t="s">
        <v>9</v>
      </c>
    </row>
    <row r="15570" spans="1:5" x14ac:dyDescent="0.25">
      <c r="A15570" t="str">
        <f>HYPERLINK("https://www.773grp.com/globalSearch/5962-9563301Q2A/page-1", "5962-9563301Q2A")</f>
        <v>5962-9563301Q2A</v>
      </c>
      <c r="B15570" s="3" t="s">
        <v>90</v>
      </c>
      <c r="C15570" s="5">
        <v>199</v>
      </c>
      <c r="D15570" s="6">
        <v>54.18</v>
      </c>
      <c r="E15570" t="s">
        <v>9</v>
      </c>
    </row>
    <row r="15571" spans="1:5" x14ac:dyDescent="0.25">
      <c r="A15571" t="str">
        <f>HYPERLINK("https://www.773grp.com/globalSearch/77049012A/page-1", "77049012A")</f>
        <v>77049012A</v>
      </c>
      <c r="B15571" s="3" t="s">
        <v>90</v>
      </c>
      <c r="C15571" s="5">
        <v>17</v>
      </c>
      <c r="D15571" s="6">
        <v>65.510000000000005</v>
      </c>
      <c r="E15571" t="s">
        <v>9</v>
      </c>
    </row>
    <row r="15572" spans="1:5" x14ac:dyDescent="0.25">
      <c r="A15572" t="str">
        <f>HYPERLINK("https://www.773grp.com/globalSearch/JM38510-12903BPA/page-1", "JM38510-12903BPA")</f>
        <v>JM38510-12903BPA</v>
      </c>
      <c r="B15572" s="3" t="s">
        <v>90</v>
      </c>
      <c r="C15572" s="5">
        <v>222</v>
      </c>
      <c r="D15572" s="6">
        <v>101.68</v>
      </c>
      <c r="E15572" t="s">
        <v>9</v>
      </c>
    </row>
    <row r="15573" spans="1:5" x14ac:dyDescent="0.25">
      <c r="A15573" t="str">
        <f>HYPERLINK("https://www.773grp.com/globalSearch/JM38510-12905BPA/page-1", "JM38510-12905BPA")</f>
        <v>JM38510-12905BPA</v>
      </c>
      <c r="B15573" s="3" t="str">
        <f>HYPERLINK("https://www.773grp.com/manufacturer/texas-instruments?pageNo=252", "Texas Instruments")</f>
        <v>Texas Instruments</v>
      </c>
      <c r="C15573" s="5">
        <v>419</v>
      </c>
      <c r="D15573" s="6">
        <v>163.63999999999999</v>
      </c>
      <c r="E15573" t="s">
        <v>9</v>
      </c>
    </row>
    <row r="15574" spans="1:5" x14ac:dyDescent="0.25">
      <c r="A15574" t="str">
        <f>HYPERLINK("https://www.773grp.com/globalSearch/UC37136DP/page-1", "UC37136DP")</f>
        <v>UC37136DP</v>
      </c>
      <c r="B15574" s="3" t="s">
        <v>112</v>
      </c>
      <c r="C15574" s="5">
        <v>2178</v>
      </c>
      <c r="D15574" s="6">
        <v>0</v>
      </c>
      <c r="E15574" t="s">
        <v>9</v>
      </c>
    </row>
    <row r="15575" spans="1:5" x14ac:dyDescent="0.25">
      <c r="A15575" t="str">
        <f>HYPERLINK("https://www.773grp.com/globalSearch/UC37136NP/page-1", "UC37136NP")</f>
        <v>UC37136NP</v>
      </c>
      <c r="B15575" s="3" t="s">
        <v>112</v>
      </c>
      <c r="C15575" s="5">
        <v>2700</v>
      </c>
      <c r="D15575" s="6">
        <v>0</v>
      </c>
      <c r="E15575" t="s">
        <v>9</v>
      </c>
    </row>
    <row r="15576" spans="1:5" x14ac:dyDescent="0.25">
      <c r="A15576" t="str">
        <f>HYPERLINK("https://www.773grp.com/globalSearch/L293DN/page-1", "L293DN")</f>
        <v>L293DN</v>
      </c>
      <c r="B15576" s="3" t="s">
        <v>112</v>
      </c>
      <c r="C15576" s="5">
        <v>140</v>
      </c>
      <c r="D15576" s="6">
        <v>6.16</v>
      </c>
      <c r="E15576" t="s">
        <v>9</v>
      </c>
    </row>
    <row r="15577" spans="1:5" x14ac:dyDescent="0.25">
      <c r="A15577" t="str">
        <f>HYPERLINK("https://www.773grp.com/globalSearch/UC37136M/page-1", "UC37136M")</f>
        <v>UC37136M</v>
      </c>
      <c r="B15577" s="3" t="s">
        <v>112</v>
      </c>
      <c r="C15577" s="5">
        <v>79</v>
      </c>
      <c r="D15577" s="6">
        <v>6.75</v>
      </c>
      <c r="E15577" t="s">
        <v>9</v>
      </c>
    </row>
    <row r="15578" spans="1:5" x14ac:dyDescent="0.25">
      <c r="A15578" t="str">
        <f>HYPERLINK("https://www.773grp.com/globalSearch/UC37132D/page-1", "UC37132D")</f>
        <v>UC37132D</v>
      </c>
      <c r="B15578" s="3" t="s">
        <v>112</v>
      </c>
      <c r="C15578" s="5">
        <v>20</v>
      </c>
      <c r="D15578" s="6">
        <v>9.6999999999999993</v>
      </c>
      <c r="E15578" t="s">
        <v>9</v>
      </c>
    </row>
    <row r="15579" spans="1:5" x14ac:dyDescent="0.25">
      <c r="A15579" t="str">
        <f>HYPERLINK("https://www.773grp.com/globalSearch/UC17132J/page-1", "UC17132J")</f>
        <v>UC17132J</v>
      </c>
      <c r="B15579" s="3" t="s">
        <v>112</v>
      </c>
      <c r="C15579" s="5">
        <v>797</v>
      </c>
      <c r="D15579" s="6">
        <v>28.99</v>
      </c>
      <c r="E15579" t="s">
        <v>9</v>
      </c>
    </row>
    <row r="15580" spans="1:5" x14ac:dyDescent="0.25">
      <c r="A15580" t="str">
        <f>HYPERLINK("https://www.773grp.com/globalSearch/OPT101P-J/page-1", "OPT101P-J")</f>
        <v>OPT101P-J</v>
      </c>
      <c r="B15580" s="3" t="s">
        <v>90</v>
      </c>
      <c r="C15580" s="5">
        <v>1591</v>
      </c>
      <c r="D15580" s="6">
        <v>8.7799999999999994</v>
      </c>
      <c r="E15580" t="s">
        <v>102</v>
      </c>
    </row>
    <row r="15581" spans="1:5" x14ac:dyDescent="0.25">
      <c r="A15581" t="str">
        <f>HYPERLINK("https://www.773grp.com/globalSearch/TSL1401/page-1", "TSL1401")</f>
        <v>TSL1401</v>
      </c>
      <c r="B15581" s="3" t="s">
        <v>90</v>
      </c>
      <c r="C15581" s="5">
        <v>42392</v>
      </c>
      <c r="D15581" s="6">
        <v>10.46</v>
      </c>
      <c r="E15581" t="s">
        <v>102</v>
      </c>
    </row>
    <row r="15582" spans="1:5" x14ac:dyDescent="0.25">
      <c r="A15582" t="str">
        <f>HYPERLINK("https://www.773grp.com/globalSearch/TSL213/page-1", "TSL213")</f>
        <v>TSL213</v>
      </c>
      <c r="B15582" s="3" t="s">
        <v>90</v>
      </c>
      <c r="C15582" s="5">
        <v>26375</v>
      </c>
      <c r="D15582" s="6">
        <v>10.46</v>
      </c>
      <c r="E15582" t="s">
        <v>102</v>
      </c>
    </row>
    <row r="15583" spans="1:5" x14ac:dyDescent="0.25">
      <c r="A15583" t="str">
        <f>HYPERLINK("https://www.773grp.com/globalSearch/TSL401/page-1", "TSL401")</f>
        <v>TSL401</v>
      </c>
      <c r="B15583" s="3" t="str">
        <f>HYPERLINK("https://www.773grp.com/manufacturer/texas-instruments?pageNo=263", "Texas Instruments")</f>
        <v>Texas Instruments</v>
      </c>
      <c r="C15583" s="5">
        <v>5750</v>
      </c>
      <c r="D15583" s="6">
        <v>12.6</v>
      </c>
      <c r="E15583" t="s">
        <v>102</v>
      </c>
    </row>
    <row r="15584" spans="1:5" x14ac:dyDescent="0.25">
      <c r="A15584" t="str">
        <f>HYPERLINK("https://www.773grp.com/globalSearch/TSL214/page-1", "TSL214")</f>
        <v>TSL214</v>
      </c>
      <c r="B15584" s="3" t="s">
        <v>90</v>
      </c>
      <c r="C15584" s="5">
        <v>562</v>
      </c>
      <c r="D15584" s="6">
        <v>15.86</v>
      </c>
      <c r="E15584" t="s">
        <v>102</v>
      </c>
    </row>
    <row r="15585" spans="1:5" x14ac:dyDescent="0.25">
      <c r="A15585" t="str">
        <f>HYPERLINK("https://www.773grp.com/globalSearch/OPT301M/page-1", "OPT301M")</f>
        <v>OPT301M</v>
      </c>
      <c r="B15585" s="3" t="str">
        <f>HYPERLINK("https://www.773grp.com/manufacturer/texas-instruments?pageNo=109", "Texas Instruments")</f>
        <v>Texas Instruments</v>
      </c>
      <c r="C15585" s="5">
        <v>1</v>
      </c>
      <c r="D15585" s="6">
        <v>144.84</v>
      </c>
      <c r="E15585" t="s">
        <v>102</v>
      </c>
    </row>
    <row r="15586" spans="1:5" x14ac:dyDescent="0.25">
      <c r="A15586" t="str">
        <f>HYPERLINK("https://www.773grp.com/globalSearch/LS600/page-1", "LS600")</f>
        <v>LS600</v>
      </c>
      <c r="B15586" s="3" t="s">
        <v>90</v>
      </c>
      <c r="C15586" s="5">
        <v>1</v>
      </c>
      <c r="D15586" s="6">
        <v>5.79</v>
      </c>
      <c r="E15586" t="s">
        <v>100</v>
      </c>
    </row>
    <row r="15587" spans="1:5" x14ac:dyDescent="0.25">
      <c r="A15587" t="str">
        <f>HYPERLINK("https://www.773grp.com/globalSearch/CD74HCT7046AM96/page-1", "CD74HCT7046AM96")</f>
        <v>CD74HCT7046AM96</v>
      </c>
      <c r="B15587" s="3" t="str">
        <f>HYPERLINK("https://www.773grp.com/manufacturer/texas-instruments?pageNo=274", "Texas Instruments")</f>
        <v>Texas Instruments</v>
      </c>
      <c r="C15587" s="5">
        <v>3469</v>
      </c>
      <c r="D15587" s="6">
        <v>3.63</v>
      </c>
      <c r="E15587" t="s">
        <v>33</v>
      </c>
    </row>
    <row r="15588" spans="1:5" x14ac:dyDescent="0.25">
      <c r="A15588" t="str">
        <f>HYPERLINK("https://www.773grp.com/globalSearch/CD74HC7046AM/page-1", "CD74HC7046AM")</f>
        <v>CD74HC7046AM</v>
      </c>
      <c r="B15588" s="3" t="str">
        <f>HYPERLINK("https://www.773grp.com/manufacturer/texas-instruments?pageNo=243", "Texas Instruments")</f>
        <v>Texas Instruments</v>
      </c>
      <c r="C15588" s="5">
        <v>66219</v>
      </c>
      <c r="D15588" s="6">
        <v>3.83</v>
      </c>
      <c r="E15588" t="s">
        <v>33</v>
      </c>
    </row>
    <row r="15589" spans="1:5" x14ac:dyDescent="0.25">
      <c r="A15589" t="str">
        <f>HYPERLINK("https://www.773grp.com/globalSearch/CD74HCT7046AE/page-1", "CD74HCT7046AE")</f>
        <v>CD74HCT7046AE</v>
      </c>
      <c r="B15589" s="3" t="str">
        <f>HYPERLINK("https://www.773grp.com/manufacturer/texas-instruments?pageNo=902", "Texas Instruments")</f>
        <v>Texas Instruments</v>
      </c>
      <c r="C15589" s="5">
        <v>12108</v>
      </c>
      <c r="D15589" s="6">
        <v>4.01</v>
      </c>
      <c r="E15589" t="s">
        <v>33</v>
      </c>
    </row>
    <row r="15590" spans="1:5" x14ac:dyDescent="0.25">
      <c r="A15590" t="str">
        <f>HYPERLINK("https://www.773grp.com/globalSearch/CD74HCT7046AMT/page-1", "CD74HCT7046AMT")</f>
        <v>CD74HCT7046AMT</v>
      </c>
      <c r="B15590" s="3" t="s">
        <v>90</v>
      </c>
      <c r="C15590" s="5">
        <v>4217</v>
      </c>
      <c r="D15590" s="6">
        <v>4.2300000000000004</v>
      </c>
      <c r="E15590" t="s">
        <v>33</v>
      </c>
    </row>
    <row r="15591" spans="1:5" x14ac:dyDescent="0.25">
      <c r="A15591" t="str">
        <f>HYPERLINK("https://www.773grp.com/globalSearch/TLC2933IPWG4/page-1", "TLC2933IPWG4")</f>
        <v>TLC2933IPWG4</v>
      </c>
      <c r="B15591" s="3" t="s">
        <v>90</v>
      </c>
      <c r="C15591" s="5">
        <v>1544</v>
      </c>
      <c r="D15591" s="6">
        <v>4.2300000000000004</v>
      </c>
      <c r="E15591" t="s">
        <v>33</v>
      </c>
    </row>
    <row r="15592" spans="1:5" x14ac:dyDescent="0.25">
      <c r="A15592" t="str">
        <f>HYPERLINK("https://www.773grp.com/globalSearch/CD74HCT7046AM/page-1", "CD74HCT7046AM")</f>
        <v>CD74HCT7046AM</v>
      </c>
      <c r="B15592" s="3" t="s">
        <v>90</v>
      </c>
      <c r="C15592" s="5">
        <v>1656</v>
      </c>
      <c r="D15592" s="6">
        <v>4.43</v>
      </c>
      <c r="E15592" t="s">
        <v>33</v>
      </c>
    </row>
    <row r="15593" spans="1:5" x14ac:dyDescent="0.25">
      <c r="A15593" t="str">
        <f>HYPERLINK("https://www.773grp.com/globalSearch/TLC2934IPW/page-1", "TLC2934IPW")</f>
        <v>TLC2934IPW</v>
      </c>
      <c r="B15593" s="3" t="str">
        <f>HYPERLINK("https://www.773grp.com/manufacturer/texas-instruments?pageNo=447", "Texas Instruments")</f>
        <v>Texas Instruments</v>
      </c>
      <c r="C15593" s="5">
        <v>6347</v>
      </c>
      <c r="D15593" s="6">
        <v>4.53</v>
      </c>
      <c r="E15593" t="s">
        <v>33</v>
      </c>
    </row>
    <row r="15594" spans="1:5" x14ac:dyDescent="0.25">
      <c r="A15594" t="str">
        <f>HYPERLINK("https://www.773grp.com/globalSearch/TLC2932IPW/page-1", "TLC2932IPW")</f>
        <v>TLC2932IPW</v>
      </c>
      <c r="B15594" s="3" t="s">
        <v>90</v>
      </c>
      <c r="C15594" s="5">
        <v>79560</v>
      </c>
      <c r="D15594" s="6">
        <v>4.6900000000000004</v>
      </c>
      <c r="E15594" t="s">
        <v>33</v>
      </c>
    </row>
    <row r="15595" spans="1:5" x14ac:dyDescent="0.25">
      <c r="A15595" t="str">
        <f>HYPERLINK("https://www.773grp.com/globalSearch/TLC2932IPWG4/page-1", "TLC2932IPWG4")</f>
        <v>TLC2932IPWG4</v>
      </c>
      <c r="B15595" s="3" t="s">
        <v>90</v>
      </c>
      <c r="C15595" s="5">
        <v>6457</v>
      </c>
      <c r="D15595" s="6">
        <v>4.6900000000000004</v>
      </c>
      <c r="E15595" t="s">
        <v>33</v>
      </c>
    </row>
    <row r="15596" spans="1:5" x14ac:dyDescent="0.25">
      <c r="A15596" t="str">
        <f>HYPERLINK("https://www.773grp.com/globalSearch/TLC2932IPWR/page-1", "TLC2932IPWR")</f>
        <v>TLC2932IPWR</v>
      </c>
      <c r="B15596" s="3" t="s">
        <v>90</v>
      </c>
      <c r="C15596" s="5">
        <v>40019</v>
      </c>
      <c r="D15596" s="6">
        <v>4.6900000000000004</v>
      </c>
      <c r="E15596" t="s">
        <v>33</v>
      </c>
    </row>
    <row r="15597" spans="1:5" x14ac:dyDescent="0.25">
      <c r="A15597" t="str">
        <f>HYPERLINK("https://www.773grp.com/globalSearch/TLC2933IPW/page-1", "TLC2933IPW")</f>
        <v>TLC2933IPW</v>
      </c>
      <c r="B15597" s="3" t="s">
        <v>90</v>
      </c>
      <c r="C15597" s="5">
        <v>32661</v>
      </c>
      <c r="D15597" s="6">
        <v>4.6900000000000004</v>
      </c>
      <c r="E15597" t="s">
        <v>33</v>
      </c>
    </row>
    <row r="15598" spans="1:5" x14ac:dyDescent="0.25">
      <c r="A15598" t="str">
        <f>HYPERLINK("https://www.773grp.com/globalSearch/TLC2933IPWR/page-1", "TLC2933IPWR")</f>
        <v>TLC2933IPWR</v>
      </c>
      <c r="B15598" s="3" t="s">
        <v>90</v>
      </c>
      <c r="C15598" s="5">
        <v>12000</v>
      </c>
      <c r="D15598" s="6">
        <v>4.6900000000000004</v>
      </c>
      <c r="E15598" t="s">
        <v>33</v>
      </c>
    </row>
    <row r="15599" spans="1:5" x14ac:dyDescent="0.25">
      <c r="A15599" t="str">
        <f>HYPERLINK("https://www.773grp.com/globalSearch/TLC2943IDB/page-1", "TLC2943IDB")</f>
        <v>TLC2943IDB</v>
      </c>
      <c r="B15599" s="3" t="s">
        <v>90</v>
      </c>
      <c r="C15599" s="5">
        <v>1030</v>
      </c>
      <c r="D15599" s="6">
        <v>6.21</v>
      </c>
      <c r="E15599" t="s">
        <v>33</v>
      </c>
    </row>
    <row r="15600" spans="1:5" x14ac:dyDescent="0.25">
      <c r="A15600" t="str">
        <f>HYPERLINK("https://www.773grp.com/globalSearch/TLC2942IDB/page-1", "TLC2942IDB")</f>
        <v>TLC2942IDB</v>
      </c>
      <c r="B15600" s="3" t="str">
        <f>HYPERLINK("https://www.773grp.com/manufacturer/texas-instruments?pageNo=426", "Texas Instruments")</f>
        <v>Texas Instruments</v>
      </c>
      <c r="C15600" s="5">
        <v>760</v>
      </c>
      <c r="D15600" s="6">
        <v>6.7</v>
      </c>
      <c r="E15600" t="s">
        <v>33</v>
      </c>
    </row>
    <row r="15601" spans="1:5" x14ac:dyDescent="0.25">
      <c r="A15601" t="str">
        <f>HYPERLINK("https://www.773grp.com/globalSearch/TLC2942IDBR/page-1", "TLC2942IDBR")</f>
        <v>TLC2942IDBR</v>
      </c>
      <c r="B15601" s="3" t="str">
        <f>HYPERLINK("https://www.773grp.com/manufacturer/texas-instruments?pageNo=427", "Texas Instruments")</f>
        <v>Texas Instruments</v>
      </c>
      <c r="C15601" s="5">
        <v>16000</v>
      </c>
      <c r="D15601" s="6">
        <v>6.7</v>
      </c>
      <c r="E15601" t="s">
        <v>33</v>
      </c>
    </row>
    <row r="15602" spans="1:5" x14ac:dyDescent="0.25">
      <c r="A15602" t="str">
        <f>HYPERLINK("https://www.773grp.com/globalSearch/TRF3750IPWR/page-1", "TRF3750IPWR")</f>
        <v>TRF3750IPWR</v>
      </c>
      <c r="B15602" s="3" t="s">
        <v>90</v>
      </c>
      <c r="C15602" s="5">
        <v>79372</v>
      </c>
      <c r="D15602" s="6">
        <v>7.6</v>
      </c>
      <c r="E15602" t="s">
        <v>33</v>
      </c>
    </row>
    <row r="15603" spans="1:5" x14ac:dyDescent="0.25">
      <c r="A15603" t="str">
        <f>HYPERLINK("https://www.773grp.com/globalSearch/TRF2056PW/page-1", "TRF2056PW")</f>
        <v>TRF2056PW</v>
      </c>
      <c r="B15603" s="3" t="s">
        <v>90</v>
      </c>
      <c r="C15603" s="5">
        <v>541</v>
      </c>
      <c r="D15603" s="6">
        <v>7.71</v>
      </c>
      <c r="E15603" t="s">
        <v>33</v>
      </c>
    </row>
    <row r="15604" spans="1:5" x14ac:dyDescent="0.25">
      <c r="A15604" t="str">
        <f>HYPERLINK("https://www.773grp.com/globalSearch/TRF3750IPW/page-1", "TRF3750IPW")</f>
        <v>TRF3750IPW</v>
      </c>
      <c r="B15604" s="3" t="s">
        <v>90</v>
      </c>
      <c r="C15604" s="5">
        <v>222</v>
      </c>
      <c r="D15604" s="6">
        <v>9.15</v>
      </c>
      <c r="E15604" t="s">
        <v>33</v>
      </c>
    </row>
    <row r="15605" spans="1:5" x14ac:dyDescent="0.25">
      <c r="A15605" t="str">
        <f>HYPERLINK("https://www.773grp.com/globalSearch/TRF3750IPWG4/page-1", "TRF3750IPWG4")</f>
        <v>TRF3750IPWG4</v>
      </c>
      <c r="B15605" s="3" t="s">
        <v>90</v>
      </c>
      <c r="C15605" s="5">
        <v>160</v>
      </c>
      <c r="D15605" s="6">
        <v>9.15</v>
      </c>
      <c r="E15605" t="s">
        <v>33</v>
      </c>
    </row>
    <row r="15606" spans="1:5" x14ac:dyDescent="0.25">
      <c r="A15606" t="str">
        <f>HYPERLINK("https://www.773grp.com/globalSearch/TRF3750IRGP/page-1", "TRF3750IRGP")</f>
        <v>TRF3750IRGP</v>
      </c>
      <c r="B15606" s="3" t="s">
        <v>90</v>
      </c>
      <c r="C15606" s="5">
        <v>2936</v>
      </c>
      <c r="D15606" s="6">
        <v>9.99</v>
      </c>
      <c r="E15606" t="s">
        <v>33</v>
      </c>
    </row>
    <row r="15607" spans="1:5" x14ac:dyDescent="0.25">
      <c r="A15607" t="str">
        <f>HYPERLINK("https://www.773grp.com/globalSearch/SN65LVDS150PWR/page-1", "SN65LVDS150PWR")</f>
        <v>SN65LVDS150PWR</v>
      </c>
      <c r="B15607" s="3" t="s">
        <v>90</v>
      </c>
      <c r="C15607" s="5">
        <v>4000</v>
      </c>
      <c r="D15607" s="6">
        <v>14.04</v>
      </c>
      <c r="E15607" t="s">
        <v>33</v>
      </c>
    </row>
    <row r="15608" spans="1:5" x14ac:dyDescent="0.25">
      <c r="A15608" t="str">
        <f>HYPERLINK("https://www.773grp.com/globalSearch/TRF3761-JIRHAR/page-1", "TRF3761-JIRHAR")</f>
        <v>TRF3761-JIRHAR</v>
      </c>
      <c r="B15608" s="3" t="s">
        <v>90</v>
      </c>
      <c r="C15608" s="5">
        <v>7500</v>
      </c>
      <c r="D15608" s="6">
        <v>15.33</v>
      </c>
      <c r="E15608" t="s">
        <v>33</v>
      </c>
    </row>
    <row r="15609" spans="1:5" x14ac:dyDescent="0.25">
      <c r="A15609" t="str">
        <f>HYPERLINK("https://www.773grp.com/globalSearch/SN65LVDS150PW/page-1", "SN65LVDS150PW")</f>
        <v>SN65LVDS150PW</v>
      </c>
      <c r="B15609" s="3" t="s">
        <v>90</v>
      </c>
      <c r="C15609" s="5">
        <v>14178</v>
      </c>
      <c r="D15609" s="6">
        <v>16.71</v>
      </c>
      <c r="E15609" t="s">
        <v>33</v>
      </c>
    </row>
    <row r="15610" spans="1:5" x14ac:dyDescent="0.25">
      <c r="A15610" t="str">
        <f>HYPERLINK("https://www.773grp.com/globalSearch/TRF3761-AIRHAR/page-1", "TRF3761-AIRHAR")</f>
        <v>TRF3761-AIRHAR</v>
      </c>
      <c r="B15610" s="3" t="s">
        <v>90</v>
      </c>
      <c r="C15610" s="5">
        <v>2500</v>
      </c>
      <c r="D15610" s="6">
        <v>19.149999999999999</v>
      </c>
      <c r="E15610" t="s">
        <v>33</v>
      </c>
    </row>
    <row r="15611" spans="1:5" x14ac:dyDescent="0.25">
      <c r="A15611" t="str">
        <f>HYPERLINK("https://www.773grp.com/globalSearch/TRF3761-GIRHAR/page-1", "TRF3761-GIRHAR")</f>
        <v>TRF3761-GIRHAR</v>
      </c>
      <c r="B15611" s="3" t="s">
        <v>90</v>
      </c>
      <c r="C15611" s="5">
        <v>5000</v>
      </c>
      <c r="D15611" s="6">
        <v>19.149999999999999</v>
      </c>
      <c r="E15611" t="s">
        <v>33</v>
      </c>
    </row>
    <row r="15612" spans="1:5" x14ac:dyDescent="0.25">
      <c r="A15612" t="str">
        <f>HYPERLINK("https://www.773grp.com/globalSearch/CD4046BF/page-1", "CD4046BF")</f>
        <v>CD4046BF</v>
      </c>
      <c r="B15612" s="3" t="s">
        <v>90</v>
      </c>
      <c r="C15612" s="5">
        <v>220</v>
      </c>
      <c r="D15612" s="6">
        <v>21.18</v>
      </c>
      <c r="E15612" t="s">
        <v>33</v>
      </c>
    </row>
    <row r="15613" spans="1:5" x14ac:dyDescent="0.25">
      <c r="A15613" t="str">
        <f>HYPERLINK("https://www.773grp.com/globalSearch/TRF3761-BIRHAT/page-1", "TRF3761-BIRHAT")</f>
        <v>TRF3761-BIRHAT</v>
      </c>
      <c r="B15613" s="3" t="s">
        <v>90</v>
      </c>
      <c r="C15613" s="5">
        <v>600</v>
      </c>
      <c r="D15613" s="6">
        <v>22.05</v>
      </c>
      <c r="E15613" t="s">
        <v>33</v>
      </c>
    </row>
    <row r="15614" spans="1:5" x14ac:dyDescent="0.25">
      <c r="A15614" t="str">
        <f>HYPERLINK("https://www.773grp.com/globalSearch/TRF3761-DIRHAT/page-1", "TRF3761-DIRHAT")</f>
        <v>TRF3761-DIRHAT</v>
      </c>
      <c r="B15614" s="3" t="s">
        <v>90</v>
      </c>
      <c r="C15614" s="5">
        <v>41335</v>
      </c>
      <c r="D15614" s="6">
        <v>22.05</v>
      </c>
      <c r="E15614" t="s">
        <v>33</v>
      </c>
    </row>
    <row r="15615" spans="1:5" x14ac:dyDescent="0.25">
      <c r="A15615" t="str">
        <f>HYPERLINK("https://www.773grp.com/globalSearch/TRF3761-EIRHAT/page-1", "TRF3761-EIRHAT")</f>
        <v>TRF3761-EIRHAT</v>
      </c>
      <c r="B15615" s="3" t="s">
        <v>90</v>
      </c>
      <c r="C15615" s="5">
        <v>495</v>
      </c>
      <c r="D15615" s="6">
        <v>22.05</v>
      </c>
      <c r="E15615" t="s">
        <v>33</v>
      </c>
    </row>
    <row r="15616" spans="1:5" x14ac:dyDescent="0.25">
      <c r="A15616" t="str">
        <f>HYPERLINK("https://www.773grp.com/globalSearch/TRF3761-HIRHAT/page-1", "TRF3761-HIRHAT")</f>
        <v>TRF3761-HIRHAT</v>
      </c>
      <c r="B15616" s="3" t="s">
        <v>90</v>
      </c>
      <c r="C15616" s="5">
        <v>1223</v>
      </c>
      <c r="D15616" s="6">
        <v>22.05</v>
      </c>
      <c r="E15616" t="s">
        <v>33</v>
      </c>
    </row>
    <row r="15617" spans="1:5" x14ac:dyDescent="0.25">
      <c r="A15617" t="str">
        <f>HYPERLINK("https://www.773grp.com/globalSearch/TRF3761-JIRHAT/page-1", "TRF3761-JIRHAT")</f>
        <v>TRF3761-JIRHAT</v>
      </c>
      <c r="B15617" s="3" t="s">
        <v>90</v>
      </c>
      <c r="C15617" s="5">
        <v>456</v>
      </c>
      <c r="D15617" s="6">
        <v>22.05</v>
      </c>
      <c r="E15617" t="s">
        <v>33</v>
      </c>
    </row>
    <row r="15618" spans="1:5" x14ac:dyDescent="0.25">
      <c r="A15618" t="str">
        <f>HYPERLINK("https://www.773grp.com/globalSearch/CD4046BF3A/page-1", "CD4046BF3A")</f>
        <v>CD4046BF3A</v>
      </c>
      <c r="B15618" s="3" t="s">
        <v>90</v>
      </c>
      <c r="C15618" s="5">
        <v>68</v>
      </c>
      <c r="D15618" s="6">
        <v>23.58</v>
      </c>
      <c r="E15618" t="s">
        <v>33</v>
      </c>
    </row>
    <row r="15619" spans="1:5" x14ac:dyDescent="0.25">
      <c r="A15619" t="str">
        <f>HYPERLINK("https://www.773grp.com/globalSearch/CD54HC4046AF/page-1", "CD54HC4046AF")</f>
        <v>CD54HC4046AF</v>
      </c>
      <c r="B15619" s="3" t="str">
        <f>HYPERLINK("https://www.773grp.com/manufacturer/texas-instruments?pageNo=473", "Texas Instruments")</f>
        <v>Texas Instruments</v>
      </c>
      <c r="C15619" s="5">
        <v>21</v>
      </c>
      <c r="D15619" s="6">
        <v>30.34</v>
      </c>
      <c r="E15619" t="s">
        <v>33</v>
      </c>
    </row>
    <row r="15620" spans="1:5" x14ac:dyDescent="0.25">
      <c r="A15620" t="str">
        <f>HYPERLINK("https://www.773grp.com/globalSearch/5962-8960901EA/page-1", "5962-8960901EA")</f>
        <v>5962-8960901EA</v>
      </c>
      <c r="B15620" s="3" t="s">
        <v>90</v>
      </c>
      <c r="C15620" s="5">
        <v>42</v>
      </c>
      <c r="D15620" s="6">
        <v>34.54</v>
      </c>
      <c r="E15620" t="s">
        <v>33</v>
      </c>
    </row>
    <row r="15621" spans="1:5" x14ac:dyDescent="0.25">
      <c r="A15621" t="str">
        <f>HYPERLINK("https://www.773grp.com/globalSearch/5962-8875701EA/page-1", "5962-8875701EA")</f>
        <v>5962-8875701EA</v>
      </c>
      <c r="B15621" s="3" t="s">
        <v>90</v>
      </c>
      <c r="C15621" s="5">
        <v>30</v>
      </c>
      <c r="D15621" s="6">
        <v>41.31</v>
      </c>
      <c r="E15621" t="s">
        <v>33</v>
      </c>
    </row>
    <row r="15622" spans="1:5" x14ac:dyDescent="0.25">
      <c r="A15622" t="str">
        <f>HYPERLINK("https://www.773grp.com/globalSearch/CD54HCT4046AF3A/page-1", "CD54HCT4046AF3A")</f>
        <v>CD54HCT4046AF3A</v>
      </c>
      <c r="B15622" s="3" t="s">
        <v>90</v>
      </c>
      <c r="C15622" s="5">
        <v>4</v>
      </c>
      <c r="D15622" s="6">
        <v>41.31</v>
      </c>
      <c r="E15622" t="s">
        <v>33</v>
      </c>
    </row>
    <row r="15623" spans="1:5" x14ac:dyDescent="0.25">
      <c r="A15623" t="str">
        <f>HYPERLINK("https://www.773grp.com/globalSearch/SP8855E-IG-HCAR/page-1", "SP8855E-IG-HCAR")</f>
        <v>SP8855E-IG-HCAR</v>
      </c>
      <c r="B15623" s="3" t="s">
        <v>116</v>
      </c>
      <c r="C15623" s="5">
        <v>1</v>
      </c>
      <c r="D15623" s="6">
        <v>235.8</v>
      </c>
      <c r="E15623" t="s">
        <v>33</v>
      </c>
    </row>
    <row r="15624" spans="1:5" x14ac:dyDescent="0.25">
      <c r="A15624" t="str">
        <f>HYPERLINK("https://www.773grp.com/globalSearch/SP8853-A-DG/page-1", "SP8853-A-DG")</f>
        <v>SP8853-A-DG</v>
      </c>
      <c r="B15624" s="3" t="s">
        <v>116</v>
      </c>
      <c r="C15624" s="5">
        <v>174</v>
      </c>
      <c r="D15624" s="6">
        <v>226.43</v>
      </c>
      <c r="E15624" t="s">
        <v>33</v>
      </c>
    </row>
    <row r="15625" spans="1:5" x14ac:dyDescent="0.25">
      <c r="A15625" t="str">
        <f>HYPERLINK("https://www.773grp.com/globalSearch/SP8853-A-HC/page-1", "SP8853-A-HC")</f>
        <v>SP8853-A-HC</v>
      </c>
      <c r="B15625" s="3" t="s">
        <v>116</v>
      </c>
      <c r="C15625" s="5">
        <v>21</v>
      </c>
      <c r="D15625" s="6">
        <v>339.53</v>
      </c>
      <c r="E15625" t="s">
        <v>33</v>
      </c>
    </row>
    <row r="15626" spans="1:5" x14ac:dyDescent="0.25">
      <c r="A15626" t="str">
        <f>HYPERLINK("https://www.773grp.com/globalSearch/SP8853-AC-DG/page-1", "SP8853-AC-DG")</f>
        <v>SP8853-AC-DG</v>
      </c>
      <c r="B15626" s="3" t="s">
        <v>116</v>
      </c>
      <c r="C15626" s="5">
        <v>3</v>
      </c>
      <c r="D15626" s="6">
        <v>439.39</v>
      </c>
      <c r="E15626" t="s">
        <v>33</v>
      </c>
    </row>
    <row r="15627" spans="1:5" x14ac:dyDescent="0.25">
      <c r="A15627" t="str">
        <f>HYPERLINK("https://www.773grp.com/globalSearch/SP8853-AC-HC/page-1", "SP8853-AC-HC")</f>
        <v>SP8853-AC-HC</v>
      </c>
      <c r="B15627" s="3" t="s">
        <v>116</v>
      </c>
      <c r="C15627" s="5">
        <v>15</v>
      </c>
      <c r="D15627" s="6">
        <v>685.69</v>
      </c>
      <c r="E15627" t="s">
        <v>33</v>
      </c>
    </row>
    <row r="15628" spans="1:5" x14ac:dyDescent="0.25">
      <c r="A15628" t="str">
        <f>HYPERLINK("https://www.773grp.com/globalSearch/TLC7701ID/page-1", "TLC7701ID")</f>
        <v>TLC7701ID</v>
      </c>
      <c r="B15628" s="3" t="str">
        <f>HYPERLINK("https://www.773grp.com/manufacturer/texas-instruments?pageNo=60", "Texas Instruments")</f>
        <v>Texas Instruments</v>
      </c>
      <c r="C15628" s="5">
        <v>57205</v>
      </c>
      <c r="D15628" s="6">
        <v>3.95</v>
      </c>
      <c r="E15628" t="s">
        <v>26</v>
      </c>
    </row>
    <row r="15629" spans="1:5" x14ac:dyDescent="0.25">
      <c r="A15629" t="str">
        <f>HYPERLINK("https://www.773grp.com/globalSearch/TLC7701IPW/page-1", "TLC7701IPW")</f>
        <v>TLC7701IPW</v>
      </c>
      <c r="B15629" s="3" t="str">
        <f>HYPERLINK("https://www.773grp.com/manufacturer/texas-instruments?pageNo=61", "Texas Instruments")</f>
        <v>Texas Instruments</v>
      </c>
      <c r="C15629" s="5">
        <v>15411</v>
      </c>
      <c r="D15629" s="6">
        <v>3.95</v>
      </c>
      <c r="E15629" t="s">
        <v>26</v>
      </c>
    </row>
    <row r="15630" spans="1:5" x14ac:dyDescent="0.25">
      <c r="A15630" t="str">
        <f>HYPERLINK("https://www.773grp.com/globalSearch/TLC7705ID/page-1", "TLC7705ID")</f>
        <v>TLC7705ID</v>
      </c>
      <c r="B15630" s="3" t="str">
        <f>HYPERLINK("https://www.773grp.com/manufacturer/texas-instruments?pageNo=62", "Texas Instruments")</f>
        <v>Texas Instruments</v>
      </c>
      <c r="C15630" s="5">
        <v>10723</v>
      </c>
      <c r="D15630" s="6">
        <v>3.95</v>
      </c>
      <c r="E15630" t="s">
        <v>26</v>
      </c>
    </row>
    <row r="15631" spans="1:5" x14ac:dyDescent="0.25">
      <c r="A15631" t="str">
        <f>HYPERLINK("https://www.773grp.com/globalSearch/TLC7705IPW/page-1", "TLC7705IPW")</f>
        <v>TLC7705IPW</v>
      </c>
      <c r="B15631" s="3" t="str">
        <f>HYPERLINK("https://www.773grp.com/manufacturer/texas-instruments?pageNo=63", "Texas Instruments")</f>
        <v>Texas Instruments</v>
      </c>
      <c r="C15631" s="5">
        <v>9859</v>
      </c>
      <c r="D15631" s="6">
        <v>3.95</v>
      </c>
      <c r="E15631" t="s">
        <v>26</v>
      </c>
    </row>
    <row r="15632" spans="1:5" x14ac:dyDescent="0.25">
      <c r="A15632" t="str">
        <f>HYPERLINK("https://www.773grp.com/globalSearch/TPIC9201N/page-1", "TPIC9201N")</f>
        <v>TPIC9201N</v>
      </c>
      <c r="B15632" s="3" t="str">
        <f>HYPERLINK("https://www.773grp.com/manufacturer/texas-instruments?pageNo=129", "Texas Instruments")</f>
        <v>Texas Instruments</v>
      </c>
      <c r="C15632" s="5">
        <v>131923</v>
      </c>
      <c r="D15632" s="6">
        <v>3.95</v>
      </c>
      <c r="E15632" t="s">
        <v>26</v>
      </c>
    </row>
    <row r="15633" spans="1:5" x14ac:dyDescent="0.25">
      <c r="A15633" t="str">
        <f>HYPERLINK("https://www.773grp.com/globalSearch/TPS2061DGN/page-1", "TPS2061DGN")</f>
        <v>TPS2061DGN</v>
      </c>
      <c r="B15633" s="3" t="str">
        <f>HYPERLINK("https://www.773grp.com/manufacturer/texas-instruments?pageNo=131", "Texas Instruments")</f>
        <v>Texas Instruments</v>
      </c>
      <c r="C15633" s="5">
        <v>440</v>
      </c>
      <c r="D15633" s="6">
        <v>3.95</v>
      </c>
      <c r="E15633" t="s">
        <v>26</v>
      </c>
    </row>
    <row r="15634" spans="1:5" x14ac:dyDescent="0.25">
      <c r="A15634" t="str">
        <f>HYPERLINK("https://www.773grp.com/globalSearch/TPS2062ADR/page-1", "TPS2062ADR")</f>
        <v>TPS2062ADR</v>
      </c>
      <c r="B15634" s="3" t="str">
        <f>HYPERLINK("https://www.773grp.com/manufacturer/texas-instruments?pageNo=133", "Texas Instruments")</f>
        <v>Texas Instruments</v>
      </c>
      <c r="C15634" s="5">
        <v>2500</v>
      </c>
      <c r="D15634" s="6">
        <v>3.95</v>
      </c>
      <c r="E15634" t="s">
        <v>26</v>
      </c>
    </row>
    <row r="15635" spans="1:5" x14ac:dyDescent="0.25">
      <c r="A15635" t="str">
        <f>HYPERLINK("https://www.773grp.com/globalSearch/TPS2101DBVT/page-1", "TPS2101DBVT")</f>
        <v>TPS2101DBVT</v>
      </c>
      <c r="B15635" s="3" t="str">
        <f>HYPERLINK("https://www.773grp.com/manufacturer/texas-instruments?pageNo=135", "Texas Instruments")</f>
        <v>Texas Instruments</v>
      </c>
      <c r="C15635" s="5">
        <v>8203</v>
      </c>
      <c r="D15635" s="6">
        <v>3.95</v>
      </c>
      <c r="E15635" t="s">
        <v>26</v>
      </c>
    </row>
    <row r="15636" spans="1:5" x14ac:dyDescent="0.25">
      <c r="A15636" t="str">
        <f>HYPERLINK("https://www.773grp.com/globalSearch/TPS2103D/page-1", "TPS2103D")</f>
        <v>TPS2103D</v>
      </c>
      <c r="B15636" s="3" t="str">
        <f>HYPERLINK("https://www.773grp.com/manufacturer/texas-instruments?pageNo=136", "Texas Instruments")</f>
        <v>Texas Instruments</v>
      </c>
      <c r="C15636" s="5">
        <v>5050</v>
      </c>
      <c r="D15636" s="6">
        <v>3.95</v>
      </c>
      <c r="E15636" t="s">
        <v>26</v>
      </c>
    </row>
    <row r="15637" spans="1:5" x14ac:dyDescent="0.25">
      <c r="A15637" t="str">
        <f>HYPERLINK("https://www.773grp.com/globalSearch/TPS2111APWR/page-1", "TPS2111APWR")</f>
        <v>TPS2111APWR</v>
      </c>
      <c r="B15637" s="3" t="str">
        <f>HYPERLINK("https://www.773grp.com/manufacturer/texas-instruments?pageNo=137", "Texas Instruments")</f>
        <v>Texas Instruments</v>
      </c>
      <c r="C15637" s="5">
        <v>59639</v>
      </c>
      <c r="D15637" s="6">
        <v>3.95</v>
      </c>
      <c r="E15637" t="s">
        <v>26</v>
      </c>
    </row>
    <row r="15638" spans="1:5" x14ac:dyDescent="0.25">
      <c r="A15638" t="str">
        <f>HYPERLINK("https://www.773grp.com/globalSearch/TPS2111PWR/page-1", "TPS2111PWR")</f>
        <v>TPS2111PWR</v>
      </c>
      <c r="B15638" s="3" t="str">
        <f>HYPERLINK("https://www.773grp.com/manufacturer/texas-instruments?pageNo=138", "Texas Instruments")</f>
        <v>Texas Instruments</v>
      </c>
      <c r="C15638" s="5">
        <v>40000</v>
      </c>
      <c r="D15638" s="6">
        <v>3.95</v>
      </c>
      <c r="E15638" t="s">
        <v>26</v>
      </c>
    </row>
    <row r="15639" spans="1:5" x14ac:dyDescent="0.25">
      <c r="A15639" t="str">
        <f>HYPERLINK("https://www.773grp.com/globalSearch/TPS2113APWR/page-1", "TPS2113APWR")</f>
        <v>TPS2113APWR</v>
      </c>
      <c r="B15639" s="3" t="str">
        <f>HYPERLINK("https://www.773grp.com/manufacturer/texas-instruments?pageNo=139", "Texas Instruments")</f>
        <v>Texas Instruments</v>
      </c>
      <c r="C15639" s="5">
        <v>5190</v>
      </c>
      <c r="D15639" s="6">
        <v>3.95</v>
      </c>
      <c r="E15639" t="s">
        <v>26</v>
      </c>
    </row>
    <row r="15640" spans="1:5" x14ac:dyDescent="0.25">
      <c r="A15640" t="str">
        <f>HYPERLINK("https://www.773grp.com/globalSearch/TPS2115ADRBR/page-1", "TPS2115ADRBR")</f>
        <v>TPS2115ADRBR</v>
      </c>
      <c r="B15640" s="3" t="str">
        <f>HYPERLINK("https://www.773grp.com/manufacturer/texas-instruments?pageNo=140", "Texas Instruments")</f>
        <v>Texas Instruments</v>
      </c>
      <c r="C15640" s="5">
        <v>12000</v>
      </c>
      <c r="D15640" s="6">
        <v>3.95</v>
      </c>
      <c r="E15640" t="s">
        <v>26</v>
      </c>
    </row>
    <row r="15641" spans="1:5" x14ac:dyDescent="0.25">
      <c r="A15641" t="str">
        <f>HYPERLINK("https://www.773grp.com/globalSearch/TPS2552DBVR/page-1", "TPS2552DBVR")</f>
        <v>TPS2552DBVR</v>
      </c>
      <c r="B15641" s="3" t="str">
        <f>HYPERLINK("https://www.773grp.com/manufacturer/texas-instruments?pageNo=141", "Texas Instruments")</f>
        <v>Texas Instruments</v>
      </c>
      <c r="C15641" s="5">
        <v>250</v>
      </c>
      <c r="D15641" s="6">
        <v>3.95</v>
      </c>
      <c r="E15641" t="s">
        <v>26</v>
      </c>
    </row>
    <row r="15642" spans="1:5" x14ac:dyDescent="0.25">
      <c r="A15642" t="str">
        <f>HYPERLINK("https://www.773grp.com/globalSearch/TPS2553DBVR/page-1", "TPS2553DBVR")</f>
        <v>TPS2553DBVR</v>
      </c>
      <c r="B15642" s="3" t="str">
        <f>HYPERLINK("https://www.773grp.com/manufacturer/texas-instruments?pageNo=143", "Texas Instruments")</f>
        <v>Texas Instruments</v>
      </c>
      <c r="C15642" s="5">
        <v>1151</v>
      </c>
      <c r="D15642" s="6">
        <v>3.95</v>
      </c>
      <c r="E15642" t="s">
        <v>26</v>
      </c>
    </row>
    <row r="15643" spans="1:5" x14ac:dyDescent="0.25">
      <c r="A15643" t="str">
        <f>HYPERLINK("https://www.773grp.com/globalSearch/TPS2553DBVR-1/page-1", "TPS2553DBVR-1")</f>
        <v>TPS2553DBVR-1</v>
      </c>
      <c r="B15643" s="3" t="str">
        <f>HYPERLINK("https://www.773grp.com/manufacturer/texas-instruments?pageNo=144", "Texas Instruments")</f>
        <v>Texas Instruments</v>
      </c>
      <c r="C15643" s="5">
        <v>1234</v>
      </c>
      <c r="D15643" s="6">
        <v>3.95</v>
      </c>
      <c r="E15643" t="s">
        <v>26</v>
      </c>
    </row>
    <row r="15644" spans="1:5" x14ac:dyDescent="0.25">
      <c r="A15644" t="str">
        <f>HYPERLINK("https://www.773grp.com/globalSearch/TPS3820-33QDBVRQ1/page-1", "TPS3820-33QDBVRQ1")</f>
        <v>TPS3820-33QDBVRQ1</v>
      </c>
      <c r="B15644" s="3" t="str">
        <f>HYPERLINK("https://www.773grp.com/manufacturer/texas-instruments?pageNo=153", "Texas Instruments")</f>
        <v>Texas Instruments</v>
      </c>
      <c r="C15644" s="5">
        <v>892</v>
      </c>
      <c r="D15644" s="6">
        <v>3.95</v>
      </c>
      <c r="E15644" t="s">
        <v>26</v>
      </c>
    </row>
    <row r="15645" spans="1:5" x14ac:dyDescent="0.25">
      <c r="A15645" t="str">
        <f>HYPERLINK("https://www.773grp.com/globalSearch/TPS3825-50QDBVRQ1/page-1", "TPS3825-50QDBVRQ1")</f>
        <v>TPS3825-50QDBVRQ1</v>
      </c>
      <c r="B15645" s="3" t="str">
        <f>HYPERLINK("https://www.773grp.com/manufacturer/texas-instruments?pageNo=156", "Texas Instruments")</f>
        <v>Texas Instruments</v>
      </c>
      <c r="C15645" s="5">
        <v>3000</v>
      </c>
      <c r="D15645" s="6">
        <v>3.95</v>
      </c>
      <c r="E15645" t="s">
        <v>26</v>
      </c>
    </row>
    <row r="15646" spans="1:5" x14ac:dyDescent="0.25">
      <c r="A15646" t="str">
        <f>HYPERLINK("https://www.773grp.com/globalSearch/TPS3307-18QDRG4Q1/page-1", "TPS3307-18QDRG4Q1")</f>
        <v>TPS3307-18QDRG4Q1</v>
      </c>
      <c r="B15646" s="3" t="str">
        <f>HYPERLINK("https://www.773grp.com/manufacturer/texas-instruments?pageNo=252", "Texas Instruments")</f>
        <v>Texas Instruments</v>
      </c>
      <c r="C15646" s="5">
        <v>5000</v>
      </c>
      <c r="D15646" s="6">
        <v>3.6</v>
      </c>
      <c r="E15646" t="s">
        <v>26</v>
      </c>
    </row>
    <row r="15647" spans="1:5" x14ac:dyDescent="0.25">
      <c r="A15647" t="str">
        <f>HYPERLINK("https://www.773grp.com/globalSearch/TL7709AIP/page-1", "TL7709AIP")</f>
        <v>TL7709AIP</v>
      </c>
      <c r="B15647" s="3" t="str">
        <f>HYPERLINK("https://www.773grp.com/manufacturer/texas-instruments?pageNo=447", "Texas Instruments")</f>
        <v>Texas Instruments</v>
      </c>
      <c r="C15647" s="5">
        <v>10150</v>
      </c>
      <c r="D15647" s="6">
        <v>4.01</v>
      </c>
      <c r="E15647" t="s">
        <v>26</v>
      </c>
    </row>
    <row r="15648" spans="1:5" x14ac:dyDescent="0.25">
      <c r="A15648" t="str">
        <f>HYPERLINK("https://www.773grp.com/globalSearch/TL7712AIP/page-1", "TL7712AIP")</f>
        <v>TL7712AIP</v>
      </c>
      <c r="B15648" s="3" t="str">
        <f>HYPERLINK("https://www.773grp.com/manufacturer/texas-instruments?pageNo=448", "Texas Instruments")</f>
        <v>Texas Instruments</v>
      </c>
      <c r="C15648" s="5">
        <v>12790</v>
      </c>
      <c r="D15648" s="6">
        <v>4.01</v>
      </c>
      <c r="E15648" t="s">
        <v>26</v>
      </c>
    </row>
    <row r="15649" spans="1:5" x14ac:dyDescent="0.25">
      <c r="A15649" t="str">
        <f>HYPERLINK("https://www.773grp.com/globalSearch/TL7715AIP/page-1", "TL7715AIP")</f>
        <v>TL7715AIP</v>
      </c>
      <c r="B15649" s="3" t="str">
        <f>HYPERLINK("https://www.773grp.com/manufacturer/texas-instruments?pageNo=449", "Texas Instruments")</f>
        <v>Texas Instruments</v>
      </c>
      <c r="C15649" s="5">
        <v>9733</v>
      </c>
      <c r="D15649" s="6">
        <v>4.01</v>
      </c>
      <c r="E15649" t="s">
        <v>26</v>
      </c>
    </row>
    <row r="15650" spans="1:5" x14ac:dyDescent="0.25">
      <c r="A15650" t="str">
        <f>HYPERLINK("https://www.773grp.com/globalSearch/TPS2052BD/page-1", "TPS2052BD")</f>
        <v>TPS2052BD</v>
      </c>
      <c r="B15650" s="3" t="str">
        <f>HYPERLINK("https://www.773grp.com/manufacturer/texas-instruments?pageNo=451", "Texas Instruments")</f>
        <v>Texas Instruments</v>
      </c>
      <c r="C15650" s="5">
        <v>1153</v>
      </c>
      <c r="D15650" s="6">
        <v>4.01</v>
      </c>
      <c r="E15650" t="s">
        <v>26</v>
      </c>
    </row>
    <row r="15651" spans="1:5" x14ac:dyDescent="0.25">
      <c r="A15651" t="str">
        <f>HYPERLINK("https://www.773grp.com/globalSearch/TPS2052BDG4/page-1", "TPS2052BDG4")</f>
        <v>TPS2052BDG4</v>
      </c>
      <c r="B15651" s="3" t="str">
        <f>HYPERLINK("https://www.773grp.com/manufacturer/texas-instruments?pageNo=452", "Texas Instruments")</f>
        <v>Texas Instruments</v>
      </c>
      <c r="C15651" s="5">
        <v>15</v>
      </c>
      <c r="D15651" s="6">
        <v>4.01</v>
      </c>
      <c r="E15651" t="s">
        <v>26</v>
      </c>
    </row>
    <row r="15652" spans="1:5" x14ac:dyDescent="0.25">
      <c r="A15652" t="str">
        <f>HYPERLINK("https://www.773grp.com/globalSearch/TPS3823-25DBVT/page-1", "TPS3823-25DBVT")</f>
        <v>TPS3823-25DBVT</v>
      </c>
      <c r="B15652" s="3" t="str">
        <f>HYPERLINK("https://www.773grp.com/manufacturer/texas-instruments?pageNo=453", "Texas Instruments")</f>
        <v>Texas Instruments</v>
      </c>
      <c r="C15652" s="5">
        <v>2884</v>
      </c>
      <c r="D15652" s="6">
        <v>4.01</v>
      </c>
      <c r="E15652" t="s">
        <v>26</v>
      </c>
    </row>
    <row r="15653" spans="1:5" x14ac:dyDescent="0.25">
      <c r="A15653" t="str">
        <f>HYPERLINK("https://www.773grp.com/globalSearch/TPS3823-33DBVT/page-1", "TPS3823-33DBVT")</f>
        <v>TPS3823-33DBVT</v>
      </c>
      <c r="B15653" s="3" t="str">
        <f>HYPERLINK("https://www.773grp.com/manufacturer/texas-instruments?pageNo=454", "Texas Instruments")</f>
        <v>Texas Instruments</v>
      </c>
      <c r="C15653" s="5">
        <v>5505</v>
      </c>
      <c r="D15653" s="6">
        <v>4.01</v>
      </c>
      <c r="E15653" t="s">
        <v>26</v>
      </c>
    </row>
    <row r="15654" spans="1:5" x14ac:dyDescent="0.25">
      <c r="A15654" t="str">
        <f>HYPERLINK("https://www.773grp.com/globalSearch/TPS3823-50DBVT/page-1", "TPS3823-50DBVT")</f>
        <v>TPS3823-50DBVT</v>
      </c>
      <c r="B15654" s="3" t="str">
        <f>HYPERLINK("https://www.773grp.com/manufacturer/texas-instruments?pageNo=455", "Texas Instruments")</f>
        <v>Texas Instruments</v>
      </c>
      <c r="C15654" s="5">
        <v>1250</v>
      </c>
      <c r="D15654" s="6">
        <v>4.01</v>
      </c>
      <c r="E15654" t="s">
        <v>26</v>
      </c>
    </row>
    <row r="15655" spans="1:5" x14ac:dyDescent="0.25">
      <c r="A15655" t="str">
        <f>HYPERLINK("https://www.773grp.com/globalSearch/TPS3824-30DBVT/page-1", "TPS3824-30DBVT")</f>
        <v>TPS3824-30DBVT</v>
      </c>
      <c r="B15655" s="3" t="str">
        <f>HYPERLINK("https://www.773grp.com/manufacturer/texas-instruments?pageNo=456", "Texas Instruments")</f>
        <v>Texas Instruments</v>
      </c>
      <c r="C15655" s="5">
        <v>1715</v>
      </c>
      <c r="D15655" s="6">
        <v>4.01</v>
      </c>
      <c r="E15655" t="s">
        <v>26</v>
      </c>
    </row>
    <row r="15656" spans="1:5" x14ac:dyDescent="0.25">
      <c r="A15656" t="str">
        <f>HYPERLINK("https://www.773grp.com/globalSearch/TPS2044BD/page-1", "TPS2044BD")</f>
        <v>TPS2044BD</v>
      </c>
      <c r="B15656" s="3" t="str">
        <f>HYPERLINK("https://www.773grp.com/manufacturer/texas-instruments?pageNo=610", "Texas Instruments")</f>
        <v>Texas Instruments</v>
      </c>
      <c r="C15656" s="5">
        <v>772</v>
      </c>
      <c r="D15656" s="6">
        <v>3.66</v>
      </c>
      <c r="E15656" t="s">
        <v>26</v>
      </c>
    </row>
    <row r="15657" spans="1:5" x14ac:dyDescent="0.25">
      <c r="A15657" t="str">
        <f>HYPERLINK("https://www.773grp.com/globalSearch/TPS2231RGPT/page-1", "TPS2231RGPT")</f>
        <v>TPS2231RGPT</v>
      </c>
      <c r="B15657" s="3" t="str">
        <f>HYPERLINK("https://www.773grp.com/manufacturer/texas-instruments?pageNo=619", "Texas Instruments")</f>
        <v>Texas Instruments</v>
      </c>
      <c r="C15657" s="5">
        <v>430</v>
      </c>
      <c r="D15657" s="6">
        <v>3.66</v>
      </c>
      <c r="E15657" t="s">
        <v>26</v>
      </c>
    </row>
    <row r="15658" spans="1:5" x14ac:dyDescent="0.25">
      <c r="A15658" t="str">
        <f>HYPERLINK("https://www.773grp.com/globalSearch/TPS3617-50DGK/page-1", "TPS3617-50DGK")</f>
        <v>TPS3617-50DGK</v>
      </c>
      <c r="B15658" s="3" t="str">
        <f>HYPERLINK("https://www.773grp.com/manufacturer/texas-instruments?pageNo=629", "Texas Instruments")</f>
        <v>Texas Instruments</v>
      </c>
      <c r="C15658" s="5">
        <v>13780</v>
      </c>
      <c r="D15658" s="6">
        <v>3.66</v>
      </c>
      <c r="E15658" t="s">
        <v>26</v>
      </c>
    </row>
    <row r="15659" spans="1:5" x14ac:dyDescent="0.25">
      <c r="A15659" t="str">
        <f>HYPERLINK("https://www.773grp.com/globalSearch/TPS3617-50DGKG4/page-1", "TPS3617-50DGKG4")</f>
        <v>TPS3617-50DGKG4</v>
      </c>
      <c r="B15659" s="3" t="str">
        <f>HYPERLINK("https://www.773grp.com/manufacturer/texas-instruments?pageNo=630", "Texas Instruments")</f>
        <v>Texas Instruments</v>
      </c>
      <c r="C15659" s="5">
        <v>40</v>
      </c>
      <c r="D15659" s="6">
        <v>3.66</v>
      </c>
      <c r="E15659" t="s">
        <v>26</v>
      </c>
    </row>
    <row r="15660" spans="1:5" x14ac:dyDescent="0.25">
      <c r="A15660" t="str">
        <f>HYPERLINK("https://www.773grp.com/globalSearch/TPS3620-33DGKT/page-1", "TPS3620-33DGKT")</f>
        <v>TPS3620-33DGKT</v>
      </c>
      <c r="B15660" s="3" t="str">
        <f>HYPERLINK("https://www.773grp.com/manufacturer/texas-instruments?pageNo=631", "Texas Instruments")</f>
        <v>Texas Instruments</v>
      </c>
      <c r="C15660" s="5">
        <v>500</v>
      </c>
      <c r="D15660" s="6">
        <v>3.66</v>
      </c>
      <c r="E15660" t="s">
        <v>26</v>
      </c>
    </row>
    <row r="15661" spans="1:5" x14ac:dyDescent="0.25">
      <c r="A15661" t="str">
        <f>HYPERLINK("https://www.773grp.com/globalSearch/UCC29002P/page-1", "UCC29002P")</f>
        <v>UCC29002P</v>
      </c>
      <c r="B15661" s="3" t="str">
        <f>HYPERLINK("https://www.773grp.com/manufacturer/texas-instruments?pageNo=681", "Texas Instruments")</f>
        <v>Texas Instruments</v>
      </c>
      <c r="C15661" s="5">
        <v>47460</v>
      </c>
      <c r="D15661" s="6">
        <v>3.66</v>
      </c>
      <c r="E15661" t="s">
        <v>26</v>
      </c>
    </row>
    <row r="15662" spans="1:5" x14ac:dyDescent="0.25">
      <c r="A15662" t="str">
        <f>HYPERLINK("https://www.773grp.com/globalSearch/2U3823-33QDBVRG4Q1/page-1", "2U3823-33QDBVRG4Q1")</f>
        <v>2U3823-33QDBVRG4Q1</v>
      </c>
      <c r="B15662" s="3" t="str">
        <f>HYPERLINK("https://www.773grp.com/manufacturer/texas-instruments?pageNo=688", "Texas Instruments")</f>
        <v>Texas Instruments</v>
      </c>
      <c r="C15662" s="5">
        <v>20693</v>
      </c>
      <c r="D15662" s="6">
        <v>4.0599999999999996</v>
      </c>
      <c r="E15662" t="s">
        <v>26</v>
      </c>
    </row>
    <row r="15663" spans="1:5" x14ac:dyDescent="0.25">
      <c r="A15663" t="str">
        <f>HYPERLINK("https://www.773grp.com/globalSearch/2U3823-50QDBVRG4Q1/page-1", "2U3823-50QDBVRG4Q1")</f>
        <v>2U3823-50QDBVRG4Q1</v>
      </c>
      <c r="B15663" s="3" t="str">
        <f>HYPERLINK("https://www.773grp.com/manufacturer/texas-instruments?pageNo=689", "Texas Instruments")</f>
        <v>Texas Instruments</v>
      </c>
      <c r="C15663" s="5">
        <v>6000</v>
      </c>
      <c r="D15663" s="6">
        <v>4.0599999999999996</v>
      </c>
      <c r="E15663" t="s">
        <v>26</v>
      </c>
    </row>
    <row r="15664" spans="1:5" x14ac:dyDescent="0.25">
      <c r="A15664" t="str">
        <f>HYPERLINK("https://www.773grp.com/globalSearch/TPS3125G15DBVR/page-1", "TPS3125G15DBVR")</f>
        <v>TPS3125G15DBVR</v>
      </c>
      <c r="B15664" s="3" t="str">
        <f>HYPERLINK("https://www.773grp.com/manufacturer/texas-instruments?pageNo=707", "Texas Instruments")</f>
        <v>Texas Instruments</v>
      </c>
      <c r="C15664" s="5">
        <v>27000</v>
      </c>
      <c r="D15664" s="6">
        <v>4.0599999999999996</v>
      </c>
      <c r="E15664" t="s">
        <v>26</v>
      </c>
    </row>
    <row r="15665" spans="1:5" x14ac:dyDescent="0.25">
      <c r="A15665" t="str">
        <f>HYPERLINK("https://www.773grp.com/globalSearch/TPS3125J18DBVR/page-1", "TPS3125J18DBVR")</f>
        <v>TPS3125J18DBVR</v>
      </c>
      <c r="B15665" s="3" t="str">
        <f>HYPERLINK("https://www.773grp.com/manufacturer/texas-instruments?pageNo=708", "Texas Instruments")</f>
        <v>Texas Instruments</v>
      </c>
      <c r="C15665" s="5">
        <v>5800</v>
      </c>
      <c r="D15665" s="6">
        <v>4.0599999999999996</v>
      </c>
      <c r="E15665" t="s">
        <v>26</v>
      </c>
    </row>
    <row r="15666" spans="1:5" x14ac:dyDescent="0.25">
      <c r="A15666" t="str">
        <f>HYPERLINK("https://www.773grp.com/globalSearch/TPS3125L30DBVR/page-1", "TPS3125L30DBVR")</f>
        <v>TPS3125L30DBVR</v>
      </c>
      <c r="B15666" s="3" t="str">
        <f>HYPERLINK("https://www.773grp.com/manufacturer/texas-instruments?pageNo=709", "Texas Instruments")</f>
        <v>Texas Instruments</v>
      </c>
      <c r="C15666" s="5">
        <v>8902</v>
      </c>
      <c r="D15666" s="6">
        <v>4.0599999999999996</v>
      </c>
      <c r="E15666" t="s">
        <v>26</v>
      </c>
    </row>
    <row r="15667" spans="1:5" x14ac:dyDescent="0.25">
      <c r="A15667" t="str">
        <f>HYPERLINK("https://www.773grp.com/globalSearch/TPS3823-30QDBVRQ1/page-1", "TPS3823-30QDBVRQ1")</f>
        <v>TPS3823-30QDBVRQ1</v>
      </c>
      <c r="B15667" s="3" t="str">
        <f>HYPERLINK("https://www.773grp.com/manufacturer/texas-instruments?pageNo=711", "Texas Instruments")</f>
        <v>Texas Instruments</v>
      </c>
      <c r="C15667" s="5">
        <v>7160</v>
      </c>
      <c r="D15667" s="6">
        <v>4.0599999999999996</v>
      </c>
      <c r="E15667" t="s">
        <v>26</v>
      </c>
    </row>
    <row r="15668" spans="1:5" x14ac:dyDescent="0.25">
      <c r="A15668" t="str">
        <f>HYPERLINK("https://www.773grp.com/globalSearch/TPS3824-33QDBVRQ1/page-1", "TPS3824-33QDBVRQ1")</f>
        <v>TPS3824-33QDBVRQ1</v>
      </c>
      <c r="B15668" s="3" t="str">
        <f>HYPERLINK("https://www.773grp.com/manufacturer/texas-instruments?pageNo=713", "Texas Instruments")</f>
        <v>Texas Instruments</v>
      </c>
      <c r="C15668" s="5">
        <v>20990</v>
      </c>
      <c r="D15668" s="6">
        <v>4.0599999999999996</v>
      </c>
      <c r="E15668" t="s">
        <v>26</v>
      </c>
    </row>
    <row r="15669" spans="1:5" x14ac:dyDescent="0.25">
      <c r="A15669" t="str">
        <f>HYPERLINK("https://www.773grp.com/globalSearch/TPS3307-18D/page-1", "TPS3307-18D")</f>
        <v>TPS3307-18D</v>
      </c>
      <c r="B15669" s="3" t="str">
        <f>HYPERLINK("https://www.773grp.com/manufacturer/texas-instruments?pageNo=756", "Texas Instruments")</f>
        <v>Texas Instruments</v>
      </c>
      <c r="C15669" s="5">
        <v>830</v>
      </c>
      <c r="D15669" s="6">
        <v>3.68</v>
      </c>
      <c r="E15669" t="s">
        <v>26</v>
      </c>
    </row>
    <row r="15670" spans="1:5" x14ac:dyDescent="0.25">
      <c r="A15670" t="str">
        <f>HYPERLINK("https://www.773grp.com/globalSearch/TPS3307-18DGN/page-1", "TPS3307-18DGN")</f>
        <v>TPS3307-18DGN</v>
      </c>
      <c r="B15670" s="3" t="str">
        <f>HYPERLINK("https://www.773grp.com/manufacturer/texas-instruments?pageNo=757", "Texas Instruments")</f>
        <v>Texas Instruments</v>
      </c>
      <c r="C15670" s="5">
        <v>2406</v>
      </c>
      <c r="D15670" s="6">
        <v>3.68</v>
      </c>
      <c r="E15670" t="s">
        <v>26</v>
      </c>
    </row>
    <row r="15671" spans="1:5" x14ac:dyDescent="0.25">
      <c r="A15671" t="str">
        <f>HYPERLINK("https://www.773grp.com/globalSearch/TPS3307-25D/page-1", "TPS3307-25D")</f>
        <v>TPS3307-25D</v>
      </c>
      <c r="B15671" s="3" t="str">
        <f>HYPERLINK("https://www.773grp.com/manufacturer/texas-instruments?pageNo=758", "Texas Instruments")</f>
        <v>Texas Instruments</v>
      </c>
      <c r="C15671" s="5">
        <v>1851</v>
      </c>
      <c r="D15671" s="6">
        <v>3.68</v>
      </c>
      <c r="E15671" t="s">
        <v>26</v>
      </c>
    </row>
    <row r="15672" spans="1:5" x14ac:dyDescent="0.25">
      <c r="A15672" t="str">
        <f>HYPERLINK("https://www.773grp.com/globalSearch/TPS3307-25DGN/page-1", "TPS3307-25DGN")</f>
        <v>TPS3307-25DGN</v>
      </c>
      <c r="B15672" s="3" t="str">
        <f>HYPERLINK("https://www.773grp.com/manufacturer/texas-instruments?pageNo=759", "Texas Instruments")</f>
        <v>Texas Instruments</v>
      </c>
      <c r="C15672" s="5">
        <v>633</v>
      </c>
      <c r="D15672" s="6">
        <v>3.68</v>
      </c>
      <c r="E15672" t="s">
        <v>26</v>
      </c>
    </row>
    <row r="15673" spans="1:5" x14ac:dyDescent="0.25">
      <c r="A15673" t="str">
        <f>HYPERLINK("https://www.773grp.com/globalSearch/TPS3307-25DGNG4/page-1", "TPS3307-25DGNG4")</f>
        <v>TPS3307-25DGNG4</v>
      </c>
      <c r="B15673" s="3" t="str">
        <f>HYPERLINK("https://www.773grp.com/manufacturer/texas-instruments?pageNo=760", "Texas Instruments")</f>
        <v>Texas Instruments</v>
      </c>
      <c r="C15673" s="5">
        <v>1</v>
      </c>
      <c r="D15673" s="6">
        <v>3.68</v>
      </c>
      <c r="E15673" t="s">
        <v>26</v>
      </c>
    </row>
    <row r="15674" spans="1:5" x14ac:dyDescent="0.25">
      <c r="A15674" t="str">
        <f>HYPERLINK("https://www.773grp.com/globalSearch/TPS3307-33D/page-1", "TPS3307-33D")</f>
        <v>TPS3307-33D</v>
      </c>
      <c r="B15674" s="3" t="str">
        <f>HYPERLINK("https://www.773grp.com/manufacturer/texas-instruments?pageNo=761", "Texas Instruments")</f>
        <v>Texas Instruments</v>
      </c>
      <c r="C15674" s="5">
        <v>455</v>
      </c>
      <c r="D15674" s="6">
        <v>3.68</v>
      </c>
      <c r="E15674" t="s">
        <v>26</v>
      </c>
    </row>
    <row r="15675" spans="1:5" x14ac:dyDescent="0.25">
      <c r="A15675" t="str">
        <f>HYPERLINK("https://www.773grp.com/globalSearch/TPS3307-33DGN/page-1", "TPS3307-33DGN")</f>
        <v>TPS3307-33DGN</v>
      </c>
      <c r="B15675" s="3" t="str">
        <f>HYPERLINK("https://www.773grp.com/manufacturer/texas-instruments?pageNo=762", "Texas Instruments")</f>
        <v>Texas Instruments</v>
      </c>
      <c r="C15675" s="5">
        <v>3120</v>
      </c>
      <c r="D15675" s="6">
        <v>3.68</v>
      </c>
      <c r="E15675" t="s">
        <v>26</v>
      </c>
    </row>
    <row r="15676" spans="1:5" x14ac:dyDescent="0.25">
      <c r="A15676" t="str">
        <f>HYPERLINK("https://www.773grp.com/globalSearch/BQ24071RHLR/page-1", "BQ24071RHLR")</f>
        <v>BQ24071RHLR</v>
      </c>
      <c r="B15676" s="3" t="str">
        <f>HYPERLINK("https://www.773grp.com/manufacturer/texas-instruments?pageNo=814", "Texas Instruments")</f>
        <v>Texas Instruments</v>
      </c>
      <c r="C15676" s="5">
        <v>81000</v>
      </c>
      <c r="D15676" s="6">
        <v>3.71</v>
      </c>
      <c r="E15676" t="s">
        <v>26</v>
      </c>
    </row>
    <row r="15677" spans="1:5" x14ac:dyDescent="0.25">
      <c r="A15677" t="str">
        <f>HYPERLINK("https://www.773grp.com/globalSearch/TPL9202PWP/page-1", "TPL9202PWP")</f>
        <v>TPL9202PWP</v>
      </c>
      <c r="B15677" s="3" t="str">
        <f>HYPERLINK("https://www.773grp.com/manufacturer/texas-instruments?pageNo=912", "Texas Instruments")</f>
        <v>Texas Instruments</v>
      </c>
      <c r="C15677" s="5">
        <v>10084</v>
      </c>
      <c r="D15677" s="6">
        <v>4.1100000000000003</v>
      </c>
      <c r="E15677" t="s">
        <v>26</v>
      </c>
    </row>
    <row r="15678" spans="1:5" x14ac:dyDescent="0.25">
      <c r="A15678" t="str">
        <f>HYPERLINK("https://www.773grp.com/globalSearch/TPS3808G125DBVT/page-1", "TPS3808G125DBVT")</f>
        <v>TPS3808G125DBVT</v>
      </c>
      <c r="B15678" s="3" t="str">
        <f>HYPERLINK("https://www.773grp.com/manufacturer/texas-instruments?pageNo=919", "Texas Instruments")</f>
        <v>Texas Instruments</v>
      </c>
      <c r="C15678" s="5">
        <v>984</v>
      </c>
      <c r="D15678" s="6">
        <v>4.1100000000000003</v>
      </c>
      <c r="E15678" t="s">
        <v>26</v>
      </c>
    </row>
    <row r="15679" spans="1:5" x14ac:dyDescent="0.25">
      <c r="A15679" t="str">
        <f>HYPERLINK("https://www.773grp.com/globalSearch/TPS3808G15DBVT/page-1", "TPS3808G15DBVT")</f>
        <v>TPS3808G15DBVT</v>
      </c>
      <c r="B15679" s="3" t="str">
        <f>HYPERLINK("https://www.773grp.com/manufacturer/texas-instruments?pageNo=920", "Texas Instruments")</f>
        <v>Texas Instruments</v>
      </c>
      <c r="C15679" s="5">
        <v>2973</v>
      </c>
      <c r="D15679" s="6">
        <v>4.1100000000000003</v>
      </c>
      <c r="E15679" t="s">
        <v>26</v>
      </c>
    </row>
    <row r="15680" spans="1:5" x14ac:dyDescent="0.25">
      <c r="A15680" t="str">
        <f>HYPERLINK("https://www.773grp.com/globalSearch/TPS3808G25DBVT/page-1", "TPS3808G25DBVT")</f>
        <v>TPS3808G25DBVT</v>
      </c>
      <c r="B15680" s="3" t="str">
        <f>HYPERLINK("https://www.773grp.com/manufacturer/texas-instruments?pageNo=923", "Texas Instruments")</f>
        <v>Texas Instruments</v>
      </c>
      <c r="C15680" s="5">
        <v>925</v>
      </c>
      <c r="D15680" s="6">
        <v>4.1100000000000003</v>
      </c>
      <c r="E15680" t="s">
        <v>26</v>
      </c>
    </row>
    <row r="15681" spans="1:5" x14ac:dyDescent="0.25">
      <c r="A15681" t="str">
        <f>HYPERLINK("https://www.773grp.com/globalSearch/BQ24018DRCT/page-1", "BQ24018DRCT")</f>
        <v>BQ24018DRCT</v>
      </c>
      <c r="B15681" s="3" t="s">
        <v>90</v>
      </c>
      <c r="C15681" s="5">
        <v>1750</v>
      </c>
      <c r="D15681" s="6">
        <v>3.8</v>
      </c>
      <c r="E15681" t="s">
        <v>26</v>
      </c>
    </row>
    <row r="15682" spans="1:5" x14ac:dyDescent="0.25">
      <c r="A15682" t="str">
        <f>HYPERLINK("https://www.773grp.com/globalSearch/BQ24027DRCT/page-1", "BQ24027DRCT")</f>
        <v>BQ24027DRCT</v>
      </c>
      <c r="B15682" s="3" t="s">
        <v>90</v>
      </c>
      <c r="C15682" s="5">
        <v>11400</v>
      </c>
      <c r="D15682" s="6">
        <v>3.8</v>
      </c>
      <c r="E15682" t="s">
        <v>26</v>
      </c>
    </row>
    <row r="15683" spans="1:5" x14ac:dyDescent="0.25">
      <c r="A15683" t="str">
        <f>HYPERLINK("https://www.773grp.com/globalSearch/BQ29312APW/page-1", "BQ29312APW")</f>
        <v>BQ29312APW</v>
      </c>
      <c r="B15683" s="3" t="s">
        <v>90</v>
      </c>
      <c r="C15683" s="5">
        <v>326</v>
      </c>
      <c r="D15683" s="6">
        <v>3.8</v>
      </c>
      <c r="E15683" t="s">
        <v>26</v>
      </c>
    </row>
    <row r="15684" spans="1:5" x14ac:dyDescent="0.25">
      <c r="A15684" t="str">
        <f>HYPERLINK("https://www.773grp.com/globalSearch/TPS2231PW/page-1", "TPS2231PW")</f>
        <v>TPS2231PW</v>
      </c>
      <c r="B15684" s="3" t="s">
        <v>90</v>
      </c>
      <c r="C15684" s="5">
        <v>527</v>
      </c>
      <c r="D15684" s="6">
        <v>3.8</v>
      </c>
      <c r="E15684" t="s">
        <v>26</v>
      </c>
    </row>
    <row r="15685" spans="1:5" x14ac:dyDescent="0.25">
      <c r="A15685" t="str">
        <f>HYPERLINK("https://www.773grp.com/globalSearch/TPS2320IDR/page-1", "TPS2320IDR")</f>
        <v>TPS2320IDR</v>
      </c>
      <c r="B15685" s="3" t="s">
        <v>90</v>
      </c>
      <c r="C15685" s="5">
        <v>10000</v>
      </c>
      <c r="D15685" s="6">
        <v>3.8</v>
      </c>
      <c r="E15685" t="s">
        <v>26</v>
      </c>
    </row>
    <row r="15686" spans="1:5" x14ac:dyDescent="0.25">
      <c r="A15686" t="str">
        <f>HYPERLINK("https://www.773grp.com/globalSearch/TPS24701DGK/page-1", "TPS24701DGK")</f>
        <v>TPS24701DGK</v>
      </c>
      <c r="B15686" s="3" t="s">
        <v>90</v>
      </c>
      <c r="C15686" s="5">
        <v>550</v>
      </c>
      <c r="D15686" s="6">
        <v>3.8</v>
      </c>
      <c r="E15686" t="s">
        <v>26</v>
      </c>
    </row>
    <row r="15687" spans="1:5" x14ac:dyDescent="0.25">
      <c r="A15687" t="str">
        <f>HYPERLINK("https://www.773grp.com/globalSearch/TPS3618-50DGKR/page-1", "TPS3618-50DGKR")</f>
        <v>TPS3618-50DGKR</v>
      </c>
      <c r="B15687" s="3" t="s">
        <v>90</v>
      </c>
      <c r="C15687" s="5">
        <v>2500</v>
      </c>
      <c r="D15687" s="6">
        <v>3.8</v>
      </c>
      <c r="E15687" t="s">
        <v>26</v>
      </c>
    </row>
    <row r="15688" spans="1:5" x14ac:dyDescent="0.25">
      <c r="A15688" t="str">
        <f>HYPERLINK("https://www.773grp.com/globalSearch/TPS3618-50DGKT/page-1", "TPS3618-50DGKT")</f>
        <v>TPS3618-50DGKT</v>
      </c>
      <c r="B15688" s="3" t="s">
        <v>90</v>
      </c>
      <c r="C15688" s="5">
        <v>5555</v>
      </c>
      <c r="D15688" s="6">
        <v>3.8</v>
      </c>
      <c r="E15688" t="s">
        <v>26</v>
      </c>
    </row>
    <row r="15689" spans="1:5" x14ac:dyDescent="0.25">
      <c r="A15689" t="str">
        <f>HYPERLINK("https://www.773grp.com/globalSearch/TPS65150PWP/page-1", "TPS65150PWP")</f>
        <v>TPS65150PWP</v>
      </c>
      <c r="B15689" s="3" t="s">
        <v>90</v>
      </c>
      <c r="C15689" s="5">
        <v>355</v>
      </c>
      <c r="D15689" s="6">
        <v>3.8</v>
      </c>
      <c r="E15689" t="s">
        <v>26</v>
      </c>
    </row>
    <row r="15690" spans="1:5" x14ac:dyDescent="0.25">
      <c r="A15690" t="str">
        <f>HYPERLINK("https://www.773grp.com/globalSearch/BQ2057TSNTR/page-1", "BQ2057TSNTR")</f>
        <v>BQ2057TSNTR</v>
      </c>
      <c r="B15690" s="3" t="s">
        <v>90</v>
      </c>
      <c r="C15690" s="5">
        <v>5000</v>
      </c>
      <c r="D15690" s="6">
        <v>4.2300000000000004</v>
      </c>
      <c r="E15690" t="s">
        <v>26</v>
      </c>
    </row>
    <row r="15691" spans="1:5" x14ac:dyDescent="0.25">
      <c r="A15691" t="str">
        <f>HYPERLINK("https://www.773grp.com/globalSearch/BQ2057WSNTR/page-1", "BQ2057WSNTR")</f>
        <v>BQ2057WSNTR</v>
      </c>
      <c r="B15691" s="3" t="s">
        <v>90</v>
      </c>
      <c r="C15691" s="5">
        <v>12500</v>
      </c>
      <c r="D15691" s="6">
        <v>4.2300000000000004</v>
      </c>
      <c r="E15691" t="s">
        <v>26</v>
      </c>
    </row>
    <row r="15692" spans="1:5" x14ac:dyDescent="0.25">
      <c r="A15692" t="str">
        <f>HYPERLINK("https://www.773grp.com/globalSearch/BQ2057WTSTR/page-1", "BQ2057WTSTR")</f>
        <v>BQ2057WTSTR</v>
      </c>
      <c r="B15692" s="3" t="s">
        <v>90</v>
      </c>
      <c r="C15692" s="5">
        <v>141765</v>
      </c>
      <c r="D15692" s="6">
        <v>4.2300000000000004</v>
      </c>
      <c r="E15692" t="s">
        <v>26</v>
      </c>
    </row>
    <row r="15693" spans="1:5" x14ac:dyDescent="0.25">
      <c r="A15693" t="str">
        <f>HYPERLINK("https://www.773grp.com/globalSearch/INA139QPWRG4Q1/page-1", "INA139QPWRG4Q1")</f>
        <v>INA139QPWRG4Q1</v>
      </c>
      <c r="B15693" s="3" t="s">
        <v>90</v>
      </c>
      <c r="C15693" s="5">
        <v>2550</v>
      </c>
      <c r="D15693" s="6">
        <v>4.2300000000000004</v>
      </c>
      <c r="E15693" t="s">
        <v>26</v>
      </c>
    </row>
    <row r="15694" spans="1:5" x14ac:dyDescent="0.25">
      <c r="A15694" t="str">
        <f>HYPERLINK("https://www.773grp.com/globalSearch/INA139QPWRQ1/page-1", "INA139QPWRQ1")</f>
        <v>INA139QPWRQ1</v>
      </c>
      <c r="B15694" s="3" t="s">
        <v>90</v>
      </c>
      <c r="C15694" s="5">
        <v>3600</v>
      </c>
      <c r="D15694" s="6">
        <v>4.2300000000000004</v>
      </c>
      <c r="E15694" t="s">
        <v>26</v>
      </c>
    </row>
    <row r="15695" spans="1:5" x14ac:dyDescent="0.25">
      <c r="A15695" t="str">
        <f>HYPERLINK("https://www.773grp.com/globalSearch/INA195AIDBVR/page-1", "INA195AIDBVR")</f>
        <v>INA195AIDBVR</v>
      </c>
      <c r="B15695" s="3" t="s">
        <v>90</v>
      </c>
      <c r="C15695" s="5">
        <v>107497</v>
      </c>
      <c r="D15695" s="6">
        <v>4.2300000000000004</v>
      </c>
      <c r="E15695" t="s">
        <v>26</v>
      </c>
    </row>
    <row r="15696" spans="1:5" x14ac:dyDescent="0.25">
      <c r="A15696" t="str">
        <f>HYPERLINK("https://www.773grp.com/globalSearch/INA219AIDCNR/page-1", "INA219AIDCNR")</f>
        <v>INA219AIDCNR</v>
      </c>
      <c r="B15696" s="3" t="s">
        <v>90</v>
      </c>
      <c r="C15696" s="5">
        <v>12506</v>
      </c>
      <c r="D15696" s="6">
        <v>4.2300000000000004</v>
      </c>
      <c r="E15696" t="s">
        <v>26</v>
      </c>
    </row>
    <row r="15697" spans="1:5" x14ac:dyDescent="0.25">
      <c r="A15697" t="str">
        <f>HYPERLINK("https://www.773grp.com/globalSearch/TPS2042BDGNR/page-1", "TPS2042BDGNR")</f>
        <v>TPS2042BDGNR</v>
      </c>
      <c r="B15697" s="3" t="str">
        <f>HYPERLINK("https://www.773grp.com/manufacturer/texas-instruments?pageNo=142", "Texas Instruments")</f>
        <v>Texas Instruments</v>
      </c>
      <c r="C15697" s="5">
        <v>2500</v>
      </c>
      <c r="D15697" s="6">
        <v>4.2300000000000004</v>
      </c>
      <c r="E15697" t="s">
        <v>26</v>
      </c>
    </row>
    <row r="15698" spans="1:5" x14ac:dyDescent="0.25">
      <c r="A15698" t="str">
        <f>HYPERLINK("https://www.773grp.com/globalSearch/TPS2100DBVR/page-1", "TPS2100DBVR")</f>
        <v>TPS2100DBVR</v>
      </c>
      <c r="B15698" s="3" t="str">
        <f>HYPERLINK("https://www.773grp.com/manufacturer/texas-instruments?pageNo=149", "Texas Instruments")</f>
        <v>Texas Instruments</v>
      </c>
      <c r="C15698" s="5">
        <v>12000</v>
      </c>
      <c r="D15698" s="6">
        <v>4.2300000000000004</v>
      </c>
      <c r="E15698" t="s">
        <v>26</v>
      </c>
    </row>
    <row r="15699" spans="1:5" x14ac:dyDescent="0.25">
      <c r="A15699" t="str">
        <f>HYPERLINK("https://www.773grp.com/globalSearch/TPS3514D/page-1", "TPS3514D")</f>
        <v>TPS3514D</v>
      </c>
      <c r="B15699" s="3" t="str">
        <f>HYPERLINK("https://www.773grp.com/manufacturer/texas-instruments?pageNo=155", "Texas Instruments")</f>
        <v>Texas Instruments</v>
      </c>
      <c r="C15699" s="5">
        <v>2178</v>
      </c>
      <c r="D15699" s="6">
        <v>4.2300000000000004</v>
      </c>
      <c r="E15699" t="s">
        <v>26</v>
      </c>
    </row>
    <row r="15700" spans="1:5" x14ac:dyDescent="0.25">
      <c r="A15700" t="str">
        <f>HYPERLINK("https://www.773grp.com/globalSearch/TPS3808G12DRVT/page-1", "TPS3808G12DRVT")</f>
        <v>TPS3808G12DRVT</v>
      </c>
      <c r="B15700" s="3" t="str">
        <f>HYPERLINK("https://www.773grp.com/manufacturer/texas-instruments?pageNo=157", "Texas Instruments")</f>
        <v>Texas Instruments</v>
      </c>
      <c r="C15700" s="5">
        <v>1250</v>
      </c>
      <c r="D15700" s="6">
        <v>4.2300000000000004</v>
      </c>
      <c r="E15700" t="s">
        <v>26</v>
      </c>
    </row>
    <row r="15701" spans="1:5" x14ac:dyDescent="0.25">
      <c r="A15701" t="str">
        <f>HYPERLINK("https://www.773grp.com/globalSearch/TPS3808G18QDBVRQ1/page-1", "TPS3808G18QDBVRQ1")</f>
        <v>TPS3808G18QDBVRQ1</v>
      </c>
      <c r="B15701" s="3" t="str">
        <f>HYPERLINK("https://www.773grp.com/manufacturer/texas-instruments?pageNo=160", "Texas Instruments")</f>
        <v>Texas Instruments</v>
      </c>
      <c r="C15701" s="5">
        <v>33000</v>
      </c>
      <c r="D15701" s="6">
        <v>4.2300000000000004</v>
      </c>
      <c r="E15701" t="s">
        <v>26</v>
      </c>
    </row>
    <row r="15702" spans="1:5" x14ac:dyDescent="0.25">
      <c r="A15702" t="str">
        <f>HYPERLINK("https://www.773grp.com/globalSearch/TPS3808G50QDBVRQ1/page-1", "TPS3808G50QDBVRQ1")</f>
        <v>TPS3808G50QDBVRQ1</v>
      </c>
      <c r="B15702" s="3" t="str">
        <f>HYPERLINK("https://www.773grp.com/manufacturer/texas-instruments?pageNo=163", "Texas Instruments")</f>
        <v>Texas Instruments</v>
      </c>
      <c r="C15702" s="5">
        <v>17821</v>
      </c>
      <c r="D15702" s="6">
        <v>4.2300000000000004</v>
      </c>
      <c r="E15702" t="s">
        <v>26</v>
      </c>
    </row>
    <row r="15703" spans="1:5" x14ac:dyDescent="0.25">
      <c r="A15703" t="str">
        <f>HYPERLINK("https://www.773grp.com/globalSearch/TL7770-5IDWR/page-1", "TL7770-5IDWR")</f>
        <v>TL7770-5IDWR</v>
      </c>
      <c r="B15703" s="3" t="str">
        <f>HYPERLINK("https://www.773grp.com/manufacturer/texas-instruments?pageNo=302", "Texas Instruments")</f>
        <v>Texas Instruments</v>
      </c>
      <c r="C15703" s="5">
        <v>8000</v>
      </c>
      <c r="D15703" s="6">
        <v>3.83</v>
      </c>
      <c r="E15703" t="s">
        <v>26</v>
      </c>
    </row>
    <row r="15704" spans="1:5" x14ac:dyDescent="0.25">
      <c r="A15704" t="str">
        <f>HYPERLINK("https://www.773grp.com/globalSearch/INA210AIRSWR/page-1", "INA210AIRSWR")</f>
        <v>INA210AIRSWR</v>
      </c>
      <c r="B15704" s="3" t="str">
        <f>HYPERLINK("https://www.773grp.com/manufacturer/texas-instruments?pageNo=361", "Texas Instruments")</f>
        <v>Texas Instruments</v>
      </c>
      <c r="C15704" s="5">
        <v>29766</v>
      </c>
      <c r="D15704" s="6">
        <v>4.28</v>
      </c>
      <c r="E15704" t="s">
        <v>26</v>
      </c>
    </row>
    <row r="15705" spans="1:5" x14ac:dyDescent="0.25">
      <c r="A15705" t="str">
        <f>HYPERLINK("https://www.773grp.com/globalSearch/INA214AIRSWR/page-1", "INA214AIRSWR")</f>
        <v>INA214AIRSWR</v>
      </c>
      <c r="B15705" s="3" t="str">
        <f>HYPERLINK("https://www.773grp.com/manufacturer/texas-instruments?pageNo=362", "Texas Instruments")</f>
        <v>Texas Instruments</v>
      </c>
      <c r="C15705" s="5">
        <v>300000</v>
      </c>
      <c r="D15705" s="6">
        <v>4.28</v>
      </c>
      <c r="E15705" t="s">
        <v>26</v>
      </c>
    </row>
    <row r="15706" spans="1:5" x14ac:dyDescent="0.25">
      <c r="A15706" t="str">
        <f>HYPERLINK("https://www.773grp.com/globalSearch/TLC7701QD/page-1", "TLC7701QD")</f>
        <v>TLC7701QD</v>
      </c>
      <c r="B15706" s="3" t="str">
        <f>HYPERLINK("https://www.773grp.com/manufacturer/texas-instruments?pageNo=377", "Texas Instruments")</f>
        <v>Texas Instruments</v>
      </c>
      <c r="C15706" s="5">
        <v>81</v>
      </c>
      <c r="D15706" s="6">
        <v>4.28</v>
      </c>
      <c r="E15706" t="s">
        <v>26</v>
      </c>
    </row>
    <row r="15707" spans="1:5" x14ac:dyDescent="0.25">
      <c r="A15707" t="str">
        <f>HYPERLINK("https://www.773grp.com/globalSearch/TLC7701QPW/page-1", "TLC7701QPW")</f>
        <v>TLC7701QPW</v>
      </c>
      <c r="B15707" s="3" t="str">
        <f>HYPERLINK("https://www.773grp.com/manufacturer/texas-instruments?pageNo=378", "Texas Instruments")</f>
        <v>Texas Instruments</v>
      </c>
      <c r="C15707" s="5">
        <v>984</v>
      </c>
      <c r="D15707" s="6">
        <v>4.28</v>
      </c>
      <c r="E15707" t="s">
        <v>26</v>
      </c>
    </row>
    <row r="15708" spans="1:5" x14ac:dyDescent="0.25">
      <c r="A15708" t="str">
        <f>HYPERLINK("https://www.773grp.com/globalSearch/TLC7705QD/page-1", "TLC7705QD")</f>
        <v>TLC7705QD</v>
      </c>
      <c r="B15708" s="3" t="str">
        <f>HYPERLINK("https://www.773grp.com/manufacturer/texas-instruments?pageNo=379", "Texas Instruments")</f>
        <v>Texas Instruments</v>
      </c>
      <c r="C15708" s="5">
        <v>5461</v>
      </c>
      <c r="D15708" s="6">
        <v>4.28</v>
      </c>
      <c r="E15708" t="s">
        <v>26</v>
      </c>
    </row>
    <row r="15709" spans="1:5" x14ac:dyDescent="0.25">
      <c r="A15709" t="str">
        <f>HYPERLINK("https://www.773grp.com/globalSearch/TLC7705QPW/page-1", "TLC7705QPW")</f>
        <v>TLC7705QPW</v>
      </c>
      <c r="B15709" s="3" t="str">
        <f>HYPERLINK("https://www.773grp.com/manufacturer/texas-instruments?pageNo=380", "Texas Instruments")</f>
        <v>Texas Instruments</v>
      </c>
      <c r="C15709" s="5">
        <v>8668</v>
      </c>
      <c r="D15709" s="6">
        <v>4.28</v>
      </c>
      <c r="E15709" t="s">
        <v>26</v>
      </c>
    </row>
    <row r="15710" spans="1:5" x14ac:dyDescent="0.25">
      <c r="A15710" t="str">
        <f>HYPERLINK("https://www.773grp.com/globalSearch/BQ24200DGN/page-1", "BQ24200DGN")</f>
        <v>BQ24200DGN</v>
      </c>
      <c r="B15710" s="3" t="str">
        <f>HYPERLINK("https://www.773grp.com/manufacturer/texas-instruments?pageNo=405", "Texas Instruments")</f>
        <v>Texas Instruments</v>
      </c>
      <c r="C15710" s="5">
        <v>2451</v>
      </c>
      <c r="D15710" s="6">
        <v>3.89</v>
      </c>
      <c r="E15710" t="s">
        <v>26</v>
      </c>
    </row>
    <row r="15711" spans="1:5" x14ac:dyDescent="0.25">
      <c r="A15711" t="str">
        <f>HYPERLINK("https://www.773grp.com/globalSearch/BQ24201DGN/page-1", "BQ24201DGN")</f>
        <v>BQ24201DGN</v>
      </c>
      <c r="B15711" s="3" t="str">
        <f>HYPERLINK("https://www.773grp.com/manufacturer/texas-instruments?pageNo=406", "Texas Instruments")</f>
        <v>Texas Instruments</v>
      </c>
      <c r="C15711" s="5">
        <v>247</v>
      </c>
      <c r="D15711" s="6">
        <v>3.89</v>
      </c>
      <c r="E15711" t="s">
        <v>26</v>
      </c>
    </row>
    <row r="15712" spans="1:5" x14ac:dyDescent="0.25">
      <c r="A15712" t="str">
        <f>HYPERLINK("https://www.773grp.com/globalSearch/BQ24201DGN/page-1", "BQ24201DGN")</f>
        <v>BQ24201DGN</v>
      </c>
      <c r="B15712" s="3" t="str">
        <f>HYPERLINK("https://www.773grp.com/manufacturer/texas-instruments?pageNo=407", "Texas Instruments")</f>
        <v>Texas Instruments</v>
      </c>
      <c r="C15712" s="5">
        <v>2530</v>
      </c>
      <c r="D15712" s="6">
        <v>3.89</v>
      </c>
      <c r="E15712" t="s">
        <v>26</v>
      </c>
    </row>
    <row r="15713" spans="1:5" x14ac:dyDescent="0.25">
      <c r="A15713" t="str">
        <f>HYPERLINK("https://www.773grp.com/globalSearch/TPS2236DAPR/page-1", "TPS2236DAPR")</f>
        <v>TPS2236DAPR</v>
      </c>
      <c r="B15713" s="3" t="str">
        <f>HYPERLINK("https://www.773grp.com/manufacturer/texas-instruments?pageNo=649", "Texas Instruments")</f>
        <v>Texas Instruments</v>
      </c>
      <c r="C15713" s="5">
        <v>4000</v>
      </c>
      <c r="D15713" s="6">
        <v>3.94</v>
      </c>
      <c r="E15713" t="s">
        <v>26</v>
      </c>
    </row>
    <row r="15714" spans="1:5" x14ac:dyDescent="0.25">
      <c r="A15714" t="str">
        <f>HYPERLINK("https://www.773grp.com/globalSearch/TPS2490DGSR/page-1", "TPS2490DGSR")</f>
        <v>TPS2490DGSR</v>
      </c>
      <c r="B15714" s="3" t="str">
        <f>HYPERLINK("https://www.773grp.com/manufacturer/texas-instruments?pageNo=650", "Texas Instruments")</f>
        <v>Texas Instruments</v>
      </c>
      <c r="C15714" s="5">
        <v>2262</v>
      </c>
      <c r="D15714" s="6">
        <v>3.94</v>
      </c>
      <c r="E15714" t="s">
        <v>26</v>
      </c>
    </row>
    <row r="15715" spans="1:5" x14ac:dyDescent="0.25">
      <c r="A15715" t="str">
        <f>HYPERLINK("https://www.773grp.com/globalSearch/TPS2491DGSR/page-1", "TPS2491DGSR")</f>
        <v>TPS2491DGSR</v>
      </c>
      <c r="B15715" s="3" t="str">
        <f>HYPERLINK("https://www.773grp.com/manufacturer/texas-instruments?pageNo=651", "Texas Instruments")</f>
        <v>Texas Instruments</v>
      </c>
      <c r="C15715" s="5">
        <v>585</v>
      </c>
      <c r="D15715" s="6">
        <v>3.94</v>
      </c>
      <c r="E15715" t="s">
        <v>26</v>
      </c>
    </row>
    <row r="15716" spans="1:5" x14ac:dyDescent="0.25">
      <c r="A15716" t="str">
        <f>HYPERLINK("https://www.773grp.com/globalSearch/TPS70751PWP/page-1", "TPS70751PWP")</f>
        <v>TPS70751PWP</v>
      </c>
      <c r="B15716" s="3" t="str">
        <f>HYPERLINK("https://www.773grp.com/manufacturer/texas-instruments?pageNo=675", "Texas Instruments")</f>
        <v>Texas Instruments</v>
      </c>
      <c r="C15716" s="5">
        <v>2889</v>
      </c>
      <c r="D15716" s="6">
        <v>3.94</v>
      </c>
      <c r="E15716" t="s">
        <v>26</v>
      </c>
    </row>
    <row r="15717" spans="1:5" x14ac:dyDescent="0.25">
      <c r="A15717" t="str">
        <f>HYPERLINK("https://www.773grp.com/globalSearch/TPS2066DGNR/page-1", "TPS2066DGNR")</f>
        <v>TPS2066DGNR</v>
      </c>
      <c r="B15717" s="3" t="str">
        <f>HYPERLINK("https://www.773grp.com/manufacturer/texas-instruments?pageNo=799", "Texas Instruments")</f>
        <v>Texas Instruments</v>
      </c>
      <c r="C15717" s="5">
        <v>2500</v>
      </c>
      <c r="D15717" s="6">
        <v>4.38</v>
      </c>
      <c r="E15717" t="s">
        <v>26</v>
      </c>
    </row>
    <row r="15718" spans="1:5" x14ac:dyDescent="0.25">
      <c r="A15718" t="str">
        <f>HYPERLINK("https://www.773grp.com/globalSearch/TPS3705-30DGN/page-1", "TPS3705-30DGN")</f>
        <v>TPS3705-30DGN</v>
      </c>
      <c r="B15718" s="3" t="str">
        <f>HYPERLINK("https://www.773grp.com/manufacturer/texas-instruments?pageNo=802", "Texas Instruments")</f>
        <v>Texas Instruments</v>
      </c>
      <c r="C15718" s="5">
        <v>11536</v>
      </c>
      <c r="D15718" s="6">
        <v>4.38</v>
      </c>
      <c r="E15718" t="s">
        <v>26</v>
      </c>
    </row>
    <row r="15719" spans="1:5" x14ac:dyDescent="0.25">
      <c r="A15719" t="str">
        <f>HYPERLINK("https://www.773grp.com/globalSearch/TPS3705-30DR/page-1", "TPS3705-30DR")</f>
        <v>TPS3705-30DR</v>
      </c>
      <c r="B15719" s="3" t="str">
        <f>HYPERLINK("https://www.773grp.com/manufacturer/texas-instruments?pageNo=803", "Texas Instruments")</f>
        <v>Texas Instruments</v>
      </c>
      <c r="C15719" s="5">
        <v>5000</v>
      </c>
      <c r="D15719" s="6">
        <v>4.38</v>
      </c>
      <c r="E15719" t="s">
        <v>26</v>
      </c>
    </row>
    <row r="15720" spans="1:5" x14ac:dyDescent="0.25">
      <c r="A15720" t="str">
        <f>HYPERLINK("https://www.773grp.com/globalSearch/TPS3705-33DGNR/page-1", "TPS3705-33DGNR")</f>
        <v>TPS3705-33DGNR</v>
      </c>
      <c r="B15720" s="3" t="str">
        <f>HYPERLINK("https://www.773grp.com/manufacturer/texas-instruments?pageNo=804", "Texas Instruments")</f>
        <v>Texas Instruments</v>
      </c>
      <c r="C15720" s="5">
        <v>2500</v>
      </c>
      <c r="D15720" s="6">
        <v>4.38</v>
      </c>
      <c r="E15720" t="s">
        <v>26</v>
      </c>
    </row>
    <row r="15721" spans="1:5" x14ac:dyDescent="0.25">
      <c r="A15721" t="str">
        <f>HYPERLINK("https://www.773grp.com/globalSearch/TPS3705-33DR/page-1", "TPS3705-33DR")</f>
        <v>TPS3705-33DR</v>
      </c>
      <c r="B15721" s="3" t="str">
        <f>HYPERLINK("https://www.773grp.com/manufacturer/texas-instruments?pageNo=805", "Texas Instruments")</f>
        <v>Texas Instruments</v>
      </c>
      <c r="C15721" s="5">
        <v>20120</v>
      </c>
      <c r="D15721" s="6">
        <v>4.38</v>
      </c>
      <c r="E15721" t="s">
        <v>26</v>
      </c>
    </row>
    <row r="15722" spans="1:5" x14ac:dyDescent="0.25">
      <c r="A15722" t="str">
        <f>HYPERLINK("https://www.773grp.com/globalSearch/TPS3705-50DGNR/page-1", "TPS3705-50DGNR")</f>
        <v>TPS3705-50DGNR</v>
      </c>
      <c r="B15722" s="3" t="str">
        <f>HYPERLINK("https://www.773grp.com/manufacturer/texas-instruments?pageNo=806", "Texas Instruments")</f>
        <v>Texas Instruments</v>
      </c>
      <c r="C15722" s="5">
        <v>2500</v>
      </c>
      <c r="D15722" s="6">
        <v>4.38</v>
      </c>
      <c r="E15722" t="s">
        <v>26</v>
      </c>
    </row>
    <row r="15723" spans="1:5" x14ac:dyDescent="0.25">
      <c r="A15723" t="str">
        <f>HYPERLINK("https://www.773grp.com/globalSearch/TPS3707-30DGNR/page-1", "TPS3707-30DGNR")</f>
        <v>TPS3707-30DGNR</v>
      </c>
      <c r="B15723" s="3" t="str">
        <f>HYPERLINK("https://www.773grp.com/manufacturer/texas-instruments?pageNo=808", "Texas Instruments")</f>
        <v>Texas Instruments</v>
      </c>
      <c r="C15723" s="5">
        <v>20000</v>
      </c>
      <c r="D15723" s="6">
        <v>4.38</v>
      </c>
      <c r="E15723" t="s">
        <v>26</v>
      </c>
    </row>
    <row r="15724" spans="1:5" x14ac:dyDescent="0.25">
      <c r="A15724" t="str">
        <f>HYPERLINK("https://www.773grp.com/globalSearch/TPS3707-30DR/page-1", "TPS3707-30DR")</f>
        <v>TPS3707-30DR</v>
      </c>
      <c r="B15724" s="3" t="str">
        <f>HYPERLINK("https://www.773grp.com/manufacturer/texas-instruments?pageNo=809", "Texas Instruments")</f>
        <v>Texas Instruments</v>
      </c>
      <c r="C15724" s="5">
        <v>2500</v>
      </c>
      <c r="D15724" s="6">
        <v>4.38</v>
      </c>
      <c r="E15724" t="s">
        <v>26</v>
      </c>
    </row>
    <row r="15725" spans="1:5" x14ac:dyDescent="0.25">
      <c r="A15725" t="str">
        <f>HYPERLINK("https://www.773grp.com/globalSearch/TPS3707-33DGNR/page-1", "TPS3707-33DGNR")</f>
        <v>TPS3707-33DGNR</v>
      </c>
      <c r="B15725" s="3" t="str">
        <f>HYPERLINK("https://www.773grp.com/manufacturer/texas-instruments?pageNo=810", "Texas Instruments")</f>
        <v>Texas Instruments</v>
      </c>
      <c r="C15725" s="5">
        <v>6905</v>
      </c>
      <c r="D15725" s="6">
        <v>4.38</v>
      </c>
      <c r="E15725" t="s">
        <v>26</v>
      </c>
    </row>
    <row r="15726" spans="1:5" x14ac:dyDescent="0.25">
      <c r="A15726" t="str">
        <f>HYPERLINK("https://www.773grp.com/globalSearch/TPS3707-33DR/page-1", "TPS3707-33DR")</f>
        <v>TPS3707-33DR</v>
      </c>
      <c r="B15726" s="3" t="str">
        <f>HYPERLINK("https://www.773grp.com/manufacturer/texas-instruments?pageNo=811", "Texas Instruments")</f>
        <v>Texas Instruments</v>
      </c>
      <c r="C15726" s="5">
        <v>5797</v>
      </c>
      <c r="D15726" s="6">
        <v>4.38</v>
      </c>
      <c r="E15726" t="s">
        <v>26</v>
      </c>
    </row>
    <row r="15727" spans="1:5" x14ac:dyDescent="0.25">
      <c r="A15727" t="str">
        <f>HYPERLINK("https://www.773grp.com/globalSearch/UCC3946N/page-1", "UCC3946N")</f>
        <v>UCC3946N</v>
      </c>
      <c r="B15727" s="3" t="str">
        <f>HYPERLINK("https://www.773grp.com/manufacturer/texas-instruments?pageNo=839", "Texas Instruments")</f>
        <v>Texas Instruments</v>
      </c>
      <c r="C15727" s="5">
        <v>11400</v>
      </c>
      <c r="D15727" s="6">
        <v>4</v>
      </c>
      <c r="E15727" t="s">
        <v>26</v>
      </c>
    </row>
    <row r="15728" spans="1:5" x14ac:dyDescent="0.25">
      <c r="A15728" t="str">
        <f>HYPERLINK("https://www.773grp.com/globalSearch/BQ2057CDGK/page-1", "BQ2057CDGK")</f>
        <v>BQ2057CDGK</v>
      </c>
      <c r="B15728" s="3" t="str">
        <f>HYPERLINK("https://www.773grp.com/manufacturer/texas-instruments?pageNo=842", "Texas Instruments")</f>
        <v>Texas Instruments</v>
      </c>
      <c r="C15728" s="5">
        <v>1206</v>
      </c>
      <c r="D15728" s="6">
        <v>4.4400000000000004</v>
      </c>
      <c r="E15728" t="s">
        <v>26</v>
      </c>
    </row>
    <row r="15729" spans="1:5" x14ac:dyDescent="0.25">
      <c r="A15729" t="str">
        <f>HYPERLINK("https://www.773grp.com/globalSearch/BQ2057CSN/page-1", "BQ2057CSN")</f>
        <v>BQ2057CSN</v>
      </c>
      <c r="B15729" s="3" t="str">
        <f>HYPERLINK("https://www.773grp.com/manufacturer/texas-instruments?pageNo=843", "Texas Instruments")</f>
        <v>Texas Instruments</v>
      </c>
      <c r="C15729" s="5">
        <v>118</v>
      </c>
      <c r="D15729" s="6">
        <v>4.4400000000000004</v>
      </c>
      <c r="E15729" t="s">
        <v>26</v>
      </c>
    </row>
    <row r="15730" spans="1:5" x14ac:dyDescent="0.25">
      <c r="A15730" t="str">
        <f>HYPERLINK("https://www.773grp.com/globalSearch/BQ2057CTS/page-1", "BQ2057CTS")</f>
        <v>BQ2057CTS</v>
      </c>
      <c r="B15730" s="3" t="str">
        <f>HYPERLINK("https://www.773grp.com/manufacturer/texas-instruments?pageNo=844", "Texas Instruments")</f>
        <v>Texas Instruments</v>
      </c>
      <c r="C15730" s="5">
        <v>3151</v>
      </c>
      <c r="D15730" s="6">
        <v>4.4400000000000004</v>
      </c>
      <c r="E15730" t="s">
        <v>26</v>
      </c>
    </row>
    <row r="15731" spans="1:5" x14ac:dyDescent="0.25">
      <c r="A15731" t="str">
        <f>HYPERLINK("https://www.773grp.com/globalSearch/BQ2057TSN/page-1", "BQ2057TSN")</f>
        <v>BQ2057TSN</v>
      </c>
      <c r="B15731" s="3" t="str">
        <f>HYPERLINK("https://www.773grp.com/manufacturer/texas-instruments?pageNo=845", "Texas Instruments")</f>
        <v>Texas Instruments</v>
      </c>
      <c r="C15731" s="5">
        <v>129</v>
      </c>
      <c r="D15731" s="6">
        <v>4.4400000000000004</v>
      </c>
      <c r="E15731" t="s">
        <v>26</v>
      </c>
    </row>
    <row r="15732" spans="1:5" x14ac:dyDescent="0.25">
      <c r="A15732" t="str">
        <f>HYPERLINK("https://www.773grp.com/globalSearch/BQ2057TSN/page-1", "BQ2057TSN")</f>
        <v>BQ2057TSN</v>
      </c>
      <c r="B15732" s="3" t="str">
        <f>HYPERLINK("https://www.773grp.com/manufacturer/texas-instruments?pageNo=846", "Texas Instruments")</f>
        <v>Texas Instruments</v>
      </c>
      <c r="C15732" s="5">
        <v>1450</v>
      </c>
      <c r="D15732" s="6">
        <v>4.4400000000000004</v>
      </c>
      <c r="E15732" t="s">
        <v>26</v>
      </c>
    </row>
    <row r="15733" spans="1:5" x14ac:dyDescent="0.25">
      <c r="A15733" t="str">
        <f>HYPERLINK("https://www.773grp.com/globalSearch/BQ2057TSN/page-1", "BQ2057TSN")</f>
        <v>BQ2057TSN</v>
      </c>
      <c r="B15733" s="3" t="str">
        <f>HYPERLINK("https://www.773grp.com/manufacturer/texas-instruments?pageNo=847", "Texas Instruments")</f>
        <v>Texas Instruments</v>
      </c>
      <c r="C15733" s="5">
        <v>662</v>
      </c>
      <c r="D15733" s="6">
        <v>4.4400000000000004</v>
      </c>
      <c r="E15733" t="s">
        <v>26</v>
      </c>
    </row>
    <row r="15734" spans="1:5" x14ac:dyDescent="0.25">
      <c r="A15734" t="str">
        <f>HYPERLINK("https://www.773grp.com/globalSearch/TPS2220ADBR/page-1", "TPS2220ADBR")</f>
        <v>TPS2220ADBR</v>
      </c>
      <c r="B15734" s="3" t="str">
        <f>HYPERLINK("https://www.773grp.com/manufacturer/texas-instruments?pageNo=874", "Texas Instruments")</f>
        <v>Texas Instruments</v>
      </c>
      <c r="C15734" s="5">
        <v>82000</v>
      </c>
      <c r="D15734" s="6">
        <v>4.4400000000000004</v>
      </c>
      <c r="E15734" t="s">
        <v>26</v>
      </c>
    </row>
    <row r="15735" spans="1:5" x14ac:dyDescent="0.25">
      <c r="A15735" t="str">
        <f>HYPERLINK("https://www.773grp.com/globalSearch/TPS2220APWPR/page-1", "TPS2220APWPR")</f>
        <v>TPS2220APWPR</v>
      </c>
      <c r="B15735" s="3" t="str">
        <f>HYPERLINK("https://www.773grp.com/manufacturer/texas-instruments?pageNo=875", "Texas Instruments")</f>
        <v>Texas Instruments</v>
      </c>
      <c r="C15735" s="5">
        <v>72000</v>
      </c>
      <c r="D15735" s="6">
        <v>4.4400000000000004</v>
      </c>
      <c r="E15735" t="s">
        <v>26</v>
      </c>
    </row>
    <row r="15736" spans="1:5" x14ac:dyDescent="0.25">
      <c r="A15736" t="str">
        <f>HYPERLINK("https://www.773grp.com/globalSearch/TPS2220APWPRG4/page-1", "TPS2220APWPRG4")</f>
        <v>TPS2220APWPRG4</v>
      </c>
      <c r="B15736" s="3" t="str">
        <f>HYPERLINK("https://www.773grp.com/manufacturer/texas-instruments?pageNo=876", "Texas Instruments")</f>
        <v>Texas Instruments</v>
      </c>
      <c r="C15736" s="5">
        <v>2000</v>
      </c>
      <c r="D15736" s="6">
        <v>4.4400000000000004</v>
      </c>
      <c r="E15736" t="s">
        <v>26</v>
      </c>
    </row>
    <row r="15737" spans="1:5" x14ac:dyDescent="0.25">
      <c r="A15737" t="str">
        <f>HYPERLINK("https://www.773grp.com/globalSearch/BQ29311PW/page-1", "BQ29311PW")</f>
        <v>BQ29311PW</v>
      </c>
      <c r="B15737" s="3" t="s">
        <v>90</v>
      </c>
      <c r="C15737" s="5">
        <v>5124</v>
      </c>
      <c r="D15737" s="6">
        <v>4.05</v>
      </c>
      <c r="E15737" t="s">
        <v>26</v>
      </c>
    </row>
    <row r="15738" spans="1:5" x14ac:dyDescent="0.25">
      <c r="A15738" t="str">
        <f>HYPERLINK("https://www.773grp.com/globalSearch/BQ29311PW/page-1", "BQ29311PW")</f>
        <v>BQ29311PW</v>
      </c>
      <c r="B15738" s="3" t="s">
        <v>90</v>
      </c>
      <c r="C15738" s="5">
        <v>12377</v>
      </c>
      <c r="D15738" s="6">
        <v>4.05</v>
      </c>
      <c r="E15738" t="s">
        <v>26</v>
      </c>
    </row>
    <row r="15739" spans="1:5" x14ac:dyDescent="0.25">
      <c r="A15739" t="str">
        <f>HYPERLINK("https://www.773grp.com/globalSearch/BQ24083DRCR/page-1", "BQ24083DRCR")</f>
        <v>BQ24083DRCR</v>
      </c>
      <c r="B15739" s="3" t="s">
        <v>90</v>
      </c>
      <c r="C15739" s="5">
        <v>3000</v>
      </c>
      <c r="D15739" s="6">
        <v>4.49</v>
      </c>
      <c r="E15739" t="s">
        <v>26</v>
      </c>
    </row>
    <row r="15740" spans="1:5" x14ac:dyDescent="0.25">
      <c r="A15740" t="str">
        <f>HYPERLINK("https://www.773grp.com/globalSearch/BQ24203DGNR/page-1", "BQ24203DGNR")</f>
        <v>BQ24203DGNR</v>
      </c>
      <c r="B15740" s="3" t="s">
        <v>90</v>
      </c>
      <c r="C15740" s="5">
        <v>5000</v>
      </c>
      <c r="D15740" s="6">
        <v>4.49</v>
      </c>
      <c r="E15740" t="s">
        <v>26</v>
      </c>
    </row>
    <row r="15741" spans="1:5" x14ac:dyDescent="0.25">
      <c r="A15741" t="str">
        <f>HYPERLINK("https://www.773grp.com/globalSearch/INA270AIDR/page-1", "INA270AIDR")</f>
        <v>INA270AIDR</v>
      </c>
      <c r="B15741" s="3" t="s">
        <v>90</v>
      </c>
      <c r="C15741" s="5">
        <v>10000</v>
      </c>
      <c r="D15741" s="6">
        <v>4.49</v>
      </c>
      <c r="E15741" t="s">
        <v>26</v>
      </c>
    </row>
    <row r="15742" spans="1:5" x14ac:dyDescent="0.25">
      <c r="A15742" t="str">
        <f>HYPERLINK("https://www.773grp.com/globalSearch/INA271AIDR/page-1", "INA271AIDR")</f>
        <v>INA271AIDR</v>
      </c>
      <c r="B15742" s="3" t="s">
        <v>90</v>
      </c>
      <c r="C15742" s="5">
        <v>1500</v>
      </c>
      <c r="D15742" s="6">
        <v>4.49</v>
      </c>
      <c r="E15742" t="s">
        <v>26</v>
      </c>
    </row>
    <row r="15743" spans="1:5" x14ac:dyDescent="0.25">
      <c r="A15743" t="str">
        <f>HYPERLINK("https://www.773grp.com/globalSearch/TPS2010APWP/page-1", "TPS2010APWP")</f>
        <v>TPS2010APWP</v>
      </c>
      <c r="B15743" s="3" t="s">
        <v>90</v>
      </c>
      <c r="C15743" s="5">
        <v>25300</v>
      </c>
      <c r="D15743" s="6">
        <v>4.49</v>
      </c>
      <c r="E15743" t="s">
        <v>26</v>
      </c>
    </row>
    <row r="15744" spans="1:5" x14ac:dyDescent="0.25">
      <c r="A15744" t="str">
        <f>HYPERLINK("https://www.773grp.com/globalSearch/TPS2046BD/page-1", "TPS2046BD")</f>
        <v>TPS2046BD</v>
      </c>
      <c r="B15744" s="3" t="s">
        <v>90</v>
      </c>
      <c r="C15744" s="5">
        <v>3554</v>
      </c>
      <c r="D15744" s="6">
        <v>4.49</v>
      </c>
      <c r="E15744" t="s">
        <v>26</v>
      </c>
    </row>
    <row r="15745" spans="1:5" x14ac:dyDescent="0.25">
      <c r="A15745" t="str">
        <f>HYPERLINK("https://www.773grp.com/globalSearch/TPS2210APWPR/page-1", "TPS2210APWPR")</f>
        <v>TPS2210APWPR</v>
      </c>
      <c r="B15745" s="3" t="s">
        <v>90</v>
      </c>
      <c r="C15745" s="5">
        <v>70620</v>
      </c>
      <c r="D15745" s="6">
        <v>4.49</v>
      </c>
      <c r="E15745" t="s">
        <v>26</v>
      </c>
    </row>
    <row r="15746" spans="1:5" x14ac:dyDescent="0.25">
      <c r="A15746" t="str">
        <f>HYPERLINK("https://www.773grp.com/globalSearch/TPS2220ADB/page-1", "TPS2220ADB")</f>
        <v>TPS2220ADB</v>
      </c>
      <c r="B15746" s="3" t="s">
        <v>90</v>
      </c>
      <c r="C15746" s="5">
        <v>1405</v>
      </c>
      <c r="D15746" s="6">
        <v>4.49</v>
      </c>
      <c r="E15746" t="s">
        <v>26</v>
      </c>
    </row>
    <row r="15747" spans="1:5" x14ac:dyDescent="0.25">
      <c r="A15747" t="str">
        <f>HYPERLINK("https://www.773grp.com/globalSearch/TPS3123G15DBVR/page-1", "TPS3123G15DBVR")</f>
        <v>TPS3123G15DBVR</v>
      </c>
      <c r="B15747" s="3" t="s">
        <v>90</v>
      </c>
      <c r="C15747" s="5">
        <v>3000</v>
      </c>
      <c r="D15747" s="6">
        <v>4.49</v>
      </c>
      <c r="E15747" t="s">
        <v>26</v>
      </c>
    </row>
    <row r="15748" spans="1:5" x14ac:dyDescent="0.25">
      <c r="A15748" t="str">
        <f>HYPERLINK("https://www.773grp.com/globalSearch/TPS3123J12DBVR/page-1", "TPS3123J12DBVR")</f>
        <v>TPS3123J12DBVR</v>
      </c>
      <c r="B15748" s="3" t="s">
        <v>90</v>
      </c>
      <c r="C15748" s="5">
        <v>9000</v>
      </c>
      <c r="D15748" s="6">
        <v>4.49</v>
      </c>
      <c r="E15748" t="s">
        <v>26</v>
      </c>
    </row>
    <row r="15749" spans="1:5" x14ac:dyDescent="0.25">
      <c r="A15749" t="str">
        <f>HYPERLINK("https://www.773grp.com/globalSearch/TPS3123J18DBVR/page-1", "TPS3123J18DBVR")</f>
        <v>TPS3123J18DBVR</v>
      </c>
      <c r="B15749" s="3" t="s">
        <v>90</v>
      </c>
      <c r="C15749" s="5">
        <v>12000</v>
      </c>
      <c r="D15749" s="6">
        <v>4.49</v>
      </c>
      <c r="E15749" t="s">
        <v>26</v>
      </c>
    </row>
    <row r="15750" spans="1:5" x14ac:dyDescent="0.25">
      <c r="A15750" t="str">
        <f>HYPERLINK("https://www.773grp.com/globalSearch/TPS3124G15DBVR/page-1", "TPS3124G15DBVR")</f>
        <v>TPS3124G15DBVR</v>
      </c>
      <c r="B15750" s="3" t="s">
        <v>90</v>
      </c>
      <c r="C15750" s="5">
        <v>9000</v>
      </c>
      <c r="D15750" s="6">
        <v>4.49</v>
      </c>
      <c r="E15750" t="s">
        <v>26</v>
      </c>
    </row>
    <row r="15751" spans="1:5" x14ac:dyDescent="0.25">
      <c r="A15751" t="str">
        <f>HYPERLINK("https://www.773grp.com/globalSearch/TPS3128E18DBVR/page-1", "TPS3128E18DBVR")</f>
        <v>TPS3128E18DBVR</v>
      </c>
      <c r="B15751" s="3" t="s">
        <v>90</v>
      </c>
      <c r="C15751" s="5">
        <v>11500</v>
      </c>
      <c r="D15751" s="6">
        <v>4.49</v>
      </c>
      <c r="E15751" t="s">
        <v>26</v>
      </c>
    </row>
    <row r="15752" spans="1:5" x14ac:dyDescent="0.25">
      <c r="A15752" t="str">
        <f>HYPERLINK("https://www.773grp.com/globalSearch/TPS3808G15DRVT/page-1", "TPS3808G15DRVT")</f>
        <v>TPS3808G15DRVT</v>
      </c>
      <c r="B15752" s="3" t="s">
        <v>90</v>
      </c>
      <c r="C15752" s="5">
        <v>4250</v>
      </c>
      <c r="D15752" s="6">
        <v>4.49</v>
      </c>
      <c r="E15752" t="s">
        <v>26</v>
      </c>
    </row>
    <row r="15753" spans="1:5" x14ac:dyDescent="0.25">
      <c r="A15753" t="str">
        <f>HYPERLINK("https://www.773grp.com/globalSearch/TPS3813J25DBVT/page-1", "TPS3813J25DBVT")</f>
        <v>TPS3813J25DBVT</v>
      </c>
      <c r="B15753" s="3" t="s">
        <v>90</v>
      </c>
      <c r="C15753" s="5">
        <v>250</v>
      </c>
      <c r="D15753" s="6">
        <v>4.49</v>
      </c>
      <c r="E15753" t="s">
        <v>26</v>
      </c>
    </row>
    <row r="15754" spans="1:5" x14ac:dyDescent="0.25">
      <c r="A15754" t="str">
        <f>HYPERLINK("https://www.773grp.com/globalSearch/TPS3836H30DBVR/page-1", "TPS3836H30DBVR")</f>
        <v>TPS3836H30DBVR</v>
      </c>
      <c r="B15754" s="3" t="s">
        <v>90</v>
      </c>
      <c r="C15754" s="5">
        <v>31900</v>
      </c>
      <c r="D15754" s="6">
        <v>4.49</v>
      </c>
      <c r="E15754" t="s">
        <v>26</v>
      </c>
    </row>
    <row r="15755" spans="1:5" x14ac:dyDescent="0.25">
      <c r="A15755" t="str">
        <f>HYPERLINK("https://www.773grp.com/globalSearch/TPS3836J25DBVR/page-1", "TPS3836J25DBVR")</f>
        <v>TPS3836J25DBVR</v>
      </c>
      <c r="B15755" s="3" t="s">
        <v>90</v>
      </c>
      <c r="C15755" s="5">
        <v>11500</v>
      </c>
      <c r="D15755" s="6">
        <v>4.49</v>
      </c>
      <c r="E15755" t="s">
        <v>26</v>
      </c>
    </row>
    <row r="15756" spans="1:5" x14ac:dyDescent="0.25">
      <c r="A15756" t="str">
        <f>HYPERLINK("https://www.773grp.com/globalSearch/TPS3836L30DBVR/page-1", "TPS3836L30DBVR")</f>
        <v>TPS3836L30DBVR</v>
      </c>
      <c r="B15756" s="3" t="s">
        <v>90</v>
      </c>
      <c r="C15756" s="5">
        <v>4591</v>
      </c>
      <c r="D15756" s="6">
        <v>4.49</v>
      </c>
      <c r="E15756" t="s">
        <v>26</v>
      </c>
    </row>
    <row r="15757" spans="1:5" x14ac:dyDescent="0.25">
      <c r="A15757" t="str">
        <f>HYPERLINK("https://www.773grp.com/globalSearch/TPS3838E18DBVR/page-1", "TPS3838E18DBVR")</f>
        <v>TPS3838E18DBVR</v>
      </c>
      <c r="B15757" s="3" t="s">
        <v>90</v>
      </c>
      <c r="C15757" s="5">
        <v>58750</v>
      </c>
      <c r="D15757" s="6">
        <v>4.49</v>
      </c>
      <c r="E15757" t="s">
        <v>26</v>
      </c>
    </row>
    <row r="15758" spans="1:5" x14ac:dyDescent="0.25">
      <c r="A15758" t="str">
        <f>HYPERLINK("https://www.773grp.com/globalSearch/TPS3838K33DBVR/page-1", "TPS3838K33DBVR")</f>
        <v>TPS3838K33DBVR</v>
      </c>
      <c r="B15758" s="3" t="s">
        <v>90</v>
      </c>
      <c r="C15758" s="5">
        <v>8880</v>
      </c>
      <c r="D15758" s="6">
        <v>4.49</v>
      </c>
      <c r="E15758" t="s">
        <v>26</v>
      </c>
    </row>
    <row r="15759" spans="1:5" x14ac:dyDescent="0.25">
      <c r="A15759" t="str">
        <f>HYPERLINK("https://www.773grp.com/globalSearch/TPS3838L30DBVR/page-1", "TPS3838L30DBVR")</f>
        <v>TPS3838L30DBVR</v>
      </c>
      <c r="B15759" s="3" t="s">
        <v>90</v>
      </c>
      <c r="C15759" s="5">
        <v>6000</v>
      </c>
      <c r="D15759" s="6">
        <v>4.49</v>
      </c>
      <c r="E15759" t="s">
        <v>26</v>
      </c>
    </row>
    <row r="15760" spans="1:5" x14ac:dyDescent="0.25">
      <c r="A15760" t="str">
        <f>HYPERLINK("https://www.773grp.com/globalSearch/TPS65563ARGTT/page-1", "TPS65563ARGTT")</f>
        <v>TPS65563ARGTT</v>
      </c>
      <c r="B15760" s="3" t="s">
        <v>90</v>
      </c>
      <c r="C15760" s="5">
        <v>1235</v>
      </c>
      <c r="D15760" s="6">
        <v>4.49</v>
      </c>
      <c r="E15760" t="s">
        <v>26</v>
      </c>
    </row>
    <row r="15761" spans="1:5" x14ac:dyDescent="0.25">
      <c r="A15761" t="str">
        <f>HYPERLINK("https://www.773grp.com/globalSearch/BQ2000PN-B5/page-1", "BQ2000PN-B5")</f>
        <v>BQ2000PN-B5</v>
      </c>
      <c r="B15761" s="3" t="s">
        <v>90</v>
      </c>
      <c r="C15761" s="5">
        <v>4094</v>
      </c>
      <c r="D15761" s="6">
        <v>4.09</v>
      </c>
      <c r="E15761" t="s">
        <v>26</v>
      </c>
    </row>
    <row r="15762" spans="1:5" x14ac:dyDescent="0.25">
      <c r="A15762" t="str">
        <f>HYPERLINK("https://www.773grp.com/globalSearch/BQ2000PWR/page-1", "BQ2000PWR")</f>
        <v>BQ2000PWR</v>
      </c>
      <c r="B15762" s="3" t="s">
        <v>90</v>
      </c>
      <c r="C15762" s="5">
        <v>14000</v>
      </c>
      <c r="D15762" s="6">
        <v>4.09</v>
      </c>
      <c r="E15762" t="s">
        <v>26</v>
      </c>
    </row>
    <row r="15763" spans="1:5" x14ac:dyDescent="0.25">
      <c r="A15763" t="str">
        <f>HYPERLINK("https://www.773grp.com/globalSearch/TPS2330IPW/page-1", "TPS2330IPW")</f>
        <v>TPS2330IPW</v>
      </c>
      <c r="B15763" s="3" t="s">
        <v>90</v>
      </c>
      <c r="C15763" s="5">
        <v>4881</v>
      </c>
      <c r="D15763" s="6">
        <v>4.09</v>
      </c>
      <c r="E15763" t="s">
        <v>26</v>
      </c>
    </row>
    <row r="15764" spans="1:5" x14ac:dyDescent="0.25">
      <c r="A15764" t="str">
        <f>HYPERLINK("https://www.773grp.com/globalSearch/TPS2330IPWG4/page-1", "TPS2330IPWG4")</f>
        <v>TPS2330IPWG4</v>
      </c>
      <c r="B15764" s="3" t="s">
        <v>90</v>
      </c>
      <c r="C15764" s="5">
        <v>55</v>
      </c>
      <c r="D15764" s="6">
        <v>4.09</v>
      </c>
      <c r="E15764" t="s">
        <v>26</v>
      </c>
    </row>
    <row r="15765" spans="1:5" x14ac:dyDescent="0.25">
      <c r="A15765" t="str">
        <f>HYPERLINK("https://www.773grp.com/globalSearch/TPS2331ID/page-1", "TPS2331ID")</f>
        <v>TPS2331ID</v>
      </c>
      <c r="B15765" s="3" t="s">
        <v>90</v>
      </c>
      <c r="C15765" s="5">
        <v>7577</v>
      </c>
      <c r="D15765" s="6">
        <v>4.09</v>
      </c>
      <c r="E15765" t="s">
        <v>26</v>
      </c>
    </row>
    <row r="15766" spans="1:5" x14ac:dyDescent="0.25">
      <c r="A15766" t="str">
        <f>HYPERLINK("https://www.773grp.com/globalSearch/TPS2331IPW/page-1", "TPS2331IPW")</f>
        <v>TPS2331IPW</v>
      </c>
      <c r="B15766" s="3" t="s">
        <v>90</v>
      </c>
      <c r="C15766" s="5">
        <v>679</v>
      </c>
      <c r="D15766" s="6">
        <v>4.09</v>
      </c>
      <c r="E15766" t="s">
        <v>26</v>
      </c>
    </row>
    <row r="15767" spans="1:5" x14ac:dyDescent="0.25">
      <c r="A15767" t="str">
        <f>HYPERLINK("https://www.773grp.com/globalSearch/TPS2052BDGN/page-1", "TPS2052BDGN")</f>
        <v>TPS2052BDGN</v>
      </c>
      <c r="B15767" s="3" t="s">
        <v>90</v>
      </c>
      <c r="C15767" s="5">
        <v>5660</v>
      </c>
      <c r="D15767" s="6">
        <v>4.54</v>
      </c>
      <c r="E15767" t="s">
        <v>26</v>
      </c>
    </row>
    <row r="15768" spans="1:5" x14ac:dyDescent="0.25">
      <c r="A15768" t="str">
        <f>HYPERLINK("https://www.773grp.com/globalSearch/TPS2552DRVT/page-1", "TPS2552DRVT")</f>
        <v>TPS2552DRVT</v>
      </c>
      <c r="B15768" s="3" t="s">
        <v>90</v>
      </c>
      <c r="C15768" s="5">
        <v>1170</v>
      </c>
      <c r="D15768" s="6">
        <v>4.54</v>
      </c>
      <c r="E15768" t="s">
        <v>26</v>
      </c>
    </row>
    <row r="15769" spans="1:5" x14ac:dyDescent="0.25">
      <c r="A15769" t="str">
        <f>HYPERLINK("https://www.773grp.com/globalSearch/TPS2552DRVT-1/page-1", "TPS2552DRVT-1")</f>
        <v>TPS2552DRVT-1</v>
      </c>
      <c r="B15769" s="3" t="s">
        <v>90</v>
      </c>
      <c r="C15769" s="5">
        <v>945</v>
      </c>
      <c r="D15769" s="6">
        <v>4.54</v>
      </c>
      <c r="E15769" t="s">
        <v>26</v>
      </c>
    </row>
    <row r="15770" spans="1:5" x14ac:dyDescent="0.25">
      <c r="A15770" t="str">
        <f>HYPERLINK("https://www.773grp.com/globalSearch/TPS2553DBVT-1/page-1", "TPS2553DBVT-1")</f>
        <v>TPS2553DBVT-1</v>
      </c>
      <c r="B15770" s="3" t="s">
        <v>90</v>
      </c>
      <c r="C15770" s="5">
        <v>25</v>
      </c>
      <c r="D15770" s="6">
        <v>4.54</v>
      </c>
      <c r="E15770" t="s">
        <v>26</v>
      </c>
    </row>
    <row r="15771" spans="1:5" x14ac:dyDescent="0.25">
      <c r="A15771" t="str">
        <f>HYPERLINK("https://www.773grp.com/globalSearch/TPS2553DRVT-1/page-1", "TPS2553DRVT-1")</f>
        <v>TPS2553DRVT-1</v>
      </c>
      <c r="B15771" s="3" t="s">
        <v>90</v>
      </c>
      <c r="C15771" s="5">
        <v>416</v>
      </c>
      <c r="D15771" s="6">
        <v>4.54</v>
      </c>
      <c r="E15771" t="s">
        <v>26</v>
      </c>
    </row>
    <row r="15772" spans="1:5" x14ac:dyDescent="0.25">
      <c r="A15772" t="str">
        <f>HYPERLINK("https://www.773grp.com/globalSearch/UCC2946PWTR/page-1", "UCC2946PWTR")</f>
        <v>UCC2946PWTR</v>
      </c>
      <c r="B15772" s="3" t="s">
        <v>90</v>
      </c>
      <c r="C15772" s="5">
        <v>6000</v>
      </c>
      <c r="D15772" s="6">
        <v>4.1399999999999997</v>
      </c>
      <c r="E15772" t="s">
        <v>26</v>
      </c>
    </row>
    <row r="15773" spans="1:5" x14ac:dyDescent="0.25">
      <c r="A15773" t="str">
        <f>HYPERLINK("https://www.773grp.com/globalSearch/TPIC9201PWP/page-1", "TPIC9201PWP")</f>
        <v>TPIC9201PWP</v>
      </c>
      <c r="B15773" s="3" t="s">
        <v>90</v>
      </c>
      <c r="C15773" s="5">
        <v>57750</v>
      </c>
      <c r="D15773" s="6">
        <v>4.1900000000000004</v>
      </c>
      <c r="E15773" t="s">
        <v>26</v>
      </c>
    </row>
    <row r="15774" spans="1:5" x14ac:dyDescent="0.25">
      <c r="A15774" t="str">
        <f>HYPERLINK("https://www.773grp.com/globalSearch/TPIC9202PWP/page-1", "TPIC9202PWP")</f>
        <v>TPIC9202PWP</v>
      </c>
      <c r="B15774" s="3" t="s">
        <v>90</v>
      </c>
      <c r="C15774" s="5">
        <v>138880</v>
      </c>
      <c r="D15774" s="6">
        <v>4.1900000000000004</v>
      </c>
      <c r="E15774" t="s">
        <v>26</v>
      </c>
    </row>
    <row r="15775" spans="1:5" x14ac:dyDescent="0.25">
      <c r="A15775" t="str">
        <f>HYPERLINK("https://www.773grp.com/globalSearch/BQ2057DGK/page-1", "BQ2057DGK")</f>
        <v>BQ2057DGK</v>
      </c>
      <c r="B15775" s="3" t="s">
        <v>90</v>
      </c>
      <c r="C15775" s="5">
        <v>6160</v>
      </c>
      <c r="D15775" s="6">
        <v>4.6399999999999997</v>
      </c>
      <c r="E15775" t="s">
        <v>26</v>
      </c>
    </row>
    <row r="15776" spans="1:5" x14ac:dyDescent="0.25">
      <c r="A15776" t="str">
        <f>HYPERLINK("https://www.773grp.com/globalSearch/TPS2062D/page-1", "TPS2062D")</f>
        <v>TPS2062D</v>
      </c>
      <c r="B15776" s="3" t="s">
        <v>90</v>
      </c>
      <c r="C15776" s="5">
        <v>3792</v>
      </c>
      <c r="D15776" s="6">
        <v>4.6399999999999997</v>
      </c>
      <c r="E15776" t="s">
        <v>26</v>
      </c>
    </row>
    <row r="15777" spans="1:5" x14ac:dyDescent="0.25">
      <c r="A15777" t="str">
        <f>HYPERLINK("https://www.773grp.com/globalSearch/TPS2062D-1/page-1", "TPS2062D-1")</f>
        <v>TPS2062D-1</v>
      </c>
      <c r="B15777" s="3" t="s">
        <v>90</v>
      </c>
      <c r="C15777" s="5">
        <v>1760</v>
      </c>
      <c r="D15777" s="6">
        <v>4.6399999999999997</v>
      </c>
      <c r="E15777" t="s">
        <v>26</v>
      </c>
    </row>
    <row r="15778" spans="1:5" x14ac:dyDescent="0.25">
      <c r="A15778" t="str">
        <f>HYPERLINK("https://www.773grp.com/globalSearch/TPS2066D/page-1", "TPS2066D")</f>
        <v>TPS2066D</v>
      </c>
      <c r="B15778" s="3" t="s">
        <v>90</v>
      </c>
      <c r="C15778" s="5">
        <v>112</v>
      </c>
      <c r="D15778" s="6">
        <v>4.6399999999999997</v>
      </c>
      <c r="E15778" t="s">
        <v>26</v>
      </c>
    </row>
    <row r="15779" spans="1:5" x14ac:dyDescent="0.25">
      <c r="A15779" t="str">
        <f>HYPERLINK("https://www.773grp.com/globalSearch/TPS2066DGN-1/page-1", "TPS2066DGN-1")</f>
        <v>TPS2066DGN-1</v>
      </c>
      <c r="B15779" s="3" t="s">
        <v>90</v>
      </c>
      <c r="C15779" s="5">
        <v>270</v>
      </c>
      <c r="D15779" s="6">
        <v>4.6399999999999997</v>
      </c>
      <c r="E15779" t="s">
        <v>26</v>
      </c>
    </row>
    <row r="15780" spans="1:5" x14ac:dyDescent="0.25">
      <c r="A15780" t="str">
        <f>HYPERLINK("https://www.773grp.com/globalSearch/TPS2068D/page-1", "TPS2068D")</f>
        <v>TPS2068D</v>
      </c>
      <c r="B15780" s="3" t="s">
        <v>90</v>
      </c>
      <c r="C15780" s="5">
        <v>17850</v>
      </c>
      <c r="D15780" s="6">
        <v>4.6399999999999997</v>
      </c>
      <c r="E15780" t="s">
        <v>26</v>
      </c>
    </row>
    <row r="15781" spans="1:5" x14ac:dyDescent="0.25">
      <c r="A15781" t="str">
        <f>HYPERLINK("https://www.773grp.com/globalSearch/TPS2069DGN/page-1", "TPS2069DGN")</f>
        <v>TPS2069DGN</v>
      </c>
      <c r="B15781" s="3" t="s">
        <v>90</v>
      </c>
      <c r="C15781" s="5">
        <v>234</v>
      </c>
      <c r="D15781" s="6">
        <v>4.6399999999999997</v>
      </c>
      <c r="E15781" t="s">
        <v>26</v>
      </c>
    </row>
    <row r="15782" spans="1:5" x14ac:dyDescent="0.25">
      <c r="A15782" t="str">
        <f>HYPERLINK("https://www.773grp.com/globalSearch/INA283AID/page-1", "INA283AID")</f>
        <v>INA283AID</v>
      </c>
      <c r="B15782" s="3" t="s">
        <v>90</v>
      </c>
      <c r="C15782" s="5">
        <v>675</v>
      </c>
      <c r="D15782" s="6">
        <v>4.2300000000000004</v>
      </c>
      <c r="E15782" t="s">
        <v>26</v>
      </c>
    </row>
    <row r="15783" spans="1:5" x14ac:dyDescent="0.25">
      <c r="A15783" t="str">
        <f>HYPERLINK("https://www.773grp.com/globalSearch/INA284AID/page-1", "INA284AID")</f>
        <v>INA284AID</v>
      </c>
      <c r="B15783" s="3" t="s">
        <v>90</v>
      </c>
      <c r="C15783" s="5">
        <v>1575</v>
      </c>
      <c r="D15783" s="6">
        <v>4.2300000000000004</v>
      </c>
      <c r="E15783" t="s">
        <v>26</v>
      </c>
    </row>
    <row r="15784" spans="1:5" x14ac:dyDescent="0.25">
      <c r="A15784" t="str">
        <f>HYPERLINK("https://www.773grp.com/globalSearch/INA285AID/page-1", "INA285AID")</f>
        <v>INA285AID</v>
      </c>
      <c r="B15784" s="3" t="s">
        <v>90</v>
      </c>
      <c r="C15784" s="5">
        <v>1695</v>
      </c>
      <c r="D15784" s="6">
        <v>4.2300000000000004</v>
      </c>
      <c r="E15784" t="s">
        <v>26</v>
      </c>
    </row>
    <row r="15785" spans="1:5" x14ac:dyDescent="0.25">
      <c r="A15785" t="str">
        <f>HYPERLINK("https://www.773grp.com/globalSearch/INA286AID/page-1", "INA286AID")</f>
        <v>INA286AID</v>
      </c>
      <c r="B15785" s="3" t="s">
        <v>90</v>
      </c>
      <c r="C15785" s="5">
        <v>1571</v>
      </c>
      <c r="D15785" s="6">
        <v>4.2300000000000004</v>
      </c>
      <c r="E15785" t="s">
        <v>26</v>
      </c>
    </row>
    <row r="15786" spans="1:5" x14ac:dyDescent="0.25">
      <c r="A15786" t="str">
        <f>HYPERLINK("https://www.773grp.com/globalSearch/TPS24720RGTR/page-1", "TPS24720RGTR")</f>
        <v>TPS24720RGTR</v>
      </c>
      <c r="B15786" s="3" t="s">
        <v>90</v>
      </c>
      <c r="C15786" s="5">
        <v>2950</v>
      </c>
      <c r="D15786" s="6">
        <v>4.2300000000000004</v>
      </c>
      <c r="E15786" t="s">
        <v>26</v>
      </c>
    </row>
    <row r="15787" spans="1:5" x14ac:dyDescent="0.25">
      <c r="A15787" t="str">
        <f>HYPERLINK("https://www.773grp.com/globalSearch/UCC3913N/page-1", "UCC3913N")</f>
        <v>UCC3913N</v>
      </c>
      <c r="B15787" s="3" t="s">
        <v>90</v>
      </c>
      <c r="C15787" s="5">
        <v>8100</v>
      </c>
      <c r="D15787" s="6">
        <v>4.2300000000000004</v>
      </c>
      <c r="E15787" t="s">
        <v>26</v>
      </c>
    </row>
    <row r="15788" spans="1:5" x14ac:dyDescent="0.25">
      <c r="A15788" t="str">
        <f>HYPERLINK("https://www.773grp.com/globalSearch/BQ2002CPN/page-1", "BQ2002CPN")</f>
        <v>BQ2002CPN</v>
      </c>
      <c r="B15788" s="3" t="s">
        <v>90</v>
      </c>
      <c r="C15788" s="5">
        <v>94843</v>
      </c>
      <c r="D15788" s="6">
        <v>4.6900000000000004</v>
      </c>
      <c r="E15788" t="s">
        <v>26</v>
      </c>
    </row>
    <row r="15789" spans="1:5" x14ac:dyDescent="0.25">
      <c r="A15789" t="str">
        <f>HYPERLINK("https://www.773grp.com/globalSearch/BQ2002CSNTR/page-1", "BQ2002CSNTR")</f>
        <v>BQ2002CSNTR</v>
      </c>
      <c r="B15789" s="3" t="s">
        <v>90</v>
      </c>
      <c r="C15789" s="5">
        <v>5000</v>
      </c>
      <c r="D15789" s="6">
        <v>4.6900000000000004</v>
      </c>
      <c r="E15789" t="s">
        <v>26</v>
      </c>
    </row>
    <row r="15790" spans="1:5" x14ac:dyDescent="0.25">
      <c r="A15790" t="str">
        <f>HYPERLINK("https://www.773grp.com/globalSearch/BQ2002DSNTR/page-1", "BQ2002DSNTR")</f>
        <v>BQ2002DSNTR</v>
      </c>
      <c r="B15790" s="3" t="s">
        <v>90</v>
      </c>
      <c r="C15790" s="5">
        <v>2275</v>
      </c>
      <c r="D15790" s="6">
        <v>4.6900000000000004</v>
      </c>
      <c r="E15790" t="s">
        <v>26</v>
      </c>
    </row>
    <row r="15791" spans="1:5" x14ac:dyDescent="0.25">
      <c r="A15791" t="str">
        <f>HYPERLINK("https://www.773grp.com/globalSearch/BQ2002EPN/page-1", "BQ2002EPN")</f>
        <v>BQ2002EPN</v>
      </c>
      <c r="B15791" s="3" t="s">
        <v>90</v>
      </c>
      <c r="C15791" s="5">
        <v>9844</v>
      </c>
      <c r="D15791" s="6">
        <v>4.6900000000000004</v>
      </c>
      <c r="E15791" t="s">
        <v>26</v>
      </c>
    </row>
    <row r="15792" spans="1:5" x14ac:dyDescent="0.25">
      <c r="A15792" t="str">
        <f>HYPERLINK("https://www.773grp.com/globalSearch/BQ2002EPN/page-1", "BQ2002EPN")</f>
        <v>BQ2002EPN</v>
      </c>
      <c r="B15792" s="3" t="s">
        <v>90</v>
      </c>
      <c r="C15792" s="5">
        <v>5850</v>
      </c>
      <c r="D15792" s="6">
        <v>4.6900000000000004</v>
      </c>
      <c r="E15792" t="s">
        <v>26</v>
      </c>
    </row>
    <row r="15793" spans="1:5" x14ac:dyDescent="0.25">
      <c r="A15793" t="str">
        <f>HYPERLINK("https://www.773grp.com/globalSearch/BQ2002GPN/page-1", "BQ2002GPN")</f>
        <v>BQ2002GPN</v>
      </c>
      <c r="B15793" s="3" t="s">
        <v>90</v>
      </c>
      <c r="C15793" s="5">
        <v>50</v>
      </c>
      <c r="D15793" s="6">
        <v>4.6900000000000004</v>
      </c>
      <c r="E15793" t="s">
        <v>26</v>
      </c>
    </row>
    <row r="15794" spans="1:5" x14ac:dyDescent="0.25">
      <c r="A15794" t="str">
        <f>HYPERLINK("https://www.773grp.com/globalSearch/BQ2002PN/page-1", "BQ2002PN")</f>
        <v>BQ2002PN</v>
      </c>
      <c r="B15794" s="3" t="s">
        <v>90</v>
      </c>
      <c r="C15794" s="5">
        <v>6960</v>
      </c>
      <c r="D15794" s="6">
        <v>4.6900000000000004</v>
      </c>
      <c r="E15794" t="s">
        <v>26</v>
      </c>
    </row>
    <row r="15795" spans="1:5" x14ac:dyDescent="0.25">
      <c r="A15795" t="str">
        <f>HYPERLINK("https://www.773grp.com/globalSearch/BQ2002TPN/page-1", "BQ2002TPN")</f>
        <v>BQ2002TPN</v>
      </c>
      <c r="B15795" s="3" t="s">
        <v>90</v>
      </c>
      <c r="C15795" s="5">
        <v>1105</v>
      </c>
      <c r="D15795" s="6">
        <v>4.6900000000000004</v>
      </c>
      <c r="E15795" t="s">
        <v>26</v>
      </c>
    </row>
    <row r="15796" spans="1:5" x14ac:dyDescent="0.25">
      <c r="A15796" t="str">
        <f>HYPERLINK("https://www.773grp.com/globalSearch/BQ2002TPN/page-1", "BQ2002TPN")</f>
        <v>BQ2002TPN</v>
      </c>
      <c r="B15796" s="3" t="s">
        <v>90</v>
      </c>
      <c r="C15796" s="5">
        <v>10100</v>
      </c>
      <c r="D15796" s="6">
        <v>4.6900000000000004</v>
      </c>
      <c r="E15796" t="s">
        <v>26</v>
      </c>
    </row>
    <row r="15797" spans="1:5" x14ac:dyDescent="0.25">
      <c r="A15797" t="str">
        <f>HYPERLINK("https://www.773grp.com/globalSearch/BQ2002TSNTR/page-1", "BQ2002TSNTR")</f>
        <v>BQ2002TSNTR</v>
      </c>
      <c r="B15797" s="3" t="s">
        <v>90</v>
      </c>
      <c r="C15797" s="5">
        <v>7500</v>
      </c>
      <c r="D15797" s="6">
        <v>4.6900000000000004</v>
      </c>
      <c r="E15797" t="s">
        <v>26</v>
      </c>
    </row>
    <row r="15798" spans="1:5" x14ac:dyDescent="0.25">
      <c r="A15798" t="str">
        <f>HYPERLINK("https://www.773grp.com/globalSearch/BQ24202DGNR/page-1", "BQ24202DGNR")</f>
        <v>BQ24202DGNR</v>
      </c>
      <c r="B15798" s="3" t="s">
        <v>90</v>
      </c>
      <c r="C15798" s="5">
        <v>108400</v>
      </c>
      <c r="D15798" s="6">
        <v>4.6900000000000004</v>
      </c>
      <c r="E15798" t="s">
        <v>26</v>
      </c>
    </row>
    <row r="15799" spans="1:5" x14ac:dyDescent="0.25">
      <c r="A15799" t="str">
        <f>HYPERLINK("https://www.773grp.com/globalSearch/TLC7703IP/page-1", "TLC7703IP")</f>
        <v>TLC7703IP</v>
      </c>
      <c r="B15799" s="3" t="s">
        <v>90</v>
      </c>
      <c r="C15799" s="5">
        <v>4850</v>
      </c>
      <c r="D15799" s="6">
        <v>4.6900000000000004</v>
      </c>
      <c r="E15799" t="s">
        <v>26</v>
      </c>
    </row>
    <row r="15800" spans="1:5" x14ac:dyDescent="0.25">
      <c r="A15800" t="str">
        <f>HYPERLINK("https://www.773grp.com/globalSearch/TLC7703IPWR/page-1", "TLC7703IPWR")</f>
        <v>TLC7703IPWR</v>
      </c>
      <c r="B15800" s="3" t="s">
        <v>90</v>
      </c>
      <c r="C15800" s="5">
        <v>10000</v>
      </c>
      <c r="D15800" s="6">
        <v>4.6900000000000004</v>
      </c>
      <c r="E15800" t="s">
        <v>26</v>
      </c>
    </row>
    <row r="15801" spans="1:5" x14ac:dyDescent="0.25">
      <c r="A15801" t="str">
        <f>HYPERLINK("https://www.773grp.com/globalSearch/TLC7725IP/page-1", "TLC7725IP")</f>
        <v>TLC7725IP</v>
      </c>
      <c r="B15801" s="3" t="s">
        <v>90</v>
      </c>
      <c r="C15801" s="5">
        <v>378</v>
      </c>
      <c r="D15801" s="6">
        <v>4.6900000000000004</v>
      </c>
      <c r="E15801" t="s">
        <v>26</v>
      </c>
    </row>
    <row r="15802" spans="1:5" x14ac:dyDescent="0.25">
      <c r="A15802" t="str">
        <f>HYPERLINK("https://www.773grp.com/globalSearch/TLC7725IPWR/page-1", "TLC7725IPWR")</f>
        <v>TLC7725IPWR</v>
      </c>
      <c r="B15802" s="3" t="s">
        <v>90</v>
      </c>
      <c r="C15802" s="5">
        <v>4000</v>
      </c>
      <c r="D15802" s="6">
        <v>4.6900000000000004</v>
      </c>
      <c r="E15802" t="s">
        <v>26</v>
      </c>
    </row>
    <row r="15803" spans="1:5" x14ac:dyDescent="0.25">
      <c r="A15803" t="str">
        <f>HYPERLINK("https://www.773grp.com/globalSearch/TLC7733IP/page-1", "TLC7733IP")</f>
        <v>TLC7733IP</v>
      </c>
      <c r="B15803" s="3" t="s">
        <v>90</v>
      </c>
      <c r="C15803" s="5">
        <v>10506</v>
      </c>
      <c r="D15803" s="6">
        <v>4.6900000000000004</v>
      </c>
      <c r="E15803" t="s">
        <v>26</v>
      </c>
    </row>
    <row r="15804" spans="1:5" x14ac:dyDescent="0.25">
      <c r="A15804" t="str">
        <f>HYPERLINK("https://www.773grp.com/globalSearch/TLC7733IPWR/page-1", "TLC7733IPWR")</f>
        <v>TLC7733IPWR</v>
      </c>
      <c r="B15804" s="3" t="s">
        <v>90</v>
      </c>
      <c r="C15804" s="5">
        <v>77792</v>
      </c>
      <c r="D15804" s="6">
        <v>4.6900000000000004</v>
      </c>
      <c r="E15804" t="s">
        <v>26</v>
      </c>
    </row>
    <row r="15805" spans="1:5" x14ac:dyDescent="0.25">
      <c r="A15805" t="str">
        <f>HYPERLINK("https://www.773grp.com/globalSearch/TPS2011ADR/page-1", "TPS2011ADR")</f>
        <v>TPS2011ADR</v>
      </c>
      <c r="B15805" s="3" t="s">
        <v>90</v>
      </c>
      <c r="C15805" s="5">
        <v>556</v>
      </c>
      <c r="D15805" s="6">
        <v>4.6900000000000004</v>
      </c>
      <c r="E15805" t="s">
        <v>26</v>
      </c>
    </row>
    <row r="15806" spans="1:5" x14ac:dyDescent="0.25">
      <c r="A15806" t="str">
        <f>HYPERLINK("https://www.773grp.com/globalSearch/TPS2013ADR/page-1", "TPS2013ADR")</f>
        <v>TPS2013ADR</v>
      </c>
      <c r="B15806" s="3" t="s">
        <v>90</v>
      </c>
      <c r="C15806" s="5">
        <v>35000</v>
      </c>
      <c r="D15806" s="6">
        <v>4.6900000000000004</v>
      </c>
      <c r="E15806" t="s">
        <v>26</v>
      </c>
    </row>
    <row r="15807" spans="1:5" x14ac:dyDescent="0.25">
      <c r="A15807" t="str">
        <f>HYPERLINK("https://www.773grp.com/globalSearch/TPS2013APWPR/page-1", "TPS2013APWPR")</f>
        <v>TPS2013APWPR</v>
      </c>
      <c r="B15807" s="3" t="s">
        <v>90</v>
      </c>
      <c r="C15807" s="5">
        <v>20000</v>
      </c>
      <c r="D15807" s="6">
        <v>4.6900000000000004</v>
      </c>
      <c r="E15807" t="s">
        <v>26</v>
      </c>
    </row>
    <row r="15808" spans="1:5" x14ac:dyDescent="0.25">
      <c r="A15808" t="str">
        <f>HYPERLINK("https://www.773grp.com/globalSearch/TPS2211AIDB/page-1", "TPS2211AIDB")</f>
        <v>TPS2211AIDB</v>
      </c>
      <c r="B15808" s="3" t="s">
        <v>90</v>
      </c>
      <c r="C15808" s="5">
        <v>2019</v>
      </c>
      <c r="D15808" s="6">
        <v>4.6900000000000004</v>
      </c>
      <c r="E15808" t="s">
        <v>26</v>
      </c>
    </row>
    <row r="15809" spans="1:5" x14ac:dyDescent="0.25">
      <c r="A15809" t="str">
        <f>HYPERLINK("https://www.773grp.com/globalSearch/TPS2211APW/page-1", "TPS2211APW")</f>
        <v>TPS2211APW</v>
      </c>
      <c r="B15809" s="3" t="s">
        <v>90</v>
      </c>
      <c r="C15809" s="5">
        <v>4498</v>
      </c>
      <c r="D15809" s="6">
        <v>4.6900000000000004</v>
      </c>
      <c r="E15809" t="s">
        <v>26</v>
      </c>
    </row>
    <row r="15810" spans="1:5" x14ac:dyDescent="0.25">
      <c r="A15810" t="str">
        <f>HYPERLINK("https://www.773grp.com/globalSearch/TPS2211APWP/page-1", "TPS2211APWP")</f>
        <v>TPS2211APWP</v>
      </c>
      <c r="B15810" s="3" t="s">
        <v>90</v>
      </c>
      <c r="C15810" s="5">
        <v>5052</v>
      </c>
      <c r="D15810" s="6">
        <v>4.6900000000000004</v>
      </c>
      <c r="E15810" t="s">
        <v>26</v>
      </c>
    </row>
    <row r="15811" spans="1:5" x14ac:dyDescent="0.25">
      <c r="A15811" t="str">
        <f>HYPERLINK("https://www.773grp.com/globalSearch/TPS2211APWPG4/page-1", "TPS2211APWPG4")</f>
        <v>TPS2211APWPG4</v>
      </c>
      <c r="B15811" s="3" t="s">
        <v>90</v>
      </c>
      <c r="C15811" s="5">
        <v>115</v>
      </c>
      <c r="D15811" s="6">
        <v>4.6900000000000004</v>
      </c>
      <c r="E15811" t="s">
        <v>26</v>
      </c>
    </row>
    <row r="15812" spans="1:5" x14ac:dyDescent="0.25">
      <c r="A15812" t="str">
        <f>HYPERLINK("https://www.773grp.com/globalSearch/TPS3125G15DBVT/page-1", "TPS3125G15DBVT")</f>
        <v>TPS3125G15DBVT</v>
      </c>
      <c r="B15812" s="3" t="s">
        <v>90</v>
      </c>
      <c r="C15812" s="5">
        <v>13474</v>
      </c>
      <c r="D15812" s="6">
        <v>4.6900000000000004</v>
      </c>
      <c r="E15812" t="s">
        <v>26</v>
      </c>
    </row>
    <row r="15813" spans="1:5" x14ac:dyDescent="0.25">
      <c r="A15813" t="str">
        <f>HYPERLINK("https://www.773grp.com/globalSearch/TPS3125J12DBVT/page-1", "TPS3125J12DBVT")</f>
        <v>TPS3125J12DBVT</v>
      </c>
      <c r="B15813" s="3" t="s">
        <v>90</v>
      </c>
      <c r="C15813" s="5">
        <v>12436</v>
      </c>
      <c r="D15813" s="6">
        <v>4.6900000000000004</v>
      </c>
      <c r="E15813" t="s">
        <v>26</v>
      </c>
    </row>
    <row r="15814" spans="1:5" x14ac:dyDescent="0.25">
      <c r="A15814" t="str">
        <f>HYPERLINK("https://www.773grp.com/globalSearch/TPS3125J18DBVT/page-1", "TPS3125J18DBVT")</f>
        <v>TPS3125J18DBVT</v>
      </c>
      <c r="B15814" s="3" t="s">
        <v>90</v>
      </c>
      <c r="C15814" s="5">
        <v>1500</v>
      </c>
      <c r="D15814" s="6">
        <v>4.6900000000000004</v>
      </c>
      <c r="E15814" t="s">
        <v>26</v>
      </c>
    </row>
    <row r="15815" spans="1:5" x14ac:dyDescent="0.25">
      <c r="A15815" t="str">
        <f>HYPERLINK("https://www.773grp.com/globalSearch/TPS3513N/page-1", "TPS3513N")</f>
        <v>TPS3513N</v>
      </c>
      <c r="B15815" s="3" t="s">
        <v>90</v>
      </c>
      <c r="C15815" s="5">
        <v>7050</v>
      </c>
      <c r="D15815" s="6">
        <v>4.6900000000000004</v>
      </c>
      <c r="E15815" t="s">
        <v>26</v>
      </c>
    </row>
    <row r="15816" spans="1:5" x14ac:dyDescent="0.25">
      <c r="A15816" t="str">
        <f>HYPERLINK("https://www.773grp.com/globalSearch/BQ2057SNTR/page-1", "BQ2057SNTR")</f>
        <v>BQ2057SNTR</v>
      </c>
      <c r="B15816" s="3" t="s">
        <v>90</v>
      </c>
      <c r="C15816" s="5">
        <v>65000</v>
      </c>
      <c r="D15816" s="6">
        <v>4.74</v>
      </c>
      <c r="E15816" t="s">
        <v>26</v>
      </c>
    </row>
    <row r="15817" spans="1:5" x14ac:dyDescent="0.25">
      <c r="A15817" t="str">
        <f>HYPERLINK("https://www.773grp.com/globalSearch/BQ24085DRCR/page-1", "BQ24085DRCR")</f>
        <v>BQ24085DRCR</v>
      </c>
      <c r="B15817" s="3" t="s">
        <v>90</v>
      </c>
      <c r="C15817" s="5">
        <v>11700</v>
      </c>
      <c r="D15817" s="6">
        <v>4.74</v>
      </c>
      <c r="E15817" t="s">
        <v>26</v>
      </c>
    </row>
    <row r="15818" spans="1:5" x14ac:dyDescent="0.25">
      <c r="A15818" t="str">
        <f>HYPERLINK("https://www.773grp.com/globalSearch/BQ24086DRCR/page-1", "BQ24086DRCR")</f>
        <v>BQ24086DRCR</v>
      </c>
      <c r="B15818" s="3" t="s">
        <v>90</v>
      </c>
      <c r="C15818" s="5">
        <v>2000</v>
      </c>
      <c r="D15818" s="6">
        <v>4.74</v>
      </c>
      <c r="E15818" t="s">
        <v>26</v>
      </c>
    </row>
    <row r="15819" spans="1:5" x14ac:dyDescent="0.25">
      <c r="A15819" t="str">
        <f>HYPERLINK("https://www.773grp.com/globalSearch/BQ24087DRCR/page-1", "BQ24087DRCR")</f>
        <v>BQ24087DRCR</v>
      </c>
      <c r="B15819" s="3" t="s">
        <v>90</v>
      </c>
      <c r="C15819" s="5">
        <v>47997</v>
      </c>
      <c r="D15819" s="6">
        <v>4.74</v>
      </c>
      <c r="E15819" t="s">
        <v>26</v>
      </c>
    </row>
    <row r="15820" spans="1:5" x14ac:dyDescent="0.25">
      <c r="A15820" t="str">
        <f>HYPERLINK("https://www.773grp.com/globalSearch/BQ24088DRCR/page-1", "BQ24088DRCR")</f>
        <v>BQ24088DRCR</v>
      </c>
      <c r="B15820" s="3" t="s">
        <v>90</v>
      </c>
      <c r="C15820" s="5">
        <v>6000</v>
      </c>
      <c r="D15820" s="6">
        <v>4.74</v>
      </c>
      <c r="E15820" t="s">
        <v>26</v>
      </c>
    </row>
    <row r="15821" spans="1:5" x14ac:dyDescent="0.25">
      <c r="A15821" t="str">
        <f>HYPERLINK("https://www.773grp.com/globalSearch/BQ24150AYFFR/page-1", "BQ24150AYFFR")</f>
        <v>BQ24150AYFFR</v>
      </c>
      <c r="B15821" s="3" t="s">
        <v>90</v>
      </c>
      <c r="C15821" s="5">
        <v>993000</v>
      </c>
      <c r="D15821" s="6">
        <v>4.74</v>
      </c>
      <c r="E15821" t="s">
        <v>26</v>
      </c>
    </row>
    <row r="15822" spans="1:5" x14ac:dyDescent="0.25">
      <c r="A15822" t="str">
        <f>HYPERLINK("https://www.773grp.com/globalSearch/BQ24150YFFR/page-1", "BQ24150YFFR")</f>
        <v>BQ24150YFFR</v>
      </c>
      <c r="B15822" s="3" t="s">
        <v>90</v>
      </c>
      <c r="C15822" s="5">
        <v>148918</v>
      </c>
      <c r="D15822" s="6">
        <v>4.74</v>
      </c>
      <c r="E15822" t="s">
        <v>26</v>
      </c>
    </row>
    <row r="15823" spans="1:5" x14ac:dyDescent="0.25">
      <c r="A15823" t="str">
        <f>HYPERLINK("https://www.773grp.com/globalSearch/BQ24151YFFR/page-1", "BQ24151YFFR")</f>
        <v>BQ24151YFFR</v>
      </c>
      <c r="B15823" s="3" t="s">
        <v>90</v>
      </c>
      <c r="C15823" s="5">
        <v>14900</v>
      </c>
      <c r="D15823" s="6">
        <v>4.74</v>
      </c>
      <c r="E15823" t="s">
        <v>26</v>
      </c>
    </row>
    <row r="15824" spans="1:5" x14ac:dyDescent="0.25">
      <c r="A15824" t="str">
        <f>HYPERLINK("https://www.773grp.com/globalSearch/BQ24152YFFR/page-1", "BQ24152YFFR")</f>
        <v>BQ24152YFFR</v>
      </c>
      <c r="B15824" s="3" t="s">
        <v>90</v>
      </c>
      <c r="C15824" s="5">
        <v>2900</v>
      </c>
      <c r="D15824" s="6">
        <v>4.74</v>
      </c>
      <c r="E15824" t="s">
        <v>26</v>
      </c>
    </row>
    <row r="15825" spans="1:5" x14ac:dyDescent="0.25">
      <c r="A15825" t="str">
        <f>HYPERLINK("https://www.773grp.com/globalSearch/BQ29312ARTHR/page-1", "BQ29312ARTHR")</f>
        <v>BQ29312ARTHR</v>
      </c>
      <c r="B15825" s="3" t="s">
        <v>90</v>
      </c>
      <c r="C15825" s="5">
        <v>1682</v>
      </c>
      <c r="D15825" s="6">
        <v>4.74</v>
      </c>
      <c r="E15825" t="s">
        <v>26</v>
      </c>
    </row>
    <row r="15826" spans="1:5" x14ac:dyDescent="0.25">
      <c r="A15826" t="str">
        <f>HYPERLINK("https://www.773grp.com/globalSearch/TLC7703QP/page-1", "TLC7703QP")</f>
        <v>TLC7703QP</v>
      </c>
      <c r="B15826" s="3" t="s">
        <v>90</v>
      </c>
      <c r="C15826" s="5">
        <v>5850</v>
      </c>
      <c r="D15826" s="6">
        <v>4.74</v>
      </c>
      <c r="E15826" t="s">
        <v>26</v>
      </c>
    </row>
    <row r="15827" spans="1:5" x14ac:dyDescent="0.25">
      <c r="A15827" t="str">
        <f>HYPERLINK("https://www.773grp.com/globalSearch/TLC7725QP/page-1", "TLC7725QP")</f>
        <v>TLC7725QP</v>
      </c>
      <c r="B15827" s="3" t="s">
        <v>90</v>
      </c>
      <c r="C15827" s="5">
        <v>5900</v>
      </c>
      <c r="D15827" s="6">
        <v>4.74</v>
      </c>
      <c r="E15827" t="s">
        <v>26</v>
      </c>
    </row>
    <row r="15828" spans="1:5" x14ac:dyDescent="0.25">
      <c r="A15828" t="str">
        <f>HYPERLINK("https://www.773grp.com/globalSearch/TPS2062D-1G4/page-1", "TPS2062D-1G4")</f>
        <v>TPS2062D-1G4</v>
      </c>
      <c r="B15828" s="3" t="s">
        <v>90</v>
      </c>
      <c r="C15828" s="5">
        <v>54</v>
      </c>
      <c r="D15828" s="6">
        <v>4.74</v>
      </c>
      <c r="E15828" t="s">
        <v>26</v>
      </c>
    </row>
    <row r="15829" spans="1:5" x14ac:dyDescent="0.25">
      <c r="A15829" t="str">
        <f>HYPERLINK("https://www.773grp.com/globalSearch/TPS2100DBVT/page-1", "TPS2100DBVT")</f>
        <v>TPS2100DBVT</v>
      </c>
      <c r="B15829" s="3" t="s">
        <v>90</v>
      </c>
      <c r="C15829" s="5">
        <v>19185</v>
      </c>
      <c r="D15829" s="6">
        <v>4.74</v>
      </c>
      <c r="E15829" t="s">
        <v>26</v>
      </c>
    </row>
    <row r="15830" spans="1:5" x14ac:dyDescent="0.25">
      <c r="A15830" t="str">
        <f>HYPERLINK("https://www.773grp.com/globalSearch/TPS2102D/page-1", "TPS2102D")</f>
        <v>TPS2102D</v>
      </c>
      <c r="B15830" s="3" t="s">
        <v>90</v>
      </c>
      <c r="C15830" s="5">
        <v>1153</v>
      </c>
      <c r="D15830" s="6">
        <v>4.74</v>
      </c>
      <c r="E15830" t="s">
        <v>26</v>
      </c>
    </row>
    <row r="15831" spans="1:5" x14ac:dyDescent="0.25">
      <c r="A15831" t="str">
        <f>HYPERLINK("https://www.773grp.com/globalSearch/TPS2103DBVR/page-1", "TPS2103DBVR")</f>
        <v>TPS2103DBVR</v>
      </c>
      <c r="B15831" s="3" t="s">
        <v>90</v>
      </c>
      <c r="C15831" s="5">
        <v>27000</v>
      </c>
      <c r="D15831" s="6">
        <v>4.74</v>
      </c>
      <c r="E15831" t="s">
        <v>26</v>
      </c>
    </row>
    <row r="15832" spans="1:5" x14ac:dyDescent="0.25">
      <c r="A15832" t="str">
        <f>HYPERLINK("https://www.773grp.com/globalSearch/TPS2110APW/page-1", "TPS2110APW")</f>
        <v>TPS2110APW</v>
      </c>
      <c r="B15832" s="3" t="s">
        <v>90</v>
      </c>
      <c r="C15832" s="5">
        <v>150</v>
      </c>
      <c r="D15832" s="6">
        <v>4.74</v>
      </c>
      <c r="E15832" t="s">
        <v>26</v>
      </c>
    </row>
    <row r="15833" spans="1:5" x14ac:dyDescent="0.25">
      <c r="A15833" t="str">
        <f>HYPERLINK("https://www.773grp.com/globalSearch/TPS2110PW/page-1", "TPS2110PW")</f>
        <v>TPS2110PW</v>
      </c>
      <c r="B15833" s="3" t="s">
        <v>90</v>
      </c>
      <c r="C15833" s="5">
        <v>101</v>
      </c>
      <c r="D15833" s="6">
        <v>4.74</v>
      </c>
      <c r="E15833" t="s">
        <v>26</v>
      </c>
    </row>
    <row r="15834" spans="1:5" x14ac:dyDescent="0.25">
      <c r="A15834" t="str">
        <f>HYPERLINK("https://www.773grp.com/globalSearch/TPS2111APW/page-1", "TPS2111APW")</f>
        <v>TPS2111APW</v>
      </c>
      <c r="B15834" s="3" t="s">
        <v>90</v>
      </c>
      <c r="C15834" s="5">
        <v>600</v>
      </c>
      <c r="D15834" s="6">
        <v>4.74</v>
      </c>
      <c r="E15834" t="s">
        <v>26</v>
      </c>
    </row>
    <row r="15835" spans="1:5" x14ac:dyDescent="0.25">
      <c r="A15835" t="str">
        <f>HYPERLINK("https://www.773grp.com/globalSearch/TPS2112APW/page-1", "TPS2112APW")</f>
        <v>TPS2112APW</v>
      </c>
      <c r="B15835" s="3" t="s">
        <v>90</v>
      </c>
      <c r="C15835" s="5">
        <v>4445</v>
      </c>
      <c r="D15835" s="6">
        <v>4.74</v>
      </c>
      <c r="E15835" t="s">
        <v>26</v>
      </c>
    </row>
    <row r="15836" spans="1:5" x14ac:dyDescent="0.25">
      <c r="A15836" t="str">
        <f>HYPERLINK("https://www.773grp.com/globalSearch/TPS2113ADRBT/page-1", "TPS2113ADRBT")</f>
        <v>TPS2113ADRBT</v>
      </c>
      <c r="B15836" s="3" t="s">
        <v>90</v>
      </c>
      <c r="C15836" s="5">
        <v>1500</v>
      </c>
      <c r="D15836" s="6">
        <v>4.74</v>
      </c>
      <c r="E15836" t="s">
        <v>26</v>
      </c>
    </row>
    <row r="15837" spans="1:5" x14ac:dyDescent="0.25">
      <c r="A15837" t="str">
        <f>HYPERLINK("https://www.773grp.com/globalSearch/TPS2113PW/page-1", "TPS2113PW")</f>
        <v>TPS2113PW</v>
      </c>
      <c r="B15837" s="3" t="s">
        <v>90</v>
      </c>
      <c r="C15837" s="5">
        <v>849</v>
      </c>
      <c r="D15837" s="6">
        <v>4.74</v>
      </c>
      <c r="E15837" t="s">
        <v>26</v>
      </c>
    </row>
    <row r="15838" spans="1:5" x14ac:dyDescent="0.25">
      <c r="A15838" t="str">
        <f>HYPERLINK("https://www.773grp.com/globalSearch/TPS2115APW/page-1", "TPS2115APW")</f>
        <v>TPS2115APW</v>
      </c>
      <c r="B15838" s="3" t="s">
        <v>90</v>
      </c>
      <c r="C15838" s="5">
        <v>666</v>
      </c>
      <c r="D15838" s="6">
        <v>4.74</v>
      </c>
      <c r="E15838" t="s">
        <v>26</v>
      </c>
    </row>
    <row r="15839" spans="1:5" x14ac:dyDescent="0.25">
      <c r="A15839" t="str">
        <f>HYPERLINK("https://www.773grp.com/globalSearch/TPS2115PW/page-1", "TPS2115PW")</f>
        <v>TPS2115PW</v>
      </c>
      <c r="B15839" s="3" t="s">
        <v>90</v>
      </c>
      <c r="C15839" s="5">
        <v>1605</v>
      </c>
      <c r="D15839" s="6">
        <v>4.74</v>
      </c>
      <c r="E15839" t="s">
        <v>26</v>
      </c>
    </row>
    <row r="15840" spans="1:5" x14ac:dyDescent="0.25">
      <c r="A15840" t="str">
        <f>HYPERLINK("https://www.773grp.com/globalSearch/TPS2400DBVT/page-1", "TPS2400DBVT")</f>
        <v>TPS2400DBVT</v>
      </c>
      <c r="B15840" s="3" t="s">
        <v>90</v>
      </c>
      <c r="C15840" s="5">
        <v>995</v>
      </c>
      <c r="D15840" s="6">
        <v>4.74</v>
      </c>
      <c r="E15840" t="s">
        <v>26</v>
      </c>
    </row>
    <row r="15841" spans="1:5" x14ac:dyDescent="0.25">
      <c r="A15841" t="str">
        <f>HYPERLINK("https://www.773grp.com/globalSearch/TPS3103E12DBVR/page-1", "TPS3103E12DBVR")</f>
        <v>TPS3103E12DBVR</v>
      </c>
      <c r="B15841" s="3" t="s">
        <v>90</v>
      </c>
      <c r="C15841" s="5">
        <v>25118</v>
      </c>
      <c r="D15841" s="6">
        <v>4.74</v>
      </c>
      <c r="E15841" t="s">
        <v>26</v>
      </c>
    </row>
    <row r="15842" spans="1:5" x14ac:dyDescent="0.25">
      <c r="A15842" t="str">
        <f>HYPERLINK("https://www.773grp.com/globalSearch/TPS3103H20DBVR/page-1", "TPS3103H20DBVR")</f>
        <v>TPS3103H20DBVR</v>
      </c>
      <c r="B15842" s="3" t="s">
        <v>90</v>
      </c>
      <c r="C15842" s="5">
        <v>13269</v>
      </c>
      <c r="D15842" s="6">
        <v>4.74</v>
      </c>
      <c r="E15842" t="s">
        <v>26</v>
      </c>
    </row>
    <row r="15843" spans="1:5" x14ac:dyDescent="0.25">
      <c r="A15843" t="str">
        <f>HYPERLINK("https://www.773grp.com/globalSearch/TPS3106E16DBVR/page-1", "TPS3106E16DBVR")</f>
        <v>TPS3106E16DBVR</v>
      </c>
      <c r="B15843" s="3" t="s">
        <v>90</v>
      </c>
      <c r="C15843" s="5">
        <v>2900</v>
      </c>
      <c r="D15843" s="6">
        <v>4.74</v>
      </c>
      <c r="E15843" t="s">
        <v>26</v>
      </c>
    </row>
    <row r="15844" spans="1:5" x14ac:dyDescent="0.25">
      <c r="A15844" t="str">
        <f>HYPERLINK("https://www.773grp.com/globalSearch/TPS3106K33DBVR/page-1", "TPS3106K33DBVR")</f>
        <v>TPS3106K33DBVR</v>
      </c>
      <c r="B15844" s="3" t="s">
        <v>90</v>
      </c>
      <c r="C15844" s="5">
        <v>3975</v>
      </c>
      <c r="D15844" s="6">
        <v>4.74</v>
      </c>
      <c r="E15844" t="s">
        <v>26</v>
      </c>
    </row>
    <row r="15845" spans="1:5" x14ac:dyDescent="0.25">
      <c r="A15845" t="str">
        <f>HYPERLINK("https://www.773grp.com/globalSearch/TPS3126E15DBVT/page-1", "TPS3126E15DBVT")</f>
        <v>TPS3126E15DBVT</v>
      </c>
      <c r="B15845" s="3" t="s">
        <v>90</v>
      </c>
      <c r="C15845" s="5">
        <v>441</v>
      </c>
      <c r="D15845" s="6">
        <v>4.74</v>
      </c>
      <c r="E15845" t="s">
        <v>26</v>
      </c>
    </row>
    <row r="15846" spans="1:5" x14ac:dyDescent="0.25">
      <c r="A15846" t="str">
        <f>HYPERLINK("https://www.773grp.com/globalSearch/TPS3126E18DBVT/page-1", "TPS3126E18DBVT")</f>
        <v>TPS3126E18DBVT</v>
      </c>
      <c r="B15846" s="3" t="s">
        <v>90</v>
      </c>
      <c r="C15846" s="5">
        <v>2159</v>
      </c>
      <c r="D15846" s="6">
        <v>4.74</v>
      </c>
      <c r="E15846" t="s">
        <v>26</v>
      </c>
    </row>
    <row r="15847" spans="1:5" x14ac:dyDescent="0.25">
      <c r="A15847" t="str">
        <f>HYPERLINK("https://www.773grp.com/globalSearch/INA210AIRSWT/page-1", "INA210AIRSWT")</f>
        <v>INA210AIRSWT</v>
      </c>
      <c r="B15847" s="3" t="s">
        <v>90</v>
      </c>
      <c r="C15847" s="5">
        <v>77250</v>
      </c>
      <c r="D15847" s="6">
        <v>4.79</v>
      </c>
      <c r="E15847" t="s">
        <v>26</v>
      </c>
    </row>
    <row r="15848" spans="1:5" x14ac:dyDescent="0.25">
      <c r="A15848" t="str">
        <f>HYPERLINK("https://www.773grp.com/globalSearch/INA213AIRSWT/page-1", "INA213AIRSWT")</f>
        <v>INA213AIRSWT</v>
      </c>
      <c r="B15848" s="3" t="s">
        <v>90</v>
      </c>
      <c r="C15848" s="5">
        <v>2500</v>
      </c>
      <c r="D15848" s="6">
        <v>4.79</v>
      </c>
      <c r="E15848" t="s">
        <v>26</v>
      </c>
    </row>
    <row r="15849" spans="1:5" x14ac:dyDescent="0.25">
      <c r="A15849" t="str">
        <f>HYPERLINK("https://www.773grp.com/globalSearch/INA214AIRSWT/page-1", "INA214AIRSWT")</f>
        <v>INA214AIRSWT</v>
      </c>
      <c r="B15849" s="3" t="s">
        <v>90</v>
      </c>
      <c r="C15849" s="5">
        <v>39237</v>
      </c>
      <c r="D15849" s="6">
        <v>4.79</v>
      </c>
      <c r="E15849" t="s">
        <v>26</v>
      </c>
    </row>
    <row r="15850" spans="1:5" x14ac:dyDescent="0.25">
      <c r="A15850" t="str">
        <f>HYPERLINK("https://www.773grp.com/globalSearch/BQ24070RHLT/page-1", "BQ24070RHLT")</f>
        <v>BQ24070RHLT</v>
      </c>
      <c r="B15850" s="3" t="s">
        <v>90</v>
      </c>
      <c r="C15850" s="5">
        <v>250</v>
      </c>
      <c r="D15850" s="6">
        <v>4.3499999999999996</v>
      </c>
      <c r="E15850" t="s">
        <v>26</v>
      </c>
    </row>
    <row r="15851" spans="1:5" x14ac:dyDescent="0.25">
      <c r="A15851" t="str">
        <f>HYPERLINK("https://www.773grp.com/globalSearch/BQ24071RHLT/page-1", "BQ24071RHLT")</f>
        <v>BQ24071RHLT</v>
      </c>
      <c r="B15851" s="3" t="s">
        <v>90</v>
      </c>
      <c r="C15851" s="5">
        <v>2577</v>
      </c>
      <c r="D15851" s="6">
        <v>4.3499999999999996</v>
      </c>
      <c r="E15851" t="s">
        <v>26</v>
      </c>
    </row>
    <row r="15852" spans="1:5" x14ac:dyDescent="0.25">
      <c r="A15852" t="str">
        <f>HYPERLINK("https://www.773grp.com/globalSearch/BQ24400DR/page-1", "BQ24400DR")</f>
        <v>BQ24400DR</v>
      </c>
      <c r="B15852" s="3" t="s">
        <v>90</v>
      </c>
      <c r="C15852" s="5">
        <v>75000</v>
      </c>
      <c r="D15852" s="6">
        <v>4.3499999999999996</v>
      </c>
      <c r="E15852" t="s">
        <v>26</v>
      </c>
    </row>
    <row r="15853" spans="1:5" x14ac:dyDescent="0.25">
      <c r="A15853" t="str">
        <f>HYPERLINK("https://www.773grp.com/globalSearch/BQ24400PWR/page-1", "BQ24400PWR")</f>
        <v>BQ24400PWR</v>
      </c>
      <c r="B15853" s="3" t="s">
        <v>90</v>
      </c>
      <c r="C15853" s="5">
        <v>8000</v>
      </c>
      <c r="D15853" s="6">
        <v>4.3499999999999996</v>
      </c>
      <c r="E15853" t="s">
        <v>26</v>
      </c>
    </row>
    <row r="15854" spans="1:5" x14ac:dyDescent="0.25">
      <c r="A15854" t="str">
        <f>HYPERLINK("https://www.773grp.com/globalSearch/BQ24401PWR/page-1", "BQ24401PWR")</f>
        <v>BQ24401PWR</v>
      </c>
      <c r="B15854" s="3" t="s">
        <v>90</v>
      </c>
      <c r="C15854" s="5">
        <v>28000</v>
      </c>
      <c r="D15854" s="6">
        <v>4.3499999999999996</v>
      </c>
      <c r="E15854" t="s">
        <v>26</v>
      </c>
    </row>
    <row r="15855" spans="1:5" x14ac:dyDescent="0.25">
      <c r="A15855" t="str">
        <f>HYPERLINK("https://www.773grp.com/globalSearch/INA168QPWRG4Q1/page-1", "INA168QPWRG4Q1")</f>
        <v>INA168QPWRG4Q1</v>
      </c>
      <c r="B15855" s="3" t="str">
        <f>HYPERLINK("https://www.773grp.com/manufacturer/texas-instruments?pageNo=262", "Texas Instruments")</f>
        <v>Texas Instruments</v>
      </c>
      <c r="C15855" s="5">
        <v>4000</v>
      </c>
      <c r="D15855" s="6">
        <v>4.96</v>
      </c>
      <c r="E15855" t="s">
        <v>26</v>
      </c>
    </row>
    <row r="15856" spans="1:5" x14ac:dyDescent="0.25">
      <c r="A15856" t="str">
        <f>HYPERLINK("https://www.773grp.com/globalSearch/INA168QPWRQ1/page-1", "INA168QPWRQ1")</f>
        <v>INA168QPWRQ1</v>
      </c>
      <c r="B15856" s="3" t="str">
        <f>HYPERLINK("https://www.773grp.com/manufacturer/texas-instruments?pageNo=263", "Texas Instruments")</f>
        <v>Texas Instruments</v>
      </c>
      <c r="C15856" s="5">
        <v>17885</v>
      </c>
      <c r="D15856" s="6">
        <v>4.96</v>
      </c>
      <c r="E15856" t="s">
        <v>26</v>
      </c>
    </row>
    <row r="15857" spans="1:5" x14ac:dyDescent="0.25">
      <c r="A15857" t="str">
        <f>HYPERLINK("https://www.773grp.com/globalSearch/TPS2042BDGN/page-1", "TPS2042BDGN")</f>
        <v>TPS2042BDGN</v>
      </c>
      <c r="B15857" s="3" t="str">
        <f>HYPERLINK("https://www.773grp.com/manufacturer/texas-instruments?pageNo=289", "Texas Instruments")</f>
        <v>Texas Instruments</v>
      </c>
      <c r="C15857" s="5">
        <v>480</v>
      </c>
      <c r="D15857" s="6">
        <v>4.96</v>
      </c>
      <c r="E15857" t="s">
        <v>26</v>
      </c>
    </row>
    <row r="15858" spans="1:5" x14ac:dyDescent="0.25">
      <c r="A15858" t="str">
        <f>HYPERLINK("https://www.773grp.com/globalSearch/TPS2301IPWR/page-1", "TPS2301IPWR")</f>
        <v>TPS2301IPWR</v>
      </c>
      <c r="B15858" s="3" t="str">
        <f>HYPERLINK("https://www.773grp.com/manufacturer/texas-instruments?pageNo=390", "Texas Instruments")</f>
        <v>Texas Instruments</v>
      </c>
      <c r="C15858" s="5">
        <v>2000</v>
      </c>
      <c r="D15858" s="6">
        <v>4.5</v>
      </c>
      <c r="E15858" t="s">
        <v>26</v>
      </c>
    </row>
    <row r="15859" spans="1:5" x14ac:dyDescent="0.25">
      <c r="A15859" t="str">
        <f>HYPERLINK("https://www.773grp.com/globalSearch/TPS2310IPWR/page-1", "TPS2310IPWR")</f>
        <v>TPS2310IPWR</v>
      </c>
      <c r="B15859" s="3" t="str">
        <f>HYPERLINK("https://www.773grp.com/manufacturer/texas-instruments?pageNo=391", "Texas Instruments")</f>
        <v>Texas Instruments</v>
      </c>
      <c r="C15859" s="5">
        <v>8000</v>
      </c>
      <c r="D15859" s="6">
        <v>4.5</v>
      </c>
      <c r="E15859" t="s">
        <v>26</v>
      </c>
    </row>
    <row r="15860" spans="1:5" x14ac:dyDescent="0.25">
      <c r="A15860" t="str">
        <f>HYPERLINK("https://www.773grp.com/globalSearch/TPS2320ID/page-1", "TPS2320ID")</f>
        <v>TPS2320ID</v>
      </c>
      <c r="B15860" s="3" t="str">
        <f>HYPERLINK("https://www.773grp.com/manufacturer/texas-instruments?pageNo=392", "Texas Instruments")</f>
        <v>Texas Instruments</v>
      </c>
      <c r="C15860" s="5">
        <v>14693</v>
      </c>
      <c r="D15860" s="6">
        <v>4.5</v>
      </c>
      <c r="E15860" t="s">
        <v>26</v>
      </c>
    </row>
    <row r="15861" spans="1:5" x14ac:dyDescent="0.25">
      <c r="A15861" t="str">
        <f>HYPERLINK("https://www.773grp.com/globalSearch/TPS2321ID/page-1", "TPS2321ID")</f>
        <v>TPS2321ID</v>
      </c>
      <c r="B15861" s="3" t="str">
        <f>HYPERLINK("https://www.773grp.com/manufacturer/texas-instruments?pageNo=393", "Texas Instruments")</f>
        <v>Texas Instruments</v>
      </c>
      <c r="C15861" s="5">
        <v>16857</v>
      </c>
      <c r="D15861" s="6">
        <v>4.5</v>
      </c>
      <c r="E15861" t="s">
        <v>26</v>
      </c>
    </row>
    <row r="15862" spans="1:5" x14ac:dyDescent="0.25">
      <c r="A15862" t="str">
        <f>HYPERLINK("https://www.773grp.com/globalSearch/TPS2321IPW/page-1", "TPS2321IPW")</f>
        <v>TPS2321IPW</v>
      </c>
      <c r="B15862" s="3" t="str">
        <f>HYPERLINK("https://www.773grp.com/manufacturer/texas-instruments?pageNo=394", "Texas Instruments")</f>
        <v>Texas Instruments</v>
      </c>
      <c r="C15862" s="5">
        <v>19131</v>
      </c>
      <c r="D15862" s="6">
        <v>4.5</v>
      </c>
      <c r="E15862" t="s">
        <v>26</v>
      </c>
    </row>
    <row r="15863" spans="1:5" x14ac:dyDescent="0.25">
      <c r="A15863" t="str">
        <f>HYPERLINK("https://www.773grp.com/globalSearch/UCC3921N/page-1", "UCC3921N")</f>
        <v>UCC3921N</v>
      </c>
      <c r="B15863" s="3" t="str">
        <f>HYPERLINK("https://www.773grp.com/manufacturer/texas-instruments?pageNo=423", "Texas Instruments")</f>
        <v>Texas Instruments</v>
      </c>
      <c r="C15863" s="5">
        <v>3250</v>
      </c>
      <c r="D15863" s="6">
        <v>4.5</v>
      </c>
      <c r="E15863" t="s">
        <v>26</v>
      </c>
    </row>
    <row r="15864" spans="1:5" x14ac:dyDescent="0.25">
      <c r="A15864" t="str">
        <f>HYPERLINK("https://www.773grp.com/globalSearch/BQ24060DRCR/page-1", "BQ24060DRCR")</f>
        <v>BQ24060DRCR</v>
      </c>
      <c r="B15864" s="3" t="str">
        <f>HYPERLINK("https://www.773grp.com/manufacturer/texas-instruments?pageNo=467", "Texas Instruments")</f>
        <v>Texas Instruments</v>
      </c>
      <c r="C15864" s="5">
        <v>126000</v>
      </c>
      <c r="D15864" s="6">
        <v>5.01</v>
      </c>
      <c r="E15864" t="s">
        <v>26</v>
      </c>
    </row>
    <row r="15865" spans="1:5" x14ac:dyDescent="0.25">
      <c r="A15865" t="str">
        <f>HYPERLINK("https://www.773grp.com/globalSearch/BQ24061DRCR/page-1", "BQ24061DRCR")</f>
        <v>BQ24061DRCR</v>
      </c>
      <c r="B15865" s="3" t="str">
        <f>HYPERLINK("https://www.773grp.com/manufacturer/texas-instruments?pageNo=468", "Texas Instruments")</f>
        <v>Texas Instruments</v>
      </c>
      <c r="C15865" s="5">
        <v>96000</v>
      </c>
      <c r="D15865" s="6">
        <v>5.01</v>
      </c>
      <c r="E15865" t="s">
        <v>26</v>
      </c>
    </row>
    <row r="15866" spans="1:5" x14ac:dyDescent="0.25">
      <c r="A15866" t="str">
        <f>HYPERLINK("https://www.773grp.com/globalSearch/BQ24155RGYR/page-1", "BQ24155RGYR")</f>
        <v>BQ24155RGYR</v>
      </c>
      <c r="B15866" s="3" t="str">
        <f>HYPERLINK("https://www.773grp.com/manufacturer/texas-instruments?pageNo=469", "Texas Instruments")</f>
        <v>Texas Instruments</v>
      </c>
      <c r="C15866" s="5">
        <v>9000</v>
      </c>
      <c r="D15866" s="6">
        <v>5.01</v>
      </c>
      <c r="E15866" t="s">
        <v>26</v>
      </c>
    </row>
    <row r="15867" spans="1:5" x14ac:dyDescent="0.25">
      <c r="A15867" t="str">
        <f>HYPERLINK("https://www.773grp.com/globalSearch/BQ26100DRPR/page-1", "BQ26100DRPR")</f>
        <v>BQ26100DRPR</v>
      </c>
      <c r="B15867" s="3" t="str">
        <f>HYPERLINK("https://www.773grp.com/manufacturer/texas-instruments?pageNo=470", "Texas Instruments")</f>
        <v>Texas Instruments</v>
      </c>
      <c r="C15867" s="5">
        <v>18578</v>
      </c>
      <c r="D15867" s="6">
        <v>5.01</v>
      </c>
      <c r="E15867" t="s">
        <v>26</v>
      </c>
    </row>
    <row r="15868" spans="1:5" x14ac:dyDescent="0.25">
      <c r="A15868" t="str">
        <f>HYPERLINK("https://www.773grp.com/globalSearch/BQ29330DBTR/page-1", "BQ29330DBTR")</f>
        <v>BQ29330DBTR</v>
      </c>
      <c r="B15868" s="3" t="str">
        <f>HYPERLINK("https://www.773grp.com/manufacturer/texas-instruments?pageNo=473", "Texas Instruments")</f>
        <v>Texas Instruments</v>
      </c>
      <c r="C15868" s="5">
        <v>86000</v>
      </c>
      <c r="D15868" s="6">
        <v>5.01</v>
      </c>
      <c r="E15868" t="s">
        <v>26</v>
      </c>
    </row>
    <row r="15869" spans="1:5" x14ac:dyDescent="0.25">
      <c r="A15869" t="str">
        <f>HYPERLINK("https://www.773grp.com/globalSearch/INA193AIDBVT/page-1", "INA193AIDBVT")</f>
        <v>INA193AIDBVT</v>
      </c>
      <c r="B15869" s="3" t="str">
        <f>HYPERLINK("https://www.773grp.com/manufacturer/texas-instruments?pageNo=488", "Texas Instruments")</f>
        <v>Texas Instruments</v>
      </c>
      <c r="C15869" s="5">
        <v>256</v>
      </c>
      <c r="D15869" s="6">
        <v>5.01</v>
      </c>
      <c r="E15869" t="s">
        <v>26</v>
      </c>
    </row>
    <row r="15870" spans="1:5" x14ac:dyDescent="0.25">
      <c r="A15870" t="str">
        <f>HYPERLINK("https://www.773grp.com/globalSearch/INA194AIDBVT/page-1", "INA194AIDBVT")</f>
        <v>INA194AIDBVT</v>
      </c>
      <c r="B15870" s="3" t="str">
        <f>HYPERLINK("https://www.773grp.com/manufacturer/texas-instruments?pageNo=489", "Texas Instruments")</f>
        <v>Texas Instruments</v>
      </c>
      <c r="C15870" s="5">
        <v>250</v>
      </c>
      <c r="D15870" s="6">
        <v>5.01</v>
      </c>
      <c r="E15870" t="s">
        <v>26</v>
      </c>
    </row>
    <row r="15871" spans="1:5" x14ac:dyDescent="0.25">
      <c r="A15871" t="str">
        <f>HYPERLINK("https://www.773grp.com/globalSearch/INA195AIDBVT/page-1", "INA195AIDBVT")</f>
        <v>INA195AIDBVT</v>
      </c>
      <c r="B15871" s="3" t="str">
        <f>HYPERLINK("https://www.773grp.com/manufacturer/texas-instruments?pageNo=491", "Texas Instruments")</f>
        <v>Texas Instruments</v>
      </c>
      <c r="C15871" s="5">
        <v>250</v>
      </c>
      <c r="D15871" s="6">
        <v>5.01</v>
      </c>
      <c r="E15871" t="s">
        <v>26</v>
      </c>
    </row>
    <row r="15872" spans="1:5" x14ac:dyDescent="0.25">
      <c r="A15872" t="str">
        <f>HYPERLINK("https://www.773grp.com/globalSearch/INA197AIDBVT/page-1", "INA197AIDBVT")</f>
        <v>INA197AIDBVT</v>
      </c>
      <c r="B15872" s="3" t="str">
        <f>HYPERLINK("https://www.773grp.com/manufacturer/texas-instruments?pageNo=495", "Texas Instruments")</f>
        <v>Texas Instruments</v>
      </c>
      <c r="C15872" s="5">
        <v>392</v>
      </c>
      <c r="D15872" s="6">
        <v>5.01</v>
      </c>
      <c r="E15872" t="s">
        <v>26</v>
      </c>
    </row>
    <row r="15873" spans="1:5" x14ac:dyDescent="0.25">
      <c r="A15873" t="str">
        <f>HYPERLINK("https://www.773grp.com/globalSearch/INA198AIDBVT/page-1", "INA198AIDBVT")</f>
        <v>INA198AIDBVT</v>
      </c>
      <c r="B15873" s="3" t="str">
        <f>HYPERLINK("https://www.773grp.com/manufacturer/texas-instruments?pageNo=496", "Texas Instruments")</f>
        <v>Texas Instruments</v>
      </c>
      <c r="C15873" s="5">
        <v>236</v>
      </c>
      <c r="D15873" s="6">
        <v>5.01</v>
      </c>
      <c r="E15873" t="s">
        <v>26</v>
      </c>
    </row>
    <row r="15874" spans="1:5" x14ac:dyDescent="0.25">
      <c r="A15874" t="str">
        <f>HYPERLINK("https://www.773grp.com/globalSearch/TLC7703QD/page-1", "TLC7703QD")</f>
        <v>TLC7703QD</v>
      </c>
      <c r="B15874" s="3" t="str">
        <f>HYPERLINK("https://www.773grp.com/manufacturer/texas-instruments?pageNo=598", "Texas Instruments")</f>
        <v>Texas Instruments</v>
      </c>
      <c r="C15874" s="5">
        <v>2832</v>
      </c>
      <c r="D15874" s="6">
        <v>5.01</v>
      </c>
      <c r="E15874" t="s">
        <v>26</v>
      </c>
    </row>
    <row r="15875" spans="1:5" x14ac:dyDescent="0.25">
      <c r="A15875" t="str">
        <f>HYPERLINK("https://www.773grp.com/globalSearch/TLC7703QPW/page-1", "TLC7703QPW")</f>
        <v>TLC7703QPW</v>
      </c>
      <c r="B15875" s="3" t="str">
        <f>HYPERLINK("https://www.773grp.com/manufacturer/texas-instruments?pageNo=599", "Texas Instruments")</f>
        <v>Texas Instruments</v>
      </c>
      <c r="C15875" s="5">
        <v>4859</v>
      </c>
      <c r="D15875" s="6">
        <v>5.01</v>
      </c>
      <c r="E15875" t="s">
        <v>26</v>
      </c>
    </row>
    <row r="15876" spans="1:5" x14ac:dyDescent="0.25">
      <c r="A15876" t="str">
        <f>HYPERLINK("https://www.773grp.com/globalSearch/TLC7705QPWREP/page-1", "TLC7705QPWREP")</f>
        <v>TLC7705QPWREP</v>
      </c>
      <c r="B15876" s="3" t="str">
        <f>HYPERLINK("https://www.773grp.com/manufacturer/texas-instruments?pageNo=600", "Texas Instruments")</f>
        <v>Texas Instruments</v>
      </c>
      <c r="C15876" s="5">
        <v>3400</v>
      </c>
      <c r="D15876" s="6">
        <v>5.01</v>
      </c>
      <c r="E15876" t="s">
        <v>26</v>
      </c>
    </row>
    <row r="15877" spans="1:5" x14ac:dyDescent="0.25">
      <c r="A15877" t="str">
        <f>HYPERLINK("https://www.773grp.com/globalSearch/TLC7725QPWR/page-1", "TLC7725QPWR")</f>
        <v>TLC7725QPWR</v>
      </c>
      <c r="B15877" s="3" t="str">
        <f>HYPERLINK("https://www.773grp.com/manufacturer/texas-instruments?pageNo=601", "Texas Instruments")</f>
        <v>Texas Instruments</v>
      </c>
      <c r="C15877" s="5">
        <v>15040</v>
      </c>
      <c r="D15877" s="6">
        <v>5.01</v>
      </c>
      <c r="E15877" t="s">
        <v>26</v>
      </c>
    </row>
    <row r="15878" spans="1:5" x14ac:dyDescent="0.25">
      <c r="A15878" t="str">
        <f>HYPERLINK("https://www.773grp.com/globalSearch/TLC7733QP/page-1", "TLC7733QP")</f>
        <v>TLC7733QP</v>
      </c>
      <c r="B15878" s="3" t="str">
        <f>HYPERLINK("https://www.773grp.com/manufacturer/texas-instruments?pageNo=602", "Texas Instruments")</f>
        <v>Texas Instruments</v>
      </c>
      <c r="C15878" s="5">
        <v>8587</v>
      </c>
      <c r="D15878" s="6">
        <v>5.01</v>
      </c>
      <c r="E15878" t="s">
        <v>26</v>
      </c>
    </row>
    <row r="15879" spans="1:5" x14ac:dyDescent="0.25">
      <c r="A15879" t="str">
        <f>HYPERLINK("https://www.773grp.com/globalSearch/TPS2012PWR/page-1", "TPS2012PWR")</f>
        <v>TPS2012PWR</v>
      </c>
      <c r="B15879" s="3" t="str">
        <f>HYPERLINK("https://www.773grp.com/manufacturer/texas-instruments?pageNo=661", "Texas Instruments")</f>
        <v>Texas Instruments</v>
      </c>
      <c r="C15879" s="5">
        <v>6000</v>
      </c>
      <c r="D15879" s="6">
        <v>5.01</v>
      </c>
      <c r="E15879" t="s">
        <v>26</v>
      </c>
    </row>
    <row r="15880" spans="1:5" x14ac:dyDescent="0.25">
      <c r="A15880" t="str">
        <f>HYPERLINK("https://www.773grp.com/globalSearch/TPS2013PWR/page-1", "TPS2013PWR")</f>
        <v>TPS2013PWR</v>
      </c>
      <c r="B15880" s="3" t="str">
        <f>HYPERLINK("https://www.773grp.com/manufacturer/texas-instruments?pageNo=662", "Texas Instruments")</f>
        <v>Texas Instruments</v>
      </c>
      <c r="C15880" s="5">
        <v>5900</v>
      </c>
      <c r="D15880" s="6">
        <v>5.01</v>
      </c>
      <c r="E15880" t="s">
        <v>26</v>
      </c>
    </row>
    <row r="15881" spans="1:5" x14ac:dyDescent="0.25">
      <c r="A15881" t="str">
        <f>HYPERLINK("https://www.773grp.com/globalSearch/TPS2220BPWPR/page-1", "TPS2220BPWPR")</f>
        <v>TPS2220BPWPR</v>
      </c>
      <c r="B15881" s="3" t="str">
        <f>HYPERLINK("https://www.773grp.com/manufacturer/texas-instruments?pageNo=676", "Texas Instruments")</f>
        <v>Texas Instruments</v>
      </c>
      <c r="C15881" s="5">
        <v>274000</v>
      </c>
      <c r="D15881" s="6">
        <v>5.01</v>
      </c>
      <c r="E15881" t="s">
        <v>26</v>
      </c>
    </row>
    <row r="15882" spans="1:5" x14ac:dyDescent="0.25">
      <c r="A15882" t="str">
        <f>HYPERLINK("https://www.773grp.com/globalSearch/TPS2551DBVR/page-1", "TPS2551DBVR")</f>
        <v>TPS2551DBVR</v>
      </c>
      <c r="B15882" s="3" t="str">
        <f>HYPERLINK("https://www.773grp.com/manufacturer/texas-instruments?pageNo=677", "Texas Instruments")</f>
        <v>Texas Instruments</v>
      </c>
      <c r="C15882" s="5">
        <v>9000</v>
      </c>
      <c r="D15882" s="6">
        <v>5.01</v>
      </c>
      <c r="E15882" t="s">
        <v>26</v>
      </c>
    </row>
    <row r="15883" spans="1:5" x14ac:dyDescent="0.25">
      <c r="A15883" t="str">
        <f>HYPERLINK("https://www.773grp.com/globalSearch/TPS3123G15DBVT/page-1", "TPS3123G15DBVT")</f>
        <v>TPS3123G15DBVT</v>
      </c>
      <c r="B15883" s="3" t="str">
        <f>HYPERLINK("https://www.773grp.com/manufacturer/texas-instruments?pageNo=683", "Texas Instruments")</f>
        <v>Texas Instruments</v>
      </c>
      <c r="C15883" s="5">
        <v>5750</v>
      </c>
      <c r="D15883" s="6">
        <v>5.01</v>
      </c>
      <c r="E15883" t="s">
        <v>26</v>
      </c>
    </row>
    <row r="15884" spans="1:5" x14ac:dyDescent="0.25">
      <c r="A15884" t="str">
        <f>HYPERLINK("https://www.773grp.com/globalSearch/TPS3123J12DBVT/page-1", "TPS3123J12DBVT")</f>
        <v>TPS3123J12DBVT</v>
      </c>
      <c r="B15884" s="3" t="str">
        <f>HYPERLINK("https://www.773grp.com/manufacturer/texas-instruments?pageNo=684", "Texas Instruments")</f>
        <v>Texas Instruments</v>
      </c>
      <c r="C15884" s="5">
        <v>9500</v>
      </c>
      <c r="D15884" s="6">
        <v>5.01</v>
      </c>
      <c r="E15884" t="s">
        <v>26</v>
      </c>
    </row>
    <row r="15885" spans="1:5" x14ac:dyDescent="0.25">
      <c r="A15885" t="str">
        <f>HYPERLINK("https://www.773grp.com/globalSearch/TPS3124G15DBVT/page-1", "TPS3124G15DBVT")</f>
        <v>TPS3124G15DBVT</v>
      </c>
      <c r="B15885" s="3" t="str">
        <f>HYPERLINK("https://www.773grp.com/manufacturer/texas-instruments?pageNo=686", "Texas Instruments")</f>
        <v>Texas Instruments</v>
      </c>
      <c r="C15885" s="5">
        <v>6500</v>
      </c>
      <c r="D15885" s="6">
        <v>5.01</v>
      </c>
      <c r="E15885" t="s">
        <v>26</v>
      </c>
    </row>
    <row r="15886" spans="1:5" x14ac:dyDescent="0.25">
      <c r="A15886" t="str">
        <f>HYPERLINK("https://www.773grp.com/globalSearch/TPS3124J12DBVT/page-1", "TPS3124J12DBVT")</f>
        <v>TPS3124J12DBVT</v>
      </c>
      <c r="B15886" s="3" t="str">
        <f>HYPERLINK("https://www.773grp.com/manufacturer/texas-instruments?pageNo=687", "Texas Instruments")</f>
        <v>Texas Instruments</v>
      </c>
      <c r="C15886" s="5">
        <v>8862</v>
      </c>
      <c r="D15886" s="6">
        <v>5.01</v>
      </c>
      <c r="E15886" t="s">
        <v>26</v>
      </c>
    </row>
    <row r="15887" spans="1:5" x14ac:dyDescent="0.25">
      <c r="A15887" t="str">
        <f>HYPERLINK("https://www.773grp.com/globalSearch/TPS3128E12DBVT/page-1", "TPS3128E12DBVT")</f>
        <v>TPS3128E12DBVT</v>
      </c>
      <c r="B15887" s="3" t="str">
        <f>HYPERLINK("https://www.773grp.com/manufacturer/texas-instruments?pageNo=689", "Texas Instruments")</f>
        <v>Texas Instruments</v>
      </c>
      <c r="C15887" s="5">
        <v>8250</v>
      </c>
      <c r="D15887" s="6">
        <v>5.01</v>
      </c>
      <c r="E15887" t="s">
        <v>26</v>
      </c>
    </row>
    <row r="15888" spans="1:5" x14ac:dyDescent="0.25">
      <c r="A15888" t="str">
        <f>HYPERLINK("https://www.773grp.com/globalSearch/TPS3128E15DBVT/page-1", "TPS3128E15DBVT")</f>
        <v>TPS3128E15DBVT</v>
      </c>
      <c r="B15888" s="3" t="str">
        <f>HYPERLINK("https://www.773grp.com/manufacturer/texas-instruments?pageNo=690", "Texas Instruments")</f>
        <v>Texas Instruments</v>
      </c>
      <c r="C15888" s="5">
        <v>3499</v>
      </c>
      <c r="D15888" s="6">
        <v>5.01</v>
      </c>
      <c r="E15888" t="s">
        <v>26</v>
      </c>
    </row>
    <row r="15889" spans="1:5" x14ac:dyDescent="0.25">
      <c r="A15889" t="str">
        <f>HYPERLINK("https://www.773grp.com/globalSearch/TPS3128E18DBVT/page-1", "TPS3128E18DBVT")</f>
        <v>TPS3128E18DBVT</v>
      </c>
      <c r="B15889" s="3" t="str">
        <f>HYPERLINK("https://www.773grp.com/manufacturer/texas-instruments?pageNo=691", "Texas Instruments")</f>
        <v>Texas Instruments</v>
      </c>
      <c r="C15889" s="5">
        <v>1614</v>
      </c>
      <c r="D15889" s="6">
        <v>5.01</v>
      </c>
      <c r="E15889" t="s">
        <v>26</v>
      </c>
    </row>
    <row r="15890" spans="1:5" x14ac:dyDescent="0.25">
      <c r="A15890" t="str">
        <f>HYPERLINK("https://www.773grp.com/globalSearch/TPS3807A30DCKR/page-1", "TPS3807A30DCKR")</f>
        <v>TPS3807A30DCKR</v>
      </c>
      <c r="B15890" s="3" t="str">
        <f>HYPERLINK("https://www.773grp.com/manufacturer/texas-instruments?pageNo=692", "Texas Instruments")</f>
        <v>Texas Instruments</v>
      </c>
      <c r="C15890" s="5">
        <v>12000</v>
      </c>
      <c r="D15890" s="6">
        <v>5.01</v>
      </c>
      <c r="E15890" t="s">
        <v>26</v>
      </c>
    </row>
    <row r="15891" spans="1:5" x14ac:dyDescent="0.25">
      <c r="A15891" t="str">
        <f>HYPERLINK("https://www.773grp.com/globalSearch/TPS386000RGPR/page-1", "TPS386000RGPR")</f>
        <v>TPS386000RGPR</v>
      </c>
      <c r="B15891" s="3" t="str">
        <f>HYPERLINK("https://www.773grp.com/manufacturer/texas-instruments?pageNo=694", "Texas Instruments")</f>
        <v>Texas Instruments</v>
      </c>
      <c r="C15891" s="5">
        <v>56550</v>
      </c>
      <c r="D15891" s="6">
        <v>5.01</v>
      </c>
      <c r="E15891" t="s">
        <v>26</v>
      </c>
    </row>
    <row r="15892" spans="1:5" x14ac:dyDescent="0.25">
      <c r="A15892" t="str">
        <f>HYPERLINK("https://www.773grp.com/globalSearch/BQ2057WSN/page-1", "BQ2057WSN")</f>
        <v>BQ2057WSN</v>
      </c>
      <c r="B15892" s="3" t="str">
        <f>HYPERLINK("https://www.773grp.com/manufacturer/texas-instruments?pageNo=779", "Texas Instruments")</f>
        <v>Texas Instruments</v>
      </c>
      <c r="C15892" s="5">
        <v>1716</v>
      </c>
      <c r="D15892" s="6">
        <v>5.0599999999999996</v>
      </c>
      <c r="E15892" t="s">
        <v>26</v>
      </c>
    </row>
    <row r="15893" spans="1:5" x14ac:dyDescent="0.25">
      <c r="A15893" t="str">
        <f>HYPERLINK("https://www.773grp.com/globalSearch/BQ2057WTS/page-1", "BQ2057WTS")</f>
        <v>BQ2057WTS</v>
      </c>
      <c r="B15893" s="3" t="str">
        <f>HYPERLINK("https://www.773grp.com/manufacturer/texas-instruments?pageNo=780", "Texas Instruments")</f>
        <v>Texas Instruments</v>
      </c>
      <c r="C15893" s="5">
        <v>3001</v>
      </c>
      <c r="D15893" s="6">
        <v>5.0599999999999996</v>
      </c>
      <c r="E15893" t="s">
        <v>26</v>
      </c>
    </row>
    <row r="15894" spans="1:5" x14ac:dyDescent="0.25">
      <c r="A15894" t="str">
        <f>HYPERLINK("https://www.773grp.com/globalSearch/TL7770-5CDW/page-1", "TL7770-5CDW")</f>
        <v>TL7770-5CDW</v>
      </c>
      <c r="B15894" s="3" t="str">
        <f>HYPERLINK("https://www.773grp.com/manufacturer/texas-instruments?pageNo=947", "Texas Instruments")</f>
        <v>Texas Instruments</v>
      </c>
      <c r="C15894" s="5">
        <v>1055</v>
      </c>
      <c r="D15894" s="6">
        <v>4.6100000000000003</v>
      </c>
      <c r="E15894" t="s">
        <v>26</v>
      </c>
    </row>
    <row r="15895" spans="1:5" x14ac:dyDescent="0.25">
      <c r="A15895" t="str">
        <f>HYPERLINK("https://www.773grp.com/globalSearch/TL7770-5IDW/page-1", "TL7770-5IDW")</f>
        <v>TL7770-5IDW</v>
      </c>
      <c r="B15895" s="3" t="str">
        <f>HYPERLINK("https://www.773grp.com/manufacturer/texas-instruments?pageNo=948", "Texas Instruments")</f>
        <v>Texas Instruments</v>
      </c>
      <c r="C15895" s="5">
        <v>5375</v>
      </c>
      <c r="D15895" s="6">
        <v>4.6100000000000003</v>
      </c>
      <c r="E15895" t="s">
        <v>26</v>
      </c>
    </row>
    <row r="15896" spans="1:5" x14ac:dyDescent="0.25">
      <c r="A15896" t="str">
        <f>HYPERLINK("https://www.773grp.com/globalSearch/TPS65053RGER/page-1", "TPS65053RGER")</f>
        <v>TPS65053RGER</v>
      </c>
      <c r="B15896" s="3" t="s">
        <v>90</v>
      </c>
      <c r="C15896" s="5">
        <v>8995</v>
      </c>
      <c r="D15896" s="6">
        <v>4.6399999999999997</v>
      </c>
      <c r="E15896" t="s">
        <v>26</v>
      </c>
    </row>
    <row r="15897" spans="1:5" x14ac:dyDescent="0.25">
      <c r="A15897" t="str">
        <f>HYPERLINK("https://www.773grp.com/globalSearch/UCC2913N/page-1", "UCC2913N")</f>
        <v>UCC2913N</v>
      </c>
      <c r="B15897" s="3" t="s">
        <v>90</v>
      </c>
      <c r="C15897" s="5">
        <v>12271</v>
      </c>
      <c r="D15897" s="6">
        <v>4.6399999999999997</v>
      </c>
      <c r="E15897" t="s">
        <v>26</v>
      </c>
    </row>
    <row r="15898" spans="1:5" x14ac:dyDescent="0.25">
      <c r="A15898" t="str">
        <f>HYPERLINK("https://www.773grp.com/globalSearch/UCC2913N/page-1", "UCC2913N")</f>
        <v>UCC2913N</v>
      </c>
      <c r="B15898" s="3" t="s">
        <v>90</v>
      </c>
      <c r="C15898" s="5">
        <v>6570</v>
      </c>
      <c r="D15898" s="6">
        <v>4.6399999999999997</v>
      </c>
      <c r="E15898" t="s">
        <v>26</v>
      </c>
    </row>
    <row r="15899" spans="1:5" x14ac:dyDescent="0.25">
      <c r="A15899" t="str">
        <f>HYPERLINK("https://www.773grp.com/globalSearch/TPS2062DGN/page-1", "TPS2062DGN")</f>
        <v>TPS2062DGN</v>
      </c>
      <c r="B15899" s="3" t="s">
        <v>90</v>
      </c>
      <c r="C15899" s="5">
        <v>323</v>
      </c>
      <c r="D15899" s="6">
        <v>5.16</v>
      </c>
      <c r="E15899" t="s">
        <v>26</v>
      </c>
    </row>
    <row r="15900" spans="1:5" x14ac:dyDescent="0.25">
      <c r="A15900" t="str">
        <f>HYPERLINK("https://www.773grp.com/globalSearch/BQ24002PWPR/page-1", "BQ24002PWPR")</f>
        <v>BQ24002PWPR</v>
      </c>
      <c r="B15900" s="3" t="s">
        <v>90</v>
      </c>
      <c r="C15900" s="5">
        <v>8000</v>
      </c>
      <c r="D15900" s="6">
        <v>4.7300000000000004</v>
      </c>
      <c r="E15900" t="s">
        <v>26</v>
      </c>
    </row>
    <row r="15901" spans="1:5" x14ac:dyDescent="0.25">
      <c r="A15901" t="str">
        <f>HYPERLINK("https://www.773grp.com/globalSearch/BQ24002RGWR/page-1", "BQ24002RGWR")</f>
        <v>BQ24002RGWR</v>
      </c>
      <c r="B15901" s="3" t="s">
        <v>90</v>
      </c>
      <c r="C15901" s="5">
        <v>29600</v>
      </c>
      <c r="D15901" s="6">
        <v>4.7300000000000004</v>
      </c>
      <c r="E15901" t="s">
        <v>26</v>
      </c>
    </row>
    <row r="15902" spans="1:5" x14ac:dyDescent="0.25">
      <c r="A15902" t="str">
        <f>HYPERLINK("https://www.773grp.com/globalSearch/BQ24003PWPR/page-1", "BQ24003PWPR")</f>
        <v>BQ24003PWPR</v>
      </c>
      <c r="B15902" s="3" t="s">
        <v>90</v>
      </c>
      <c r="C15902" s="5">
        <v>26000</v>
      </c>
      <c r="D15902" s="6">
        <v>4.7300000000000004</v>
      </c>
      <c r="E15902" t="s">
        <v>26</v>
      </c>
    </row>
    <row r="15903" spans="1:5" x14ac:dyDescent="0.25">
      <c r="A15903" t="str">
        <f>HYPERLINK("https://www.773grp.com/globalSearch/BQ24003RGWR/page-1", "BQ24003RGWR")</f>
        <v>BQ24003RGWR</v>
      </c>
      <c r="B15903" s="3" t="s">
        <v>90</v>
      </c>
      <c r="C15903" s="5">
        <v>19283</v>
      </c>
      <c r="D15903" s="6">
        <v>4.7300000000000004</v>
      </c>
      <c r="E15903" t="s">
        <v>26</v>
      </c>
    </row>
    <row r="15904" spans="1:5" x14ac:dyDescent="0.25">
      <c r="A15904" t="str">
        <f>HYPERLINK("https://www.773grp.com/globalSearch/BQ24004PWPR/page-1", "BQ24004PWPR")</f>
        <v>BQ24004PWPR</v>
      </c>
      <c r="B15904" s="3" t="s">
        <v>90</v>
      </c>
      <c r="C15904" s="5">
        <v>8000</v>
      </c>
      <c r="D15904" s="6">
        <v>4.7300000000000004</v>
      </c>
      <c r="E15904" t="s">
        <v>26</v>
      </c>
    </row>
    <row r="15905" spans="1:5" x14ac:dyDescent="0.25">
      <c r="A15905" t="str">
        <f>HYPERLINK("https://www.773grp.com/globalSearch/BQ24005PWPR/page-1", "BQ24005PWPR")</f>
        <v>BQ24005PWPR</v>
      </c>
      <c r="B15905" s="3" t="s">
        <v>90</v>
      </c>
      <c r="C15905" s="5">
        <v>4000</v>
      </c>
      <c r="D15905" s="6">
        <v>4.7300000000000004</v>
      </c>
      <c r="E15905" t="s">
        <v>26</v>
      </c>
    </row>
    <row r="15906" spans="1:5" x14ac:dyDescent="0.25">
      <c r="A15906" t="str">
        <f>HYPERLINK("https://www.773grp.com/globalSearch/TPS2236DAP/page-1", "TPS2236DAP")</f>
        <v>TPS2236DAP</v>
      </c>
      <c r="B15906" s="3" t="s">
        <v>90</v>
      </c>
      <c r="C15906" s="5">
        <v>584</v>
      </c>
      <c r="D15906" s="6">
        <v>4.7300000000000004</v>
      </c>
      <c r="E15906" t="s">
        <v>26</v>
      </c>
    </row>
    <row r="15907" spans="1:5" x14ac:dyDescent="0.25">
      <c r="A15907" t="str">
        <f>HYPERLINK("https://www.773grp.com/globalSearch/UCC3921DTR/page-1", "UCC3921DTR")</f>
        <v>UCC3921DTR</v>
      </c>
      <c r="B15907" s="3" t="s">
        <v>90</v>
      </c>
      <c r="C15907" s="5">
        <v>5000</v>
      </c>
      <c r="D15907" s="6">
        <v>4.7300000000000004</v>
      </c>
      <c r="E15907" t="s">
        <v>26</v>
      </c>
    </row>
    <row r="15908" spans="1:5" x14ac:dyDescent="0.25">
      <c r="A15908" t="str">
        <f>HYPERLINK("https://www.773grp.com/globalSearch/BQ24013DRC/page-1", "BQ24013DRC")</f>
        <v>BQ24013DRC</v>
      </c>
      <c r="B15908" s="3" t="s">
        <v>90</v>
      </c>
      <c r="C15908" s="5">
        <v>600</v>
      </c>
      <c r="D15908" s="6">
        <v>5.21</v>
      </c>
      <c r="E15908" t="s">
        <v>26</v>
      </c>
    </row>
    <row r="15909" spans="1:5" x14ac:dyDescent="0.25">
      <c r="A15909" t="str">
        <f>HYPERLINK("https://www.773grp.com/globalSearch/BQ26150DCKR/page-1", "BQ26150DCKR")</f>
        <v>BQ26150DCKR</v>
      </c>
      <c r="B15909" s="3" t="s">
        <v>90</v>
      </c>
      <c r="C15909" s="5">
        <v>16401</v>
      </c>
      <c r="D15909" s="6">
        <v>5.21</v>
      </c>
      <c r="E15909" t="s">
        <v>26</v>
      </c>
    </row>
    <row r="15910" spans="1:5" x14ac:dyDescent="0.25">
      <c r="A15910" t="str">
        <f>HYPERLINK("https://www.773grp.com/globalSearch/TPS3110K33DBVR/page-1", "TPS3110K33DBVR")</f>
        <v>TPS3110K33DBVR</v>
      </c>
      <c r="B15910" s="3" t="s">
        <v>90</v>
      </c>
      <c r="C15910" s="5">
        <v>16219</v>
      </c>
      <c r="D15910" s="6">
        <v>5.21</v>
      </c>
      <c r="E15910" t="s">
        <v>26</v>
      </c>
    </row>
    <row r="15911" spans="1:5" x14ac:dyDescent="0.25">
      <c r="A15911" t="str">
        <f>HYPERLINK("https://www.773grp.com/globalSearch/TPS3705-30D/page-1", "TPS3705-30D")</f>
        <v>TPS3705-30D</v>
      </c>
      <c r="B15911" s="3" t="s">
        <v>90</v>
      </c>
      <c r="C15911" s="5">
        <v>7804</v>
      </c>
      <c r="D15911" s="6">
        <v>5.21</v>
      </c>
      <c r="E15911" t="s">
        <v>26</v>
      </c>
    </row>
    <row r="15912" spans="1:5" x14ac:dyDescent="0.25">
      <c r="A15912" t="str">
        <f>HYPERLINK("https://www.773grp.com/globalSearch/TPS3705-33D/page-1", "TPS3705-33D")</f>
        <v>TPS3705-33D</v>
      </c>
      <c r="B15912" s="3" t="s">
        <v>90</v>
      </c>
      <c r="C15912" s="5">
        <v>988</v>
      </c>
      <c r="D15912" s="6">
        <v>5.21</v>
      </c>
      <c r="E15912" t="s">
        <v>26</v>
      </c>
    </row>
    <row r="15913" spans="1:5" x14ac:dyDescent="0.25">
      <c r="A15913" t="str">
        <f>HYPERLINK("https://www.773grp.com/globalSearch/TPS3705-33DGN/page-1", "TPS3705-33DGN")</f>
        <v>TPS3705-33DGN</v>
      </c>
      <c r="B15913" s="3" t="s">
        <v>90</v>
      </c>
      <c r="C15913" s="5">
        <v>4213</v>
      </c>
      <c r="D15913" s="6">
        <v>5.21</v>
      </c>
      <c r="E15913" t="s">
        <v>26</v>
      </c>
    </row>
    <row r="15914" spans="1:5" x14ac:dyDescent="0.25">
      <c r="A15914" t="str">
        <f>HYPERLINK("https://www.773grp.com/globalSearch/TPS3705-50D/page-1", "TPS3705-50D")</f>
        <v>TPS3705-50D</v>
      </c>
      <c r="B15914" s="3" t="s">
        <v>90</v>
      </c>
      <c r="C15914" s="5">
        <v>3760</v>
      </c>
      <c r="D15914" s="6">
        <v>5.21</v>
      </c>
      <c r="E15914" t="s">
        <v>26</v>
      </c>
    </row>
    <row r="15915" spans="1:5" x14ac:dyDescent="0.25">
      <c r="A15915" t="str">
        <f>HYPERLINK("https://www.773grp.com/globalSearch/TPS3705-50DG4/page-1", "TPS3705-50DG4")</f>
        <v>TPS3705-50DG4</v>
      </c>
      <c r="B15915" s="3" t="s">
        <v>90</v>
      </c>
      <c r="C15915" s="5">
        <v>300</v>
      </c>
      <c r="D15915" s="6">
        <v>5.21</v>
      </c>
      <c r="E15915" t="s">
        <v>26</v>
      </c>
    </row>
    <row r="15916" spans="1:5" x14ac:dyDescent="0.25">
      <c r="A15916" t="str">
        <f>HYPERLINK("https://www.773grp.com/globalSearch/TPS3705-50DGN/page-1", "TPS3705-50DGN")</f>
        <v>TPS3705-50DGN</v>
      </c>
      <c r="B15916" s="3" t="s">
        <v>90</v>
      </c>
      <c r="C15916" s="5">
        <v>6160</v>
      </c>
      <c r="D15916" s="6">
        <v>5.21</v>
      </c>
      <c r="E15916" t="s">
        <v>26</v>
      </c>
    </row>
    <row r="15917" spans="1:5" x14ac:dyDescent="0.25">
      <c r="A15917" t="str">
        <f>HYPERLINK("https://www.773grp.com/globalSearch/TPS3707-25D/page-1", "TPS3707-25D")</f>
        <v>TPS3707-25D</v>
      </c>
      <c r="B15917" s="3" t="s">
        <v>90</v>
      </c>
      <c r="C15917" s="5">
        <v>11017</v>
      </c>
      <c r="D15917" s="6">
        <v>5.21</v>
      </c>
      <c r="E15917" t="s">
        <v>26</v>
      </c>
    </row>
    <row r="15918" spans="1:5" x14ac:dyDescent="0.25">
      <c r="A15918" t="str">
        <f>HYPERLINK("https://www.773grp.com/globalSearch/TPS3707-25DGN/page-1", "TPS3707-25DGN")</f>
        <v>TPS3707-25DGN</v>
      </c>
      <c r="B15918" s="3" t="s">
        <v>90</v>
      </c>
      <c r="C15918" s="5">
        <v>14529</v>
      </c>
      <c r="D15918" s="6">
        <v>5.21</v>
      </c>
      <c r="E15918" t="s">
        <v>26</v>
      </c>
    </row>
    <row r="15919" spans="1:5" x14ac:dyDescent="0.25">
      <c r="A15919" t="str">
        <f>HYPERLINK("https://www.773grp.com/globalSearch/TPS3707-30D/page-1", "TPS3707-30D")</f>
        <v>TPS3707-30D</v>
      </c>
      <c r="B15919" s="3" t="s">
        <v>90</v>
      </c>
      <c r="C15919" s="5">
        <v>2678</v>
      </c>
      <c r="D15919" s="6">
        <v>5.21</v>
      </c>
      <c r="E15919" t="s">
        <v>26</v>
      </c>
    </row>
    <row r="15920" spans="1:5" x14ac:dyDescent="0.25">
      <c r="A15920" t="str">
        <f>HYPERLINK("https://www.773grp.com/globalSearch/TPS3707-30DGN/page-1", "TPS3707-30DGN")</f>
        <v>TPS3707-30DGN</v>
      </c>
      <c r="B15920" s="3" t="s">
        <v>90</v>
      </c>
      <c r="C15920" s="5">
        <v>14264</v>
      </c>
      <c r="D15920" s="6">
        <v>5.21</v>
      </c>
      <c r="E15920" t="s">
        <v>26</v>
      </c>
    </row>
    <row r="15921" spans="1:5" x14ac:dyDescent="0.25">
      <c r="A15921" t="str">
        <f>HYPERLINK("https://www.773grp.com/globalSearch/TPS3707-33D/page-1", "TPS3707-33D")</f>
        <v>TPS3707-33D</v>
      </c>
      <c r="B15921" s="3" t="s">
        <v>90</v>
      </c>
      <c r="C15921" s="5">
        <v>11085</v>
      </c>
      <c r="D15921" s="6">
        <v>5.21</v>
      </c>
      <c r="E15921" t="s">
        <v>26</v>
      </c>
    </row>
    <row r="15922" spans="1:5" x14ac:dyDescent="0.25">
      <c r="A15922" t="str">
        <f>HYPERLINK("https://www.773grp.com/globalSearch/TPS3707-33DGN/page-1", "TPS3707-33DGN")</f>
        <v>TPS3707-33DGN</v>
      </c>
      <c r="B15922" s="3" t="s">
        <v>90</v>
      </c>
      <c r="C15922" s="5">
        <v>3090</v>
      </c>
      <c r="D15922" s="6">
        <v>5.21</v>
      </c>
      <c r="E15922" t="s">
        <v>26</v>
      </c>
    </row>
    <row r="15923" spans="1:5" x14ac:dyDescent="0.25">
      <c r="A15923" t="str">
        <f>HYPERLINK("https://www.773grp.com/globalSearch/TPS3707-50D/page-1", "TPS3707-50D")</f>
        <v>TPS3707-50D</v>
      </c>
      <c r="B15923" s="3" t="s">
        <v>90</v>
      </c>
      <c r="C15923" s="5">
        <v>1578</v>
      </c>
      <c r="D15923" s="6">
        <v>5.21</v>
      </c>
      <c r="E15923" t="s">
        <v>26</v>
      </c>
    </row>
    <row r="15924" spans="1:5" x14ac:dyDescent="0.25">
      <c r="A15924" t="str">
        <f>HYPERLINK("https://www.773grp.com/globalSearch/TPS3707-50DGN/page-1", "TPS3707-50DGN")</f>
        <v>TPS3707-50DGN</v>
      </c>
      <c r="B15924" s="3" t="s">
        <v>90</v>
      </c>
      <c r="C15924" s="5">
        <v>7684</v>
      </c>
      <c r="D15924" s="6">
        <v>5.21</v>
      </c>
      <c r="E15924" t="s">
        <v>26</v>
      </c>
    </row>
    <row r="15925" spans="1:5" x14ac:dyDescent="0.25">
      <c r="A15925" t="str">
        <f>HYPERLINK("https://www.773grp.com/globalSearch/TPS3707-50DGNG4/page-1", "TPS3707-50DGNG4")</f>
        <v>TPS3707-50DGNG4</v>
      </c>
      <c r="B15925" s="3" t="s">
        <v>90</v>
      </c>
      <c r="C15925" s="5">
        <v>320</v>
      </c>
      <c r="D15925" s="6">
        <v>5.21</v>
      </c>
      <c r="E15925" t="s">
        <v>26</v>
      </c>
    </row>
    <row r="15926" spans="1:5" x14ac:dyDescent="0.25">
      <c r="A15926" t="str">
        <f>HYPERLINK("https://www.773grp.com/globalSearch/UCC3946D/page-1", "UCC3946D")</f>
        <v>UCC3946D</v>
      </c>
      <c r="B15926" s="3" t="s">
        <v>90</v>
      </c>
      <c r="C15926" s="5">
        <v>7725</v>
      </c>
      <c r="D15926" s="6">
        <v>4.76</v>
      </c>
      <c r="E15926" t="s">
        <v>26</v>
      </c>
    </row>
    <row r="15927" spans="1:5" x14ac:dyDescent="0.25">
      <c r="A15927" t="str">
        <f>HYPERLINK("https://www.773grp.com/globalSearch/BQ29312PWR/page-1", "BQ29312PWR")</f>
        <v>BQ29312PWR</v>
      </c>
      <c r="B15927" s="3" t="s">
        <v>90</v>
      </c>
      <c r="C15927" s="5">
        <v>61019</v>
      </c>
      <c r="D15927" s="6">
        <v>4.78</v>
      </c>
      <c r="E15927" t="s">
        <v>26</v>
      </c>
    </row>
    <row r="15928" spans="1:5" x14ac:dyDescent="0.25">
      <c r="A15928" t="str">
        <f>HYPERLINK("https://www.773grp.com/globalSearch/TPS2490DGS/page-1", "TPS2490DGS")</f>
        <v>TPS2490DGS</v>
      </c>
      <c r="B15928" s="3" t="s">
        <v>90</v>
      </c>
      <c r="C15928" s="5">
        <v>160</v>
      </c>
      <c r="D15928" s="6">
        <v>4.78</v>
      </c>
      <c r="E15928" t="s">
        <v>26</v>
      </c>
    </row>
    <row r="15929" spans="1:5" x14ac:dyDescent="0.25">
      <c r="A15929" t="str">
        <f>HYPERLINK("https://www.773grp.com/globalSearch/TPS2491DGS/page-1", "TPS2491DGS")</f>
        <v>TPS2491DGS</v>
      </c>
      <c r="B15929" s="3" t="s">
        <v>90</v>
      </c>
      <c r="C15929" s="5">
        <v>853</v>
      </c>
      <c r="D15929" s="6">
        <v>4.78</v>
      </c>
      <c r="E15929" t="s">
        <v>26</v>
      </c>
    </row>
    <row r="15930" spans="1:5" x14ac:dyDescent="0.25">
      <c r="A15930" t="str">
        <f>HYPERLINK("https://www.773grp.com/globalSearch/TPS3613-01DGS/page-1", "TPS3613-01DGS")</f>
        <v>TPS3613-01DGS</v>
      </c>
      <c r="B15930" s="3" t="s">
        <v>90</v>
      </c>
      <c r="C15930" s="5">
        <v>3181</v>
      </c>
      <c r="D15930" s="6">
        <v>4.78</v>
      </c>
      <c r="E15930" t="s">
        <v>26</v>
      </c>
    </row>
    <row r="15931" spans="1:5" x14ac:dyDescent="0.25">
      <c r="A15931" t="str">
        <f>HYPERLINK("https://www.773grp.com/globalSearch/UCC2946PW/page-1", "UCC2946PW")</f>
        <v>UCC2946PW</v>
      </c>
      <c r="B15931" s="3" t="s">
        <v>90</v>
      </c>
      <c r="C15931" s="5">
        <v>7690</v>
      </c>
      <c r="D15931" s="6">
        <v>4.9000000000000004</v>
      </c>
      <c r="E15931" t="s">
        <v>26</v>
      </c>
    </row>
    <row r="15932" spans="1:5" x14ac:dyDescent="0.25">
      <c r="A15932" t="str">
        <f>HYPERLINK("https://www.773grp.com/globalSearch/UCC3952AGSH-1/page-1", "UCC3952AGSH-1")</f>
        <v>UCC3952AGSH-1</v>
      </c>
      <c r="B15932" s="3" t="s">
        <v>90</v>
      </c>
      <c r="C15932" s="5">
        <v>1059</v>
      </c>
      <c r="D15932" s="6">
        <v>4.9000000000000004</v>
      </c>
      <c r="E15932" t="s">
        <v>26</v>
      </c>
    </row>
    <row r="15933" spans="1:5" x14ac:dyDescent="0.25">
      <c r="A15933" t="str">
        <f>HYPERLINK("https://www.773grp.com/globalSearch/UCC3952AGSH-3/page-1", "UCC3952AGSH-3")</f>
        <v>UCC3952AGSH-3</v>
      </c>
      <c r="B15933" s="3" t="s">
        <v>90</v>
      </c>
      <c r="C15933" s="5">
        <v>1031</v>
      </c>
      <c r="D15933" s="6">
        <v>4.9000000000000004</v>
      </c>
      <c r="E15933" t="s">
        <v>26</v>
      </c>
    </row>
    <row r="15934" spans="1:5" x14ac:dyDescent="0.25">
      <c r="A15934" t="str">
        <f>HYPERLINK("https://www.773grp.com/globalSearch/UCC3952AGSH-4/page-1", "UCC3952AGSH-4")</f>
        <v>UCC3952AGSH-4</v>
      </c>
      <c r="B15934" s="3" t="s">
        <v>90</v>
      </c>
      <c r="C15934" s="5">
        <v>1911</v>
      </c>
      <c r="D15934" s="6">
        <v>4.9000000000000004</v>
      </c>
      <c r="E15934" t="s">
        <v>26</v>
      </c>
    </row>
    <row r="15935" spans="1:5" x14ac:dyDescent="0.25">
      <c r="A15935" t="str">
        <f>HYPERLINK("https://www.773grp.com/globalSearch/BQ2000PW/page-1", "BQ2000PW")</f>
        <v>BQ2000PW</v>
      </c>
      <c r="B15935" s="3" t="s">
        <v>90</v>
      </c>
      <c r="C15935" s="5">
        <v>510</v>
      </c>
      <c r="D15935" s="6">
        <v>4.93</v>
      </c>
      <c r="E15935" t="s">
        <v>26</v>
      </c>
    </row>
    <row r="15936" spans="1:5" x14ac:dyDescent="0.25">
      <c r="A15936" t="str">
        <f>HYPERLINK("https://www.773grp.com/globalSearch/BQ2000SN-B5/page-1", "BQ2000SN-B5")</f>
        <v>BQ2000SN-B5</v>
      </c>
      <c r="B15936" s="3" t="s">
        <v>90</v>
      </c>
      <c r="C15936" s="5">
        <v>5</v>
      </c>
      <c r="D15936" s="6">
        <v>4.93</v>
      </c>
      <c r="E15936" t="s">
        <v>26</v>
      </c>
    </row>
    <row r="15937" spans="1:5" x14ac:dyDescent="0.25">
      <c r="A15937" t="str">
        <f>HYPERLINK("https://www.773grp.com/globalSearch/BQ2000TPN-B5/page-1", "BQ2000TPN-B5")</f>
        <v>BQ2000TPN-B5</v>
      </c>
      <c r="B15937" s="3" t="s">
        <v>90</v>
      </c>
      <c r="C15937" s="5">
        <v>30148</v>
      </c>
      <c r="D15937" s="6">
        <v>4.93</v>
      </c>
      <c r="E15937" t="s">
        <v>26</v>
      </c>
    </row>
    <row r="15938" spans="1:5" x14ac:dyDescent="0.25">
      <c r="A15938" t="str">
        <f>HYPERLINK("https://www.773grp.com/globalSearch/BQ2000TPWR/page-1", "BQ2000TPWR")</f>
        <v>BQ2000TPWR</v>
      </c>
      <c r="B15938" s="3" t="s">
        <v>90</v>
      </c>
      <c r="C15938" s="5">
        <v>120000</v>
      </c>
      <c r="D15938" s="6">
        <v>4.93</v>
      </c>
      <c r="E15938" t="s">
        <v>26</v>
      </c>
    </row>
    <row r="15939" spans="1:5" x14ac:dyDescent="0.25">
      <c r="A15939" t="str">
        <f>HYPERLINK("https://www.773grp.com/globalSearch/BQ2000TSN-B5TR/page-1", "BQ2000TSN-B5TR")</f>
        <v>BQ2000TSN-B5TR</v>
      </c>
      <c r="B15939" s="3" t="s">
        <v>90</v>
      </c>
      <c r="C15939" s="5">
        <v>10813</v>
      </c>
      <c r="D15939" s="6">
        <v>4.93</v>
      </c>
      <c r="E15939" t="s">
        <v>26</v>
      </c>
    </row>
    <row r="15940" spans="1:5" x14ac:dyDescent="0.25">
      <c r="A15940" t="str">
        <f>HYPERLINK("https://www.773grp.com/globalSearch/BQ2000TSN-B5TRG4/page-1", "BQ2000TSN-B5TRG4")</f>
        <v>BQ2000TSN-B5TRG4</v>
      </c>
      <c r="B15940" s="3" t="s">
        <v>90</v>
      </c>
      <c r="C15940" s="5">
        <v>187</v>
      </c>
      <c r="D15940" s="6">
        <v>4.93</v>
      </c>
      <c r="E15940" t="s">
        <v>26</v>
      </c>
    </row>
    <row r="15941" spans="1:5" x14ac:dyDescent="0.25">
      <c r="A15941" t="str">
        <f>HYPERLINK("https://www.773grp.com/globalSearch/TPS65050RSMR/page-1", "TPS65050RSMR")</f>
        <v>TPS65050RSMR</v>
      </c>
      <c r="B15941" s="3" t="s">
        <v>90</v>
      </c>
      <c r="C15941" s="5">
        <v>41850</v>
      </c>
      <c r="D15941" s="6">
        <v>4.93</v>
      </c>
      <c r="E15941" t="s">
        <v>26</v>
      </c>
    </row>
    <row r="15942" spans="1:5" x14ac:dyDescent="0.25">
      <c r="A15942" t="str">
        <f>HYPERLINK("https://www.773grp.com/globalSearch/TPS65051RSMR/page-1", "TPS65051RSMR")</f>
        <v>TPS65051RSMR</v>
      </c>
      <c r="B15942" s="3" t="s">
        <v>90</v>
      </c>
      <c r="C15942" s="5">
        <v>120394</v>
      </c>
      <c r="D15942" s="6">
        <v>4.93</v>
      </c>
      <c r="E15942" t="s">
        <v>26</v>
      </c>
    </row>
    <row r="15943" spans="1:5" x14ac:dyDescent="0.25">
      <c r="A15943" t="str">
        <f>HYPERLINK("https://www.773grp.com/globalSearch/TPS65052RSMR/page-1", "TPS65052RSMR")</f>
        <v>TPS65052RSMR</v>
      </c>
      <c r="B15943" s="3" t="s">
        <v>90</v>
      </c>
      <c r="C15943" s="5">
        <v>69000</v>
      </c>
      <c r="D15943" s="6">
        <v>4.93</v>
      </c>
      <c r="E15943" t="s">
        <v>26</v>
      </c>
    </row>
    <row r="15944" spans="1:5" x14ac:dyDescent="0.25">
      <c r="A15944" t="str">
        <f>HYPERLINK("https://www.773grp.com/globalSearch/TPS65056RSMR/page-1", "TPS65056RSMR")</f>
        <v>TPS65056RSMR</v>
      </c>
      <c r="B15944" s="3" t="s">
        <v>90</v>
      </c>
      <c r="C15944" s="5">
        <v>75000</v>
      </c>
      <c r="D15944" s="6">
        <v>4.93</v>
      </c>
      <c r="E15944" t="s">
        <v>26</v>
      </c>
    </row>
    <row r="15945" spans="1:5" x14ac:dyDescent="0.25">
      <c r="A15945" t="str">
        <f>HYPERLINK("https://www.773grp.com/globalSearch/TPS65510RGTT/page-1", "TPS65510RGTT")</f>
        <v>TPS65510RGTT</v>
      </c>
      <c r="B15945" s="3" t="s">
        <v>90</v>
      </c>
      <c r="C15945" s="5">
        <v>100</v>
      </c>
      <c r="D15945" s="6">
        <v>4.93</v>
      </c>
      <c r="E15945" t="s">
        <v>26</v>
      </c>
    </row>
    <row r="15946" spans="1:5" x14ac:dyDescent="0.25">
      <c r="A15946" t="str">
        <f>HYPERLINK("https://www.773grp.com/globalSearch/TPS70745PWP/page-1", "TPS70745PWP")</f>
        <v>TPS70745PWP</v>
      </c>
      <c r="B15946" s="3" t="s">
        <v>90</v>
      </c>
      <c r="C15946" s="5">
        <v>9961</v>
      </c>
      <c r="D15946" s="6">
        <v>4.93</v>
      </c>
      <c r="E15946" t="s">
        <v>26</v>
      </c>
    </row>
    <row r="15947" spans="1:5" x14ac:dyDescent="0.25">
      <c r="A15947" t="str">
        <f>HYPERLINK("https://www.773grp.com/globalSearch/TPS70748PWP/page-1", "TPS70748PWP")</f>
        <v>TPS70748PWP</v>
      </c>
      <c r="B15947" s="3" t="s">
        <v>90</v>
      </c>
      <c r="C15947" s="5">
        <v>4408</v>
      </c>
      <c r="D15947" s="6">
        <v>4.93</v>
      </c>
      <c r="E15947" t="s">
        <v>26</v>
      </c>
    </row>
    <row r="15948" spans="1:5" x14ac:dyDescent="0.25">
      <c r="A15948" t="str">
        <f>HYPERLINK("https://www.773grp.com/globalSearch/TPS70758PWP/page-1", "TPS70758PWP")</f>
        <v>TPS70758PWP</v>
      </c>
      <c r="B15948" s="3" t="s">
        <v>90</v>
      </c>
      <c r="C15948" s="5">
        <v>6478</v>
      </c>
      <c r="D15948" s="6">
        <v>4.93</v>
      </c>
      <c r="E15948" t="s">
        <v>26</v>
      </c>
    </row>
    <row r="15949" spans="1:5" x14ac:dyDescent="0.25">
      <c r="A15949" t="str">
        <f>HYPERLINK("https://www.773grp.com/globalSearch/UCC3952DP-2/page-1", "UCC3952DP-2")</f>
        <v>UCC3952DP-2</v>
      </c>
      <c r="B15949" s="3" t="s">
        <v>90</v>
      </c>
      <c r="C15949" s="5">
        <v>972</v>
      </c>
      <c r="D15949" s="6">
        <v>4.93</v>
      </c>
      <c r="E15949" t="s">
        <v>26</v>
      </c>
    </row>
    <row r="15950" spans="1:5" x14ac:dyDescent="0.25">
      <c r="A15950" t="str">
        <f>HYPERLINK("https://www.773grp.com/globalSearch/UCC3952DP-2/page-1", "UCC3952DP-2")</f>
        <v>UCC3952DP-2</v>
      </c>
      <c r="B15950" s="3" t="s">
        <v>90</v>
      </c>
      <c r="C15950" s="5">
        <v>390</v>
      </c>
      <c r="D15950" s="6">
        <v>4.93</v>
      </c>
      <c r="E15950" t="s">
        <v>26</v>
      </c>
    </row>
    <row r="15951" spans="1:5" x14ac:dyDescent="0.25">
      <c r="A15951" t="str">
        <f>HYPERLINK("https://www.773grp.com/globalSearch/UCC3952DP-4/page-1", "UCC3952DP-4")</f>
        <v>UCC3952DP-4</v>
      </c>
      <c r="B15951" s="3" t="s">
        <v>90</v>
      </c>
      <c r="C15951" s="5">
        <v>19840</v>
      </c>
      <c r="D15951" s="6">
        <v>4.93</v>
      </c>
      <c r="E15951" t="s">
        <v>26</v>
      </c>
    </row>
    <row r="15952" spans="1:5" x14ac:dyDescent="0.25">
      <c r="A15952" t="str">
        <f>HYPERLINK("https://www.773grp.com/globalSearch/TL7700CP/page-1", "TL7700CP")</f>
        <v>TL7700CP</v>
      </c>
      <c r="B15952" s="3" t="s">
        <v>90</v>
      </c>
      <c r="C15952" s="5">
        <v>129</v>
      </c>
      <c r="D15952" s="6">
        <v>5.03</v>
      </c>
      <c r="E15952" t="s">
        <v>26</v>
      </c>
    </row>
    <row r="15953" spans="1:5" x14ac:dyDescent="0.25">
      <c r="A15953" t="str">
        <f>HYPERLINK("https://www.773grp.com/globalSearch/TPS2223ADBR/page-1", "TPS2223ADBR")</f>
        <v>TPS2223ADBR</v>
      </c>
      <c r="B15953" s="3" t="s">
        <v>90</v>
      </c>
      <c r="C15953" s="5">
        <v>7620</v>
      </c>
      <c r="D15953" s="6">
        <v>5.03</v>
      </c>
      <c r="E15953" t="s">
        <v>26</v>
      </c>
    </row>
    <row r="15954" spans="1:5" x14ac:dyDescent="0.25">
      <c r="A15954" t="str">
        <f>HYPERLINK("https://www.773grp.com/globalSearch/TPS2223APWPR/page-1", "TPS2223APWPR")</f>
        <v>TPS2223APWPR</v>
      </c>
      <c r="B15954" s="3" t="s">
        <v>90</v>
      </c>
      <c r="C15954" s="5">
        <v>4000</v>
      </c>
      <c r="D15954" s="6">
        <v>5.03</v>
      </c>
      <c r="E15954" t="s">
        <v>26</v>
      </c>
    </row>
    <row r="15955" spans="1:5" x14ac:dyDescent="0.25">
      <c r="A15955" t="str">
        <f>HYPERLINK("https://www.773grp.com/globalSearch/UCC3916DPTR/page-1", "UCC3916DPTR")</f>
        <v>UCC3916DPTR</v>
      </c>
      <c r="B15955" s="3" t="s">
        <v>90</v>
      </c>
      <c r="C15955" s="5">
        <v>255000</v>
      </c>
      <c r="D15955" s="6">
        <v>5.03</v>
      </c>
      <c r="E15955" t="s">
        <v>26</v>
      </c>
    </row>
    <row r="15956" spans="1:5" x14ac:dyDescent="0.25">
      <c r="A15956" t="str">
        <f>HYPERLINK("https://www.773grp.com/globalSearch/BQ24030RHLR/page-1", "BQ24030RHLR")</f>
        <v>BQ24030RHLR</v>
      </c>
      <c r="B15956" s="3" t="s">
        <v>90</v>
      </c>
      <c r="C15956" s="5">
        <v>10495</v>
      </c>
      <c r="D15956" s="6">
        <v>5.0599999999999996</v>
      </c>
      <c r="E15956" t="s">
        <v>26</v>
      </c>
    </row>
    <row r="15957" spans="1:5" x14ac:dyDescent="0.25">
      <c r="A15957" t="str">
        <f>HYPERLINK("https://www.773grp.com/globalSearch/BQ24031RHLR/page-1", "BQ24031RHLR")</f>
        <v>BQ24031RHLR</v>
      </c>
      <c r="B15957" s="3" t="s">
        <v>90</v>
      </c>
      <c r="C15957" s="5">
        <v>333000</v>
      </c>
      <c r="D15957" s="6">
        <v>5.0599999999999996</v>
      </c>
      <c r="E15957" t="s">
        <v>26</v>
      </c>
    </row>
    <row r="15958" spans="1:5" x14ac:dyDescent="0.25">
      <c r="A15958" t="str">
        <f>HYPERLINK("https://www.773grp.com/globalSearch/BQ24032ARHLR/page-1", "BQ24032ARHLR")</f>
        <v>BQ24032ARHLR</v>
      </c>
      <c r="B15958" s="3" t="s">
        <v>90</v>
      </c>
      <c r="C15958" s="5">
        <v>5626</v>
      </c>
      <c r="D15958" s="6">
        <v>5.0599999999999996</v>
      </c>
      <c r="E15958" t="s">
        <v>26</v>
      </c>
    </row>
    <row r="15959" spans="1:5" x14ac:dyDescent="0.25">
      <c r="A15959" t="str">
        <f>HYPERLINK("https://www.773grp.com/globalSearch/BQ27350PWR/page-1", "BQ27350PWR")</f>
        <v>BQ27350PWR</v>
      </c>
      <c r="B15959" s="3" t="s">
        <v>90</v>
      </c>
      <c r="C15959" s="5">
        <v>867</v>
      </c>
      <c r="D15959" s="6">
        <v>5.0599999999999996</v>
      </c>
      <c r="E15959" t="s">
        <v>26</v>
      </c>
    </row>
    <row r="15960" spans="1:5" x14ac:dyDescent="0.25">
      <c r="A15960" t="str">
        <f>HYPERLINK("https://www.773grp.com/globalSearch/BQ27500DRZR-V100/page-1", "BQ27500DRZR-V100")</f>
        <v>BQ27500DRZR-V100</v>
      </c>
      <c r="B15960" s="3" t="s">
        <v>90</v>
      </c>
      <c r="C15960" s="5">
        <v>15270</v>
      </c>
      <c r="D15960" s="6">
        <v>5.0599999999999996</v>
      </c>
      <c r="E15960" t="s">
        <v>26</v>
      </c>
    </row>
    <row r="15961" spans="1:5" x14ac:dyDescent="0.25">
      <c r="A15961" t="str">
        <f>HYPERLINK("https://www.773grp.com/globalSearch/BQ27500DRZR-V120/page-1", "BQ27500DRZR-V120")</f>
        <v>BQ27500DRZR-V120</v>
      </c>
      <c r="B15961" s="3" t="s">
        <v>90</v>
      </c>
      <c r="C15961" s="5">
        <v>3000</v>
      </c>
      <c r="D15961" s="6">
        <v>5.0599999999999996</v>
      </c>
      <c r="E15961" t="s">
        <v>26</v>
      </c>
    </row>
    <row r="15962" spans="1:5" x14ac:dyDescent="0.25">
      <c r="A15962" t="str">
        <f>HYPERLINK("https://www.773grp.com/globalSearch/BQ27500DRZR-V130/page-1", "BQ27500DRZR-V130")</f>
        <v>BQ27500DRZR-V130</v>
      </c>
      <c r="B15962" s="3" t="s">
        <v>90</v>
      </c>
      <c r="C15962" s="5">
        <v>24000</v>
      </c>
      <c r="D15962" s="6">
        <v>5.0599999999999996</v>
      </c>
      <c r="E15962" t="s">
        <v>26</v>
      </c>
    </row>
    <row r="15963" spans="1:5" x14ac:dyDescent="0.25">
      <c r="A15963" t="str">
        <f>HYPERLINK("https://www.773grp.com/globalSearch/TPS3610U18PWR/page-1", "TPS3610U18PWR")</f>
        <v>TPS3610U18PWR</v>
      </c>
      <c r="B15963" s="3" t="s">
        <v>90</v>
      </c>
      <c r="C15963" s="5">
        <v>4000</v>
      </c>
      <c r="D15963" s="6">
        <v>5.0599999999999996</v>
      </c>
      <c r="E15963" t="s">
        <v>26</v>
      </c>
    </row>
    <row r="15964" spans="1:5" x14ac:dyDescent="0.25">
      <c r="A15964" t="str">
        <f>HYPERLINK("https://www.773grp.com/globalSearch/TPS2211IDB/page-1", "TPS2211IDB")</f>
        <v>TPS2211IDB</v>
      </c>
      <c r="B15964" s="3" t="s">
        <v>90</v>
      </c>
      <c r="C15964" s="5">
        <v>2713</v>
      </c>
      <c r="D15964" s="6">
        <v>5.0999999999999996</v>
      </c>
      <c r="E15964" t="s">
        <v>26</v>
      </c>
    </row>
    <row r="15965" spans="1:5" x14ac:dyDescent="0.25">
      <c r="A15965" t="str">
        <f>HYPERLINK("https://www.773grp.com/globalSearch/BQ24400D/page-1", "BQ24400D")</f>
        <v>BQ24400D</v>
      </c>
      <c r="B15965" s="3" t="s">
        <v>90</v>
      </c>
      <c r="C15965" s="5">
        <v>1078</v>
      </c>
      <c r="D15965" s="6">
        <v>5.2</v>
      </c>
      <c r="E15965" t="s">
        <v>26</v>
      </c>
    </row>
    <row r="15966" spans="1:5" x14ac:dyDescent="0.25">
      <c r="A15966" t="str">
        <f>HYPERLINK("https://www.773grp.com/globalSearch/BQ24400PW/page-1", "BQ24400PW")</f>
        <v>BQ24400PW</v>
      </c>
      <c r="B15966" s="3" t="s">
        <v>90</v>
      </c>
      <c r="C15966" s="5">
        <v>18326</v>
      </c>
      <c r="D15966" s="6">
        <v>5.2</v>
      </c>
      <c r="E15966" t="s">
        <v>26</v>
      </c>
    </row>
    <row r="15967" spans="1:5" x14ac:dyDescent="0.25">
      <c r="A15967" t="str">
        <f>HYPERLINK("https://www.773grp.com/globalSearch/BQ24401D/page-1", "BQ24401D")</f>
        <v>BQ24401D</v>
      </c>
      <c r="B15967" s="3" t="s">
        <v>90</v>
      </c>
      <c r="C15967" s="5">
        <v>7850</v>
      </c>
      <c r="D15967" s="6">
        <v>5.2</v>
      </c>
      <c r="E15967" t="s">
        <v>26</v>
      </c>
    </row>
    <row r="15968" spans="1:5" x14ac:dyDescent="0.25">
      <c r="A15968" t="str">
        <f>HYPERLINK("https://www.773grp.com/globalSearch/BQ24401D/page-1", "BQ24401D")</f>
        <v>BQ24401D</v>
      </c>
      <c r="B15968" s="3" t="s">
        <v>90</v>
      </c>
      <c r="C15968" s="5">
        <v>3173</v>
      </c>
      <c r="D15968" s="6">
        <v>5.2</v>
      </c>
      <c r="E15968" t="s">
        <v>26</v>
      </c>
    </row>
    <row r="15969" spans="1:5" x14ac:dyDescent="0.25">
      <c r="A15969" t="str">
        <f>HYPERLINK("https://www.773grp.com/globalSearch/BQ24401PW/page-1", "BQ24401PW")</f>
        <v>BQ24401PW</v>
      </c>
      <c r="B15969" s="3" t="s">
        <v>90</v>
      </c>
      <c r="C15969" s="5">
        <v>34250</v>
      </c>
      <c r="D15969" s="6">
        <v>5.2</v>
      </c>
      <c r="E15969" t="s">
        <v>26</v>
      </c>
    </row>
    <row r="15970" spans="1:5" x14ac:dyDescent="0.25">
      <c r="A15970" t="str">
        <f>HYPERLINK("https://www.773grp.com/globalSearch/BQ24401PW/page-1", "BQ24401PW")</f>
        <v>BQ24401PW</v>
      </c>
      <c r="B15970" s="3" t="s">
        <v>90</v>
      </c>
      <c r="C15970" s="5">
        <v>210</v>
      </c>
      <c r="D15970" s="6">
        <v>5.2</v>
      </c>
      <c r="E15970" t="s">
        <v>26</v>
      </c>
    </row>
    <row r="15971" spans="1:5" x14ac:dyDescent="0.25">
      <c r="A15971" t="str">
        <f>HYPERLINK("https://www.773grp.com/globalSearch/BQ24401PW/page-1", "BQ24401PW")</f>
        <v>BQ24401PW</v>
      </c>
      <c r="B15971" s="3" t="s">
        <v>90</v>
      </c>
      <c r="C15971" s="5">
        <v>7691</v>
      </c>
      <c r="D15971" s="6">
        <v>5.2</v>
      </c>
      <c r="E15971" t="s">
        <v>26</v>
      </c>
    </row>
    <row r="15972" spans="1:5" x14ac:dyDescent="0.25">
      <c r="A15972" t="str">
        <f>HYPERLINK("https://www.773grp.com/globalSearch/BQ27510DRZR/page-1", "BQ27510DRZR")</f>
        <v>BQ27510DRZR</v>
      </c>
      <c r="B15972" s="3" t="s">
        <v>90</v>
      </c>
      <c r="C15972" s="5">
        <v>5987</v>
      </c>
      <c r="D15972" s="6">
        <v>5.2</v>
      </c>
      <c r="E15972" t="s">
        <v>26</v>
      </c>
    </row>
    <row r="15973" spans="1:5" x14ac:dyDescent="0.25">
      <c r="A15973" t="str">
        <f>HYPERLINK("https://www.773grp.com/globalSearch/BQ27541DRZR/page-1", "BQ27541DRZR")</f>
        <v>BQ27541DRZR</v>
      </c>
      <c r="B15973" s="3" t="s">
        <v>90</v>
      </c>
      <c r="C15973" s="5">
        <v>143913</v>
      </c>
      <c r="D15973" s="6">
        <v>5.2</v>
      </c>
      <c r="E15973" t="s">
        <v>26</v>
      </c>
    </row>
    <row r="15974" spans="1:5" x14ac:dyDescent="0.25">
      <c r="A15974" t="str">
        <f>HYPERLINK("https://www.773grp.com/globalSearch/TLC7701MDREP/page-1", "TLC7701MDREP")</f>
        <v>TLC7701MDREP</v>
      </c>
      <c r="B15974" s="3" t="s">
        <v>90</v>
      </c>
      <c r="C15974" s="5">
        <v>3867</v>
      </c>
      <c r="D15974" s="6">
        <v>5.2</v>
      </c>
      <c r="E15974" t="s">
        <v>26</v>
      </c>
    </row>
    <row r="15975" spans="1:5" x14ac:dyDescent="0.25">
      <c r="A15975" t="str">
        <f>HYPERLINK("https://www.773grp.com/globalSearch/TPS2221PWPR/page-1", "TPS2221PWPR")</f>
        <v>TPS2221PWPR</v>
      </c>
      <c r="B15975" s="3" t="s">
        <v>90</v>
      </c>
      <c r="C15975" s="5">
        <v>23700</v>
      </c>
      <c r="D15975" s="6">
        <v>5.2</v>
      </c>
      <c r="E15975" t="s">
        <v>26</v>
      </c>
    </row>
    <row r="15976" spans="1:5" x14ac:dyDescent="0.25">
      <c r="A15976" t="str">
        <f>HYPERLINK("https://www.773grp.com/globalSearch/UCC3917DTR/page-1", "UCC3917DTR")</f>
        <v>UCC3917DTR</v>
      </c>
      <c r="B15976" s="3" t="s">
        <v>90</v>
      </c>
      <c r="C15976" s="5">
        <v>65000</v>
      </c>
      <c r="D15976" s="6">
        <v>5.2</v>
      </c>
      <c r="E15976" t="s">
        <v>26</v>
      </c>
    </row>
    <row r="15977" spans="1:5" x14ac:dyDescent="0.25">
      <c r="A15977" t="str">
        <f>HYPERLINK("https://www.773grp.com/globalSearch/UCC3917N/page-1", "UCC3917N")</f>
        <v>UCC3917N</v>
      </c>
      <c r="B15977" s="3" t="s">
        <v>90</v>
      </c>
      <c r="C15977" s="5">
        <v>13620</v>
      </c>
      <c r="D15977" s="6">
        <v>5.2</v>
      </c>
      <c r="E15977" t="s">
        <v>26</v>
      </c>
    </row>
    <row r="15978" spans="1:5" x14ac:dyDescent="0.25">
      <c r="A15978" t="str">
        <f>HYPERLINK("https://www.773grp.com/globalSearch/UCC3913D/page-1", "UCC3913D")</f>
        <v>UCC3913D</v>
      </c>
      <c r="B15978" s="3" t="s">
        <v>90</v>
      </c>
      <c r="C15978" s="5">
        <v>3421</v>
      </c>
      <c r="D15978" s="6">
        <v>5.29</v>
      </c>
      <c r="E15978" t="s">
        <v>26</v>
      </c>
    </row>
    <row r="15979" spans="1:5" x14ac:dyDescent="0.25">
      <c r="A15979" t="str">
        <f>HYPERLINK("https://www.773grp.com/globalSearch/UCC3913D/page-1", "UCC3913D")</f>
        <v>UCC3913D</v>
      </c>
      <c r="B15979" s="3" t="s">
        <v>90</v>
      </c>
      <c r="C15979" s="5">
        <v>20</v>
      </c>
      <c r="D15979" s="6">
        <v>5.29</v>
      </c>
      <c r="E15979" t="s">
        <v>26</v>
      </c>
    </row>
    <row r="15980" spans="1:5" x14ac:dyDescent="0.25">
      <c r="A15980" t="str">
        <f>HYPERLINK("https://www.773grp.com/globalSearch/TPS2300IPW/page-1", "TPS2300IPW")</f>
        <v>TPS2300IPW</v>
      </c>
      <c r="B15980" s="3" t="s">
        <v>90</v>
      </c>
      <c r="C15980" s="5">
        <v>26780</v>
      </c>
      <c r="D15980" s="6">
        <v>5.35</v>
      </c>
      <c r="E15980" t="s">
        <v>26</v>
      </c>
    </row>
    <row r="15981" spans="1:5" x14ac:dyDescent="0.25">
      <c r="A15981" t="str">
        <f>HYPERLINK("https://www.773grp.com/globalSearch/TPS2301IPW/page-1", "TPS2301IPW")</f>
        <v>TPS2301IPW</v>
      </c>
      <c r="B15981" s="3" t="s">
        <v>90</v>
      </c>
      <c r="C15981" s="5">
        <v>11460</v>
      </c>
      <c r="D15981" s="6">
        <v>5.35</v>
      </c>
      <c r="E15981" t="s">
        <v>26</v>
      </c>
    </row>
    <row r="15982" spans="1:5" x14ac:dyDescent="0.25">
      <c r="A15982" t="str">
        <f>HYPERLINK("https://www.773grp.com/globalSearch/TPS2301IPWG4/page-1", "TPS2301IPWG4")</f>
        <v>TPS2301IPWG4</v>
      </c>
      <c r="B15982" s="3" t="s">
        <v>90</v>
      </c>
      <c r="C15982" s="5">
        <v>205</v>
      </c>
      <c r="D15982" s="6">
        <v>5.35</v>
      </c>
      <c r="E15982" t="s">
        <v>26</v>
      </c>
    </row>
    <row r="15983" spans="1:5" x14ac:dyDescent="0.25">
      <c r="A15983" t="str">
        <f>HYPERLINK("https://www.773grp.com/globalSearch/TPS2310IPW/page-1", "TPS2310IPW")</f>
        <v>TPS2310IPW</v>
      </c>
      <c r="B15983" s="3" t="s">
        <v>90</v>
      </c>
      <c r="C15983" s="5">
        <v>7025</v>
      </c>
      <c r="D15983" s="6">
        <v>5.35</v>
      </c>
      <c r="E15983" t="s">
        <v>26</v>
      </c>
    </row>
    <row r="15984" spans="1:5" x14ac:dyDescent="0.25">
      <c r="A15984" t="str">
        <f>HYPERLINK("https://www.773grp.com/globalSearch/TPS2311IPW/page-1", "TPS2311IPW")</f>
        <v>TPS2311IPW</v>
      </c>
      <c r="B15984" s="3" t="s">
        <v>90</v>
      </c>
      <c r="C15984" s="5">
        <v>10514</v>
      </c>
      <c r="D15984" s="6">
        <v>5.35</v>
      </c>
      <c r="E15984" t="s">
        <v>26</v>
      </c>
    </row>
    <row r="15985" spans="1:5" x14ac:dyDescent="0.25">
      <c r="A15985" t="str">
        <f>HYPERLINK("https://www.773grp.com/globalSearch/TPS65053RGET/page-1", "TPS65053RGET")</f>
        <v>TPS65053RGET</v>
      </c>
      <c r="B15985" s="3" t="s">
        <v>90</v>
      </c>
      <c r="C15985" s="5">
        <v>2710</v>
      </c>
      <c r="D15985" s="6">
        <v>5.35</v>
      </c>
      <c r="E15985" t="s">
        <v>26</v>
      </c>
    </row>
    <row r="15986" spans="1:5" x14ac:dyDescent="0.25">
      <c r="A15986" t="str">
        <f>HYPERLINK("https://www.773grp.com/globalSearch/TPS75003RHLR/page-1", "TPS75003RHLR")</f>
        <v>TPS75003RHLR</v>
      </c>
      <c r="B15986" s="3" t="s">
        <v>90</v>
      </c>
      <c r="C15986" s="5">
        <v>2429</v>
      </c>
      <c r="D15986" s="6">
        <v>5.35</v>
      </c>
      <c r="E15986" t="s">
        <v>26</v>
      </c>
    </row>
    <row r="15987" spans="1:5" x14ac:dyDescent="0.25">
      <c r="A15987" t="str">
        <f>HYPERLINK("https://www.773grp.com/globalSearch/UCC2921DTR/page-1", "UCC2921DTR")</f>
        <v>UCC2921DTR</v>
      </c>
      <c r="B15987" s="3" t="s">
        <v>90</v>
      </c>
      <c r="C15987" s="5">
        <v>22861</v>
      </c>
      <c r="D15987" s="6">
        <v>5.4</v>
      </c>
      <c r="E15987" t="s">
        <v>26</v>
      </c>
    </row>
    <row r="15988" spans="1:5" x14ac:dyDescent="0.25">
      <c r="A15988" t="str">
        <f>HYPERLINK("https://www.773grp.com/globalSearch/BQ2202SN-N/page-1", "BQ2202SN-N")</f>
        <v>BQ2202SN-N</v>
      </c>
      <c r="B15988" s="3" t="s">
        <v>90</v>
      </c>
      <c r="C15988" s="5">
        <v>70</v>
      </c>
      <c r="D15988" s="6">
        <v>5.44</v>
      </c>
      <c r="E15988" t="s">
        <v>26</v>
      </c>
    </row>
    <row r="15989" spans="1:5" x14ac:dyDescent="0.25">
      <c r="A15989" t="str">
        <f>HYPERLINK("https://www.773grp.com/globalSearch/BQ2201PN/page-1", "BQ2201PN")</f>
        <v>BQ2201PN</v>
      </c>
      <c r="B15989" s="3" t="s">
        <v>90</v>
      </c>
      <c r="C15989" s="5">
        <v>4304</v>
      </c>
      <c r="D15989" s="6">
        <v>5.45</v>
      </c>
      <c r="E15989" t="s">
        <v>26</v>
      </c>
    </row>
    <row r="15990" spans="1:5" x14ac:dyDescent="0.25">
      <c r="A15990" t="str">
        <f>HYPERLINK("https://www.773grp.com/globalSearch/BQ2203APN/page-1", "BQ2203APN")</f>
        <v>BQ2203APN</v>
      </c>
      <c r="B15990" s="3" t="s">
        <v>90</v>
      </c>
      <c r="C15990" s="5">
        <v>435</v>
      </c>
      <c r="D15990" s="6">
        <v>5.45</v>
      </c>
      <c r="E15990" t="s">
        <v>26</v>
      </c>
    </row>
    <row r="15991" spans="1:5" x14ac:dyDescent="0.25">
      <c r="A15991" t="str">
        <f>HYPERLINK("https://www.773grp.com/globalSearch/TPS2223DBR/page-1", "TPS2223DBR")</f>
        <v>TPS2223DBR</v>
      </c>
      <c r="B15991" s="3" t="s">
        <v>90</v>
      </c>
      <c r="C15991" s="5">
        <v>2000</v>
      </c>
      <c r="D15991" s="6">
        <v>5.45</v>
      </c>
      <c r="E15991" t="s">
        <v>26</v>
      </c>
    </row>
    <row r="15992" spans="1:5" x14ac:dyDescent="0.25">
      <c r="A15992" t="str">
        <f>HYPERLINK("https://www.773grp.com/globalSearch/TPS2224ADBR/page-1", "TPS2224ADBR")</f>
        <v>TPS2224ADBR</v>
      </c>
      <c r="B15992" s="3" t="s">
        <v>90</v>
      </c>
      <c r="C15992" s="5">
        <v>5238</v>
      </c>
      <c r="D15992" s="6">
        <v>5.45</v>
      </c>
      <c r="E15992" t="s">
        <v>26</v>
      </c>
    </row>
    <row r="15993" spans="1:5" x14ac:dyDescent="0.25">
      <c r="A15993" t="str">
        <f>HYPERLINK("https://www.773grp.com/globalSearch/TL7700CPW/page-1", "TL7700CPW")</f>
        <v>TL7700CPW</v>
      </c>
      <c r="B15993" s="3" t="s">
        <v>90</v>
      </c>
      <c r="C15993" s="5">
        <v>2000</v>
      </c>
      <c r="D15993" s="6">
        <v>5.49</v>
      </c>
      <c r="E15993" t="s">
        <v>26</v>
      </c>
    </row>
    <row r="15994" spans="1:5" x14ac:dyDescent="0.25">
      <c r="A15994" t="str">
        <f>HYPERLINK("https://www.773grp.com/globalSearch/TPS2223PWPR/page-1", "TPS2223PWPR")</f>
        <v>TPS2223PWPR</v>
      </c>
      <c r="B15994" s="3" t="s">
        <v>90</v>
      </c>
      <c r="C15994" s="5">
        <v>4000</v>
      </c>
      <c r="D15994" s="6">
        <v>5.49</v>
      </c>
      <c r="E15994" t="s">
        <v>26</v>
      </c>
    </row>
    <row r="15995" spans="1:5" x14ac:dyDescent="0.25">
      <c r="A15995" t="str">
        <f>HYPERLINK("https://www.773grp.com/globalSearch/UCC3921D-81143/page-1", "UCC3921D-81143")</f>
        <v>UCC3921D-81143</v>
      </c>
      <c r="B15995" s="3" t="s">
        <v>90</v>
      </c>
      <c r="C15995" s="5">
        <v>10570</v>
      </c>
      <c r="D15995" s="6">
        <v>5.49</v>
      </c>
      <c r="E15995" t="s">
        <v>26</v>
      </c>
    </row>
    <row r="15996" spans="1:5" x14ac:dyDescent="0.25">
      <c r="A15996" t="str">
        <f>HYPERLINK("https://www.773grp.com/globalSearch/TPS65148RHBT/page-1", "TPS65148RHBT")</f>
        <v>TPS65148RHBT</v>
      </c>
      <c r="B15996" s="3" t="s">
        <v>90</v>
      </c>
      <c r="C15996" s="5">
        <v>10500</v>
      </c>
      <c r="D15996" s="6">
        <v>5.51</v>
      </c>
      <c r="E15996" t="s">
        <v>26</v>
      </c>
    </row>
    <row r="15997" spans="1:5" x14ac:dyDescent="0.25">
      <c r="A15997" t="str">
        <f>HYPERLINK("https://www.773grp.com/globalSearch/BQ24002PWP/page-1", "BQ24002PWP")</f>
        <v>BQ24002PWP</v>
      </c>
      <c r="B15997" s="3" t="s">
        <v>90</v>
      </c>
      <c r="C15997" s="5">
        <v>1385</v>
      </c>
      <c r="D15997" s="6">
        <v>5.63</v>
      </c>
      <c r="E15997" t="s">
        <v>26</v>
      </c>
    </row>
    <row r="15998" spans="1:5" x14ac:dyDescent="0.25">
      <c r="A15998" t="str">
        <f>HYPERLINK("https://www.773grp.com/globalSearch/BQ24003PWP/page-1", "BQ24003PWP")</f>
        <v>BQ24003PWP</v>
      </c>
      <c r="B15998" s="3" t="s">
        <v>90</v>
      </c>
      <c r="C15998" s="5">
        <v>166</v>
      </c>
      <c r="D15998" s="6">
        <v>5.63</v>
      </c>
      <c r="E15998" t="s">
        <v>26</v>
      </c>
    </row>
    <row r="15999" spans="1:5" x14ac:dyDescent="0.25">
      <c r="A15999" t="str">
        <f>HYPERLINK("https://www.773grp.com/globalSearch/BQ24004PWP/page-1", "BQ24004PWP")</f>
        <v>BQ24004PWP</v>
      </c>
      <c r="B15999" s="3" t="s">
        <v>90</v>
      </c>
      <c r="C15999" s="5">
        <v>827</v>
      </c>
      <c r="D15999" s="6">
        <v>5.63</v>
      </c>
      <c r="E15999" t="s">
        <v>26</v>
      </c>
    </row>
    <row r="16000" spans="1:5" x14ac:dyDescent="0.25">
      <c r="A16000" t="str">
        <f>HYPERLINK("https://www.773grp.com/globalSearch/BQ24004PWP/page-1", "BQ24004PWP")</f>
        <v>BQ24004PWP</v>
      </c>
      <c r="B16000" s="3" t="s">
        <v>90</v>
      </c>
      <c r="C16000" s="5">
        <v>9170</v>
      </c>
      <c r="D16000" s="6">
        <v>5.63</v>
      </c>
      <c r="E16000" t="s">
        <v>26</v>
      </c>
    </row>
    <row r="16001" spans="1:5" x14ac:dyDescent="0.25">
      <c r="A16001" t="str">
        <f>HYPERLINK("https://www.773grp.com/globalSearch/BQ24005PWP/page-1", "BQ24005PWP")</f>
        <v>BQ24005PWP</v>
      </c>
      <c r="B16001" s="3" t="s">
        <v>90</v>
      </c>
      <c r="C16001" s="5">
        <v>360</v>
      </c>
      <c r="D16001" s="6">
        <v>5.63</v>
      </c>
      <c r="E16001" t="s">
        <v>26</v>
      </c>
    </row>
    <row r="16002" spans="1:5" x14ac:dyDescent="0.25">
      <c r="A16002" t="str">
        <f>HYPERLINK("https://www.773grp.com/globalSearch/BQ24008PWP/page-1", "BQ24008PWP")</f>
        <v>BQ24008PWP</v>
      </c>
      <c r="B16002" s="3" t="s">
        <v>90</v>
      </c>
      <c r="C16002" s="5">
        <v>312</v>
      </c>
      <c r="D16002" s="6">
        <v>5.63</v>
      </c>
      <c r="E16002" t="s">
        <v>26</v>
      </c>
    </row>
    <row r="16003" spans="1:5" x14ac:dyDescent="0.25">
      <c r="A16003" t="str">
        <f>HYPERLINK("https://www.773grp.com/globalSearch/TPS2458RHBR/page-1", "TPS2458RHBR")</f>
        <v>TPS2458RHBR</v>
      </c>
      <c r="B16003" s="3" t="s">
        <v>90</v>
      </c>
      <c r="C16003" s="5">
        <v>3000</v>
      </c>
      <c r="D16003" s="6">
        <v>5.63</v>
      </c>
      <c r="E16003" t="s">
        <v>26</v>
      </c>
    </row>
    <row r="16004" spans="1:5" x14ac:dyDescent="0.25">
      <c r="A16004" t="str">
        <f>HYPERLINK("https://www.773grp.com/globalSearch/TPS3600D50PWR/page-1", "TPS3600D50PWR")</f>
        <v>TPS3600D50PWR</v>
      </c>
      <c r="B16004" s="3" t="s">
        <v>90</v>
      </c>
      <c r="C16004" s="5">
        <v>5500</v>
      </c>
      <c r="D16004" s="6">
        <v>5.63</v>
      </c>
      <c r="E16004" t="s">
        <v>26</v>
      </c>
    </row>
    <row r="16005" spans="1:5" x14ac:dyDescent="0.25">
      <c r="A16005" t="str">
        <f>HYPERLINK("https://www.773grp.com/globalSearch/UCC3921D/page-1", "UCC3921D")</f>
        <v>UCC3921D</v>
      </c>
      <c r="B16005" s="3" t="s">
        <v>90</v>
      </c>
      <c r="C16005" s="5">
        <v>2173</v>
      </c>
      <c r="D16005" s="6">
        <v>5.63</v>
      </c>
      <c r="E16005" t="s">
        <v>26</v>
      </c>
    </row>
    <row r="16006" spans="1:5" x14ac:dyDescent="0.25">
      <c r="A16006" t="str">
        <f>HYPERLINK("https://www.773grp.com/globalSearch/UCC3921D/page-1", "UCC3921D")</f>
        <v>UCC3921D</v>
      </c>
      <c r="B16006" s="3" t="s">
        <v>90</v>
      </c>
      <c r="C16006" s="5">
        <v>4071</v>
      </c>
      <c r="D16006" s="6">
        <v>5.63</v>
      </c>
      <c r="E16006" t="s">
        <v>26</v>
      </c>
    </row>
    <row r="16007" spans="1:5" x14ac:dyDescent="0.25">
      <c r="A16007" t="str">
        <f>HYPERLINK("https://www.773grp.com/globalSearch/TPS65050RSMT/page-1", "TPS65050RSMT")</f>
        <v>TPS65050RSMT</v>
      </c>
      <c r="B16007" s="3" t="s">
        <v>90</v>
      </c>
      <c r="C16007" s="5">
        <v>2662</v>
      </c>
      <c r="D16007" s="6">
        <v>5.65</v>
      </c>
      <c r="E16007" t="s">
        <v>26</v>
      </c>
    </row>
    <row r="16008" spans="1:5" x14ac:dyDescent="0.25">
      <c r="A16008" t="str">
        <f>HYPERLINK("https://www.773grp.com/globalSearch/TPS65051RSMT/page-1", "TPS65051RSMT")</f>
        <v>TPS65051RSMT</v>
      </c>
      <c r="B16008" s="3" t="s">
        <v>90</v>
      </c>
      <c r="C16008" s="5">
        <v>5000</v>
      </c>
      <c r="D16008" s="6">
        <v>5.65</v>
      </c>
      <c r="E16008" t="s">
        <v>26</v>
      </c>
    </row>
    <row r="16009" spans="1:5" x14ac:dyDescent="0.25">
      <c r="A16009" t="str">
        <f>HYPERLINK("https://www.773grp.com/globalSearch/TPS65052RSMT/page-1", "TPS65052RSMT")</f>
        <v>TPS65052RSMT</v>
      </c>
      <c r="B16009" s="3" t="s">
        <v>90</v>
      </c>
      <c r="C16009" s="5">
        <v>1250</v>
      </c>
      <c r="D16009" s="6">
        <v>5.65</v>
      </c>
      <c r="E16009" t="s">
        <v>26</v>
      </c>
    </row>
    <row r="16010" spans="1:5" x14ac:dyDescent="0.25">
      <c r="A16010" t="str">
        <f>HYPERLINK("https://www.773grp.com/globalSearch/TPS65054RSMT/page-1", "TPS65054RSMT")</f>
        <v>TPS65054RSMT</v>
      </c>
      <c r="B16010" s="3" t="s">
        <v>90</v>
      </c>
      <c r="C16010" s="5">
        <v>2500</v>
      </c>
      <c r="D16010" s="6">
        <v>5.65</v>
      </c>
      <c r="E16010" t="s">
        <v>26</v>
      </c>
    </row>
    <row r="16011" spans="1:5" x14ac:dyDescent="0.25">
      <c r="A16011" t="str">
        <f>HYPERLINK("https://www.773grp.com/globalSearch/UCC2913D/page-1", "UCC2913D")</f>
        <v>UCC2913D</v>
      </c>
      <c r="B16011" s="3" t="s">
        <v>90</v>
      </c>
      <c r="C16011" s="5">
        <v>4955</v>
      </c>
      <c r="D16011" s="6">
        <v>5.7</v>
      </c>
      <c r="E16011" t="s">
        <v>26</v>
      </c>
    </row>
    <row r="16012" spans="1:5" x14ac:dyDescent="0.25">
      <c r="A16012" t="str">
        <f>HYPERLINK("https://www.773grp.com/globalSearch/BQ2056PN/page-1", "BQ2056PN")</f>
        <v>BQ2056PN</v>
      </c>
      <c r="B16012" s="3" t="s">
        <v>90</v>
      </c>
      <c r="C16012" s="5">
        <v>185</v>
      </c>
      <c r="D16012" s="6">
        <v>5.78</v>
      </c>
      <c r="E16012" t="s">
        <v>26</v>
      </c>
    </row>
    <row r="16013" spans="1:5" x14ac:dyDescent="0.25">
      <c r="A16013" t="str">
        <f>HYPERLINK("https://www.773grp.com/globalSearch/BQ24031RHLT/page-1", "BQ24031RHLT")</f>
        <v>BQ24031RHLT</v>
      </c>
      <c r="B16013" s="3" t="s">
        <v>90</v>
      </c>
      <c r="C16013" s="5">
        <v>7500</v>
      </c>
      <c r="D16013" s="6">
        <v>5.78</v>
      </c>
      <c r="E16013" t="s">
        <v>26</v>
      </c>
    </row>
    <row r="16014" spans="1:5" x14ac:dyDescent="0.25">
      <c r="A16014" t="str">
        <f>HYPERLINK("https://www.773grp.com/globalSearch/BQ24038RHLT/page-1", "BQ24038RHLT")</f>
        <v>BQ24038RHLT</v>
      </c>
      <c r="B16014" s="3" t="s">
        <v>90</v>
      </c>
      <c r="C16014" s="5">
        <v>50</v>
      </c>
      <c r="D16014" s="6">
        <v>5.78</v>
      </c>
      <c r="E16014" t="s">
        <v>26</v>
      </c>
    </row>
    <row r="16015" spans="1:5" x14ac:dyDescent="0.25">
      <c r="A16015" t="str">
        <f>HYPERLINK("https://www.773grp.com/globalSearch/BQ27505YZGT-J3/page-1", "BQ27505YZGT-J3")</f>
        <v>BQ27505YZGT-J3</v>
      </c>
      <c r="B16015" s="3" t="s">
        <v>90</v>
      </c>
      <c r="C16015" s="5">
        <v>688</v>
      </c>
      <c r="D16015" s="6">
        <v>5.78</v>
      </c>
      <c r="E16015" t="s">
        <v>26</v>
      </c>
    </row>
    <row r="16016" spans="1:5" x14ac:dyDescent="0.25">
      <c r="A16016" t="str">
        <f>HYPERLINK("https://www.773grp.com/globalSearch/BQ27505YZGT-J4/page-1", "BQ27505YZGT-J4")</f>
        <v>BQ27505YZGT-J4</v>
      </c>
      <c r="B16016" s="3" t="s">
        <v>90</v>
      </c>
      <c r="C16016" s="5">
        <v>1019</v>
      </c>
      <c r="D16016" s="6">
        <v>5.78</v>
      </c>
      <c r="E16016" t="s">
        <v>26</v>
      </c>
    </row>
    <row r="16017" spans="1:5" x14ac:dyDescent="0.25">
      <c r="A16017" t="str">
        <f>HYPERLINK("https://www.773grp.com/globalSearch/BQ29312PW/page-1", "BQ29312PW")</f>
        <v>BQ29312PW</v>
      </c>
      <c r="B16017" s="3" t="s">
        <v>90</v>
      </c>
      <c r="C16017" s="5">
        <v>6120</v>
      </c>
      <c r="D16017" s="6">
        <v>5.78</v>
      </c>
      <c r="E16017" t="s">
        <v>26</v>
      </c>
    </row>
    <row r="16018" spans="1:5" x14ac:dyDescent="0.25">
      <c r="A16018" t="str">
        <f>HYPERLINK("https://www.773grp.com/globalSearch/TPS2393DBTR/page-1", "TPS2393DBTR")</f>
        <v>TPS2393DBTR</v>
      </c>
      <c r="B16018" s="3" t="s">
        <v>90</v>
      </c>
      <c r="C16018" s="5">
        <v>4000</v>
      </c>
      <c r="D16018" s="6">
        <v>5.78</v>
      </c>
      <c r="E16018" t="s">
        <v>26</v>
      </c>
    </row>
    <row r="16019" spans="1:5" x14ac:dyDescent="0.25">
      <c r="A16019" t="str">
        <f>HYPERLINK("https://www.773grp.com/globalSearch/BQ27500DRZT-V100/page-1", "BQ27500DRZT-V100")</f>
        <v>BQ27500DRZT-V100</v>
      </c>
      <c r="B16019" s="3" t="s">
        <v>90</v>
      </c>
      <c r="C16019" s="5">
        <v>8365</v>
      </c>
      <c r="D16019" s="6">
        <v>5.83</v>
      </c>
      <c r="E16019" t="s">
        <v>26</v>
      </c>
    </row>
    <row r="16020" spans="1:5" x14ac:dyDescent="0.25">
      <c r="A16020" t="str">
        <f>HYPERLINK("https://www.773grp.com/globalSearch/BQ27500DRZT-V120/page-1", "BQ27500DRZT-V120")</f>
        <v>BQ27500DRZT-V120</v>
      </c>
      <c r="B16020" s="3" t="s">
        <v>90</v>
      </c>
      <c r="C16020" s="5">
        <v>9430</v>
      </c>
      <c r="D16020" s="6">
        <v>5.83</v>
      </c>
      <c r="E16020" t="s">
        <v>26</v>
      </c>
    </row>
    <row r="16021" spans="1:5" x14ac:dyDescent="0.25">
      <c r="A16021" t="str">
        <f>HYPERLINK("https://www.773grp.com/globalSearch/BQ27500DRZT-V130/page-1", "BQ27500DRZT-V130")</f>
        <v>BQ27500DRZT-V130</v>
      </c>
      <c r="B16021" s="3" t="s">
        <v>90</v>
      </c>
      <c r="C16021" s="5">
        <v>799</v>
      </c>
      <c r="D16021" s="6">
        <v>5.83</v>
      </c>
      <c r="E16021" t="s">
        <v>26</v>
      </c>
    </row>
    <row r="16022" spans="1:5" x14ac:dyDescent="0.25">
      <c r="A16022" t="str">
        <f>HYPERLINK("https://www.773grp.com/globalSearch/BQ27500YZGT-V130/page-1", "BQ27500YZGT-V130")</f>
        <v>BQ27500YZGT-V130</v>
      </c>
      <c r="B16022" s="3" t="s">
        <v>90</v>
      </c>
      <c r="C16022" s="5">
        <v>2250</v>
      </c>
      <c r="D16022" s="6">
        <v>5.83</v>
      </c>
      <c r="E16022" t="s">
        <v>26</v>
      </c>
    </row>
    <row r="16023" spans="1:5" x14ac:dyDescent="0.25">
      <c r="A16023" t="str">
        <f>HYPERLINK("https://www.773grp.com/globalSearch/TL7770-12CDWR/page-1", "TL7770-12CDWR")</f>
        <v>TL7770-12CDWR</v>
      </c>
      <c r="B16023" s="3" t="s">
        <v>90</v>
      </c>
      <c r="C16023" s="5">
        <v>2000</v>
      </c>
      <c r="D16023" s="6">
        <v>5.83</v>
      </c>
      <c r="E16023" t="s">
        <v>26</v>
      </c>
    </row>
    <row r="16024" spans="1:5" x14ac:dyDescent="0.25">
      <c r="A16024" t="str">
        <f>HYPERLINK("https://www.773grp.com/globalSearch/BQ2000TPW/page-1", "BQ2000TPW")</f>
        <v>BQ2000TPW</v>
      </c>
      <c r="B16024" s="3" t="s">
        <v>90</v>
      </c>
      <c r="C16024" s="5">
        <v>760</v>
      </c>
      <c r="D16024" s="6">
        <v>5.91</v>
      </c>
      <c r="E16024" t="s">
        <v>26</v>
      </c>
    </row>
    <row r="16025" spans="1:5" x14ac:dyDescent="0.25">
      <c r="A16025" t="str">
        <f>HYPERLINK("https://www.773grp.com/globalSearch/BQ2000TSN-B5/page-1", "BQ2000TSN-B5")</f>
        <v>BQ2000TSN-B5</v>
      </c>
      <c r="B16025" s="3" t="s">
        <v>90</v>
      </c>
      <c r="C16025" s="5">
        <v>279</v>
      </c>
      <c r="D16025" s="6">
        <v>5.91</v>
      </c>
      <c r="E16025" t="s">
        <v>26</v>
      </c>
    </row>
    <row r="16026" spans="1:5" x14ac:dyDescent="0.25">
      <c r="A16026" t="str">
        <f>HYPERLINK("https://www.773grp.com/globalSearch/BQ2000TSN-B5/page-1", "BQ2000TSN-B5")</f>
        <v>BQ2000TSN-B5</v>
      </c>
      <c r="B16026" s="3" t="s">
        <v>90</v>
      </c>
      <c r="C16026" s="5">
        <v>8287</v>
      </c>
      <c r="D16026" s="6">
        <v>5.91</v>
      </c>
      <c r="E16026" t="s">
        <v>26</v>
      </c>
    </row>
    <row r="16027" spans="1:5" x14ac:dyDescent="0.25">
      <c r="A16027" t="str">
        <f>HYPERLINK("https://www.773grp.com/globalSearch/BQ24001PWPR/page-1", "BQ24001PWPR")</f>
        <v>BQ24001PWPR</v>
      </c>
      <c r="B16027" s="3" t="s">
        <v>90</v>
      </c>
      <c r="C16027" s="5">
        <v>30000</v>
      </c>
      <c r="D16027" s="6">
        <v>5.91</v>
      </c>
      <c r="E16027" t="s">
        <v>26</v>
      </c>
    </row>
    <row r="16028" spans="1:5" x14ac:dyDescent="0.25">
      <c r="A16028" t="str">
        <f>HYPERLINK("https://www.773grp.com/globalSearch/BQ24006PWPR/page-1", "BQ24006PWPR")</f>
        <v>BQ24006PWPR</v>
      </c>
      <c r="B16028" s="3" t="s">
        <v>90</v>
      </c>
      <c r="C16028" s="5">
        <v>2000</v>
      </c>
      <c r="D16028" s="6">
        <v>5.91</v>
      </c>
      <c r="E16028" t="s">
        <v>26</v>
      </c>
    </row>
    <row r="16029" spans="1:5" x14ac:dyDescent="0.25">
      <c r="A16029" t="str">
        <f>HYPERLINK("https://www.773grp.com/globalSearch/BQ24007PWPR/page-1", "BQ24007PWPR")</f>
        <v>BQ24007PWPR</v>
      </c>
      <c r="B16029" s="3" t="s">
        <v>90</v>
      </c>
      <c r="C16029" s="5">
        <v>6000</v>
      </c>
      <c r="D16029" s="6">
        <v>5.91</v>
      </c>
      <c r="E16029" t="s">
        <v>26</v>
      </c>
    </row>
    <row r="16030" spans="1:5" x14ac:dyDescent="0.25">
      <c r="A16030" t="str">
        <f>HYPERLINK("https://www.773grp.com/globalSearch/BQ24007RGWR/page-1", "BQ24007RGWR")</f>
        <v>BQ24007RGWR</v>
      </c>
      <c r="B16030" s="3" t="s">
        <v>90</v>
      </c>
      <c r="C16030" s="5">
        <v>9000</v>
      </c>
      <c r="D16030" s="6">
        <v>5.91</v>
      </c>
      <c r="E16030" t="s">
        <v>26</v>
      </c>
    </row>
    <row r="16031" spans="1:5" x14ac:dyDescent="0.25">
      <c r="A16031" t="str">
        <f>HYPERLINK("https://www.773grp.com/globalSearch/BQ24703PWR/page-1", "BQ24703PWR")</f>
        <v>BQ24703PWR</v>
      </c>
      <c r="B16031" s="3" t="s">
        <v>90</v>
      </c>
      <c r="C16031" s="5">
        <v>21920</v>
      </c>
      <c r="D16031" s="6">
        <v>5.91</v>
      </c>
      <c r="E16031" t="s">
        <v>26</v>
      </c>
    </row>
    <row r="16032" spans="1:5" x14ac:dyDescent="0.25">
      <c r="A16032" t="str">
        <f>HYPERLINK("https://www.773grp.com/globalSearch/BQ24703RHDR/page-1", "BQ24703RHDR")</f>
        <v>BQ24703RHDR</v>
      </c>
      <c r="B16032" s="3" t="s">
        <v>90</v>
      </c>
      <c r="C16032" s="5">
        <v>1080000</v>
      </c>
      <c r="D16032" s="6">
        <v>5.91</v>
      </c>
      <c r="E16032" t="s">
        <v>26</v>
      </c>
    </row>
    <row r="16033" spans="1:5" x14ac:dyDescent="0.25">
      <c r="A16033" t="str">
        <f>HYPERLINK("https://www.773grp.com/globalSearch/BQ27505YZGT-J1/page-1", "BQ27505YZGT-J1")</f>
        <v>BQ27505YZGT-J1</v>
      </c>
      <c r="B16033" s="3" t="s">
        <v>90</v>
      </c>
      <c r="C16033" s="5">
        <v>793</v>
      </c>
      <c r="D16033" s="6">
        <v>5.91</v>
      </c>
      <c r="E16033" t="s">
        <v>26</v>
      </c>
    </row>
    <row r="16034" spans="1:5" x14ac:dyDescent="0.25">
      <c r="A16034" t="str">
        <f>HYPERLINK("https://www.773grp.com/globalSearch/BQ27510DRZT/page-1", "BQ27510DRZT")</f>
        <v>BQ27510DRZT</v>
      </c>
      <c r="B16034" s="3" t="s">
        <v>90</v>
      </c>
      <c r="C16034" s="5">
        <v>650</v>
      </c>
      <c r="D16034" s="6">
        <v>5.91</v>
      </c>
      <c r="E16034" t="s">
        <v>26</v>
      </c>
    </row>
    <row r="16035" spans="1:5" x14ac:dyDescent="0.25">
      <c r="A16035" t="str">
        <f>HYPERLINK("https://www.773grp.com/globalSearch/BQ27510DRZT-G1/page-1", "BQ27510DRZT-G1")</f>
        <v>BQ27510DRZT-G1</v>
      </c>
      <c r="B16035" s="3" t="s">
        <v>90</v>
      </c>
      <c r="C16035" s="5">
        <v>6004</v>
      </c>
      <c r="D16035" s="6">
        <v>5.91</v>
      </c>
      <c r="E16035" t="s">
        <v>26</v>
      </c>
    </row>
    <row r="16036" spans="1:5" x14ac:dyDescent="0.25">
      <c r="A16036" t="str">
        <f>HYPERLINK("https://www.773grp.com/globalSearch/BQ27541DRZT/page-1", "BQ27541DRZT")</f>
        <v>BQ27541DRZT</v>
      </c>
      <c r="B16036" s="3" t="s">
        <v>90</v>
      </c>
      <c r="C16036" s="5">
        <v>325</v>
      </c>
      <c r="D16036" s="6">
        <v>5.91</v>
      </c>
      <c r="E16036" t="s">
        <v>26</v>
      </c>
    </row>
    <row r="16037" spans="1:5" x14ac:dyDescent="0.25">
      <c r="A16037" t="str">
        <f>HYPERLINK("https://www.773grp.com/globalSearch/TPS2206ADAPR/page-1", "TPS2206ADAPR")</f>
        <v>TPS2206ADAPR</v>
      </c>
      <c r="B16037" s="3" t="s">
        <v>90</v>
      </c>
      <c r="C16037" s="5">
        <v>46000</v>
      </c>
      <c r="D16037" s="6">
        <v>5.91</v>
      </c>
      <c r="E16037" t="s">
        <v>26</v>
      </c>
    </row>
    <row r="16038" spans="1:5" x14ac:dyDescent="0.25">
      <c r="A16038" t="str">
        <f>HYPERLINK("https://www.773grp.com/globalSearch/TPS2206ADBR/page-1", "TPS2206ADBR")</f>
        <v>TPS2206ADBR</v>
      </c>
      <c r="B16038" s="3" t="s">
        <v>90</v>
      </c>
      <c r="C16038" s="5">
        <v>28000</v>
      </c>
      <c r="D16038" s="6">
        <v>5.91</v>
      </c>
      <c r="E16038" t="s">
        <v>26</v>
      </c>
    </row>
    <row r="16039" spans="1:5" x14ac:dyDescent="0.25">
      <c r="A16039" t="str">
        <f>HYPERLINK("https://www.773grp.com/globalSearch/TPS3610T50PWR/page-1", "TPS3610T50PWR")</f>
        <v>TPS3610T50PWR</v>
      </c>
      <c r="B16039" s="3" t="s">
        <v>90</v>
      </c>
      <c r="C16039" s="5">
        <v>24000</v>
      </c>
      <c r="D16039" s="6">
        <v>5.91</v>
      </c>
      <c r="E16039" t="s">
        <v>26</v>
      </c>
    </row>
    <row r="16040" spans="1:5" x14ac:dyDescent="0.25">
      <c r="A16040" t="str">
        <f>HYPERLINK("https://www.773grp.com/globalSearch/UCC3916DP/page-1", "UCC3916DP")</f>
        <v>UCC3916DP</v>
      </c>
      <c r="B16040" s="3" t="s">
        <v>90</v>
      </c>
      <c r="C16040" s="5">
        <v>1547</v>
      </c>
      <c r="D16040" s="6">
        <v>5.99</v>
      </c>
      <c r="E16040" t="s">
        <v>26</v>
      </c>
    </row>
    <row r="16041" spans="1:5" x14ac:dyDescent="0.25">
      <c r="A16041" t="str">
        <f>HYPERLINK("https://www.773grp.com/globalSearch/TPS2223ADB/page-1", "TPS2223ADB")</f>
        <v>TPS2223ADB</v>
      </c>
      <c r="B16041" s="3" t="s">
        <v>90</v>
      </c>
      <c r="C16041" s="5">
        <v>11099</v>
      </c>
      <c r="D16041" s="6">
        <v>6.04</v>
      </c>
      <c r="E16041" t="s">
        <v>26</v>
      </c>
    </row>
    <row r="16042" spans="1:5" x14ac:dyDescent="0.25">
      <c r="A16042" t="str">
        <f>HYPERLINK("https://www.773grp.com/globalSearch/TPS2223ADBG4/page-1", "TPS2223ADBG4")</f>
        <v>TPS2223ADBG4</v>
      </c>
      <c r="B16042" s="3" t="s">
        <v>90</v>
      </c>
      <c r="C16042" s="5">
        <v>124</v>
      </c>
      <c r="D16042" s="6">
        <v>6.04</v>
      </c>
      <c r="E16042" t="s">
        <v>26</v>
      </c>
    </row>
    <row r="16043" spans="1:5" x14ac:dyDescent="0.25">
      <c r="A16043" t="str">
        <f>HYPERLINK("https://www.773grp.com/globalSearch/TPS2223APWP/page-1", "TPS2223APWP")</f>
        <v>TPS2223APWP</v>
      </c>
      <c r="B16043" s="3" t="s">
        <v>90</v>
      </c>
      <c r="C16043" s="5">
        <v>2436</v>
      </c>
      <c r="D16043" s="6">
        <v>6.04</v>
      </c>
      <c r="E16043" t="s">
        <v>26</v>
      </c>
    </row>
    <row r="16044" spans="1:5" x14ac:dyDescent="0.25">
      <c r="A16044" t="str">
        <f>HYPERLINK("https://www.773grp.com/globalSearch/BQ2056SN/page-1", "BQ2056SN")</f>
        <v>BQ2056SN</v>
      </c>
      <c r="B16044" s="3" t="s">
        <v>90</v>
      </c>
      <c r="C16044" s="5">
        <v>7061</v>
      </c>
      <c r="D16044" s="6">
        <v>6.11</v>
      </c>
      <c r="E16044" t="s">
        <v>26</v>
      </c>
    </row>
    <row r="16045" spans="1:5" x14ac:dyDescent="0.25">
      <c r="A16045" t="str">
        <f>HYPERLINK("https://www.773grp.com/globalSearch/BQ27501DRZT/page-1", "BQ27501DRZT")</f>
        <v>BQ27501DRZT</v>
      </c>
      <c r="B16045" s="3" t="s">
        <v>90</v>
      </c>
      <c r="C16045" s="5">
        <v>1312</v>
      </c>
      <c r="D16045" s="6">
        <v>6.16</v>
      </c>
      <c r="E16045" t="s">
        <v>26</v>
      </c>
    </row>
    <row r="16046" spans="1:5" x14ac:dyDescent="0.25">
      <c r="A16046" t="str">
        <f>HYPERLINK("https://www.773grp.com/globalSearch/BQ27350PW/page-1", "BQ27350PW")</f>
        <v>BQ27350PW</v>
      </c>
      <c r="B16046" s="3" t="s">
        <v>90</v>
      </c>
      <c r="C16046" s="5">
        <v>5454</v>
      </c>
      <c r="D16046" s="6">
        <v>6.19</v>
      </c>
      <c r="E16046" t="s">
        <v>26</v>
      </c>
    </row>
    <row r="16047" spans="1:5" x14ac:dyDescent="0.25">
      <c r="A16047" t="str">
        <f>HYPERLINK("https://www.773grp.com/globalSearch/BQ27500DRZR/page-1", "BQ27500DRZR")</f>
        <v>BQ27500DRZR</v>
      </c>
      <c r="B16047" s="3" t="s">
        <v>90</v>
      </c>
      <c r="C16047" s="5">
        <v>5900</v>
      </c>
      <c r="D16047" s="6">
        <v>6.19</v>
      </c>
      <c r="E16047" t="s">
        <v>26</v>
      </c>
    </row>
    <row r="16048" spans="1:5" x14ac:dyDescent="0.25">
      <c r="A16048" t="str">
        <f>HYPERLINK("https://www.773grp.com/globalSearch/TPS2221PWP/page-1", "TPS2221PWP")</f>
        <v>TPS2221PWP</v>
      </c>
      <c r="B16048" s="3" t="s">
        <v>90</v>
      </c>
      <c r="C16048" s="5">
        <v>7726</v>
      </c>
      <c r="D16048" s="6">
        <v>6.19</v>
      </c>
      <c r="E16048" t="s">
        <v>26</v>
      </c>
    </row>
    <row r="16049" spans="1:5" x14ac:dyDescent="0.25">
      <c r="A16049" t="str">
        <f>HYPERLINK("https://www.773grp.com/globalSearch/TPS2370DR/page-1", "TPS2370DR")</f>
        <v>TPS2370DR</v>
      </c>
      <c r="B16049" s="3" t="s">
        <v>90</v>
      </c>
      <c r="C16049" s="5">
        <v>2500</v>
      </c>
      <c r="D16049" s="6">
        <v>6.19</v>
      </c>
      <c r="E16049" t="s">
        <v>26</v>
      </c>
    </row>
    <row r="16050" spans="1:5" x14ac:dyDescent="0.25">
      <c r="A16050" t="str">
        <f>HYPERLINK("https://www.773grp.com/globalSearch/TPS2370PWR/page-1", "TPS2370PWR")</f>
        <v>TPS2370PWR</v>
      </c>
      <c r="B16050" s="3" t="s">
        <v>90</v>
      </c>
      <c r="C16050" s="5">
        <v>34000</v>
      </c>
      <c r="D16050" s="6">
        <v>6.19</v>
      </c>
      <c r="E16050" t="s">
        <v>26</v>
      </c>
    </row>
    <row r="16051" spans="1:5" x14ac:dyDescent="0.25">
      <c r="A16051" t="str">
        <f>HYPERLINK("https://www.773grp.com/globalSearch/TPS3606-33DGS/page-1", "TPS3606-33DGS")</f>
        <v>TPS3606-33DGS</v>
      </c>
      <c r="B16051" s="3" t="s">
        <v>90</v>
      </c>
      <c r="C16051" s="5">
        <v>115535</v>
      </c>
      <c r="D16051" s="6">
        <v>6.19</v>
      </c>
      <c r="E16051" t="s">
        <v>26</v>
      </c>
    </row>
    <row r="16052" spans="1:5" x14ac:dyDescent="0.25">
      <c r="A16052" t="str">
        <f>HYPERLINK("https://www.773grp.com/globalSearch/TPS3837K33MDBVREP/page-1", "TPS3837K33MDBVREP")</f>
        <v>TPS3837K33MDBVREP</v>
      </c>
      <c r="B16052" s="3" t="s">
        <v>90</v>
      </c>
      <c r="C16052" s="5">
        <v>5370</v>
      </c>
      <c r="D16052" s="6">
        <v>6.19</v>
      </c>
      <c r="E16052" t="s">
        <v>26</v>
      </c>
    </row>
    <row r="16053" spans="1:5" x14ac:dyDescent="0.25">
      <c r="A16053" t="str">
        <f>HYPERLINK("https://www.773grp.com/globalSearch/TPS75003RHLT/page-1", "TPS75003RHLT")</f>
        <v>TPS75003RHLT</v>
      </c>
      <c r="B16053" s="3" t="s">
        <v>90</v>
      </c>
      <c r="C16053" s="5">
        <v>3750</v>
      </c>
      <c r="D16053" s="6">
        <v>6.19</v>
      </c>
      <c r="E16053" t="s">
        <v>26</v>
      </c>
    </row>
    <row r="16054" spans="1:5" x14ac:dyDescent="0.25">
      <c r="A16054" t="str">
        <f>HYPERLINK("https://www.773grp.com/globalSearch/UC3903N/page-1", "UC3903N")</f>
        <v>UC3903N</v>
      </c>
      <c r="B16054" s="3" t="s">
        <v>90</v>
      </c>
      <c r="C16054" s="5">
        <v>3406</v>
      </c>
      <c r="D16054" s="6">
        <v>6.21</v>
      </c>
      <c r="E16054" t="s">
        <v>26</v>
      </c>
    </row>
    <row r="16055" spans="1:5" x14ac:dyDescent="0.25">
      <c r="A16055" t="str">
        <f>HYPERLINK("https://www.773grp.com/globalSearch/UC3903Q/page-1", "UC3903Q")</f>
        <v>UC3903Q</v>
      </c>
      <c r="B16055" s="3" t="s">
        <v>90</v>
      </c>
      <c r="C16055" s="5">
        <v>18876</v>
      </c>
      <c r="D16055" s="6">
        <v>6.21</v>
      </c>
      <c r="E16055" t="s">
        <v>26</v>
      </c>
    </row>
    <row r="16056" spans="1:5" x14ac:dyDescent="0.25">
      <c r="A16056" t="str">
        <f>HYPERLINK("https://www.773grp.com/globalSearch/UC3903Q/page-1", "UC3903Q")</f>
        <v>UC3903Q</v>
      </c>
      <c r="B16056" s="3" t="s">
        <v>90</v>
      </c>
      <c r="C16056" s="5">
        <v>2162</v>
      </c>
      <c r="D16056" s="6">
        <v>6.21</v>
      </c>
      <c r="E16056" t="s">
        <v>26</v>
      </c>
    </row>
    <row r="16057" spans="1:5" x14ac:dyDescent="0.25">
      <c r="A16057" t="str">
        <f>HYPERLINK("https://www.773grp.com/globalSearch/UC3903Q/page-1", "UC3903Q")</f>
        <v>UC3903Q</v>
      </c>
      <c r="B16057" s="3" t="s">
        <v>90</v>
      </c>
      <c r="C16057" s="5">
        <v>942</v>
      </c>
      <c r="D16057" s="6">
        <v>6.21</v>
      </c>
      <c r="E16057" t="s">
        <v>26</v>
      </c>
    </row>
    <row r="16058" spans="1:5" x14ac:dyDescent="0.25">
      <c r="A16058" t="str">
        <f>HYPERLINK("https://www.773grp.com/globalSearch/UC3903Q/page-1", "UC3903Q")</f>
        <v>UC3903Q</v>
      </c>
      <c r="B16058" s="3" t="s">
        <v>90</v>
      </c>
      <c r="C16058" s="5">
        <v>187</v>
      </c>
      <c r="D16058" s="6">
        <v>6.21</v>
      </c>
      <c r="E16058" t="s">
        <v>26</v>
      </c>
    </row>
    <row r="16059" spans="1:5" x14ac:dyDescent="0.25">
      <c r="A16059" t="str">
        <f>HYPERLINK("https://www.773grp.com/globalSearch/UC3907DWTR/page-1", "UC3907DWTR")</f>
        <v>UC3907DWTR</v>
      </c>
      <c r="B16059" s="3" t="s">
        <v>90</v>
      </c>
      <c r="C16059" s="5">
        <v>14000</v>
      </c>
      <c r="D16059" s="6">
        <v>6.21</v>
      </c>
      <c r="E16059" t="s">
        <v>26</v>
      </c>
    </row>
    <row r="16060" spans="1:5" x14ac:dyDescent="0.25">
      <c r="A16060" t="str">
        <f>HYPERLINK("https://www.773grp.com/globalSearch/UC3907DWTRG4/page-1", "UC3907DWTRG4")</f>
        <v>UC3907DWTRG4</v>
      </c>
      <c r="B16060" s="3" t="s">
        <v>90</v>
      </c>
      <c r="C16060" s="5">
        <v>6000</v>
      </c>
      <c r="D16060" s="6">
        <v>6.21</v>
      </c>
      <c r="E16060" t="s">
        <v>26</v>
      </c>
    </row>
    <row r="16061" spans="1:5" x14ac:dyDescent="0.25">
      <c r="A16061" t="str">
        <f>HYPERLINK("https://www.773grp.com/globalSearch/UCC2921D/page-1", "UCC2921D")</f>
        <v>UCC2921D</v>
      </c>
      <c r="B16061" s="3" t="s">
        <v>90</v>
      </c>
      <c r="C16061" s="5">
        <v>1250</v>
      </c>
      <c r="D16061" s="6">
        <v>6.3</v>
      </c>
      <c r="E16061" t="s">
        <v>26</v>
      </c>
    </row>
    <row r="16062" spans="1:5" x14ac:dyDescent="0.25">
      <c r="A16062" t="str">
        <f>HYPERLINK("https://www.773grp.com/globalSearch/UCC2921D/page-1", "UCC2921D")</f>
        <v>UCC2921D</v>
      </c>
      <c r="B16062" s="3" t="s">
        <v>90</v>
      </c>
      <c r="C16062" s="5">
        <v>310</v>
      </c>
      <c r="D16062" s="6">
        <v>6.3</v>
      </c>
      <c r="E16062" t="s">
        <v>26</v>
      </c>
    </row>
    <row r="16063" spans="1:5" x14ac:dyDescent="0.25">
      <c r="A16063" t="str">
        <f>HYPERLINK("https://www.773grp.com/globalSearch/UCC2921D/page-1", "UCC2921D")</f>
        <v>UCC2921D</v>
      </c>
      <c r="B16063" s="3" t="s">
        <v>90</v>
      </c>
      <c r="C16063" s="5">
        <v>25</v>
      </c>
      <c r="D16063" s="6">
        <v>6.3</v>
      </c>
      <c r="E16063" t="s">
        <v>26</v>
      </c>
    </row>
    <row r="16064" spans="1:5" x14ac:dyDescent="0.25">
      <c r="A16064" t="str">
        <f>HYPERLINK("https://www.773grp.com/globalSearch/UCC2921DG4/page-1", "UCC2921DG4")</f>
        <v>UCC2921DG4</v>
      </c>
      <c r="B16064" s="3" t="s">
        <v>90</v>
      </c>
      <c r="C16064" s="5">
        <v>65</v>
      </c>
      <c r="D16064" s="6">
        <v>6.3</v>
      </c>
      <c r="E16064" t="s">
        <v>26</v>
      </c>
    </row>
    <row r="16065" spans="1:5" x14ac:dyDescent="0.25">
      <c r="A16065" t="str">
        <f>HYPERLINK("https://www.773grp.com/globalSearch/BQ24031IRHLRQ1/page-1", "BQ24031IRHLRQ1")</f>
        <v>BQ24031IRHLRQ1</v>
      </c>
      <c r="B16065" s="3" t="s">
        <v>90</v>
      </c>
      <c r="C16065" s="5">
        <v>3000</v>
      </c>
      <c r="D16065" s="6">
        <v>6.33</v>
      </c>
      <c r="E16065" t="s">
        <v>26</v>
      </c>
    </row>
    <row r="16066" spans="1:5" x14ac:dyDescent="0.25">
      <c r="A16066" t="str">
        <f>HYPERLINK("https://www.773grp.com/globalSearch/UC2902DTR/page-1", "UC2902DTR")</f>
        <v>UC2902DTR</v>
      </c>
      <c r="B16066" s="3" t="s">
        <v>90</v>
      </c>
      <c r="C16066" s="5">
        <v>19682</v>
      </c>
      <c r="D16066" s="6">
        <v>6.33</v>
      </c>
      <c r="E16066" t="s">
        <v>26</v>
      </c>
    </row>
    <row r="16067" spans="1:5" x14ac:dyDescent="0.25">
      <c r="A16067" t="str">
        <f>HYPERLINK("https://www.773grp.com/globalSearch/UC3902D/page-1", "UC3902D")</f>
        <v>UC3902D</v>
      </c>
      <c r="B16067" s="3" t="s">
        <v>90</v>
      </c>
      <c r="C16067" s="5">
        <v>30261</v>
      </c>
      <c r="D16067" s="6">
        <v>6.33</v>
      </c>
      <c r="E16067" t="s">
        <v>26</v>
      </c>
    </row>
    <row r="16068" spans="1:5" x14ac:dyDescent="0.25">
      <c r="A16068" t="str">
        <f>HYPERLINK("https://www.773grp.com/globalSearch/UCC2917N/page-1", "UCC2917N")</f>
        <v>UCC2917N</v>
      </c>
      <c r="B16068" s="3" t="s">
        <v>90</v>
      </c>
      <c r="C16068" s="5">
        <v>21700</v>
      </c>
      <c r="D16068" s="6">
        <v>6.33</v>
      </c>
      <c r="E16068" t="s">
        <v>26</v>
      </c>
    </row>
    <row r="16069" spans="1:5" x14ac:dyDescent="0.25">
      <c r="A16069" t="str">
        <f>HYPERLINK("https://www.773grp.com/globalSearch/UCC3917D/page-1", "UCC3917D")</f>
        <v>UCC3917D</v>
      </c>
      <c r="B16069" s="3" t="s">
        <v>90</v>
      </c>
      <c r="C16069" s="5">
        <v>8670</v>
      </c>
      <c r="D16069" s="6">
        <v>6.33</v>
      </c>
      <c r="E16069" t="s">
        <v>26</v>
      </c>
    </row>
    <row r="16070" spans="1:5" x14ac:dyDescent="0.25">
      <c r="A16070" t="str">
        <f>HYPERLINK("https://www.773grp.com/globalSearch/UCC3917D/page-1", "UCC3917D")</f>
        <v>UCC3917D</v>
      </c>
      <c r="B16070" s="3" t="s">
        <v>90</v>
      </c>
      <c r="C16070" s="5">
        <v>193</v>
      </c>
      <c r="D16070" s="6">
        <v>6.33</v>
      </c>
      <c r="E16070" t="s">
        <v>26</v>
      </c>
    </row>
    <row r="16071" spans="1:5" x14ac:dyDescent="0.25">
      <c r="A16071" t="str">
        <f>HYPERLINK("https://www.773grp.com/globalSearch/BQ2004PN/page-1", "BQ2004PN")</f>
        <v>BQ2004PN</v>
      </c>
      <c r="B16071" s="3" t="s">
        <v>90</v>
      </c>
      <c r="C16071" s="5">
        <v>39563</v>
      </c>
      <c r="D16071" s="6">
        <v>6.36</v>
      </c>
      <c r="E16071" t="s">
        <v>26</v>
      </c>
    </row>
    <row r="16072" spans="1:5" x14ac:dyDescent="0.25">
      <c r="A16072" t="str">
        <f>HYPERLINK("https://www.773grp.com/globalSearch/BQ2004PNG4/page-1", "BQ2004PNG4")</f>
        <v>BQ2004PNG4</v>
      </c>
      <c r="B16072" s="3" t="s">
        <v>90</v>
      </c>
      <c r="C16072" s="5">
        <v>105</v>
      </c>
      <c r="D16072" s="6">
        <v>6.36</v>
      </c>
      <c r="E16072" t="s">
        <v>26</v>
      </c>
    </row>
    <row r="16073" spans="1:5" x14ac:dyDescent="0.25">
      <c r="A16073" t="str">
        <f>HYPERLINK("https://www.773grp.com/globalSearch/BQ2204ASN-NTR/page-1", "BQ2204ASN-NTR")</f>
        <v>BQ2204ASN-NTR</v>
      </c>
      <c r="B16073" s="3" t="str">
        <f>HYPERLINK("https://www.773grp.com/manufacturer/texas-instruments?pageNo=50", "Texas Instruments")</f>
        <v>Texas Instruments</v>
      </c>
      <c r="C16073" s="5">
        <v>2500</v>
      </c>
      <c r="D16073" s="6">
        <v>6.46</v>
      </c>
      <c r="E16073" t="s">
        <v>26</v>
      </c>
    </row>
    <row r="16074" spans="1:5" x14ac:dyDescent="0.25">
      <c r="A16074" t="str">
        <f>HYPERLINK("https://www.773grp.com/globalSearch/BQ24620RVAT/page-1", "BQ24620RVAT")</f>
        <v>BQ24620RVAT</v>
      </c>
      <c r="B16074" s="3" t="str">
        <f>HYPERLINK("https://www.773grp.com/manufacturer/texas-instruments?pageNo=57", "Texas Instruments")</f>
        <v>Texas Instruments</v>
      </c>
      <c r="C16074" s="5">
        <v>1250</v>
      </c>
      <c r="D16074" s="6">
        <v>6.46</v>
      </c>
      <c r="E16074" t="s">
        <v>26</v>
      </c>
    </row>
    <row r="16075" spans="1:5" x14ac:dyDescent="0.25">
      <c r="A16075" t="str">
        <f>HYPERLINK("https://www.773grp.com/globalSearch/BQ24740RHDR/page-1", "BQ24740RHDR")</f>
        <v>BQ24740RHDR</v>
      </c>
      <c r="B16075" s="3" t="str">
        <f>HYPERLINK("https://www.773grp.com/manufacturer/texas-instruments?pageNo=62", "Texas Instruments")</f>
        <v>Texas Instruments</v>
      </c>
      <c r="C16075" s="5">
        <v>2901</v>
      </c>
      <c r="D16075" s="6">
        <v>6.46</v>
      </c>
      <c r="E16075" t="s">
        <v>26</v>
      </c>
    </row>
    <row r="16076" spans="1:5" x14ac:dyDescent="0.25">
      <c r="A16076" t="str">
        <f>HYPERLINK("https://www.773grp.com/globalSearch/TPS2350D/page-1", "TPS2350D")</f>
        <v>TPS2350D</v>
      </c>
      <c r="B16076" s="3" t="str">
        <f>HYPERLINK("https://www.773grp.com/manufacturer/texas-instruments?pageNo=131", "Texas Instruments")</f>
        <v>Texas Instruments</v>
      </c>
      <c r="C16076" s="5">
        <v>3197</v>
      </c>
      <c r="D16076" s="6">
        <v>6.46</v>
      </c>
      <c r="E16076" t="s">
        <v>26</v>
      </c>
    </row>
    <row r="16077" spans="1:5" x14ac:dyDescent="0.25">
      <c r="A16077" t="str">
        <f>HYPERLINK("https://www.773grp.com/globalSearch/TPS2350PWG4/page-1", "TPS2350PWG4")</f>
        <v>TPS2350PWG4</v>
      </c>
      <c r="B16077" s="3" t="str">
        <f>HYPERLINK("https://www.773grp.com/manufacturer/texas-instruments?pageNo=133", "Texas Instruments")</f>
        <v>Texas Instruments</v>
      </c>
      <c r="C16077" s="5">
        <v>2838</v>
      </c>
      <c r="D16077" s="6">
        <v>6.46</v>
      </c>
      <c r="E16077" t="s">
        <v>26</v>
      </c>
    </row>
    <row r="16078" spans="1:5" x14ac:dyDescent="0.25">
      <c r="A16078" t="str">
        <f>HYPERLINK("https://www.773grp.com/globalSearch/TPS2458RHBT/page-1", "TPS2458RHBT")</f>
        <v>TPS2458RHBT</v>
      </c>
      <c r="B16078" s="3" t="str">
        <f>HYPERLINK("https://www.773grp.com/manufacturer/texas-instruments?pageNo=134", "Texas Instruments")</f>
        <v>Texas Instruments</v>
      </c>
      <c r="C16078" s="5">
        <v>2605</v>
      </c>
      <c r="D16078" s="6">
        <v>6.46</v>
      </c>
      <c r="E16078" t="s">
        <v>26</v>
      </c>
    </row>
    <row r="16079" spans="1:5" x14ac:dyDescent="0.25">
      <c r="A16079" t="str">
        <f>HYPERLINK("https://www.773grp.com/globalSearch/TPS3813K33MDBVREP/page-1", "TPS3813K33MDBVREP")</f>
        <v>TPS3813K33MDBVREP</v>
      </c>
      <c r="B16079" s="3" t="str">
        <f>HYPERLINK("https://www.773grp.com/manufacturer/texas-instruments?pageNo=135", "Texas Instruments")</f>
        <v>Texas Instruments</v>
      </c>
      <c r="C16079" s="5">
        <v>4599</v>
      </c>
      <c r="D16079" s="6">
        <v>6.46</v>
      </c>
      <c r="E16079" t="s">
        <v>26</v>
      </c>
    </row>
    <row r="16080" spans="1:5" x14ac:dyDescent="0.25">
      <c r="A16080" t="str">
        <f>HYPERLINK("https://www.773grp.com/globalSearch/BQ2201SN-N/page-1", "BQ2201SN-N")</f>
        <v>BQ2201SN-N</v>
      </c>
      <c r="B16080" s="3" t="str">
        <f>HYPERLINK("https://www.773grp.com/manufacturer/texas-instruments?pageNo=173", "Texas Instruments")</f>
        <v>Texas Instruments</v>
      </c>
      <c r="C16080" s="5">
        <v>1770</v>
      </c>
      <c r="D16080" s="6">
        <v>6.5</v>
      </c>
      <c r="E16080" t="s">
        <v>26</v>
      </c>
    </row>
    <row r="16081" spans="1:5" x14ac:dyDescent="0.25">
      <c r="A16081" t="str">
        <f>HYPERLINK("https://www.773grp.com/globalSearch/TPS2226DBR/page-1", "TPS2226DBR")</f>
        <v>TPS2226DBR</v>
      </c>
      <c r="B16081" s="3" t="str">
        <f>HYPERLINK("https://www.773grp.com/manufacturer/texas-instruments?pageNo=190", "Texas Instruments")</f>
        <v>Texas Instruments</v>
      </c>
      <c r="C16081" s="5">
        <v>25754</v>
      </c>
      <c r="D16081" s="6">
        <v>6.5</v>
      </c>
      <c r="E16081" t="s">
        <v>26</v>
      </c>
    </row>
    <row r="16082" spans="1:5" x14ac:dyDescent="0.25">
      <c r="A16082" t="str">
        <f>HYPERLINK("https://www.773grp.com/globalSearch/UC3903DWTR/page-1", "UC3903DWTR")</f>
        <v>UC3903DWTR</v>
      </c>
      <c r="B16082" s="3" t="str">
        <f>HYPERLINK("https://www.773grp.com/manufacturer/texas-instruments?pageNo=192", "Texas Instruments")</f>
        <v>Texas Instruments</v>
      </c>
      <c r="C16082" s="5">
        <v>10000</v>
      </c>
      <c r="D16082" s="6">
        <v>6.5</v>
      </c>
      <c r="E16082" t="s">
        <v>26</v>
      </c>
    </row>
    <row r="16083" spans="1:5" x14ac:dyDescent="0.25">
      <c r="A16083" t="str">
        <f>HYPERLINK("https://www.773grp.com/globalSearch/TPS2204APWP/page-1", "TPS2204APWP")</f>
        <v>TPS2204APWP</v>
      </c>
      <c r="B16083" s="3" t="str">
        <f>HYPERLINK("https://www.773grp.com/manufacturer/texas-instruments?pageNo=243", "Texas Instruments")</f>
        <v>Texas Instruments</v>
      </c>
      <c r="C16083" s="5">
        <v>21124</v>
      </c>
      <c r="D16083" s="6">
        <v>6.55</v>
      </c>
      <c r="E16083" t="s">
        <v>26</v>
      </c>
    </row>
    <row r="16084" spans="1:5" x14ac:dyDescent="0.25">
      <c r="A16084" t="str">
        <f>HYPERLINK("https://www.773grp.com/globalSearch/TPS2223DB/page-1", "TPS2223DB")</f>
        <v>TPS2223DB</v>
      </c>
      <c r="B16084" s="3" t="str">
        <f>HYPERLINK("https://www.773grp.com/manufacturer/texas-instruments?pageNo=244", "Texas Instruments")</f>
        <v>Texas Instruments</v>
      </c>
      <c r="C16084" s="5">
        <v>2810</v>
      </c>
      <c r="D16084" s="6">
        <v>6.55</v>
      </c>
      <c r="E16084" t="s">
        <v>26</v>
      </c>
    </row>
    <row r="16085" spans="1:5" x14ac:dyDescent="0.25">
      <c r="A16085" t="str">
        <f>HYPERLINK("https://www.773grp.com/globalSearch/TPS2223PWP/page-1", "TPS2223PWP")</f>
        <v>TPS2223PWP</v>
      </c>
      <c r="B16085" s="3" t="str">
        <f>HYPERLINK("https://www.773grp.com/manufacturer/texas-instruments?pageNo=245", "Texas Instruments")</f>
        <v>Texas Instruments</v>
      </c>
      <c r="C16085" s="5">
        <v>10866</v>
      </c>
      <c r="D16085" s="6">
        <v>6.55</v>
      </c>
      <c r="E16085" t="s">
        <v>26</v>
      </c>
    </row>
    <row r="16086" spans="1:5" x14ac:dyDescent="0.25">
      <c r="A16086" t="str">
        <f>HYPERLINK("https://www.773grp.com/globalSearch/TPS2224ADB/page-1", "TPS2224ADB")</f>
        <v>TPS2224ADB</v>
      </c>
      <c r="B16086" s="3" t="str">
        <f>HYPERLINK("https://www.773grp.com/manufacturer/texas-instruments?pageNo=246", "Texas Instruments")</f>
        <v>Texas Instruments</v>
      </c>
      <c r="C16086" s="5">
        <v>5690</v>
      </c>
      <c r="D16086" s="6">
        <v>6.55</v>
      </c>
      <c r="E16086" t="s">
        <v>26</v>
      </c>
    </row>
    <row r="16087" spans="1:5" x14ac:dyDescent="0.25">
      <c r="A16087" t="str">
        <f>HYPERLINK("https://www.773grp.com/globalSearch/TPS2224APWP/page-1", "TPS2224APWP")</f>
        <v>TPS2224APWP</v>
      </c>
      <c r="B16087" s="3" t="str">
        <f>HYPERLINK("https://www.773grp.com/manufacturer/texas-instruments?pageNo=247", "Texas Instruments")</f>
        <v>Texas Instruments</v>
      </c>
      <c r="C16087" s="5">
        <v>20629</v>
      </c>
      <c r="D16087" s="6">
        <v>6.55</v>
      </c>
      <c r="E16087" t="s">
        <v>26</v>
      </c>
    </row>
    <row r="16088" spans="1:5" x14ac:dyDescent="0.25">
      <c r="A16088" t="str">
        <f>HYPERLINK("https://www.773grp.com/globalSearch/UCC3918N/page-1", "UCC3918N")</f>
        <v>UCC3918N</v>
      </c>
      <c r="B16088" s="3" t="str">
        <f>HYPERLINK("https://www.773grp.com/manufacturer/texas-instruments?pageNo=345", "Texas Instruments")</f>
        <v>Texas Instruments</v>
      </c>
      <c r="C16088" s="5">
        <v>41</v>
      </c>
      <c r="D16088" s="6">
        <v>6.61</v>
      </c>
      <c r="E16088" t="s">
        <v>26</v>
      </c>
    </row>
    <row r="16089" spans="1:5" x14ac:dyDescent="0.25">
      <c r="A16089" t="str">
        <f>HYPERLINK("https://www.773grp.com/globalSearch/UCC3919DTR/page-1", "UCC3919DTR")</f>
        <v>UCC3919DTR</v>
      </c>
      <c r="B16089" s="3" t="str">
        <f>HYPERLINK("https://www.773grp.com/manufacturer/texas-instruments?pageNo=346", "Texas Instruments")</f>
        <v>Texas Instruments</v>
      </c>
      <c r="C16089" s="5">
        <v>25000</v>
      </c>
      <c r="D16089" s="6">
        <v>6.61</v>
      </c>
      <c r="E16089" t="s">
        <v>26</v>
      </c>
    </row>
    <row r="16090" spans="1:5" x14ac:dyDescent="0.25">
      <c r="A16090" t="str">
        <f>HYPERLINK("https://www.773grp.com/globalSearch/BQ24007PWP/page-1", "BQ24007PWP")</f>
        <v>BQ24007PWP</v>
      </c>
      <c r="B16090" s="3" t="str">
        <f>HYPERLINK("https://www.773grp.com/manufacturer/texas-instruments?pageNo=448", "Texas Instruments")</f>
        <v>Texas Instruments</v>
      </c>
      <c r="C16090" s="5">
        <v>7524</v>
      </c>
      <c r="D16090" s="6">
        <v>6.75</v>
      </c>
      <c r="E16090" t="s">
        <v>26</v>
      </c>
    </row>
    <row r="16091" spans="1:5" x14ac:dyDescent="0.25">
      <c r="A16091" t="str">
        <f>HYPERLINK("https://www.773grp.com/globalSearch/UCC3912DPTR/page-1", "UCC3912DPTR")</f>
        <v>UCC3912DPTR</v>
      </c>
      <c r="B16091" s="3" t="str">
        <f>HYPERLINK("https://www.773grp.com/manufacturer/texas-instruments?pageNo=586", "Texas Instruments")</f>
        <v>Texas Instruments</v>
      </c>
      <c r="C16091" s="5">
        <v>604900</v>
      </c>
      <c r="D16091" s="6">
        <v>6.8</v>
      </c>
      <c r="E16091" t="s">
        <v>26</v>
      </c>
    </row>
    <row r="16092" spans="1:5" x14ac:dyDescent="0.25">
      <c r="A16092" t="str">
        <f>HYPERLINK("https://www.773grp.com/globalSearch/UCC3918DPTR/page-1", "UCC3918DPTR")</f>
        <v>UCC3918DPTR</v>
      </c>
      <c r="B16092" s="3" t="str">
        <f>HYPERLINK("https://www.773grp.com/manufacturer/texas-instruments?pageNo=728", "Texas Instruments")</f>
        <v>Texas Instruments</v>
      </c>
      <c r="C16092" s="5">
        <v>85000</v>
      </c>
      <c r="D16092" s="6">
        <v>6.95</v>
      </c>
      <c r="E16092" t="s">
        <v>26</v>
      </c>
    </row>
    <row r="16093" spans="1:5" x14ac:dyDescent="0.25">
      <c r="A16093" t="str">
        <f>HYPERLINK("https://www.773grp.com/globalSearch/UC3902N/page-1", "UC3902N")</f>
        <v>UC3902N</v>
      </c>
      <c r="B16093" s="3" t="str">
        <f>HYPERLINK("https://www.773grp.com/manufacturer/texas-instruments?pageNo=736", "Texas Instruments")</f>
        <v>Texas Instruments</v>
      </c>
      <c r="C16093" s="5">
        <v>2222</v>
      </c>
      <c r="D16093" s="6">
        <v>6.98</v>
      </c>
      <c r="E16093" t="s">
        <v>26</v>
      </c>
    </row>
    <row r="16094" spans="1:5" x14ac:dyDescent="0.25">
      <c r="A16094" t="str">
        <f>HYPERLINK("https://www.773grp.com/globalSearch/BQ24001PWP/page-1", "BQ24001PWP")</f>
        <v>BQ24001PWP</v>
      </c>
      <c r="B16094" s="3" t="str">
        <f>HYPERLINK("https://www.773grp.com/manufacturer/texas-instruments?pageNo=758", "Texas Instruments")</f>
        <v>Texas Instruments</v>
      </c>
      <c r="C16094" s="5">
        <v>3306</v>
      </c>
      <c r="D16094" s="6">
        <v>7.04</v>
      </c>
      <c r="E16094" t="s">
        <v>26</v>
      </c>
    </row>
    <row r="16095" spans="1:5" x14ac:dyDescent="0.25">
      <c r="A16095" t="str">
        <f>HYPERLINK("https://www.773grp.com/globalSearch/BQ24001PWPG4/page-1", "BQ24001PWPG4")</f>
        <v>BQ24001PWPG4</v>
      </c>
      <c r="B16095" s="3" t="str">
        <f>HYPERLINK("https://www.773grp.com/manufacturer/texas-instruments?pageNo=759", "Texas Instruments")</f>
        <v>Texas Instruments</v>
      </c>
      <c r="C16095" s="5">
        <v>139</v>
      </c>
      <c r="D16095" s="6">
        <v>7.04</v>
      </c>
      <c r="E16095" t="s">
        <v>26</v>
      </c>
    </row>
    <row r="16096" spans="1:5" x14ac:dyDescent="0.25">
      <c r="A16096" t="str">
        <f>HYPERLINK("https://www.773grp.com/globalSearch/BQ24006PWP/page-1", "BQ24006PWP")</f>
        <v>BQ24006PWP</v>
      </c>
      <c r="B16096" s="3" t="str">
        <f>HYPERLINK("https://www.773grp.com/manufacturer/texas-instruments?pageNo=760", "Texas Instruments")</f>
        <v>Texas Instruments</v>
      </c>
      <c r="C16096" s="5">
        <v>803</v>
      </c>
      <c r="D16096" s="6">
        <v>7.04</v>
      </c>
      <c r="E16096" t="s">
        <v>26</v>
      </c>
    </row>
    <row r="16097" spans="1:5" x14ac:dyDescent="0.25">
      <c r="A16097" t="str">
        <f>HYPERLINK("https://www.773grp.com/globalSearch/BQ24750RHDR/page-1", "BQ24750RHDR")</f>
        <v>BQ24750RHDR</v>
      </c>
      <c r="B16097" s="3" t="str">
        <f>HYPERLINK("https://www.773grp.com/manufacturer/texas-instruments?pageNo=761", "Texas Instruments")</f>
        <v>Texas Instruments</v>
      </c>
      <c r="C16097" s="5">
        <v>367400</v>
      </c>
      <c r="D16097" s="6">
        <v>7.04</v>
      </c>
      <c r="E16097" t="s">
        <v>26</v>
      </c>
    </row>
    <row r="16098" spans="1:5" x14ac:dyDescent="0.25">
      <c r="A16098" t="str">
        <f>HYPERLINK("https://www.773grp.com/globalSearch/TL7770-12CDW/page-1", "TL7770-12CDW")</f>
        <v>TL7770-12CDW</v>
      </c>
      <c r="B16098" s="3" t="str">
        <f>HYPERLINK("https://www.773grp.com/manufacturer/texas-instruments?pageNo=851", "Texas Instruments")</f>
        <v>Texas Instruments</v>
      </c>
      <c r="C16098" s="5">
        <v>1942</v>
      </c>
      <c r="D16098" s="6">
        <v>7.04</v>
      </c>
      <c r="E16098" t="s">
        <v>26</v>
      </c>
    </row>
    <row r="16099" spans="1:5" x14ac:dyDescent="0.25">
      <c r="A16099" t="str">
        <f>HYPERLINK("https://www.773grp.com/globalSearch/TPS2043D/page-1", "TPS2043D")</f>
        <v>TPS2043D</v>
      </c>
      <c r="B16099" s="3" t="str">
        <f>HYPERLINK("https://www.773grp.com/manufacturer/texas-instruments?pageNo=865", "Texas Instruments")</f>
        <v>Texas Instruments</v>
      </c>
      <c r="C16099" s="5">
        <v>15177</v>
      </c>
      <c r="D16099" s="6">
        <v>7.04</v>
      </c>
      <c r="E16099" t="s">
        <v>26</v>
      </c>
    </row>
    <row r="16100" spans="1:5" x14ac:dyDescent="0.25">
      <c r="A16100" t="str">
        <f>HYPERLINK("https://www.773grp.com/globalSearch/TPS3610T50PW/page-1", "TPS3610T50PW")</f>
        <v>TPS3610T50PW</v>
      </c>
      <c r="B16100" s="3" t="str">
        <f>HYPERLINK("https://www.773grp.com/manufacturer/texas-instruments?pageNo=867", "Texas Instruments")</f>
        <v>Texas Instruments</v>
      </c>
      <c r="C16100" s="5">
        <v>1010</v>
      </c>
      <c r="D16100" s="6">
        <v>7.04</v>
      </c>
      <c r="E16100" t="s">
        <v>26</v>
      </c>
    </row>
    <row r="16101" spans="1:5" x14ac:dyDescent="0.25">
      <c r="A16101" t="str">
        <f>HYPERLINK("https://www.773grp.com/globalSearch/TPS3610T50PWG4/page-1", "TPS3610T50PWG4")</f>
        <v>TPS3610T50PWG4</v>
      </c>
      <c r="B16101" s="3" t="str">
        <f>HYPERLINK("https://www.773grp.com/manufacturer/texas-instruments?pageNo=868", "Texas Instruments")</f>
        <v>Texas Instruments</v>
      </c>
      <c r="C16101" s="5">
        <v>230</v>
      </c>
      <c r="D16101" s="6">
        <v>7.04</v>
      </c>
      <c r="E16101" t="s">
        <v>26</v>
      </c>
    </row>
    <row r="16102" spans="1:5" x14ac:dyDescent="0.25">
      <c r="A16102" t="str">
        <f>HYPERLINK("https://www.773grp.com/globalSearch/TPS3610U18PW/page-1", "TPS3610U18PW")</f>
        <v>TPS3610U18PW</v>
      </c>
      <c r="B16102" s="3" t="str">
        <f>HYPERLINK("https://www.773grp.com/manufacturer/texas-instruments?pageNo=869", "Texas Instruments")</f>
        <v>Texas Instruments</v>
      </c>
      <c r="C16102" s="5">
        <v>19359</v>
      </c>
      <c r="D16102" s="6">
        <v>7.04</v>
      </c>
      <c r="E16102" t="s">
        <v>26</v>
      </c>
    </row>
    <row r="16103" spans="1:5" x14ac:dyDescent="0.25">
      <c r="A16103" t="str">
        <f>HYPERLINK("https://www.773grp.com/globalSearch/UC3543DW/page-1", "UC3543DW")</f>
        <v>UC3543DW</v>
      </c>
      <c r="B16103" s="3" t="str">
        <f>HYPERLINK("https://www.773grp.com/manufacturer/texas-instruments?pageNo=897", "Texas Instruments")</f>
        <v>Texas Instruments</v>
      </c>
      <c r="C16103" s="5">
        <v>9333</v>
      </c>
      <c r="D16103" s="6">
        <v>7.04</v>
      </c>
      <c r="E16103" t="s">
        <v>26</v>
      </c>
    </row>
    <row r="16104" spans="1:5" x14ac:dyDescent="0.25">
      <c r="A16104" t="str">
        <f>HYPERLINK("https://www.773grp.com/globalSearch/UC2903N/page-1", "UC2903N")</f>
        <v>UC2903N</v>
      </c>
      <c r="B16104" s="3" t="str">
        <f>HYPERLINK("https://www.773grp.com/manufacturer/texas-instruments?pageNo=935", "Texas Instruments")</f>
        <v>Texas Instruments</v>
      </c>
      <c r="C16104" s="5">
        <v>150</v>
      </c>
      <c r="D16104" s="6">
        <v>7.09</v>
      </c>
      <c r="E16104" t="s">
        <v>26</v>
      </c>
    </row>
    <row r="16105" spans="1:5" x14ac:dyDescent="0.25">
      <c r="A16105" t="str">
        <f>HYPERLINK("https://www.773grp.com/globalSearch/UC2903N/page-1", "UC2903N")</f>
        <v>UC2903N</v>
      </c>
      <c r="B16105" s="3" t="str">
        <f>HYPERLINK("https://www.773grp.com/manufacturer/texas-instruments?pageNo=936", "Texas Instruments")</f>
        <v>Texas Instruments</v>
      </c>
      <c r="C16105" s="5">
        <v>2253</v>
      </c>
      <c r="D16105" s="6">
        <v>7.09</v>
      </c>
      <c r="E16105" t="s">
        <v>26</v>
      </c>
    </row>
    <row r="16106" spans="1:5" x14ac:dyDescent="0.25">
      <c r="A16106" t="str">
        <f>HYPERLINK("https://www.773grp.com/globalSearch/UC2903Q/page-1", "UC2903Q")</f>
        <v>UC2903Q</v>
      </c>
      <c r="B16106" s="3" t="str">
        <f>HYPERLINK("https://www.773grp.com/manufacturer/texas-instruments?pageNo=937", "Texas Instruments")</f>
        <v>Texas Instruments</v>
      </c>
      <c r="C16106" s="5">
        <v>7304</v>
      </c>
      <c r="D16106" s="6">
        <v>7.09</v>
      </c>
      <c r="E16106" t="s">
        <v>26</v>
      </c>
    </row>
    <row r="16107" spans="1:5" x14ac:dyDescent="0.25">
      <c r="A16107" t="str">
        <f>HYPERLINK("https://www.773grp.com/globalSearch/TPS650250RHBT/page-1", "TPS650250RHBT")</f>
        <v>TPS650250RHBT</v>
      </c>
      <c r="B16107" s="3" t="str">
        <f>HYPERLINK("https://www.773grp.com/manufacturer/texas-instruments?pageNo=949", "Texas Instruments")</f>
        <v>Texas Instruments</v>
      </c>
      <c r="C16107" s="5">
        <v>480</v>
      </c>
      <c r="D16107" s="6">
        <v>7.13</v>
      </c>
      <c r="E16107" t="s">
        <v>26</v>
      </c>
    </row>
    <row r="16108" spans="1:5" x14ac:dyDescent="0.25">
      <c r="A16108" t="str">
        <f>HYPERLINK("https://www.773grp.com/globalSearch/BQ24703PW/page-1", "BQ24703PW")</f>
        <v>BQ24703PW</v>
      </c>
      <c r="B16108" s="3" t="str">
        <f>HYPERLINK("https://www.773grp.com/manufacturer/texas-instruments?pageNo=968", "Texas Instruments")</f>
        <v>Texas Instruments</v>
      </c>
      <c r="C16108" s="5">
        <v>12890</v>
      </c>
      <c r="D16108" s="6">
        <v>7.18</v>
      </c>
      <c r="E16108" t="s">
        <v>26</v>
      </c>
    </row>
    <row r="16109" spans="1:5" x14ac:dyDescent="0.25">
      <c r="A16109" t="str">
        <f>HYPERLINK("https://www.773grp.com/globalSearch/BQ27500DRZT/page-1", "BQ27500DRZT")</f>
        <v>BQ27500DRZT</v>
      </c>
      <c r="B16109" s="3" t="str">
        <f>HYPERLINK("https://www.773grp.com/manufacturer/texas-instruments?pageNo=970", "Texas Instruments")</f>
        <v>Texas Instruments</v>
      </c>
      <c r="C16109" s="5">
        <v>2104</v>
      </c>
      <c r="D16109" s="6">
        <v>7.18</v>
      </c>
      <c r="E16109" t="s">
        <v>26</v>
      </c>
    </row>
    <row r="16110" spans="1:5" x14ac:dyDescent="0.25">
      <c r="A16110" t="str">
        <f>HYPERLINK("https://www.773grp.com/globalSearch/TPS2206ADAP/page-1", "TPS2206ADAP")</f>
        <v>TPS2206ADAP</v>
      </c>
      <c r="B16110" s="3" t="s">
        <v>90</v>
      </c>
      <c r="C16110" s="5">
        <v>11201</v>
      </c>
      <c r="D16110" s="6">
        <v>7.18</v>
      </c>
      <c r="E16110" t="s">
        <v>26</v>
      </c>
    </row>
    <row r="16111" spans="1:5" x14ac:dyDescent="0.25">
      <c r="A16111" t="str">
        <f>HYPERLINK("https://www.773grp.com/globalSearch/TPS2206ADB/page-1", "TPS2206ADB")</f>
        <v>TPS2206ADB</v>
      </c>
      <c r="B16111" s="3" t="s">
        <v>90</v>
      </c>
      <c r="C16111" s="5">
        <v>6559</v>
      </c>
      <c r="D16111" s="6">
        <v>7.18</v>
      </c>
      <c r="E16111" t="s">
        <v>26</v>
      </c>
    </row>
    <row r="16112" spans="1:5" x14ac:dyDescent="0.25">
      <c r="A16112" t="str">
        <f>HYPERLINK("https://www.773grp.com/globalSearch/TPS65010RGZR/page-1", "TPS65010RGZR")</f>
        <v>TPS65010RGZR</v>
      </c>
      <c r="B16112" s="3" t="s">
        <v>90</v>
      </c>
      <c r="C16112" s="5">
        <v>62235</v>
      </c>
      <c r="D16112" s="6">
        <v>7.18</v>
      </c>
      <c r="E16112" t="s">
        <v>26</v>
      </c>
    </row>
    <row r="16113" spans="1:5" x14ac:dyDescent="0.25">
      <c r="A16113" t="str">
        <f>HYPERLINK("https://www.773grp.com/globalSearch/TPS65011RGZR/page-1", "TPS65011RGZR")</f>
        <v>TPS65011RGZR</v>
      </c>
      <c r="B16113" s="3" t="s">
        <v>90</v>
      </c>
      <c r="C16113" s="5">
        <v>67500</v>
      </c>
      <c r="D16113" s="6">
        <v>7.18</v>
      </c>
      <c r="E16113" t="s">
        <v>26</v>
      </c>
    </row>
    <row r="16114" spans="1:5" x14ac:dyDescent="0.25">
      <c r="A16114" t="str">
        <f>HYPERLINK("https://www.773grp.com/globalSearch/TPS65012RGZR/page-1", "TPS65012RGZR")</f>
        <v>TPS65012RGZR</v>
      </c>
      <c r="B16114" s="3" t="s">
        <v>90</v>
      </c>
      <c r="C16114" s="5">
        <v>20000</v>
      </c>
      <c r="D16114" s="6">
        <v>7.18</v>
      </c>
      <c r="E16114" t="s">
        <v>26</v>
      </c>
    </row>
    <row r="16115" spans="1:5" x14ac:dyDescent="0.25">
      <c r="A16115" t="str">
        <f>HYPERLINK("https://www.773grp.com/globalSearch/TPS65013RGZR/page-1", "TPS65013RGZR")</f>
        <v>TPS65013RGZR</v>
      </c>
      <c r="B16115" s="3" t="s">
        <v>90</v>
      </c>
      <c r="C16115" s="5">
        <v>5000</v>
      </c>
      <c r="D16115" s="6">
        <v>7.18</v>
      </c>
      <c r="E16115" t="s">
        <v>26</v>
      </c>
    </row>
    <row r="16116" spans="1:5" x14ac:dyDescent="0.25">
      <c r="A16116" t="str">
        <f>HYPERLINK("https://www.773grp.com/globalSearch/TPS65014RGZR/page-1", "TPS65014RGZR")</f>
        <v>TPS65014RGZR</v>
      </c>
      <c r="B16116" s="3" t="s">
        <v>90</v>
      </c>
      <c r="C16116" s="5">
        <v>42500</v>
      </c>
      <c r="D16116" s="6">
        <v>7.18</v>
      </c>
      <c r="E16116" t="s">
        <v>26</v>
      </c>
    </row>
    <row r="16117" spans="1:5" x14ac:dyDescent="0.25">
      <c r="A16117" t="str">
        <f>HYPERLINK("https://www.773grp.com/globalSearch/UC2903QTR/page-1", "UC2903QTR")</f>
        <v>UC2903QTR</v>
      </c>
      <c r="B16117" s="3" t="s">
        <v>90</v>
      </c>
      <c r="C16117" s="5">
        <v>1000</v>
      </c>
      <c r="D16117" s="6">
        <v>7.18</v>
      </c>
      <c r="E16117" t="s">
        <v>26</v>
      </c>
    </row>
    <row r="16118" spans="1:5" x14ac:dyDescent="0.25">
      <c r="A16118" t="str">
        <f>HYPERLINK("https://www.773grp.com/globalSearch/UCC3915N/page-1", "UCC3915N")</f>
        <v>UCC3915N</v>
      </c>
      <c r="B16118" s="3" t="s">
        <v>90</v>
      </c>
      <c r="C16118" s="5">
        <v>1150</v>
      </c>
      <c r="D16118" s="6">
        <v>7.18</v>
      </c>
      <c r="E16118" t="s">
        <v>26</v>
      </c>
    </row>
    <row r="16119" spans="1:5" x14ac:dyDescent="0.25">
      <c r="A16119" t="str">
        <f>HYPERLINK("https://www.773grp.com/globalSearch/BQ2023PWR/page-1", "BQ2023PWR")</f>
        <v>BQ2023PWR</v>
      </c>
      <c r="B16119" s="3" t="s">
        <v>90</v>
      </c>
      <c r="C16119" s="5">
        <v>66000</v>
      </c>
      <c r="D16119" s="6">
        <v>7.23</v>
      </c>
      <c r="E16119" t="s">
        <v>26</v>
      </c>
    </row>
    <row r="16120" spans="1:5" x14ac:dyDescent="0.25">
      <c r="A16120" t="str">
        <f>HYPERLINK("https://www.773grp.com/globalSearch/TPS2224DB/page-1", "TPS2224DB")</f>
        <v>TPS2224DB</v>
      </c>
      <c r="B16120" s="3" t="s">
        <v>90</v>
      </c>
      <c r="C16120" s="5">
        <v>960</v>
      </c>
      <c r="D16120" s="6">
        <v>7.26</v>
      </c>
      <c r="E16120" t="s">
        <v>26</v>
      </c>
    </row>
    <row r="16121" spans="1:5" x14ac:dyDescent="0.25">
      <c r="A16121" t="str">
        <f>HYPERLINK("https://www.773grp.com/globalSearch/TPS2224PWP/page-1", "TPS2224PWP")</f>
        <v>TPS2224PWP</v>
      </c>
      <c r="B16121" s="3" t="s">
        <v>90</v>
      </c>
      <c r="C16121" s="5">
        <v>1218</v>
      </c>
      <c r="D16121" s="6">
        <v>7.26</v>
      </c>
      <c r="E16121" t="s">
        <v>26</v>
      </c>
    </row>
    <row r="16122" spans="1:5" x14ac:dyDescent="0.25">
      <c r="A16122" t="str">
        <f>HYPERLINK("https://www.773grp.com/globalSearch/TPS650242RHBR/page-1", "TPS650242RHBR")</f>
        <v>TPS650242RHBR</v>
      </c>
      <c r="B16122" s="3" t="s">
        <v>90</v>
      </c>
      <c r="C16122" s="5">
        <v>12000</v>
      </c>
      <c r="D16122" s="6">
        <v>7.31</v>
      </c>
      <c r="E16122" t="s">
        <v>26</v>
      </c>
    </row>
    <row r="16123" spans="1:5" x14ac:dyDescent="0.25">
      <c r="A16123" t="str">
        <f>HYPERLINK("https://www.773grp.com/globalSearch/TPS650245RHBR/page-1", "TPS650245RHBR")</f>
        <v>TPS650245RHBR</v>
      </c>
      <c r="B16123" s="3" t="s">
        <v>90</v>
      </c>
      <c r="C16123" s="5">
        <v>3000</v>
      </c>
      <c r="D16123" s="6">
        <v>7.31</v>
      </c>
      <c r="E16123" t="s">
        <v>26</v>
      </c>
    </row>
    <row r="16124" spans="1:5" x14ac:dyDescent="0.25">
      <c r="A16124" t="str">
        <f>HYPERLINK("https://www.773grp.com/globalSearch/UC2902D/page-1", "UC2902D")</f>
        <v>UC2902D</v>
      </c>
      <c r="B16124" s="3" t="s">
        <v>90</v>
      </c>
      <c r="C16124" s="5">
        <v>11955</v>
      </c>
      <c r="D16124" s="6">
        <v>7.31</v>
      </c>
      <c r="E16124" t="s">
        <v>26</v>
      </c>
    </row>
    <row r="16125" spans="1:5" x14ac:dyDescent="0.25">
      <c r="A16125" t="str">
        <f>HYPERLINK("https://www.773grp.com/globalSearch/UCC2917D/page-1", "UCC2917D")</f>
        <v>UCC2917D</v>
      </c>
      <c r="B16125" s="3" t="s">
        <v>90</v>
      </c>
      <c r="C16125" s="5">
        <v>19333</v>
      </c>
      <c r="D16125" s="6">
        <v>7.31</v>
      </c>
      <c r="E16125" t="s">
        <v>26</v>
      </c>
    </row>
    <row r="16126" spans="1:5" x14ac:dyDescent="0.25">
      <c r="A16126" t="str">
        <f>HYPERLINK("https://www.773grp.com/globalSearch/UC2903DWTRG4/page-1", "UC2903DWTRG4")</f>
        <v>UC2903DWTRG4</v>
      </c>
      <c r="B16126" s="3" t="s">
        <v>90</v>
      </c>
      <c r="C16126" s="5">
        <v>2000</v>
      </c>
      <c r="D16126" s="6">
        <v>7.38</v>
      </c>
      <c r="E16126" t="s">
        <v>26</v>
      </c>
    </row>
    <row r="16127" spans="1:5" x14ac:dyDescent="0.25">
      <c r="A16127" t="str">
        <f>HYPERLINK("https://www.773grp.com/globalSearch/UC3543N/page-1", "UC3543N")</f>
        <v>UC3543N</v>
      </c>
      <c r="B16127" s="3" t="s">
        <v>90</v>
      </c>
      <c r="C16127" s="5">
        <v>2843</v>
      </c>
      <c r="D16127" s="6">
        <v>7.39</v>
      </c>
      <c r="E16127" t="s">
        <v>26</v>
      </c>
    </row>
    <row r="16128" spans="1:5" x14ac:dyDescent="0.25">
      <c r="A16128" t="str">
        <f>HYPERLINK("https://www.773grp.com/globalSearch/UC3543N/page-1", "UC3543N")</f>
        <v>UC3543N</v>
      </c>
      <c r="B16128" s="3" t="s">
        <v>90</v>
      </c>
      <c r="C16128" s="5">
        <v>5325</v>
      </c>
      <c r="D16128" s="6">
        <v>7.39</v>
      </c>
      <c r="E16128" t="s">
        <v>26</v>
      </c>
    </row>
    <row r="16129" spans="1:5" x14ac:dyDescent="0.25">
      <c r="A16129" t="str">
        <f>HYPERLINK("https://www.773grp.com/globalSearch/UC3903DW/page-1", "UC3903DW")</f>
        <v>UC3903DW</v>
      </c>
      <c r="B16129" s="3" t="s">
        <v>90</v>
      </c>
      <c r="C16129" s="5">
        <v>9515</v>
      </c>
      <c r="D16129" s="6">
        <v>7.39</v>
      </c>
      <c r="E16129" t="s">
        <v>26</v>
      </c>
    </row>
    <row r="16130" spans="1:5" x14ac:dyDescent="0.25">
      <c r="A16130" t="str">
        <f>HYPERLINK("https://www.773grp.com/globalSearch/UC3907DW/page-1", "UC3907DW")</f>
        <v>UC3907DW</v>
      </c>
      <c r="B16130" s="3" t="s">
        <v>90</v>
      </c>
      <c r="C16130" s="5">
        <v>6918</v>
      </c>
      <c r="D16130" s="6">
        <v>7.39</v>
      </c>
      <c r="E16130" t="s">
        <v>26</v>
      </c>
    </row>
    <row r="16131" spans="1:5" x14ac:dyDescent="0.25">
      <c r="A16131" t="str">
        <f>HYPERLINK("https://www.773grp.com/globalSearch/UC3907DW/page-1", "UC3907DW")</f>
        <v>UC3907DW</v>
      </c>
      <c r="B16131" s="3" t="s">
        <v>90</v>
      </c>
      <c r="C16131" s="5">
        <v>12000</v>
      </c>
      <c r="D16131" s="6">
        <v>7.39</v>
      </c>
      <c r="E16131" t="s">
        <v>26</v>
      </c>
    </row>
    <row r="16132" spans="1:5" x14ac:dyDescent="0.25">
      <c r="A16132" t="str">
        <f>HYPERLINK("https://www.773grp.com/globalSearch/BQ24740RHDT/page-1", "BQ24740RHDT")</f>
        <v>BQ24740RHDT</v>
      </c>
      <c r="B16132" s="3" t="s">
        <v>90</v>
      </c>
      <c r="C16132" s="5">
        <v>911</v>
      </c>
      <c r="D16132" s="6">
        <v>7.46</v>
      </c>
      <c r="E16132" t="s">
        <v>26</v>
      </c>
    </row>
    <row r="16133" spans="1:5" x14ac:dyDescent="0.25">
      <c r="A16133" t="str">
        <f>HYPERLINK("https://www.773grp.com/globalSearch/BQ24741RHDT/page-1", "BQ24741RHDT")</f>
        <v>BQ24741RHDT</v>
      </c>
      <c r="B16133" s="3" t="s">
        <v>90</v>
      </c>
      <c r="C16133" s="5">
        <v>14750</v>
      </c>
      <c r="D16133" s="6">
        <v>7.46</v>
      </c>
      <c r="E16133" t="s">
        <v>26</v>
      </c>
    </row>
    <row r="16134" spans="1:5" x14ac:dyDescent="0.25">
      <c r="A16134" t="str">
        <f>HYPERLINK("https://www.773grp.com/globalSearch/BQ24742RHDT/page-1", "BQ24742RHDT")</f>
        <v>BQ24742RHDT</v>
      </c>
      <c r="B16134" s="3" t="s">
        <v>90</v>
      </c>
      <c r="C16134" s="5">
        <v>4451</v>
      </c>
      <c r="D16134" s="6">
        <v>7.46</v>
      </c>
      <c r="E16134" t="s">
        <v>26</v>
      </c>
    </row>
    <row r="16135" spans="1:5" x14ac:dyDescent="0.25">
      <c r="A16135" t="str">
        <f>HYPERLINK("https://www.773grp.com/globalSearch/TPS2370PW/page-1", "TPS2370PW")</f>
        <v>TPS2370PW</v>
      </c>
      <c r="B16135" s="3" t="s">
        <v>90</v>
      </c>
      <c r="C16135" s="5">
        <v>13294</v>
      </c>
      <c r="D16135" s="6">
        <v>7.46</v>
      </c>
      <c r="E16135" t="s">
        <v>26</v>
      </c>
    </row>
    <row r="16136" spans="1:5" x14ac:dyDescent="0.25">
      <c r="A16136" t="str">
        <f>HYPERLINK("https://www.773grp.com/globalSearch/UCC3915DPTR/page-1", "UCC3915DPTR")</f>
        <v>UCC3915DPTR</v>
      </c>
      <c r="B16136" s="3" t="s">
        <v>90</v>
      </c>
      <c r="C16136" s="5">
        <v>19946</v>
      </c>
      <c r="D16136" s="6">
        <v>7.54</v>
      </c>
      <c r="E16136" t="s">
        <v>26</v>
      </c>
    </row>
    <row r="16137" spans="1:5" x14ac:dyDescent="0.25">
      <c r="A16137" t="str">
        <f>HYPERLINK("https://www.773grp.com/globalSearch/TPS3307-18MDREP/page-1", "TPS3307-18MDREP")</f>
        <v>TPS3307-18MDREP</v>
      </c>
      <c r="B16137" s="3" t="s">
        <v>90</v>
      </c>
      <c r="C16137" s="5">
        <v>4372</v>
      </c>
      <c r="D16137" s="6">
        <v>7.6</v>
      </c>
      <c r="E16137" t="s">
        <v>26</v>
      </c>
    </row>
    <row r="16138" spans="1:5" x14ac:dyDescent="0.25">
      <c r="A16138" t="str">
        <f>HYPERLINK("https://www.773grp.com/globalSearch/UCC2912N/page-1", "UCC2912N")</f>
        <v>UCC2912N</v>
      </c>
      <c r="B16138" s="3" t="s">
        <v>90</v>
      </c>
      <c r="C16138" s="5">
        <v>6475</v>
      </c>
      <c r="D16138" s="6">
        <v>7.6</v>
      </c>
      <c r="E16138" t="s">
        <v>26</v>
      </c>
    </row>
    <row r="16139" spans="1:5" x14ac:dyDescent="0.25">
      <c r="A16139" t="str">
        <f>HYPERLINK("https://www.773grp.com/globalSearch/UCC3957M-1/page-1", "UCC3957M-1")</f>
        <v>UCC3957M-1</v>
      </c>
      <c r="B16139" s="3" t="s">
        <v>90</v>
      </c>
      <c r="C16139" s="5">
        <v>2975</v>
      </c>
      <c r="D16139" s="6">
        <v>7.6</v>
      </c>
      <c r="E16139" t="s">
        <v>26</v>
      </c>
    </row>
    <row r="16140" spans="1:5" x14ac:dyDescent="0.25">
      <c r="A16140" t="str">
        <f>HYPERLINK("https://www.773grp.com/globalSearch/UCC3957M-3/page-1", "UCC3957M-3")</f>
        <v>UCC3957M-3</v>
      </c>
      <c r="B16140" s="3" t="s">
        <v>90</v>
      </c>
      <c r="C16140" s="5">
        <v>3</v>
      </c>
      <c r="D16140" s="6">
        <v>7.6</v>
      </c>
      <c r="E16140" t="s">
        <v>26</v>
      </c>
    </row>
    <row r="16141" spans="1:5" x14ac:dyDescent="0.25">
      <c r="A16141" t="str">
        <f>HYPERLINK("https://www.773grp.com/globalSearch/BQ24600RVAR/page-1", "BQ24600RVAR")</f>
        <v>BQ24600RVAR</v>
      </c>
      <c r="B16141" s="3" t="s">
        <v>90</v>
      </c>
      <c r="C16141" s="5">
        <v>38950</v>
      </c>
      <c r="D16141" s="6">
        <v>7.73</v>
      </c>
      <c r="E16141" t="s">
        <v>26</v>
      </c>
    </row>
    <row r="16142" spans="1:5" x14ac:dyDescent="0.25">
      <c r="A16142" t="str">
        <f>HYPERLINK("https://www.773grp.com/globalSearch/BQ24610RGER/page-1", "BQ24610RGER")</f>
        <v>BQ24610RGER</v>
      </c>
      <c r="B16142" s="3" t="s">
        <v>90</v>
      </c>
      <c r="C16142" s="5">
        <v>32800</v>
      </c>
      <c r="D16142" s="6">
        <v>7.73</v>
      </c>
      <c r="E16142" t="s">
        <v>26</v>
      </c>
    </row>
    <row r="16143" spans="1:5" x14ac:dyDescent="0.25">
      <c r="A16143" t="str">
        <f>HYPERLINK("https://www.773grp.com/globalSearch/BQ24704RGER/page-1", "BQ24704RGER")</f>
        <v>BQ24704RGER</v>
      </c>
      <c r="B16143" s="3" t="s">
        <v>90</v>
      </c>
      <c r="C16143" s="5">
        <v>201000</v>
      </c>
      <c r="D16143" s="6">
        <v>7.73</v>
      </c>
      <c r="E16143" t="s">
        <v>26</v>
      </c>
    </row>
    <row r="16144" spans="1:5" x14ac:dyDescent="0.25">
      <c r="A16144" t="str">
        <f>HYPERLINK("https://www.773grp.com/globalSearch/BQ24705RGER/page-1", "BQ24705RGER")</f>
        <v>BQ24705RGER</v>
      </c>
      <c r="B16144" s="3" t="s">
        <v>90</v>
      </c>
      <c r="C16144" s="5">
        <v>81000</v>
      </c>
      <c r="D16144" s="6">
        <v>7.73</v>
      </c>
      <c r="E16144" t="s">
        <v>26</v>
      </c>
    </row>
    <row r="16145" spans="1:5" x14ac:dyDescent="0.25">
      <c r="A16145" t="str">
        <f>HYPERLINK("https://www.773grp.com/globalSearch/TPS2053D/page-1", "TPS2053D")</f>
        <v>TPS2053D</v>
      </c>
      <c r="B16145" s="3" t="s">
        <v>90</v>
      </c>
      <c r="C16145" s="5">
        <v>3047</v>
      </c>
      <c r="D16145" s="6">
        <v>7.73</v>
      </c>
      <c r="E16145" t="s">
        <v>26</v>
      </c>
    </row>
    <row r="16146" spans="1:5" x14ac:dyDescent="0.25">
      <c r="A16146" t="str">
        <f>HYPERLINK("https://www.773grp.com/globalSearch/UC2906DWTR/page-1", "UC2906DWTR")</f>
        <v>UC2906DWTR</v>
      </c>
      <c r="B16146" s="3" t="s">
        <v>90</v>
      </c>
      <c r="C16146" s="5">
        <v>2000</v>
      </c>
      <c r="D16146" s="6">
        <v>7.73</v>
      </c>
      <c r="E16146" t="s">
        <v>26</v>
      </c>
    </row>
    <row r="16147" spans="1:5" x14ac:dyDescent="0.25">
      <c r="A16147" t="str">
        <f>HYPERLINK("https://www.773grp.com/globalSearch/UC2906N/page-1", "UC2906N")</f>
        <v>UC2906N</v>
      </c>
      <c r="B16147" s="3" t="s">
        <v>90</v>
      </c>
      <c r="C16147" s="5">
        <v>2904</v>
      </c>
      <c r="D16147" s="6">
        <v>7.73</v>
      </c>
      <c r="E16147" t="s">
        <v>26</v>
      </c>
    </row>
    <row r="16148" spans="1:5" x14ac:dyDescent="0.25">
      <c r="A16148" t="str">
        <f>HYPERLINK("https://www.773grp.com/globalSearch/UC2906Q/page-1", "UC2906Q")</f>
        <v>UC2906Q</v>
      </c>
      <c r="B16148" s="3" t="s">
        <v>90</v>
      </c>
      <c r="C16148" s="5">
        <v>1948</v>
      </c>
      <c r="D16148" s="6">
        <v>7.73</v>
      </c>
      <c r="E16148" t="s">
        <v>26</v>
      </c>
    </row>
    <row r="16149" spans="1:5" x14ac:dyDescent="0.25">
      <c r="A16149" t="str">
        <f>HYPERLINK("https://www.773grp.com/globalSearch/UC2906Q/page-1", "UC2906Q")</f>
        <v>UC2906Q</v>
      </c>
      <c r="B16149" s="3" t="s">
        <v>90</v>
      </c>
      <c r="C16149" s="5">
        <v>3312</v>
      </c>
      <c r="D16149" s="6">
        <v>7.73</v>
      </c>
      <c r="E16149" t="s">
        <v>26</v>
      </c>
    </row>
    <row r="16150" spans="1:5" x14ac:dyDescent="0.25">
      <c r="A16150" t="str">
        <f>HYPERLINK("https://www.773grp.com/globalSearch/UC2906Q/page-1", "UC2906Q")</f>
        <v>UC2906Q</v>
      </c>
      <c r="B16150" s="3" t="s">
        <v>90</v>
      </c>
      <c r="C16150" s="5">
        <v>590</v>
      </c>
      <c r="D16150" s="6">
        <v>7.73</v>
      </c>
      <c r="E16150" t="s">
        <v>26</v>
      </c>
    </row>
    <row r="16151" spans="1:5" x14ac:dyDescent="0.25">
      <c r="A16151" t="str">
        <f>HYPERLINK("https://www.773grp.com/globalSearch/UC3906DWTR/page-1", "UC3906DWTR")</f>
        <v>UC3906DWTR</v>
      </c>
      <c r="B16151" s="3" t="s">
        <v>90</v>
      </c>
      <c r="C16151" s="5">
        <v>9896</v>
      </c>
      <c r="D16151" s="6">
        <v>7.73</v>
      </c>
      <c r="E16151" t="s">
        <v>26</v>
      </c>
    </row>
    <row r="16152" spans="1:5" x14ac:dyDescent="0.25">
      <c r="A16152" t="str">
        <f>HYPERLINK("https://www.773grp.com/globalSearch/UC3906QTR/page-1", "UC3906QTR")</f>
        <v>UC3906QTR</v>
      </c>
      <c r="B16152" s="3" t="s">
        <v>90</v>
      </c>
      <c r="C16152" s="5">
        <v>17000</v>
      </c>
      <c r="D16152" s="6">
        <v>7.73</v>
      </c>
      <c r="E16152" t="s">
        <v>26</v>
      </c>
    </row>
    <row r="16153" spans="1:5" x14ac:dyDescent="0.25">
      <c r="A16153" t="str">
        <f>HYPERLINK("https://www.773grp.com/globalSearch/TPS2226DB/page-1", "TPS2226DB")</f>
        <v>TPS2226DB</v>
      </c>
      <c r="B16153" s="3" t="s">
        <v>90</v>
      </c>
      <c r="C16153" s="5">
        <v>16817</v>
      </c>
      <c r="D16153" s="6">
        <v>7.8</v>
      </c>
      <c r="E16153" t="s">
        <v>26</v>
      </c>
    </row>
    <row r="16154" spans="1:5" x14ac:dyDescent="0.25">
      <c r="A16154" t="str">
        <f>HYPERLINK("https://www.773grp.com/globalSearch/UCC3911DP-1/page-1", "UCC3911DP-1")</f>
        <v>UCC3911DP-1</v>
      </c>
      <c r="B16154" s="3" t="s">
        <v>90</v>
      </c>
      <c r="C16154" s="5">
        <v>3160</v>
      </c>
      <c r="D16154" s="6">
        <v>7.81</v>
      </c>
      <c r="E16154" t="s">
        <v>26</v>
      </c>
    </row>
    <row r="16155" spans="1:5" x14ac:dyDescent="0.25">
      <c r="A16155" t="str">
        <f>HYPERLINK("https://www.773grp.com/globalSearch/UCC3911DP-1/page-1", "UCC3911DP-1")</f>
        <v>UCC3911DP-1</v>
      </c>
      <c r="B16155" s="3" t="s">
        <v>90</v>
      </c>
      <c r="C16155" s="5">
        <v>1780</v>
      </c>
      <c r="D16155" s="6">
        <v>7.81</v>
      </c>
      <c r="E16155" t="s">
        <v>26</v>
      </c>
    </row>
    <row r="16156" spans="1:5" x14ac:dyDescent="0.25">
      <c r="A16156" t="str">
        <f>HYPERLINK("https://www.773grp.com/globalSearch/UCC3911DP-2/page-1", "UCC3911DP-2")</f>
        <v>UCC3911DP-2</v>
      </c>
      <c r="B16156" s="3" t="s">
        <v>90</v>
      </c>
      <c r="C16156" s="5">
        <v>1550</v>
      </c>
      <c r="D16156" s="6">
        <v>7.81</v>
      </c>
      <c r="E16156" t="s">
        <v>26</v>
      </c>
    </row>
    <row r="16157" spans="1:5" x14ac:dyDescent="0.25">
      <c r="A16157" t="str">
        <f>HYPERLINK("https://www.773grp.com/globalSearch/UCC3911DP-4/page-1", "UCC3911DP-4")</f>
        <v>UCC3911DP-4</v>
      </c>
      <c r="B16157" s="3" t="s">
        <v>90</v>
      </c>
      <c r="C16157" s="5">
        <v>10920</v>
      </c>
      <c r="D16157" s="6">
        <v>7.81</v>
      </c>
      <c r="E16157" t="s">
        <v>26</v>
      </c>
    </row>
    <row r="16158" spans="1:5" x14ac:dyDescent="0.25">
      <c r="A16158" t="str">
        <f>HYPERLINK("https://www.773grp.com/globalSearch/UCC2919DTR/page-1", "UCC2919DTR")</f>
        <v>UCC2919DTR</v>
      </c>
      <c r="B16158" s="3" t="s">
        <v>90</v>
      </c>
      <c r="C16158" s="5">
        <v>25000</v>
      </c>
      <c r="D16158" s="6">
        <v>7.88</v>
      </c>
      <c r="E16158" t="s">
        <v>26</v>
      </c>
    </row>
    <row r="16159" spans="1:5" x14ac:dyDescent="0.25">
      <c r="A16159" t="str">
        <f>HYPERLINK("https://www.773grp.com/globalSearch/UCC3919D/page-1", "UCC3919D")</f>
        <v>UCC3919D</v>
      </c>
      <c r="B16159" s="3" t="s">
        <v>90</v>
      </c>
      <c r="C16159" s="5">
        <v>12632</v>
      </c>
      <c r="D16159" s="6">
        <v>7.88</v>
      </c>
      <c r="E16159" t="s">
        <v>26</v>
      </c>
    </row>
    <row r="16160" spans="1:5" x14ac:dyDescent="0.25">
      <c r="A16160" t="str">
        <f>HYPERLINK("https://www.773grp.com/globalSearch/UCC3919D/page-1", "UCC3919D")</f>
        <v>UCC3919D</v>
      </c>
      <c r="B16160" s="3" t="s">
        <v>90</v>
      </c>
      <c r="C16160" s="5">
        <v>1045</v>
      </c>
      <c r="D16160" s="6">
        <v>7.88</v>
      </c>
      <c r="E16160" t="s">
        <v>26</v>
      </c>
    </row>
    <row r="16161" spans="1:5" x14ac:dyDescent="0.25">
      <c r="A16161" t="str">
        <f>HYPERLINK("https://www.773grp.com/globalSearch/UCC3919PW/page-1", "UCC3919PW")</f>
        <v>UCC3919PW</v>
      </c>
      <c r="B16161" s="3" t="s">
        <v>90</v>
      </c>
      <c r="C16161" s="5">
        <v>19665</v>
      </c>
      <c r="D16161" s="6">
        <v>7.88</v>
      </c>
      <c r="E16161" t="s">
        <v>26</v>
      </c>
    </row>
    <row r="16162" spans="1:5" x14ac:dyDescent="0.25">
      <c r="A16162" t="str">
        <f>HYPERLINK("https://www.773grp.com/globalSearch/TPS3620-33MDGKREP/page-1", "TPS3620-33MDGKREP")</f>
        <v>TPS3620-33MDGKREP</v>
      </c>
      <c r="B16162" s="3" t="s">
        <v>90</v>
      </c>
      <c r="C16162" s="5">
        <v>2206</v>
      </c>
      <c r="D16162" s="6">
        <v>8.01</v>
      </c>
      <c r="E16162" t="s">
        <v>26</v>
      </c>
    </row>
    <row r="16163" spans="1:5" x14ac:dyDescent="0.25">
      <c r="A16163" t="str">
        <f>HYPERLINK("https://www.773grp.com/globalSearch/UC2902N/page-1", "UC2902N")</f>
        <v>UC2902N</v>
      </c>
      <c r="B16163" s="3" t="s">
        <v>90</v>
      </c>
      <c r="C16163" s="5">
        <v>3623</v>
      </c>
      <c r="D16163" s="6">
        <v>8.01</v>
      </c>
      <c r="E16163" t="s">
        <v>26</v>
      </c>
    </row>
    <row r="16164" spans="1:5" x14ac:dyDescent="0.25">
      <c r="A16164" t="str">
        <f>HYPERLINK("https://www.773grp.com/globalSearch/UC3910D/page-1", "UC3910D")</f>
        <v>UC3910D</v>
      </c>
      <c r="B16164" s="3" t="s">
        <v>90</v>
      </c>
      <c r="C16164" s="5">
        <v>320</v>
      </c>
      <c r="D16164" s="6">
        <v>8.01</v>
      </c>
      <c r="E16164" t="s">
        <v>26</v>
      </c>
    </row>
    <row r="16165" spans="1:5" x14ac:dyDescent="0.25">
      <c r="A16165" t="str">
        <f>HYPERLINK("https://www.773grp.com/globalSearch/TPS2216ADBR/page-1", "TPS2216ADBR")</f>
        <v>TPS2216ADBR</v>
      </c>
      <c r="B16165" s="3" t="s">
        <v>90</v>
      </c>
      <c r="C16165" s="5">
        <v>12000</v>
      </c>
      <c r="D16165" s="6">
        <v>8.06</v>
      </c>
      <c r="E16165" t="s">
        <v>26</v>
      </c>
    </row>
    <row r="16166" spans="1:5" x14ac:dyDescent="0.25">
      <c r="A16166" t="str">
        <f>HYPERLINK("https://www.773grp.com/globalSearch/UCC3958PWP-1/page-1", "UCC3958PWP-1")</f>
        <v>UCC3958PWP-1</v>
      </c>
      <c r="B16166" s="3" t="s">
        <v>90</v>
      </c>
      <c r="C16166" s="5">
        <v>287</v>
      </c>
      <c r="D16166" s="6">
        <v>8.06</v>
      </c>
      <c r="E16166" t="s">
        <v>26</v>
      </c>
    </row>
    <row r="16167" spans="1:5" x14ac:dyDescent="0.25">
      <c r="A16167" t="str">
        <f>HYPERLINK("https://www.773grp.com/globalSearch/UCC3912DP/page-1", "UCC3912DP")</f>
        <v>UCC3912DP</v>
      </c>
      <c r="B16167" s="3" t="s">
        <v>90</v>
      </c>
      <c r="C16167" s="5">
        <v>26824</v>
      </c>
      <c r="D16167" s="6">
        <v>8.1</v>
      </c>
      <c r="E16167" t="s">
        <v>26</v>
      </c>
    </row>
    <row r="16168" spans="1:5" x14ac:dyDescent="0.25">
      <c r="A16168" t="str">
        <f>HYPERLINK("https://www.773grp.com/globalSearch/UCC3912DPG4/page-1", "UCC3912DPG4")</f>
        <v>UCC3912DPG4</v>
      </c>
      <c r="B16168" s="3" t="s">
        <v>90</v>
      </c>
      <c r="C16168" s="5">
        <v>1600</v>
      </c>
      <c r="D16168" s="6">
        <v>8.1</v>
      </c>
      <c r="E16168" t="s">
        <v>26</v>
      </c>
    </row>
    <row r="16169" spans="1:5" x14ac:dyDescent="0.25">
      <c r="A16169" t="str">
        <f>HYPERLINK("https://www.773grp.com/globalSearch/UCC3912PWP/page-1", "UCC3912PWP")</f>
        <v>UCC3912PWP</v>
      </c>
      <c r="B16169" s="3" t="s">
        <v>90</v>
      </c>
      <c r="C16169" s="5">
        <v>3847</v>
      </c>
      <c r="D16169" s="6">
        <v>8.1</v>
      </c>
      <c r="E16169" t="s">
        <v>26</v>
      </c>
    </row>
    <row r="16170" spans="1:5" x14ac:dyDescent="0.25">
      <c r="A16170" t="str">
        <f>HYPERLINK("https://www.773grp.com/globalSearch/BQ24153YFFT/page-1", "BQ24153YFFT")</f>
        <v>BQ24153YFFT</v>
      </c>
      <c r="B16170" s="3" t="s">
        <v>90</v>
      </c>
      <c r="C16170" s="5">
        <v>1250</v>
      </c>
      <c r="D16170" s="6">
        <v>8.15</v>
      </c>
      <c r="E16170" t="s">
        <v>26</v>
      </c>
    </row>
    <row r="16171" spans="1:5" x14ac:dyDescent="0.25">
      <c r="A16171" t="str">
        <f>HYPERLINK("https://www.773grp.com/globalSearch/BQ24745RHDR/page-1", "BQ24745RHDR")</f>
        <v>BQ24745RHDR</v>
      </c>
      <c r="B16171" s="3" t="s">
        <v>90</v>
      </c>
      <c r="C16171" s="5">
        <v>6000</v>
      </c>
      <c r="D16171" s="6">
        <v>8.15</v>
      </c>
      <c r="E16171" t="s">
        <v>26</v>
      </c>
    </row>
    <row r="16172" spans="1:5" x14ac:dyDescent="0.25">
      <c r="A16172" t="str">
        <f>HYPERLINK("https://www.773grp.com/globalSearch/BQ24750RHDT/page-1", "BQ24750RHDT")</f>
        <v>BQ24750RHDT</v>
      </c>
      <c r="B16172" s="3" t="s">
        <v>90</v>
      </c>
      <c r="C16172" s="5">
        <v>3115</v>
      </c>
      <c r="D16172" s="6">
        <v>8.15</v>
      </c>
      <c r="E16172" t="s">
        <v>26</v>
      </c>
    </row>
    <row r="16173" spans="1:5" x14ac:dyDescent="0.25">
      <c r="A16173" t="str">
        <f>HYPERLINK("https://www.773grp.com/globalSearch/TPS2205IDFR/page-1", "TPS2205IDFR")</f>
        <v>TPS2205IDFR</v>
      </c>
      <c r="B16173" s="3" t="s">
        <v>90</v>
      </c>
      <c r="C16173" s="5">
        <v>41924</v>
      </c>
      <c r="D16173" s="6">
        <v>8.15</v>
      </c>
      <c r="E16173" t="s">
        <v>26</v>
      </c>
    </row>
    <row r="16174" spans="1:5" x14ac:dyDescent="0.25">
      <c r="A16174" t="str">
        <f>HYPERLINK("https://www.773grp.com/globalSearch/TPS2216ADAPR/page-1", "TPS2216ADAPR")</f>
        <v>TPS2216ADAPR</v>
      </c>
      <c r="B16174" s="3" t="s">
        <v>90</v>
      </c>
      <c r="C16174" s="5">
        <v>6000</v>
      </c>
      <c r="D16174" s="6">
        <v>8.15</v>
      </c>
      <c r="E16174" t="s">
        <v>26</v>
      </c>
    </row>
    <row r="16175" spans="1:5" x14ac:dyDescent="0.25">
      <c r="A16175" t="str">
        <f>HYPERLINK("https://www.773grp.com/globalSearch/BQ2018TS-E1/page-1", "BQ2018TS-E1")</f>
        <v>BQ2018TS-E1</v>
      </c>
      <c r="B16175" s="3" t="s">
        <v>90</v>
      </c>
      <c r="C16175" s="5">
        <v>9</v>
      </c>
      <c r="D16175" s="6">
        <v>8.2799999999999994</v>
      </c>
      <c r="E16175" t="s">
        <v>26</v>
      </c>
    </row>
    <row r="16176" spans="1:5" x14ac:dyDescent="0.25">
      <c r="A16176" t="str">
        <f>HYPERLINK("https://www.773grp.com/globalSearch/BQ2018TS-E1/page-1", "BQ2018TS-E1")</f>
        <v>BQ2018TS-E1</v>
      </c>
      <c r="B16176" s="3" t="s">
        <v>90</v>
      </c>
      <c r="C16176" s="5">
        <v>150</v>
      </c>
      <c r="D16176" s="6">
        <v>8.2799999999999994</v>
      </c>
      <c r="E16176" t="s">
        <v>26</v>
      </c>
    </row>
    <row r="16177" spans="1:5" x14ac:dyDescent="0.25">
      <c r="A16177" t="str">
        <f>HYPERLINK("https://www.773grp.com/globalSearch/BQ2018TS-E1/page-1", "BQ2018TS-E1")</f>
        <v>BQ2018TS-E1</v>
      </c>
      <c r="B16177" s="3" t="s">
        <v>90</v>
      </c>
      <c r="C16177" s="5">
        <v>2330</v>
      </c>
      <c r="D16177" s="6">
        <v>8.2799999999999994</v>
      </c>
      <c r="E16177" t="s">
        <v>26</v>
      </c>
    </row>
    <row r="16178" spans="1:5" x14ac:dyDescent="0.25">
      <c r="A16178" t="str">
        <f>HYPERLINK("https://www.773grp.com/globalSearch/UC2903DW/page-1", "UC2903DW")</f>
        <v>UC2903DW</v>
      </c>
      <c r="B16178" s="3" t="s">
        <v>90</v>
      </c>
      <c r="C16178" s="5">
        <v>15790</v>
      </c>
      <c r="D16178" s="6">
        <v>8.2799999999999994</v>
      </c>
      <c r="E16178" t="s">
        <v>26</v>
      </c>
    </row>
    <row r="16179" spans="1:5" x14ac:dyDescent="0.25">
      <c r="A16179" t="str">
        <f>HYPERLINK("https://www.773grp.com/globalSearch/UC3907N/page-1", "UC3907N")</f>
        <v>UC3907N</v>
      </c>
      <c r="B16179" s="3" t="s">
        <v>90</v>
      </c>
      <c r="C16179" s="5">
        <v>30</v>
      </c>
      <c r="D16179" s="6">
        <v>8.2799999999999994</v>
      </c>
      <c r="E16179" t="s">
        <v>26</v>
      </c>
    </row>
    <row r="16180" spans="1:5" x14ac:dyDescent="0.25">
      <c r="A16180" t="str">
        <f>HYPERLINK("https://www.773grp.com/globalSearch/UCC3918DP/page-1", "UCC3918DP")</f>
        <v>UCC3918DP</v>
      </c>
      <c r="B16180" s="3" t="s">
        <v>90</v>
      </c>
      <c r="C16180" s="5">
        <v>28176</v>
      </c>
      <c r="D16180" s="6">
        <v>8.2799999999999994</v>
      </c>
      <c r="E16180" t="s">
        <v>26</v>
      </c>
    </row>
    <row r="16181" spans="1:5" x14ac:dyDescent="0.25">
      <c r="A16181" t="str">
        <f>HYPERLINK("https://www.773grp.com/globalSearch/UCC3918DP/page-1", "UCC3918DP")</f>
        <v>UCC3918DP</v>
      </c>
      <c r="B16181" s="3" t="s">
        <v>90</v>
      </c>
      <c r="C16181" s="5">
        <v>1260</v>
      </c>
      <c r="D16181" s="6">
        <v>8.2799999999999994</v>
      </c>
      <c r="E16181" t="s">
        <v>26</v>
      </c>
    </row>
    <row r="16182" spans="1:5" x14ac:dyDescent="0.25">
      <c r="A16182" t="str">
        <f>HYPERLINK("https://www.773grp.com/globalSearch/UCC3918DP/page-1", "UCC3918DP")</f>
        <v>UCC3918DP</v>
      </c>
      <c r="B16182" s="3" t="s">
        <v>90</v>
      </c>
      <c r="C16182" s="5">
        <v>620</v>
      </c>
      <c r="D16182" s="6">
        <v>8.2799999999999994</v>
      </c>
      <c r="E16182" t="s">
        <v>26</v>
      </c>
    </row>
    <row r="16183" spans="1:5" x14ac:dyDescent="0.25">
      <c r="A16183" t="str">
        <f>HYPERLINK("https://www.773grp.com/globalSearch/BQ77PL900DLR/page-1", "BQ77PL900DLR")</f>
        <v>BQ77PL900DLR</v>
      </c>
      <c r="B16183" s="3" t="s">
        <v>90</v>
      </c>
      <c r="C16183" s="5">
        <v>1150</v>
      </c>
      <c r="D16183" s="6">
        <v>8.3000000000000007</v>
      </c>
      <c r="E16183" t="s">
        <v>26</v>
      </c>
    </row>
    <row r="16184" spans="1:5" x14ac:dyDescent="0.25">
      <c r="A16184" t="str">
        <f>HYPERLINK("https://www.773grp.com/globalSearch/TPS2206IDF/page-1", "TPS2206IDF")</f>
        <v>TPS2206IDF</v>
      </c>
      <c r="B16184" s="3" t="s">
        <v>90</v>
      </c>
      <c r="C16184" s="5">
        <v>1200</v>
      </c>
      <c r="D16184" s="6">
        <v>8.3000000000000007</v>
      </c>
      <c r="E16184" t="s">
        <v>26</v>
      </c>
    </row>
    <row r="16185" spans="1:5" x14ac:dyDescent="0.25">
      <c r="A16185" t="str">
        <f>HYPERLINK("https://www.773grp.com/globalSearch/TPS2214DB/page-1", "TPS2214DB")</f>
        <v>TPS2214DB</v>
      </c>
      <c r="B16185" s="3" t="s">
        <v>90</v>
      </c>
      <c r="C16185" s="5">
        <v>7660</v>
      </c>
      <c r="D16185" s="6">
        <v>8.3000000000000007</v>
      </c>
      <c r="E16185" t="s">
        <v>26</v>
      </c>
    </row>
    <row r="16186" spans="1:5" x14ac:dyDescent="0.25">
      <c r="A16186" t="str">
        <f>HYPERLINK("https://www.773grp.com/globalSearch/TPS2214DBR/page-1", "TPS2214DBR")</f>
        <v>TPS2214DBR</v>
      </c>
      <c r="B16186" s="3" t="s">
        <v>90</v>
      </c>
      <c r="C16186" s="5">
        <v>2000</v>
      </c>
      <c r="D16186" s="6">
        <v>8.3000000000000007</v>
      </c>
      <c r="E16186" t="s">
        <v>26</v>
      </c>
    </row>
    <row r="16187" spans="1:5" x14ac:dyDescent="0.25">
      <c r="A16187" t="str">
        <f>HYPERLINK("https://www.773grp.com/globalSearch/TPS65012RGZT/page-1", "TPS65012RGZT")</f>
        <v>TPS65012RGZT</v>
      </c>
      <c r="B16187" s="3" t="s">
        <v>90</v>
      </c>
      <c r="C16187" s="5">
        <v>13500</v>
      </c>
      <c r="D16187" s="6">
        <v>8.3000000000000007</v>
      </c>
      <c r="E16187" t="s">
        <v>26</v>
      </c>
    </row>
    <row r="16188" spans="1:5" x14ac:dyDescent="0.25">
      <c r="A16188" t="str">
        <f>HYPERLINK("https://www.773grp.com/globalSearch/TPS65013RGZT/page-1", "TPS65013RGZT")</f>
        <v>TPS65013RGZT</v>
      </c>
      <c r="B16188" s="3" t="s">
        <v>90</v>
      </c>
      <c r="C16188" s="5">
        <v>2275</v>
      </c>
      <c r="D16188" s="6">
        <v>8.3000000000000007</v>
      </c>
      <c r="E16188" t="s">
        <v>26</v>
      </c>
    </row>
    <row r="16189" spans="1:5" x14ac:dyDescent="0.25">
      <c r="A16189" t="str">
        <f>HYPERLINK("https://www.773grp.com/globalSearch/TPS65014RGZT/page-1", "TPS65014RGZT")</f>
        <v>TPS65014RGZT</v>
      </c>
      <c r="B16189" s="3" t="s">
        <v>90</v>
      </c>
      <c r="C16189" s="5">
        <v>6000</v>
      </c>
      <c r="D16189" s="6">
        <v>8.3000000000000007</v>
      </c>
      <c r="E16189" t="s">
        <v>26</v>
      </c>
    </row>
    <row r="16190" spans="1:5" x14ac:dyDescent="0.25">
      <c r="A16190" t="str">
        <f>HYPERLINK("https://www.773grp.com/globalSearch/TPS65023BRSBR/page-1", "TPS65023BRSBR")</f>
        <v>TPS65023BRSBR</v>
      </c>
      <c r="B16190" s="3" t="s">
        <v>90</v>
      </c>
      <c r="C16190" s="5">
        <v>39000</v>
      </c>
      <c r="D16190" s="6">
        <v>8.3000000000000007</v>
      </c>
      <c r="E16190" t="s">
        <v>26</v>
      </c>
    </row>
    <row r="16191" spans="1:5" x14ac:dyDescent="0.25">
      <c r="A16191" t="str">
        <f>HYPERLINK("https://www.773grp.com/globalSearch/TPS65180RGZR/page-1", "TPS65180RGZR")</f>
        <v>TPS65180RGZR</v>
      </c>
      <c r="B16191" s="3" t="s">
        <v>90</v>
      </c>
      <c r="C16191" s="5">
        <v>7500</v>
      </c>
      <c r="D16191" s="6">
        <v>8.3000000000000007</v>
      </c>
      <c r="E16191" t="s">
        <v>26</v>
      </c>
    </row>
    <row r="16192" spans="1:5" x14ac:dyDescent="0.25">
      <c r="A16192" t="str">
        <f>HYPERLINK("https://www.773grp.com/globalSearch/TPS65182RGZR/page-1", "TPS65182RGZR")</f>
        <v>TPS65182RGZR</v>
      </c>
      <c r="B16192" s="3" t="s">
        <v>90</v>
      </c>
      <c r="C16192" s="5">
        <v>260000</v>
      </c>
      <c r="D16192" s="6">
        <v>8.3000000000000007</v>
      </c>
      <c r="E16192" t="s">
        <v>26</v>
      </c>
    </row>
    <row r="16193" spans="1:5" x14ac:dyDescent="0.25">
      <c r="A16193" t="str">
        <f>HYPERLINK("https://www.773grp.com/globalSearch/UC3910DTR/page-1", "UC3910DTR")</f>
        <v>UC3910DTR</v>
      </c>
      <c r="B16193" s="3" t="s">
        <v>90</v>
      </c>
      <c r="C16193" s="5">
        <v>2500</v>
      </c>
      <c r="D16193" s="6">
        <v>8.3000000000000007</v>
      </c>
      <c r="E16193" t="s">
        <v>26</v>
      </c>
    </row>
    <row r="16194" spans="1:5" x14ac:dyDescent="0.25">
      <c r="A16194" t="str">
        <f>HYPERLINK("https://www.773grp.com/globalSearch/UCD9080RHBR/page-1", "UCD9080RHBR")</f>
        <v>UCD9080RHBR</v>
      </c>
      <c r="B16194" s="3" t="s">
        <v>90</v>
      </c>
      <c r="C16194" s="5">
        <v>34000</v>
      </c>
      <c r="D16194" s="6">
        <v>8.3000000000000007</v>
      </c>
      <c r="E16194" t="s">
        <v>26</v>
      </c>
    </row>
    <row r="16195" spans="1:5" x14ac:dyDescent="0.25">
      <c r="A16195" t="str">
        <f>HYPERLINK("https://www.773grp.com/globalSearch/BQ2204APN/page-1", "BQ2204APN")</f>
        <v>BQ2204APN</v>
      </c>
      <c r="B16195" s="3" t="s">
        <v>90</v>
      </c>
      <c r="C16195" s="5">
        <v>6395</v>
      </c>
      <c r="D16195" s="6">
        <v>8.4</v>
      </c>
      <c r="E16195" t="s">
        <v>26</v>
      </c>
    </row>
    <row r="16196" spans="1:5" x14ac:dyDescent="0.25">
      <c r="A16196" t="str">
        <f>HYPERLINK("https://www.773grp.com/globalSearch/BQ2204APN/page-1", "BQ2204APN")</f>
        <v>BQ2204APN</v>
      </c>
      <c r="B16196" s="3" t="s">
        <v>90</v>
      </c>
      <c r="C16196" s="5">
        <v>2345</v>
      </c>
      <c r="D16196" s="6">
        <v>8.4</v>
      </c>
      <c r="E16196" t="s">
        <v>26</v>
      </c>
    </row>
    <row r="16197" spans="1:5" x14ac:dyDescent="0.25">
      <c r="A16197" t="str">
        <f>HYPERLINK("https://www.773grp.com/globalSearch/TPS650240RHBT/page-1", "TPS650240RHBT")</f>
        <v>TPS650240RHBT</v>
      </c>
      <c r="B16197" s="3" t="s">
        <v>90</v>
      </c>
      <c r="C16197" s="5">
        <v>1350</v>
      </c>
      <c r="D16197" s="6">
        <v>8.4</v>
      </c>
      <c r="E16197" t="s">
        <v>26</v>
      </c>
    </row>
    <row r="16198" spans="1:5" x14ac:dyDescent="0.25">
      <c r="A16198" t="str">
        <f>HYPERLINK("https://www.773grp.com/globalSearch/TPS650242RHBT/page-1", "TPS650242RHBT")</f>
        <v>TPS650242RHBT</v>
      </c>
      <c r="B16198" s="3" t="s">
        <v>90</v>
      </c>
      <c r="C16198" s="5">
        <v>5044</v>
      </c>
      <c r="D16198" s="6">
        <v>8.4</v>
      </c>
      <c r="E16198" t="s">
        <v>26</v>
      </c>
    </row>
    <row r="16199" spans="1:5" x14ac:dyDescent="0.25">
      <c r="A16199" t="str">
        <f>HYPERLINK("https://www.773grp.com/globalSearch/TPS650244RHBT/page-1", "TPS650244RHBT")</f>
        <v>TPS650244RHBT</v>
      </c>
      <c r="B16199" s="3" t="s">
        <v>90</v>
      </c>
      <c r="C16199" s="5">
        <v>6500</v>
      </c>
      <c r="D16199" s="6">
        <v>8.4</v>
      </c>
      <c r="E16199" t="s">
        <v>26</v>
      </c>
    </row>
    <row r="16200" spans="1:5" x14ac:dyDescent="0.25">
      <c r="A16200" t="str">
        <f>HYPERLINK("https://www.773grp.com/globalSearch/TPS650245RHBT/page-1", "TPS650245RHBT")</f>
        <v>TPS650245RHBT</v>
      </c>
      <c r="B16200" s="3" t="s">
        <v>90</v>
      </c>
      <c r="C16200" s="5">
        <v>4550</v>
      </c>
      <c r="D16200" s="6">
        <v>8.4</v>
      </c>
      <c r="E16200" t="s">
        <v>26</v>
      </c>
    </row>
    <row r="16201" spans="1:5" x14ac:dyDescent="0.25">
      <c r="A16201" t="str">
        <f>HYPERLINK("https://www.773grp.com/globalSearch/TPS3600D20PW/page-1", "TPS3600D20PW")</f>
        <v>TPS3600D20PW</v>
      </c>
      <c r="B16201" s="3" t="s">
        <v>90</v>
      </c>
      <c r="C16201" s="5">
        <v>14910</v>
      </c>
      <c r="D16201" s="6">
        <v>8.44</v>
      </c>
      <c r="E16201" t="s">
        <v>26</v>
      </c>
    </row>
    <row r="16202" spans="1:5" x14ac:dyDescent="0.25">
      <c r="A16202" t="str">
        <f>HYPERLINK("https://www.773grp.com/globalSearch/TPS3600D25PW/page-1", "TPS3600D25PW")</f>
        <v>TPS3600D25PW</v>
      </c>
      <c r="B16202" s="3" t="s">
        <v>90</v>
      </c>
      <c r="C16202" s="5">
        <v>20711</v>
      </c>
      <c r="D16202" s="6">
        <v>8.44</v>
      </c>
      <c r="E16202" t="s">
        <v>26</v>
      </c>
    </row>
    <row r="16203" spans="1:5" x14ac:dyDescent="0.25">
      <c r="A16203" t="str">
        <f>HYPERLINK("https://www.773grp.com/globalSearch/TPS3600D33PW/page-1", "TPS3600D33PW")</f>
        <v>TPS3600D33PW</v>
      </c>
      <c r="B16203" s="3" t="s">
        <v>90</v>
      </c>
      <c r="C16203" s="5">
        <v>233</v>
      </c>
      <c r="D16203" s="6">
        <v>8.44</v>
      </c>
      <c r="E16203" t="s">
        <v>26</v>
      </c>
    </row>
    <row r="16204" spans="1:5" x14ac:dyDescent="0.25">
      <c r="A16204" t="str">
        <f>HYPERLINK("https://www.773grp.com/globalSearch/TPS3600D50PW/page-1", "TPS3600D50PW")</f>
        <v>TPS3600D50PW</v>
      </c>
      <c r="B16204" s="3" t="s">
        <v>90</v>
      </c>
      <c r="C16204" s="5">
        <v>20313</v>
      </c>
      <c r="D16204" s="6">
        <v>8.44</v>
      </c>
      <c r="E16204" t="s">
        <v>26</v>
      </c>
    </row>
    <row r="16205" spans="1:5" x14ac:dyDescent="0.25">
      <c r="A16205" t="str">
        <f>HYPERLINK("https://www.773grp.com/globalSearch/UC2543DW/page-1", "UC2543DW")</f>
        <v>UC2543DW</v>
      </c>
      <c r="B16205" s="3" t="s">
        <v>90</v>
      </c>
      <c r="C16205" s="5">
        <v>9704</v>
      </c>
      <c r="D16205" s="6">
        <v>8.44</v>
      </c>
      <c r="E16205" t="s">
        <v>26</v>
      </c>
    </row>
    <row r="16206" spans="1:5" x14ac:dyDescent="0.25">
      <c r="A16206" t="str">
        <f>HYPERLINK("https://www.773grp.com/globalSearch/UC2543N/page-1", "UC2543N")</f>
        <v>UC2543N</v>
      </c>
      <c r="B16206" s="3" t="s">
        <v>90</v>
      </c>
      <c r="C16206" s="5">
        <v>8438</v>
      </c>
      <c r="D16206" s="6">
        <v>8.44</v>
      </c>
      <c r="E16206" t="s">
        <v>26</v>
      </c>
    </row>
    <row r="16207" spans="1:5" x14ac:dyDescent="0.25">
      <c r="A16207" t="str">
        <f>HYPERLINK("https://www.773grp.com/globalSearch/TPS2205IDAPR/page-1", "TPS2205IDAPR")</f>
        <v>TPS2205IDAPR</v>
      </c>
      <c r="B16207" s="3" t="s">
        <v>90</v>
      </c>
      <c r="C16207" s="5">
        <v>13900</v>
      </c>
      <c r="D16207" s="6">
        <v>8.58</v>
      </c>
      <c r="E16207" t="s">
        <v>26</v>
      </c>
    </row>
    <row r="16208" spans="1:5" x14ac:dyDescent="0.25">
      <c r="A16208" t="str">
        <f>HYPERLINK("https://www.773grp.com/globalSearch/TPS2205IDBR/page-1", "TPS2205IDBR")</f>
        <v>TPS2205IDBR</v>
      </c>
      <c r="B16208" s="3" t="s">
        <v>90</v>
      </c>
      <c r="C16208" s="5">
        <v>38000</v>
      </c>
      <c r="D16208" s="6">
        <v>8.58</v>
      </c>
      <c r="E16208" t="s">
        <v>26</v>
      </c>
    </row>
    <row r="16209" spans="1:5" x14ac:dyDescent="0.25">
      <c r="A16209" t="str">
        <f>HYPERLINK("https://www.773grp.com/globalSearch/TPS65020RHAR/page-1", "TPS65020RHAR")</f>
        <v>TPS65020RHAR</v>
      </c>
      <c r="B16209" s="3" t="s">
        <v>90</v>
      </c>
      <c r="C16209" s="5">
        <v>6403</v>
      </c>
      <c r="D16209" s="6">
        <v>8.58</v>
      </c>
      <c r="E16209" t="s">
        <v>26</v>
      </c>
    </row>
    <row r="16210" spans="1:5" x14ac:dyDescent="0.25">
      <c r="A16210" t="str">
        <f>HYPERLINK("https://www.773grp.com/globalSearch/TPS65021RHAR/page-1", "TPS65021RHAR")</f>
        <v>TPS65021RHAR</v>
      </c>
      <c r="B16210" s="3" t="s">
        <v>90</v>
      </c>
      <c r="C16210" s="5">
        <v>40000</v>
      </c>
      <c r="D16210" s="6">
        <v>8.58</v>
      </c>
      <c r="E16210" t="s">
        <v>26</v>
      </c>
    </row>
    <row r="16211" spans="1:5" x14ac:dyDescent="0.25">
      <c r="A16211" t="str">
        <f>HYPERLINK("https://www.773grp.com/globalSearch/TPS65022RHAR/page-1", "TPS65022RHAR")</f>
        <v>TPS65022RHAR</v>
      </c>
      <c r="B16211" s="3" t="s">
        <v>90</v>
      </c>
      <c r="C16211" s="5">
        <v>17670</v>
      </c>
      <c r="D16211" s="6">
        <v>8.58</v>
      </c>
      <c r="E16211" t="s">
        <v>26</v>
      </c>
    </row>
    <row r="16212" spans="1:5" x14ac:dyDescent="0.25">
      <c r="A16212" t="str">
        <f>HYPERLINK("https://www.773grp.com/globalSearch/UC2907DW/page-1", "UC2907DW")</f>
        <v>UC2907DW</v>
      </c>
      <c r="B16212" s="3" t="s">
        <v>90</v>
      </c>
      <c r="C16212" s="5">
        <v>11154</v>
      </c>
      <c r="D16212" s="6">
        <v>8.58</v>
      </c>
      <c r="E16212" t="s">
        <v>26</v>
      </c>
    </row>
    <row r="16213" spans="1:5" x14ac:dyDescent="0.25">
      <c r="A16213" t="str">
        <f>HYPERLINK("https://www.773grp.com/globalSearch/UC2907DW/page-1", "UC2907DW")</f>
        <v>UC2907DW</v>
      </c>
      <c r="B16213" s="3" t="s">
        <v>90</v>
      </c>
      <c r="C16213" s="5">
        <v>10</v>
      </c>
      <c r="D16213" s="6">
        <v>8.58</v>
      </c>
      <c r="E16213" t="s">
        <v>26</v>
      </c>
    </row>
    <row r="16214" spans="1:5" x14ac:dyDescent="0.25">
      <c r="A16214" t="str">
        <f>HYPERLINK("https://www.773grp.com/globalSearch/UCC39161DP/page-1", "UCC39161DP")</f>
        <v>UCC39161DP</v>
      </c>
      <c r="B16214" s="3" t="s">
        <v>90</v>
      </c>
      <c r="C16214" s="5">
        <v>17309</v>
      </c>
      <c r="D16214" s="6">
        <v>8.58</v>
      </c>
      <c r="E16214" t="s">
        <v>26</v>
      </c>
    </row>
    <row r="16215" spans="1:5" x14ac:dyDescent="0.25">
      <c r="A16215" t="str">
        <f>HYPERLINK("https://www.773grp.com/globalSearch/BQ2023PW/page-1", "BQ2023PW")</f>
        <v>BQ2023PW</v>
      </c>
      <c r="B16215" s="3" t="s">
        <v>90</v>
      </c>
      <c r="C16215" s="5">
        <v>5663</v>
      </c>
      <c r="D16215" s="6">
        <v>8.61</v>
      </c>
      <c r="E16215" t="s">
        <v>26</v>
      </c>
    </row>
    <row r="16216" spans="1:5" x14ac:dyDescent="0.25">
      <c r="A16216" t="str">
        <f>HYPERLINK("https://www.773grp.com/globalSearch/BQ2018SN-E1TR/page-1", "BQ2018SN-E1TR")</f>
        <v>BQ2018SN-E1TR</v>
      </c>
      <c r="B16216" s="3" t="s">
        <v>90</v>
      </c>
      <c r="C16216" s="5">
        <v>30669</v>
      </c>
      <c r="D16216" s="6">
        <v>8.73</v>
      </c>
      <c r="E16216" t="s">
        <v>26</v>
      </c>
    </row>
    <row r="16217" spans="1:5" x14ac:dyDescent="0.25">
      <c r="A16217" t="str">
        <f>HYPERLINK("https://www.773grp.com/globalSearch/BQ24701PW/page-1", "BQ24701PW")</f>
        <v>BQ24701PW</v>
      </c>
      <c r="B16217" s="3" t="s">
        <v>90</v>
      </c>
      <c r="C16217" s="5">
        <v>1596</v>
      </c>
      <c r="D16217" s="6">
        <v>8.73</v>
      </c>
      <c r="E16217" t="s">
        <v>26</v>
      </c>
    </row>
    <row r="16218" spans="1:5" x14ac:dyDescent="0.25">
      <c r="A16218" t="str">
        <f>HYPERLINK("https://www.773grp.com/globalSearch/BQ24701PWR/page-1", "BQ24701PWR")</f>
        <v>BQ24701PWR</v>
      </c>
      <c r="B16218" s="3" t="s">
        <v>90</v>
      </c>
      <c r="C16218" s="5">
        <v>7745</v>
      </c>
      <c r="D16218" s="6">
        <v>8.73</v>
      </c>
      <c r="E16218" t="s">
        <v>26</v>
      </c>
    </row>
    <row r="16219" spans="1:5" x14ac:dyDescent="0.25">
      <c r="A16219" t="str">
        <f>HYPERLINK("https://www.773grp.com/globalSearch/TPS2206IDFR/page-1", "TPS2206IDFR")</f>
        <v>TPS2206IDFR</v>
      </c>
      <c r="B16219" s="3" t="s">
        <v>90</v>
      </c>
      <c r="C16219" s="5">
        <v>14820</v>
      </c>
      <c r="D16219" s="6">
        <v>8.73</v>
      </c>
      <c r="E16219" t="s">
        <v>26</v>
      </c>
    </row>
    <row r="16220" spans="1:5" x14ac:dyDescent="0.25">
      <c r="A16220" t="str">
        <f>HYPERLINK("https://www.773grp.com/globalSearch/TPS2228PWPR/page-1", "TPS2228PWPR")</f>
        <v>TPS2228PWPR</v>
      </c>
      <c r="B16220" s="3" t="s">
        <v>90</v>
      </c>
      <c r="C16220" s="5">
        <v>28000</v>
      </c>
      <c r="D16220" s="6">
        <v>8.73</v>
      </c>
      <c r="E16220" t="s">
        <v>26</v>
      </c>
    </row>
    <row r="16221" spans="1:5" x14ac:dyDescent="0.25">
      <c r="A16221" t="str">
        <f>HYPERLINK("https://www.773grp.com/globalSearch/BQ24750ARHDR/page-1", "BQ24750ARHDR")</f>
        <v>BQ24750ARHDR</v>
      </c>
      <c r="B16221" s="3" t="s">
        <v>90</v>
      </c>
      <c r="C16221" s="5">
        <v>33000</v>
      </c>
      <c r="D16221" s="6">
        <v>8.86</v>
      </c>
      <c r="E16221" t="s">
        <v>26</v>
      </c>
    </row>
    <row r="16222" spans="1:5" x14ac:dyDescent="0.25">
      <c r="A16222" t="str">
        <f>HYPERLINK("https://www.773grp.com/globalSearch/BQ24901PW/page-1", "BQ24901PW")</f>
        <v>BQ24901PW</v>
      </c>
      <c r="B16222" s="3" t="s">
        <v>90</v>
      </c>
      <c r="C16222" s="5">
        <v>5490</v>
      </c>
      <c r="D16222" s="6">
        <v>8.86</v>
      </c>
      <c r="E16222" t="s">
        <v>26</v>
      </c>
    </row>
    <row r="16223" spans="1:5" x14ac:dyDescent="0.25">
      <c r="A16223" t="str">
        <f>HYPERLINK("https://www.773grp.com/globalSearch/BQ26500PWR/page-1", "BQ26500PWR")</f>
        <v>BQ26500PWR</v>
      </c>
      <c r="B16223" s="3" t="s">
        <v>90</v>
      </c>
      <c r="C16223" s="5">
        <v>13000</v>
      </c>
      <c r="D16223" s="6">
        <v>8.86</v>
      </c>
      <c r="E16223" t="s">
        <v>26</v>
      </c>
    </row>
    <row r="16224" spans="1:5" x14ac:dyDescent="0.25">
      <c r="A16224" t="str">
        <f>HYPERLINK("https://www.773grp.com/globalSearch/UCC3915DP/page-1", "UCC3915DP")</f>
        <v>UCC3915DP</v>
      </c>
      <c r="B16224" s="3" t="s">
        <v>90</v>
      </c>
      <c r="C16224" s="5">
        <v>1024</v>
      </c>
      <c r="D16224" s="6">
        <v>8.98</v>
      </c>
      <c r="E16224" t="s">
        <v>26</v>
      </c>
    </row>
    <row r="16225" spans="1:5" x14ac:dyDescent="0.25">
      <c r="A16225" t="str">
        <f>HYPERLINK("https://www.773grp.com/globalSearch/BQ24600RVAT/page-1", "BQ24600RVAT")</f>
        <v>BQ24600RVAT</v>
      </c>
      <c r="B16225" s="3" t="s">
        <v>90</v>
      </c>
      <c r="C16225" s="5">
        <v>3500</v>
      </c>
      <c r="D16225" s="6">
        <v>9</v>
      </c>
      <c r="E16225" t="s">
        <v>26</v>
      </c>
    </row>
    <row r="16226" spans="1:5" x14ac:dyDescent="0.25">
      <c r="A16226" t="str">
        <f>HYPERLINK("https://www.773grp.com/globalSearch/BQ24610RGET/page-1", "BQ24610RGET")</f>
        <v>BQ24610RGET</v>
      </c>
      <c r="B16226" s="3" t="s">
        <v>90</v>
      </c>
      <c r="C16226" s="5">
        <v>178</v>
      </c>
      <c r="D16226" s="6">
        <v>9</v>
      </c>
      <c r="E16226" t="s">
        <v>26</v>
      </c>
    </row>
    <row r="16227" spans="1:5" x14ac:dyDescent="0.25">
      <c r="A16227" t="str">
        <f>HYPERLINK("https://www.773grp.com/globalSearch/BQ24704RGET/page-1", "BQ24704RGET")</f>
        <v>BQ24704RGET</v>
      </c>
      <c r="B16227" s="3" t="s">
        <v>90</v>
      </c>
      <c r="C16227" s="5">
        <v>3209</v>
      </c>
      <c r="D16227" s="6">
        <v>9</v>
      </c>
      <c r="E16227" t="s">
        <v>26</v>
      </c>
    </row>
    <row r="16228" spans="1:5" x14ac:dyDescent="0.25">
      <c r="A16228" t="str">
        <f>HYPERLINK("https://www.773grp.com/globalSearch/BQ24705RGET/page-1", "BQ24705RGET")</f>
        <v>BQ24705RGET</v>
      </c>
      <c r="B16228" s="3" t="s">
        <v>90</v>
      </c>
      <c r="C16228" s="5">
        <v>16546</v>
      </c>
      <c r="D16228" s="6">
        <v>9</v>
      </c>
      <c r="E16228" t="s">
        <v>26</v>
      </c>
    </row>
    <row r="16229" spans="1:5" x14ac:dyDescent="0.25">
      <c r="A16229" t="str">
        <f>HYPERLINK("https://www.773grp.com/globalSearch/BQ26221PWR/page-1", "BQ26221PWR")</f>
        <v>BQ26221PWR</v>
      </c>
      <c r="B16229" s="3" t="s">
        <v>90</v>
      </c>
      <c r="C16229" s="5">
        <v>57700</v>
      </c>
      <c r="D16229" s="6">
        <v>9</v>
      </c>
      <c r="E16229" t="s">
        <v>26</v>
      </c>
    </row>
    <row r="16230" spans="1:5" x14ac:dyDescent="0.25">
      <c r="A16230" t="str">
        <f>HYPERLINK("https://www.773grp.com/globalSearch/BQ28400PWR/page-1", "BQ28400PWR")</f>
        <v>BQ28400PWR</v>
      </c>
      <c r="B16230" s="3" t="s">
        <v>90</v>
      </c>
      <c r="C16230" s="5">
        <v>852004</v>
      </c>
      <c r="D16230" s="6">
        <v>9</v>
      </c>
      <c r="E16230" t="s">
        <v>26</v>
      </c>
    </row>
    <row r="16231" spans="1:5" x14ac:dyDescent="0.25">
      <c r="A16231" t="str">
        <f>HYPERLINK("https://www.773grp.com/globalSearch/TPS2070DAP/page-1", "TPS2070DAP")</f>
        <v>TPS2070DAP</v>
      </c>
      <c r="B16231" s="3" t="s">
        <v>90</v>
      </c>
      <c r="C16231" s="5">
        <v>8367</v>
      </c>
      <c r="D16231" s="6">
        <v>9</v>
      </c>
      <c r="E16231" t="s">
        <v>26</v>
      </c>
    </row>
    <row r="16232" spans="1:5" x14ac:dyDescent="0.25">
      <c r="A16232" t="str">
        <f>HYPERLINK("https://www.773grp.com/globalSearch/TPS2071DAP/page-1", "TPS2071DAP")</f>
        <v>TPS2071DAP</v>
      </c>
      <c r="B16232" s="3" t="s">
        <v>90</v>
      </c>
      <c r="C16232" s="5">
        <v>2171</v>
      </c>
      <c r="D16232" s="6">
        <v>9</v>
      </c>
      <c r="E16232" t="s">
        <v>26</v>
      </c>
    </row>
    <row r="16233" spans="1:5" x14ac:dyDescent="0.25">
      <c r="A16233" t="str">
        <f>HYPERLINK("https://www.773grp.com/globalSearch/TPS2228DBR/page-1", "TPS2228DBR")</f>
        <v>TPS2228DBR</v>
      </c>
      <c r="B16233" s="3" t="s">
        <v>90</v>
      </c>
      <c r="C16233" s="5">
        <v>2000</v>
      </c>
      <c r="D16233" s="6">
        <v>9</v>
      </c>
      <c r="E16233" t="s">
        <v>26</v>
      </c>
    </row>
    <row r="16234" spans="1:5" x14ac:dyDescent="0.25">
      <c r="A16234" t="str">
        <f>HYPERLINK("https://www.773grp.com/globalSearch/TPS65030YZKT/page-1", "TPS65030YZKT")</f>
        <v>TPS65030YZKT</v>
      </c>
      <c r="B16234" s="3" t="s">
        <v>90</v>
      </c>
      <c r="C16234" s="5">
        <v>751</v>
      </c>
      <c r="D16234" s="6">
        <v>9</v>
      </c>
      <c r="E16234" t="s">
        <v>26</v>
      </c>
    </row>
    <row r="16235" spans="1:5" x14ac:dyDescent="0.25">
      <c r="A16235" t="str">
        <f>HYPERLINK("https://www.773grp.com/globalSearch/TPS2363PFB/page-1", "TPS2363PFB")</f>
        <v>TPS2363PFB</v>
      </c>
      <c r="B16235" s="3" t="s">
        <v>90</v>
      </c>
      <c r="C16235" s="5">
        <v>12816</v>
      </c>
      <c r="D16235" s="6">
        <v>9.15</v>
      </c>
      <c r="E16235" t="s">
        <v>26</v>
      </c>
    </row>
    <row r="16236" spans="1:5" x14ac:dyDescent="0.25">
      <c r="A16236" t="str">
        <f>HYPERLINK("https://www.773grp.com/globalSearch/UCC2919D/page-1", "UCC2919D")</f>
        <v>UCC2919D</v>
      </c>
      <c r="B16236" s="3" t="s">
        <v>90</v>
      </c>
      <c r="C16236" s="5">
        <v>6395</v>
      </c>
      <c r="D16236" s="6">
        <v>9.15</v>
      </c>
      <c r="E16236" t="s">
        <v>26</v>
      </c>
    </row>
    <row r="16237" spans="1:5" x14ac:dyDescent="0.25">
      <c r="A16237" t="str">
        <f>HYPERLINK("https://www.773grp.com/globalSearch/UCC2919PW/page-1", "UCC2919PW")</f>
        <v>UCC2919PW</v>
      </c>
      <c r="B16237" s="3" t="s">
        <v>90</v>
      </c>
      <c r="C16237" s="5">
        <v>65970</v>
      </c>
      <c r="D16237" s="6">
        <v>9.15</v>
      </c>
      <c r="E16237" t="s">
        <v>26</v>
      </c>
    </row>
    <row r="16238" spans="1:5" x14ac:dyDescent="0.25">
      <c r="A16238" t="str">
        <f>HYPERLINK("https://www.773grp.com/globalSearch/UCC3958DP-3/page-1", "UCC3958DP-3")</f>
        <v>UCC3958DP-3</v>
      </c>
      <c r="B16238" s="3" t="s">
        <v>90</v>
      </c>
      <c r="C16238" s="5">
        <v>537</v>
      </c>
      <c r="D16238" s="6">
        <v>9.15</v>
      </c>
      <c r="E16238" t="s">
        <v>26</v>
      </c>
    </row>
    <row r="16239" spans="1:5" x14ac:dyDescent="0.25">
      <c r="A16239" t="str">
        <f>HYPERLINK("https://www.773grp.com/globalSearch/UCC3958DP-4/page-1", "UCC3958DP-4")</f>
        <v>UCC3958DP-4</v>
      </c>
      <c r="B16239" s="3" t="s">
        <v>90</v>
      </c>
      <c r="C16239" s="5">
        <v>60</v>
      </c>
      <c r="D16239" s="6">
        <v>9.15</v>
      </c>
      <c r="E16239" t="s">
        <v>26</v>
      </c>
    </row>
    <row r="16240" spans="1:5" x14ac:dyDescent="0.25">
      <c r="A16240" t="str">
        <f>HYPERLINK("https://www.773grp.com/globalSearch/TPS2206IDAPR/page-1", "TPS2206IDAPR")</f>
        <v>TPS2206IDAPR</v>
      </c>
      <c r="B16240" s="3" t="s">
        <v>90</v>
      </c>
      <c r="C16240" s="5">
        <v>26000</v>
      </c>
      <c r="D16240" s="6">
        <v>9.16</v>
      </c>
      <c r="E16240" t="s">
        <v>26</v>
      </c>
    </row>
    <row r="16241" spans="1:5" x14ac:dyDescent="0.25">
      <c r="A16241" t="str">
        <f>HYPERLINK("https://www.773grp.com/globalSearch/TPS2206IDBR/page-1", "TPS2206IDBR")</f>
        <v>TPS2206IDBR</v>
      </c>
      <c r="B16241" s="3" t="s">
        <v>90</v>
      </c>
      <c r="C16241" s="5">
        <v>2032</v>
      </c>
      <c r="D16241" s="6">
        <v>9.16</v>
      </c>
      <c r="E16241" t="s">
        <v>26</v>
      </c>
    </row>
    <row r="16242" spans="1:5" x14ac:dyDescent="0.25">
      <c r="A16242" t="str">
        <f>HYPERLINK("https://www.773grp.com/globalSearch/TPS659109A1RSL/page-1", "TPS659109A1RSL")</f>
        <v>TPS659109A1RSL</v>
      </c>
      <c r="B16242" s="3" t="s">
        <v>90</v>
      </c>
      <c r="C16242" s="5">
        <v>70</v>
      </c>
      <c r="D16242" s="6">
        <v>9.2899999999999991</v>
      </c>
      <c r="E16242" t="s">
        <v>26</v>
      </c>
    </row>
    <row r="16243" spans="1:5" x14ac:dyDescent="0.25">
      <c r="A16243" t="str">
        <f>HYPERLINK("https://www.773grp.com/globalSearch/UC3906DW/page-1", "UC3906DW")</f>
        <v>UC3906DW</v>
      </c>
      <c r="B16243" s="3" t="s">
        <v>90</v>
      </c>
      <c r="C16243" s="5">
        <v>5690</v>
      </c>
      <c r="D16243" s="6">
        <v>9.2899999999999991</v>
      </c>
      <c r="E16243" t="s">
        <v>26</v>
      </c>
    </row>
    <row r="16244" spans="1:5" x14ac:dyDescent="0.25">
      <c r="A16244" t="str">
        <f>HYPERLINK("https://www.773grp.com/globalSearch/UC3906Q/page-1", "UC3906Q")</f>
        <v>UC3906Q</v>
      </c>
      <c r="B16244" s="3" t="s">
        <v>90</v>
      </c>
      <c r="C16244" s="5">
        <v>8574</v>
      </c>
      <c r="D16244" s="6">
        <v>9.2899999999999991</v>
      </c>
      <c r="E16244" t="s">
        <v>26</v>
      </c>
    </row>
    <row r="16245" spans="1:5" x14ac:dyDescent="0.25">
      <c r="A16245" t="str">
        <f>HYPERLINK("https://www.773grp.com/globalSearch/UCC3911DP-3/page-1", "UCC3911DP-3")</f>
        <v>UCC3911DP-3</v>
      </c>
      <c r="B16245" s="3" t="s">
        <v>90</v>
      </c>
      <c r="C16245" s="5">
        <v>76</v>
      </c>
      <c r="D16245" s="6">
        <v>9.31</v>
      </c>
      <c r="E16245" t="s">
        <v>26</v>
      </c>
    </row>
    <row r="16246" spans="1:5" x14ac:dyDescent="0.25">
      <c r="A16246" t="str">
        <f>HYPERLINK("https://www.773grp.com/globalSearch/BQ24707RGRT/page-1", "BQ24707RGRT")</f>
        <v>BQ24707RGRT</v>
      </c>
      <c r="B16246" s="3" t="s">
        <v>90</v>
      </c>
      <c r="C16246" s="5">
        <v>1353</v>
      </c>
      <c r="D16246" s="6">
        <v>9.41</v>
      </c>
      <c r="E16246" t="s">
        <v>26</v>
      </c>
    </row>
    <row r="16247" spans="1:5" x14ac:dyDescent="0.25">
      <c r="A16247" t="str">
        <f>HYPERLINK("https://www.773grp.com/globalSearch/BQ24745RHDT/page-1", "BQ24745RHDT")</f>
        <v>BQ24745RHDT</v>
      </c>
      <c r="B16247" s="3" t="s">
        <v>90</v>
      </c>
      <c r="C16247" s="5">
        <v>956</v>
      </c>
      <c r="D16247" s="6">
        <v>9.41</v>
      </c>
      <c r="E16247" t="s">
        <v>26</v>
      </c>
    </row>
    <row r="16248" spans="1:5" x14ac:dyDescent="0.25">
      <c r="A16248" t="str">
        <f>HYPERLINK("https://www.773grp.com/globalSearch/UC3910N/page-1", "UC3910N")</f>
        <v>UC3910N</v>
      </c>
      <c r="B16248" s="3" t="s">
        <v>90</v>
      </c>
      <c r="C16248" s="5">
        <v>8</v>
      </c>
      <c r="D16248" s="6">
        <v>9.41</v>
      </c>
      <c r="E16248" t="s">
        <v>26</v>
      </c>
    </row>
    <row r="16249" spans="1:5" x14ac:dyDescent="0.25">
      <c r="A16249" t="str">
        <f>HYPERLINK("https://www.773grp.com/globalSearch/UCC3958PWP-2/page-1", "UCC3958PWP-2")</f>
        <v>UCC3958PWP-2</v>
      </c>
      <c r="B16249" s="3" t="s">
        <v>90</v>
      </c>
      <c r="C16249" s="5">
        <v>39</v>
      </c>
      <c r="D16249" s="6">
        <v>9.41</v>
      </c>
      <c r="E16249" t="s">
        <v>26</v>
      </c>
    </row>
    <row r="16250" spans="1:5" x14ac:dyDescent="0.25">
      <c r="A16250" t="str">
        <f>HYPERLINK("https://www.773grp.com/globalSearch/UCC3958PWP-3/page-1", "UCC3958PWP-3")</f>
        <v>UCC3958PWP-3</v>
      </c>
      <c r="B16250" s="3" t="s">
        <v>90</v>
      </c>
      <c r="C16250" s="5">
        <v>35</v>
      </c>
      <c r="D16250" s="6">
        <v>9.41</v>
      </c>
      <c r="E16250" t="s">
        <v>26</v>
      </c>
    </row>
    <row r="16251" spans="1:5" x14ac:dyDescent="0.25">
      <c r="A16251" t="str">
        <f>HYPERLINK("https://www.773grp.com/globalSearch/BQ26220PWR/page-1", "BQ26220PWR")</f>
        <v>BQ26220PWR</v>
      </c>
      <c r="B16251" s="3" t="s">
        <v>90</v>
      </c>
      <c r="C16251" s="5">
        <v>65651</v>
      </c>
      <c r="D16251" s="6">
        <v>9.4499999999999993</v>
      </c>
      <c r="E16251" t="s">
        <v>26</v>
      </c>
    </row>
    <row r="16252" spans="1:5" x14ac:dyDescent="0.25">
      <c r="A16252" t="str">
        <f>HYPERLINK("https://www.773grp.com/globalSearch/BQ26220PWRG4/page-1", "BQ26220PWRG4")</f>
        <v>BQ26220PWRG4</v>
      </c>
      <c r="B16252" s="3" t="s">
        <v>90</v>
      </c>
      <c r="C16252" s="5">
        <v>5450</v>
      </c>
      <c r="D16252" s="6">
        <v>9.4499999999999993</v>
      </c>
      <c r="E16252" t="s">
        <v>26</v>
      </c>
    </row>
    <row r="16253" spans="1:5" x14ac:dyDescent="0.25">
      <c r="A16253" t="str">
        <f>HYPERLINK("https://www.773grp.com/globalSearch/UC2907N/page-1", "UC2907N")</f>
        <v>UC2907N</v>
      </c>
      <c r="B16253" s="3" t="s">
        <v>90</v>
      </c>
      <c r="C16253" s="5">
        <v>155</v>
      </c>
      <c r="D16253" s="6">
        <v>9.4499999999999993</v>
      </c>
      <c r="E16253" t="s">
        <v>26</v>
      </c>
    </row>
    <row r="16254" spans="1:5" x14ac:dyDescent="0.25">
      <c r="A16254" t="str">
        <f>HYPERLINK("https://www.773grp.com/globalSearch/BQ2092SN-A309/page-1", "BQ2092SN-A309")</f>
        <v>BQ2092SN-A309</v>
      </c>
      <c r="B16254" s="3" t="s">
        <v>90</v>
      </c>
      <c r="C16254" s="5">
        <v>36572</v>
      </c>
      <c r="D16254" s="6">
        <v>9.49</v>
      </c>
      <c r="E16254" t="s">
        <v>26</v>
      </c>
    </row>
    <row r="16255" spans="1:5" x14ac:dyDescent="0.25">
      <c r="A16255" t="str">
        <f>HYPERLINK("https://www.773grp.com/globalSearch/TPS2214ADB/page-1", "TPS2214ADB")</f>
        <v>TPS2214ADB</v>
      </c>
      <c r="B16255" s="3" t="s">
        <v>90</v>
      </c>
      <c r="C16255" s="5">
        <v>15537</v>
      </c>
      <c r="D16255" s="6">
        <v>9.49</v>
      </c>
      <c r="E16255" t="s">
        <v>26</v>
      </c>
    </row>
    <row r="16256" spans="1:5" x14ac:dyDescent="0.25">
      <c r="A16256" t="str">
        <f>HYPERLINK("https://www.773grp.com/globalSearch/UCC2912DP/page-1", "UCC2912DP")</f>
        <v>UCC2912DP</v>
      </c>
      <c r="B16256" s="3" t="s">
        <v>90</v>
      </c>
      <c r="C16256" s="5">
        <v>360</v>
      </c>
      <c r="D16256" s="6">
        <v>9.5</v>
      </c>
      <c r="E16256" t="s">
        <v>26</v>
      </c>
    </row>
    <row r="16257" spans="1:5" x14ac:dyDescent="0.25">
      <c r="A16257" t="str">
        <f>HYPERLINK("https://www.773grp.com/globalSearch/UCC2912PWP/page-1", "UCC2912PWP")</f>
        <v>UCC2912PWP</v>
      </c>
      <c r="B16257" s="3" t="s">
        <v>90</v>
      </c>
      <c r="C16257" s="5">
        <v>19410</v>
      </c>
      <c r="D16257" s="6">
        <v>9.5</v>
      </c>
      <c r="E16257" t="s">
        <v>26</v>
      </c>
    </row>
    <row r="16258" spans="1:5" x14ac:dyDescent="0.25">
      <c r="A16258" t="str">
        <f>HYPERLINK("https://www.773grp.com/globalSearch/TPS650231YFFT/page-1", "TPS650231YFFT")</f>
        <v>TPS650231YFFT</v>
      </c>
      <c r="B16258" s="3" t="s">
        <v>90</v>
      </c>
      <c r="C16258" s="5">
        <v>655</v>
      </c>
      <c r="D16258" s="6">
        <v>9.5399999999999991</v>
      </c>
      <c r="E16258" t="s">
        <v>26</v>
      </c>
    </row>
    <row r="16259" spans="1:5" x14ac:dyDescent="0.25">
      <c r="A16259" t="str">
        <f>HYPERLINK("https://www.773grp.com/globalSearch/TPS65023RSBT/page-1", "TPS65023RSBT")</f>
        <v>TPS65023RSBT</v>
      </c>
      <c r="B16259" s="3" t="s">
        <v>90</v>
      </c>
      <c r="C16259" s="5">
        <v>250</v>
      </c>
      <c r="D16259" s="6">
        <v>9.5399999999999991</v>
      </c>
      <c r="E16259" t="s">
        <v>26</v>
      </c>
    </row>
    <row r="16260" spans="1:5" x14ac:dyDescent="0.25">
      <c r="A16260" t="str">
        <f>HYPERLINK("https://www.773grp.com/globalSearch/BQ24032RHLR/page-1", "BQ24032RHLR")</f>
        <v>BQ24032RHLR</v>
      </c>
      <c r="B16260" s="3" t="s">
        <v>90</v>
      </c>
      <c r="C16260" s="5">
        <v>96000</v>
      </c>
      <c r="D16260" s="6">
        <v>9.56</v>
      </c>
      <c r="E16260" t="s">
        <v>26</v>
      </c>
    </row>
    <row r="16261" spans="1:5" x14ac:dyDescent="0.25">
      <c r="A16261" t="str">
        <f>HYPERLINK("https://www.773grp.com/globalSearch/BQ24721CRHBR/page-1", "BQ24721CRHBR")</f>
        <v>BQ24721CRHBR</v>
      </c>
      <c r="B16261" s="3" t="s">
        <v>90</v>
      </c>
      <c r="C16261" s="5">
        <v>2270343</v>
      </c>
      <c r="D16261" s="6">
        <v>9.56</v>
      </c>
      <c r="E16261" t="s">
        <v>26</v>
      </c>
    </row>
    <row r="16262" spans="1:5" x14ac:dyDescent="0.25">
      <c r="A16262" t="str">
        <f>HYPERLINK("https://www.773grp.com/globalSearch/BQ24721RHBR/page-1", "BQ24721RHBR")</f>
        <v>BQ24721RHBR</v>
      </c>
      <c r="B16262" s="3" t="s">
        <v>90</v>
      </c>
      <c r="C16262" s="5">
        <v>132000</v>
      </c>
      <c r="D16262" s="6">
        <v>9.56</v>
      </c>
      <c r="E16262" t="s">
        <v>26</v>
      </c>
    </row>
    <row r="16263" spans="1:5" x14ac:dyDescent="0.25">
      <c r="A16263" t="str">
        <f>HYPERLINK("https://www.773grp.com/globalSearch/TPS65181RGZT/page-1", "TPS65181RGZT")</f>
        <v>TPS65181RGZT</v>
      </c>
      <c r="B16263" s="3" t="s">
        <v>90</v>
      </c>
      <c r="C16263" s="5">
        <v>1500</v>
      </c>
      <c r="D16263" s="6">
        <v>9.56</v>
      </c>
      <c r="E16263" t="s">
        <v>26</v>
      </c>
    </row>
    <row r="16264" spans="1:5" x14ac:dyDescent="0.25">
      <c r="A16264" t="str">
        <f>HYPERLINK("https://www.773grp.com/globalSearch/UCD9080RHBT/page-1", "UCD9080RHBT")</f>
        <v>UCD9080RHBT</v>
      </c>
      <c r="B16264" s="3" t="s">
        <v>90</v>
      </c>
      <c r="C16264" s="5">
        <v>20058</v>
      </c>
      <c r="D16264" s="6">
        <v>9.56</v>
      </c>
      <c r="E16264" t="s">
        <v>26</v>
      </c>
    </row>
    <row r="16265" spans="1:5" x14ac:dyDescent="0.25">
      <c r="A16265" t="str">
        <f>HYPERLINK("https://www.773grp.com/globalSearch/UCD9081RHBT/page-1", "UCD9081RHBT")</f>
        <v>UCD9081RHBT</v>
      </c>
      <c r="B16265" s="3" t="s">
        <v>90</v>
      </c>
      <c r="C16265" s="5">
        <v>3150</v>
      </c>
      <c r="D16265" s="6">
        <v>9.56</v>
      </c>
      <c r="E16265" t="s">
        <v>26</v>
      </c>
    </row>
    <row r="16266" spans="1:5" x14ac:dyDescent="0.25">
      <c r="A16266" t="str">
        <f>HYPERLINK("https://www.773grp.com/globalSearch/BQ26200PW/page-1", "BQ26200PW")</f>
        <v>BQ26200PW</v>
      </c>
      <c r="B16266" s="3" t="s">
        <v>90</v>
      </c>
      <c r="C16266" s="5">
        <v>11782</v>
      </c>
      <c r="D16266" s="6">
        <v>9.68</v>
      </c>
      <c r="E16266" t="s">
        <v>26</v>
      </c>
    </row>
    <row r="16267" spans="1:5" x14ac:dyDescent="0.25">
      <c r="A16267" t="str">
        <f>HYPERLINK("https://www.773grp.com/globalSearch/TPS2216ADAP/page-1", "TPS2216ADAP")</f>
        <v>TPS2216ADAP</v>
      </c>
      <c r="B16267" s="3" t="s">
        <v>90</v>
      </c>
      <c r="C16267" s="5">
        <v>7519</v>
      </c>
      <c r="D16267" s="6">
        <v>9.68</v>
      </c>
      <c r="E16267" t="s">
        <v>26</v>
      </c>
    </row>
    <row r="16268" spans="1:5" x14ac:dyDescent="0.25">
      <c r="A16268" t="str">
        <f>HYPERLINK("https://www.773grp.com/globalSearch/TPS2216ADAPG4/page-1", "TPS2216ADAPG4")</f>
        <v>TPS2216ADAPG4</v>
      </c>
      <c r="B16268" s="3" t="s">
        <v>90</v>
      </c>
      <c r="C16268" s="5">
        <v>162</v>
      </c>
      <c r="D16268" s="6">
        <v>9.68</v>
      </c>
      <c r="E16268" t="s">
        <v>26</v>
      </c>
    </row>
    <row r="16269" spans="1:5" x14ac:dyDescent="0.25">
      <c r="A16269" t="str">
        <f>HYPERLINK("https://www.773grp.com/globalSearch/TPS2216ADB/page-1", "TPS2216ADB")</f>
        <v>TPS2216ADB</v>
      </c>
      <c r="B16269" s="3" t="s">
        <v>90</v>
      </c>
      <c r="C16269" s="5">
        <v>14215</v>
      </c>
      <c r="D16269" s="6">
        <v>9.68</v>
      </c>
      <c r="E16269" t="s">
        <v>26</v>
      </c>
    </row>
    <row r="16270" spans="1:5" x14ac:dyDescent="0.25">
      <c r="A16270" t="str">
        <f>HYPERLINK("https://www.773grp.com/globalSearch/BQ24726RGRT/page-1", "BQ24726RGRT")</f>
        <v>BQ24726RGRT</v>
      </c>
      <c r="B16270" s="3" t="s">
        <v>90</v>
      </c>
      <c r="C16270" s="5">
        <v>4781</v>
      </c>
      <c r="D16270" s="6">
        <v>9.6999999999999993</v>
      </c>
      <c r="E16270" t="s">
        <v>26</v>
      </c>
    </row>
    <row r="16271" spans="1:5" x14ac:dyDescent="0.25">
      <c r="A16271" t="str">
        <f>HYPERLINK("https://www.773grp.com/globalSearch/TPS65023QRSBRQ1/page-1", "TPS65023QRSBRQ1")</f>
        <v>TPS65023QRSBRQ1</v>
      </c>
      <c r="B16271" s="3" t="s">
        <v>90</v>
      </c>
      <c r="C16271" s="5">
        <v>2850</v>
      </c>
      <c r="D16271" s="6">
        <v>9.6999999999999993</v>
      </c>
      <c r="E16271" t="s">
        <v>26</v>
      </c>
    </row>
    <row r="16272" spans="1:5" x14ac:dyDescent="0.25">
      <c r="A16272" t="str">
        <f>HYPERLINK("https://www.773grp.com/globalSearch/UCC2918DP-81510/page-1", "UCC2918DP-81510")</f>
        <v>UCC2918DP-81510</v>
      </c>
      <c r="B16272" s="3" t="s">
        <v>90</v>
      </c>
      <c r="C16272" s="5">
        <v>851</v>
      </c>
      <c r="D16272" s="6">
        <v>9.74</v>
      </c>
      <c r="E16272" t="s">
        <v>26</v>
      </c>
    </row>
    <row r="16273" spans="1:5" x14ac:dyDescent="0.25">
      <c r="A16273" t="str">
        <f>HYPERLINK("https://www.773grp.com/globalSearch/UC2544DW/page-1", "UC2544DW")</f>
        <v>UC2544DW</v>
      </c>
      <c r="B16273" s="3" t="s">
        <v>90</v>
      </c>
      <c r="C16273" s="5">
        <v>10131</v>
      </c>
      <c r="D16273" s="6">
        <v>9.75</v>
      </c>
      <c r="E16273" t="s">
        <v>26</v>
      </c>
    </row>
    <row r="16274" spans="1:5" x14ac:dyDescent="0.25">
      <c r="A16274" t="str">
        <f>HYPERLINK("https://www.773grp.com/globalSearch/UC2544N/page-1", "UC2544N")</f>
        <v>UC2544N</v>
      </c>
      <c r="B16274" s="3" t="s">
        <v>90</v>
      </c>
      <c r="C16274" s="5">
        <v>235</v>
      </c>
      <c r="D16274" s="6">
        <v>9.75</v>
      </c>
      <c r="E16274" t="s">
        <v>26</v>
      </c>
    </row>
    <row r="16275" spans="1:5" x14ac:dyDescent="0.25">
      <c r="A16275" t="str">
        <f>HYPERLINK("https://www.773grp.com/globalSearch/UC2544N/page-1", "UC2544N")</f>
        <v>UC2544N</v>
      </c>
      <c r="B16275" s="3" t="s">
        <v>90</v>
      </c>
      <c r="C16275" s="5">
        <v>11427</v>
      </c>
      <c r="D16275" s="6">
        <v>9.75</v>
      </c>
      <c r="E16275" t="s">
        <v>26</v>
      </c>
    </row>
    <row r="16276" spans="1:5" x14ac:dyDescent="0.25">
      <c r="A16276" t="str">
        <f>HYPERLINK("https://www.773grp.com/globalSearch/UC3544N/page-1", "UC3544N")</f>
        <v>UC3544N</v>
      </c>
      <c r="B16276" s="3" t="s">
        <v>90</v>
      </c>
      <c r="C16276" s="5">
        <v>3846</v>
      </c>
      <c r="D16276" s="6">
        <v>9.75</v>
      </c>
      <c r="E16276" t="s">
        <v>26</v>
      </c>
    </row>
    <row r="16277" spans="1:5" x14ac:dyDescent="0.25">
      <c r="A16277" t="str">
        <f>HYPERLINK("https://www.773grp.com/globalSearch/BQ24751BRHDR/page-1", "BQ24751BRHDR")</f>
        <v>BQ24751BRHDR</v>
      </c>
      <c r="B16277" s="3" t="s">
        <v>90</v>
      </c>
      <c r="C16277" s="5">
        <v>30000</v>
      </c>
      <c r="D16277" s="6">
        <v>9.84</v>
      </c>
      <c r="E16277" t="s">
        <v>26</v>
      </c>
    </row>
    <row r="16278" spans="1:5" x14ac:dyDescent="0.25">
      <c r="A16278" t="str">
        <f>HYPERLINK("https://www.773grp.com/globalSearch/BQ24751RHDR/page-1", "BQ24751RHDR")</f>
        <v>BQ24751RHDR</v>
      </c>
      <c r="B16278" s="3" t="s">
        <v>90</v>
      </c>
      <c r="C16278" s="5">
        <v>324000</v>
      </c>
      <c r="D16278" s="6">
        <v>9.84</v>
      </c>
      <c r="E16278" t="s">
        <v>26</v>
      </c>
    </row>
    <row r="16279" spans="1:5" x14ac:dyDescent="0.25">
      <c r="A16279" t="str">
        <f>HYPERLINK("https://www.773grp.com/globalSearch/TPS2205IDF/page-1", "TPS2205IDF")</f>
        <v>TPS2205IDF</v>
      </c>
      <c r="B16279" s="3" t="s">
        <v>90</v>
      </c>
      <c r="C16279" s="5">
        <v>10463</v>
      </c>
      <c r="D16279" s="6">
        <v>9.84</v>
      </c>
      <c r="E16279" t="s">
        <v>26</v>
      </c>
    </row>
    <row r="16280" spans="1:5" x14ac:dyDescent="0.25">
      <c r="A16280" t="str">
        <f>HYPERLINK("https://www.773grp.com/globalSearch/TPS2459RHBT/page-1", "TPS2459RHBT")</f>
        <v>TPS2459RHBT</v>
      </c>
      <c r="B16280" s="3" t="s">
        <v>90</v>
      </c>
      <c r="C16280" s="5">
        <v>1625</v>
      </c>
      <c r="D16280" s="6">
        <v>9.84</v>
      </c>
      <c r="E16280" t="s">
        <v>26</v>
      </c>
    </row>
    <row r="16281" spans="1:5" x14ac:dyDescent="0.25">
      <c r="A16281" t="str">
        <f>HYPERLINK("https://www.773grp.com/globalSearch/TPS2216DAPR/page-1", "TPS2216DAPR")</f>
        <v>TPS2216DAPR</v>
      </c>
      <c r="B16281" s="3" t="s">
        <v>90</v>
      </c>
      <c r="C16281" s="5">
        <v>3232</v>
      </c>
      <c r="D16281" s="6">
        <v>9.9</v>
      </c>
      <c r="E16281" t="s">
        <v>26</v>
      </c>
    </row>
    <row r="16282" spans="1:5" x14ac:dyDescent="0.25">
      <c r="A16282" t="str">
        <f>HYPERLINK("https://www.773grp.com/globalSearch/TPS2216DBR/page-1", "TPS2216DBR")</f>
        <v>TPS2216DBR</v>
      </c>
      <c r="B16282" s="3" t="s">
        <v>90</v>
      </c>
      <c r="C16282" s="5">
        <v>56000</v>
      </c>
      <c r="D16282" s="6">
        <v>9.9</v>
      </c>
      <c r="E16282" t="s">
        <v>26</v>
      </c>
    </row>
    <row r="16283" spans="1:5" x14ac:dyDescent="0.25">
      <c r="A16283" t="str">
        <f>HYPERLINK("https://www.773grp.com/globalSearch/TPS65231A2DCAR/page-1", "TPS65231A2DCAR")</f>
        <v>TPS65231A2DCAR</v>
      </c>
      <c r="B16283" s="3" t="s">
        <v>90</v>
      </c>
      <c r="C16283" s="5">
        <v>4000</v>
      </c>
      <c r="D16283" s="6">
        <v>9.9600000000000009</v>
      </c>
      <c r="E16283" t="s">
        <v>26</v>
      </c>
    </row>
    <row r="16284" spans="1:5" x14ac:dyDescent="0.25">
      <c r="A16284" t="str">
        <f>HYPERLINK("https://www.773grp.com/globalSearch/BQ2011KSN-D121/page-1", "BQ2011KSN-D121")</f>
        <v>BQ2011KSN-D121</v>
      </c>
      <c r="B16284" s="3" t="s">
        <v>90</v>
      </c>
      <c r="C16284" s="5">
        <v>996</v>
      </c>
      <c r="D16284" s="6">
        <v>9.99</v>
      </c>
      <c r="E16284" t="s">
        <v>26</v>
      </c>
    </row>
    <row r="16285" spans="1:5" x14ac:dyDescent="0.25">
      <c r="A16285" t="str">
        <f>HYPERLINK("https://www.773grp.com/globalSearch/BQ26501PWR/page-1", "BQ26501PWR")</f>
        <v>BQ26501PWR</v>
      </c>
      <c r="B16285" s="3" t="s">
        <v>90</v>
      </c>
      <c r="C16285" s="5">
        <v>69000</v>
      </c>
      <c r="D16285" s="6">
        <v>9.99</v>
      </c>
      <c r="E16285" t="s">
        <v>26</v>
      </c>
    </row>
    <row r="16286" spans="1:5" x14ac:dyDescent="0.25">
      <c r="A16286" t="str">
        <f>HYPERLINK("https://www.773grp.com/globalSearch/BQ77PL900DL/page-1", "BQ77PL900DL")</f>
        <v>BQ77PL900DL</v>
      </c>
      <c r="B16286" s="3" t="s">
        <v>90</v>
      </c>
      <c r="C16286" s="5">
        <v>34</v>
      </c>
      <c r="D16286" s="6">
        <v>9.99</v>
      </c>
      <c r="E16286" t="s">
        <v>26</v>
      </c>
    </row>
    <row r="16287" spans="1:5" x14ac:dyDescent="0.25">
      <c r="A16287" t="str">
        <f>HYPERLINK("https://www.773grp.com/globalSearch/TPS65021RHAT/page-1", "TPS65021RHAT")</f>
        <v>TPS65021RHAT</v>
      </c>
      <c r="B16287" s="3" t="s">
        <v>90</v>
      </c>
      <c r="C16287" s="5">
        <v>206</v>
      </c>
      <c r="D16287" s="6">
        <v>9.99</v>
      </c>
      <c r="E16287" t="s">
        <v>26</v>
      </c>
    </row>
    <row r="16288" spans="1:5" x14ac:dyDescent="0.25">
      <c r="A16288" t="str">
        <f>HYPERLINK("https://www.773grp.com/globalSearch/TPS65022RHAT/page-1", "TPS65022RHAT")</f>
        <v>TPS65022RHAT</v>
      </c>
      <c r="B16288" s="3" t="s">
        <v>90</v>
      </c>
      <c r="C16288" s="5">
        <v>1308</v>
      </c>
      <c r="D16288" s="6">
        <v>9.99</v>
      </c>
      <c r="E16288" t="s">
        <v>26</v>
      </c>
    </row>
    <row r="16289" spans="1:5" x14ac:dyDescent="0.25">
      <c r="A16289" t="str">
        <f>HYPERLINK("https://www.773grp.com/globalSearch/TPS65180RGZT/page-1", "TPS65180RGZT")</f>
        <v>TPS65180RGZT</v>
      </c>
      <c r="B16289" s="3" t="s">
        <v>90</v>
      </c>
      <c r="C16289" s="5">
        <v>5250</v>
      </c>
      <c r="D16289" s="6">
        <v>9.99</v>
      </c>
      <c r="E16289" t="s">
        <v>26</v>
      </c>
    </row>
    <row r="16290" spans="1:5" x14ac:dyDescent="0.25">
      <c r="A16290" t="str">
        <f>HYPERLINK("https://www.773grp.com/globalSearch/BQ2204ASN/page-1", "BQ2204ASN")</f>
        <v>BQ2204ASN</v>
      </c>
      <c r="B16290" s="3" t="s">
        <v>90</v>
      </c>
      <c r="C16290" s="5">
        <v>16947</v>
      </c>
      <c r="D16290" s="6">
        <v>10.01</v>
      </c>
      <c r="E16290" t="s">
        <v>26</v>
      </c>
    </row>
    <row r="16291" spans="1:5" x14ac:dyDescent="0.25">
      <c r="A16291" t="str">
        <f>HYPERLINK("https://www.773grp.com/globalSearch/BQ2204ASN/page-1", "BQ2204ASN")</f>
        <v>BQ2204ASN</v>
      </c>
      <c r="B16291" s="3" t="s">
        <v>90</v>
      </c>
      <c r="C16291" s="5">
        <v>12</v>
      </c>
      <c r="D16291" s="6">
        <v>10.01</v>
      </c>
      <c r="E16291" t="s">
        <v>26</v>
      </c>
    </row>
    <row r="16292" spans="1:5" x14ac:dyDescent="0.25">
      <c r="A16292" t="str">
        <f>HYPERLINK("https://www.773grp.com/globalSearch/BQ2204ASN-N/page-1", "BQ2204ASN-N")</f>
        <v>BQ2204ASN-N</v>
      </c>
      <c r="B16292" s="3" t="s">
        <v>90</v>
      </c>
      <c r="C16292" s="5">
        <v>4600</v>
      </c>
      <c r="D16292" s="6">
        <v>10.01</v>
      </c>
      <c r="E16292" t="s">
        <v>26</v>
      </c>
    </row>
    <row r="16293" spans="1:5" x14ac:dyDescent="0.25">
      <c r="A16293" t="str">
        <f>HYPERLINK("https://www.773grp.com/globalSearch/BQ2060A-E619DBQ/page-1", "BQ2060A-E619DBQ")</f>
        <v>BQ2060A-E619DBQ</v>
      </c>
      <c r="B16293" s="3" t="s">
        <v>90</v>
      </c>
      <c r="C16293" s="5">
        <v>21141</v>
      </c>
      <c r="D16293" s="6">
        <v>10.130000000000001</v>
      </c>
      <c r="E16293" t="s">
        <v>26</v>
      </c>
    </row>
    <row r="16294" spans="1:5" x14ac:dyDescent="0.25">
      <c r="A16294" t="str">
        <f>HYPERLINK("https://www.773grp.com/globalSearch/BQ20Z70PWR-V160/page-1", "BQ20Z70PWR-V160")</f>
        <v>BQ20Z70PWR-V160</v>
      </c>
      <c r="B16294" s="3" t="s">
        <v>90</v>
      </c>
      <c r="C16294" s="5">
        <v>3747</v>
      </c>
      <c r="D16294" s="6">
        <v>10.130000000000001</v>
      </c>
      <c r="E16294" t="s">
        <v>26</v>
      </c>
    </row>
    <row r="16295" spans="1:5" x14ac:dyDescent="0.25">
      <c r="A16295" t="str">
        <f>HYPERLINK("https://www.773grp.com/globalSearch/BQ24750ARHDT/page-1", "BQ24750ARHDT")</f>
        <v>BQ24750ARHDT</v>
      </c>
      <c r="B16295" s="3" t="s">
        <v>90</v>
      </c>
      <c r="C16295" s="5">
        <v>14820</v>
      </c>
      <c r="D16295" s="6">
        <v>10.130000000000001</v>
      </c>
      <c r="E16295" t="s">
        <v>26</v>
      </c>
    </row>
    <row r="16296" spans="1:5" x14ac:dyDescent="0.25">
      <c r="A16296" t="str">
        <f>HYPERLINK("https://www.773grp.com/globalSearch/BQ2945SN-C409/page-1", "BQ2945SN-C409")</f>
        <v>BQ2945SN-C409</v>
      </c>
      <c r="B16296" s="3" t="s">
        <v>90</v>
      </c>
      <c r="C16296" s="5">
        <v>13566</v>
      </c>
      <c r="D16296" s="6">
        <v>10.130000000000001</v>
      </c>
      <c r="E16296" t="s">
        <v>26</v>
      </c>
    </row>
    <row r="16297" spans="1:5" x14ac:dyDescent="0.25">
      <c r="A16297" t="str">
        <f>HYPERLINK("https://www.773grp.com/globalSearch/TPS2205IDAP/page-1", "TPS2205IDAP")</f>
        <v>TPS2205IDAP</v>
      </c>
      <c r="B16297" s="3" t="s">
        <v>90</v>
      </c>
      <c r="C16297" s="5">
        <v>2109</v>
      </c>
      <c r="D16297" s="6">
        <v>10.210000000000001</v>
      </c>
      <c r="E16297" t="s">
        <v>26</v>
      </c>
    </row>
    <row r="16298" spans="1:5" x14ac:dyDescent="0.25">
      <c r="A16298" t="str">
        <f>HYPERLINK("https://www.773grp.com/globalSearch/TPS2205IDB/page-1", "TPS2205IDB")</f>
        <v>TPS2205IDB</v>
      </c>
      <c r="B16298" s="3" t="s">
        <v>90</v>
      </c>
      <c r="C16298" s="5">
        <v>2455</v>
      </c>
      <c r="D16298" s="6">
        <v>10.210000000000001</v>
      </c>
      <c r="E16298" t="s">
        <v>26</v>
      </c>
    </row>
    <row r="16299" spans="1:5" x14ac:dyDescent="0.25">
      <c r="A16299" t="str">
        <f>HYPERLINK("https://www.773grp.com/globalSearch/BQ2018SN-E1/page-1", "BQ2018SN-E1")</f>
        <v>BQ2018SN-E1</v>
      </c>
      <c r="B16299" s="3" t="s">
        <v>90</v>
      </c>
      <c r="C16299" s="5">
        <v>12252</v>
      </c>
      <c r="D16299" s="6">
        <v>10.38</v>
      </c>
      <c r="E16299" t="s">
        <v>26</v>
      </c>
    </row>
    <row r="16300" spans="1:5" x14ac:dyDescent="0.25">
      <c r="A16300" t="str">
        <f>HYPERLINK("https://www.773grp.com/globalSearch/BQ24721RHBT/page-1", "BQ24721RHBT")</f>
        <v>BQ24721RHBT</v>
      </c>
      <c r="B16300" s="3" t="s">
        <v>90</v>
      </c>
      <c r="C16300" s="5">
        <v>7447</v>
      </c>
      <c r="D16300" s="6">
        <v>10.55</v>
      </c>
      <c r="E16300" t="s">
        <v>26</v>
      </c>
    </row>
    <row r="16301" spans="1:5" x14ac:dyDescent="0.25">
      <c r="A16301" t="str">
        <f>HYPERLINK("https://www.773grp.com/globalSearch/BQ26500PW/page-1", "BQ26500PW")</f>
        <v>BQ26500PW</v>
      </c>
      <c r="B16301" s="3" t="s">
        <v>90</v>
      </c>
      <c r="C16301" s="5">
        <v>19400</v>
      </c>
      <c r="D16301" s="6">
        <v>10.55</v>
      </c>
      <c r="E16301" t="s">
        <v>26</v>
      </c>
    </row>
    <row r="16302" spans="1:5" x14ac:dyDescent="0.25">
      <c r="A16302" t="str">
        <f>HYPERLINK("https://www.773grp.com/globalSearch/TPS2228PWP/page-1", "TPS2228PWP")</f>
        <v>TPS2228PWP</v>
      </c>
      <c r="B16302" s="3" t="s">
        <v>90</v>
      </c>
      <c r="C16302" s="5">
        <v>2136</v>
      </c>
      <c r="D16302" s="6">
        <v>10.55</v>
      </c>
      <c r="E16302" t="s">
        <v>26</v>
      </c>
    </row>
    <row r="16303" spans="1:5" x14ac:dyDescent="0.25">
      <c r="A16303" t="str">
        <f>HYPERLINK("https://www.773grp.com/globalSearch/UCC3958DP-1/page-1", "UCC3958DP-1")</f>
        <v>UCC3958DP-1</v>
      </c>
      <c r="B16303" s="3" t="s">
        <v>90</v>
      </c>
      <c r="C16303" s="5">
        <v>741</v>
      </c>
      <c r="D16303" s="6">
        <v>10.55</v>
      </c>
      <c r="E16303" t="s">
        <v>26</v>
      </c>
    </row>
    <row r="16304" spans="1:5" x14ac:dyDescent="0.25">
      <c r="A16304" t="str">
        <f>HYPERLINK("https://www.773grp.com/globalSearch/UC3907J/page-1", "UC3907J")</f>
        <v>UC3907J</v>
      </c>
      <c r="B16304" s="3" t="s">
        <v>90</v>
      </c>
      <c r="C16304" s="5">
        <v>1960</v>
      </c>
      <c r="D16304" s="6">
        <v>10.71</v>
      </c>
      <c r="E16304" t="s">
        <v>26</v>
      </c>
    </row>
    <row r="16305" spans="1:5" x14ac:dyDescent="0.25">
      <c r="A16305" t="str">
        <f>HYPERLINK("https://www.773grp.com/globalSearch/TPS65921BZQZ/page-1", "TPS65921BZQZ")</f>
        <v>TPS65921BZQZ</v>
      </c>
      <c r="B16305" s="3" t="s">
        <v>90</v>
      </c>
      <c r="C16305" s="5">
        <v>1367</v>
      </c>
      <c r="D16305" s="6">
        <v>10.8</v>
      </c>
      <c r="E16305" t="s">
        <v>26</v>
      </c>
    </row>
    <row r="16306" spans="1:5" x14ac:dyDescent="0.25">
      <c r="A16306" t="str">
        <f>HYPERLINK("https://www.773grp.com/globalSearch/BQ26221PW/page-1", "BQ26221PW")</f>
        <v>BQ26221PW</v>
      </c>
      <c r="B16306" s="3" t="s">
        <v>90</v>
      </c>
      <c r="C16306" s="5">
        <v>1450</v>
      </c>
      <c r="D16306" s="6">
        <v>10.84</v>
      </c>
      <c r="E16306" t="s">
        <v>26</v>
      </c>
    </row>
    <row r="16307" spans="1:5" x14ac:dyDescent="0.25">
      <c r="A16307" t="str">
        <f>HYPERLINK("https://www.773grp.com/globalSearch/TPS2074DB/page-1", "TPS2074DB")</f>
        <v>TPS2074DB</v>
      </c>
      <c r="B16307" s="3" t="s">
        <v>90</v>
      </c>
      <c r="C16307" s="5">
        <v>6342</v>
      </c>
      <c r="D16307" s="6">
        <v>10.84</v>
      </c>
      <c r="E16307" t="s">
        <v>26</v>
      </c>
    </row>
    <row r="16308" spans="1:5" x14ac:dyDescent="0.25">
      <c r="A16308" t="str">
        <f>HYPERLINK("https://www.773grp.com/globalSearch/TPS2075DB/page-1", "TPS2075DB")</f>
        <v>TPS2075DB</v>
      </c>
      <c r="B16308" s="3" t="s">
        <v>90</v>
      </c>
      <c r="C16308" s="5">
        <v>2698</v>
      </c>
      <c r="D16308" s="6">
        <v>10.84</v>
      </c>
      <c r="E16308" t="s">
        <v>26</v>
      </c>
    </row>
    <row r="16309" spans="1:5" x14ac:dyDescent="0.25">
      <c r="A16309" t="str">
        <f>HYPERLINK("https://www.773grp.com/globalSearch/TPS2075DBG4/page-1", "TPS2075DBG4")</f>
        <v>TPS2075DBG4</v>
      </c>
      <c r="B16309" s="3" t="s">
        <v>90</v>
      </c>
      <c r="C16309" s="5">
        <v>159</v>
      </c>
      <c r="D16309" s="6">
        <v>10.84</v>
      </c>
      <c r="E16309" t="s">
        <v>26</v>
      </c>
    </row>
    <row r="16310" spans="1:5" x14ac:dyDescent="0.25">
      <c r="A16310" t="str">
        <f>HYPERLINK("https://www.773grp.com/globalSearch/TPS2228DB/page-1", "TPS2228DB")</f>
        <v>TPS2228DB</v>
      </c>
      <c r="B16310" s="3" t="s">
        <v>90</v>
      </c>
      <c r="C16310" s="5">
        <v>15272</v>
      </c>
      <c r="D16310" s="6">
        <v>10.84</v>
      </c>
      <c r="E16310" t="s">
        <v>26</v>
      </c>
    </row>
    <row r="16311" spans="1:5" x14ac:dyDescent="0.25">
      <c r="A16311" t="str">
        <f>HYPERLINK("https://www.773grp.com/globalSearch/TPS2206IDAP/page-1", "TPS2206IDAP")</f>
        <v>TPS2206IDAP</v>
      </c>
      <c r="B16311" s="3" t="s">
        <v>90</v>
      </c>
      <c r="C16311" s="5">
        <v>7455</v>
      </c>
      <c r="D16311" s="6">
        <v>10.91</v>
      </c>
      <c r="E16311" t="s">
        <v>26</v>
      </c>
    </row>
    <row r="16312" spans="1:5" x14ac:dyDescent="0.25">
      <c r="A16312" t="str">
        <f>HYPERLINK("https://www.773grp.com/globalSearch/TPS2206IDB/page-1", "TPS2206IDB")</f>
        <v>TPS2206IDB</v>
      </c>
      <c r="B16312" s="3" t="s">
        <v>90</v>
      </c>
      <c r="C16312" s="5">
        <v>15673</v>
      </c>
      <c r="D16312" s="6">
        <v>10.91</v>
      </c>
      <c r="E16312" t="s">
        <v>26</v>
      </c>
    </row>
    <row r="16313" spans="1:5" x14ac:dyDescent="0.25">
      <c r="A16313" t="str">
        <f>HYPERLINK("https://www.773grp.com/globalSearch/BQ2013HSN-A514TR/page-1", "BQ2013HSN-A514TR")</f>
        <v>BQ2013HSN-A514TR</v>
      </c>
      <c r="B16313" s="3" t="s">
        <v>90</v>
      </c>
      <c r="C16313" s="5">
        <v>22500</v>
      </c>
      <c r="D16313" s="6">
        <v>10.94</v>
      </c>
      <c r="E16313" t="s">
        <v>26</v>
      </c>
    </row>
    <row r="16314" spans="1:5" x14ac:dyDescent="0.25">
      <c r="A16314" t="str">
        <f>HYPERLINK("https://www.773grp.com/globalSearch/BQ2050HSN-A508TR/page-1", "BQ2050HSN-A508TR")</f>
        <v>BQ2050HSN-A508TR</v>
      </c>
      <c r="B16314" s="3" t="s">
        <v>90</v>
      </c>
      <c r="C16314" s="5">
        <v>65000</v>
      </c>
      <c r="D16314" s="6">
        <v>10.94</v>
      </c>
      <c r="E16314" t="s">
        <v>26</v>
      </c>
    </row>
    <row r="16315" spans="1:5" x14ac:dyDescent="0.25">
      <c r="A16315" t="str">
        <f>HYPERLINK("https://www.773grp.com/globalSearch/BQ24721CRHBT/page-1", "BQ24721CRHBT")</f>
        <v>BQ24721CRHBT</v>
      </c>
      <c r="B16315" s="3" t="s">
        <v>90</v>
      </c>
      <c r="C16315" s="5">
        <v>11250</v>
      </c>
      <c r="D16315" s="6">
        <v>10.98</v>
      </c>
      <c r="E16315" t="s">
        <v>26</v>
      </c>
    </row>
    <row r="16316" spans="1:5" x14ac:dyDescent="0.25">
      <c r="A16316" t="str">
        <f>HYPERLINK("https://www.773grp.com/globalSearch/BQ3060PW/page-1", "BQ3060PW")</f>
        <v>BQ3060PW</v>
      </c>
      <c r="B16316" s="3" t="s">
        <v>90</v>
      </c>
      <c r="C16316" s="5">
        <v>4560</v>
      </c>
      <c r="D16316" s="6">
        <v>10.98</v>
      </c>
      <c r="E16316" t="s">
        <v>26</v>
      </c>
    </row>
    <row r="16317" spans="1:5" x14ac:dyDescent="0.25">
      <c r="A16317" t="str">
        <f>HYPERLINK("https://www.773grp.com/globalSearch/BQ20Z90DBT-V150/page-1", "BQ20Z90DBT-V150")</f>
        <v>BQ20Z90DBT-V150</v>
      </c>
      <c r="B16317" s="3" t="s">
        <v>90</v>
      </c>
      <c r="C16317" s="5">
        <v>180</v>
      </c>
      <c r="D16317" s="6">
        <v>11.25</v>
      </c>
      <c r="E16317" t="s">
        <v>26</v>
      </c>
    </row>
    <row r="16318" spans="1:5" x14ac:dyDescent="0.25">
      <c r="A16318" t="str">
        <f>HYPERLINK("https://www.773grp.com/globalSearch/BQ26220PW/page-1", "BQ26220PW")</f>
        <v>BQ26220PW</v>
      </c>
      <c r="B16318" s="3" t="s">
        <v>90</v>
      </c>
      <c r="C16318" s="5">
        <v>2340</v>
      </c>
      <c r="D16318" s="6">
        <v>11.25</v>
      </c>
      <c r="E16318" t="s">
        <v>26</v>
      </c>
    </row>
    <row r="16319" spans="1:5" x14ac:dyDescent="0.25">
      <c r="A16319" t="str">
        <f>HYPERLINK("https://www.773grp.com/globalSearch/TPS2456RHHT/page-1", "TPS2456RHHT")</f>
        <v>TPS2456RHHT</v>
      </c>
      <c r="B16319" s="3" t="s">
        <v>90</v>
      </c>
      <c r="C16319" s="5">
        <v>741</v>
      </c>
      <c r="D16319" s="6">
        <v>11.25</v>
      </c>
      <c r="E16319" t="s">
        <v>26</v>
      </c>
    </row>
    <row r="16320" spans="1:5" x14ac:dyDescent="0.25">
      <c r="A16320" t="str">
        <f>HYPERLINK("https://www.773grp.com/globalSearch/BQ24751ARHDT/page-1", "BQ24751ARHDT")</f>
        <v>BQ24751ARHDT</v>
      </c>
      <c r="B16320" s="3" t="s">
        <v>90</v>
      </c>
      <c r="C16320" s="5">
        <v>2707</v>
      </c>
      <c r="D16320" s="6">
        <v>11.34</v>
      </c>
      <c r="E16320" t="s">
        <v>26</v>
      </c>
    </row>
    <row r="16321" spans="1:5" x14ac:dyDescent="0.25">
      <c r="A16321" t="str">
        <f>HYPERLINK("https://www.773grp.com/globalSearch/BQ24751BRHDT/page-1", "BQ24751BRHDT")</f>
        <v>BQ24751BRHDT</v>
      </c>
      <c r="B16321" s="3" t="s">
        <v>90</v>
      </c>
      <c r="C16321" s="5">
        <v>24500</v>
      </c>
      <c r="D16321" s="6">
        <v>11.34</v>
      </c>
      <c r="E16321" t="s">
        <v>26</v>
      </c>
    </row>
    <row r="16322" spans="1:5" x14ac:dyDescent="0.25">
      <c r="A16322" t="str">
        <f>HYPERLINK("https://www.773grp.com/globalSearch/BQ24751RHDT/page-1", "BQ24751RHDT")</f>
        <v>BQ24751RHDT</v>
      </c>
      <c r="B16322" s="3" t="s">
        <v>90</v>
      </c>
      <c r="C16322" s="5">
        <v>5500</v>
      </c>
      <c r="D16322" s="6">
        <v>11.34</v>
      </c>
      <c r="E16322" t="s">
        <v>26</v>
      </c>
    </row>
    <row r="16323" spans="1:5" x14ac:dyDescent="0.25">
      <c r="A16323" t="str">
        <f>HYPERLINK("https://www.773grp.com/globalSearch/BQ2040SN-C408TR/page-1", "BQ2040SN-C408TR")</f>
        <v>BQ2040SN-C408TR</v>
      </c>
      <c r="B16323" s="3" t="s">
        <v>90</v>
      </c>
      <c r="C16323" s="5">
        <v>10000</v>
      </c>
      <c r="D16323" s="6">
        <v>11.36</v>
      </c>
      <c r="E16323" t="s">
        <v>26</v>
      </c>
    </row>
    <row r="16324" spans="1:5" x14ac:dyDescent="0.25">
      <c r="A16324" t="str">
        <f>HYPERLINK("https://www.773grp.com/globalSearch/BQ2040SN-D111TR/page-1", "BQ2040SN-D111TR")</f>
        <v>BQ2040SN-D111TR</v>
      </c>
      <c r="B16324" s="3" t="s">
        <v>90</v>
      </c>
      <c r="C16324" s="5">
        <v>2500</v>
      </c>
      <c r="D16324" s="6">
        <v>11.36</v>
      </c>
      <c r="E16324" t="s">
        <v>26</v>
      </c>
    </row>
    <row r="16325" spans="1:5" x14ac:dyDescent="0.25">
      <c r="A16325" t="str">
        <f>HYPERLINK("https://www.773grp.com/globalSearch/BQ2040SN-D111TR/page-1", "BQ2040SN-D111TR")</f>
        <v>BQ2040SN-D111TR</v>
      </c>
      <c r="B16325" s="3" t="s">
        <v>90</v>
      </c>
      <c r="C16325" s="5">
        <v>7500</v>
      </c>
      <c r="D16325" s="6">
        <v>11.36</v>
      </c>
      <c r="E16325" t="s">
        <v>26</v>
      </c>
    </row>
    <row r="16326" spans="1:5" x14ac:dyDescent="0.25">
      <c r="A16326" t="str">
        <f>HYPERLINK("https://www.773grp.com/globalSearch/BQ2050SN-D119TR/page-1", "BQ2050SN-D119TR")</f>
        <v>BQ2050SN-D119TR</v>
      </c>
      <c r="B16326" s="3" t="s">
        <v>90</v>
      </c>
      <c r="C16326" s="5">
        <v>5000</v>
      </c>
      <c r="D16326" s="6">
        <v>11.36</v>
      </c>
      <c r="E16326" t="s">
        <v>26</v>
      </c>
    </row>
    <row r="16327" spans="1:5" x14ac:dyDescent="0.25">
      <c r="A16327" t="str">
        <f>HYPERLINK("https://www.773grp.com/globalSearch/BQ2092SN-A309TR/page-1", "BQ2092SN-A309TR")</f>
        <v>BQ2092SN-A309TR</v>
      </c>
      <c r="B16327" s="3" t="s">
        <v>90</v>
      </c>
      <c r="C16327" s="5">
        <v>12500</v>
      </c>
      <c r="D16327" s="6">
        <v>11.43</v>
      </c>
      <c r="E16327" t="s">
        <v>26</v>
      </c>
    </row>
    <row r="16328" spans="1:5" x14ac:dyDescent="0.25">
      <c r="A16328" t="str">
        <f>HYPERLINK("https://www.773grp.com/globalSearch/TPS2216DAP/page-1", "TPS2216DAP")</f>
        <v>TPS2216DAP</v>
      </c>
      <c r="B16328" s="3" t="s">
        <v>90</v>
      </c>
      <c r="C16328" s="5">
        <v>12486</v>
      </c>
      <c r="D16328" s="6">
        <v>11.78</v>
      </c>
      <c r="E16328" t="s">
        <v>26</v>
      </c>
    </row>
    <row r="16329" spans="1:5" x14ac:dyDescent="0.25">
      <c r="A16329" t="str">
        <f>HYPERLINK("https://www.773grp.com/globalSearch/TPS2216DB/page-1", "TPS2216DB")</f>
        <v>TPS2216DB</v>
      </c>
      <c r="B16329" s="3" t="s">
        <v>90</v>
      </c>
      <c r="C16329" s="5">
        <v>515</v>
      </c>
      <c r="D16329" s="6">
        <v>11.78</v>
      </c>
      <c r="E16329" t="s">
        <v>26</v>
      </c>
    </row>
    <row r="16330" spans="1:5" x14ac:dyDescent="0.25">
      <c r="A16330" t="str">
        <f>HYPERLINK("https://www.773grp.com/globalSearch/TPS2341PHP/page-1", "TPS2341PHP")</f>
        <v>TPS2341PHP</v>
      </c>
      <c r="B16330" s="3" t="s">
        <v>90</v>
      </c>
      <c r="C16330" s="5">
        <v>765</v>
      </c>
      <c r="D16330" s="6">
        <v>11.81</v>
      </c>
      <c r="E16330" t="s">
        <v>26</v>
      </c>
    </row>
    <row r="16331" spans="1:5" x14ac:dyDescent="0.25">
      <c r="A16331" t="str">
        <f>HYPERLINK("https://www.773grp.com/globalSearch/TPS23851DCE/page-1", "TPS23851DCE")</f>
        <v>TPS23851DCE</v>
      </c>
      <c r="B16331" s="3" t="s">
        <v>90</v>
      </c>
      <c r="C16331" s="5">
        <v>1525</v>
      </c>
      <c r="D16331" s="6">
        <v>11.81</v>
      </c>
      <c r="E16331" t="s">
        <v>26</v>
      </c>
    </row>
    <row r="16332" spans="1:5" x14ac:dyDescent="0.25">
      <c r="A16332" t="str">
        <f>HYPERLINK("https://www.773grp.com/globalSearch/TWL2214CAPFB/page-1", "TWL2214CAPFB")</f>
        <v>TWL2214CAPFB</v>
      </c>
      <c r="B16332" s="3" t="s">
        <v>90</v>
      </c>
      <c r="C16332" s="5">
        <v>1549</v>
      </c>
      <c r="D16332" s="6">
        <v>12.01</v>
      </c>
      <c r="E16332" t="s">
        <v>26</v>
      </c>
    </row>
    <row r="16333" spans="1:5" x14ac:dyDescent="0.25">
      <c r="A16333" t="str">
        <f>HYPERLINK("https://www.773grp.com/globalSearch/TWL2214CAPFBR/page-1", "TWL2214CAPFBR")</f>
        <v>TWL2214CAPFBR</v>
      </c>
      <c r="B16333" s="3" t="s">
        <v>90</v>
      </c>
      <c r="C16333" s="5">
        <v>1000</v>
      </c>
      <c r="D16333" s="6">
        <v>12.01</v>
      </c>
      <c r="E16333" t="s">
        <v>26</v>
      </c>
    </row>
    <row r="16334" spans="1:5" x14ac:dyDescent="0.25">
      <c r="A16334" t="str">
        <f>HYPERLINK("https://www.773grp.com/globalSearch/BQ2050HSN-A308TR/page-1", "BQ2050HSN-A308TR")</f>
        <v>BQ2050HSN-A308TR</v>
      </c>
      <c r="B16334" s="3" t="s">
        <v>90</v>
      </c>
      <c r="C16334" s="5">
        <v>4815</v>
      </c>
      <c r="D16334" s="6">
        <v>12.04</v>
      </c>
      <c r="E16334" t="s">
        <v>26</v>
      </c>
    </row>
    <row r="16335" spans="1:5" x14ac:dyDescent="0.25">
      <c r="A16335" t="str">
        <f>HYPERLINK("https://www.773grp.com/globalSearch/BQ26501PW/page-1", "BQ26501PW")</f>
        <v>BQ26501PW</v>
      </c>
      <c r="B16335" s="3" t="s">
        <v>90</v>
      </c>
      <c r="C16335" s="5">
        <v>5066</v>
      </c>
      <c r="D16335" s="6">
        <v>12.1</v>
      </c>
      <c r="E16335" t="s">
        <v>26</v>
      </c>
    </row>
    <row r="16336" spans="1:5" x14ac:dyDescent="0.25">
      <c r="A16336" t="str">
        <f>HYPERLINK("https://www.773grp.com/globalSearch/TPS2345PW/page-1", "TPS2345PW")</f>
        <v>TPS2345PW</v>
      </c>
      <c r="B16336" s="3" t="str">
        <f>HYPERLINK("https://www.773grp.com/manufacturer/texas-instruments?pageNo=61", "Texas Instruments")</f>
        <v>Texas Instruments</v>
      </c>
      <c r="C16336" s="5">
        <v>720</v>
      </c>
      <c r="D16336" s="6">
        <v>12.24</v>
      </c>
      <c r="E16336" t="s">
        <v>26</v>
      </c>
    </row>
    <row r="16337" spans="1:5" x14ac:dyDescent="0.25">
      <c r="A16337" t="str">
        <f>HYPERLINK("https://www.773grp.com/globalSearch/TPS2345PWR/page-1", "TPS2345PWR")</f>
        <v>TPS2345PWR</v>
      </c>
      <c r="B16337" s="3" t="str">
        <f>HYPERLINK("https://www.773grp.com/manufacturer/texas-instruments?pageNo=62", "Texas Instruments")</f>
        <v>Texas Instruments</v>
      </c>
      <c r="C16337" s="5">
        <v>3462</v>
      </c>
      <c r="D16337" s="6">
        <v>12.24</v>
      </c>
      <c r="E16337" t="s">
        <v>26</v>
      </c>
    </row>
    <row r="16338" spans="1:5" x14ac:dyDescent="0.25">
      <c r="A16338" t="str">
        <f>HYPERLINK("https://www.773grp.com/globalSearch/BQ20Z70PWR-V110/page-1", "BQ20Z70PWR-V110")</f>
        <v>BQ20Z70PWR-V110</v>
      </c>
      <c r="B16338" s="3" t="str">
        <f>HYPERLINK("https://www.773grp.com/manufacturer/texas-instruments?pageNo=273", "Texas Instruments")</f>
        <v>Texas Instruments</v>
      </c>
      <c r="C16338" s="5">
        <v>302</v>
      </c>
      <c r="D16338" s="6">
        <v>12.66</v>
      </c>
      <c r="E16338" t="s">
        <v>26</v>
      </c>
    </row>
    <row r="16339" spans="1:5" x14ac:dyDescent="0.25">
      <c r="A16339" t="str">
        <f>HYPERLINK("https://www.773grp.com/globalSearch/UC3914DWTR/page-1", "UC3914DWTR")</f>
        <v>UC3914DWTR</v>
      </c>
      <c r="B16339" s="3" t="str">
        <f>HYPERLINK("https://www.773grp.com/manufacturer/texas-instruments?pageNo=345", "Texas Instruments")</f>
        <v>Texas Instruments</v>
      </c>
      <c r="C16339" s="5">
        <v>39500</v>
      </c>
      <c r="D16339" s="6">
        <v>12.71</v>
      </c>
      <c r="E16339" t="s">
        <v>26</v>
      </c>
    </row>
    <row r="16340" spans="1:5" x14ac:dyDescent="0.25">
      <c r="A16340" t="str">
        <f>HYPERLINK("https://www.773grp.com/globalSearch/UC3914N/page-1", "UC3914N")</f>
        <v>UC3914N</v>
      </c>
      <c r="B16340" s="3" t="str">
        <f>HYPERLINK("https://www.773grp.com/manufacturer/texas-instruments?pageNo=346", "Texas Instruments")</f>
        <v>Texas Instruments</v>
      </c>
      <c r="C16340" s="5">
        <v>3720</v>
      </c>
      <c r="D16340" s="6">
        <v>12.71</v>
      </c>
      <c r="E16340" t="s">
        <v>26</v>
      </c>
    </row>
    <row r="16341" spans="1:5" x14ac:dyDescent="0.25">
      <c r="A16341" t="str">
        <f>HYPERLINK("https://www.773grp.com/globalSearch/UC3914N/page-1", "UC3914N")</f>
        <v>UC3914N</v>
      </c>
      <c r="B16341" s="3" t="str">
        <f>HYPERLINK("https://www.773grp.com/manufacturer/texas-instruments?pageNo=347", "Texas Instruments")</f>
        <v>Texas Instruments</v>
      </c>
      <c r="C16341" s="5">
        <v>2978</v>
      </c>
      <c r="D16341" s="6">
        <v>12.71</v>
      </c>
      <c r="E16341" t="s">
        <v>26</v>
      </c>
    </row>
    <row r="16342" spans="1:5" x14ac:dyDescent="0.25">
      <c r="A16342" t="str">
        <f>HYPERLINK("https://www.773grp.com/globalSearch/UC3914N/page-1", "UC3914N")</f>
        <v>UC3914N</v>
      </c>
      <c r="B16342" s="3" t="str">
        <f>HYPERLINK("https://www.773grp.com/manufacturer/texas-instruments?pageNo=348", "Texas Instruments")</f>
        <v>Texas Instruments</v>
      </c>
      <c r="C16342" s="5">
        <v>660</v>
      </c>
      <c r="D16342" s="6">
        <v>12.71</v>
      </c>
      <c r="E16342" t="s">
        <v>26</v>
      </c>
    </row>
    <row r="16343" spans="1:5" x14ac:dyDescent="0.25">
      <c r="A16343" t="str">
        <f>HYPERLINK("https://www.773grp.com/globalSearch/BQ25046DQCT/page-1", "BQ25046DQCT")</f>
        <v>BQ25046DQCT</v>
      </c>
      <c r="B16343" s="3" t="str">
        <f>HYPERLINK("https://www.773grp.com/manufacturer/texas-instruments?pageNo=432", "Texas Instruments")</f>
        <v>Texas Instruments</v>
      </c>
      <c r="C16343" s="5">
        <v>244</v>
      </c>
      <c r="D16343" s="6">
        <v>12.94</v>
      </c>
      <c r="E16343" t="s">
        <v>26</v>
      </c>
    </row>
    <row r="16344" spans="1:5" x14ac:dyDescent="0.25">
      <c r="A16344" t="str">
        <f>HYPERLINK("https://www.773grp.com/globalSearch/BQ2092SN-A311TR/page-1", "BQ2092SN-A311TR")</f>
        <v>BQ2092SN-A311TR</v>
      </c>
      <c r="B16344" s="3" t="str">
        <f>HYPERLINK("https://www.773grp.com/manufacturer/texas-instruments?pageNo=512", "Texas Instruments")</f>
        <v>Texas Instruments</v>
      </c>
      <c r="C16344" s="5">
        <v>7500</v>
      </c>
      <c r="D16344" s="6">
        <v>13.08</v>
      </c>
      <c r="E16344" t="s">
        <v>26</v>
      </c>
    </row>
    <row r="16345" spans="1:5" x14ac:dyDescent="0.25">
      <c r="A16345" t="str">
        <f>HYPERLINK("https://www.773grp.com/globalSearch/BQ2007S/page-1", "BQ2007S")</f>
        <v>BQ2007S</v>
      </c>
      <c r="B16345" s="3" t="str">
        <f>HYPERLINK("https://www.773grp.com/manufacturer/texas-instruments?pageNo=613", "Texas Instruments")</f>
        <v>Texas Instruments</v>
      </c>
      <c r="C16345" s="5">
        <v>1074</v>
      </c>
      <c r="D16345" s="6">
        <v>13.28</v>
      </c>
      <c r="E16345" t="s">
        <v>26</v>
      </c>
    </row>
    <row r="16346" spans="1:5" x14ac:dyDescent="0.25">
      <c r="A16346" t="str">
        <f>HYPERLINK("https://www.773grp.com/globalSearch/BQ2010SN-D107/page-1", "BQ2010SN-D107")</f>
        <v>BQ2010SN-D107</v>
      </c>
      <c r="B16346" s="3" t="str">
        <f>HYPERLINK("https://www.773grp.com/manufacturer/texas-instruments?pageNo=766", "Texas Instruments")</f>
        <v>Texas Instruments</v>
      </c>
      <c r="C16346" s="5">
        <v>29</v>
      </c>
      <c r="D16346" s="6">
        <v>13.54</v>
      </c>
      <c r="E16346" t="s">
        <v>26</v>
      </c>
    </row>
    <row r="16347" spans="1:5" x14ac:dyDescent="0.25">
      <c r="A16347" t="str">
        <f>HYPERLINK("https://www.773grp.com/globalSearch/BQ2014SN-D120/page-1", "BQ2014SN-D120")</f>
        <v>BQ2014SN-D120</v>
      </c>
      <c r="B16347" s="3" t="str">
        <f>HYPERLINK("https://www.773grp.com/manufacturer/texas-instruments?pageNo=767", "Texas Instruments")</f>
        <v>Texas Instruments</v>
      </c>
      <c r="C16347" s="5">
        <v>80</v>
      </c>
      <c r="D16347" s="6">
        <v>13.54</v>
      </c>
      <c r="E16347" t="s">
        <v>26</v>
      </c>
    </row>
    <row r="16348" spans="1:5" x14ac:dyDescent="0.25">
      <c r="A16348" t="str">
        <f>HYPERLINK("https://www.773grp.com/globalSearch/BQ2040SN-C408/page-1", "BQ2040SN-C408")</f>
        <v>BQ2040SN-C408</v>
      </c>
      <c r="B16348" s="3" t="str">
        <f>HYPERLINK("https://www.773grp.com/manufacturer/texas-instruments?pageNo=768", "Texas Instruments")</f>
        <v>Texas Instruments</v>
      </c>
      <c r="C16348" s="5">
        <v>34765</v>
      </c>
      <c r="D16348" s="6">
        <v>13.54</v>
      </c>
      <c r="E16348" t="s">
        <v>26</v>
      </c>
    </row>
    <row r="16349" spans="1:5" x14ac:dyDescent="0.25">
      <c r="A16349" t="str">
        <f>HYPERLINK("https://www.773grp.com/globalSearch/BQ2040SN-D111/page-1", "BQ2040SN-D111")</f>
        <v>BQ2040SN-D111</v>
      </c>
      <c r="B16349" s="3" t="str">
        <f>HYPERLINK("https://www.773grp.com/manufacturer/texas-instruments?pageNo=769", "Texas Instruments")</f>
        <v>Texas Instruments</v>
      </c>
      <c r="C16349" s="5">
        <v>5414</v>
      </c>
      <c r="D16349" s="6">
        <v>13.54</v>
      </c>
      <c r="E16349" t="s">
        <v>26</v>
      </c>
    </row>
    <row r="16350" spans="1:5" x14ac:dyDescent="0.25">
      <c r="A16350" t="str">
        <f>HYPERLINK("https://www.773grp.com/globalSearch/BQ2050SN-D119/page-1", "BQ2050SN-D119")</f>
        <v>BQ2050SN-D119</v>
      </c>
      <c r="B16350" s="3" t="str">
        <f>HYPERLINK("https://www.773grp.com/manufacturer/texas-instruments?pageNo=770", "Texas Instruments")</f>
        <v>Texas Instruments</v>
      </c>
      <c r="C16350" s="5">
        <v>400</v>
      </c>
      <c r="D16350" s="6">
        <v>13.54</v>
      </c>
      <c r="E16350" t="s">
        <v>26</v>
      </c>
    </row>
    <row r="16351" spans="1:5" x14ac:dyDescent="0.25">
      <c r="A16351" t="str">
        <f>HYPERLINK("https://www.773grp.com/globalSearch/BQ2050SN-D119/page-1", "BQ2050SN-D119")</f>
        <v>BQ2050SN-D119</v>
      </c>
      <c r="B16351" s="3" t="str">
        <f>HYPERLINK("https://www.773grp.com/manufacturer/texas-instruments?pageNo=771", "Texas Instruments")</f>
        <v>Texas Instruments</v>
      </c>
      <c r="C16351" s="5">
        <v>20801</v>
      </c>
      <c r="D16351" s="6">
        <v>13.54</v>
      </c>
      <c r="E16351" t="s">
        <v>26</v>
      </c>
    </row>
    <row r="16352" spans="1:5" x14ac:dyDescent="0.25">
      <c r="A16352" t="str">
        <f>HYPERLINK("https://www.773grp.com/globalSearch/BQ2063DBQ/page-1", "BQ2063DBQ")</f>
        <v>BQ2063DBQ</v>
      </c>
      <c r="B16352" s="3" t="str">
        <f>HYPERLINK("https://www.773grp.com/manufacturer/texas-instruments?pageNo=806", "Texas Instruments")</f>
        <v>Texas Instruments</v>
      </c>
      <c r="C16352" s="5">
        <v>17089</v>
      </c>
      <c r="D16352" s="6">
        <v>13.64</v>
      </c>
      <c r="E16352" t="s">
        <v>26</v>
      </c>
    </row>
    <row r="16353" spans="1:5" x14ac:dyDescent="0.25">
      <c r="A16353" t="str">
        <f>HYPERLINK("https://www.773grp.com/globalSearch/BQ20Z70PW/page-1", "BQ20Z70PW")</f>
        <v>BQ20Z70PW</v>
      </c>
      <c r="B16353" s="3" t="str">
        <f>HYPERLINK("https://www.773grp.com/manufacturer/texas-instruments?pageNo=948", "Texas Instruments")</f>
        <v>Texas Instruments</v>
      </c>
      <c r="C16353" s="5">
        <v>4410</v>
      </c>
      <c r="D16353" s="6">
        <v>13.93</v>
      </c>
      <c r="E16353" t="s">
        <v>26</v>
      </c>
    </row>
    <row r="16354" spans="1:5" x14ac:dyDescent="0.25">
      <c r="A16354" t="str">
        <f>HYPERLINK("https://www.773grp.com/globalSearch/BQ20Z70PW-V110/page-1", "BQ20Z70PW-V110")</f>
        <v>BQ20Z70PW-V110</v>
      </c>
      <c r="B16354" s="3" t="str">
        <f>HYPERLINK("https://www.773grp.com/manufacturer/texas-instruments?pageNo=949", "Texas Instruments")</f>
        <v>Texas Instruments</v>
      </c>
      <c r="C16354" s="5">
        <v>19294</v>
      </c>
      <c r="D16354" s="6">
        <v>13.93</v>
      </c>
      <c r="E16354" t="s">
        <v>26</v>
      </c>
    </row>
    <row r="16355" spans="1:5" x14ac:dyDescent="0.25">
      <c r="A16355" t="str">
        <f>HYPERLINK("https://www.773grp.com/globalSearch/BQ2060SS-E411TR/page-1", "BQ2060SS-E411TR")</f>
        <v>BQ2060SS-E411TR</v>
      </c>
      <c r="B16355" s="3" t="s">
        <v>90</v>
      </c>
      <c r="C16355" s="5">
        <v>32500</v>
      </c>
      <c r="D16355" s="6">
        <v>14.06</v>
      </c>
      <c r="E16355" t="s">
        <v>26</v>
      </c>
    </row>
    <row r="16356" spans="1:5" x14ac:dyDescent="0.25">
      <c r="A16356" t="str">
        <f>HYPERLINK("https://www.773grp.com/globalSearch/BQ2084DBTR-V143/page-1", "BQ2084DBTR-V143")</f>
        <v>BQ2084DBTR-V143</v>
      </c>
      <c r="B16356" s="3" t="s">
        <v>90</v>
      </c>
      <c r="C16356" s="5">
        <v>8</v>
      </c>
      <c r="D16356" s="6">
        <v>14.06</v>
      </c>
      <c r="E16356" t="s">
        <v>26</v>
      </c>
    </row>
    <row r="16357" spans="1:5" x14ac:dyDescent="0.25">
      <c r="A16357" t="str">
        <f>HYPERLINK("https://www.773grp.com/globalSearch/BQ20Z75DBTR-V160/page-1", "BQ20Z75DBTR-V160")</f>
        <v>BQ20Z75DBTR-V160</v>
      </c>
      <c r="B16357" s="3" t="s">
        <v>90</v>
      </c>
      <c r="C16357" s="5">
        <v>3707</v>
      </c>
      <c r="D16357" s="6">
        <v>14.06</v>
      </c>
      <c r="E16357" t="s">
        <v>26</v>
      </c>
    </row>
    <row r="16358" spans="1:5" x14ac:dyDescent="0.25">
      <c r="A16358" t="str">
        <f>HYPERLINK("https://www.773grp.com/globalSearch/BQ20Z45DBT/page-1", "BQ20Z45DBT")</f>
        <v>BQ20Z45DBT</v>
      </c>
      <c r="B16358" s="3" t="s">
        <v>90</v>
      </c>
      <c r="C16358" s="5">
        <v>200</v>
      </c>
      <c r="D16358" s="6">
        <v>14.4</v>
      </c>
      <c r="E16358" t="s">
        <v>26</v>
      </c>
    </row>
    <row r="16359" spans="1:5" x14ac:dyDescent="0.25">
      <c r="A16359" t="str">
        <f>HYPERLINK("https://www.773grp.com/globalSearch/UCC2915DP/page-1", "UCC2915DP")</f>
        <v>UCC2915DP</v>
      </c>
      <c r="B16359" s="3" t="s">
        <v>90</v>
      </c>
      <c r="C16359" s="5">
        <v>720</v>
      </c>
      <c r="D16359" s="6">
        <v>14.6</v>
      </c>
      <c r="E16359" t="s">
        <v>26</v>
      </c>
    </row>
    <row r="16360" spans="1:5" x14ac:dyDescent="0.25">
      <c r="A16360" t="str">
        <f>HYPERLINK("https://www.773grp.com/globalSearch/BQ2084DBT-V141/page-1", "BQ2084DBT-V141")</f>
        <v>BQ2084DBT-V141</v>
      </c>
      <c r="B16360" s="3" t="s">
        <v>90</v>
      </c>
      <c r="C16360" s="5">
        <v>3550</v>
      </c>
      <c r="D16360" s="6">
        <v>14.63</v>
      </c>
      <c r="E16360" t="s">
        <v>26</v>
      </c>
    </row>
    <row r="16361" spans="1:5" x14ac:dyDescent="0.25">
      <c r="A16361" t="str">
        <f>HYPERLINK("https://www.773grp.com/globalSearch/BQ20851DBTR-V1P2/page-1", "BQ20851DBTR-V1P2")</f>
        <v>BQ20851DBTR-V1P2</v>
      </c>
      <c r="B16361" s="3" t="s">
        <v>90</v>
      </c>
      <c r="C16361" s="5">
        <v>4000</v>
      </c>
      <c r="D16361" s="6">
        <v>14.63</v>
      </c>
      <c r="E16361" t="s">
        <v>26</v>
      </c>
    </row>
    <row r="16362" spans="1:5" x14ac:dyDescent="0.25">
      <c r="A16362" t="str">
        <f>HYPERLINK("https://www.773grp.com/globalSearch/BQ2052SN-A515/page-1", "BQ2052SN-A515")</f>
        <v>BQ2052SN-A515</v>
      </c>
      <c r="B16362" s="3" t="s">
        <v>90</v>
      </c>
      <c r="C16362" s="5">
        <v>5356</v>
      </c>
      <c r="D16362" s="6">
        <v>14.76</v>
      </c>
      <c r="E16362" t="s">
        <v>26</v>
      </c>
    </row>
    <row r="16363" spans="1:5" x14ac:dyDescent="0.25">
      <c r="A16363" t="str">
        <f>HYPERLINK("https://www.773grp.com/globalSearch/UC2914DWTR/page-1", "UC2914DWTR")</f>
        <v>UC2914DWTR</v>
      </c>
      <c r="B16363" s="3" t="s">
        <v>90</v>
      </c>
      <c r="C16363" s="5">
        <v>4000</v>
      </c>
      <c r="D16363" s="6">
        <v>15.14</v>
      </c>
      <c r="E16363" t="s">
        <v>26</v>
      </c>
    </row>
    <row r="16364" spans="1:5" x14ac:dyDescent="0.25">
      <c r="A16364" t="str">
        <f>HYPERLINK("https://www.773grp.com/globalSearch/UC2914N/page-1", "UC2914N")</f>
        <v>UC2914N</v>
      </c>
      <c r="B16364" s="3" t="s">
        <v>90</v>
      </c>
      <c r="C16364" s="5">
        <v>105</v>
      </c>
      <c r="D16364" s="6">
        <v>15.14</v>
      </c>
      <c r="E16364" t="s">
        <v>26</v>
      </c>
    </row>
    <row r="16365" spans="1:5" x14ac:dyDescent="0.25">
      <c r="A16365" t="str">
        <f>HYPERLINK("https://www.773grp.com/globalSearch/UC2914N/page-1", "UC2914N")</f>
        <v>UC2914N</v>
      </c>
      <c r="B16365" s="3" t="s">
        <v>90</v>
      </c>
      <c r="C16365" s="5">
        <v>8079</v>
      </c>
      <c r="D16365" s="6">
        <v>15.14</v>
      </c>
      <c r="E16365" t="s">
        <v>26</v>
      </c>
    </row>
    <row r="16366" spans="1:5" x14ac:dyDescent="0.25">
      <c r="A16366" t="str">
        <f>HYPERLINK("https://www.773grp.com/globalSearch/UC3914DW/page-1", "UC3914DW")</f>
        <v>UC3914DW</v>
      </c>
      <c r="B16366" s="3" t="s">
        <v>90</v>
      </c>
      <c r="C16366" s="5">
        <v>6080</v>
      </c>
      <c r="D16366" s="6">
        <v>15.14</v>
      </c>
      <c r="E16366" t="s">
        <v>26</v>
      </c>
    </row>
    <row r="16367" spans="1:5" x14ac:dyDescent="0.25">
      <c r="A16367" t="str">
        <f>HYPERLINK("https://www.773grp.com/globalSearch/BQ20Z40PW/page-1", "BQ20Z40PW")</f>
        <v>BQ20Z40PW</v>
      </c>
      <c r="B16367" s="3" t="s">
        <v>90</v>
      </c>
      <c r="C16367" s="5">
        <v>7288</v>
      </c>
      <c r="D16367" s="6">
        <v>15.19</v>
      </c>
      <c r="E16367" t="s">
        <v>26</v>
      </c>
    </row>
    <row r="16368" spans="1:5" x14ac:dyDescent="0.25">
      <c r="A16368" t="str">
        <f>HYPERLINK("https://www.773grp.com/globalSearch/TWL6030B107CMR/page-1", "TWL6030B107CMR")</f>
        <v>TWL6030B107CMR</v>
      </c>
      <c r="B16368" s="3" t="s">
        <v>90</v>
      </c>
      <c r="C16368" s="5">
        <v>80</v>
      </c>
      <c r="D16368" s="6">
        <v>15.19</v>
      </c>
      <c r="E16368" t="s">
        <v>26</v>
      </c>
    </row>
    <row r="16369" spans="1:5" x14ac:dyDescent="0.25">
      <c r="A16369" t="str">
        <f>HYPERLINK("https://www.773grp.com/globalSearch/BQ20Z80DBTR-V110/page-1", "BQ20Z80DBTR-V110")</f>
        <v>BQ20Z80DBTR-V110</v>
      </c>
      <c r="B16369" s="3" t="s">
        <v>90</v>
      </c>
      <c r="C16369" s="5">
        <v>69700</v>
      </c>
      <c r="D16369" s="6">
        <v>15.33</v>
      </c>
      <c r="E16369" t="s">
        <v>26</v>
      </c>
    </row>
    <row r="16370" spans="1:5" x14ac:dyDescent="0.25">
      <c r="A16370" t="str">
        <f>HYPERLINK("https://www.773grp.com/globalSearch/BQ2084DBTR/page-1", "BQ2084DBTR")</f>
        <v>BQ2084DBTR</v>
      </c>
      <c r="B16370" s="3" t="s">
        <v>90</v>
      </c>
      <c r="C16370" s="5">
        <v>36000</v>
      </c>
      <c r="D16370" s="6">
        <v>15.48</v>
      </c>
      <c r="E16370" t="s">
        <v>26</v>
      </c>
    </row>
    <row r="16371" spans="1:5" x14ac:dyDescent="0.25">
      <c r="A16371" t="str">
        <f>HYPERLINK("https://www.773grp.com/globalSearch/BQ2084DBTR-V123/page-1", "BQ2084DBTR-V123")</f>
        <v>BQ2084DBTR-V123</v>
      </c>
      <c r="B16371" s="3" t="s">
        <v>90</v>
      </c>
      <c r="C16371" s="5">
        <v>142000</v>
      </c>
      <c r="D16371" s="6">
        <v>15.48</v>
      </c>
      <c r="E16371" t="s">
        <v>26</v>
      </c>
    </row>
    <row r="16372" spans="1:5" x14ac:dyDescent="0.25">
      <c r="A16372" t="str">
        <f>HYPERLINK("https://www.773grp.com/globalSearch/BQ2084DBTR-V140/page-1", "BQ2084DBTR-V140")</f>
        <v>BQ2084DBTR-V140</v>
      </c>
      <c r="B16372" s="3" t="s">
        <v>90</v>
      </c>
      <c r="C16372" s="5">
        <v>32000</v>
      </c>
      <c r="D16372" s="6">
        <v>15.48</v>
      </c>
      <c r="E16372" t="s">
        <v>26</v>
      </c>
    </row>
    <row r="16373" spans="1:5" x14ac:dyDescent="0.25">
      <c r="A16373" t="str">
        <f>HYPERLINK("https://www.773grp.com/globalSearch/BQ2085DBTR/page-1", "BQ2085DBTR")</f>
        <v>BQ2085DBTR</v>
      </c>
      <c r="B16373" s="3" t="s">
        <v>90</v>
      </c>
      <c r="C16373" s="5">
        <v>8000</v>
      </c>
      <c r="D16373" s="6">
        <v>15.48</v>
      </c>
      <c r="E16373" t="s">
        <v>26</v>
      </c>
    </row>
    <row r="16374" spans="1:5" x14ac:dyDescent="0.25">
      <c r="A16374" t="str">
        <f>HYPERLINK("https://www.773grp.com/globalSearch/UCC39151DP/page-1", "UCC39151DP")</f>
        <v>UCC39151DP</v>
      </c>
      <c r="B16374" s="3" t="s">
        <v>90</v>
      </c>
      <c r="C16374" s="5">
        <v>56</v>
      </c>
      <c r="D16374" s="6">
        <v>15.48</v>
      </c>
      <c r="E16374" t="s">
        <v>26</v>
      </c>
    </row>
    <row r="16375" spans="1:5" x14ac:dyDescent="0.25">
      <c r="A16375" t="str">
        <f>HYPERLINK("https://www.773grp.com/globalSearch/BQ20Z90DBT/page-1", "BQ20Z90DBT")</f>
        <v>BQ20Z90DBT</v>
      </c>
      <c r="B16375" s="3" t="s">
        <v>90</v>
      </c>
      <c r="C16375" s="5">
        <v>914</v>
      </c>
      <c r="D16375" s="6">
        <v>15.9</v>
      </c>
      <c r="E16375" t="s">
        <v>26</v>
      </c>
    </row>
    <row r="16376" spans="1:5" x14ac:dyDescent="0.25">
      <c r="A16376" t="str">
        <f>HYPERLINK("https://www.773grp.com/globalSearch/BQ20Z90DBT-V110/page-1", "BQ20Z90DBT-V110")</f>
        <v>BQ20Z90DBT-V110</v>
      </c>
      <c r="B16376" s="3" t="s">
        <v>90</v>
      </c>
      <c r="C16376" s="5">
        <v>10425</v>
      </c>
      <c r="D16376" s="6">
        <v>15.9</v>
      </c>
      <c r="E16376" t="s">
        <v>26</v>
      </c>
    </row>
    <row r="16377" spans="1:5" x14ac:dyDescent="0.25">
      <c r="A16377" t="str">
        <f>HYPERLINK("https://www.773grp.com/globalSearch/UC3834QTR/page-1", "UC3834QTR")</f>
        <v>UC3834QTR</v>
      </c>
      <c r="B16377" s="3" t="s">
        <v>90</v>
      </c>
      <c r="C16377" s="5">
        <v>10648</v>
      </c>
      <c r="D16377" s="6">
        <v>15.9</v>
      </c>
      <c r="E16377" t="s">
        <v>26</v>
      </c>
    </row>
    <row r="16378" spans="1:5" x14ac:dyDescent="0.25">
      <c r="A16378" t="str">
        <f>HYPERLINK("https://www.773grp.com/globalSearch/TPS2384PJD/page-1", "TPS2384PJD")</f>
        <v>TPS2384PJD</v>
      </c>
      <c r="B16378" s="3" t="s">
        <v>90</v>
      </c>
      <c r="C16378" s="5">
        <v>4291</v>
      </c>
      <c r="D16378" s="6">
        <v>16.04</v>
      </c>
      <c r="E16378" t="s">
        <v>26</v>
      </c>
    </row>
    <row r="16379" spans="1:5" x14ac:dyDescent="0.25">
      <c r="A16379" t="str">
        <f>HYPERLINK("https://www.773grp.com/globalSearch/BQ2014HSN/page-1", "BQ2014HSN")</f>
        <v>BQ2014HSN</v>
      </c>
      <c r="B16379" s="3" t="s">
        <v>90</v>
      </c>
      <c r="C16379" s="5">
        <v>240</v>
      </c>
      <c r="D16379" s="6">
        <v>16.16</v>
      </c>
      <c r="E16379" t="s">
        <v>26</v>
      </c>
    </row>
    <row r="16380" spans="1:5" x14ac:dyDescent="0.25">
      <c r="A16380" t="str">
        <f>HYPERLINK("https://www.773grp.com/globalSearch/TPS2202IDBLE/page-1", "TPS2202IDBLE")</f>
        <v>TPS2202IDBLE</v>
      </c>
      <c r="B16380" s="3" t="s">
        <v>90</v>
      </c>
      <c r="C16380" s="5">
        <v>6000</v>
      </c>
      <c r="D16380" s="6">
        <v>16.16</v>
      </c>
      <c r="E16380" t="s">
        <v>26</v>
      </c>
    </row>
    <row r="16381" spans="1:5" x14ac:dyDescent="0.25">
      <c r="A16381" t="str">
        <f>HYPERLINK("https://www.773grp.com/globalSearch/TPS2202IDFLE/page-1", "TPS2202IDFLE")</f>
        <v>TPS2202IDFLE</v>
      </c>
      <c r="B16381" s="3" t="s">
        <v>90</v>
      </c>
      <c r="C16381" s="5">
        <v>29100</v>
      </c>
      <c r="D16381" s="6">
        <v>16.16</v>
      </c>
      <c r="E16381" t="s">
        <v>26</v>
      </c>
    </row>
    <row r="16382" spans="1:5" x14ac:dyDescent="0.25">
      <c r="A16382" t="str">
        <f>HYPERLINK("https://www.773grp.com/globalSearch/BQ20Z60DBT-R1/page-1", "BQ20Z60DBT-R1")</f>
        <v>BQ20Z60DBT-R1</v>
      </c>
      <c r="B16382" s="3" t="s">
        <v>90</v>
      </c>
      <c r="C16382" s="5">
        <v>3840</v>
      </c>
      <c r="D16382" s="6">
        <v>16.309999999999999</v>
      </c>
      <c r="E16382" t="s">
        <v>26</v>
      </c>
    </row>
    <row r="16383" spans="1:5" x14ac:dyDescent="0.25">
      <c r="A16383" t="str">
        <f>HYPERLINK("https://www.773grp.com/globalSearch/BQ2011SN-D118/page-1", "BQ2011SN-D118")</f>
        <v>BQ2011SN-D118</v>
      </c>
      <c r="B16383" s="3" t="s">
        <v>90</v>
      </c>
      <c r="C16383" s="5">
        <v>6559</v>
      </c>
      <c r="D16383" s="6">
        <v>16.34</v>
      </c>
      <c r="E16383" t="s">
        <v>26</v>
      </c>
    </row>
    <row r="16384" spans="1:5" x14ac:dyDescent="0.25">
      <c r="A16384" t="str">
        <f>HYPERLINK("https://www.773grp.com/globalSearch/BQ2092SN-A311/page-1", "BQ2092SN-A311")</f>
        <v>BQ2092SN-A311</v>
      </c>
      <c r="B16384" s="3" t="s">
        <v>90</v>
      </c>
      <c r="C16384" s="5">
        <v>57130</v>
      </c>
      <c r="D16384" s="6">
        <v>16.34</v>
      </c>
      <c r="E16384" t="s">
        <v>26</v>
      </c>
    </row>
    <row r="16385" spans="1:5" x14ac:dyDescent="0.25">
      <c r="A16385" t="str">
        <f>HYPERLINK("https://www.773grp.com/globalSearch/UC2544J/page-1", "UC2544J")</f>
        <v>UC2544J</v>
      </c>
      <c r="B16385" s="3" t="s">
        <v>90</v>
      </c>
      <c r="C16385" s="5">
        <v>565</v>
      </c>
      <c r="D16385" s="6">
        <v>16.45</v>
      </c>
      <c r="E16385" t="s">
        <v>26</v>
      </c>
    </row>
    <row r="16386" spans="1:5" x14ac:dyDescent="0.25">
      <c r="A16386" t="str">
        <f>HYPERLINK("https://www.773grp.com/globalSearch/UCC2920DP/page-1", "UCC2920DP")</f>
        <v>UCC2920DP</v>
      </c>
      <c r="B16386" s="3" t="s">
        <v>90</v>
      </c>
      <c r="C16386" s="5">
        <v>439</v>
      </c>
      <c r="D16386" s="6">
        <v>16.489999999999998</v>
      </c>
      <c r="E16386" t="s">
        <v>26</v>
      </c>
    </row>
    <row r="16387" spans="1:5" x14ac:dyDescent="0.25">
      <c r="A16387" t="str">
        <f>HYPERLINK("https://www.773grp.com/globalSearch/BQ2060SS-E207-EP/page-1", "BQ2060SS-E207-EP")</f>
        <v>BQ2060SS-E207-EP</v>
      </c>
      <c r="B16387" s="3" t="s">
        <v>90</v>
      </c>
      <c r="C16387" s="5">
        <v>8200</v>
      </c>
      <c r="D16387" s="6">
        <v>16.739999999999998</v>
      </c>
      <c r="E16387" t="s">
        <v>26</v>
      </c>
    </row>
    <row r="16388" spans="1:5" x14ac:dyDescent="0.25">
      <c r="A16388" t="str">
        <f>HYPERLINK("https://www.773grp.com/globalSearch/BQ2060SS-E411/page-1", "BQ2060SS-E411")</f>
        <v>BQ2060SS-E411</v>
      </c>
      <c r="B16388" s="3" t="s">
        <v>90</v>
      </c>
      <c r="C16388" s="5">
        <v>1158</v>
      </c>
      <c r="D16388" s="6">
        <v>16.739999999999998</v>
      </c>
      <c r="E16388" t="s">
        <v>26</v>
      </c>
    </row>
    <row r="16389" spans="1:5" x14ac:dyDescent="0.25">
      <c r="A16389" t="str">
        <f>HYPERLINK("https://www.773grp.com/globalSearch/BQ2060SS-E411G4/page-1", "BQ2060SS-E411G4")</f>
        <v>BQ2060SS-E411G4</v>
      </c>
      <c r="B16389" s="3" t="s">
        <v>90</v>
      </c>
      <c r="C16389" s="5">
        <v>75</v>
      </c>
      <c r="D16389" s="6">
        <v>16.739999999999998</v>
      </c>
      <c r="E16389" t="s">
        <v>26</v>
      </c>
    </row>
    <row r="16390" spans="1:5" x14ac:dyDescent="0.25">
      <c r="A16390" t="str">
        <f>HYPERLINK("https://www.773grp.com/globalSearch/TPS658621AZGUR/page-1", "TPS658621AZGUR")</f>
        <v>TPS658621AZGUR</v>
      </c>
      <c r="B16390" s="3" t="s">
        <v>90</v>
      </c>
      <c r="C16390" s="5">
        <v>3000</v>
      </c>
      <c r="D16390" s="6">
        <v>16.739999999999998</v>
      </c>
      <c r="E16390" t="s">
        <v>26</v>
      </c>
    </row>
    <row r="16391" spans="1:5" x14ac:dyDescent="0.25">
      <c r="A16391" t="str">
        <f>HYPERLINK("https://www.773grp.com/globalSearch/BQ2012SN-D107/page-1", "BQ2012SN-D107")</f>
        <v>BQ2012SN-D107</v>
      </c>
      <c r="B16391" s="3" t="s">
        <v>90</v>
      </c>
      <c r="C16391" s="5">
        <v>3</v>
      </c>
      <c r="D16391" s="6">
        <v>16.88</v>
      </c>
      <c r="E16391" t="s">
        <v>26</v>
      </c>
    </row>
    <row r="16392" spans="1:5" x14ac:dyDescent="0.25">
      <c r="A16392" t="str">
        <f>HYPERLINK("https://www.773grp.com/globalSearch/BQ2084DBTR-V133/page-1", "BQ2084DBTR-V133")</f>
        <v>BQ2084DBTR-V133</v>
      </c>
      <c r="B16392" s="3" t="s">
        <v>90</v>
      </c>
      <c r="C16392" s="5">
        <v>160000</v>
      </c>
      <c r="D16392" s="6">
        <v>16.88</v>
      </c>
      <c r="E16392" t="s">
        <v>26</v>
      </c>
    </row>
    <row r="16393" spans="1:5" x14ac:dyDescent="0.25">
      <c r="A16393" t="str">
        <f>HYPERLINK("https://www.773grp.com/globalSearch/BQ2084DBT-V143/page-1", "BQ2084DBT-V143")</f>
        <v>BQ2084DBT-V143</v>
      </c>
      <c r="B16393" s="3" t="s">
        <v>90</v>
      </c>
      <c r="C16393" s="5">
        <v>5618</v>
      </c>
      <c r="D16393" s="6">
        <v>16.88</v>
      </c>
      <c r="E16393" t="s">
        <v>26</v>
      </c>
    </row>
    <row r="16394" spans="1:5" x14ac:dyDescent="0.25">
      <c r="A16394" t="str">
        <f>HYPERLINK("https://www.773grp.com/globalSearch/BQ2084DBT-V150/page-1", "BQ2084DBT-V150")</f>
        <v>BQ2084DBT-V150</v>
      </c>
      <c r="B16394" s="3" t="s">
        <v>90</v>
      </c>
      <c r="C16394" s="5">
        <v>3170</v>
      </c>
      <c r="D16394" s="6">
        <v>16.88</v>
      </c>
      <c r="E16394" t="s">
        <v>26</v>
      </c>
    </row>
    <row r="16395" spans="1:5" x14ac:dyDescent="0.25">
      <c r="A16395" t="str">
        <f>HYPERLINK("https://www.773grp.com/globalSearch/BQ2084RTTR-V140/page-1", "BQ2084RTTR-V140")</f>
        <v>BQ2084RTTR-V140</v>
      </c>
      <c r="B16395" s="3" t="s">
        <v>90</v>
      </c>
      <c r="C16395" s="5">
        <v>6000</v>
      </c>
      <c r="D16395" s="6">
        <v>16.88</v>
      </c>
      <c r="E16395" t="s">
        <v>26</v>
      </c>
    </row>
    <row r="16396" spans="1:5" x14ac:dyDescent="0.25">
      <c r="A16396" t="str">
        <f>HYPERLINK("https://www.773grp.com/globalSearch/BQ2085DBTR-V1P3/page-1", "BQ2085DBTR-V1P3")</f>
        <v>BQ2085DBTR-V1P3</v>
      </c>
      <c r="B16396" s="3" t="s">
        <v>90</v>
      </c>
      <c r="C16396" s="5">
        <v>48000</v>
      </c>
      <c r="D16396" s="6">
        <v>16.88</v>
      </c>
      <c r="E16396" t="s">
        <v>26</v>
      </c>
    </row>
    <row r="16397" spans="1:5" x14ac:dyDescent="0.25">
      <c r="A16397" t="str">
        <f>HYPERLINK("https://www.773grp.com/globalSearch/BQ20Z75DBT-V160/page-1", "BQ20Z75DBT-V160")</f>
        <v>BQ20Z75DBT-V160</v>
      </c>
      <c r="B16397" s="3" t="s">
        <v>90</v>
      </c>
      <c r="C16397" s="5">
        <v>2878</v>
      </c>
      <c r="D16397" s="6">
        <v>16.88</v>
      </c>
      <c r="E16397" t="s">
        <v>26</v>
      </c>
    </row>
    <row r="16398" spans="1:5" x14ac:dyDescent="0.25">
      <c r="A16398" t="str">
        <f>HYPERLINK("https://www.773grp.com/globalSearch/BQ20Z95DBT/page-1", "BQ20Z95DBT")</f>
        <v>BQ20Z95DBT</v>
      </c>
      <c r="B16398" s="3" t="s">
        <v>90</v>
      </c>
      <c r="C16398" s="5">
        <v>96095</v>
      </c>
      <c r="D16398" s="6">
        <v>16.88</v>
      </c>
      <c r="E16398" t="s">
        <v>26</v>
      </c>
    </row>
    <row r="16399" spans="1:5" x14ac:dyDescent="0.25">
      <c r="A16399" t="str">
        <f>HYPERLINK("https://www.773grp.com/globalSearch/BQ2084DBT-V140/page-1", "BQ2084DBT-V140")</f>
        <v>BQ2084DBT-V140</v>
      </c>
      <c r="B16399" s="3" t="s">
        <v>90</v>
      </c>
      <c r="C16399" s="5">
        <v>1650</v>
      </c>
      <c r="D16399" s="6">
        <v>17.010000000000002</v>
      </c>
      <c r="E16399" t="s">
        <v>26</v>
      </c>
    </row>
    <row r="16400" spans="1:5" x14ac:dyDescent="0.25">
      <c r="A16400" t="str">
        <f>HYPERLINK("https://www.773grp.com/globalSearch/BQ20Z80ADBT-V110/page-1", "BQ20Z80ADBT-V110")</f>
        <v>BQ20Z80ADBT-V110</v>
      </c>
      <c r="B16400" s="3" t="s">
        <v>90</v>
      </c>
      <c r="C16400" s="5">
        <v>32075</v>
      </c>
      <c r="D16400" s="6">
        <v>17.440000000000001</v>
      </c>
      <c r="E16400" t="s">
        <v>26</v>
      </c>
    </row>
    <row r="16401" spans="1:5" x14ac:dyDescent="0.25">
      <c r="A16401" t="str">
        <f>HYPERLINK("https://www.773grp.com/globalSearch/UC2914DW/page-1", "UC2914DW")</f>
        <v>UC2914DW</v>
      </c>
      <c r="B16401" s="3" t="s">
        <v>90</v>
      </c>
      <c r="C16401" s="5">
        <v>20893</v>
      </c>
      <c r="D16401" s="6">
        <v>17.55</v>
      </c>
      <c r="E16401" t="s">
        <v>26</v>
      </c>
    </row>
    <row r="16402" spans="1:5" x14ac:dyDescent="0.25">
      <c r="A16402" t="str">
        <f>HYPERLINK("https://www.773grp.com/globalSearch/UC2914DW/page-1", "UC2914DW")</f>
        <v>UC2914DW</v>
      </c>
      <c r="B16402" s="3" t="s">
        <v>90</v>
      </c>
      <c r="C16402" s="5">
        <v>2402</v>
      </c>
      <c r="D16402" s="6">
        <v>17.55</v>
      </c>
      <c r="E16402" t="s">
        <v>26</v>
      </c>
    </row>
    <row r="16403" spans="1:5" x14ac:dyDescent="0.25">
      <c r="A16403" t="str">
        <f>HYPERLINK("https://www.773grp.com/globalSearch/UCC39151PWP/page-1", "UCC39151PWP")</f>
        <v>UCC39151PWP</v>
      </c>
      <c r="B16403" s="3" t="s">
        <v>90</v>
      </c>
      <c r="C16403" s="5">
        <v>2640</v>
      </c>
      <c r="D16403" s="6">
        <v>17.73</v>
      </c>
      <c r="E16403" t="s">
        <v>26</v>
      </c>
    </row>
    <row r="16404" spans="1:5" x14ac:dyDescent="0.25">
      <c r="A16404" t="str">
        <f>HYPERLINK("https://www.773grp.com/globalSearch/5962-8868503HA/page-1", "5962-8868503HA")</f>
        <v>5962-8868503HA</v>
      </c>
      <c r="B16404" s="3" t="s">
        <v>90</v>
      </c>
      <c r="C16404" s="5">
        <v>247</v>
      </c>
      <c r="D16404" s="6">
        <v>18.28</v>
      </c>
      <c r="E16404" t="s">
        <v>26</v>
      </c>
    </row>
    <row r="16405" spans="1:5" x14ac:dyDescent="0.25">
      <c r="A16405" t="str">
        <f>HYPERLINK("https://www.773grp.com/globalSearch/BQ20Z80DBT-V102/page-1", "BQ20Z80DBT-V102")</f>
        <v>BQ20Z80DBT-V102</v>
      </c>
      <c r="B16405" s="3" t="s">
        <v>90</v>
      </c>
      <c r="C16405" s="5">
        <v>197</v>
      </c>
      <c r="D16405" s="6">
        <v>18.28</v>
      </c>
      <c r="E16405" t="s">
        <v>26</v>
      </c>
    </row>
    <row r="16406" spans="1:5" x14ac:dyDescent="0.25">
      <c r="A16406" t="str">
        <f>HYPERLINK("https://www.773grp.com/globalSearch/BQ20Z80DBT-V110/page-1", "BQ20Z80DBT-V110")</f>
        <v>BQ20Z80DBT-V110</v>
      </c>
      <c r="B16406" s="3" t="s">
        <v>90</v>
      </c>
      <c r="C16406" s="5">
        <v>50</v>
      </c>
      <c r="D16406" s="6">
        <v>18.28</v>
      </c>
      <c r="E16406" t="s">
        <v>26</v>
      </c>
    </row>
    <row r="16407" spans="1:5" x14ac:dyDescent="0.25">
      <c r="A16407" t="str">
        <f>HYPERLINK("https://www.773grp.com/globalSearch/BQ76PL536PAPR/page-1", "BQ76PL536PAPR")</f>
        <v>BQ76PL536PAPR</v>
      </c>
      <c r="B16407" s="3" t="s">
        <v>90</v>
      </c>
      <c r="C16407" s="5">
        <v>58000</v>
      </c>
      <c r="D16407" s="6">
        <v>18.28</v>
      </c>
      <c r="E16407" t="s">
        <v>26</v>
      </c>
    </row>
    <row r="16408" spans="1:5" x14ac:dyDescent="0.25">
      <c r="A16408" t="str">
        <f>HYPERLINK("https://www.773grp.com/globalSearch/TPS65810RTQR/page-1", "TPS65810RTQR")</f>
        <v>TPS65810RTQR</v>
      </c>
      <c r="B16408" s="3" t="s">
        <v>90</v>
      </c>
      <c r="C16408" s="5">
        <v>126000</v>
      </c>
      <c r="D16408" s="6">
        <v>18.28</v>
      </c>
      <c r="E16408" t="s">
        <v>26</v>
      </c>
    </row>
    <row r="16409" spans="1:5" x14ac:dyDescent="0.25">
      <c r="A16409" t="str">
        <f>HYPERLINK("https://www.773grp.com/globalSearch/TPS65811RTQR/page-1", "TPS65811RTQR")</f>
        <v>TPS65811RTQR</v>
      </c>
      <c r="B16409" s="3" t="s">
        <v>90</v>
      </c>
      <c r="C16409" s="5">
        <v>44000</v>
      </c>
      <c r="D16409" s="6">
        <v>18.28</v>
      </c>
      <c r="E16409" t="s">
        <v>26</v>
      </c>
    </row>
    <row r="16410" spans="1:5" x14ac:dyDescent="0.25">
      <c r="A16410" t="str">
        <f>HYPERLINK("https://www.773grp.com/globalSearch/BQ2083DBTR/page-1", "BQ2083DBTR")</f>
        <v>BQ2083DBTR</v>
      </c>
      <c r="B16410" s="3" t="s">
        <v>90</v>
      </c>
      <c r="C16410" s="5">
        <v>35250</v>
      </c>
      <c r="D16410" s="6">
        <v>18.559999999999999</v>
      </c>
      <c r="E16410" t="s">
        <v>26</v>
      </c>
    </row>
    <row r="16411" spans="1:5" x14ac:dyDescent="0.25">
      <c r="A16411" t="str">
        <f>HYPERLINK("https://www.773grp.com/globalSearch/BQ2084DBT-V123/page-1", "BQ2084DBT-V123")</f>
        <v>BQ2084DBT-V123</v>
      </c>
      <c r="B16411" s="3" t="s">
        <v>90</v>
      </c>
      <c r="C16411" s="5">
        <v>8200</v>
      </c>
      <c r="D16411" s="6">
        <v>18.559999999999999</v>
      </c>
      <c r="E16411" t="s">
        <v>26</v>
      </c>
    </row>
    <row r="16412" spans="1:5" x14ac:dyDescent="0.25">
      <c r="A16412" t="str">
        <f>HYPERLINK("https://www.773grp.com/globalSearch/TPS65800RTQT/page-1", "TPS65800RTQT")</f>
        <v>TPS65800RTQT</v>
      </c>
      <c r="B16412" s="3" t="s">
        <v>90</v>
      </c>
      <c r="C16412" s="5">
        <v>750</v>
      </c>
      <c r="D16412" s="6">
        <v>18.7</v>
      </c>
      <c r="E16412" t="s">
        <v>26</v>
      </c>
    </row>
    <row r="16413" spans="1:5" x14ac:dyDescent="0.25">
      <c r="A16413" t="str">
        <f>HYPERLINK("https://www.773grp.com/globalSearch/BQ2083DBTR-V1P3/page-1", "BQ2083DBTR-V1P3")</f>
        <v>BQ2083DBTR-V1P3</v>
      </c>
      <c r="B16413" s="3" t="s">
        <v>90</v>
      </c>
      <c r="C16413" s="5">
        <v>71400</v>
      </c>
      <c r="D16413" s="6">
        <v>18.989999999999998</v>
      </c>
      <c r="E16413" t="s">
        <v>26</v>
      </c>
    </row>
    <row r="16414" spans="1:5" x14ac:dyDescent="0.25">
      <c r="A16414" t="str">
        <f>HYPERLINK("https://www.773grp.com/globalSearch/TPS658621CZGUT/page-1", "TPS658621CZGUT")</f>
        <v>TPS658621CZGUT</v>
      </c>
      <c r="B16414" s="3" t="s">
        <v>90</v>
      </c>
      <c r="C16414" s="5">
        <v>2492</v>
      </c>
      <c r="D16414" s="6">
        <v>19.28</v>
      </c>
      <c r="E16414" t="s">
        <v>26</v>
      </c>
    </row>
    <row r="16415" spans="1:5" x14ac:dyDescent="0.25">
      <c r="A16415" t="str">
        <f>HYPERLINK("https://www.773grp.com/globalSearch/TPS658621CZQZT/page-1", "TPS658621CZQZT")</f>
        <v>TPS658621CZQZT</v>
      </c>
      <c r="B16415" s="3" t="s">
        <v>90</v>
      </c>
      <c r="C16415" s="5">
        <v>5096</v>
      </c>
      <c r="D16415" s="6">
        <v>19.28</v>
      </c>
      <c r="E16415" t="s">
        <v>26</v>
      </c>
    </row>
    <row r="16416" spans="1:5" x14ac:dyDescent="0.25">
      <c r="A16416" t="str">
        <f>HYPERLINK("https://www.773grp.com/globalSearch/UC2834QTR/page-1", "UC2834QTR")</f>
        <v>UC2834QTR</v>
      </c>
      <c r="B16416" s="3" t="s">
        <v>90</v>
      </c>
      <c r="C16416" s="5">
        <v>13000</v>
      </c>
      <c r="D16416" s="6">
        <v>19.28</v>
      </c>
      <c r="E16416" t="s">
        <v>26</v>
      </c>
    </row>
    <row r="16417" spans="1:5" x14ac:dyDescent="0.25">
      <c r="A16417" t="str">
        <f>HYPERLINK("https://www.773grp.com/globalSearch/UCD90120RGCT/page-1", "UCD90120RGCT")</f>
        <v>UCD90120RGCT</v>
      </c>
      <c r="B16417" s="3" t="s">
        <v>90</v>
      </c>
      <c r="C16417" s="5">
        <v>312</v>
      </c>
      <c r="D16417" s="6">
        <v>19.28</v>
      </c>
      <c r="E16417" t="s">
        <v>26</v>
      </c>
    </row>
    <row r="16418" spans="1:5" x14ac:dyDescent="0.25">
      <c r="A16418" t="str">
        <f>HYPERLINK("https://www.773grp.com/globalSearch/BQ78PL114RGZT/page-1", "BQ78PL114RGZT")</f>
        <v>BQ78PL114RGZT</v>
      </c>
      <c r="B16418" s="3" t="s">
        <v>90</v>
      </c>
      <c r="C16418" s="5">
        <v>656</v>
      </c>
      <c r="D16418" s="6">
        <v>19.41</v>
      </c>
      <c r="E16418" t="s">
        <v>26</v>
      </c>
    </row>
    <row r="16419" spans="1:5" x14ac:dyDescent="0.25">
      <c r="A16419" t="str">
        <f>HYPERLINK("https://www.773grp.com/globalSearch/TPS658600AZQZR/page-1", "TPS658600AZQZR")</f>
        <v>TPS658600AZQZR</v>
      </c>
      <c r="B16419" s="3" t="s">
        <v>90</v>
      </c>
      <c r="C16419" s="5">
        <v>2492</v>
      </c>
      <c r="D16419" s="6">
        <v>19.54</v>
      </c>
      <c r="E16419" t="s">
        <v>26</v>
      </c>
    </row>
    <row r="16420" spans="1:5" x14ac:dyDescent="0.25">
      <c r="A16420" t="str">
        <f>HYPERLINK("https://www.773grp.com/globalSearch/TPS658610AZQZR/page-1", "TPS658610AZQZR")</f>
        <v>TPS658610AZQZR</v>
      </c>
      <c r="B16420" s="3" t="s">
        <v>90</v>
      </c>
      <c r="C16420" s="5">
        <v>55000</v>
      </c>
      <c r="D16420" s="6">
        <v>19.54</v>
      </c>
      <c r="E16420" t="s">
        <v>26</v>
      </c>
    </row>
    <row r="16421" spans="1:5" x14ac:dyDescent="0.25">
      <c r="A16421" t="str">
        <f>HYPERLINK("https://www.773grp.com/globalSearch/TPS658620ZQZR/page-1", "TPS658620ZQZR")</f>
        <v>TPS658620ZQZR</v>
      </c>
      <c r="B16421" s="3" t="s">
        <v>90</v>
      </c>
      <c r="C16421" s="5">
        <v>12500</v>
      </c>
      <c r="D16421" s="6">
        <v>19.54</v>
      </c>
      <c r="E16421" t="s">
        <v>26</v>
      </c>
    </row>
    <row r="16422" spans="1:5" x14ac:dyDescent="0.25">
      <c r="A16422" t="str">
        <f>HYPERLINK("https://www.773grp.com/globalSearch/5962-8868505HA/page-1", "5962-8868505HA")</f>
        <v>5962-8868505HA</v>
      </c>
      <c r="B16422" s="3" t="s">
        <v>90</v>
      </c>
      <c r="C16422" s="5">
        <v>2199</v>
      </c>
      <c r="D16422" s="6">
        <v>19.690000000000001</v>
      </c>
      <c r="E16422" t="s">
        <v>26</v>
      </c>
    </row>
    <row r="16423" spans="1:5" x14ac:dyDescent="0.25">
      <c r="A16423" t="str">
        <f>HYPERLINK("https://www.773grp.com/globalSearch/TL7702BMUB/page-1", "TL7702BMUB")</f>
        <v>TL7702BMUB</v>
      </c>
      <c r="B16423" s="3" t="s">
        <v>90</v>
      </c>
      <c r="C16423" s="5">
        <v>14</v>
      </c>
      <c r="D16423" s="6">
        <v>19.690000000000001</v>
      </c>
      <c r="E16423" t="s">
        <v>26</v>
      </c>
    </row>
    <row r="16424" spans="1:5" x14ac:dyDescent="0.25">
      <c r="A16424" t="str">
        <f>HYPERLINK("https://www.773grp.com/globalSearch/TPS2201IDB/page-1", "TPS2201IDB")</f>
        <v>TPS2201IDB</v>
      </c>
      <c r="B16424" s="3" t="s">
        <v>90</v>
      </c>
      <c r="C16424" s="5">
        <v>600</v>
      </c>
      <c r="D16424" s="6">
        <v>19.829999999999998</v>
      </c>
      <c r="E16424" t="s">
        <v>26</v>
      </c>
    </row>
    <row r="16425" spans="1:5" x14ac:dyDescent="0.25">
      <c r="A16425" t="str">
        <f>HYPERLINK("https://www.773grp.com/globalSearch/TPS2201IDFR/page-1", "TPS2201IDFR")</f>
        <v>TPS2201IDFR</v>
      </c>
      <c r="B16425" s="3" t="s">
        <v>90</v>
      </c>
      <c r="C16425" s="5">
        <v>14955</v>
      </c>
      <c r="D16425" s="6">
        <v>19.829999999999998</v>
      </c>
      <c r="E16425" t="s">
        <v>26</v>
      </c>
    </row>
    <row r="16426" spans="1:5" x14ac:dyDescent="0.25">
      <c r="A16426" t="str">
        <f>HYPERLINK("https://www.773grp.com/globalSearch/TPS2202AIDBLE/page-1", "TPS2202AIDBLE")</f>
        <v>TPS2202AIDBLE</v>
      </c>
      <c r="B16426" s="3" t="s">
        <v>90</v>
      </c>
      <c r="C16426" s="5">
        <v>3900</v>
      </c>
      <c r="D16426" s="6">
        <v>19.829999999999998</v>
      </c>
      <c r="E16426" t="s">
        <v>26</v>
      </c>
    </row>
    <row r="16427" spans="1:5" x14ac:dyDescent="0.25">
      <c r="A16427" t="str">
        <f>HYPERLINK("https://www.773grp.com/globalSearch/TPS2202AIDF/page-1", "TPS2202AIDF")</f>
        <v>TPS2202AIDF</v>
      </c>
      <c r="B16427" s="3" t="s">
        <v>90</v>
      </c>
      <c r="C16427" s="5">
        <v>2545</v>
      </c>
      <c r="D16427" s="6">
        <v>19.829999999999998</v>
      </c>
      <c r="E16427" t="s">
        <v>26</v>
      </c>
    </row>
    <row r="16428" spans="1:5" x14ac:dyDescent="0.25">
      <c r="A16428" t="str">
        <f>HYPERLINK("https://www.773grp.com/globalSearch/TPS2202AIDFLE/page-1", "TPS2202AIDFLE")</f>
        <v>TPS2202AIDFLE</v>
      </c>
      <c r="B16428" s="3" t="s">
        <v>90</v>
      </c>
      <c r="C16428" s="5">
        <v>815</v>
      </c>
      <c r="D16428" s="6">
        <v>19.829999999999998</v>
      </c>
      <c r="E16428" t="s">
        <v>26</v>
      </c>
    </row>
    <row r="16429" spans="1:5" x14ac:dyDescent="0.25">
      <c r="A16429" t="str">
        <f>HYPERLINK("https://www.773grp.com/globalSearch/TPS2202AIDFR/page-1", "TPS2202AIDFR")</f>
        <v>TPS2202AIDFR</v>
      </c>
      <c r="B16429" s="3" t="s">
        <v>90</v>
      </c>
      <c r="C16429" s="5">
        <v>4000</v>
      </c>
      <c r="D16429" s="6">
        <v>19.829999999999998</v>
      </c>
      <c r="E16429" t="s">
        <v>26</v>
      </c>
    </row>
    <row r="16430" spans="1:5" x14ac:dyDescent="0.25">
      <c r="A16430" t="str">
        <f>HYPERLINK("https://www.773grp.com/globalSearch/TPS2202IDBR/page-1", "TPS2202IDBR")</f>
        <v>TPS2202IDBR</v>
      </c>
      <c r="B16430" s="3" t="s">
        <v>90</v>
      </c>
      <c r="C16430" s="5">
        <v>4000</v>
      </c>
      <c r="D16430" s="6">
        <v>19.829999999999998</v>
      </c>
      <c r="E16430" t="s">
        <v>26</v>
      </c>
    </row>
    <row r="16431" spans="1:5" x14ac:dyDescent="0.25">
      <c r="A16431" t="str">
        <f>HYPERLINK("https://www.773grp.com/globalSearch/TPS2202IDFR/page-1", "TPS2202IDFR")</f>
        <v>TPS2202IDFR</v>
      </c>
      <c r="B16431" s="3" t="s">
        <v>90</v>
      </c>
      <c r="C16431" s="5">
        <v>2984</v>
      </c>
      <c r="D16431" s="6">
        <v>19.829999999999998</v>
      </c>
      <c r="E16431" t="s">
        <v>26</v>
      </c>
    </row>
    <row r="16432" spans="1:5" x14ac:dyDescent="0.25">
      <c r="A16432" t="str">
        <f>HYPERLINK("https://www.773grp.com/globalSearch/BQ20Z80DBT/page-1", "BQ20Z80DBT")</f>
        <v>BQ20Z80DBT</v>
      </c>
      <c r="B16432" s="3" t="s">
        <v>90</v>
      </c>
      <c r="C16432" s="5">
        <v>2095</v>
      </c>
      <c r="D16432" s="6">
        <v>19.96</v>
      </c>
      <c r="E16432" t="s">
        <v>26</v>
      </c>
    </row>
    <row r="16433" spans="1:5" x14ac:dyDescent="0.25">
      <c r="A16433" t="str">
        <f>HYPERLINK("https://www.773grp.com/globalSearch/UC2834N/page-1", "UC2834N")</f>
        <v>UC2834N</v>
      </c>
      <c r="B16433" s="3" t="s">
        <v>90</v>
      </c>
      <c r="C16433" s="5">
        <v>5590</v>
      </c>
      <c r="D16433" s="6">
        <v>20.21</v>
      </c>
      <c r="E16433" t="s">
        <v>26</v>
      </c>
    </row>
    <row r="16434" spans="1:5" x14ac:dyDescent="0.25">
      <c r="A16434" t="str">
        <f>HYPERLINK("https://www.773grp.com/globalSearch/UC3834DW/page-1", "UC3834DW")</f>
        <v>UC3834DW</v>
      </c>
      <c r="B16434" s="3" t="s">
        <v>90</v>
      </c>
      <c r="C16434" s="5">
        <v>778</v>
      </c>
      <c r="D16434" s="6">
        <v>20.21</v>
      </c>
      <c r="E16434" t="s">
        <v>26</v>
      </c>
    </row>
    <row r="16435" spans="1:5" x14ac:dyDescent="0.25">
      <c r="A16435" t="str">
        <f>HYPERLINK("https://www.773grp.com/globalSearch/UC3834DW/page-1", "UC3834DW")</f>
        <v>UC3834DW</v>
      </c>
      <c r="B16435" s="3" t="s">
        <v>90</v>
      </c>
      <c r="C16435" s="5">
        <v>4328</v>
      </c>
      <c r="D16435" s="6">
        <v>20.21</v>
      </c>
      <c r="E16435" t="s">
        <v>26</v>
      </c>
    </row>
    <row r="16436" spans="1:5" x14ac:dyDescent="0.25">
      <c r="A16436" t="str">
        <f>HYPERLINK("https://www.773grp.com/globalSearch/UC3834DWG4/page-1", "UC3834DWG4")</f>
        <v>UC3834DWG4</v>
      </c>
      <c r="B16436" s="3" t="s">
        <v>90</v>
      </c>
      <c r="C16436" s="5">
        <v>6</v>
      </c>
      <c r="D16436" s="6">
        <v>20.21</v>
      </c>
      <c r="E16436" t="s">
        <v>26</v>
      </c>
    </row>
    <row r="16437" spans="1:5" x14ac:dyDescent="0.25">
      <c r="A16437" t="str">
        <f>HYPERLINK("https://www.773grp.com/globalSearch/UC3834N/page-1", "UC3834N")</f>
        <v>UC3834N</v>
      </c>
      <c r="B16437" s="3" t="s">
        <v>90</v>
      </c>
      <c r="C16437" s="5">
        <v>19462</v>
      </c>
      <c r="D16437" s="6">
        <v>20.21</v>
      </c>
      <c r="E16437" t="s">
        <v>26</v>
      </c>
    </row>
    <row r="16438" spans="1:5" x14ac:dyDescent="0.25">
      <c r="A16438" t="str">
        <f>HYPERLINK("https://www.773grp.com/globalSearch/BQ2084DBT/page-1", "BQ2084DBT")</f>
        <v>BQ2084DBT</v>
      </c>
      <c r="B16438" s="3" t="s">
        <v>90</v>
      </c>
      <c r="C16438" s="5">
        <v>8804</v>
      </c>
      <c r="D16438" s="6">
        <v>20.25</v>
      </c>
      <c r="E16438" t="s">
        <v>26</v>
      </c>
    </row>
    <row r="16439" spans="1:5" x14ac:dyDescent="0.25">
      <c r="A16439" t="str">
        <f>HYPERLINK("https://www.773grp.com/globalSearch/BQ2084DBT-V133/page-1", "BQ2084DBT-V133")</f>
        <v>BQ2084DBT-V133</v>
      </c>
      <c r="B16439" s="3" t="s">
        <v>90</v>
      </c>
      <c r="C16439" s="5">
        <v>11750</v>
      </c>
      <c r="D16439" s="6">
        <v>20.25</v>
      </c>
      <c r="E16439" t="s">
        <v>26</v>
      </c>
    </row>
    <row r="16440" spans="1:5" x14ac:dyDescent="0.25">
      <c r="A16440" t="str">
        <f>HYPERLINK("https://www.773grp.com/globalSearch/BQ2085DBT/page-1", "BQ2085DBT")</f>
        <v>BQ2085DBT</v>
      </c>
      <c r="B16440" s="3" t="s">
        <v>90</v>
      </c>
      <c r="C16440" s="5">
        <v>4500</v>
      </c>
      <c r="D16440" s="6">
        <v>20.25</v>
      </c>
      <c r="E16440" t="s">
        <v>26</v>
      </c>
    </row>
    <row r="16441" spans="1:5" x14ac:dyDescent="0.25">
      <c r="A16441" t="str">
        <f>HYPERLINK("https://www.773grp.com/globalSearch/BQ2085DBT/page-1", "BQ2085DBT")</f>
        <v>BQ2085DBT</v>
      </c>
      <c r="B16441" s="3" t="s">
        <v>90</v>
      </c>
      <c r="C16441" s="5">
        <v>2970</v>
      </c>
      <c r="D16441" s="6">
        <v>20.25</v>
      </c>
      <c r="E16441" t="s">
        <v>26</v>
      </c>
    </row>
    <row r="16442" spans="1:5" x14ac:dyDescent="0.25">
      <c r="A16442" t="str">
        <f>HYPERLINK("https://www.773grp.com/globalSearch/BQ2085DBT-V1P3/page-1", "BQ2085DBT-V1P3")</f>
        <v>BQ2085DBT-V1P3</v>
      </c>
      <c r="B16442" s="3" t="s">
        <v>90</v>
      </c>
      <c r="C16442" s="5">
        <v>1323</v>
      </c>
      <c r="D16442" s="6">
        <v>20.25</v>
      </c>
      <c r="E16442" t="s">
        <v>26</v>
      </c>
    </row>
    <row r="16443" spans="1:5" x14ac:dyDescent="0.25">
      <c r="A16443" t="str">
        <f>HYPERLINK("https://www.773grp.com/globalSearch/TPS2340APFP/page-1", "TPS2340APFP")</f>
        <v>TPS2340APFP</v>
      </c>
      <c r="B16443" s="3" t="s">
        <v>90</v>
      </c>
      <c r="C16443" s="5">
        <v>3238</v>
      </c>
      <c r="D16443" s="6">
        <v>20.68</v>
      </c>
      <c r="E16443" t="s">
        <v>26</v>
      </c>
    </row>
    <row r="16444" spans="1:5" x14ac:dyDescent="0.25">
      <c r="A16444" t="str">
        <f>HYPERLINK("https://www.773grp.com/globalSearch/TPS2340APFPR/page-1", "TPS2340APFPR")</f>
        <v>TPS2340APFPR</v>
      </c>
      <c r="B16444" s="3" t="s">
        <v>90</v>
      </c>
      <c r="C16444" s="5">
        <v>11000</v>
      </c>
      <c r="D16444" s="6">
        <v>20.68</v>
      </c>
      <c r="E16444" t="s">
        <v>26</v>
      </c>
    </row>
    <row r="16445" spans="1:5" x14ac:dyDescent="0.25">
      <c r="A16445" t="str">
        <f>HYPERLINK("https://www.773grp.com/globalSearch/TPS2383PM/page-1", "TPS2383PM")</f>
        <v>TPS2383PM</v>
      </c>
      <c r="B16445" s="3" t="s">
        <v>90</v>
      </c>
      <c r="C16445" s="5">
        <v>1760</v>
      </c>
      <c r="D16445" s="6">
        <v>20.68</v>
      </c>
      <c r="E16445" t="s">
        <v>26</v>
      </c>
    </row>
    <row r="16446" spans="1:5" x14ac:dyDescent="0.25">
      <c r="A16446" t="str">
        <f>HYPERLINK("https://www.773grp.com/globalSearch/TPS2202AIDBR/page-1", "TPS2202AIDBR")</f>
        <v>TPS2202AIDBR</v>
      </c>
      <c r="B16446" s="3" t="s">
        <v>90</v>
      </c>
      <c r="C16446" s="5">
        <v>40000</v>
      </c>
      <c r="D16446" s="6">
        <v>20.81</v>
      </c>
      <c r="E16446" t="s">
        <v>26</v>
      </c>
    </row>
    <row r="16447" spans="1:5" x14ac:dyDescent="0.25">
      <c r="A16447" t="str">
        <f>HYPERLINK("https://www.773grp.com/globalSearch/TPS23841PJDR/page-1", "TPS23841PJDR")</f>
        <v>TPS23841PJDR</v>
      </c>
      <c r="B16447" s="3" t="s">
        <v>90</v>
      </c>
      <c r="C16447" s="5">
        <v>5000</v>
      </c>
      <c r="D16447" s="6">
        <v>21.1</v>
      </c>
      <c r="E16447" t="s">
        <v>26</v>
      </c>
    </row>
    <row r="16448" spans="1:5" x14ac:dyDescent="0.25">
      <c r="A16448" t="str">
        <f>HYPERLINK("https://www.773grp.com/globalSearch/TPS65810RTQT/page-1", "TPS65810RTQT")</f>
        <v>TPS65810RTQT</v>
      </c>
      <c r="B16448" s="3" t="s">
        <v>90</v>
      </c>
      <c r="C16448" s="5">
        <v>2250</v>
      </c>
      <c r="D16448" s="6">
        <v>21.1</v>
      </c>
      <c r="E16448" t="s">
        <v>26</v>
      </c>
    </row>
    <row r="16449" spans="1:5" x14ac:dyDescent="0.25">
      <c r="A16449" t="str">
        <f>HYPERLINK("https://www.773grp.com/globalSearch/TPS65811RTQT/page-1", "TPS65811RTQT")</f>
        <v>TPS65811RTQT</v>
      </c>
      <c r="B16449" s="3" t="s">
        <v>90</v>
      </c>
      <c r="C16449" s="5">
        <v>250</v>
      </c>
      <c r="D16449" s="6">
        <v>21.1</v>
      </c>
      <c r="E16449" t="s">
        <v>26</v>
      </c>
    </row>
    <row r="16450" spans="1:5" x14ac:dyDescent="0.25">
      <c r="A16450" t="str">
        <f>HYPERLINK("https://www.773grp.com/globalSearch/TPS65820RSHT/page-1", "TPS65820RSHT")</f>
        <v>TPS65820RSHT</v>
      </c>
      <c r="B16450" s="3" t="s">
        <v>90</v>
      </c>
      <c r="C16450" s="5">
        <v>7000</v>
      </c>
      <c r="D16450" s="6">
        <v>21.1</v>
      </c>
      <c r="E16450" t="s">
        <v>26</v>
      </c>
    </row>
    <row r="16451" spans="1:5" x14ac:dyDescent="0.25">
      <c r="A16451" t="str">
        <f>HYPERLINK("https://www.773grp.com/globalSearch/UCC1913J/page-1", "UCC1913J")</f>
        <v>UCC1913J</v>
      </c>
      <c r="B16451" s="3" t="s">
        <v>90</v>
      </c>
      <c r="C16451" s="5">
        <v>170</v>
      </c>
      <c r="D16451" s="6">
        <v>21.38</v>
      </c>
      <c r="E16451" t="s">
        <v>26</v>
      </c>
    </row>
    <row r="16452" spans="1:5" x14ac:dyDescent="0.25">
      <c r="A16452" t="str">
        <f>HYPERLINK("https://www.773grp.com/globalSearch/UCD90124RGCR/page-1", "UCD90124RGCR")</f>
        <v>UCD90124RGCR</v>
      </c>
      <c r="B16452" s="3" t="s">
        <v>90</v>
      </c>
      <c r="C16452" s="5">
        <v>5474</v>
      </c>
      <c r="D16452" s="6">
        <v>21.8</v>
      </c>
      <c r="E16452" t="s">
        <v>26</v>
      </c>
    </row>
    <row r="16453" spans="1:5" x14ac:dyDescent="0.25">
      <c r="A16453" t="str">
        <f>HYPERLINK("https://www.773grp.com/globalSearch/TPS658610AZQZT/page-1", "TPS658610AZQZT")</f>
        <v>TPS658610AZQZT</v>
      </c>
      <c r="B16453" s="3" t="s">
        <v>90</v>
      </c>
      <c r="C16453" s="5">
        <v>6800</v>
      </c>
      <c r="D16453" s="6">
        <v>22.5</v>
      </c>
      <c r="E16453" t="s">
        <v>26</v>
      </c>
    </row>
    <row r="16454" spans="1:5" x14ac:dyDescent="0.25">
      <c r="A16454" t="str">
        <f>HYPERLINK("https://www.773grp.com/globalSearch/TPS658620ZQZT/page-1", "TPS658620ZQZT")</f>
        <v>TPS658620ZQZT</v>
      </c>
      <c r="B16454" s="3" t="s">
        <v>90</v>
      </c>
      <c r="C16454" s="5">
        <v>4000</v>
      </c>
      <c r="D16454" s="6">
        <v>22.5</v>
      </c>
      <c r="E16454" t="s">
        <v>26</v>
      </c>
    </row>
    <row r="16455" spans="1:5" x14ac:dyDescent="0.25">
      <c r="A16455" t="str">
        <f>HYPERLINK("https://www.773grp.com/globalSearch/TPS2342PFP/page-1", "TPS2342PFP")</f>
        <v>TPS2342PFP</v>
      </c>
      <c r="B16455" s="3" t="s">
        <v>90</v>
      </c>
      <c r="C16455" s="5">
        <v>1376</v>
      </c>
      <c r="D16455" s="6">
        <v>23.63</v>
      </c>
      <c r="E16455" t="s">
        <v>26</v>
      </c>
    </row>
    <row r="16456" spans="1:5" x14ac:dyDescent="0.25">
      <c r="A16456" t="str">
        <f>HYPERLINK("https://www.773grp.com/globalSearch/UC2834DW/page-1", "UC2834DW")</f>
        <v>UC2834DW</v>
      </c>
      <c r="B16456" s="3" t="s">
        <v>90</v>
      </c>
      <c r="C16456" s="5">
        <v>9182</v>
      </c>
      <c r="D16456" s="6">
        <v>24.08</v>
      </c>
      <c r="E16456" t="s">
        <v>26</v>
      </c>
    </row>
    <row r="16457" spans="1:5" x14ac:dyDescent="0.25">
      <c r="A16457" t="str">
        <f>HYPERLINK("https://www.773grp.com/globalSearch/UC2834Q/page-1", "UC2834Q")</f>
        <v>UC2834Q</v>
      </c>
      <c r="B16457" s="3" t="s">
        <v>90</v>
      </c>
      <c r="C16457" s="5">
        <v>4508</v>
      </c>
      <c r="D16457" s="6">
        <v>24.08</v>
      </c>
      <c r="E16457" t="s">
        <v>26</v>
      </c>
    </row>
    <row r="16458" spans="1:5" x14ac:dyDescent="0.25">
      <c r="A16458" t="str">
        <f>HYPERLINK("https://www.773grp.com/globalSearch/UC2834Q/page-1", "UC2834Q")</f>
        <v>UC2834Q</v>
      </c>
      <c r="B16458" s="3" t="s">
        <v>90</v>
      </c>
      <c r="C16458" s="5">
        <v>276</v>
      </c>
      <c r="D16458" s="6">
        <v>24.08</v>
      </c>
      <c r="E16458" t="s">
        <v>26</v>
      </c>
    </row>
    <row r="16459" spans="1:5" x14ac:dyDescent="0.25">
      <c r="A16459" t="str">
        <f>HYPERLINK("https://www.773grp.com/globalSearch/BQ2083DBT/page-1", "BQ2083DBT")</f>
        <v>BQ2083DBT</v>
      </c>
      <c r="B16459" s="3" t="s">
        <v>90</v>
      </c>
      <c r="C16459" s="5">
        <v>505</v>
      </c>
      <c r="D16459" s="6">
        <v>24.19</v>
      </c>
      <c r="E16459" t="s">
        <v>26</v>
      </c>
    </row>
    <row r="16460" spans="1:5" x14ac:dyDescent="0.25">
      <c r="A16460" t="str">
        <f>HYPERLINK("https://www.773grp.com/globalSearch/TPS658610ZQZR/page-1", "TPS658610ZQZR")</f>
        <v>TPS658610ZQZR</v>
      </c>
      <c r="B16460" s="3" t="s">
        <v>90</v>
      </c>
      <c r="C16460" s="5">
        <v>172500</v>
      </c>
      <c r="D16460" s="6">
        <v>24.48</v>
      </c>
      <c r="E16460" t="s">
        <v>26</v>
      </c>
    </row>
    <row r="16461" spans="1:5" x14ac:dyDescent="0.25">
      <c r="A16461" t="str">
        <f>HYPERLINK("https://www.773grp.com/globalSearch/TPS2202AIDB/page-1", "TPS2202AIDB")</f>
        <v>TPS2202AIDB</v>
      </c>
      <c r="B16461" s="3" t="s">
        <v>90</v>
      </c>
      <c r="C16461" s="5">
        <v>3110</v>
      </c>
      <c r="D16461" s="6">
        <v>24.78</v>
      </c>
      <c r="E16461" t="s">
        <v>26</v>
      </c>
    </row>
    <row r="16462" spans="1:5" x14ac:dyDescent="0.25">
      <c r="A16462" t="str">
        <f>HYPERLINK("https://www.773grp.com/globalSearch/TPS2343DDP/page-1", "TPS2343DDP")</f>
        <v>TPS2343DDP</v>
      </c>
      <c r="B16462" s="3" t="s">
        <v>90</v>
      </c>
      <c r="C16462" s="5">
        <v>3884</v>
      </c>
      <c r="D16462" s="6">
        <v>25.31</v>
      </c>
      <c r="E16462" t="s">
        <v>26</v>
      </c>
    </row>
    <row r="16463" spans="1:5" x14ac:dyDescent="0.25">
      <c r="A16463" t="str">
        <f>HYPERLINK("https://www.773grp.com/globalSearch/TPS23841PAP/page-1", "TPS23841PAP")</f>
        <v>TPS23841PAP</v>
      </c>
      <c r="B16463" s="3" t="s">
        <v>90</v>
      </c>
      <c r="C16463" s="5">
        <v>12813</v>
      </c>
      <c r="D16463" s="6">
        <v>25.31</v>
      </c>
      <c r="E16463" t="s">
        <v>26</v>
      </c>
    </row>
    <row r="16464" spans="1:5" x14ac:dyDescent="0.25">
      <c r="A16464" t="str">
        <f>HYPERLINK("https://www.773grp.com/globalSearch/TPS23841PJD/page-1", "TPS23841PJD")</f>
        <v>TPS23841PJD</v>
      </c>
      <c r="B16464" s="3" t="s">
        <v>90</v>
      </c>
      <c r="C16464" s="5">
        <v>3564</v>
      </c>
      <c r="D16464" s="6">
        <v>25.31</v>
      </c>
      <c r="E16464" t="s">
        <v>26</v>
      </c>
    </row>
    <row r="16465" spans="1:5" x14ac:dyDescent="0.25">
      <c r="A16465" t="str">
        <f>HYPERLINK("https://www.773grp.com/globalSearch/5962-88685042A/page-1", "5962-88685042A")</f>
        <v>5962-88685042A</v>
      </c>
      <c r="B16465" s="3" t="s">
        <v>90</v>
      </c>
      <c r="C16465" s="5">
        <v>1</v>
      </c>
      <c r="D16465" s="6">
        <v>26.13</v>
      </c>
      <c r="E16465" t="s">
        <v>26</v>
      </c>
    </row>
    <row r="16466" spans="1:5" x14ac:dyDescent="0.25">
      <c r="A16466" t="str">
        <f>HYPERLINK("https://www.773grp.com/globalSearch/TPS2383APMR/page-1", "TPS2383APMR")</f>
        <v>TPS2383APMR</v>
      </c>
      <c r="B16466" s="3" t="s">
        <v>90</v>
      </c>
      <c r="C16466" s="5">
        <v>8000</v>
      </c>
      <c r="D16466" s="6">
        <v>26.58</v>
      </c>
      <c r="E16466" t="s">
        <v>26</v>
      </c>
    </row>
    <row r="16467" spans="1:5" x14ac:dyDescent="0.25">
      <c r="A16467" t="str">
        <f>HYPERLINK("https://www.773grp.com/globalSearch/TL7702BMFKB/page-1", "TL7702BMFKB")</f>
        <v>TL7702BMFKB</v>
      </c>
      <c r="B16467" s="3" t="str">
        <f>HYPERLINK("https://www.773grp.com/manufacturer/texas-instruments?pageNo=17", "Texas Instruments")</f>
        <v>Texas Instruments</v>
      </c>
      <c r="C16467" s="5">
        <v>3</v>
      </c>
      <c r="D16467" s="6">
        <v>27.43</v>
      </c>
      <c r="E16467" t="s">
        <v>26</v>
      </c>
    </row>
    <row r="16468" spans="1:5" x14ac:dyDescent="0.25">
      <c r="A16468" t="str">
        <f>HYPERLINK("https://www.773grp.com/globalSearch/TLC7733MJG/page-1", "TLC7733MJG")</f>
        <v>TLC7733MJG</v>
      </c>
      <c r="B16468" s="3" t="str">
        <f>HYPERLINK("https://www.773grp.com/manufacturer/texas-instruments?pageNo=121", "Texas Instruments")</f>
        <v>Texas Instruments</v>
      </c>
      <c r="C16468" s="5">
        <v>79</v>
      </c>
      <c r="D16468" s="6">
        <v>28.06</v>
      </c>
      <c r="E16468" t="s">
        <v>26</v>
      </c>
    </row>
    <row r="16469" spans="1:5" x14ac:dyDescent="0.25">
      <c r="A16469" t="str">
        <f>HYPERLINK("https://www.773grp.com/globalSearch/TPS658610ZQZT/page-1", "TPS658610ZQZT")</f>
        <v>TPS658610ZQZT</v>
      </c>
      <c r="B16469" s="3" t="str">
        <f>HYPERLINK("https://www.773grp.com/manufacturer/texas-instruments?pageNo=197", "Texas Instruments")</f>
        <v>Texas Instruments</v>
      </c>
      <c r="C16469" s="5">
        <v>4500</v>
      </c>
      <c r="D16469" s="6">
        <v>28.26</v>
      </c>
      <c r="E16469" t="s">
        <v>26</v>
      </c>
    </row>
    <row r="16470" spans="1:5" x14ac:dyDescent="0.25">
      <c r="A16470" t="str">
        <f>HYPERLINK("https://www.773grp.com/globalSearch/5962-8868504HA/page-1", "5962-8868504HA")</f>
        <v>5962-8868504HA</v>
      </c>
      <c r="B16470" s="3" t="str">
        <f>HYPERLINK("https://www.773grp.com/manufacturer/texas-instruments?pageNo=371", "Texas Instruments")</f>
        <v>Texas Instruments</v>
      </c>
      <c r="C16470" s="5">
        <v>304</v>
      </c>
      <c r="D16470" s="6">
        <v>29.54</v>
      </c>
      <c r="E16470" t="s">
        <v>26</v>
      </c>
    </row>
    <row r="16471" spans="1:5" x14ac:dyDescent="0.25">
      <c r="A16471" t="str">
        <f>HYPERLINK("https://www.773grp.com/globalSearch/BQ8015DBT/page-1", "BQ8015DBT")</f>
        <v>BQ8015DBT</v>
      </c>
      <c r="B16471" s="3" t="str">
        <f>HYPERLINK("https://www.773grp.com/manufacturer/texas-instruments?pageNo=441", "Texas Instruments")</f>
        <v>Texas Instruments</v>
      </c>
      <c r="C16471" s="5">
        <v>4550</v>
      </c>
      <c r="D16471" s="6">
        <v>30.09</v>
      </c>
      <c r="E16471" t="s">
        <v>26</v>
      </c>
    </row>
    <row r="16472" spans="1:5" x14ac:dyDescent="0.25">
      <c r="A16472" t="str">
        <f>HYPERLINK("https://www.773grp.com/globalSearch/UC2914J/page-1", "UC2914J")</f>
        <v>UC2914J</v>
      </c>
      <c r="B16472" s="3" t="str">
        <f>HYPERLINK("https://www.773grp.com/manufacturer/texas-instruments?pageNo=661", "Texas Instruments")</f>
        <v>Texas Instruments</v>
      </c>
      <c r="C16472" s="5">
        <v>6</v>
      </c>
      <c r="D16472" s="6">
        <v>31.25</v>
      </c>
      <c r="E16472" t="s">
        <v>26</v>
      </c>
    </row>
    <row r="16473" spans="1:5" x14ac:dyDescent="0.25">
      <c r="A16473" t="str">
        <f>HYPERLINK("https://www.773grp.com/globalSearch/5962-9751301QPA/page-1", "5962-9751301QPA")</f>
        <v>5962-9751301QPA</v>
      </c>
      <c r="B16473" s="3" t="str">
        <f>HYPERLINK("https://www.773grp.com/manufacturer/texas-instruments?pageNo=685", "Texas Instruments")</f>
        <v>Texas Instruments</v>
      </c>
      <c r="C16473" s="5">
        <v>504</v>
      </c>
      <c r="D16473" s="6">
        <v>31.44</v>
      </c>
      <c r="E16473" t="s">
        <v>26</v>
      </c>
    </row>
    <row r="16474" spans="1:5" x14ac:dyDescent="0.25">
      <c r="A16474" t="str">
        <f>HYPERLINK("https://www.773grp.com/globalSearch/TLC7705MJGB/page-1", "TLC7705MJGB")</f>
        <v>TLC7705MJGB</v>
      </c>
      <c r="B16474" s="3" t="str">
        <f>HYPERLINK("https://www.773grp.com/manufacturer/texas-instruments?pageNo=688", "Texas Instruments")</f>
        <v>Texas Instruments</v>
      </c>
      <c r="C16474" s="5">
        <v>14</v>
      </c>
      <c r="D16474" s="6">
        <v>31.44</v>
      </c>
      <c r="E16474" t="s">
        <v>26</v>
      </c>
    </row>
    <row r="16475" spans="1:5" x14ac:dyDescent="0.25">
      <c r="A16475" t="str">
        <f>HYPERLINK("https://www.773grp.com/globalSearch/TPS2383APM/page-1", "TPS2383APM")</f>
        <v>TPS2383APM</v>
      </c>
      <c r="B16475" s="3" t="str">
        <f>HYPERLINK("https://www.773grp.com/manufacturer/texas-instruments?pageNo=753", "Texas Instruments")</f>
        <v>Texas Instruments</v>
      </c>
      <c r="C16475" s="5">
        <v>2226</v>
      </c>
      <c r="D16475" s="6">
        <v>31.93</v>
      </c>
      <c r="E16475" t="s">
        <v>26</v>
      </c>
    </row>
    <row r="16476" spans="1:5" x14ac:dyDescent="0.25">
      <c r="A16476" t="str">
        <f>HYPERLINK("https://www.773grp.com/globalSearch/TPS2383APMG4/page-1", "TPS2383APMG4")</f>
        <v>TPS2383APMG4</v>
      </c>
      <c r="B16476" s="3" t="str">
        <f>HYPERLINK("https://www.773grp.com/manufacturer/texas-instruments?pageNo=754", "Texas Instruments")</f>
        <v>Texas Instruments</v>
      </c>
      <c r="C16476" s="5">
        <v>1848</v>
      </c>
      <c r="D16476" s="6">
        <v>31.93</v>
      </c>
      <c r="E16476" t="s">
        <v>26</v>
      </c>
    </row>
    <row r="16477" spans="1:5" x14ac:dyDescent="0.25">
      <c r="A16477" t="str">
        <f>HYPERLINK("https://www.773grp.com/globalSearch/TPS2383BPM/page-1", "TPS2383BPM")</f>
        <v>TPS2383BPM</v>
      </c>
      <c r="B16477" s="3" t="str">
        <f>HYPERLINK("https://www.773grp.com/manufacturer/texas-instruments?pageNo=755", "Texas Instruments")</f>
        <v>Texas Instruments</v>
      </c>
      <c r="C16477" s="5">
        <v>15716</v>
      </c>
      <c r="D16477" s="6">
        <v>31.93</v>
      </c>
      <c r="E16477" t="s">
        <v>26</v>
      </c>
    </row>
    <row r="16478" spans="1:5" x14ac:dyDescent="0.25">
      <c r="A16478" t="str">
        <f>HYPERLINK("https://www.773grp.com/globalSearch/TPS2383BPMG4/page-1", "TPS2383BPMG4")</f>
        <v>TPS2383BPMG4</v>
      </c>
      <c r="B16478" s="3" t="str">
        <f>HYPERLINK("https://www.773grp.com/manufacturer/texas-instruments?pageNo=756", "Texas Instruments")</f>
        <v>Texas Instruments</v>
      </c>
      <c r="C16478" s="5">
        <v>343</v>
      </c>
      <c r="D16478" s="6">
        <v>31.93</v>
      </c>
      <c r="E16478" t="s">
        <v>26</v>
      </c>
    </row>
    <row r="16479" spans="1:5" x14ac:dyDescent="0.25">
      <c r="A16479" t="str">
        <f>HYPERLINK("https://www.773grp.com/globalSearch/5962-9750901QPA/page-1", "5962-9750901QPA")</f>
        <v>5962-9750901QPA</v>
      </c>
      <c r="B16479" s="3" t="s">
        <v>90</v>
      </c>
      <c r="C16479" s="5">
        <v>231</v>
      </c>
      <c r="D16479" s="6">
        <v>34.81</v>
      </c>
      <c r="E16479" t="s">
        <v>26</v>
      </c>
    </row>
    <row r="16480" spans="1:5" x14ac:dyDescent="0.25">
      <c r="A16480" t="str">
        <f>HYPERLINK("https://www.773grp.com/globalSearch/TLC7733MJGB/page-1", "TLC7733MJGB")</f>
        <v>TLC7733MJGB</v>
      </c>
      <c r="B16480" s="3" t="s">
        <v>90</v>
      </c>
      <c r="C16480" s="5">
        <v>14</v>
      </c>
      <c r="D16480" s="6">
        <v>34.81</v>
      </c>
      <c r="E16480" t="s">
        <v>26</v>
      </c>
    </row>
    <row r="16481" spans="1:5" x14ac:dyDescent="0.25">
      <c r="A16481" t="str">
        <f>HYPERLINK("https://www.773grp.com/globalSearch/UC2834J/page-1", "UC2834J")</f>
        <v>UC2834J</v>
      </c>
      <c r="B16481" s="3" t="s">
        <v>90</v>
      </c>
      <c r="C16481" s="5">
        <v>6</v>
      </c>
      <c r="D16481" s="6">
        <v>36.08</v>
      </c>
      <c r="E16481" t="s">
        <v>26</v>
      </c>
    </row>
    <row r="16482" spans="1:5" x14ac:dyDescent="0.25">
      <c r="A16482" t="str">
        <f>HYPERLINK("https://www.773grp.com/globalSearch/UC2903J/page-1", "UC2903J")</f>
        <v>UC2903J</v>
      </c>
      <c r="B16482" s="3" t="s">
        <v>90</v>
      </c>
      <c r="C16482" s="5">
        <v>225</v>
      </c>
      <c r="D16482" s="6">
        <v>43.83</v>
      </c>
      <c r="E16482" t="s">
        <v>26</v>
      </c>
    </row>
    <row r="16483" spans="1:5" x14ac:dyDescent="0.25">
      <c r="A16483" t="str">
        <f>HYPERLINK("https://www.773grp.com/globalSearch/UC1903J-883B/page-1", "UC1903J-883B")</f>
        <v>UC1903J-883B</v>
      </c>
      <c r="B16483" s="3" t="s">
        <v>90</v>
      </c>
      <c r="C16483" s="5">
        <v>3</v>
      </c>
      <c r="D16483" s="6">
        <v>48.94</v>
      </c>
      <c r="E16483" t="s">
        <v>26</v>
      </c>
    </row>
    <row r="16484" spans="1:5" x14ac:dyDescent="0.25">
      <c r="A16484" t="str">
        <f>HYPERLINK("https://www.773grp.com/globalSearch/5962-9751301Q2A/page-1", "5962-9751301Q2A")</f>
        <v>5962-9751301Q2A</v>
      </c>
      <c r="B16484" s="3" t="s">
        <v>90</v>
      </c>
      <c r="C16484" s="5">
        <v>27</v>
      </c>
      <c r="D16484" s="6">
        <v>49.75</v>
      </c>
      <c r="E16484" t="s">
        <v>26</v>
      </c>
    </row>
    <row r="16485" spans="1:5" x14ac:dyDescent="0.25">
      <c r="A16485" t="str">
        <f>HYPERLINK("https://www.773grp.com/globalSearch/5962-9750901Q2A/page-1", "5962-9750901Q2A")</f>
        <v>5962-9750901Q2A</v>
      </c>
      <c r="B16485" s="3" t="s">
        <v>90</v>
      </c>
      <c r="C16485" s="5">
        <v>32</v>
      </c>
      <c r="D16485" s="6">
        <v>51.75</v>
      </c>
      <c r="E16485" t="s">
        <v>26</v>
      </c>
    </row>
    <row r="16486" spans="1:5" x14ac:dyDescent="0.25">
      <c r="A16486" t="str">
        <f>HYPERLINK("https://www.773grp.com/globalSearch/5962-9751301QHA/page-1", "5962-9751301QHA")</f>
        <v>5962-9751301QHA</v>
      </c>
      <c r="B16486" s="3" t="s">
        <v>90</v>
      </c>
      <c r="C16486" s="5">
        <v>10</v>
      </c>
      <c r="D16486" s="6">
        <v>52.88</v>
      </c>
      <c r="E16486" t="s">
        <v>26</v>
      </c>
    </row>
    <row r="16487" spans="1:5" x14ac:dyDescent="0.25">
      <c r="A16487" t="str">
        <f>HYPERLINK("https://www.773grp.com/globalSearch/UCC1921J/page-1", "UCC1921J")</f>
        <v>UCC1921J</v>
      </c>
      <c r="B16487" s="3" t="s">
        <v>90</v>
      </c>
      <c r="C16487" s="5">
        <v>268</v>
      </c>
      <c r="D16487" s="6">
        <v>54.2</v>
      </c>
      <c r="E16487" t="s">
        <v>26</v>
      </c>
    </row>
    <row r="16488" spans="1:5" x14ac:dyDescent="0.25">
      <c r="A16488" t="str">
        <f>HYPERLINK("https://www.773grp.com/globalSearch/TPS3307-18MJG/page-1", "TPS3307-18MJG")</f>
        <v>TPS3307-18MJG</v>
      </c>
      <c r="B16488" s="3" t="s">
        <v>90</v>
      </c>
      <c r="C16488" s="5">
        <v>55</v>
      </c>
      <c r="D16488" s="6">
        <v>55.64</v>
      </c>
      <c r="E16488" t="s">
        <v>26</v>
      </c>
    </row>
    <row r="16489" spans="1:5" x14ac:dyDescent="0.25">
      <c r="A16489" t="str">
        <f>HYPERLINK("https://www.773grp.com/globalSearch/TPS3307-18MJGB/page-1", "TPS3307-18MJGB")</f>
        <v>TPS3307-18MJGB</v>
      </c>
      <c r="B16489" s="3" t="s">
        <v>90</v>
      </c>
      <c r="C16489" s="5">
        <v>202</v>
      </c>
      <c r="D16489" s="6">
        <v>62.14</v>
      </c>
      <c r="E16489" t="s">
        <v>26</v>
      </c>
    </row>
    <row r="16490" spans="1:5" x14ac:dyDescent="0.25">
      <c r="A16490" t="str">
        <f>HYPERLINK("https://www.773grp.com/globalSearch/UC1903L/page-1", "UC1903L")</f>
        <v>UC1903L</v>
      </c>
      <c r="B16490" s="3" t="s">
        <v>90</v>
      </c>
      <c r="C16490" s="5">
        <v>16</v>
      </c>
      <c r="D16490" s="6">
        <v>65.53</v>
      </c>
      <c r="E16490" t="s">
        <v>26</v>
      </c>
    </row>
    <row r="16491" spans="1:5" x14ac:dyDescent="0.25">
      <c r="A16491" t="str">
        <f>HYPERLINK("https://www.773grp.com/globalSearch/5962-88697012A/page-1", "5962-88697012A")</f>
        <v>5962-88697012A</v>
      </c>
      <c r="B16491" s="3" t="s">
        <v>90</v>
      </c>
      <c r="C16491" s="5">
        <v>262</v>
      </c>
      <c r="D16491" s="6">
        <v>87.36</v>
      </c>
      <c r="E16491" t="s">
        <v>26</v>
      </c>
    </row>
    <row r="16492" spans="1:5" x14ac:dyDescent="0.25">
      <c r="A16492" t="str">
        <f>HYPERLINK("https://www.773grp.com/globalSearch/UC1903L883B/page-1", "UC1903L883B")</f>
        <v>UC1903L883B</v>
      </c>
      <c r="B16492" s="3" t="s">
        <v>90</v>
      </c>
      <c r="C16492" s="5">
        <v>3</v>
      </c>
      <c r="D16492" s="6">
        <v>87.36</v>
      </c>
      <c r="E16492" t="s">
        <v>26</v>
      </c>
    </row>
    <row r="16493" spans="1:5" x14ac:dyDescent="0.25">
      <c r="A16493" t="str">
        <f>HYPERLINK("https://www.773grp.com/globalSearch/UC1543L/page-1", "UC1543L")</f>
        <v>UC1543L</v>
      </c>
      <c r="B16493" s="3" t="s">
        <v>90</v>
      </c>
      <c r="C16493" s="5">
        <v>107</v>
      </c>
      <c r="D16493" s="6">
        <v>113.18</v>
      </c>
      <c r="E16493" t="s">
        <v>26</v>
      </c>
    </row>
    <row r="16494" spans="1:5" x14ac:dyDescent="0.25">
      <c r="A16494" t="str">
        <f>HYPERLINK("https://www.773grp.com/globalSearch/BQ20Z75DBT/page-1", "BQ20Z75DBT")</f>
        <v>BQ20Z75DBT</v>
      </c>
      <c r="B16494" s="3" t="str">
        <f>HYPERLINK("https://www.773grp.com/manufacturer/texas-instruments?pageNo=753", "Texas Instruments")</f>
        <v>Texas Instruments</v>
      </c>
      <c r="C16494" s="5">
        <v>578</v>
      </c>
      <c r="D16494" s="6">
        <v>230.5</v>
      </c>
      <c r="E16494" t="s">
        <v>26</v>
      </c>
    </row>
    <row r="16495" spans="1:5" x14ac:dyDescent="0.25">
      <c r="A16495" t="str">
        <f>HYPERLINK("https://www.773grp.com/globalSearch/BQ20Z75DBTR/page-1", "BQ20Z75DBTR")</f>
        <v>BQ20Z75DBTR</v>
      </c>
      <c r="B16495" s="3" t="str">
        <f>HYPERLINK("https://www.773grp.com/manufacturer/texas-instruments?pageNo=824", "Texas Instruments")</f>
        <v>Texas Instruments</v>
      </c>
      <c r="C16495" s="5">
        <v>2265</v>
      </c>
      <c r="D16495" s="6">
        <v>278.44</v>
      </c>
      <c r="E16495" t="s">
        <v>26</v>
      </c>
    </row>
    <row r="16496" spans="1:5" x14ac:dyDescent="0.25">
      <c r="A16496" t="str">
        <f>HYPERLINK("https://www.773grp.com/globalSearch/THS788PFD/page-1", "THS788PFD")</f>
        <v>THS788PFD</v>
      </c>
      <c r="B16496" s="3" t="s">
        <v>90</v>
      </c>
      <c r="C16496" s="5">
        <v>168</v>
      </c>
      <c r="D16496" s="6">
        <v>256.33999999999997</v>
      </c>
      <c r="E16496" t="s">
        <v>26</v>
      </c>
    </row>
    <row r="16497" spans="1:5" x14ac:dyDescent="0.25">
      <c r="A16497" t="str">
        <f>HYPERLINK("https://www.773grp.com/globalSearch/TPS2390DGK/page-1", "TPS2390DGK")</f>
        <v>TPS2390DGK</v>
      </c>
      <c r="B16497" s="3" t="s">
        <v>112</v>
      </c>
      <c r="C16497" s="5">
        <v>13200</v>
      </c>
      <c r="D16497" s="6">
        <v>3.38</v>
      </c>
      <c r="E16497" t="s">
        <v>26</v>
      </c>
    </row>
    <row r="16498" spans="1:5" x14ac:dyDescent="0.25">
      <c r="A16498" t="str">
        <f>HYPERLINK("https://www.773grp.com/globalSearch/UCC3921N/page-1", "UCC3921N")</f>
        <v>UCC3921N</v>
      </c>
      <c r="B16498" s="3" t="s">
        <v>112</v>
      </c>
      <c r="C16498" s="5">
        <v>3700</v>
      </c>
      <c r="D16498" s="6">
        <v>4.5</v>
      </c>
      <c r="E16498" t="s">
        <v>26</v>
      </c>
    </row>
    <row r="16499" spans="1:5" x14ac:dyDescent="0.25">
      <c r="A16499" t="str">
        <f>HYPERLINK("https://www.773grp.com/globalSearch/UC3544DW/page-1", "UC3544DW")</f>
        <v>UC3544DW</v>
      </c>
      <c r="B16499" s="3" t="s">
        <v>112</v>
      </c>
      <c r="C16499" s="5">
        <v>3510</v>
      </c>
      <c r="D16499" s="6">
        <v>4.6399999999999997</v>
      </c>
      <c r="E16499" t="s">
        <v>26</v>
      </c>
    </row>
    <row r="16500" spans="1:5" x14ac:dyDescent="0.25">
      <c r="A16500" t="str">
        <f>HYPERLINK("https://www.773grp.com/globalSearch/UCC2913N/page-1", "UCC2913N")</f>
        <v>UCC2913N</v>
      </c>
      <c r="B16500" s="3" t="s">
        <v>112</v>
      </c>
      <c r="C16500" s="5">
        <v>3500</v>
      </c>
      <c r="D16500" s="6">
        <v>4.6399999999999997</v>
      </c>
      <c r="E16500" t="s">
        <v>26</v>
      </c>
    </row>
    <row r="16501" spans="1:5" x14ac:dyDescent="0.25">
      <c r="A16501" t="str">
        <f>HYPERLINK("https://www.773grp.com/globalSearch/UCC2913DTR/page-1", "UCC2913DTR")</f>
        <v>UCC2913DTR</v>
      </c>
      <c r="B16501" s="3" t="s">
        <v>112</v>
      </c>
      <c r="C16501" s="5">
        <v>1750</v>
      </c>
      <c r="D16501" s="6">
        <v>4.8600000000000003</v>
      </c>
      <c r="E16501" t="s">
        <v>26</v>
      </c>
    </row>
    <row r="16502" spans="1:5" x14ac:dyDescent="0.25">
      <c r="A16502" t="str">
        <f>HYPERLINK("https://www.773grp.com/globalSearch/UCC3952DP-2/page-1", "UCC3952DP-2")</f>
        <v>UCC3952DP-2</v>
      </c>
      <c r="B16502" s="3" t="s">
        <v>112</v>
      </c>
      <c r="C16502" s="5">
        <v>1030</v>
      </c>
      <c r="D16502" s="6">
        <v>4.93</v>
      </c>
      <c r="E16502" t="s">
        <v>26</v>
      </c>
    </row>
    <row r="16503" spans="1:5" x14ac:dyDescent="0.25">
      <c r="A16503" t="str">
        <f>HYPERLINK("https://www.773grp.com/globalSearch/UCC3952DP-4/page-1", "UCC3952DP-4")</f>
        <v>UCC3952DP-4</v>
      </c>
      <c r="B16503" s="3" t="s">
        <v>112</v>
      </c>
      <c r="C16503" s="5">
        <v>28</v>
      </c>
      <c r="D16503" s="6">
        <v>4.93</v>
      </c>
      <c r="E16503" t="s">
        <v>26</v>
      </c>
    </row>
    <row r="16504" spans="1:5" x14ac:dyDescent="0.25">
      <c r="A16504" t="str">
        <f>HYPERLINK("https://www.773grp.com/globalSearch/UCC2921N/page-1", "UCC2921N")</f>
        <v>UCC2921N</v>
      </c>
      <c r="B16504" s="3" t="s">
        <v>112</v>
      </c>
      <c r="C16504" s="5">
        <v>3250</v>
      </c>
      <c r="D16504" s="6">
        <v>5.2</v>
      </c>
      <c r="E16504" t="s">
        <v>26</v>
      </c>
    </row>
    <row r="16505" spans="1:5" x14ac:dyDescent="0.25">
      <c r="A16505" t="str">
        <f>HYPERLINK("https://www.773grp.com/globalSearch/UCC3913D/page-1", "UCC3913D")</f>
        <v>UCC3913D</v>
      </c>
      <c r="B16505" s="3" t="s">
        <v>112</v>
      </c>
      <c r="C16505" s="5">
        <v>17997</v>
      </c>
      <c r="D16505" s="6">
        <v>5.29</v>
      </c>
      <c r="E16505" t="s">
        <v>26</v>
      </c>
    </row>
    <row r="16506" spans="1:5" x14ac:dyDescent="0.25">
      <c r="A16506" t="str">
        <f>HYPERLINK("https://www.773grp.com/globalSearch/UCC3921D/page-1", "UCC3921D")</f>
        <v>UCC3921D</v>
      </c>
      <c r="B16506" s="3" t="s">
        <v>112</v>
      </c>
      <c r="C16506" s="5">
        <v>300</v>
      </c>
      <c r="D16506" s="6">
        <v>5.63</v>
      </c>
      <c r="E16506" t="s">
        <v>26</v>
      </c>
    </row>
    <row r="16507" spans="1:5" x14ac:dyDescent="0.25">
      <c r="A16507" t="str">
        <f>HYPERLINK("https://www.773grp.com/globalSearch/UC3904N/page-1", "UC3904N")</f>
        <v>UC3904N</v>
      </c>
      <c r="B16507" s="3" t="s">
        <v>112</v>
      </c>
      <c r="C16507" s="5">
        <v>2267</v>
      </c>
      <c r="D16507" s="6">
        <v>6.13</v>
      </c>
      <c r="E16507" t="s">
        <v>26</v>
      </c>
    </row>
    <row r="16508" spans="1:5" x14ac:dyDescent="0.25">
      <c r="A16508" t="str">
        <f>HYPERLINK("https://www.773grp.com/globalSearch/UC3903N/page-1", "UC3903N")</f>
        <v>UC3903N</v>
      </c>
      <c r="B16508" s="3" t="s">
        <v>112</v>
      </c>
      <c r="C16508" s="5">
        <v>10</v>
      </c>
      <c r="D16508" s="6">
        <v>6.21</v>
      </c>
      <c r="E16508" t="s">
        <v>26</v>
      </c>
    </row>
    <row r="16509" spans="1:5" x14ac:dyDescent="0.25">
      <c r="A16509" t="str">
        <f>HYPERLINK("https://www.773grp.com/globalSearch/UC3903Q/page-1", "UC3903Q")</f>
        <v>UC3903Q</v>
      </c>
      <c r="B16509" s="3" t="s">
        <v>112</v>
      </c>
      <c r="C16509" s="5">
        <v>128</v>
      </c>
      <c r="D16509" s="6">
        <v>6.21</v>
      </c>
      <c r="E16509" t="s">
        <v>26</v>
      </c>
    </row>
    <row r="16510" spans="1:5" x14ac:dyDescent="0.25">
      <c r="A16510" t="str">
        <f>HYPERLINK("https://www.773grp.com/globalSearch/UC3903Q/page-1", "UC3903Q")</f>
        <v>UC3903Q</v>
      </c>
      <c r="B16510" s="3" t="s">
        <v>112</v>
      </c>
      <c r="C16510" s="5">
        <v>61</v>
      </c>
      <c r="D16510" s="6">
        <v>6.21</v>
      </c>
      <c r="E16510" t="s">
        <v>26</v>
      </c>
    </row>
    <row r="16511" spans="1:5" x14ac:dyDescent="0.25">
      <c r="A16511" t="str">
        <f>HYPERLINK("https://www.773grp.com/globalSearch/UC3903Q/page-1", "UC3903Q")</f>
        <v>UC3903Q</v>
      </c>
      <c r="B16511" s="3" t="s">
        <v>112</v>
      </c>
      <c r="C16511" s="5">
        <v>2144</v>
      </c>
      <c r="D16511" s="6">
        <v>6.21</v>
      </c>
      <c r="E16511" t="s">
        <v>26</v>
      </c>
    </row>
    <row r="16512" spans="1:5" x14ac:dyDescent="0.25">
      <c r="A16512" t="str">
        <f>HYPERLINK("https://www.773grp.com/globalSearch/UCC2921D/page-1", "UCC2921D")</f>
        <v>UCC2921D</v>
      </c>
      <c r="B16512" s="3" t="s">
        <v>112</v>
      </c>
      <c r="C16512" s="5">
        <v>50</v>
      </c>
      <c r="D16512" s="6">
        <v>6.3</v>
      </c>
      <c r="E16512" t="s">
        <v>26</v>
      </c>
    </row>
    <row r="16513" spans="1:5" x14ac:dyDescent="0.25">
      <c r="A16513" t="str">
        <f>HYPERLINK("https://www.773grp.com/globalSearch/UCC2921D/page-1", "UCC2921D")</f>
        <v>UCC2921D</v>
      </c>
      <c r="B16513" s="3" t="s">
        <v>112</v>
      </c>
      <c r="C16513" s="5">
        <v>275</v>
      </c>
      <c r="D16513" s="6">
        <v>6.3</v>
      </c>
      <c r="E16513" t="s">
        <v>26</v>
      </c>
    </row>
    <row r="16514" spans="1:5" x14ac:dyDescent="0.25">
      <c r="A16514" t="str">
        <f>HYPERLINK("https://www.773grp.com/globalSearch/UCC3917D/page-1", "UCC3917D")</f>
        <v>UCC3917D</v>
      </c>
      <c r="B16514" s="3" t="s">
        <v>112</v>
      </c>
      <c r="C16514" s="5">
        <v>5</v>
      </c>
      <c r="D16514" s="6">
        <v>6.33</v>
      </c>
      <c r="E16514" t="s">
        <v>26</v>
      </c>
    </row>
    <row r="16515" spans="1:5" x14ac:dyDescent="0.25">
      <c r="A16515" t="str">
        <f>HYPERLINK("https://www.773grp.com/globalSearch/UCC3919N/page-1", "UCC3919N")</f>
        <v>UCC3919N</v>
      </c>
      <c r="B16515" s="3" t="s">
        <v>112</v>
      </c>
      <c r="C16515" s="5">
        <v>10</v>
      </c>
      <c r="D16515" s="6">
        <v>6.64</v>
      </c>
      <c r="E16515" t="s">
        <v>26</v>
      </c>
    </row>
    <row r="16516" spans="1:5" x14ac:dyDescent="0.25">
      <c r="A16516" t="str">
        <f>HYPERLINK("https://www.773grp.com/globalSearch/UC2903QTR/page-1", "UC2903QTR")</f>
        <v>UC2903QTR</v>
      </c>
      <c r="B16516" s="3" t="s">
        <v>112</v>
      </c>
      <c r="C16516" s="5">
        <v>1000</v>
      </c>
      <c r="D16516" s="6">
        <v>7.18</v>
      </c>
      <c r="E16516" t="s">
        <v>26</v>
      </c>
    </row>
    <row r="16517" spans="1:5" x14ac:dyDescent="0.25">
      <c r="A16517" t="str">
        <f>HYPERLINK("https://www.773grp.com/globalSearch/UC2902D/page-1", "UC2902D")</f>
        <v>UC2902D</v>
      </c>
      <c r="B16517" s="3" t="s">
        <v>112</v>
      </c>
      <c r="C16517" s="5">
        <v>13</v>
      </c>
      <c r="D16517" s="6">
        <v>7.31</v>
      </c>
      <c r="E16517" t="s">
        <v>26</v>
      </c>
    </row>
    <row r="16518" spans="1:5" x14ac:dyDescent="0.25">
      <c r="A16518" t="str">
        <f>HYPERLINK("https://www.773grp.com/globalSearch/UC3543N/page-1", "UC3543N")</f>
        <v>UC3543N</v>
      </c>
      <c r="B16518" s="3" t="s">
        <v>112</v>
      </c>
      <c r="C16518" s="5">
        <v>107</v>
      </c>
      <c r="D16518" s="6">
        <v>7.39</v>
      </c>
      <c r="E16518" t="s">
        <v>26</v>
      </c>
    </row>
    <row r="16519" spans="1:5" x14ac:dyDescent="0.25">
      <c r="A16519" t="str">
        <f>HYPERLINK("https://www.773grp.com/globalSearch/UC3907DW/page-1", "UC3907DW")</f>
        <v>UC3907DW</v>
      </c>
      <c r="B16519" s="3" t="s">
        <v>112</v>
      </c>
      <c r="C16519" s="5">
        <v>460</v>
      </c>
      <c r="D16519" s="6">
        <v>7.39</v>
      </c>
      <c r="E16519" t="s">
        <v>26</v>
      </c>
    </row>
    <row r="16520" spans="1:5" x14ac:dyDescent="0.25">
      <c r="A16520" t="str">
        <f>HYPERLINK("https://www.773grp.com/globalSearch/UC3907DW/page-1", "UC3907DW")</f>
        <v>UC3907DW</v>
      </c>
      <c r="B16520" s="3" t="s">
        <v>112</v>
      </c>
      <c r="C16520" s="5">
        <v>10</v>
      </c>
      <c r="D16520" s="6">
        <v>7.39</v>
      </c>
      <c r="E16520" t="s">
        <v>26</v>
      </c>
    </row>
    <row r="16521" spans="1:5" x14ac:dyDescent="0.25">
      <c r="A16521" t="str">
        <f>HYPERLINK("https://www.773grp.com/globalSearch/UCC39161DP/page-1", "UCC39161DP")</f>
        <v>UCC39161DP</v>
      </c>
      <c r="B16521" s="3" t="s">
        <v>112</v>
      </c>
      <c r="C16521" s="5">
        <v>1825</v>
      </c>
      <c r="D16521" s="6">
        <v>7.46</v>
      </c>
      <c r="E16521" t="s">
        <v>26</v>
      </c>
    </row>
    <row r="16522" spans="1:5" x14ac:dyDescent="0.25">
      <c r="A16522" t="str">
        <f>HYPERLINK("https://www.773grp.com/globalSearch/UCC3915DPTR/page-1", "UCC3915DPTR")</f>
        <v>UCC3915DPTR</v>
      </c>
      <c r="B16522" s="3" t="s">
        <v>112</v>
      </c>
      <c r="C16522" s="5">
        <v>2500</v>
      </c>
      <c r="D16522" s="6">
        <v>7.54</v>
      </c>
      <c r="E16522" t="s">
        <v>26</v>
      </c>
    </row>
    <row r="16523" spans="1:5" x14ac:dyDescent="0.25">
      <c r="A16523" t="str">
        <f>HYPERLINK("https://www.773grp.com/globalSearch/UC2906Q/page-1", "UC2906Q")</f>
        <v>UC2906Q</v>
      </c>
      <c r="B16523" s="3" t="s">
        <v>112</v>
      </c>
      <c r="C16523" s="5">
        <v>46</v>
      </c>
      <c r="D16523" s="6">
        <v>7.73</v>
      </c>
      <c r="E16523" t="s">
        <v>26</v>
      </c>
    </row>
    <row r="16524" spans="1:5" x14ac:dyDescent="0.25">
      <c r="A16524" t="str">
        <f>HYPERLINK("https://www.773grp.com/globalSearch/UC2906Q/page-1", "UC2906Q")</f>
        <v>UC2906Q</v>
      </c>
      <c r="B16524" s="3" t="s">
        <v>112</v>
      </c>
      <c r="C16524" s="5">
        <v>860</v>
      </c>
      <c r="D16524" s="6">
        <v>7.73</v>
      </c>
      <c r="E16524" t="s">
        <v>26</v>
      </c>
    </row>
    <row r="16525" spans="1:5" x14ac:dyDescent="0.25">
      <c r="A16525" t="str">
        <f>HYPERLINK("https://www.773grp.com/globalSearch/UCC3911DP-1/page-1", "UCC3911DP-1")</f>
        <v>UCC3911DP-1</v>
      </c>
      <c r="B16525" s="3" t="s">
        <v>112</v>
      </c>
      <c r="C16525" s="5">
        <v>38</v>
      </c>
      <c r="D16525" s="6">
        <v>7.81</v>
      </c>
      <c r="E16525" t="s">
        <v>26</v>
      </c>
    </row>
    <row r="16526" spans="1:5" x14ac:dyDescent="0.25">
      <c r="A16526" t="str">
        <f>HYPERLINK("https://www.773grp.com/globalSearch/UCC3911DP-2/page-1", "UCC3911DP-2")</f>
        <v>UCC3911DP-2</v>
      </c>
      <c r="B16526" s="3" t="s">
        <v>112</v>
      </c>
      <c r="C16526" s="5">
        <v>3452</v>
      </c>
      <c r="D16526" s="6">
        <v>7.81</v>
      </c>
      <c r="E16526" t="s">
        <v>26</v>
      </c>
    </row>
    <row r="16527" spans="1:5" x14ac:dyDescent="0.25">
      <c r="A16527" t="str">
        <f>HYPERLINK("https://www.773grp.com/globalSearch/UCC3919D/page-1", "UCC3919D")</f>
        <v>UCC3919D</v>
      </c>
      <c r="B16527" s="3" t="s">
        <v>112</v>
      </c>
      <c r="C16527" s="5">
        <v>40</v>
      </c>
      <c r="D16527" s="6">
        <v>7.88</v>
      </c>
      <c r="E16527" t="s">
        <v>26</v>
      </c>
    </row>
    <row r="16528" spans="1:5" x14ac:dyDescent="0.25">
      <c r="A16528" t="str">
        <f>HYPERLINK("https://www.773grp.com/globalSearch/UC3910D/page-1", "UC3910D")</f>
        <v>UC3910D</v>
      </c>
      <c r="B16528" s="3" t="s">
        <v>112</v>
      </c>
      <c r="C16528" s="5">
        <v>300</v>
      </c>
      <c r="D16528" s="6">
        <v>8.01</v>
      </c>
      <c r="E16528" t="s">
        <v>26</v>
      </c>
    </row>
    <row r="16529" spans="1:5" x14ac:dyDescent="0.25">
      <c r="A16529" t="str">
        <f>HYPERLINK("https://www.773grp.com/globalSearch/UCC3958PWP-1/page-1", "UCC3958PWP-1")</f>
        <v>UCC3958PWP-1</v>
      </c>
      <c r="B16529" s="3" t="s">
        <v>112</v>
      </c>
      <c r="C16529" s="5">
        <v>420</v>
      </c>
      <c r="D16529" s="6">
        <v>8.06</v>
      </c>
      <c r="E16529" t="s">
        <v>26</v>
      </c>
    </row>
    <row r="16530" spans="1:5" x14ac:dyDescent="0.25">
      <c r="A16530" t="str">
        <f>HYPERLINK("https://www.773grp.com/globalSearch/UCC3918DP/page-1", "UCC3918DP")</f>
        <v>UCC3918DP</v>
      </c>
      <c r="B16530" s="3" t="s">
        <v>112</v>
      </c>
      <c r="C16530" s="5">
        <v>45</v>
      </c>
      <c r="D16530" s="6">
        <v>8.2799999999999994</v>
      </c>
      <c r="E16530" t="s">
        <v>26</v>
      </c>
    </row>
    <row r="16531" spans="1:5" x14ac:dyDescent="0.25">
      <c r="A16531" t="str">
        <f>HYPERLINK("https://www.773grp.com/globalSearch/UCC3918DP/page-1", "UCC3918DP")</f>
        <v>UCC3918DP</v>
      </c>
      <c r="B16531" s="3" t="s">
        <v>112</v>
      </c>
      <c r="C16531" s="5">
        <v>4668</v>
      </c>
      <c r="D16531" s="6">
        <v>8.2799999999999994</v>
      </c>
      <c r="E16531" t="s">
        <v>26</v>
      </c>
    </row>
    <row r="16532" spans="1:5" x14ac:dyDescent="0.25">
      <c r="A16532" t="str">
        <f>HYPERLINK("https://www.773grp.com/globalSearch/UC2543DWTR/page-1", "UC2543DWTR")</f>
        <v>UC2543DWTR</v>
      </c>
      <c r="B16532" s="3" t="s">
        <v>112</v>
      </c>
      <c r="C16532" s="5">
        <v>10000</v>
      </c>
      <c r="D16532" s="6">
        <v>8.3000000000000007</v>
      </c>
      <c r="E16532" t="s">
        <v>26</v>
      </c>
    </row>
    <row r="16533" spans="1:5" x14ac:dyDescent="0.25">
      <c r="A16533" t="str">
        <f>HYPERLINK("https://www.773grp.com/globalSearch/UC2907DW/page-1", "UC2907DW")</f>
        <v>UC2907DW</v>
      </c>
      <c r="B16533" s="3" t="s">
        <v>112</v>
      </c>
      <c r="C16533" s="5">
        <v>52</v>
      </c>
      <c r="D16533" s="6">
        <v>8.58</v>
      </c>
      <c r="E16533" t="s">
        <v>26</v>
      </c>
    </row>
    <row r="16534" spans="1:5" x14ac:dyDescent="0.25">
      <c r="A16534" t="str">
        <f>HYPERLINK("https://www.773grp.com/globalSearch/UCC3915PWP/page-1", "UCC3915PWP")</f>
        <v>UCC3915PWP</v>
      </c>
      <c r="B16534" s="3" t="s">
        <v>112</v>
      </c>
      <c r="C16534" s="5">
        <v>560</v>
      </c>
      <c r="D16534" s="6">
        <v>8.98</v>
      </c>
      <c r="E16534" t="s">
        <v>26</v>
      </c>
    </row>
    <row r="16535" spans="1:5" x14ac:dyDescent="0.25">
      <c r="A16535" t="str">
        <f>HYPERLINK("https://www.773grp.com/globalSearch/UC2544N/page-1", "UC2544N")</f>
        <v>UC2544N</v>
      </c>
      <c r="B16535" s="3" t="s">
        <v>112</v>
      </c>
      <c r="C16535" s="5">
        <v>321</v>
      </c>
      <c r="D16535" s="6">
        <v>9.75</v>
      </c>
      <c r="E16535" t="s">
        <v>26</v>
      </c>
    </row>
    <row r="16536" spans="1:5" x14ac:dyDescent="0.25">
      <c r="A16536" t="str">
        <f>HYPERLINK("https://www.773grp.com/globalSearch/TPS2346PW/page-1", "TPS2346PW")</f>
        <v>TPS2346PW</v>
      </c>
      <c r="B16536" s="3" t="s">
        <v>112</v>
      </c>
      <c r="C16536" s="5">
        <v>143</v>
      </c>
      <c r="D16536" s="6">
        <v>10.41</v>
      </c>
      <c r="E16536" t="s">
        <v>26</v>
      </c>
    </row>
    <row r="16537" spans="1:5" x14ac:dyDescent="0.25">
      <c r="A16537" t="str">
        <f>HYPERLINK("https://www.773grp.com/globalSearch/UCC2918DP/page-1", "UCC2918DP")</f>
        <v>UCC2918DP</v>
      </c>
      <c r="B16537" s="3" t="s">
        <v>112</v>
      </c>
      <c r="C16537" s="5">
        <v>2094</v>
      </c>
      <c r="D16537" s="6">
        <v>10.84</v>
      </c>
      <c r="E16537" t="s">
        <v>26</v>
      </c>
    </row>
    <row r="16538" spans="1:5" x14ac:dyDescent="0.25">
      <c r="A16538" t="str">
        <f>HYPERLINK("https://www.773grp.com/globalSearch/UC3544J/page-1", "UC3544J")</f>
        <v>UC3544J</v>
      </c>
      <c r="B16538" s="3" t="s">
        <v>112</v>
      </c>
      <c r="C16538" s="5">
        <v>895</v>
      </c>
      <c r="D16538" s="6">
        <v>11.34</v>
      </c>
      <c r="E16538" t="s">
        <v>26</v>
      </c>
    </row>
    <row r="16539" spans="1:5" x14ac:dyDescent="0.25">
      <c r="A16539" t="str">
        <f>HYPERLINK("https://www.773grp.com/globalSearch/UCC2915DPTR/page-1", "UCC2915DPTR")</f>
        <v>UCC2915DPTR</v>
      </c>
      <c r="B16539" s="3" t="s">
        <v>112</v>
      </c>
      <c r="C16539" s="5">
        <v>15000</v>
      </c>
      <c r="D16539" s="6">
        <v>11.68</v>
      </c>
      <c r="E16539" t="s">
        <v>26</v>
      </c>
    </row>
    <row r="16540" spans="1:5" x14ac:dyDescent="0.25">
      <c r="A16540" t="str">
        <f>HYPERLINK("https://www.773grp.com/globalSearch/UC3914N/page-1", "UC3914N")</f>
        <v>UC3914N</v>
      </c>
      <c r="B16540" s="3" t="s">
        <v>112</v>
      </c>
      <c r="C16540" s="5">
        <v>1320</v>
      </c>
      <c r="D16540" s="6">
        <v>12.71</v>
      </c>
      <c r="E16540" t="s">
        <v>26</v>
      </c>
    </row>
    <row r="16541" spans="1:5" x14ac:dyDescent="0.25">
      <c r="A16541" t="str">
        <f>HYPERLINK("https://www.773grp.com/globalSearch/UC3914N/page-1", "UC3914N")</f>
        <v>UC3914N</v>
      </c>
      <c r="B16541" s="3" t="s">
        <v>112</v>
      </c>
      <c r="C16541" s="5">
        <v>980</v>
      </c>
      <c r="D16541" s="6">
        <v>12.71</v>
      </c>
      <c r="E16541" t="s">
        <v>26</v>
      </c>
    </row>
    <row r="16542" spans="1:5" x14ac:dyDescent="0.25">
      <c r="A16542" t="str">
        <f>HYPERLINK("https://www.773grp.com/globalSearch/UCC2915DP/page-1", "UCC2915DP")</f>
        <v>UCC2915DP</v>
      </c>
      <c r="B16542" s="3" t="s">
        <v>112</v>
      </c>
      <c r="C16542" s="5">
        <v>1120</v>
      </c>
      <c r="D16542" s="6">
        <v>14.6</v>
      </c>
      <c r="E16542" t="s">
        <v>26</v>
      </c>
    </row>
    <row r="16543" spans="1:5" x14ac:dyDescent="0.25">
      <c r="A16543" t="str">
        <f>HYPERLINK("https://www.773grp.com/globalSearch/UC2838AQTR/page-1", "UC2838AQTR")</f>
        <v>UC2838AQTR</v>
      </c>
      <c r="B16543" s="3" t="s">
        <v>112</v>
      </c>
      <c r="C16543" s="5">
        <v>5000</v>
      </c>
      <c r="D16543" s="6">
        <v>14.89</v>
      </c>
      <c r="E16543" t="s">
        <v>26</v>
      </c>
    </row>
    <row r="16544" spans="1:5" x14ac:dyDescent="0.25">
      <c r="A16544" t="str">
        <f>HYPERLINK("https://www.773grp.com/globalSearch/UC3834J/page-1", "UC3834J")</f>
        <v>UC3834J</v>
      </c>
      <c r="B16544" s="3" t="s">
        <v>112</v>
      </c>
      <c r="C16544" s="5">
        <v>1424</v>
      </c>
      <c r="D16544" s="6">
        <v>14.9</v>
      </c>
      <c r="E16544" t="s">
        <v>26</v>
      </c>
    </row>
    <row r="16545" spans="1:5" x14ac:dyDescent="0.25">
      <c r="A16545" t="str">
        <f>HYPERLINK("https://www.773grp.com/globalSearch/UC2914N/page-1", "UC2914N")</f>
        <v>UC2914N</v>
      </c>
      <c r="B16545" s="3" t="s">
        <v>112</v>
      </c>
      <c r="C16545" s="5">
        <v>540</v>
      </c>
      <c r="D16545" s="6">
        <v>15.14</v>
      </c>
      <c r="E16545" t="s">
        <v>26</v>
      </c>
    </row>
    <row r="16546" spans="1:5" x14ac:dyDescent="0.25">
      <c r="A16546" t="str">
        <f>HYPERLINK("https://www.773grp.com/globalSearch/UC2834QTR/page-1", "UC2834QTR")</f>
        <v>UC2834QTR</v>
      </c>
      <c r="B16546" s="3" t="s">
        <v>112</v>
      </c>
      <c r="C16546" s="5">
        <v>5000</v>
      </c>
      <c r="D16546" s="6">
        <v>19.28</v>
      </c>
      <c r="E16546" t="s">
        <v>26</v>
      </c>
    </row>
    <row r="16547" spans="1:5" x14ac:dyDescent="0.25">
      <c r="A16547" t="str">
        <f>HYPERLINK("https://www.773grp.com/globalSearch/UC3834DW/page-1", "UC3834DW")</f>
        <v>UC3834DW</v>
      </c>
      <c r="B16547" s="3" t="s">
        <v>112</v>
      </c>
      <c r="C16547" s="5">
        <v>200</v>
      </c>
      <c r="D16547" s="6">
        <v>20.21</v>
      </c>
      <c r="E16547" t="s">
        <v>26</v>
      </c>
    </row>
    <row r="16548" spans="1:5" x14ac:dyDescent="0.25">
      <c r="A16548" t="str">
        <f>HYPERLINK("https://www.773grp.com/globalSearch/UC3834N/page-1", "UC3834N")</f>
        <v>UC3834N</v>
      </c>
      <c r="B16548" s="3" t="s">
        <v>112</v>
      </c>
      <c r="C16548" s="5">
        <v>19</v>
      </c>
      <c r="D16548" s="6">
        <v>20.21</v>
      </c>
      <c r="E16548" t="s">
        <v>26</v>
      </c>
    </row>
    <row r="16549" spans="1:5" x14ac:dyDescent="0.25">
      <c r="A16549" t="str">
        <f>HYPERLINK("https://www.773grp.com/globalSearch/UC2834Q/page-1", "UC2834Q")</f>
        <v>UC2834Q</v>
      </c>
      <c r="B16549" s="3" t="s">
        <v>112</v>
      </c>
      <c r="C16549" s="5">
        <v>32</v>
      </c>
      <c r="D16549" s="6">
        <v>24.08</v>
      </c>
      <c r="E16549" t="s">
        <v>26</v>
      </c>
    </row>
    <row r="16550" spans="1:5" x14ac:dyDescent="0.25">
      <c r="A16550" t="str">
        <f>HYPERLINK("https://www.773grp.com/globalSearch/UC1544L/page-1", "UC1544L")</f>
        <v>UC1544L</v>
      </c>
      <c r="B16550" s="3" t="s">
        <v>112</v>
      </c>
      <c r="C16550" s="5">
        <v>224</v>
      </c>
      <c r="D16550" s="6">
        <v>36.56</v>
      </c>
      <c r="E16550" t="s">
        <v>26</v>
      </c>
    </row>
    <row r="16551" spans="1:5" x14ac:dyDescent="0.25">
      <c r="A16551" t="str">
        <f>HYPERLINK("https://www.773grp.com/globalSearch/UC2543J/page-1", "UC2543J")</f>
        <v>UC2543J</v>
      </c>
      <c r="B16551" s="3" t="s">
        <v>112</v>
      </c>
      <c r="C16551" s="5">
        <v>294</v>
      </c>
      <c r="D16551" s="6">
        <v>51.93</v>
      </c>
      <c r="E16551" t="s">
        <v>26</v>
      </c>
    </row>
    <row r="16552" spans="1:5" x14ac:dyDescent="0.25">
      <c r="A16552" t="str">
        <f>HYPERLINK("https://www.773grp.com/globalSearch/UC3543J/page-1", "UC3543J")</f>
        <v>UC3543J</v>
      </c>
      <c r="B16552" s="3" t="s">
        <v>112</v>
      </c>
      <c r="C16552" s="5">
        <v>1837</v>
      </c>
      <c r="D16552" s="6">
        <v>53.71</v>
      </c>
      <c r="E16552" t="s">
        <v>26</v>
      </c>
    </row>
    <row r="16553" spans="1:5" x14ac:dyDescent="0.25">
      <c r="A16553" t="str">
        <f>HYPERLINK("https://www.773grp.com/globalSearch/UC1544L883B/page-1", "UC1544L883B")</f>
        <v>UC1544L883B</v>
      </c>
      <c r="B16553" s="3" t="s">
        <v>112</v>
      </c>
      <c r="C16553" s="5">
        <v>193</v>
      </c>
      <c r="D16553" s="6">
        <v>56.56</v>
      </c>
      <c r="E16553" t="s">
        <v>26</v>
      </c>
    </row>
    <row r="16554" spans="1:5" x14ac:dyDescent="0.25">
      <c r="A16554" t="str">
        <f>HYPERLINK("https://www.773grp.com/globalSearch/X5323S8I/page-1", "X5323S8I")</f>
        <v>X5323S8I</v>
      </c>
      <c r="B16554" s="3" t="s">
        <v>114</v>
      </c>
      <c r="C16554" s="5">
        <v>460</v>
      </c>
      <c r="D16554" s="6">
        <v>0</v>
      </c>
      <c r="E16554" t="s">
        <v>26</v>
      </c>
    </row>
    <row r="16555" spans="1:5" x14ac:dyDescent="0.25">
      <c r="A16555" t="str">
        <f>HYPERLINK("https://www.773grp.com/globalSearch/X40010S8-A/page-1", "X40010S8-A")</f>
        <v>X40010S8-A</v>
      </c>
      <c r="B16555" s="3" t="s">
        <v>114</v>
      </c>
      <c r="C16555" s="5">
        <v>1800</v>
      </c>
      <c r="D16555" s="6">
        <v>4.25</v>
      </c>
      <c r="E16555" t="s">
        <v>26</v>
      </c>
    </row>
    <row r="16556" spans="1:5" x14ac:dyDescent="0.25">
      <c r="A16556" t="str">
        <f>HYPERLINK("https://www.773grp.com/globalSearch/X40014S8-A/page-1", "X40014S8-A")</f>
        <v>X40014S8-A</v>
      </c>
      <c r="B16556" s="3" t="s">
        <v>114</v>
      </c>
      <c r="C16556" s="5">
        <v>803</v>
      </c>
      <c r="D16556" s="6">
        <v>4.5</v>
      </c>
      <c r="E16556" t="s">
        <v>26</v>
      </c>
    </row>
    <row r="16557" spans="1:5" x14ac:dyDescent="0.25">
      <c r="A16557" t="str">
        <f>HYPERLINK("https://www.773grp.com/globalSearch/X40010V8-A/page-1", "X40010V8-A")</f>
        <v>X40010V8-A</v>
      </c>
      <c r="B16557" s="3" t="s">
        <v>114</v>
      </c>
      <c r="C16557" s="5">
        <v>439</v>
      </c>
      <c r="D16557" s="6">
        <v>4.5599999999999996</v>
      </c>
      <c r="E16557" t="s">
        <v>26</v>
      </c>
    </row>
    <row r="16558" spans="1:5" x14ac:dyDescent="0.25">
      <c r="A16558" t="str">
        <f>HYPERLINK("https://www.773grp.com/globalSearch/X40011V8-C/page-1", "X40011V8-C")</f>
        <v>X40011V8-C</v>
      </c>
      <c r="B16558" s="3" t="s">
        <v>114</v>
      </c>
      <c r="C16558" s="5">
        <v>394</v>
      </c>
      <c r="D16558" s="6">
        <v>4.5599999999999996</v>
      </c>
      <c r="E16558" t="s">
        <v>26</v>
      </c>
    </row>
    <row r="16559" spans="1:5" x14ac:dyDescent="0.25">
      <c r="A16559" t="str">
        <f>HYPERLINK("https://www.773grp.com/globalSearch/X40014V8-A/page-1", "X40014V8-A")</f>
        <v>X40014V8-A</v>
      </c>
      <c r="B16559" s="3" t="s">
        <v>114</v>
      </c>
      <c r="C16559" s="5">
        <v>542</v>
      </c>
      <c r="D16559" s="6">
        <v>4.84</v>
      </c>
      <c r="E16559" t="s">
        <v>26</v>
      </c>
    </row>
    <row r="16560" spans="1:5" x14ac:dyDescent="0.25">
      <c r="A16560" t="str">
        <f>HYPERLINK("https://www.773grp.com/globalSearch/X40011V8I-A/page-1", "X40011V8I-A")</f>
        <v>X40011V8I-A</v>
      </c>
      <c r="B16560" s="3" t="s">
        <v>114</v>
      </c>
      <c r="C16560" s="5">
        <v>331</v>
      </c>
      <c r="D16560" s="6">
        <v>4.9000000000000004</v>
      </c>
      <c r="E16560" t="s">
        <v>26</v>
      </c>
    </row>
    <row r="16561" spans="1:5" x14ac:dyDescent="0.25">
      <c r="A16561" t="str">
        <f>HYPERLINK("https://www.773grp.com/globalSearch/X40411V8I-A/page-1", "X40411V8I-A")</f>
        <v>X40411V8I-A</v>
      </c>
      <c r="B16561" s="3" t="s">
        <v>114</v>
      </c>
      <c r="C16561" s="5">
        <v>1304</v>
      </c>
      <c r="D16561" s="6">
        <v>5.0999999999999996</v>
      </c>
      <c r="E16561" t="s">
        <v>26</v>
      </c>
    </row>
    <row r="16562" spans="1:5" x14ac:dyDescent="0.25">
      <c r="A16562" t="str">
        <f>HYPERLINK("https://www.773grp.com/globalSearch/X40414S8I-A/page-1", "X40414S8I-A")</f>
        <v>X40414S8I-A</v>
      </c>
      <c r="B16562" s="3" t="s">
        <v>114</v>
      </c>
      <c r="C16562" s="5">
        <v>1908</v>
      </c>
      <c r="D16562" s="6">
        <v>5.0999999999999996</v>
      </c>
      <c r="E16562" t="s">
        <v>26</v>
      </c>
    </row>
    <row r="16563" spans="1:5" x14ac:dyDescent="0.25">
      <c r="A16563" t="str">
        <f>HYPERLINK("https://www.773grp.com/globalSearch/X40021S14I-B/page-1", "X40021S14I-B")</f>
        <v>X40021S14I-B</v>
      </c>
      <c r="B16563" s="3" t="s">
        <v>114</v>
      </c>
      <c r="C16563" s="5">
        <v>579</v>
      </c>
      <c r="D16563" s="6">
        <v>5.31</v>
      </c>
      <c r="E16563" t="s">
        <v>26</v>
      </c>
    </row>
    <row r="16564" spans="1:5" x14ac:dyDescent="0.25">
      <c r="A16564" t="str">
        <f>HYPERLINK("https://www.773grp.com/globalSearch/X40021S14I-C/page-1", "X40021S14I-C")</f>
        <v>X40021S14I-C</v>
      </c>
      <c r="B16564" s="3" t="s">
        <v>114</v>
      </c>
      <c r="C16564" s="5">
        <v>579</v>
      </c>
      <c r="D16564" s="6">
        <v>5.31</v>
      </c>
      <c r="E16564" t="s">
        <v>26</v>
      </c>
    </row>
    <row r="16565" spans="1:5" x14ac:dyDescent="0.25">
      <c r="A16565" t="str">
        <f>HYPERLINK("https://www.773grp.com/globalSearch/X40414V8-A/page-1", "X40414V8-A")</f>
        <v>X40414V8-A</v>
      </c>
      <c r="B16565" s="3" t="s">
        <v>114</v>
      </c>
      <c r="C16565" s="5">
        <v>587</v>
      </c>
      <c r="D16565" s="6">
        <v>5.36</v>
      </c>
      <c r="E16565" t="s">
        <v>26</v>
      </c>
    </row>
    <row r="16566" spans="1:5" x14ac:dyDescent="0.25">
      <c r="A16566" t="str">
        <f>HYPERLINK("https://www.773grp.com/globalSearch/X4165S8-2.7A/page-1", "X4165S8-2.7A")</f>
        <v>X4165S8-2.7A</v>
      </c>
      <c r="B16566" s="3" t="s">
        <v>114</v>
      </c>
      <c r="C16566" s="5">
        <v>1805</v>
      </c>
      <c r="D16566" s="6">
        <v>5.44</v>
      </c>
      <c r="E16566" t="s">
        <v>26</v>
      </c>
    </row>
    <row r="16567" spans="1:5" x14ac:dyDescent="0.25">
      <c r="A16567" t="str">
        <f>HYPERLINK("https://www.773grp.com/globalSearch/X40020S14I-B/page-1", "X40020S14I-B")</f>
        <v>X40020S14I-B</v>
      </c>
      <c r="B16567" s="3" t="s">
        <v>114</v>
      </c>
      <c r="C16567" s="5">
        <v>571</v>
      </c>
      <c r="D16567" s="6">
        <v>5.6</v>
      </c>
      <c r="E16567" t="s">
        <v>26</v>
      </c>
    </row>
    <row r="16568" spans="1:5" x14ac:dyDescent="0.25">
      <c r="A16568" t="str">
        <f>HYPERLINK("https://www.773grp.com/globalSearch/X40020S14I-C/page-1", "X40020S14I-C")</f>
        <v>X40020S14I-C</v>
      </c>
      <c r="B16568" s="3" t="s">
        <v>114</v>
      </c>
      <c r="C16568" s="5">
        <v>571</v>
      </c>
      <c r="D16568" s="6">
        <v>5.6</v>
      </c>
      <c r="E16568" t="s">
        <v>26</v>
      </c>
    </row>
    <row r="16569" spans="1:5" x14ac:dyDescent="0.25">
      <c r="A16569" t="str">
        <f>HYPERLINK("https://www.773grp.com/globalSearch/X40021S14I-A/page-1", "X40021S14I-A")</f>
        <v>X40021S14I-A</v>
      </c>
      <c r="B16569" s="3" t="s">
        <v>114</v>
      </c>
      <c r="C16569" s="5">
        <v>323</v>
      </c>
      <c r="D16569" s="6">
        <v>5.6</v>
      </c>
      <c r="E16569" t="s">
        <v>26</v>
      </c>
    </row>
    <row r="16570" spans="1:5" x14ac:dyDescent="0.25">
      <c r="A16570" t="str">
        <f>HYPERLINK("https://www.773grp.com/globalSearch/X4043S8-2.7/page-1", "X4043S8-2.7")</f>
        <v>X4043S8-2.7</v>
      </c>
      <c r="B16570" s="3" t="s">
        <v>114</v>
      </c>
      <c r="C16570" s="5">
        <v>471</v>
      </c>
      <c r="D16570" s="6">
        <v>5.6</v>
      </c>
      <c r="E16570" t="s">
        <v>26</v>
      </c>
    </row>
    <row r="16571" spans="1:5" x14ac:dyDescent="0.25">
      <c r="A16571" t="str">
        <f>HYPERLINK("https://www.773grp.com/globalSearch/X4043S8-2.7T1/page-1", "X4043S8-2.7T1")</f>
        <v>X4043S8-2.7T1</v>
      </c>
      <c r="B16571" s="3" t="s">
        <v>114</v>
      </c>
      <c r="C16571" s="5">
        <v>2500</v>
      </c>
      <c r="D16571" s="6">
        <v>5.6</v>
      </c>
      <c r="E16571" t="s">
        <v>26</v>
      </c>
    </row>
    <row r="16572" spans="1:5" x14ac:dyDescent="0.25">
      <c r="A16572" t="str">
        <f>HYPERLINK("https://www.773grp.com/globalSearch/X4045S8/page-1", "X4045S8")</f>
        <v>X4045S8</v>
      </c>
      <c r="B16572" s="3" t="s">
        <v>114</v>
      </c>
      <c r="C16572" s="5">
        <v>192</v>
      </c>
      <c r="D16572" s="6">
        <v>5.6</v>
      </c>
      <c r="E16572" t="s">
        <v>26</v>
      </c>
    </row>
    <row r="16573" spans="1:5" x14ac:dyDescent="0.25">
      <c r="A16573" t="str">
        <f>HYPERLINK("https://www.773grp.com/globalSearch/X4045S8-2.7/page-1", "X4045S8-2.7")</f>
        <v>X4045S8-2.7</v>
      </c>
      <c r="B16573" s="3" t="s">
        <v>114</v>
      </c>
      <c r="C16573" s="5">
        <v>199</v>
      </c>
      <c r="D16573" s="6">
        <v>5.6</v>
      </c>
      <c r="E16573" t="s">
        <v>26</v>
      </c>
    </row>
    <row r="16574" spans="1:5" x14ac:dyDescent="0.25">
      <c r="A16574" t="str">
        <f>HYPERLINK("https://www.773grp.com/globalSearch/X5043P-2.7/page-1", "X5043P-2.7")</f>
        <v>X5043P-2.7</v>
      </c>
      <c r="B16574" s="3" t="s">
        <v>114</v>
      </c>
      <c r="C16574" s="5">
        <v>5307</v>
      </c>
      <c r="D16574" s="6">
        <v>5.6</v>
      </c>
      <c r="E16574" t="s">
        <v>26</v>
      </c>
    </row>
    <row r="16575" spans="1:5" x14ac:dyDescent="0.25">
      <c r="A16575" t="str">
        <f>HYPERLINK("https://www.773grp.com/globalSearch/X5043PI-4.5AC1038/page-1", "X5043PI-4.5AC1038")</f>
        <v>X5043PI-4.5AC1038</v>
      </c>
      <c r="B16575" s="3" t="s">
        <v>114</v>
      </c>
      <c r="C16575" s="5">
        <v>4</v>
      </c>
      <c r="D16575" s="6">
        <v>5.6</v>
      </c>
      <c r="E16575" t="s">
        <v>26</v>
      </c>
    </row>
    <row r="16576" spans="1:5" x14ac:dyDescent="0.25">
      <c r="A16576" t="str">
        <f>HYPERLINK("https://www.773grp.com/globalSearch/X5043S8-2.7AT1/page-1", "X5043S8-2.7AT1")</f>
        <v>X5043S8-2.7AT1</v>
      </c>
      <c r="B16576" s="3" t="s">
        <v>114</v>
      </c>
      <c r="C16576" s="5">
        <v>2500</v>
      </c>
      <c r="D16576" s="6">
        <v>5.6</v>
      </c>
      <c r="E16576" t="s">
        <v>26</v>
      </c>
    </row>
    <row r="16577" spans="1:5" x14ac:dyDescent="0.25">
      <c r="A16577" t="str">
        <f>HYPERLINK("https://www.773grp.com/globalSearch/X5083S8/page-1", "X5083S8")</f>
        <v>X5083S8</v>
      </c>
      <c r="B16577" s="3" t="s">
        <v>114</v>
      </c>
      <c r="C16577" s="5">
        <v>200</v>
      </c>
      <c r="D16577" s="6">
        <v>5.83</v>
      </c>
      <c r="E16577" t="s">
        <v>26</v>
      </c>
    </row>
    <row r="16578" spans="1:5" x14ac:dyDescent="0.25">
      <c r="A16578" t="str">
        <f>HYPERLINK("https://www.773grp.com/globalSearch/X40415S8I-C/page-1", "X40415S8I-C")</f>
        <v>X40415S8I-C</v>
      </c>
      <c r="B16578" s="3" t="s">
        <v>114</v>
      </c>
      <c r="C16578" s="5">
        <v>859</v>
      </c>
      <c r="D16578" s="6">
        <v>5.88</v>
      </c>
      <c r="E16578" t="s">
        <v>26</v>
      </c>
    </row>
    <row r="16579" spans="1:5" x14ac:dyDescent="0.25">
      <c r="A16579" t="str">
        <f>HYPERLINK("https://www.773grp.com/globalSearch/X40420S14-A/page-1", "X40420S14-A")</f>
        <v>X40420S14-A</v>
      </c>
      <c r="B16579" s="3" t="s">
        <v>114</v>
      </c>
      <c r="C16579" s="5">
        <v>180</v>
      </c>
      <c r="D16579" s="6">
        <v>5.88</v>
      </c>
      <c r="E16579" t="s">
        <v>26</v>
      </c>
    </row>
    <row r="16580" spans="1:5" x14ac:dyDescent="0.25">
      <c r="A16580" t="str">
        <f>HYPERLINK("https://www.773grp.com/globalSearch/X40420S14-B/page-1", "X40420S14-B")</f>
        <v>X40420S14-B</v>
      </c>
      <c r="B16580" s="3" t="s">
        <v>114</v>
      </c>
      <c r="C16580" s="5">
        <v>770</v>
      </c>
      <c r="D16580" s="6">
        <v>5.88</v>
      </c>
      <c r="E16580" t="s">
        <v>26</v>
      </c>
    </row>
    <row r="16581" spans="1:5" x14ac:dyDescent="0.25">
      <c r="A16581" t="str">
        <f>HYPERLINK("https://www.773grp.com/globalSearch/X40420S14-C/page-1", "X40420S14-C")</f>
        <v>X40420S14-C</v>
      </c>
      <c r="B16581" s="3" t="s">
        <v>114</v>
      </c>
      <c r="C16581" s="5">
        <v>1733</v>
      </c>
      <c r="D16581" s="6">
        <v>5.88</v>
      </c>
      <c r="E16581" t="s">
        <v>26</v>
      </c>
    </row>
    <row r="16582" spans="1:5" x14ac:dyDescent="0.25">
      <c r="A16582" t="str">
        <f>HYPERLINK("https://www.773grp.com/globalSearch/X40421S14-A/page-1", "X40421S14-A")</f>
        <v>X40421S14-A</v>
      </c>
      <c r="B16582" s="3" t="s">
        <v>114</v>
      </c>
      <c r="C16582" s="5">
        <v>1880</v>
      </c>
      <c r="D16582" s="6">
        <v>5.88</v>
      </c>
      <c r="E16582" t="s">
        <v>26</v>
      </c>
    </row>
    <row r="16583" spans="1:5" x14ac:dyDescent="0.25">
      <c r="A16583" t="str">
        <f>HYPERLINK("https://www.773grp.com/globalSearch/X40421S14-B/page-1", "X40421S14-B")</f>
        <v>X40421S14-B</v>
      </c>
      <c r="B16583" s="3" t="s">
        <v>114</v>
      </c>
      <c r="C16583" s="5">
        <v>773</v>
      </c>
      <c r="D16583" s="6">
        <v>5.88</v>
      </c>
      <c r="E16583" t="s">
        <v>26</v>
      </c>
    </row>
    <row r="16584" spans="1:5" x14ac:dyDescent="0.25">
      <c r="A16584" t="str">
        <f>HYPERLINK("https://www.773grp.com/globalSearch/X40626S14-4.5A/page-1", "X40626S14-4.5A")</f>
        <v>X40626S14-4.5A</v>
      </c>
      <c r="B16584" s="3" t="s">
        <v>114</v>
      </c>
      <c r="C16584" s="5">
        <v>1242</v>
      </c>
      <c r="D16584" s="6">
        <v>5.88</v>
      </c>
      <c r="E16584" t="s">
        <v>26</v>
      </c>
    </row>
    <row r="16585" spans="1:5" x14ac:dyDescent="0.25">
      <c r="A16585" t="str">
        <f>HYPERLINK("https://www.773grp.com/globalSearch/X5083S8I/page-1", "X5083S8I")</f>
        <v>X5083S8I</v>
      </c>
      <c r="B16585" s="3" t="s">
        <v>114</v>
      </c>
      <c r="C16585" s="5">
        <v>772</v>
      </c>
      <c r="D16585" s="6">
        <v>6.03</v>
      </c>
      <c r="E16585" t="s">
        <v>26</v>
      </c>
    </row>
    <row r="16586" spans="1:5" x14ac:dyDescent="0.25">
      <c r="A16586" t="str">
        <f>HYPERLINK("https://www.773grp.com/globalSearch/X5163P/page-1", "X5163P")</f>
        <v>X5163P</v>
      </c>
      <c r="B16586" s="3" t="s">
        <v>114</v>
      </c>
      <c r="C16586" s="5">
        <v>1270</v>
      </c>
      <c r="D16586" s="6">
        <v>6.04</v>
      </c>
      <c r="E16586" t="s">
        <v>26</v>
      </c>
    </row>
    <row r="16587" spans="1:5" x14ac:dyDescent="0.25">
      <c r="A16587" t="str">
        <f>HYPERLINK("https://www.773grp.com/globalSearch/X5165P/page-1", "X5165P")</f>
        <v>X5165P</v>
      </c>
      <c r="B16587" s="3" t="s">
        <v>114</v>
      </c>
      <c r="C16587" s="5">
        <v>50</v>
      </c>
      <c r="D16587" s="6">
        <v>6.04</v>
      </c>
      <c r="E16587" t="s">
        <v>26</v>
      </c>
    </row>
    <row r="16588" spans="1:5" x14ac:dyDescent="0.25">
      <c r="A16588" t="str">
        <f>HYPERLINK("https://www.773grp.com/globalSearch/X5165S8-2.7A/page-1", "X5165S8-2.7A")</f>
        <v>X5165S8-2.7A</v>
      </c>
      <c r="B16588" s="3" t="s">
        <v>114</v>
      </c>
      <c r="C16588" s="5">
        <v>6451</v>
      </c>
      <c r="D16588" s="6">
        <v>6.04</v>
      </c>
      <c r="E16588" t="s">
        <v>26</v>
      </c>
    </row>
    <row r="16589" spans="1:5" x14ac:dyDescent="0.25">
      <c r="A16589" t="str">
        <f>HYPERLINK("https://www.773grp.com/globalSearch/X5168S8-2.7A/page-1", "X5168S8-2.7A")</f>
        <v>X5168S8-2.7A</v>
      </c>
      <c r="B16589" s="3" t="s">
        <v>114</v>
      </c>
      <c r="C16589" s="5">
        <v>15811</v>
      </c>
      <c r="D16589" s="6">
        <v>6.04</v>
      </c>
      <c r="E16589" t="s">
        <v>26</v>
      </c>
    </row>
    <row r="16590" spans="1:5" x14ac:dyDescent="0.25">
      <c r="A16590" t="str">
        <f>HYPERLINK("https://www.773grp.com/globalSearch/X40420S14I-B/page-1", "X40420S14I-B")</f>
        <v>X40420S14I-B</v>
      </c>
      <c r="B16590" s="3" t="s">
        <v>114</v>
      </c>
      <c r="C16590" s="5">
        <v>413</v>
      </c>
      <c r="D16590" s="6">
        <v>6.19</v>
      </c>
      <c r="E16590" t="s">
        <v>26</v>
      </c>
    </row>
    <row r="16591" spans="1:5" x14ac:dyDescent="0.25">
      <c r="A16591" t="str">
        <f>HYPERLINK("https://www.773grp.com/globalSearch/X40420V14-A/page-1", "X40420V14-A")</f>
        <v>X40420V14-A</v>
      </c>
      <c r="B16591" s="3" t="s">
        <v>114</v>
      </c>
      <c r="C16591" s="5">
        <v>2129</v>
      </c>
      <c r="D16591" s="6">
        <v>6.19</v>
      </c>
      <c r="E16591" t="s">
        <v>26</v>
      </c>
    </row>
    <row r="16592" spans="1:5" x14ac:dyDescent="0.25">
      <c r="A16592" t="str">
        <f>HYPERLINK("https://www.773grp.com/globalSearch/X40626S14I/page-1", "X40626S14I")</f>
        <v>X40626S14I</v>
      </c>
      <c r="B16592" s="3" t="s">
        <v>114</v>
      </c>
      <c r="C16592" s="5">
        <v>758</v>
      </c>
      <c r="D16592" s="6">
        <v>6.19</v>
      </c>
      <c r="E16592" t="s">
        <v>26</v>
      </c>
    </row>
    <row r="16593" spans="1:5" x14ac:dyDescent="0.25">
      <c r="A16593" t="str">
        <f>HYPERLINK("https://www.773grp.com/globalSearch/X40626S14I-4.5A/page-1", "X40626S14I-4.5A")</f>
        <v>X40626S14I-4.5A</v>
      </c>
      <c r="B16593" s="3" t="s">
        <v>114</v>
      </c>
      <c r="C16593" s="5">
        <v>1480</v>
      </c>
      <c r="D16593" s="6">
        <v>6.19</v>
      </c>
      <c r="E16593" t="s">
        <v>26</v>
      </c>
    </row>
    <row r="16594" spans="1:5" x14ac:dyDescent="0.25">
      <c r="A16594" t="str">
        <f>HYPERLINK("https://www.773grp.com/globalSearch/X40415V8I-C/page-1", "X40415V8I-C")</f>
        <v>X40415V8I-C</v>
      </c>
      <c r="B16594" s="3" t="s">
        <v>114</v>
      </c>
      <c r="C16594" s="5">
        <v>1129</v>
      </c>
      <c r="D16594" s="6">
        <v>6.21</v>
      </c>
      <c r="E16594" t="s">
        <v>26</v>
      </c>
    </row>
    <row r="16595" spans="1:5" x14ac:dyDescent="0.25">
      <c r="A16595" t="str">
        <f>HYPERLINK("https://www.773grp.com/globalSearch/X4163V8/page-1", "X4163V8")</f>
        <v>X4163V8</v>
      </c>
      <c r="B16595" s="3" t="s">
        <v>114</v>
      </c>
      <c r="C16595" s="5">
        <v>1081</v>
      </c>
      <c r="D16595" s="6">
        <v>6.21</v>
      </c>
      <c r="E16595" t="s">
        <v>26</v>
      </c>
    </row>
    <row r="16596" spans="1:5" x14ac:dyDescent="0.25">
      <c r="A16596" t="str">
        <f>HYPERLINK("https://www.773grp.com/globalSearch/X4163V8-2.7/page-1", "X4163V8-2.7")</f>
        <v>X4163V8-2.7</v>
      </c>
      <c r="B16596" s="3" t="s">
        <v>114</v>
      </c>
      <c r="C16596" s="5">
        <v>1060</v>
      </c>
      <c r="D16596" s="6">
        <v>6.21</v>
      </c>
      <c r="E16596" t="s">
        <v>26</v>
      </c>
    </row>
    <row r="16597" spans="1:5" x14ac:dyDescent="0.25">
      <c r="A16597" t="str">
        <f>HYPERLINK("https://www.773grp.com/globalSearch/X4163V8-2.7A/page-1", "X4163V8-2.7A")</f>
        <v>X4163V8-2.7A</v>
      </c>
      <c r="B16597" s="3" t="s">
        <v>114</v>
      </c>
      <c r="C16597" s="5">
        <v>380</v>
      </c>
      <c r="D16597" s="6">
        <v>6.21</v>
      </c>
      <c r="E16597" t="s">
        <v>26</v>
      </c>
    </row>
    <row r="16598" spans="1:5" x14ac:dyDescent="0.25">
      <c r="A16598" t="str">
        <f>HYPERLINK("https://www.773grp.com/globalSearch/X5328P/page-1", "X5328P")</f>
        <v>X5328P</v>
      </c>
      <c r="B16598" s="3" t="s">
        <v>114</v>
      </c>
      <c r="C16598" s="5">
        <v>2027</v>
      </c>
      <c r="D16598" s="6">
        <v>6.21</v>
      </c>
      <c r="E16598" t="s">
        <v>26</v>
      </c>
    </row>
    <row r="16599" spans="1:5" x14ac:dyDescent="0.25">
      <c r="A16599" t="str">
        <f>HYPERLINK("https://www.773grp.com/globalSearch/X5328S8-2.7/page-1", "X5328S8-2.7")</f>
        <v>X5328S8-2.7</v>
      </c>
      <c r="B16599" s="3" t="s">
        <v>114</v>
      </c>
      <c r="C16599" s="5">
        <v>407</v>
      </c>
      <c r="D16599" s="6">
        <v>6.21</v>
      </c>
      <c r="E16599" t="s">
        <v>26</v>
      </c>
    </row>
    <row r="16600" spans="1:5" x14ac:dyDescent="0.25">
      <c r="A16600" t="str">
        <f>HYPERLINK("https://www.773grp.com/globalSearch/X4323S8/page-1", "X4323S8")</f>
        <v>X4323S8</v>
      </c>
      <c r="B16600" s="3" t="s">
        <v>114</v>
      </c>
      <c r="C16600" s="5">
        <v>1571</v>
      </c>
      <c r="D16600" s="6">
        <v>6.25</v>
      </c>
      <c r="E16600" t="s">
        <v>26</v>
      </c>
    </row>
    <row r="16601" spans="1:5" x14ac:dyDescent="0.25">
      <c r="A16601" t="str">
        <f>HYPERLINK("https://www.773grp.com/globalSearch/X4323S8-2.7/page-1", "X4323S8-2.7")</f>
        <v>X4323S8-2.7</v>
      </c>
      <c r="B16601" s="3" t="s">
        <v>114</v>
      </c>
      <c r="C16601" s="5">
        <v>1040</v>
      </c>
      <c r="D16601" s="6">
        <v>6.25</v>
      </c>
      <c r="E16601" t="s">
        <v>26</v>
      </c>
    </row>
    <row r="16602" spans="1:5" x14ac:dyDescent="0.25">
      <c r="A16602" t="str">
        <f>HYPERLINK("https://www.773grp.com/globalSearch/X4325S8/page-1", "X4325S8")</f>
        <v>X4325S8</v>
      </c>
      <c r="B16602" s="3" t="s">
        <v>114</v>
      </c>
      <c r="C16602" s="5">
        <v>1803</v>
      </c>
      <c r="D16602" s="6">
        <v>6.25</v>
      </c>
      <c r="E16602" t="s">
        <v>26</v>
      </c>
    </row>
    <row r="16603" spans="1:5" x14ac:dyDescent="0.25">
      <c r="A16603" t="str">
        <f>HYPERLINK("https://www.773grp.com/globalSearch/X4325S8-2.7/page-1", "X4325S8-2.7")</f>
        <v>X4325S8-2.7</v>
      </c>
      <c r="B16603" s="3" t="s">
        <v>114</v>
      </c>
      <c r="C16603" s="5">
        <v>1680</v>
      </c>
      <c r="D16603" s="6">
        <v>6.25</v>
      </c>
      <c r="E16603" t="s">
        <v>26</v>
      </c>
    </row>
    <row r="16604" spans="1:5" x14ac:dyDescent="0.25">
      <c r="A16604" t="str">
        <f>HYPERLINK("https://www.773grp.com/globalSearch/X4325S8-4.5A/page-1", "X4325S8-4.5A")</f>
        <v>X4325S8-4.5A</v>
      </c>
      <c r="B16604" s="3" t="s">
        <v>114</v>
      </c>
      <c r="C16604" s="5">
        <v>3136</v>
      </c>
      <c r="D16604" s="6">
        <v>6.25</v>
      </c>
      <c r="E16604" t="s">
        <v>26</v>
      </c>
    </row>
    <row r="16605" spans="1:5" x14ac:dyDescent="0.25">
      <c r="A16605" t="str">
        <f>HYPERLINK("https://www.773grp.com/globalSearch/X40030S14-A/page-1", "X40030S14-A")</f>
        <v>X40030S14-A</v>
      </c>
      <c r="B16605" s="3" t="s">
        <v>114</v>
      </c>
      <c r="C16605" s="5">
        <v>3738</v>
      </c>
      <c r="D16605" s="6">
        <v>6.33</v>
      </c>
      <c r="E16605" t="s">
        <v>26</v>
      </c>
    </row>
    <row r="16606" spans="1:5" x14ac:dyDescent="0.25">
      <c r="A16606" t="str">
        <f>HYPERLINK("https://www.773grp.com/globalSearch/X5325S8-2.7/page-1", "X5325S8-2.7")</f>
        <v>X5325S8-2.7</v>
      </c>
      <c r="B16606" s="3" t="s">
        <v>114</v>
      </c>
      <c r="C16606" s="5">
        <v>2117</v>
      </c>
      <c r="D16606" s="6">
        <v>6.53</v>
      </c>
      <c r="E16606" t="s">
        <v>26</v>
      </c>
    </row>
    <row r="16607" spans="1:5" x14ac:dyDescent="0.25">
      <c r="A16607" t="str">
        <f>HYPERLINK("https://www.773grp.com/globalSearch/X40035S14-A/page-1", "X40035S14-A")</f>
        <v>X40035S14-A</v>
      </c>
      <c r="B16607" s="3" t="s">
        <v>114</v>
      </c>
      <c r="C16607" s="5">
        <v>150</v>
      </c>
      <c r="D16607" s="6">
        <v>6.59</v>
      </c>
      <c r="E16607" t="s">
        <v>26</v>
      </c>
    </row>
    <row r="16608" spans="1:5" x14ac:dyDescent="0.25">
      <c r="A16608" t="str">
        <f>HYPERLINK("https://www.773grp.com/globalSearch/X4323S8I-4.5A/page-1", "X4323S8I-4.5A")</f>
        <v>X4323S8I-4.5A</v>
      </c>
      <c r="B16608" s="3" t="s">
        <v>114</v>
      </c>
      <c r="C16608" s="5">
        <v>1488</v>
      </c>
      <c r="D16608" s="6">
        <v>6.79</v>
      </c>
      <c r="E16608" t="s">
        <v>26</v>
      </c>
    </row>
    <row r="16609" spans="1:5" x14ac:dyDescent="0.25">
      <c r="A16609" t="str">
        <f>HYPERLINK("https://www.773grp.com/globalSearch/X4325S8I-2.7/page-1", "X4325S8I-2.7")</f>
        <v>X4325S8I-2.7</v>
      </c>
      <c r="B16609" s="3" t="s">
        <v>114</v>
      </c>
      <c r="C16609" s="5">
        <v>1511</v>
      </c>
      <c r="D16609" s="6">
        <v>6.79</v>
      </c>
      <c r="E16609" t="s">
        <v>26</v>
      </c>
    </row>
    <row r="16610" spans="1:5" x14ac:dyDescent="0.25">
      <c r="A16610" t="str">
        <f>HYPERLINK("https://www.773grp.com/globalSearch/X40035V14-C/page-1", "X40035V14-C")</f>
        <v>X40035V14-C</v>
      </c>
      <c r="B16610" s="3" t="s">
        <v>114</v>
      </c>
      <c r="C16610" s="5">
        <v>1938</v>
      </c>
      <c r="D16610" s="6">
        <v>6.86</v>
      </c>
      <c r="E16610" t="s">
        <v>26</v>
      </c>
    </row>
    <row r="16611" spans="1:5" x14ac:dyDescent="0.25">
      <c r="A16611" t="str">
        <f>HYPERLINK("https://www.773grp.com/globalSearch/X40035V14-CT1/page-1", "X40035V14-CT1")</f>
        <v>X40035V14-CT1</v>
      </c>
      <c r="B16611" s="3" t="s">
        <v>114</v>
      </c>
      <c r="C16611" s="5">
        <v>5000</v>
      </c>
      <c r="D16611" s="6">
        <v>6.86</v>
      </c>
      <c r="E16611" t="s">
        <v>26</v>
      </c>
    </row>
    <row r="16612" spans="1:5" x14ac:dyDescent="0.25">
      <c r="A16612" t="str">
        <f>HYPERLINK("https://www.773grp.com/globalSearch/X4283V8I-2.7A/page-1", "X4283V8I-2.7A")</f>
        <v>X4283V8I-2.7A</v>
      </c>
      <c r="B16612" s="3" t="s">
        <v>114</v>
      </c>
      <c r="C16612" s="5">
        <v>1485</v>
      </c>
      <c r="D16612" s="6">
        <v>6.86</v>
      </c>
      <c r="E16612" t="s">
        <v>26</v>
      </c>
    </row>
    <row r="16613" spans="1:5" x14ac:dyDescent="0.25">
      <c r="A16613" t="str">
        <f>HYPERLINK("https://www.773grp.com/globalSearch/X4043M8/page-1", "X4043M8")</f>
        <v>X4043M8</v>
      </c>
      <c r="B16613" s="3" t="s">
        <v>114</v>
      </c>
      <c r="C16613" s="5">
        <v>206</v>
      </c>
      <c r="D16613" s="6">
        <v>6.93</v>
      </c>
      <c r="E16613" t="s">
        <v>26</v>
      </c>
    </row>
    <row r="16614" spans="1:5" x14ac:dyDescent="0.25">
      <c r="A16614" t="str">
        <f>HYPERLINK("https://www.773grp.com/globalSearch/X4043M8-2.7/page-1", "X4043M8-2.7")</f>
        <v>X4043M8-2.7</v>
      </c>
      <c r="B16614" s="3" t="s">
        <v>114</v>
      </c>
      <c r="C16614" s="5">
        <v>397</v>
      </c>
      <c r="D16614" s="6">
        <v>6.93</v>
      </c>
      <c r="E16614" t="s">
        <v>26</v>
      </c>
    </row>
    <row r="16615" spans="1:5" x14ac:dyDescent="0.25">
      <c r="A16615" t="str">
        <f>HYPERLINK("https://www.773grp.com/globalSearch/X4043M8-4.5A/page-1", "X4043M8-4.5A")</f>
        <v>X4043M8-4.5A</v>
      </c>
      <c r="B16615" s="3" t="s">
        <v>114</v>
      </c>
      <c r="C16615" s="5">
        <v>151</v>
      </c>
      <c r="D16615" s="6">
        <v>6.93</v>
      </c>
      <c r="E16615" t="s">
        <v>26</v>
      </c>
    </row>
    <row r="16616" spans="1:5" x14ac:dyDescent="0.25">
      <c r="A16616" t="str">
        <f>HYPERLINK("https://www.773grp.com/globalSearch/X4045M8/page-1", "X4045M8")</f>
        <v>X4045M8</v>
      </c>
      <c r="B16616" s="3" t="s">
        <v>114</v>
      </c>
      <c r="C16616" s="5">
        <v>233</v>
      </c>
      <c r="D16616" s="6">
        <v>6.93</v>
      </c>
      <c r="E16616" t="s">
        <v>26</v>
      </c>
    </row>
    <row r="16617" spans="1:5" x14ac:dyDescent="0.25">
      <c r="A16617" t="str">
        <f>HYPERLINK("https://www.773grp.com/globalSearch/X4045M8-2.7/page-1", "X4045M8-2.7")</f>
        <v>X4045M8-2.7</v>
      </c>
      <c r="B16617" s="3" t="s">
        <v>114</v>
      </c>
      <c r="C16617" s="5">
        <v>80</v>
      </c>
      <c r="D16617" s="6">
        <v>6.93</v>
      </c>
      <c r="E16617" t="s">
        <v>26</v>
      </c>
    </row>
    <row r="16618" spans="1:5" x14ac:dyDescent="0.25">
      <c r="A16618" t="str">
        <f>HYPERLINK("https://www.773grp.com/globalSearch/X4045M8-2.7A/page-1", "X4045M8-2.7A")</f>
        <v>X4045M8-2.7A</v>
      </c>
      <c r="B16618" s="3" t="s">
        <v>114</v>
      </c>
      <c r="C16618" s="5">
        <v>210</v>
      </c>
      <c r="D16618" s="6">
        <v>6.93</v>
      </c>
      <c r="E16618" t="s">
        <v>26</v>
      </c>
    </row>
    <row r="16619" spans="1:5" x14ac:dyDescent="0.25">
      <c r="A16619" t="str">
        <f>HYPERLINK("https://www.773grp.com/globalSearch/X4045M8-4.5A/page-1", "X4045M8-4.5A")</f>
        <v>X4045M8-4.5A</v>
      </c>
      <c r="B16619" s="3" t="s">
        <v>114</v>
      </c>
      <c r="C16619" s="5">
        <v>3307</v>
      </c>
      <c r="D16619" s="6">
        <v>6.93</v>
      </c>
      <c r="E16619" t="s">
        <v>26</v>
      </c>
    </row>
    <row r="16620" spans="1:5" x14ac:dyDescent="0.25">
      <c r="A16620" t="str">
        <f>HYPERLINK("https://www.773grp.com/globalSearch/X5045M8/page-1", "X5045M8")</f>
        <v>X5045M8</v>
      </c>
      <c r="B16620" s="3" t="s">
        <v>114</v>
      </c>
      <c r="C16620" s="5">
        <v>1028</v>
      </c>
      <c r="D16620" s="6">
        <v>6.93</v>
      </c>
      <c r="E16620" t="s">
        <v>26</v>
      </c>
    </row>
    <row r="16621" spans="1:5" x14ac:dyDescent="0.25">
      <c r="A16621" t="str">
        <f>HYPERLINK("https://www.773grp.com/globalSearch/X40421V14I-A/page-1", "X40421V14I-A")</f>
        <v>X40421V14I-A</v>
      </c>
      <c r="B16621" s="3" t="s">
        <v>114</v>
      </c>
      <c r="C16621" s="5">
        <v>191</v>
      </c>
      <c r="D16621" s="6">
        <v>7.13</v>
      </c>
      <c r="E16621" t="s">
        <v>26</v>
      </c>
    </row>
    <row r="16622" spans="1:5" x14ac:dyDescent="0.25">
      <c r="A16622" t="str">
        <f>HYPERLINK("https://www.773grp.com/globalSearch/X40421V14I-B/page-1", "X40421V14I-B")</f>
        <v>X40421V14I-B</v>
      </c>
      <c r="B16622" s="3" t="s">
        <v>114</v>
      </c>
      <c r="C16622" s="5">
        <v>302</v>
      </c>
      <c r="D16622" s="6">
        <v>7.13</v>
      </c>
      <c r="E16622" t="s">
        <v>26</v>
      </c>
    </row>
    <row r="16623" spans="1:5" x14ac:dyDescent="0.25">
      <c r="A16623" t="str">
        <f>HYPERLINK("https://www.773grp.com/globalSearch/X5083V8-2.7A/page-1", "X5083V8-2.7A")</f>
        <v>X5083V8-2.7A</v>
      </c>
      <c r="B16623" s="3" t="s">
        <v>114</v>
      </c>
      <c r="C16623" s="5">
        <v>96</v>
      </c>
      <c r="D16623" s="6">
        <v>7.14</v>
      </c>
      <c r="E16623" t="s">
        <v>26</v>
      </c>
    </row>
    <row r="16624" spans="1:5" x14ac:dyDescent="0.25">
      <c r="A16624" t="str">
        <f>HYPERLINK("https://www.773grp.com/globalSearch/X4043M8I-2.7A/page-1", "X4043M8I-2.7A")</f>
        <v>X4043M8I-2.7A</v>
      </c>
      <c r="B16624" s="3" t="s">
        <v>114</v>
      </c>
      <c r="C16624" s="5">
        <v>4198</v>
      </c>
      <c r="D16624" s="6">
        <v>7.18</v>
      </c>
      <c r="E16624" t="s">
        <v>26</v>
      </c>
    </row>
    <row r="16625" spans="1:5" x14ac:dyDescent="0.25">
      <c r="A16625" t="str">
        <f>HYPERLINK("https://www.773grp.com/globalSearch/X4045PI-2.7/page-1", "X4045PI-2.7")</f>
        <v>X4045PI-2.7</v>
      </c>
      <c r="B16625" s="3" t="s">
        <v>114</v>
      </c>
      <c r="C16625" s="5">
        <v>869</v>
      </c>
      <c r="D16625" s="6">
        <v>7.18</v>
      </c>
      <c r="E16625" t="s">
        <v>26</v>
      </c>
    </row>
    <row r="16626" spans="1:5" x14ac:dyDescent="0.25">
      <c r="A16626" t="str">
        <f>HYPERLINK("https://www.773grp.com/globalSearch/X5043M8I/page-1", "X5043M8I")</f>
        <v>X5043M8I</v>
      </c>
      <c r="B16626" s="3" t="s">
        <v>114</v>
      </c>
      <c r="C16626" s="5">
        <v>1494</v>
      </c>
      <c r="D16626" s="6">
        <v>7.18</v>
      </c>
      <c r="E16626" t="s">
        <v>26</v>
      </c>
    </row>
    <row r="16627" spans="1:5" x14ac:dyDescent="0.25">
      <c r="A16627" t="str">
        <f>HYPERLINK("https://www.773grp.com/globalSearch/X5043M8I-2.7/page-1", "X5043M8I-2.7")</f>
        <v>X5043M8I-2.7</v>
      </c>
      <c r="B16627" s="3" t="s">
        <v>114</v>
      </c>
      <c r="C16627" s="5">
        <v>188</v>
      </c>
      <c r="D16627" s="6">
        <v>7.18</v>
      </c>
      <c r="E16627" t="s">
        <v>26</v>
      </c>
    </row>
    <row r="16628" spans="1:5" x14ac:dyDescent="0.25">
      <c r="A16628" t="str">
        <f>HYPERLINK("https://www.773grp.com/globalSearch/X5045M8I-2.7A/page-1", "X5045M8I-2.7A")</f>
        <v>X5045M8I-2.7A</v>
      </c>
      <c r="B16628" s="3" t="s">
        <v>114</v>
      </c>
      <c r="C16628" s="5">
        <v>45</v>
      </c>
      <c r="D16628" s="6">
        <v>7.18</v>
      </c>
      <c r="E16628" t="s">
        <v>26</v>
      </c>
    </row>
    <row r="16629" spans="1:5" x14ac:dyDescent="0.25">
      <c r="A16629" t="str">
        <f>HYPERLINK("https://www.773grp.com/globalSearch/X45620V20I-2.7/page-1", "X45620V20I-2.7")</f>
        <v>X45620V20I-2.7</v>
      </c>
      <c r="B16629" s="3" t="s">
        <v>114</v>
      </c>
      <c r="C16629" s="5">
        <v>1184</v>
      </c>
      <c r="D16629" s="6">
        <v>7.46</v>
      </c>
      <c r="E16629" t="s">
        <v>26</v>
      </c>
    </row>
    <row r="16630" spans="1:5" x14ac:dyDescent="0.25">
      <c r="A16630" t="str">
        <f>HYPERLINK("https://www.773grp.com/globalSearch/X40430S14-A/page-1", "X40430S14-A")</f>
        <v>X40430S14-A</v>
      </c>
      <c r="B16630" s="3" t="s">
        <v>114</v>
      </c>
      <c r="C16630" s="5">
        <v>1823</v>
      </c>
      <c r="D16630" s="6">
        <v>7.65</v>
      </c>
      <c r="E16630" t="s">
        <v>26</v>
      </c>
    </row>
    <row r="16631" spans="1:5" x14ac:dyDescent="0.25">
      <c r="A16631" t="str">
        <f>HYPERLINK("https://www.773grp.com/globalSearch/X40431S14-A/page-1", "X40431S14-A")</f>
        <v>X40431S14-A</v>
      </c>
      <c r="B16631" s="3" t="s">
        <v>114</v>
      </c>
      <c r="C16631" s="5">
        <v>1621</v>
      </c>
      <c r="D16631" s="6">
        <v>7.65</v>
      </c>
      <c r="E16631" t="s">
        <v>26</v>
      </c>
    </row>
    <row r="16632" spans="1:5" x14ac:dyDescent="0.25">
      <c r="A16632" t="str">
        <f>HYPERLINK("https://www.773grp.com/globalSearch/X40431S14-B/page-1", "X40431S14-B")</f>
        <v>X40431S14-B</v>
      </c>
      <c r="B16632" s="3" t="s">
        <v>114</v>
      </c>
      <c r="C16632" s="5">
        <v>1900</v>
      </c>
      <c r="D16632" s="6">
        <v>7.65</v>
      </c>
      <c r="E16632" t="s">
        <v>26</v>
      </c>
    </row>
    <row r="16633" spans="1:5" x14ac:dyDescent="0.25">
      <c r="A16633" t="str">
        <f>HYPERLINK("https://www.773grp.com/globalSearch/X4285S8/page-1", "X4285S8")</f>
        <v>X4285S8</v>
      </c>
      <c r="B16633" s="3" t="s">
        <v>114</v>
      </c>
      <c r="C16633" s="5">
        <v>4152</v>
      </c>
      <c r="D16633" s="6">
        <v>7.9</v>
      </c>
      <c r="E16633" t="s">
        <v>26</v>
      </c>
    </row>
    <row r="16634" spans="1:5" x14ac:dyDescent="0.25">
      <c r="A16634" t="str">
        <f>HYPERLINK("https://www.773grp.com/globalSearch/X4285S8-2.7/page-1", "X4285S8-2.7")</f>
        <v>X4285S8-2.7</v>
      </c>
      <c r="B16634" s="3" t="s">
        <v>114</v>
      </c>
      <c r="C16634" s="5">
        <v>1591</v>
      </c>
      <c r="D16634" s="6">
        <v>7.9</v>
      </c>
      <c r="E16634" t="s">
        <v>26</v>
      </c>
    </row>
    <row r="16635" spans="1:5" x14ac:dyDescent="0.25">
      <c r="A16635" t="str">
        <f>HYPERLINK("https://www.773grp.com/globalSearch/X40435V14I-A/page-1", "X40435V14I-A")</f>
        <v>X40435V14I-A</v>
      </c>
      <c r="B16635" s="3" t="s">
        <v>114</v>
      </c>
      <c r="C16635" s="5">
        <v>2003</v>
      </c>
      <c r="D16635" s="6">
        <v>7.94</v>
      </c>
      <c r="E16635" t="s">
        <v>26</v>
      </c>
    </row>
    <row r="16636" spans="1:5" x14ac:dyDescent="0.25">
      <c r="A16636" t="str">
        <f>HYPERLINK("https://www.773grp.com/globalSearch/X40430S14I-A/page-1", "X40430S14I-A")</f>
        <v>X40430S14I-A</v>
      </c>
      <c r="B16636" s="3" t="s">
        <v>114</v>
      </c>
      <c r="C16636" s="5">
        <v>176</v>
      </c>
      <c r="D16636" s="6">
        <v>8.3000000000000007</v>
      </c>
      <c r="E16636" t="s">
        <v>26</v>
      </c>
    </row>
    <row r="16637" spans="1:5" x14ac:dyDescent="0.25">
      <c r="A16637" t="str">
        <f>HYPERLINK("https://www.773grp.com/globalSearch/X40430S14I-B/page-1", "X40430S14I-B")</f>
        <v>X40430S14I-B</v>
      </c>
      <c r="B16637" s="3" t="s">
        <v>114</v>
      </c>
      <c r="C16637" s="5">
        <v>1814</v>
      </c>
      <c r="D16637" s="6">
        <v>8.3000000000000007</v>
      </c>
      <c r="E16637" t="s">
        <v>26</v>
      </c>
    </row>
    <row r="16638" spans="1:5" x14ac:dyDescent="0.25">
      <c r="A16638" t="str">
        <f>HYPERLINK("https://www.773grp.com/globalSearch/X40431S14I-A/page-1", "X40431S14I-A")</f>
        <v>X40431S14I-A</v>
      </c>
      <c r="B16638" s="3" t="s">
        <v>114</v>
      </c>
      <c r="C16638" s="5">
        <v>40</v>
      </c>
      <c r="D16638" s="6">
        <v>8.3000000000000007</v>
      </c>
      <c r="E16638" t="s">
        <v>26</v>
      </c>
    </row>
    <row r="16639" spans="1:5" x14ac:dyDescent="0.25">
      <c r="A16639" t="str">
        <f>HYPERLINK("https://www.773grp.com/globalSearch/X40431S14I-B/page-1", "X40431S14I-B")</f>
        <v>X40431S14I-B</v>
      </c>
      <c r="B16639" s="3" t="s">
        <v>114</v>
      </c>
      <c r="C16639" s="5">
        <v>1732</v>
      </c>
      <c r="D16639" s="6">
        <v>8.3000000000000007</v>
      </c>
      <c r="E16639" t="s">
        <v>26</v>
      </c>
    </row>
    <row r="16640" spans="1:5" x14ac:dyDescent="0.25">
      <c r="A16640" t="str">
        <f>HYPERLINK("https://www.773grp.com/globalSearch/X5043S8T1/page-1", "X5043S8T1")</f>
        <v>X5043S8T1</v>
      </c>
      <c r="B16640" s="3" t="s">
        <v>114</v>
      </c>
      <c r="C16640" s="5">
        <v>2500</v>
      </c>
      <c r="D16640" s="6">
        <v>8.44</v>
      </c>
      <c r="E16640" t="s">
        <v>26</v>
      </c>
    </row>
    <row r="16641" spans="1:5" x14ac:dyDescent="0.25">
      <c r="A16641" t="str">
        <f>HYPERLINK("https://www.773grp.com/globalSearch/X3101V28/page-1", "X3101V28")</f>
        <v>X3101V28</v>
      </c>
      <c r="B16641" s="3" t="s">
        <v>114</v>
      </c>
      <c r="C16641" s="5">
        <v>4057</v>
      </c>
      <c r="D16641" s="6">
        <v>8.61</v>
      </c>
      <c r="E16641" t="s">
        <v>26</v>
      </c>
    </row>
    <row r="16642" spans="1:5" x14ac:dyDescent="0.25">
      <c r="A16642" t="str">
        <f>HYPERLINK("https://www.773grp.com/globalSearch/X3102V28/page-1", "X3102V28")</f>
        <v>X3102V28</v>
      </c>
      <c r="B16642" s="3" t="s">
        <v>114</v>
      </c>
      <c r="C16642" s="5">
        <v>3560</v>
      </c>
      <c r="D16642" s="6">
        <v>8.61</v>
      </c>
      <c r="E16642" t="s">
        <v>26</v>
      </c>
    </row>
    <row r="16643" spans="1:5" x14ac:dyDescent="0.25">
      <c r="A16643" t="str">
        <f>HYPERLINK("https://www.773grp.com/globalSearch/X4043S8IZ-2.7A/page-1", "X4043S8IZ-2.7A")</f>
        <v>X4043S8IZ-2.7A</v>
      </c>
      <c r="B16643" s="3" t="s">
        <v>114</v>
      </c>
      <c r="C16643" s="5">
        <v>2926</v>
      </c>
      <c r="D16643" s="6">
        <v>8.74</v>
      </c>
      <c r="E16643" t="s">
        <v>26</v>
      </c>
    </row>
    <row r="16644" spans="1:5" x14ac:dyDescent="0.25">
      <c r="A16644" t="str">
        <f>HYPERLINK("https://www.773grp.com/globalSearch/X40431S14-C/page-1", "X40431S14-C")</f>
        <v>X40431S14-C</v>
      </c>
      <c r="B16644" s="3" t="s">
        <v>114</v>
      </c>
      <c r="C16644" s="5">
        <v>1543</v>
      </c>
      <c r="D16644" s="6">
        <v>8.9499999999999993</v>
      </c>
      <c r="E16644" t="s">
        <v>26</v>
      </c>
    </row>
    <row r="16645" spans="1:5" x14ac:dyDescent="0.25">
      <c r="A16645" t="str">
        <f>HYPERLINK("https://www.773grp.com/globalSearch/X40431V14-C/page-1", "X40431V14-C")</f>
        <v>X40431V14-C</v>
      </c>
      <c r="B16645" s="3" t="s">
        <v>114</v>
      </c>
      <c r="C16645" s="5">
        <v>2219</v>
      </c>
      <c r="D16645" s="6">
        <v>8.9499999999999993</v>
      </c>
      <c r="E16645" t="s">
        <v>26</v>
      </c>
    </row>
    <row r="16646" spans="1:5" x14ac:dyDescent="0.25">
      <c r="A16646" t="str">
        <f>HYPERLINK("https://www.773grp.com/globalSearch/X5083S8IZ-2.7A/page-1", "X5083S8IZ-2.7A")</f>
        <v>X5083S8IZ-2.7A</v>
      </c>
      <c r="B16646" s="3" t="s">
        <v>114</v>
      </c>
      <c r="C16646" s="5">
        <v>90</v>
      </c>
      <c r="D16646" s="6">
        <v>9.06</v>
      </c>
      <c r="E16646" t="s">
        <v>26</v>
      </c>
    </row>
    <row r="16647" spans="1:5" x14ac:dyDescent="0.25">
      <c r="A16647" t="str">
        <f>HYPERLINK("https://www.773grp.com/globalSearch/X5165S8IZ-2.7A/page-1", "X5165S8IZ-2.7A")</f>
        <v>X5165S8IZ-2.7A</v>
      </c>
      <c r="B16647" s="3" t="s">
        <v>114</v>
      </c>
      <c r="C16647" s="5">
        <v>2906</v>
      </c>
      <c r="D16647" s="6">
        <v>9.5</v>
      </c>
      <c r="E16647" t="s">
        <v>26</v>
      </c>
    </row>
    <row r="16648" spans="1:5" x14ac:dyDescent="0.25">
      <c r="A16648" t="str">
        <f>HYPERLINK("https://www.773grp.com/globalSearch/X40430V14I-A/page-1", "X40430V14I-A")</f>
        <v>X40430V14I-A</v>
      </c>
      <c r="B16648" s="3" t="s">
        <v>114</v>
      </c>
      <c r="C16648" s="5">
        <v>465</v>
      </c>
      <c r="D16648" s="6">
        <v>9.83</v>
      </c>
      <c r="E16648" t="s">
        <v>26</v>
      </c>
    </row>
    <row r="16649" spans="1:5" x14ac:dyDescent="0.25">
      <c r="A16649" t="str">
        <f>HYPERLINK("https://www.773grp.com/globalSearch/X40435S14I-C/page-1", "X40435S14I-C")</f>
        <v>X40435S14I-C</v>
      </c>
      <c r="B16649" s="3" t="s">
        <v>114</v>
      </c>
      <c r="C16649" s="5">
        <v>962</v>
      </c>
      <c r="D16649" s="6">
        <v>9.83</v>
      </c>
      <c r="E16649" t="s">
        <v>26</v>
      </c>
    </row>
    <row r="16650" spans="1:5" x14ac:dyDescent="0.25">
      <c r="A16650" t="str">
        <f>HYPERLINK("https://www.773grp.com/globalSearch/X5045S8I-2.7A/page-1", "X5045S8I-2.7A")</f>
        <v>X5045S8I-2.7A</v>
      </c>
      <c r="B16650" s="3" t="s">
        <v>114</v>
      </c>
      <c r="C16650" s="5">
        <v>4648</v>
      </c>
      <c r="D16650" s="6">
        <v>10.01</v>
      </c>
      <c r="E16650" t="s">
        <v>26</v>
      </c>
    </row>
    <row r="16651" spans="1:5" x14ac:dyDescent="0.25">
      <c r="A16651" t="str">
        <f>HYPERLINK("https://www.773grp.com/globalSearch/X5163S8IZ-2.7/page-1", "X5163S8IZ-2.7")</f>
        <v>X5163S8IZ-2.7</v>
      </c>
      <c r="B16651" s="3" t="s">
        <v>114</v>
      </c>
      <c r="C16651" s="5">
        <v>629</v>
      </c>
      <c r="D16651" s="6">
        <v>10.18</v>
      </c>
      <c r="E16651" t="s">
        <v>26</v>
      </c>
    </row>
    <row r="16652" spans="1:5" x14ac:dyDescent="0.25">
      <c r="A16652" t="str">
        <f>HYPERLINK("https://www.773grp.com/globalSearch/X4043M8IZ-2.7/page-1", "X4043M8IZ-2.7")</f>
        <v>X4043M8IZ-2.7</v>
      </c>
      <c r="B16652" s="3" t="s">
        <v>114</v>
      </c>
      <c r="C16652" s="5">
        <v>80</v>
      </c>
      <c r="D16652" s="6">
        <v>10.8</v>
      </c>
      <c r="E16652" t="s">
        <v>26</v>
      </c>
    </row>
    <row r="16653" spans="1:5" x14ac:dyDescent="0.25">
      <c r="A16653" t="str">
        <f>HYPERLINK("https://www.773grp.com/globalSearch/X5083V8I-4.5A/page-1", "X5083V8I-4.5A")</f>
        <v>X5083V8I-4.5A</v>
      </c>
      <c r="B16653" s="3" t="s">
        <v>114</v>
      </c>
      <c r="C16653" s="5">
        <v>3059</v>
      </c>
      <c r="D16653" s="6">
        <v>11.56</v>
      </c>
      <c r="E16653" t="s">
        <v>26</v>
      </c>
    </row>
    <row r="16654" spans="1:5" x14ac:dyDescent="0.25">
      <c r="A16654" t="str">
        <f>HYPERLINK("https://www.773grp.com/globalSearch/X4043S8/page-1", "X4043S8")</f>
        <v>X4043S8</v>
      </c>
      <c r="B16654" s="3" t="s">
        <v>114</v>
      </c>
      <c r="C16654" s="5">
        <v>167</v>
      </c>
      <c r="D16654" s="6">
        <v>11.61</v>
      </c>
      <c r="E16654" t="s">
        <v>26</v>
      </c>
    </row>
    <row r="16655" spans="1:5" x14ac:dyDescent="0.25">
      <c r="A16655" t="str">
        <f>HYPERLINK("https://www.773grp.com/globalSearch/X5043P/page-1", "X5043P")</f>
        <v>X5043P</v>
      </c>
      <c r="B16655" s="3" t="s">
        <v>114</v>
      </c>
      <c r="C16655" s="5">
        <v>3034</v>
      </c>
      <c r="D16655" s="6">
        <v>11.61</v>
      </c>
      <c r="E16655" t="s">
        <v>26</v>
      </c>
    </row>
    <row r="16656" spans="1:5" x14ac:dyDescent="0.25">
      <c r="A16656" t="str">
        <f>HYPERLINK("https://www.773grp.com/globalSearch/X5043S8/page-1", "X5043S8")</f>
        <v>X5043S8</v>
      </c>
      <c r="B16656" s="3" t="s">
        <v>114</v>
      </c>
      <c r="C16656" s="5">
        <v>1826</v>
      </c>
      <c r="D16656" s="6">
        <v>11.61</v>
      </c>
      <c r="E16656" t="s">
        <v>26</v>
      </c>
    </row>
    <row r="16657" spans="1:5" x14ac:dyDescent="0.25">
      <c r="A16657" t="str">
        <f>HYPERLINK("https://www.773grp.com/globalSearch/X5043S8-2.7/page-1", "X5043S8-2.7")</f>
        <v>X5043S8-2.7</v>
      </c>
      <c r="B16657" s="3" t="s">
        <v>114</v>
      </c>
      <c r="C16657" s="5">
        <v>208</v>
      </c>
      <c r="D16657" s="6">
        <v>11.61</v>
      </c>
      <c r="E16657" t="s">
        <v>26</v>
      </c>
    </row>
    <row r="16658" spans="1:5" x14ac:dyDescent="0.25">
      <c r="A16658" t="str">
        <f>HYPERLINK("https://www.773grp.com/globalSearch/X5043S8-4.5A/page-1", "X5043S8-4.5A")</f>
        <v>X5043S8-4.5A</v>
      </c>
      <c r="B16658" s="3" t="s">
        <v>114</v>
      </c>
      <c r="C16658" s="5">
        <v>187</v>
      </c>
      <c r="D16658" s="6">
        <v>11.61</v>
      </c>
      <c r="E16658" t="s">
        <v>26</v>
      </c>
    </row>
    <row r="16659" spans="1:5" x14ac:dyDescent="0.25">
      <c r="A16659" t="str">
        <f>HYPERLINK("https://www.773grp.com/globalSearch/X5045P/page-1", "X5045P")</f>
        <v>X5045P</v>
      </c>
      <c r="B16659" s="3" t="s">
        <v>114</v>
      </c>
      <c r="C16659" s="5">
        <v>124</v>
      </c>
      <c r="D16659" s="6">
        <v>11.61</v>
      </c>
      <c r="E16659" t="s">
        <v>26</v>
      </c>
    </row>
    <row r="16660" spans="1:5" x14ac:dyDescent="0.25">
      <c r="A16660" t="str">
        <f>HYPERLINK("https://www.773grp.com/globalSearch/X5045P-2.7/page-1", "X5045P-2.7")</f>
        <v>X5045P-2.7</v>
      </c>
      <c r="B16660" s="3" t="s">
        <v>114</v>
      </c>
      <c r="C16660" s="5">
        <v>349</v>
      </c>
      <c r="D16660" s="6">
        <v>11.61</v>
      </c>
      <c r="E16660" t="s">
        <v>26</v>
      </c>
    </row>
    <row r="16661" spans="1:5" x14ac:dyDescent="0.25">
      <c r="A16661" t="str">
        <f>HYPERLINK("https://www.773grp.com/globalSearch/X5045S8/page-1", "X5045S8")</f>
        <v>X5045S8</v>
      </c>
      <c r="B16661" s="3" t="s">
        <v>114</v>
      </c>
      <c r="C16661" s="5">
        <v>5194</v>
      </c>
      <c r="D16661" s="6">
        <v>11.61</v>
      </c>
      <c r="E16661" t="s">
        <v>26</v>
      </c>
    </row>
    <row r="16662" spans="1:5" x14ac:dyDescent="0.25">
      <c r="A16662" t="str">
        <f>HYPERLINK("https://www.773grp.com/globalSearch/X4043S8I/page-1", "X4043S8I")</f>
        <v>X4043S8I</v>
      </c>
      <c r="B16662" s="3" t="s">
        <v>114</v>
      </c>
      <c r="C16662" s="5">
        <v>535</v>
      </c>
      <c r="D16662" s="6">
        <v>12.01</v>
      </c>
      <c r="E16662" t="s">
        <v>26</v>
      </c>
    </row>
    <row r="16663" spans="1:5" x14ac:dyDescent="0.25">
      <c r="A16663" t="str">
        <f>HYPERLINK("https://www.773grp.com/globalSearch/X4043S8I-2.7/page-1", "X4043S8I-2.7")</f>
        <v>X4043S8I-2.7</v>
      </c>
      <c r="B16663" s="3" t="s">
        <v>114</v>
      </c>
      <c r="C16663" s="5">
        <v>200</v>
      </c>
      <c r="D16663" s="6">
        <v>12.01</v>
      </c>
      <c r="E16663" t="s">
        <v>26</v>
      </c>
    </row>
    <row r="16664" spans="1:5" x14ac:dyDescent="0.25">
      <c r="A16664" t="str">
        <f>HYPERLINK("https://www.773grp.com/globalSearch/X5043PI/page-1", "X5043PI")</f>
        <v>X5043PI</v>
      </c>
      <c r="B16664" s="3" t="s">
        <v>114</v>
      </c>
      <c r="C16664" s="5">
        <v>180</v>
      </c>
      <c r="D16664" s="6">
        <v>12.01</v>
      </c>
      <c r="E16664" t="s">
        <v>26</v>
      </c>
    </row>
    <row r="16665" spans="1:5" x14ac:dyDescent="0.25">
      <c r="A16665" t="str">
        <f>HYPERLINK("https://www.773grp.com/globalSearch/X5043PI-2.7/page-1", "X5043PI-2.7")</f>
        <v>X5043PI-2.7</v>
      </c>
      <c r="B16665" s="3" t="s">
        <v>114</v>
      </c>
      <c r="C16665" s="5">
        <v>548</v>
      </c>
      <c r="D16665" s="6">
        <v>12.01</v>
      </c>
      <c r="E16665" t="s">
        <v>26</v>
      </c>
    </row>
    <row r="16666" spans="1:5" x14ac:dyDescent="0.25">
      <c r="A16666" t="str">
        <f>HYPERLINK("https://www.773grp.com/globalSearch/X5043PI-2.7/page-1", "X5043PI-2.7")</f>
        <v>X5043PI-2.7</v>
      </c>
      <c r="B16666" s="3" t="s">
        <v>114</v>
      </c>
      <c r="C16666" s="5">
        <v>500</v>
      </c>
      <c r="D16666" s="6">
        <v>12.01</v>
      </c>
      <c r="E16666" t="s">
        <v>26</v>
      </c>
    </row>
    <row r="16667" spans="1:5" x14ac:dyDescent="0.25">
      <c r="A16667" t="str">
        <f>HYPERLINK("https://www.773grp.com/globalSearch/X5043PI-2.7A/page-1", "X5043PI-2.7A")</f>
        <v>X5043PI-2.7A</v>
      </c>
      <c r="B16667" s="3" t="s">
        <v>114</v>
      </c>
      <c r="C16667" s="5">
        <v>3756</v>
      </c>
      <c r="D16667" s="6">
        <v>12.01</v>
      </c>
      <c r="E16667" t="s">
        <v>26</v>
      </c>
    </row>
    <row r="16668" spans="1:5" x14ac:dyDescent="0.25">
      <c r="A16668" t="str">
        <f>HYPERLINK("https://www.773grp.com/globalSearch/X5043S8I/page-1", "X5043S8I")</f>
        <v>X5043S8I</v>
      </c>
      <c r="B16668" s="3" t="s">
        <v>114</v>
      </c>
      <c r="C16668" s="5">
        <v>3117</v>
      </c>
      <c r="D16668" s="6">
        <v>12.01</v>
      </c>
      <c r="E16668" t="s">
        <v>26</v>
      </c>
    </row>
    <row r="16669" spans="1:5" x14ac:dyDescent="0.25">
      <c r="A16669" t="str">
        <f>HYPERLINK("https://www.773grp.com/globalSearch/X5043S8I-2.7/page-1", "X5043S8I-2.7")</f>
        <v>X5043S8I-2.7</v>
      </c>
      <c r="B16669" s="3" t="s">
        <v>114</v>
      </c>
      <c r="C16669" s="5">
        <v>4916</v>
      </c>
      <c r="D16669" s="6">
        <v>12.01</v>
      </c>
      <c r="E16669" t="s">
        <v>26</v>
      </c>
    </row>
    <row r="16670" spans="1:5" x14ac:dyDescent="0.25">
      <c r="A16670" t="str">
        <f>HYPERLINK("https://www.773grp.com/globalSearch/X5043S8I-2.7/page-1", "X5043S8I-2.7")</f>
        <v>X5043S8I-2.7</v>
      </c>
      <c r="B16670" s="3" t="s">
        <v>114</v>
      </c>
      <c r="C16670" s="5">
        <v>200</v>
      </c>
      <c r="D16670" s="6">
        <v>12.01</v>
      </c>
      <c r="E16670" t="s">
        <v>26</v>
      </c>
    </row>
    <row r="16671" spans="1:5" x14ac:dyDescent="0.25">
      <c r="A16671" t="str">
        <f>HYPERLINK("https://www.773grp.com/globalSearch/X5043S8I-2.7A/page-1", "X5043S8I-2.7A")</f>
        <v>X5043S8I-2.7A</v>
      </c>
      <c r="B16671" s="3" t="s">
        <v>114</v>
      </c>
      <c r="C16671" s="5">
        <v>1172</v>
      </c>
      <c r="D16671" s="6">
        <v>12.01</v>
      </c>
      <c r="E16671" t="s">
        <v>26</v>
      </c>
    </row>
    <row r="16672" spans="1:5" x14ac:dyDescent="0.25">
      <c r="A16672" t="str">
        <f>HYPERLINK("https://www.773grp.com/globalSearch/X5043S8IT2/page-1", "X5043S8IT2")</f>
        <v>X5043S8IT2</v>
      </c>
      <c r="B16672" s="3" t="s">
        <v>114</v>
      </c>
      <c r="C16672" s="5">
        <v>5000</v>
      </c>
      <c r="D16672" s="6">
        <v>12.01</v>
      </c>
      <c r="E16672" t="s">
        <v>26</v>
      </c>
    </row>
    <row r="16673" spans="1:5" x14ac:dyDescent="0.25">
      <c r="A16673" t="str">
        <f>HYPERLINK("https://www.773grp.com/globalSearch/X5045PI-2.7/page-1", "X5045PI-2.7")</f>
        <v>X5045PI-2.7</v>
      </c>
      <c r="B16673" s="3" t="s">
        <v>114</v>
      </c>
      <c r="C16673" s="5">
        <v>136</v>
      </c>
      <c r="D16673" s="6">
        <v>12.01</v>
      </c>
      <c r="E16673" t="s">
        <v>26</v>
      </c>
    </row>
    <row r="16674" spans="1:5" x14ac:dyDescent="0.25">
      <c r="A16674" t="str">
        <f>HYPERLINK("https://www.773grp.com/globalSearch/X5045S8I/page-1", "X5045S8I")</f>
        <v>X5045S8I</v>
      </c>
      <c r="B16674" s="3" t="s">
        <v>114</v>
      </c>
      <c r="C16674" s="5">
        <v>1773</v>
      </c>
      <c r="D16674" s="6">
        <v>12.01</v>
      </c>
      <c r="E16674" t="s">
        <v>26</v>
      </c>
    </row>
    <row r="16675" spans="1:5" x14ac:dyDescent="0.25">
      <c r="A16675" t="str">
        <f>HYPERLINK("https://www.773grp.com/globalSearch/X5045S8I-2.7/page-1", "X5045S8I-2.7")</f>
        <v>X5045S8I-2.7</v>
      </c>
      <c r="B16675" s="3" t="s">
        <v>114</v>
      </c>
      <c r="C16675" s="5">
        <v>1570</v>
      </c>
      <c r="D16675" s="6">
        <v>12.01</v>
      </c>
      <c r="E16675" t="s">
        <v>26</v>
      </c>
    </row>
    <row r="16676" spans="1:5" x14ac:dyDescent="0.25">
      <c r="A16676" t="str">
        <f>HYPERLINK("https://www.773grp.com/globalSearch/X5083S8I-2.7/page-1", "X5083S8I-2.7")</f>
        <v>X5083S8I-2.7</v>
      </c>
      <c r="B16676" s="3" t="s">
        <v>114</v>
      </c>
      <c r="C16676" s="5">
        <v>181</v>
      </c>
      <c r="D16676" s="6">
        <v>12.49</v>
      </c>
      <c r="E16676" t="s">
        <v>26</v>
      </c>
    </row>
    <row r="16677" spans="1:5" x14ac:dyDescent="0.25">
      <c r="A16677" t="str">
        <f>HYPERLINK("https://www.773grp.com/globalSearch/X5083S8IT1/page-1", "X5083S8IT1")</f>
        <v>X5083S8IT1</v>
      </c>
      <c r="B16677" s="3" t="s">
        <v>114</v>
      </c>
      <c r="C16677" s="5">
        <v>9500</v>
      </c>
      <c r="D16677" s="6">
        <v>12.49</v>
      </c>
      <c r="E16677" t="s">
        <v>26</v>
      </c>
    </row>
    <row r="16678" spans="1:5" x14ac:dyDescent="0.25">
      <c r="A16678" t="str">
        <f>HYPERLINK("https://www.773grp.com/globalSearch/X5163S8/page-1", "X5163S8")</f>
        <v>X5163S8</v>
      </c>
      <c r="B16678" s="3" t="s">
        <v>114</v>
      </c>
      <c r="C16678" s="5">
        <v>2138</v>
      </c>
      <c r="D16678" s="6">
        <v>12.53</v>
      </c>
      <c r="E16678" t="s">
        <v>26</v>
      </c>
    </row>
    <row r="16679" spans="1:5" x14ac:dyDescent="0.25">
      <c r="A16679" t="str">
        <f>HYPERLINK("https://www.773grp.com/globalSearch/X5163S8-2.7/page-1", "X5163S8-2.7")</f>
        <v>X5163S8-2.7</v>
      </c>
      <c r="B16679" s="3" t="s">
        <v>114</v>
      </c>
      <c r="C16679" s="5">
        <v>249</v>
      </c>
      <c r="D16679" s="6">
        <v>12.53</v>
      </c>
      <c r="E16679" t="s">
        <v>26</v>
      </c>
    </row>
    <row r="16680" spans="1:5" x14ac:dyDescent="0.25">
      <c r="A16680" t="str">
        <f>HYPERLINK("https://www.773grp.com/globalSearch/X5163S8-4.5A/page-1", "X5163S8-4.5A")</f>
        <v>X5163S8-4.5A</v>
      </c>
      <c r="B16680" s="3" t="s">
        <v>114</v>
      </c>
      <c r="C16680" s="5">
        <v>227</v>
      </c>
      <c r="D16680" s="6">
        <v>12.53</v>
      </c>
      <c r="E16680" t="s">
        <v>26</v>
      </c>
    </row>
    <row r="16681" spans="1:5" x14ac:dyDescent="0.25">
      <c r="A16681" t="str">
        <f>HYPERLINK("https://www.773grp.com/globalSearch/X5165S8/page-1", "X5165S8")</f>
        <v>X5165S8</v>
      </c>
      <c r="B16681" s="3" t="s">
        <v>114</v>
      </c>
      <c r="C16681" s="5">
        <v>3161</v>
      </c>
      <c r="D16681" s="6">
        <v>12.53</v>
      </c>
      <c r="E16681" t="s">
        <v>26</v>
      </c>
    </row>
    <row r="16682" spans="1:5" x14ac:dyDescent="0.25">
      <c r="A16682" t="str">
        <f>HYPERLINK("https://www.773grp.com/globalSearch/X5163S8I/page-1", "X5163S8I")</f>
        <v>X5163S8I</v>
      </c>
      <c r="B16682" s="3" t="s">
        <v>114</v>
      </c>
      <c r="C16682" s="5">
        <v>636</v>
      </c>
      <c r="D16682" s="6">
        <v>13.08</v>
      </c>
      <c r="E16682" t="s">
        <v>26</v>
      </c>
    </row>
    <row r="16683" spans="1:5" x14ac:dyDescent="0.25">
      <c r="A16683" t="str">
        <f>HYPERLINK("https://www.773grp.com/globalSearch/X5323S8/page-1", "X5323S8")</f>
        <v>X5323S8</v>
      </c>
      <c r="B16683" s="3" t="s">
        <v>114</v>
      </c>
      <c r="C16683" s="5">
        <v>576</v>
      </c>
      <c r="D16683" s="6">
        <v>13.5</v>
      </c>
      <c r="E16683" t="s">
        <v>26</v>
      </c>
    </row>
    <row r="16684" spans="1:5" x14ac:dyDescent="0.25">
      <c r="A16684" t="str">
        <f>HYPERLINK("https://www.773grp.com/globalSearch/X5325P/page-1", "X5325P")</f>
        <v>X5325P</v>
      </c>
      <c r="B16684" s="3" t="s">
        <v>114</v>
      </c>
      <c r="C16684" s="5">
        <v>89</v>
      </c>
      <c r="D16684" s="6">
        <v>13.5</v>
      </c>
      <c r="E16684" t="s">
        <v>26</v>
      </c>
    </row>
    <row r="16685" spans="1:5" x14ac:dyDescent="0.25">
      <c r="A16685" t="str">
        <f>HYPERLINK("https://www.773grp.com/globalSearch/X5325S8/page-1", "X5325S8")</f>
        <v>X5325S8</v>
      </c>
      <c r="B16685" s="3" t="s">
        <v>114</v>
      </c>
      <c r="C16685" s="5">
        <v>3106</v>
      </c>
      <c r="D16685" s="6">
        <v>13.5</v>
      </c>
      <c r="E16685" t="s">
        <v>26</v>
      </c>
    </row>
    <row r="16686" spans="1:5" x14ac:dyDescent="0.25">
      <c r="A16686" t="str">
        <f>HYPERLINK("https://www.773grp.com/globalSearch/X5163S8I-2.7/page-1", "X5163S8I-2.7")</f>
        <v>X5163S8I-2.7</v>
      </c>
      <c r="B16686" s="3" t="s">
        <v>114</v>
      </c>
      <c r="C16686" s="5">
        <v>35</v>
      </c>
      <c r="D16686" s="6">
        <v>14.01</v>
      </c>
      <c r="E16686" t="s">
        <v>26</v>
      </c>
    </row>
    <row r="16687" spans="1:5" x14ac:dyDescent="0.25">
      <c r="A16687" t="str">
        <f>HYPERLINK("https://www.773grp.com/globalSearch/X5325S8I-2.7A/page-1", "X5325S8I-2.7A")</f>
        <v>X5325S8I-2.7A</v>
      </c>
      <c r="B16687" s="3" t="s">
        <v>114</v>
      </c>
      <c r="C16687" s="5">
        <v>178</v>
      </c>
      <c r="D16687" s="6">
        <v>14.01</v>
      </c>
      <c r="E16687" t="s">
        <v>26</v>
      </c>
    </row>
    <row r="16688" spans="1:5" x14ac:dyDescent="0.25">
      <c r="A16688" t="str">
        <f>HYPERLINK("https://www.773grp.com/globalSearch/X4045P/page-1", "X4045P")</f>
        <v>X4045P</v>
      </c>
      <c r="B16688" s="3" t="s">
        <v>114</v>
      </c>
      <c r="C16688" s="5">
        <v>3923</v>
      </c>
      <c r="D16688" s="6">
        <v>14.38</v>
      </c>
      <c r="E16688" t="s">
        <v>26</v>
      </c>
    </row>
    <row r="16689" spans="1:5" x14ac:dyDescent="0.25">
      <c r="A16689" t="str">
        <f>HYPERLINK("https://www.773grp.com/globalSearch/X4045P-2.7/page-1", "X4045P-2.7")</f>
        <v>X4045P-2.7</v>
      </c>
      <c r="B16689" s="3" t="s">
        <v>114</v>
      </c>
      <c r="C16689" s="5">
        <v>249</v>
      </c>
      <c r="D16689" s="6">
        <v>14.38</v>
      </c>
      <c r="E16689" t="s">
        <v>26</v>
      </c>
    </row>
    <row r="16690" spans="1:5" x14ac:dyDescent="0.25">
      <c r="A16690" t="str">
        <f>HYPERLINK("https://www.773grp.com/globalSearch/X5043M8I-2.7A/page-1", "X5043M8I-2.7A")</f>
        <v>X5043M8I-2.7A</v>
      </c>
      <c r="B16690" s="3" t="s">
        <v>114</v>
      </c>
      <c r="C16690" s="5">
        <v>155</v>
      </c>
      <c r="D16690" s="6">
        <v>14.81</v>
      </c>
      <c r="E16690" t="s">
        <v>26</v>
      </c>
    </row>
    <row r="16691" spans="1:5" x14ac:dyDescent="0.25">
      <c r="A16691" t="str">
        <f>HYPERLINK("https://www.773grp.com/globalSearch/X5043M8I-2.7A/page-1", "X5043M8I-2.7A")</f>
        <v>X5043M8I-2.7A</v>
      </c>
      <c r="B16691" s="3" t="s">
        <v>114</v>
      </c>
      <c r="C16691" s="5">
        <v>960</v>
      </c>
      <c r="D16691" s="6">
        <v>14.81</v>
      </c>
      <c r="E16691" t="s">
        <v>26</v>
      </c>
    </row>
    <row r="16692" spans="1:5" x14ac:dyDescent="0.25">
      <c r="A16692" t="str">
        <f>HYPERLINK("https://www.773grp.com/globalSearch/X5323S8IZ-2.7/page-1", "X5323S8IZ-2.7")</f>
        <v>X5323S8IZ-2.7</v>
      </c>
      <c r="B16692" s="3" t="s">
        <v>114</v>
      </c>
      <c r="C16692" s="5">
        <v>633</v>
      </c>
      <c r="D16692" s="6">
        <v>15.28</v>
      </c>
      <c r="E16692" t="s">
        <v>26</v>
      </c>
    </row>
    <row r="16693" spans="1:5" x14ac:dyDescent="0.25">
      <c r="A16693" t="str">
        <f>HYPERLINK("https://www.773grp.com/globalSearch/X5325PI/page-1", "X5325PI")</f>
        <v>X5325PI</v>
      </c>
      <c r="B16693" s="3" t="s">
        <v>114</v>
      </c>
      <c r="C16693" s="5">
        <v>87</v>
      </c>
      <c r="D16693" s="6">
        <v>15.61</v>
      </c>
      <c r="E16693" t="s">
        <v>26</v>
      </c>
    </row>
    <row r="16694" spans="1:5" x14ac:dyDescent="0.25">
      <c r="A16694" t="str">
        <f>HYPERLINK("https://www.773grp.com/globalSearch/X5328S8I-2.7/page-1", "X5328S8I-2.7")</f>
        <v>X5328S8I-2.7</v>
      </c>
      <c r="B16694" s="3" t="s">
        <v>114</v>
      </c>
      <c r="C16694" s="5">
        <v>843</v>
      </c>
      <c r="D16694" s="6">
        <v>19.28</v>
      </c>
      <c r="E16694" t="s">
        <v>26</v>
      </c>
    </row>
    <row r="16695" spans="1:5" x14ac:dyDescent="0.25">
      <c r="A16695" t="str">
        <f>HYPERLINK("https://www.773grp.com/globalSearch/X40431V14I-A/page-1", "X40431V14I-A")</f>
        <v>X40431V14I-A</v>
      </c>
      <c r="B16695" s="3" t="s">
        <v>114</v>
      </c>
      <c r="C16695" s="5">
        <v>108</v>
      </c>
      <c r="D16695" s="6">
        <v>20.36</v>
      </c>
      <c r="E16695" t="s">
        <v>26</v>
      </c>
    </row>
    <row r="16696" spans="1:5" x14ac:dyDescent="0.25">
      <c r="A16696" t="str">
        <f>HYPERLINK("https://www.773grp.com/globalSearch/X5325S8I-2.7/page-1", "X5325S8I-2.7")</f>
        <v>X5325S8I-2.7</v>
      </c>
      <c r="B16696" s="3" t="s">
        <v>114</v>
      </c>
      <c r="C16696" s="5">
        <v>1295</v>
      </c>
      <c r="D16696" s="6">
        <v>20.96</v>
      </c>
      <c r="E16696" t="s">
        <v>26</v>
      </c>
    </row>
    <row r="16697" spans="1:5" x14ac:dyDescent="0.25">
      <c r="A16697" t="str">
        <f>HYPERLINK("https://www.773grp.com/globalSearch/DCH010505DN7/page-1", "DCH010505DN7")</f>
        <v>DCH010505DN7</v>
      </c>
      <c r="B16697" s="3" t="s">
        <v>90</v>
      </c>
      <c r="C16697" s="5">
        <v>687</v>
      </c>
      <c r="D16697" s="6">
        <v>11.95</v>
      </c>
      <c r="E16697" t="s">
        <v>91</v>
      </c>
    </row>
    <row r="16698" spans="1:5" x14ac:dyDescent="0.25">
      <c r="A16698" t="str">
        <f>HYPERLINK("https://www.773grp.com/globalSearch/DCH010505SN7/page-1", "DCH010505SN7")</f>
        <v>DCH010505SN7</v>
      </c>
      <c r="B16698" s="3" t="s">
        <v>90</v>
      </c>
      <c r="C16698" s="5">
        <v>13450</v>
      </c>
      <c r="D16698" s="6">
        <v>11.95</v>
      </c>
      <c r="E16698" t="s">
        <v>91</v>
      </c>
    </row>
    <row r="16699" spans="1:5" x14ac:dyDescent="0.25">
      <c r="A16699" t="str">
        <f>HYPERLINK("https://www.773grp.com/globalSearch/DCH010512DN7/page-1", "DCH010512DN7")</f>
        <v>DCH010512DN7</v>
      </c>
      <c r="B16699" s="3" t="s">
        <v>90</v>
      </c>
      <c r="C16699" s="5">
        <v>31</v>
      </c>
      <c r="D16699" s="6">
        <v>11.95</v>
      </c>
      <c r="E16699" t="s">
        <v>91</v>
      </c>
    </row>
    <row r="16700" spans="1:5" x14ac:dyDescent="0.25">
      <c r="A16700" t="str">
        <f>HYPERLINK("https://www.773grp.com/globalSearch/DCH010515DN7/page-1", "DCH010515DN7")</f>
        <v>DCH010515DN7</v>
      </c>
      <c r="B16700" s="3" t="s">
        <v>90</v>
      </c>
      <c r="C16700" s="5">
        <v>20</v>
      </c>
      <c r="D16700" s="6">
        <v>11.95</v>
      </c>
      <c r="E16700" t="s">
        <v>91</v>
      </c>
    </row>
    <row r="16701" spans="1:5" x14ac:dyDescent="0.25">
      <c r="A16701" t="str">
        <f>HYPERLINK("https://www.773grp.com/globalSearch/DCH010515SN7/page-1", "DCH010515SN7")</f>
        <v>DCH010515SN7</v>
      </c>
      <c r="B16701" s="3" t="s">
        <v>90</v>
      </c>
      <c r="C16701" s="5">
        <v>1311</v>
      </c>
      <c r="D16701" s="6">
        <v>11.95</v>
      </c>
      <c r="E16701" t="s">
        <v>91</v>
      </c>
    </row>
    <row r="16702" spans="1:5" x14ac:dyDescent="0.25">
      <c r="A16702" t="str">
        <f>HYPERLINK("https://www.773grp.com/globalSearch/DCP010515P-U/page-1", "DCP010515P-U")</f>
        <v>DCP010515P-U</v>
      </c>
      <c r="B16702" s="3" t="s">
        <v>90</v>
      </c>
      <c r="C16702" s="5">
        <v>389</v>
      </c>
      <c r="D16702" s="6">
        <v>14.09</v>
      </c>
      <c r="E16702" t="s">
        <v>91</v>
      </c>
    </row>
    <row r="16703" spans="1:5" x14ac:dyDescent="0.25">
      <c r="A16703" t="str">
        <f>HYPERLINK("https://www.773grp.com/globalSearch/PTH04000WAH/page-1", "PTH04000WAH")</f>
        <v>PTH04000WAH</v>
      </c>
      <c r="B16703" s="3" t="s">
        <v>90</v>
      </c>
      <c r="C16703" s="5">
        <v>156</v>
      </c>
      <c r="D16703" s="6">
        <v>15.33</v>
      </c>
      <c r="E16703" t="s">
        <v>91</v>
      </c>
    </row>
    <row r="16704" spans="1:5" x14ac:dyDescent="0.25">
      <c r="A16704" t="str">
        <f>HYPERLINK("https://www.773grp.com/globalSearch/PTH08000WAH/page-1", "PTH08000WAH")</f>
        <v>PTH08000WAH</v>
      </c>
      <c r="B16704" s="3" t="s">
        <v>90</v>
      </c>
      <c r="C16704" s="5">
        <v>9</v>
      </c>
      <c r="D16704" s="6">
        <v>15.33</v>
      </c>
      <c r="E16704" t="s">
        <v>91</v>
      </c>
    </row>
    <row r="16705" spans="1:5" x14ac:dyDescent="0.25">
      <c r="A16705" t="str">
        <f>HYPERLINK("https://www.773grp.com/globalSearch/PTH08000WAST/page-1", "PTH08000WAST")</f>
        <v>PTH08000WAST</v>
      </c>
      <c r="B16705" s="3" t="s">
        <v>90</v>
      </c>
      <c r="C16705" s="5">
        <v>750</v>
      </c>
      <c r="D16705" s="6">
        <v>15.33</v>
      </c>
      <c r="E16705" t="s">
        <v>91</v>
      </c>
    </row>
    <row r="16706" spans="1:5" x14ac:dyDescent="0.25">
      <c r="A16706" t="str">
        <f>HYPERLINK("https://www.773grp.com/globalSearch/DCP011512DP-U/page-1", "DCP011512DP-U")</f>
        <v>DCP011512DP-U</v>
      </c>
      <c r="B16706" s="3" t="s">
        <v>90</v>
      </c>
      <c r="C16706" s="5">
        <v>187</v>
      </c>
      <c r="D16706" s="6">
        <v>15.49</v>
      </c>
      <c r="E16706" t="s">
        <v>91</v>
      </c>
    </row>
    <row r="16707" spans="1:5" x14ac:dyDescent="0.25">
      <c r="A16707" t="str">
        <f>HYPERLINK("https://www.773grp.com/globalSearch/DCP020503P/page-1", "DCP020503P")</f>
        <v>DCP020503P</v>
      </c>
      <c r="B16707" s="3" t="s">
        <v>90</v>
      </c>
      <c r="C16707" s="5">
        <v>25</v>
      </c>
      <c r="D16707" s="6">
        <v>16.16</v>
      </c>
      <c r="E16707" t="s">
        <v>91</v>
      </c>
    </row>
    <row r="16708" spans="1:5" x14ac:dyDescent="0.25">
      <c r="A16708" t="str">
        <f>HYPERLINK("https://www.773grp.com/globalSearch/DCP010505BP/page-1", "DCP010505BP")</f>
        <v>DCP010505BP</v>
      </c>
      <c r="B16708" s="3" t="s">
        <v>90</v>
      </c>
      <c r="C16708" s="5">
        <v>1</v>
      </c>
      <c r="D16708" s="6">
        <v>16.45</v>
      </c>
      <c r="E16708" t="s">
        <v>91</v>
      </c>
    </row>
    <row r="16709" spans="1:5" x14ac:dyDescent="0.25">
      <c r="A16709" t="str">
        <f>HYPERLINK("https://www.773grp.com/globalSearch/DCP010512DBP/page-1", "DCP010512DBP")</f>
        <v>DCP010512DBP</v>
      </c>
      <c r="B16709" s="3" t="s">
        <v>90</v>
      </c>
      <c r="C16709" s="5">
        <v>25</v>
      </c>
      <c r="D16709" s="6">
        <v>16.45</v>
      </c>
      <c r="E16709" t="s">
        <v>91</v>
      </c>
    </row>
    <row r="16710" spans="1:5" x14ac:dyDescent="0.25">
      <c r="A16710" t="str">
        <f>HYPERLINK("https://www.773grp.com/globalSearch/DCP010512DBPE4/page-1", "DCP010512DBPE4")</f>
        <v>DCP010512DBPE4</v>
      </c>
      <c r="B16710" s="3" t="s">
        <v>90</v>
      </c>
      <c r="C16710" s="5">
        <v>35</v>
      </c>
      <c r="D16710" s="6">
        <v>16.45</v>
      </c>
      <c r="E16710" t="s">
        <v>91</v>
      </c>
    </row>
    <row r="16711" spans="1:5" x14ac:dyDescent="0.25">
      <c r="A16711" t="str">
        <f>HYPERLINK("https://www.773grp.com/globalSearch/DCP010512DBP-U/page-1", "DCP010512DBP-U")</f>
        <v>DCP010512DBP-U</v>
      </c>
      <c r="B16711" s="3" t="s">
        <v>90</v>
      </c>
      <c r="C16711" s="5">
        <v>2</v>
      </c>
      <c r="D16711" s="6">
        <v>16.45</v>
      </c>
      <c r="E16711" t="s">
        <v>91</v>
      </c>
    </row>
    <row r="16712" spans="1:5" x14ac:dyDescent="0.25">
      <c r="A16712" t="str">
        <f>HYPERLINK("https://www.773grp.com/globalSearch/DCP010515BP/page-1", "DCP010515BP")</f>
        <v>DCP010515BP</v>
      </c>
      <c r="B16712" s="3" t="s">
        <v>90</v>
      </c>
      <c r="C16712" s="5">
        <v>5</v>
      </c>
      <c r="D16712" s="6">
        <v>16.45</v>
      </c>
      <c r="E16712" t="s">
        <v>91</v>
      </c>
    </row>
    <row r="16713" spans="1:5" x14ac:dyDescent="0.25">
      <c r="A16713" t="str">
        <f>HYPERLINK("https://www.773grp.com/globalSearch/DCP010515BP-U/page-1", "DCP010515BP-U")</f>
        <v>DCP010515BP-U</v>
      </c>
      <c r="B16713" s="3" t="s">
        <v>90</v>
      </c>
      <c r="C16713" s="5">
        <v>154</v>
      </c>
      <c r="D16713" s="6">
        <v>16.45</v>
      </c>
      <c r="E16713" t="s">
        <v>91</v>
      </c>
    </row>
    <row r="16714" spans="1:5" x14ac:dyDescent="0.25">
      <c r="A16714" t="str">
        <f>HYPERLINK("https://www.773grp.com/globalSearch/DCP010515DBP-U/page-1", "DCP010515DBP-U")</f>
        <v>DCP010515DBP-U</v>
      </c>
      <c r="B16714" s="3" t="s">
        <v>90</v>
      </c>
      <c r="C16714" s="5">
        <v>216</v>
      </c>
      <c r="D16714" s="6">
        <v>16.45</v>
      </c>
      <c r="E16714" t="s">
        <v>91</v>
      </c>
    </row>
    <row r="16715" spans="1:5" x14ac:dyDescent="0.25">
      <c r="A16715" t="str">
        <f>HYPERLINK("https://www.773grp.com/globalSearch/DCP010507DBPE4/page-1", "DCP010507DBPE4")</f>
        <v>DCP010507DBPE4</v>
      </c>
      <c r="B16715" s="3" t="s">
        <v>90</v>
      </c>
      <c r="C16715" s="5">
        <v>481</v>
      </c>
      <c r="D16715" s="6">
        <v>16.579999999999998</v>
      </c>
      <c r="E16715" t="s">
        <v>91</v>
      </c>
    </row>
    <row r="16716" spans="1:5" x14ac:dyDescent="0.25">
      <c r="A16716" t="str">
        <f>HYPERLINK("https://www.773grp.com/globalSearch/DCP011512DBP/page-1", "DCP011512DBP")</f>
        <v>DCP011512DBP</v>
      </c>
      <c r="B16716" s="3" t="s">
        <v>90</v>
      </c>
      <c r="C16716" s="5">
        <v>922</v>
      </c>
      <c r="D16716" s="6">
        <v>16.579999999999998</v>
      </c>
      <c r="E16716" t="s">
        <v>91</v>
      </c>
    </row>
    <row r="16717" spans="1:5" x14ac:dyDescent="0.25">
      <c r="A16717" t="str">
        <f>HYPERLINK("https://www.773grp.com/globalSearch/DCP011512DBP-U/page-1", "DCP011512DBP-U")</f>
        <v>DCP011512DBP-U</v>
      </c>
      <c r="B16717" s="3" t="s">
        <v>90</v>
      </c>
      <c r="C16717" s="5">
        <v>354</v>
      </c>
      <c r="D16717" s="6">
        <v>16.579999999999998</v>
      </c>
      <c r="E16717" t="s">
        <v>91</v>
      </c>
    </row>
    <row r="16718" spans="1:5" x14ac:dyDescent="0.25">
      <c r="A16718" t="str">
        <f>HYPERLINK("https://www.773grp.com/globalSearch/DCP011515DBP-U/page-1", "DCP011515DBP-U")</f>
        <v>DCP011515DBP-U</v>
      </c>
      <c r="B16718" s="3" t="s">
        <v>90</v>
      </c>
      <c r="C16718" s="5">
        <v>4</v>
      </c>
      <c r="D16718" s="6">
        <v>16.579999999999998</v>
      </c>
      <c r="E16718" t="s">
        <v>91</v>
      </c>
    </row>
    <row r="16719" spans="1:5" x14ac:dyDescent="0.25">
      <c r="A16719" t="str">
        <f>HYPERLINK("https://www.773grp.com/globalSearch/DCP012415DBP-U/page-1", "DCP012415DBP-U")</f>
        <v>DCP012415DBP-U</v>
      </c>
      <c r="B16719" s="3" t="s">
        <v>90</v>
      </c>
      <c r="C16719" s="5">
        <v>111</v>
      </c>
      <c r="D16719" s="6">
        <v>16.579999999999998</v>
      </c>
      <c r="E16719" t="s">
        <v>91</v>
      </c>
    </row>
    <row r="16720" spans="1:5" x14ac:dyDescent="0.25">
      <c r="A16720" t="str">
        <f>HYPERLINK("https://www.773grp.com/globalSearch/DCP012415DBP-U-700/page-1", "DCP012415DBP-U-700")</f>
        <v>DCP012415DBP-U-700</v>
      </c>
      <c r="B16720" s="3" t="s">
        <v>90</v>
      </c>
      <c r="C16720" s="5">
        <v>2100</v>
      </c>
      <c r="D16720" s="6">
        <v>16.579999999999998</v>
      </c>
      <c r="E16720" t="s">
        <v>91</v>
      </c>
    </row>
    <row r="16721" spans="1:5" x14ac:dyDescent="0.25">
      <c r="A16721" t="str">
        <f>HYPERLINK("https://www.773grp.com/globalSearch/DCV010515DP-U-700/page-1", "DCV010515DP-U-700")</f>
        <v>DCV010515DP-U-700</v>
      </c>
      <c r="B16721" s="3" t="s">
        <v>90</v>
      </c>
      <c r="C16721" s="5">
        <v>700</v>
      </c>
      <c r="D16721" s="6">
        <v>16.59</v>
      </c>
      <c r="E16721" t="s">
        <v>91</v>
      </c>
    </row>
    <row r="16722" spans="1:5" x14ac:dyDescent="0.25">
      <c r="A16722" t="str">
        <f>HYPERLINK("https://www.773grp.com/globalSearch/DCV011512DP-U/page-1", "DCV011512DP-U")</f>
        <v>DCV011512DP-U</v>
      </c>
      <c r="B16722" s="3" t="s">
        <v>90</v>
      </c>
      <c r="C16722" s="5">
        <v>68</v>
      </c>
      <c r="D16722" s="6">
        <v>16.59</v>
      </c>
      <c r="E16722" t="s">
        <v>91</v>
      </c>
    </row>
    <row r="16723" spans="1:5" x14ac:dyDescent="0.25">
      <c r="A16723" t="str">
        <f>HYPERLINK("https://www.773grp.com/globalSearch/DCV011512DP-U-700/page-1", "DCV011512DP-U-700")</f>
        <v>DCV011512DP-U-700</v>
      </c>
      <c r="B16723" s="3" t="s">
        <v>90</v>
      </c>
      <c r="C16723" s="5">
        <v>700</v>
      </c>
      <c r="D16723" s="6">
        <v>16.59</v>
      </c>
      <c r="E16723" t="s">
        <v>91</v>
      </c>
    </row>
    <row r="16724" spans="1:5" x14ac:dyDescent="0.25">
      <c r="A16724" t="str">
        <f>HYPERLINK("https://www.773grp.com/globalSearch/DCV012405P-U-700/page-1", "DCV012405P-U-700")</f>
        <v>DCV012405P-U-700</v>
      </c>
      <c r="B16724" s="3" t="s">
        <v>90</v>
      </c>
      <c r="C16724" s="5">
        <v>700</v>
      </c>
      <c r="D16724" s="6">
        <v>16.59</v>
      </c>
      <c r="E16724" t="s">
        <v>91</v>
      </c>
    </row>
    <row r="16725" spans="1:5" x14ac:dyDescent="0.25">
      <c r="A16725" t="str">
        <f>HYPERLINK("https://www.773grp.com/globalSearch/DCP020503P/page-1", "DCP020503P")</f>
        <v>DCP020503P</v>
      </c>
      <c r="B16725" s="3" t="s">
        <v>90</v>
      </c>
      <c r="C16725" s="5">
        <v>1164</v>
      </c>
      <c r="D16725" s="6">
        <v>17.8</v>
      </c>
      <c r="E16725" t="s">
        <v>91</v>
      </c>
    </row>
    <row r="16726" spans="1:5" x14ac:dyDescent="0.25">
      <c r="A16726" t="str">
        <f>HYPERLINK("https://www.773grp.com/globalSearch/DCP020503U/page-1", "DCP020503U")</f>
        <v>DCP020503U</v>
      </c>
      <c r="B16726" s="3" t="s">
        <v>90</v>
      </c>
      <c r="C16726" s="5">
        <v>18</v>
      </c>
      <c r="D16726" s="6">
        <v>17.8</v>
      </c>
      <c r="E16726" t="s">
        <v>91</v>
      </c>
    </row>
    <row r="16727" spans="1:5" x14ac:dyDescent="0.25">
      <c r="A16727" t="str">
        <f>HYPERLINK("https://www.773grp.com/globalSearch/DCP020509P/page-1", "DCP020509P")</f>
        <v>DCP020509P</v>
      </c>
      <c r="B16727" s="3" t="s">
        <v>90</v>
      </c>
      <c r="C16727" s="5">
        <v>54</v>
      </c>
      <c r="D16727" s="6">
        <v>17.8</v>
      </c>
      <c r="E16727" t="s">
        <v>91</v>
      </c>
    </row>
    <row r="16728" spans="1:5" x14ac:dyDescent="0.25">
      <c r="A16728" t="str">
        <f>HYPERLINK("https://www.773grp.com/globalSearch/DCP020509U/page-1", "DCP020509U")</f>
        <v>DCP020509U</v>
      </c>
      <c r="B16728" s="3" t="s">
        <v>90</v>
      </c>
      <c r="C16728" s="5">
        <v>25</v>
      </c>
      <c r="D16728" s="6">
        <v>17.8</v>
      </c>
      <c r="E16728" t="s">
        <v>91</v>
      </c>
    </row>
    <row r="16729" spans="1:5" x14ac:dyDescent="0.25">
      <c r="A16729" t="str">
        <f>HYPERLINK("https://www.773grp.com/globalSearch/DCP021205P/page-1", "DCP021205P")</f>
        <v>DCP021205P</v>
      </c>
      <c r="B16729" s="3" t="s">
        <v>90</v>
      </c>
      <c r="C16729" s="5">
        <v>73</v>
      </c>
      <c r="D16729" s="6">
        <v>17.8</v>
      </c>
      <c r="E16729" t="s">
        <v>91</v>
      </c>
    </row>
    <row r="16730" spans="1:5" x14ac:dyDescent="0.25">
      <c r="A16730" t="str">
        <f>HYPERLINK("https://www.773grp.com/globalSearch/DCP021205U/page-1", "DCP021205U")</f>
        <v>DCP021205U</v>
      </c>
      <c r="B16730" s="3" t="s">
        <v>90</v>
      </c>
      <c r="C16730" s="5">
        <v>1536</v>
      </c>
      <c r="D16730" s="6">
        <v>17.8</v>
      </c>
      <c r="E16730" t="s">
        <v>91</v>
      </c>
    </row>
    <row r="16731" spans="1:5" x14ac:dyDescent="0.25">
      <c r="A16731" t="str">
        <f>HYPERLINK("https://www.773grp.com/globalSearch/DCP021205U-1K/page-1", "DCP021205U-1K")</f>
        <v>DCP021205U-1K</v>
      </c>
      <c r="B16731" s="3" t="s">
        <v>90</v>
      </c>
      <c r="C16731" s="5">
        <v>1553</v>
      </c>
      <c r="D16731" s="6">
        <v>17.8</v>
      </c>
      <c r="E16731" t="s">
        <v>91</v>
      </c>
    </row>
    <row r="16732" spans="1:5" x14ac:dyDescent="0.25">
      <c r="A16732" t="str">
        <f>HYPERLINK("https://www.773grp.com/globalSearch/DCP021212DP/page-1", "DCP021212DP")</f>
        <v>DCP021212DP</v>
      </c>
      <c r="B16732" s="3" t="s">
        <v>90</v>
      </c>
      <c r="C16732" s="5">
        <v>125</v>
      </c>
      <c r="D16732" s="6">
        <v>17.8</v>
      </c>
      <c r="E16732" t="s">
        <v>91</v>
      </c>
    </row>
    <row r="16733" spans="1:5" x14ac:dyDescent="0.25">
      <c r="A16733" t="str">
        <f>HYPERLINK("https://www.773grp.com/globalSearch/DCP021212P/page-1", "DCP021212P")</f>
        <v>DCP021212P</v>
      </c>
      <c r="B16733" s="3" t="s">
        <v>90</v>
      </c>
      <c r="C16733" s="5">
        <v>3197</v>
      </c>
      <c r="D16733" s="6">
        <v>17.8</v>
      </c>
      <c r="E16733" t="s">
        <v>91</v>
      </c>
    </row>
    <row r="16734" spans="1:5" x14ac:dyDescent="0.25">
      <c r="A16734" t="str">
        <f>HYPERLINK("https://www.773grp.com/globalSearch/DCP021515P/page-1", "DCP021515P")</f>
        <v>DCP021515P</v>
      </c>
      <c r="B16734" s="3" t="s">
        <v>90</v>
      </c>
      <c r="C16734" s="5">
        <v>1</v>
      </c>
      <c r="D16734" s="6">
        <v>17.8</v>
      </c>
      <c r="E16734" t="s">
        <v>91</v>
      </c>
    </row>
    <row r="16735" spans="1:5" x14ac:dyDescent="0.25">
      <c r="A16735" t="str">
        <f>HYPERLINK("https://www.773grp.com/globalSearch/DCP021515U/page-1", "DCP021515U")</f>
        <v>DCP021515U</v>
      </c>
      <c r="B16735" s="3" t="s">
        <v>90</v>
      </c>
      <c r="C16735" s="5">
        <v>60</v>
      </c>
      <c r="D16735" s="6">
        <v>17.8</v>
      </c>
      <c r="E16735" t="s">
        <v>91</v>
      </c>
    </row>
    <row r="16736" spans="1:5" x14ac:dyDescent="0.25">
      <c r="A16736" t="str">
        <f>HYPERLINK("https://www.773grp.com/globalSearch/DCP022405U/page-1", "DCP022405U")</f>
        <v>DCP022405U</v>
      </c>
      <c r="B16736" s="3" t="s">
        <v>90</v>
      </c>
      <c r="C16736" s="5">
        <v>15</v>
      </c>
      <c r="D16736" s="6">
        <v>17.8</v>
      </c>
      <c r="E16736" t="s">
        <v>91</v>
      </c>
    </row>
    <row r="16737" spans="1:5" x14ac:dyDescent="0.25">
      <c r="A16737" t="str">
        <f>HYPERLINK("https://www.773grp.com/globalSearch/DCP022415DP/page-1", "DCP022415DP")</f>
        <v>DCP022415DP</v>
      </c>
      <c r="B16737" s="3" t="s">
        <v>90</v>
      </c>
      <c r="C16737" s="5">
        <v>1184</v>
      </c>
      <c r="D16737" s="6">
        <v>17.8</v>
      </c>
      <c r="E16737" t="s">
        <v>91</v>
      </c>
    </row>
    <row r="16738" spans="1:5" x14ac:dyDescent="0.25">
      <c r="A16738" t="str">
        <f>HYPERLINK("https://www.773grp.com/globalSearch/DCP022415DU/page-1", "DCP022415DU")</f>
        <v>DCP022415DU</v>
      </c>
      <c r="B16738" s="3" t="s">
        <v>90</v>
      </c>
      <c r="C16738" s="5">
        <v>265</v>
      </c>
      <c r="D16738" s="6">
        <v>17.8</v>
      </c>
      <c r="E16738" t="s">
        <v>91</v>
      </c>
    </row>
    <row r="16739" spans="1:5" x14ac:dyDescent="0.25">
      <c r="A16739" t="str">
        <f>HYPERLINK("https://www.773grp.com/globalSearch/DCV010505P-U/page-1", "DCV010505P-U")</f>
        <v>DCV010505P-U</v>
      </c>
      <c r="B16739" s="3" t="s">
        <v>90</v>
      </c>
      <c r="C16739" s="5">
        <v>1</v>
      </c>
      <c r="D16739" s="6">
        <v>18.260000000000002</v>
      </c>
      <c r="E16739" t="s">
        <v>91</v>
      </c>
    </row>
    <row r="16740" spans="1:5" x14ac:dyDescent="0.25">
      <c r="A16740" t="str">
        <f>HYPERLINK("https://www.773grp.com/globalSearch/DCV010512P/page-1", "DCV010512P")</f>
        <v>DCV010512P</v>
      </c>
      <c r="B16740" s="3" t="s">
        <v>90</v>
      </c>
      <c r="C16740" s="5">
        <v>81</v>
      </c>
      <c r="D16740" s="6">
        <v>18.260000000000002</v>
      </c>
      <c r="E16740" t="s">
        <v>91</v>
      </c>
    </row>
    <row r="16741" spans="1:5" x14ac:dyDescent="0.25">
      <c r="A16741" t="str">
        <f>HYPERLINK("https://www.773grp.com/globalSearch/DCV010512P-U/page-1", "DCV010512P-U")</f>
        <v>DCV010512P-U</v>
      </c>
      <c r="B16741" s="3" t="s">
        <v>90</v>
      </c>
      <c r="C16741" s="5">
        <v>50</v>
      </c>
      <c r="D16741" s="6">
        <v>18.260000000000002</v>
      </c>
      <c r="E16741" t="s">
        <v>91</v>
      </c>
    </row>
    <row r="16742" spans="1:5" x14ac:dyDescent="0.25">
      <c r="A16742" t="str">
        <f>HYPERLINK("https://www.773grp.com/globalSearch/DCV010512P-U/page-1", "DCV010512P-U")</f>
        <v>DCV010512P-U</v>
      </c>
      <c r="B16742" s="3" t="s">
        <v>90</v>
      </c>
      <c r="C16742" s="5">
        <v>3</v>
      </c>
      <c r="D16742" s="6">
        <v>18.260000000000002</v>
      </c>
      <c r="E16742" t="s">
        <v>91</v>
      </c>
    </row>
    <row r="16743" spans="1:5" x14ac:dyDescent="0.25">
      <c r="A16743" t="str">
        <f>HYPERLINK("https://www.773grp.com/globalSearch/DCV010515DP/page-1", "DCV010515DP")</f>
        <v>DCV010515DP</v>
      </c>
      <c r="B16743" s="3" t="s">
        <v>90</v>
      </c>
      <c r="C16743" s="5">
        <v>4930</v>
      </c>
      <c r="D16743" s="6">
        <v>18.260000000000002</v>
      </c>
      <c r="E16743" t="s">
        <v>91</v>
      </c>
    </row>
    <row r="16744" spans="1:5" x14ac:dyDescent="0.25">
      <c r="A16744" t="str">
        <f>HYPERLINK("https://www.773grp.com/globalSearch/DCV010515DP-U/page-1", "DCV010515DP-U")</f>
        <v>DCV010515DP-U</v>
      </c>
      <c r="B16744" s="3" t="s">
        <v>90</v>
      </c>
      <c r="C16744" s="5">
        <v>3311</v>
      </c>
      <c r="D16744" s="6">
        <v>18.260000000000002</v>
      </c>
      <c r="E16744" t="s">
        <v>91</v>
      </c>
    </row>
    <row r="16745" spans="1:5" x14ac:dyDescent="0.25">
      <c r="A16745" t="str">
        <f>HYPERLINK("https://www.773grp.com/globalSearch/DCV010515P-U/page-1", "DCV010515P-U")</f>
        <v>DCV010515P-U</v>
      </c>
      <c r="B16745" s="3" t="s">
        <v>90</v>
      </c>
      <c r="C16745" s="5">
        <v>1005</v>
      </c>
      <c r="D16745" s="6">
        <v>18.260000000000002</v>
      </c>
      <c r="E16745" t="s">
        <v>91</v>
      </c>
    </row>
    <row r="16746" spans="1:5" x14ac:dyDescent="0.25">
      <c r="A16746" t="str">
        <f>HYPERLINK("https://www.773grp.com/globalSearch/DCV011512DP/page-1", "DCV011512DP")</f>
        <v>DCV011512DP</v>
      </c>
      <c r="B16746" s="3" t="s">
        <v>90</v>
      </c>
      <c r="C16746" s="5">
        <v>565</v>
      </c>
      <c r="D16746" s="6">
        <v>18.260000000000002</v>
      </c>
      <c r="E16746" t="s">
        <v>91</v>
      </c>
    </row>
    <row r="16747" spans="1:5" x14ac:dyDescent="0.25">
      <c r="A16747" t="str">
        <f>HYPERLINK("https://www.773grp.com/globalSearch/DCV011512DP-U/page-1", "DCV011512DP-U")</f>
        <v>DCV011512DP-U</v>
      </c>
      <c r="B16747" s="3" t="s">
        <v>90</v>
      </c>
      <c r="C16747" s="5">
        <v>1425</v>
      </c>
      <c r="D16747" s="6">
        <v>18.260000000000002</v>
      </c>
      <c r="E16747" t="s">
        <v>91</v>
      </c>
    </row>
    <row r="16748" spans="1:5" x14ac:dyDescent="0.25">
      <c r="A16748" t="str">
        <f>HYPERLINK("https://www.773grp.com/globalSearch/DCV011515DP/page-1", "DCV011515DP")</f>
        <v>DCV011515DP</v>
      </c>
      <c r="B16748" s="3" t="s">
        <v>90</v>
      </c>
      <c r="C16748" s="5">
        <v>5</v>
      </c>
      <c r="D16748" s="6">
        <v>18.260000000000002</v>
      </c>
      <c r="E16748" t="s">
        <v>91</v>
      </c>
    </row>
    <row r="16749" spans="1:5" x14ac:dyDescent="0.25">
      <c r="A16749" t="str">
        <f>HYPERLINK("https://www.773grp.com/globalSearch/DCV011515DP-U/page-1", "DCV011515DP-U")</f>
        <v>DCV011515DP-U</v>
      </c>
      <c r="B16749" s="3" t="s">
        <v>90</v>
      </c>
      <c r="C16749" s="5">
        <v>838</v>
      </c>
      <c r="D16749" s="6">
        <v>18.260000000000002</v>
      </c>
      <c r="E16749" t="s">
        <v>91</v>
      </c>
    </row>
    <row r="16750" spans="1:5" x14ac:dyDescent="0.25">
      <c r="A16750" t="str">
        <f>HYPERLINK("https://www.773grp.com/globalSearch/DCV012405P/page-1", "DCV012405P")</f>
        <v>DCV012405P</v>
      </c>
      <c r="B16750" s="3" t="s">
        <v>90</v>
      </c>
      <c r="C16750" s="5">
        <v>25</v>
      </c>
      <c r="D16750" s="6">
        <v>18.260000000000002</v>
      </c>
      <c r="E16750" t="s">
        <v>91</v>
      </c>
    </row>
    <row r="16751" spans="1:5" x14ac:dyDescent="0.25">
      <c r="A16751" t="str">
        <f>HYPERLINK("https://www.773grp.com/globalSearch/DCV012405P-U/page-1", "DCV012405P-U")</f>
        <v>DCV012405P-U</v>
      </c>
      <c r="B16751" s="3" t="s">
        <v>90</v>
      </c>
      <c r="C16751" s="5">
        <v>2879</v>
      </c>
      <c r="D16751" s="6">
        <v>18.260000000000002</v>
      </c>
      <c r="E16751" t="s">
        <v>91</v>
      </c>
    </row>
    <row r="16752" spans="1:5" x14ac:dyDescent="0.25">
      <c r="A16752" t="str">
        <f>HYPERLINK("https://www.773grp.com/globalSearch/DCV012415DP/page-1", "DCV012415DP")</f>
        <v>DCV012415DP</v>
      </c>
      <c r="B16752" s="3" t="s">
        <v>90</v>
      </c>
      <c r="C16752" s="5">
        <v>123</v>
      </c>
      <c r="D16752" s="6">
        <v>18.260000000000002</v>
      </c>
      <c r="E16752" t="s">
        <v>91</v>
      </c>
    </row>
    <row r="16753" spans="1:5" x14ac:dyDescent="0.25">
      <c r="A16753" t="str">
        <f>HYPERLINK("https://www.773grp.com/globalSearch/DCV012415DP-U/page-1", "DCV012415DP-U")</f>
        <v>DCV012415DP-U</v>
      </c>
      <c r="B16753" s="3" t="s">
        <v>90</v>
      </c>
      <c r="C16753" s="5">
        <v>202</v>
      </c>
      <c r="D16753" s="6">
        <v>18.260000000000002</v>
      </c>
      <c r="E16753" t="s">
        <v>91</v>
      </c>
    </row>
    <row r="16754" spans="1:5" x14ac:dyDescent="0.25">
      <c r="A16754" t="str">
        <f>HYPERLINK("https://www.773grp.com/globalSearch/DCR011203P/page-1", "DCR011203P")</f>
        <v>DCR011203P</v>
      </c>
      <c r="B16754" s="3" t="s">
        <v>90</v>
      </c>
      <c r="C16754" s="5">
        <v>453</v>
      </c>
      <c r="D16754" s="6">
        <v>18.43</v>
      </c>
      <c r="E16754" t="s">
        <v>91</v>
      </c>
    </row>
    <row r="16755" spans="1:5" x14ac:dyDescent="0.25">
      <c r="A16755" t="str">
        <f>HYPERLINK("https://www.773grp.com/globalSearch/DCR011203U-1K/page-1", "DCR011203U-1K")</f>
        <v>DCR011203U-1K</v>
      </c>
      <c r="B16755" s="3" t="s">
        <v>90</v>
      </c>
      <c r="C16755" s="5">
        <v>4000</v>
      </c>
      <c r="D16755" s="6">
        <v>18.43</v>
      </c>
      <c r="E16755" t="s">
        <v>91</v>
      </c>
    </row>
    <row r="16756" spans="1:5" x14ac:dyDescent="0.25">
      <c r="A16756" t="str">
        <f>HYPERLINK("https://www.773grp.com/globalSearch/DCR011205P/page-1", "DCR011205P")</f>
        <v>DCR011205P</v>
      </c>
      <c r="B16756" s="3" t="s">
        <v>90</v>
      </c>
      <c r="C16756" s="5">
        <v>6</v>
      </c>
      <c r="D16756" s="6">
        <v>18.43</v>
      </c>
      <c r="E16756" t="s">
        <v>91</v>
      </c>
    </row>
    <row r="16757" spans="1:5" x14ac:dyDescent="0.25">
      <c r="A16757" t="str">
        <f>HYPERLINK("https://www.773grp.com/globalSearch/DCR011205U/page-1", "DCR011205U")</f>
        <v>DCR011205U</v>
      </c>
      <c r="B16757" s="3" t="s">
        <v>90</v>
      </c>
      <c r="C16757" s="5">
        <v>19</v>
      </c>
      <c r="D16757" s="6">
        <v>18.43</v>
      </c>
      <c r="E16757" t="s">
        <v>91</v>
      </c>
    </row>
    <row r="16758" spans="1:5" x14ac:dyDescent="0.25">
      <c r="A16758" t="str">
        <f>HYPERLINK("https://www.773grp.com/globalSearch/DCR012403P/page-1", "DCR012403P")</f>
        <v>DCR012403P</v>
      </c>
      <c r="B16758" s="3" t="s">
        <v>90</v>
      </c>
      <c r="C16758" s="5">
        <v>865</v>
      </c>
      <c r="D16758" s="6">
        <v>18.43</v>
      </c>
      <c r="E16758" t="s">
        <v>91</v>
      </c>
    </row>
    <row r="16759" spans="1:5" x14ac:dyDescent="0.25">
      <c r="A16759" t="str">
        <f>HYPERLINK("https://www.773grp.com/globalSearch/DCR012403U/page-1", "DCR012403U")</f>
        <v>DCR012403U</v>
      </c>
      <c r="B16759" s="3" t="s">
        <v>90</v>
      </c>
      <c r="C16759" s="5">
        <v>62</v>
      </c>
      <c r="D16759" s="6">
        <v>18.43</v>
      </c>
      <c r="E16759" t="s">
        <v>91</v>
      </c>
    </row>
    <row r="16760" spans="1:5" x14ac:dyDescent="0.25">
      <c r="A16760" t="str">
        <f>HYPERLINK("https://www.773grp.com/globalSearch/DCR012405P/page-1", "DCR012405P")</f>
        <v>DCR012405P</v>
      </c>
      <c r="B16760" s="3" t="s">
        <v>90</v>
      </c>
      <c r="C16760" s="5">
        <v>16805</v>
      </c>
      <c r="D16760" s="6">
        <v>18.43</v>
      </c>
      <c r="E16760" t="s">
        <v>91</v>
      </c>
    </row>
    <row r="16761" spans="1:5" x14ac:dyDescent="0.25">
      <c r="A16761" t="str">
        <f>HYPERLINK("https://www.773grp.com/globalSearch/DCR012405U/page-1", "DCR012405U")</f>
        <v>DCR012405U</v>
      </c>
      <c r="B16761" s="3" t="s">
        <v>90</v>
      </c>
      <c r="C16761" s="5">
        <v>24</v>
      </c>
      <c r="D16761" s="6">
        <v>18.43</v>
      </c>
      <c r="E16761" t="s">
        <v>91</v>
      </c>
    </row>
    <row r="16762" spans="1:5" x14ac:dyDescent="0.25">
      <c r="A16762" t="str">
        <f>HYPERLINK("https://www.773grp.com/globalSearch/PTH04T260WAS/page-1", "PTH04T260WAS")</f>
        <v>PTH04T260WAS</v>
      </c>
      <c r="B16762" s="3" t="s">
        <v>90</v>
      </c>
      <c r="C16762" s="5">
        <v>153</v>
      </c>
      <c r="D16762" s="6">
        <v>19.350000000000001</v>
      </c>
      <c r="E16762" t="s">
        <v>91</v>
      </c>
    </row>
    <row r="16763" spans="1:5" x14ac:dyDescent="0.25">
      <c r="A16763" t="str">
        <f>HYPERLINK("https://www.773grp.com/globalSearch/PTH04T261WAD/page-1", "PTH04T261WAD")</f>
        <v>PTH04T261WAD</v>
      </c>
      <c r="B16763" s="3" t="s">
        <v>90</v>
      </c>
      <c r="C16763" s="5">
        <v>717</v>
      </c>
      <c r="D16763" s="6">
        <v>19.350000000000001</v>
      </c>
      <c r="E16763" t="s">
        <v>91</v>
      </c>
    </row>
    <row r="16764" spans="1:5" x14ac:dyDescent="0.25">
      <c r="A16764" t="str">
        <f>HYPERLINK("https://www.773grp.com/globalSearch/PTH04T261WAS/page-1", "PTH04T261WAS")</f>
        <v>PTH04T261WAS</v>
      </c>
      <c r="B16764" s="3" t="s">
        <v>90</v>
      </c>
      <c r="C16764" s="5">
        <v>180</v>
      </c>
      <c r="D16764" s="6">
        <v>19.350000000000001</v>
      </c>
      <c r="E16764" t="s">
        <v>91</v>
      </c>
    </row>
    <row r="16765" spans="1:5" x14ac:dyDescent="0.25">
      <c r="A16765" t="str">
        <f>HYPERLINK("https://www.773grp.com/globalSearch/PTH04T261WAZ/page-1", "PTH04T261WAZ")</f>
        <v>PTH04T261WAZ</v>
      </c>
      <c r="B16765" s="3" t="s">
        <v>90</v>
      </c>
      <c r="C16765" s="5">
        <v>792</v>
      </c>
      <c r="D16765" s="6">
        <v>19.350000000000001</v>
      </c>
      <c r="E16765" t="s">
        <v>91</v>
      </c>
    </row>
    <row r="16766" spans="1:5" x14ac:dyDescent="0.25">
      <c r="A16766" t="str">
        <f>HYPERLINK("https://www.773grp.com/globalSearch/PTH08T260WAD/page-1", "PTH08T260WAD")</f>
        <v>PTH08T260WAD</v>
      </c>
      <c r="B16766" s="3" t="s">
        <v>90</v>
      </c>
      <c r="C16766" s="5">
        <v>997</v>
      </c>
      <c r="D16766" s="6">
        <v>19.350000000000001</v>
      </c>
      <c r="E16766" t="s">
        <v>91</v>
      </c>
    </row>
    <row r="16767" spans="1:5" x14ac:dyDescent="0.25">
      <c r="A16767" t="str">
        <f>HYPERLINK("https://www.773grp.com/globalSearch/PTH08T260WAZ/page-1", "PTH08T260WAZ")</f>
        <v>PTH08T260WAZ</v>
      </c>
      <c r="B16767" s="3" t="s">
        <v>90</v>
      </c>
      <c r="C16767" s="5">
        <v>476</v>
      </c>
      <c r="D16767" s="6">
        <v>19.350000000000001</v>
      </c>
      <c r="E16767" t="s">
        <v>91</v>
      </c>
    </row>
    <row r="16768" spans="1:5" x14ac:dyDescent="0.25">
      <c r="A16768" t="str">
        <f>HYPERLINK("https://www.773grp.com/globalSearch/PTH08T260WAZT/page-1", "PTH08T260WAZT")</f>
        <v>PTH08T260WAZT</v>
      </c>
      <c r="B16768" s="3" t="s">
        <v>90</v>
      </c>
      <c r="C16768" s="5">
        <v>1000</v>
      </c>
      <c r="D16768" s="6">
        <v>19.350000000000001</v>
      </c>
      <c r="E16768" t="s">
        <v>91</v>
      </c>
    </row>
    <row r="16769" spans="1:5" x14ac:dyDescent="0.25">
      <c r="A16769" t="str">
        <f>HYPERLINK("https://www.773grp.com/globalSearch/PTH08T261WAS/page-1", "PTH08T261WAS")</f>
        <v>PTH08T261WAS</v>
      </c>
      <c r="B16769" s="3" t="s">
        <v>90</v>
      </c>
      <c r="C16769" s="5">
        <v>99</v>
      </c>
      <c r="D16769" s="6">
        <v>19.350000000000001</v>
      </c>
      <c r="E16769" t="s">
        <v>91</v>
      </c>
    </row>
    <row r="16770" spans="1:5" x14ac:dyDescent="0.25">
      <c r="A16770" t="str">
        <f>HYPERLINK("https://www.773grp.com/globalSearch/PTH08T261WAZ/page-1", "PTH08T261WAZ")</f>
        <v>PTH08T261WAZ</v>
      </c>
      <c r="B16770" s="3" t="s">
        <v>90</v>
      </c>
      <c r="C16770" s="5">
        <v>188</v>
      </c>
      <c r="D16770" s="6">
        <v>19.350000000000001</v>
      </c>
      <c r="E16770" t="s">
        <v>91</v>
      </c>
    </row>
    <row r="16771" spans="1:5" x14ac:dyDescent="0.25">
      <c r="A16771" t="str">
        <f>HYPERLINK("https://www.773grp.com/globalSearch/PTH08T261WAZT/page-1", "PTH08T261WAZT")</f>
        <v>PTH08T261WAZT</v>
      </c>
      <c r="B16771" s="3" t="s">
        <v>90</v>
      </c>
      <c r="C16771" s="5">
        <v>1250</v>
      </c>
      <c r="D16771" s="6">
        <v>19.350000000000001</v>
      </c>
      <c r="E16771" t="s">
        <v>91</v>
      </c>
    </row>
    <row r="16772" spans="1:5" x14ac:dyDescent="0.25">
      <c r="A16772" t="str">
        <f>HYPERLINK("https://www.773grp.com/globalSearch/DCR021205P/page-1", "DCR021205P")</f>
        <v>DCR021205P</v>
      </c>
      <c r="B16772" s="3" t="s">
        <v>90</v>
      </c>
      <c r="C16772" s="5">
        <v>1550</v>
      </c>
      <c r="D16772" s="6">
        <v>19.66</v>
      </c>
      <c r="E16772" t="s">
        <v>91</v>
      </c>
    </row>
    <row r="16773" spans="1:5" x14ac:dyDescent="0.25">
      <c r="A16773" t="str">
        <f>HYPERLINK("https://www.773grp.com/globalSearch/DCR022405P/page-1", "DCR022405P")</f>
        <v>DCR022405P</v>
      </c>
      <c r="B16773" s="3" t="s">
        <v>90</v>
      </c>
      <c r="C16773" s="5">
        <v>1885</v>
      </c>
      <c r="D16773" s="6">
        <v>19.66</v>
      </c>
      <c r="E16773" t="s">
        <v>91</v>
      </c>
    </row>
    <row r="16774" spans="1:5" x14ac:dyDescent="0.25">
      <c r="A16774" t="str">
        <f>HYPERLINK("https://www.773grp.com/globalSearch/PTH03000WAH/page-1", "PTH03000WAH")</f>
        <v>PTH03000WAH</v>
      </c>
      <c r="B16774" s="3" t="s">
        <v>90</v>
      </c>
      <c r="C16774" s="5">
        <v>632</v>
      </c>
      <c r="D16774" s="6">
        <v>21.35</v>
      </c>
      <c r="E16774" t="s">
        <v>91</v>
      </c>
    </row>
    <row r="16775" spans="1:5" x14ac:dyDescent="0.25">
      <c r="A16775" t="str">
        <f>HYPERLINK("https://www.773grp.com/globalSearch/PTH03000WAST/page-1", "PTH03000WAST")</f>
        <v>PTH03000WAST</v>
      </c>
      <c r="B16775" s="3" t="s">
        <v>90</v>
      </c>
      <c r="C16775" s="5">
        <v>225</v>
      </c>
      <c r="D16775" s="6">
        <v>21.35</v>
      </c>
      <c r="E16775" t="s">
        <v>91</v>
      </c>
    </row>
    <row r="16776" spans="1:5" x14ac:dyDescent="0.25">
      <c r="A16776" t="str">
        <f>HYPERLINK("https://www.773grp.com/globalSearch/PTH03000WAZT/page-1", "PTH03000WAZT")</f>
        <v>PTH03000WAZT</v>
      </c>
      <c r="B16776" s="3" t="s">
        <v>90</v>
      </c>
      <c r="C16776" s="5">
        <v>250</v>
      </c>
      <c r="D16776" s="6">
        <v>21.35</v>
      </c>
      <c r="E16776" t="s">
        <v>91</v>
      </c>
    </row>
    <row r="16777" spans="1:5" x14ac:dyDescent="0.25">
      <c r="A16777" t="str">
        <f>HYPERLINK("https://www.773grp.com/globalSearch/PTH05000WAH/page-1", "PTH05000WAH")</f>
        <v>PTH05000WAH</v>
      </c>
      <c r="B16777" s="3" t="s">
        <v>90</v>
      </c>
      <c r="C16777" s="5">
        <v>1122</v>
      </c>
      <c r="D16777" s="6">
        <v>21.35</v>
      </c>
      <c r="E16777" t="s">
        <v>91</v>
      </c>
    </row>
    <row r="16778" spans="1:5" x14ac:dyDescent="0.25">
      <c r="A16778" t="str">
        <f>HYPERLINK("https://www.773grp.com/globalSearch/PTH05000WAS/page-1", "PTH05000WAS")</f>
        <v>PTH05000WAS</v>
      </c>
      <c r="B16778" s="3" t="s">
        <v>90</v>
      </c>
      <c r="C16778" s="5">
        <v>14605</v>
      </c>
      <c r="D16778" s="6">
        <v>21.35</v>
      </c>
      <c r="E16778" t="s">
        <v>91</v>
      </c>
    </row>
    <row r="16779" spans="1:5" x14ac:dyDescent="0.25">
      <c r="A16779" t="str">
        <f>HYPERLINK("https://www.773grp.com/globalSearch/PTH05000WAST/page-1", "PTH05000WAST")</f>
        <v>PTH05000WAST</v>
      </c>
      <c r="B16779" s="3" t="s">
        <v>90</v>
      </c>
      <c r="C16779" s="5">
        <v>1930</v>
      </c>
      <c r="D16779" s="6">
        <v>21.35</v>
      </c>
      <c r="E16779" t="s">
        <v>91</v>
      </c>
    </row>
    <row r="16780" spans="1:5" x14ac:dyDescent="0.25">
      <c r="A16780" t="str">
        <f>HYPERLINK("https://www.773grp.com/globalSearch/PTH05000WAZ/page-1", "PTH05000WAZ")</f>
        <v>PTH05000WAZ</v>
      </c>
      <c r="B16780" s="3" t="s">
        <v>90</v>
      </c>
      <c r="C16780" s="5">
        <v>18942</v>
      </c>
      <c r="D16780" s="6">
        <v>21.35</v>
      </c>
      <c r="E16780" t="s">
        <v>91</v>
      </c>
    </row>
    <row r="16781" spans="1:5" x14ac:dyDescent="0.25">
      <c r="A16781" t="str">
        <f>HYPERLINK("https://www.773grp.com/globalSearch/PTH12000WAD/page-1", "PTH12000WAD")</f>
        <v>PTH12000WAD</v>
      </c>
      <c r="B16781" s="3" t="s">
        <v>90</v>
      </c>
      <c r="C16781" s="5">
        <v>1</v>
      </c>
      <c r="D16781" s="6">
        <v>21.35</v>
      </c>
      <c r="E16781" t="s">
        <v>91</v>
      </c>
    </row>
    <row r="16782" spans="1:5" x14ac:dyDescent="0.25">
      <c r="A16782" t="str">
        <f>HYPERLINK("https://www.773grp.com/globalSearch/PTH12000WAS/page-1", "PTH12000WAS")</f>
        <v>PTH12000WAS</v>
      </c>
      <c r="B16782" s="3" t="s">
        <v>90</v>
      </c>
      <c r="C16782" s="5">
        <v>22</v>
      </c>
      <c r="D16782" s="6">
        <v>21.35</v>
      </c>
      <c r="E16782" t="s">
        <v>91</v>
      </c>
    </row>
    <row r="16783" spans="1:5" x14ac:dyDescent="0.25">
      <c r="A16783" t="str">
        <f>HYPERLINK("https://www.773grp.com/globalSearch/PTH03050WAD/page-1", "PTH03050WAD")</f>
        <v>PTH03050WAD</v>
      </c>
      <c r="B16783" s="3" t="s">
        <v>90</v>
      </c>
      <c r="C16783" s="5">
        <v>13</v>
      </c>
      <c r="D16783" s="6">
        <v>23.49</v>
      </c>
      <c r="E16783" t="s">
        <v>91</v>
      </c>
    </row>
    <row r="16784" spans="1:5" x14ac:dyDescent="0.25">
      <c r="A16784" t="str">
        <f>HYPERLINK("https://www.773grp.com/globalSearch/PTH03050WAH/page-1", "PTH03050WAH")</f>
        <v>PTH03050WAH</v>
      </c>
      <c r="B16784" s="3" t="s">
        <v>90</v>
      </c>
      <c r="C16784" s="5">
        <v>869</v>
      </c>
      <c r="D16784" s="6">
        <v>23.49</v>
      </c>
      <c r="E16784" t="s">
        <v>91</v>
      </c>
    </row>
    <row r="16785" spans="1:5" x14ac:dyDescent="0.25">
      <c r="A16785" t="str">
        <f>HYPERLINK("https://www.773grp.com/globalSearch/PTH03050WAS/page-1", "PTH03050WAS")</f>
        <v>PTH03050WAS</v>
      </c>
      <c r="B16785" s="3" t="s">
        <v>90</v>
      </c>
      <c r="C16785" s="5">
        <v>8</v>
      </c>
      <c r="D16785" s="6">
        <v>23.49</v>
      </c>
      <c r="E16785" t="s">
        <v>91</v>
      </c>
    </row>
    <row r="16786" spans="1:5" x14ac:dyDescent="0.25">
      <c r="A16786" t="str">
        <f>HYPERLINK("https://www.773grp.com/globalSearch/PTH03050WAST/page-1", "PTH03050WAST")</f>
        <v>PTH03050WAST</v>
      </c>
      <c r="B16786" s="3" t="s">
        <v>90</v>
      </c>
      <c r="C16786" s="5">
        <v>445</v>
      </c>
      <c r="D16786" s="6">
        <v>23.49</v>
      </c>
      <c r="E16786" t="s">
        <v>91</v>
      </c>
    </row>
    <row r="16787" spans="1:5" x14ac:dyDescent="0.25">
      <c r="A16787" t="str">
        <f>HYPERLINK("https://www.773grp.com/globalSearch/PTH03050WAZ/page-1", "PTH03050WAZ")</f>
        <v>PTH03050WAZ</v>
      </c>
      <c r="B16787" s="3" t="s">
        <v>90</v>
      </c>
      <c r="C16787" s="5">
        <v>616</v>
      </c>
      <c r="D16787" s="6">
        <v>23.49</v>
      </c>
      <c r="E16787" t="s">
        <v>91</v>
      </c>
    </row>
    <row r="16788" spans="1:5" x14ac:dyDescent="0.25">
      <c r="A16788" t="str">
        <f>HYPERLINK("https://www.773grp.com/globalSearch/PTH03050YAS/page-1", "PTH03050YAS")</f>
        <v>PTH03050YAS</v>
      </c>
      <c r="B16788" s="3" t="s">
        <v>90</v>
      </c>
      <c r="C16788" s="5">
        <v>631</v>
      </c>
      <c r="D16788" s="6">
        <v>23.49</v>
      </c>
      <c r="E16788" t="s">
        <v>91</v>
      </c>
    </row>
    <row r="16789" spans="1:5" x14ac:dyDescent="0.25">
      <c r="A16789" t="str">
        <f>HYPERLINK("https://www.773grp.com/globalSearch/PTH05050WAD/page-1", "PTH05050WAD")</f>
        <v>PTH05050WAD</v>
      </c>
      <c r="B16789" s="3" t="s">
        <v>90</v>
      </c>
      <c r="C16789" s="5">
        <v>272</v>
      </c>
      <c r="D16789" s="6">
        <v>23.49</v>
      </c>
      <c r="E16789" t="s">
        <v>91</v>
      </c>
    </row>
    <row r="16790" spans="1:5" x14ac:dyDescent="0.25">
      <c r="A16790" t="str">
        <f>HYPERLINK("https://www.773grp.com/globalSearch/PTH05050WAS/page-1", "PTH05050WAS")</f>
        <v>PTH05050WAS</v>
      </c>
      <c r="B16790" s="3" t="s">
        <v>90</v>
      </c>
      <c r="C16790" s="5">
        <v>69</v>
      </c>
      <c r="D16790" s="6">
        <v>23.49</v>
      </c>
      <c r="E16790" t="s">
        <v>91</v>
      </c>
    </row>
    <row r="16791" spans="1:5" x14ac:dyDescent="0.25">
      <c r="A16791" t="str">
        <f>HYPERLINK("https://www.773grp.com/globalSearch/PTH05050WAZ/page-1", "PTH05050WAZ")</f>
        <v>PTH05050WAZ</v>
      </c>
      <c r="B16791" s="3" t="s">
        <v>90</v>
      </c>
      <c r="C16791" s="5">
        <v>64</v>
      </c>
      <c r="D16791" s="6">
        <v>23.49</v>
      </c>
      <c r="E16791" t="s">
        <v>91</v>
      </c>
    </row>
    <row r="16792" spans="1:5" x14ac:dyDescent="0.25">
      <c r="A16792" t="str">
        <f>HYPERLINK("https://www.773grp.com/globalSearch/PTH12050LAH/page-1", "PTH12050LAH")</f>
        <v>PTH12050LAH</v>
      </c>
      <c r="B16792" s="3" t="s">
        <v>90</v>
      </c>
      <c r="C16792" s="5">
        <v>1232</v>
      </c>
      <c r="D16792" s="6">
        <v>23.49</v>
      </c>
      <c r="E16792" t="s">
        <v>91</v>
      </c>
    </row>
    <row r="16793" spans="1:5" x14ac:dyDescent="0.25">
      <c r="A16793" t="str">
        <f>HYPERLINK("https://www.773grp.com/globalSearch/PTH12050WAD/page-1", "PTH12050WAD")</f>
        <v>PTH12050WAD</v>
      </c>
      <c r="B16793" s="3" t="s">
        <v>90</v>
      </c>
      <c r="C16793" s="5">
        <v>168</v>
      </c>
      <c r="D16793" s="6">
        <v>23.49</v>
      </c>
      <c r="E16793" t="s">
        <v>91</v>
      </c>
    </row>
    <row r="16794" spans="1:5" x14ac:dyDescent="0.25">
      <c r="A16794" t="str">
        <f>HYPERLINK("https://www.773grp.com/globalSearch/PTH12050WAH/page-1", "PTH12050WAH")</f>
        <v>PTH12050WAH</v>
      </c>
      <c r="B16794" s="3" t="s">
        <v>90</v>
      </c>
      <c r="C16794" s="5">
        <v>12648</v>
      </c>
      <c r="D16794" s="6">
        <v>23.49</v>
      </c>
      <c r="E16794" t="s">
        <v>91</v>
      </c>
    </row>
    <row r="16795" spans="1:5" x14ac:dyDescent="0.25">
      <c r="A16795" t="str">
        <f>HYPERLINK("https://www.773grp.com/globalSearch/PTH12050WAS/page-1", "PTH12050WAS")</f>
        <v>PTH12050WAS</v>
      </c>
      <c r="B16795" s="3" t="s">
        <v>90</v>
      </c>
      <c r="C16795" s="5">
        <v>797</v>
      </c>
      <c r="D16795" s="6">
        <v>23.49</v>
      </c>
      <c r="E16795" t="s">
        <v>91</v>
      </c>
    </row>
    <row r="16796" spans="1:5" x14ac:dyDescent="0.25">
      <c r="A16796" t="str">
        <f>HYPERLINK("https://www.773grp.com/globalSearch/PTH12050WAST/page-1", "PTH12050WAST")</f>
        <v>PTH12050WAST</v>
      </c>
      <c r="B16796" s="3" t="s">
        <v>90</v>
      </c>
      <c r="C16796" s="5">
        <v>4601</v>
      </c>
      <c r="D16796" s="6">
        <v>23.49</v>
      </c>
      <c r="E16796" t="s">
        <v>91</v>
      </c>
    </row>
    <row r="16797" spans="1:5" x14ac:dyDescent="0.25">
      <c r="A16797" t="str">
        <f>HYPERLINK("https://www.773grp.com/globalSearch/PTH12050WAZ/page-1", "PTH12050WAZ")</f>
        <v>PTH12050WAZ</v>
      </c>
      <c r="B16797" s="3" t="s">
        <v>90</v>
      </c>
      <c r="C16797" s="5">
        <v>42</v>
      </c>
      <c r="D16797" s="6">
        <v>23.49</v>
      </c>
      <c r="E16797" t="s">
        <v>91</v>
      </c>
    </row>
    <row r="16798" spans="1:5" x14ac:dyDescent="0.25">
      <c r="A16798" t="str">
        <f>HYPERLINK("https://www.773grp.com/globalSearch/PTH12050WAZT/page-1", "PTH12050WAZT")</f>
        <v>PTH12050WAZT</v>
      </c>
      <c r="B16798" s="3" t="s">
        <v>90</v>
      </c>
      <c r="C16798" s="5">
        <v>250</v>
      </c>
      <c r="D16798" s="6">
        <v>23.49</v>
      </c>
      <c r="E16798" t="s">
        <v>91</v>
      </c>
    </row>
    <row r="16799" spans="1:5" x14ac:dyDescent="0.25">
      <c r="A16799" t="str">
        <f>HYPERLINK("https://www.773grp.com/globalSearch/PTH03050YAZT/page-1", "PTH03050YAZT")</f>
        <v>PTH03050YAZT</v>
      </c>
      <c r="B16799" s="3" t="s">
        <v>90</v>
      </c>
      <c r="C16799" s="5">
        <v>6750</v>
      </c>
      <c r="D16799" s="6">
        <v>23.91</v>
      </c>
      <c r="E16799" t="s">
        <v>91</v>
      </c>
    </row>
    <row r="16800" spans="1:5" x14ac:dyDescent="0.25">
      <c r="A16800" t="str">
        <f>HYPERLINK("https://www.773grp.com/globalSearch/PTH12000LAST/page-1", "PTH12000LAST")</f>
        <v>PTH12000LAST</v>
      </c>
      <c r="B16800" s="3" t="s">
        <v>90</v>
      </c>
      <c r="C16800" s="5">
        <v>250</v>
      </c>
      <c r="D16800" s="6">
        <v>24.34</v>
      </c>
      <c r="E16800" t="s">
        <v>91</v>
      </c>
    </row>
    <row r="16801" spans="1:5" x14ac:dyDescent="0.25">
      <c r="A16801" t="str">
        <f>HYPERLINK("https://www.773grp.com/globalSearch/PTH04T230WAD/page-1", "PTH04T230WAD")</f>
        <v>PTH04T230WAD</v>
      </c>
      <c r="B16801" s="3" t="s">
        <v>90</v>
      </c>
      <c r="C16801" s="5">
        <v>1916</v>
      </c>
      <c r="D16801" s="6">
        <v>24.44</v>
      </c>
      <c r="E16801" t="s">
        <v>91</v>
      </c>
    </row>
    <row r="16802" spans="1:5" x14ac:dyDescent="0.25">
      <c r="A16802" t="str">
        <f>HYPERLINK("https://www.773grp.com/globalSearch/PTH04T230WAS/page-1", "PTH04T230WAS")</f>
        <v>PTH04T230WAS</v>
      </c>
      <c r="B16802" s="3" t="s">
        <v>90</v>
      </c>
      <c r="C16802" s="5">
        <v>144</v>
      </c>
      <c r="D16802" s="6">
        <v>24.44</v>
      </c>
      <c r="E16802" t="s">
        <v>91</v>
      </c>
    </row>
    <row r="16803" spans="1:5" x14ac:dyDescent="0.25">
      <c r="A16803" t="str">
        <f>HYPERLINK("https://www.773grp.com/globalSearch/PTH04T230WAZ/page-1", "PTH04T230WAZ")</f>
        <v>PTH04T230WAZ</v>
      </c>
      <c r="B16803" s="3" t="s">
        <v>90</v>
      </c>
      <c r="C16803" s="5">
        <v>40</v>
      </c>
      <c r="D16803" s="6">
        <v>24.44</v>
      </c>
      <c r="E16803" t="s">
        <v>91</v>
      </c>
    </row>
    <row r="16804" spans="1:5" x14ac:dyDescent="0.25">
      <c r="A16804" t="str">
        <f>HYPERLINK("https://www.773grp.com/globalSearch/PTH04T231WAD/page-1", "PTH04T231WAD")</f>
        <v>PTH04T231WAD</v>
      </c>
      <c r="B16804" s="3" t="s">
        <v>90</v>
      </c>
      <c r="C16804" s="5">
        <v>6</v>
      </c>
      <c r="D16804" s="6">
        <v>24.44</v>
      </c>
      <c r="E16804" t="s">
        <v>91</v>
      </c>
    </row>
    <row r="16805" spans="1:5" x14ac:dyDescent="0.25">
      <c r="A16805" t="str">
        <f>HYPERLINK("https://www.773grp.com/globalSearch/PTH04T231WAS/page-1", "PTH04T231WAS")</f>
        <v>PTH04T231WAS</v>
      </c>
      <c r="B16805" s="3" t="s">
        <v>90</v>
      </c>
      <c r="C16805" s="5">
        <v>6</v>
      </c>
      <c r="D16805" s="6">
        <v>24.44</v>
      </c>
      <c r="E16805" t="s">
        <v>91</v>
      </c>
    </row>
    <row r="16806" spans="1:5" x14ac:dyDescent="0.25">
      <c r="A16806" t="str">
        <f>HYPERLINK("https://www.773grp.com/globalSearch/PTH04T231WAZ/page-1", "PTH04T231WAZ")</f>
        <v>PTH04T231WAZ</v>
      </c>
      <c r="B16806" s="3" t="s">
        <v>90</v>
      </c>
      <c r="C16806" s="5">
        <v>15</v>
      </c>
      <c r="D16806" s="6">
        <v>24.44</v>
      </c>
      <c r="E16806" t="s">
        <v>91</v>
      </c>
    </row>
    <row r="16807" spans="1:5" x14ac:dyDescent="0.25">
      <c r="A16807" t="str">
        <f>HYPERLINK("https://www.773grp.com/globalSearch/PTH08T230WAS/page-1", "PTH08T230WAS")</f>
        <v>PTH08T230WAS</v>
      </c>
      <c r="B16807" s="3" t="s">
        <v>90</v>
      </c>
      <c r="C16807" s="5">
        <v>2795</v>
      </c>
      <c r="D16807" s="6">
        <v>24.44</v>
      </c>
      <c r="E16807" t="s">
        <v>91</v>
      </c>
    </row>
    <row r="16808" spans="1:5" x14ac:dyDescent="0.25">
      <c r="A16808" t="str">
        <f>HYPERLINK("https://www.773grp.com/globalSearch/PTH08T230WAZT/page-1", "PTH08T230WAZT")</f>
        <v>PTH08T230WAZT</v>
      </c>
      <c r="B16808" s="3" t="s">
        <v>90</v>
      </c>
      <c r="C16808" s="5">
        <v>553</v>
      </c>
      <c r="D16808" s="6">
        <v>24.44</v>
      </c>
      <c r="E16808" t="s">
        <v>91</v>
      </c>
    </row>
    <row r="16809" spans="1:5" x14ac:dyDescent="0.25">
      <c r="A16809" t="str">
        <f>HYPERLINK("https://www.773grp.com/globalSearch/PTH08T231WAS/page-1", "PTH08T231WAS")</f>
        <v>PTH08T231WAS</v>
      </c>
      <c r="B16809" s="3" t="s">
        <v>90</v>
      </c>
      <c r="C16809" s="5">
        <v>73</v>
      </c>
      <c r="D16809" s="6">
        <v>24.44</v>
      </c>
      <c r="E16809" t="s">
        <v>91</v>
      </c>
    </row>
    <row r="16810" spans="1:5" x14ac:dyDescent="0.25">
      <c r="A16810" t="str">
        <f>HYPERLINK("https://www.773grp.com/globalSearch/PTH08T231WAZ/page-1", "PTH08T231WAZ")</f>
        <v>PTH08T231WAZ</v>
      </c>
      <c r="B16810" s="3" t="s">
        <v>90</v>
      </c>
      <c r="C16810" s="5">
        <v>6</v>
      </c>
      <c r="D16810" s="6">
        <v>24.44</v>
      </c>
      <c r="E16810" t="s">
        <v>91</v>
      </c>
    </row>
    <row r="16811" spans="1:5" x14ac:dyDescent="0.25">
      <c r="A16811" t="str">
        <f>HYPERLINK("https://www.773grp.com/globalSearch/PTN78000AAZT/page-1", "PTN78000AAZT")</f>
        <v>PTN78000AAZT</v>
      </c>
      <c r="B16811" s="3" t="s">
        <v>90</v>
      </c>
      <c r="C16811" s="5">
        <v>733</v>
      </c>
      <c r="D16811" s="6">
        <v>25.54</v>
      </c>
      <c r="E16811" t="s">
        <v>91</v>
      </c>
    </row>
    <row r="16812" spans="1:5" x14ac:dyDescent="0.25">
      <c r="A16812" t="str">
        <f>HYPERLINK("https://www.773grp.com/globalSearch/PTN78000HAS/page-1", "PTN78000HAS")</f>
        <v>PTN78000HAS</v>
      </c>
      <c r="B16812" s="3" t="s">
        <v>90</v>
      </c>
      <c r="C16812" s="5">
        <v>162</v>
      </c>
      <c r="D16812" s="6">
        <v>25.54</v>
      </c>
      <c r="E16812" t="s">
        <v>91</v>
      </c>
    </row>
    <row r="16813" spans="1:5" x14ac:dyDescent="0.25">
      <c r="A16813" t="str">
        <f>HYPERLINK("https://www.773grp.com/globalSearch/PTH12000LAS/page-1", "PTH12000LAS")</f>
        <v>PTH12000LAS</v>
      </c>
      <c r="B16813" s="3" t="s">
        <v>90</v>
      </c>
      <c r="C16813" s="5">
        <v>2850</v>
      </c>
      <c r="D16813" s="6">
        <v>26.7</v>
      </c>
      <c r="E16813" t="s">
        <v>91</v>
      </c>
    </row>
    <row r="16814" spans="1:5" x14ac:dyDescent="0.25">
      <c r="A16814" t="str">
        <f>HYPERLINK("https://www.773grp.com/globalSearch/PTH05050YAS/page-1", "PTH05050YAS")</f>
        <v>PTH05050YAS</v>
      </c>
      <c r="B16814" s="3" t="str">
        <f>HYPERLINK("https://www.773grp.com/manufacturer/texas-instruments?pageNo=335", "Texas Instruments")</f>
        <v>Texas Instruments</v>
      </c>
      <c r="C16814" s="5">
        <v>1642</v>
      </c>
      <c r="D16814" s="6">
        <v>29.36</v>
      </c>
      <c r="E16814" t="s">
        <v>91</v>
      </c>
    </row>
    <row r="16815" spans="1:5" x14ac:dyDescent="0.25">
      <c r="A16815" t="str">
        <f>HYPERLINK("https://www.773grp.com/globalSearch/PTH05050YAZ/page-1", "PTH05050YAZ")</f>
        <v>PTH05050YAZ</v>
      </c>
      <c r="B16815" s="3" t="str">
        <f>HYPERLINK("https://www.773grp.com/manufacturer/texas-instruments?pageNo=337", "Texas Instruments")</f>
        <v>Texas Instruments</v>
      </c>
      <c r="C16815" s="5">
        <v>7</v>
      </c>
      <c r="D16815" s="6">
        <v>29.36</v>
      </c>
      <c r="E16815" t="s">
        <v>91</v>
      </c>
    </row>
    <row r="16816" spans="1:5" x14ac:dyDescent="0.25">
      <c r="A16816" t="str">
        <f>HYPERLINK("https://www.773grp.com/globalSearch/PTH12050YAS/page-1", "PTH12050YAS")</f>
        <v>PTH12050YAS</v>
      </c>
      <c r="B16816" s="3" t="str">
        <f>HYPERLINK("https://www.773grp.com/manufacturer/texas-instruments?pageNo=339", "Texas Instruments")</f>
        <v>Texas Instruments</v>
      </c>
      <c r="C16816" s="5">
        <v>639</v>
      </c>
      <c r="D16816" s="6">
        <v>29.36</v>
      </c>
      <c r="E16816" t="s">
        <v>91</v>
      </c>
    </row>
    <row r="16817" spans="1:5" x14ac:dyDescent="0.25">
      <c r="A16817" t="str">
        <f>HYPERLINK("https://www.773grp.com/globalSearch/PTH12050YAST/page-1", "PTH12050YAST")</f>
        <v>PTH12050YAST</v>
      </c>
      <c r="B16817" s="3" t="str">
        <f>HYPERLINK("https://www.773grp.com/manufacturer/texas-instruments?pageNo=340", "Texas Instruments")</f>
        <v>Texas Instruments</v>
      </c>
      <c r="C16817" s="5">
        <v>625</v>
      </c>
      <c r="D16817" s="6">
        <v>29.36</v>
      </c>
      <c r="E16817" t="s">
        <v>91</v>
      </c>
    </row>
    <row r="16818" spans="1:5" x14ac:dyDescent="0.25">
      <c r="A16818" t="str">
        <f>HYPERLINK("https://www.773grp.com/globalSearch/PTH12050YAZ/page-1", "PTH12050YAZ")</f>
        <v>PTH12050YAZ</v>
      </c>
      <c r="B16818" s="3" t="str">
        <f>HYPERLINK("https://www.773grp.com/manufacturer/texas-instruments?pageNo=341", "Texas Instruments")</f>
        <v>Texas Instruments</v>
      </c>
      <c r="C16818" s="5">
        <v>149</v>
      </c>
      <c r="D16818" s="6">
        <v>29.36</v>
      </c>
      <c r="E16818" t="s">
        <v>91</v>
      </c>
    </row>
    <row r="16819" spans="1:5" x14ac:dyDescent="0.25">
      <c r="A16819" t="str">
        <f>HYPERLINK("https://www.773grp.com/globalSearch/PTH12050YAZT/page-1", "PTH12050YAZT")</f>
        <v>PTH12050YAZT</v>
      </c>
      <c r="B16819" s="3" t="str">
        <f>HYPERLINK("https://www.773grp.com/manufacturer/texas-instruments?pageNo=342", "Texas Instruments")</f>
        <v>Texas Instruments</v>
      </c>
      <c r="C16819" s="5">
        <v>1107</v>
      </c>
      <c r="D16819" s="6">
        <v>29.36</v>
      </c>
      <c r="E16819" t="s">
        <v>91</v>
      </c>
    </row>
    <row r="16820" spans="1:5" x14ac:dyDescent="0.25">
      <c r="A16820" t="str">
        <f>HYPERLINK("https://www.773grp.com/globalSearch/PTV03010WAH/page-1", "PTV03010WAH")</f>
        <v>PTV03010WAH</v>
      </c>
      <c r="B16820" s="3" t="str">
        <f>HYPERLINK("https://www.773grp.com/manufacturer/texas-instruments?pageNo=343", "Texas Instruments")</f>
        <v>Texas Instruments</v>
      </c>
      <c r="C16820" s="5">
        <v>723</v>
      </c>
      <c r="D16820" s="6">
        <v>29.36</v>
      </c>
      <c r="E16820" t="s">
        <v>91</v>
      </c>
    </row>
    <row r="16821" spans="1:5" x14ac:dyDescent="0.25">
      <c r="A16821" t="str">
        <f>HYPERLINK("https://www.773grp.com/globalSearch/PTV05010WAH/page-1", "PTV05010WAH")</f>
        <v>PTV05010WAH</v>
      </c>
      <c r="B16821" s="3" t="str">
        <f>HYPERLINK("https://www.773grp.com/manufacturer/texas-instruments?pageNo=344", "Texas Instruments")</f>
        <v>Texas Instruments</v>
      </c>
      <c r="C16821" s="5">
        <v>190</v>
      </c>
      <c r="D16821" s="6">
        <v>29.36</v>
      </c>
      <c r="E16821" t="s">
        <v>91</v>
      </c>
    </row>
    <row r="16822" spans="1:5" x14ac:dyDescent="0.25">
      <c r="A16822" t="str">
        <f>HYPERLINK("https://www.773grp.com/globalSearch/PTV12010LAD/page-1", "PTV12010LAD")</f>
        <v>PTV12010LAD</v>
      </c>
      <c r="B16822" s="3" t="str">
        <f>HYPERLINK("https://www.773grp.com/manufacturer/texas-instruments?pageNo=345", "Texas Instruments")</f>
        <v>Texas Instruments</v>
      </c>
      <c r="C16822" s="5">
        <v>57</v>
      </c>
      <c r="D16822" s="6">
        <v>29.36</v>
      </c>
      <c r="E16822" t="s">
        <v>91</v>
      </c>
    </row>
    <row r="16823" spans="1:5" x14ac:dyDescent="0.25">
      <c r="A16823" t="str">
        <f>HYPERLINK("https://www.773grp.com/globalSearch/PTV12010LAH/page-1", "PTV12010LAH")</f>
        <v>PTV12010LAH</v>
      </c>
      <c r="B16823" s="3" t="str">
        <f>HYPERLINK("https://www.773grp.com/manufacturer/texas-instruments?pageNo=346", "Texas Instruments")</f>
        <v>Texas Instruments</v>
      </c>
      <c r="C16823" s="5">
        <v>54</v>
      </c>
      <c r="D16823" s="6">
        <v>29.36</v>
      </c>
      <c r="E16823" t="s">
        <v>91</v>
      </c>
    </row>
    <row r="16824" spans="1:5" x14ac:dyDescent="0.25">
      <c r="A16824" t="str">
        <f>HYPERLINK("https://www.773grp.com/globalSearch/PTV12010WAH/page-1", "PTV12010WAH")</f>
        <v>PTV12010WAH</v>
      </c>
      <c r="B16824" s="3" t="str">
        <f>HYPERLINK("https://www.773grp.com/manufacturer/texas-instruments?pageNo=347", "Texas Instruments")</f>
        <v>Texas Instruments</v>
      </c>
      <c r="C16824" s="5">
        <v>4893</v>
      </c>
      <c r="D16824" s="6">
        <v>29.36</v>
      </c>
      <c r="E16824" t="s">
        <v>91</v>
      </c>
    </row>
    <row r="16825" spans="1:5" x14ac:dyDescent="0.25">
      <c r="A16825" t="str">
        <f>HYPERLINK("https://www.773grp.com/globalSearch/PTH03060YAZ/page-1", "PTH03060YAZ")</f>
        <v>PTH03060YAZ</v>
      </c>
      <c r="B16825" s="3" t="str">
        <f>HYPERLINK("https://www.773grp.com/manufacturer/texas-instruments?pageNo=472", "Texas Instruments")</f>
        <v>Texas Instruments</v>
      </c>
      <c r="C16825" s="5">
        <v>555</v>
      </c>
      <c r="D16825" s="6">
        <v>30.33</v>
      </c>
      <c r="E16825" t="s">
        <v>91</v>
      </c>
    </row>
    <row r="16826" spans="1:5" x14ac:dyDescent="0.25">
      <c r="A16826" t="str">
        <f>HYPERLINK("https://www.773grp.com/globalSearch/PTN04050CAS/page-1", "PTN04050CAS")</f>
        <v>PTN04050CAS</v>
      </c>
      <c r="B16826" s="3" t="str">
        <f>HYPERLINK("https://www.773grp.com/manufacturer/texas-instruments?pageNo=526", "Texas Instruments")</f>
        <v>Texas Instruments</v>
      </c>
      <c r="C16826" s="5">
        <v>2</v>
      </c>
      <c r="D16826" s="6">
        <v>30.63</v>
      </c>
      <c r="E16826" t="s">
        <v>91</v>
      </c>
    </row>
    <row r="16827" spans="1:5" x14ac:dyDescent="0.25">
      <c r="A16827" t="str">
        <f>HYPERLINK("https://www.773grp.com/globalSearch/PTN04050CAZT/page-1", "PTN04050CAZT")</f>
        <v>PTN04050CAZT</v>
      </c>
      <c r="B16827" s="3" t="str">
        <f>HYPERLINK("https://www.773grp.com/manufacturer/texas-instruments?pageNo=528", "Texas Instruments")</f>
        <v>Texas Instruments</v>
      </c>
      <c r="C16827" s="5">
        <v>2500</v>
      </c>
      <c r="D16827" s="6">
        <v>30.63</v>
      </c>
      <c r="E16827" t="s">
        <v>91</v>
      </c>
    </row>
    <row r="16828" spans="1:5" x14ac:dyDescent="0.25">
      <c r="A16828" t="str">
        <f>HYPERLINK("https://www.773grp.com/globalSearch/PTH03060WAD/page-1", "PTH03060WAD")</f>
        <v>PTH03060WAD</v>
      </c>
      <c r="B16828" s="3" t="str">
        <f>HYPERLINK("https://www.773grp.com/manufacturer/texas-instruments?pageNo=952", "Texas Instruments")</f>
        <v>Texas Instruments</v>
      </c>
      <c r="C16828" s="5">
        <v>8358</v>
      </c>
      <c r="D16828" s="6">
        <v>33.36</v>
      </c>
      <c r="E16828" t="s">
        <v>91</v>
      </c>
    </row>
    <row r="16829" spans="1:5" x14ac:dyDescent="0.25">
      <c r="A16829" t="str">
        <f>HYPERLINK("https://www.773grp.com/globalSearch/PTH03060WAH/page-1", "PTH03060WAH")</f>
        <v>PTH03060WAH</v>
      </c>
      <c r="B16829" s="3" t="str">
        <f>HYPERLINK("https://www.773grp.com/manufacturer/texas-instruments?pageNo=953", "Texas Instruments")</f>
        <v>Texas Instruments</v>
      </c>
      <c r="C16829" s="5">
        <v>192</v>
      </c>
      <c r="D16829" s="6">
        <v>33.36</v>
      </c>
      <c r="E16829" t="s">
        <v>91</v>
      </c>
    </row>
    <row r="16830" spans="1:5" x14ac:dyDescent="0.25">
      <c r="A16830" t="str">
        <f>HYPERLINK("https://www.773grp.com/globalSearch/PTH03060WAS/page-1", "PTH03060WAS")</f>
        <v>PTH03060WAS</v>
      </c>
      <c r="B16830" s="3" t="str">
        <f>HYPERLINK("https://www.773grp.com/manufacturer/texas-instruments?pageNo=954", "Texas Instruments")</f>
        <v>Texas Instruments</v>
      </c>
      <c r="C16830" s="5">
        <v>113</v>
      </c>
      <c r="D16830" s="6">
        <v>33.36</v>
      </c>
      <c r="E16830" t="s">
        <v>91</v>
      </c>
    </row>
    <row r="16831" spans="1:5" x14ac:dyDescent="0.25">
      <c r="A16831" t="str">
        <f>HYPERLINK("https://www.773grp.com/globalSearch/PTH03060YAH/page-1", "PTH03060YAH")</f>
        <v>PTH03060YAH</v>
      </c>
      <c r="B16831" s="3" t="str">
        <f>HYPERLINK("https://www.773grp.com/manufacturer/texas-instruments?pageNo=956", "Texas Instruments")</f>
        <v>Texas Instruments</v>
      </c>
      <c r="C16831" s="5">
        <v>68</v>
      </c>
      <c r="D16831" s="6">
        <v>33.36</v>
      </c>
      <c r="E16831" t="s">
        <v>91</v>
      </c>
    </row>
    <row r="16832" spans="1:5" x14ac:dyDescent="0.25">
      <c r="A16832" t="str">
        <f>HYPERLINK("https://www.773grp.com/globalSearch/PTH03060YAS/page-1", "PTH03060YAS")</f>
        <v>PTH03060YAS</v>
      </c>
      <c r="B16832" s="3" t="str">
        <f>HYPERLINK("https://www.773grp.com/manufacturer/texas-instruments?pageNo=957", "Texas Instruments")</f>
        <v>Texas Instruments</v>
      </c>
      <c r="C16832" s="5">
        <v>538</v>
      </c>
      <c r="D16832" s="6">
        <v>33.36</v>
      </c>
      <c r="E16832" t="s">
        <v>91</v>
      </c>
    </row>
    <row r="16833" spans="1:5" x14ac:dyDescent="0.25">
      <c r="A16833" t="str">
        <f>HYPERLINK("https://www.773grp.com/globalSearch/PTH03060YAST/page-1", "PTH03060YAST")</f>
        <v>PTH03060YAST</v>
      </c>
      <c r="B16833" s="3" t="str">
        <f>HYPERLINK("https://www.773grp.com/manufacturer/texas-instruments?pageNo=958", "Texas Instruments")</f>
        <v>Texas Instruments</v>
      </c>
      <c r="C16833" s="5">
        <v>2000</v>
      </c>
      <c r="D16833" s="6">
        <v>33.36</v>
      </c>
      <c r="E16833" t="s">
        <v>91</v>
      </c>
    </row>
    <row r="16834" spans="1:5" x14ac:dyDescent="0.25">
      <c r="A16834" t="str">
        <f>HYPERLINK("https://www.773grp.com/globalSearch/PTH05060WAD/page-1", "PTH05060WAD")</f>
        <v>PTH05060WAD</v>
      </c>
      <c r="B16834" s="3" t="str">
        <f>HYPERLINK("https://www.773grp.com/manufacturer/texas-instruments?pageNo=959", "Texas Instruments")</f>
        <v>Texas Instruments</v>
      </c>
      <c r="C16834" s="5">
        <v>144</v>
      </c>
      <c r="D16834" s="6">
        <v>33.36</v>
      </c>
      <c r="E16834" t="s">
        <v>91</v>
      </c>
    </row>
    <row r="16835" spans="1:5" x14ac:dyDescent="0.25">
      <c r="A16835" t="str">
        <f>HYPERLINK("https://www.773grp.com/globalSearch/PTH05060WAH/page-1", "PTH05060WAH")</f>
        <v>PTH05060WAH</v>
      </c>
      <c r="B16835" s="3" t="str">
        <f>HYPERLINK("https://www.773grp.com/manufacturer/texas-instruments?pageNo=960", "Texas Instruments")</f>
        <v>Texas Instruments</v>
      </c>
      <c r="C16835" s="5">
        <v>336</v>
      </c>
      <c r="D16835" s="6">
        <v>33.36</v>
      </c>
      <c r="E16835" t="s">
        <v>91</v>
      </c>
    </row>
    <row r="16836" spans="1:5" x14ac:dyDescent="0.25">
      <c r="A16836" t="str">
        <f>HYPERLINK("https://www.773grp.com/globalSearch/PTH05060WAS/page-1", "PTH05060WAS")</f>
        <v>PTH05060WAS</v>
      </c>
      <c r="B16836" s="3" t="str">
        <f>HYPERLINK("https://www.773grp.com/manufacturer/texas-instruments?pageNo=961", "Texas Instruments")</f>
        <v>Texas Instruments</v>
      </c>
      <c r="C16836" s="5">
        <v>4152</v>
      </c>
      <c r="D16836" s="6">
        <v>33.36</v>
      </c>
      <c r="E16836" t="s">
        <v>91</v>
      </c>
    </row>
    <row r="16837" spans="1:5" x14ac:dyDescent="0.25">
      <c r="A16837" t="str">
        <f>HYPERLINK("https://www.773grp.com/globalSearch/PTH05060WAZ/page-1", "PTH05060WAZ")</f>
        <v>PTH05060WAZ</v>
      </c>
      <c r="B16837" s="3" t="str">
        <f>HYPERLINK("https://www.773grp.com/manufacturer/texas-instruments?pageNo=963", "Texas Instruments")</f>
        <v>Texas Instruments</v>
      </c>
      <c r="C16837" s="5">
        <v>174</v>
      </c>
      <c r="D16837" s="6">
        <v>33.36</v>
      </c>
      <c r="E16837" t="s">
        <v>91</v>
      </c>
    </row>
    <row r="16838" spans="1:5" x14ac:dyDescent="0.25">
      <c r="A16838" t="str">
        <f>HYPERLINK("https://www.773grp.com/globalSearch/PTH05060WAZT/page-1", "PTH05060WAZT")</f>
        <v>PTH05060WAZT</v>
      </c>
      <c r="B16838" s="3" t="str">
        <f>HYPERLINK("https://www.773grp.com/manufacturer/texas-instruments?pageNo=964", "Texas Instruments")</f>
        <v>Texas Instruments</v>
      </c>
      <c r="C16838" s="5">
        <v>101</v>
      </c>
      <c r="D16838" s="6">
        <v>33.36</v>
      </c>
      <c r="E16838" t="s">
        <v>91</v>
      </c>
    </row>
    <row r="16839" spans="1:5" x14ac:dyDescent="0.25">
      <c r="A16839" t="str">
        <f>HYPERLINK("https://www.773grp.com/globalSearch/PTH12060LAS/page-1", "PTH12060LAS")</f>
        <v>PTH12060LAS</v>
      </c>
      <c r="B16839" s="3" t="str">
        <f>HYPERLINK("https://www.773grp.com/manufacturer/texas-instruments?pageNo=966", "Texas Instruments")</f>
        <v>Texas Instruments</v>
      </c>
      <c r="C16839" s="5">
        <v>36</v>
      </c>
      <c r="D16839" s="6">
        <v>33.36</v>
      </c>
      <c r="E16839" t="s">
        <v>91</v>
      </c>
    </row>
    <row r="16840" spans="1:5" x14ac:dyDescent="0.25">
      <c r="A16840" t="str">
        <f>HYPERLINK("https://www.773grp.com/globalSearch/PTH12060LAST/page-1", "PTH12060LAST")</f>
        <v>PTH12060LAST</v>
      </c>
      <c r="B16840" s="3" t="str">
        <f>HYPERLINK("https://www.773grp.com/manufacturer/texas-instruments?pageNo=967", "Texas Instruments")</f>
        <v>Texas Instruments</v>
      </c>
      <c r="C16840" s="5">
        <v>250</v>
      </c>
      <c r="D16840" s="6">
        <v>33.36</v>
      </c>
      <c r="E16840" t="s">
        <v>91</v>
      </c>
    </row>
    <row r="16841" spans="1:5" x14ac:dyDescent="0.25">
      <c r="A16841" t="str">
        <f>HYPERLINK("https://www.773grp.com/globalSearch/PTH12060LAZ/page-1", "PTH12060LAZ")</f>
        <v>PTH12060LAZ</v>
      </c>
      <c r="B16841" s="3" t="str">
        <f>HYPERLINK("https://www.773grp.com/manufacturer/texas-instruments?pageNo=968", "Texas Instruments")</f>
        <v>Texas Instruments</v>
      </c>
      <c r="C16841" s="5">
        <v>4</v>
      </c>
      <c r="D16841" s="6">
        <v>33.36</v>
      </c>
      <c r="E16841" t="s">
        <v>91</v>
      </c>
    </row>
    <row r="16842" spans="1:5" x14ac:dyDescent="0.25">
      <c r="A16842" t="str">
        <f>HYPERLINK("https://www.773grp.com/globalSearch/PTH12060LAZT/page-1", "PTH12060LAZT")</f>
        <v>PTH12060LAZT</v>
      </c>
      <c r="B16842" s="3" t="str">
        <f>HYPERLINK("https://www.773grp.com/manufacturer/texas-instruments?pageNo=969", "Texas Instruments")</f>
        <v>Texas Instruments</v>
      </c>
      <c r="C16842" s="5">
        <v>500</v>
      </c>
      <c r="D16842" s="6">
        <v>33.36</v>
      </c>
      <c r="E16842" t="s">
        <v>91</v>
      </c>
    </row>
    <row r="16843" spans="1:5" x14ac:dyDescent="0.25">
      <c r="A16843" t="str">
        <f>HYPERLINK("https://www.773grp.com/globalSearch/PTH12060WAH/page-1", "PTH12060WAH")</f>
        <v>PTH12060WAH</v>
      </c>
      <c r="B16843" s="3" t="str">
        <f>HYPERLINK("https://www.773grp.com/manufacturer/texas-instruments?pageNo=971", "Texas Instruments")</f>
        <v>Texas Instruments</v>
      </c>
      <c r="C16843" s="5">
        <v>184</v>
      </c>
      <c r="D16843" s="6">
        <v>33.36</v>
      </c>
      <c r="E16843" t="s">
        <v>91</v>
      </c>
    </row>
    <row r="16844" spans="1:5" x14ac:dyDescent="0.25">
      <c r="A16844" t="str">
        <f>HYPERLINK("https://www.773grp.com/globalSearch/PTH12060WAZ/page-1", "PTH12060WAZ")</f>
        <v>PTH12060WAZ</v>
      </c>
      <c r="B16844" s="3" t="str">
        <f>HYPERLINK("https://www.773grp.com/manufacturer/texas-instruments?pageNo=973", "Texas Instruments")</f>
        <v>Texas Instruments</v>
      </c>
      <c r="C16844" s="5">
        <v>31</v>
      </c>
      <c r="D16844" s="6">
        <v>33.36</v>
      </c>
      <c r="E16844" t="s">
        <v>91</v>
      </c>
    </row>
    <row r="16845" spans="1:5" x14ac:dyDescent="0.25">
      <c r="A16845" t="str">
        <f>HYPERLINK("https://www.773grp.com/globalSearch/PTH12060WAZT/page-1", "PTH12060WAZT")</f>
        <v>PTH12060WAZT</v>
      </c>
      <c r="B16845" s="3" t="str">
        <f>HYPERLINK("https://www.773grp.com/manufacturer/texas-instruments?pageNo=974", "Texas Instruments")</f>
        <v>Texas Instruments</v>
      </c>
      <c r="C16845" s="5">
        <v>1250</v>
      </c>
      <c r="D16845" s="6">
        <v>33.36</v>
      </c>
      <c r="E16845" t="s">
        <v>91</v>
      </c>
    </row>
    <row r="16846" spans="1:5" x14ac:dyDescent="0.25">
      <c r="A16846" t="str">
        <f>HYPERLINK("https://www.773grp.com/globalSearch/PTH04T240FAS/page-1", "PTH04T240FAS")</f>
        <v>PTH04T240FAS</v>
      </c>
      <c r="B16846" s="3" t="str">
        <f>HYPERLINK("https://www.773grp.com/manufacturer/texas-instruments?pageNo=980", "Texas Instruments")</f>
        <v>Texas Instruments</v>
      </c>
      <c r="C16846" s="5">
        <v>392</v>
      </c>
      <c r="D16846" s="6">
        <v>33.409999999999997</v>
      </c>
      <c r="E16846" t="s">
        <v>91</v>
      </c>
    </row>
    <row r="16847" spans="1:5" x14ac:dyDescent="0.25">
      <c r="A16847" t="str">
        <f>HYPERLINK("https://www.773grp.com/globalSearch/PTH04T240FAZ/page-1", "PTH04T240FAZ")</f>
        <v>PTH04T240FAZ</v>
      </c>
      <c r="B16847" s="3" t="str">
        <f>HYPERLINK("https://www.773grp.com/manufacturer/texas-instruments?pageNo=981", "Texas Instruments")</f>
        <v>Texas Instruments</v>
      </c>
      <c r="C16847" s="5">
        <v>588</v>
      </c>
      <c r="D16847" s="6">
        <v>33.409999999999997</v>
      </c>
      <c r="E16847" t="s">
        <v>91</v>
      </c>
    </row>
    <row r="16848" spans="1:5" x14ac:dyDescent="0.25">
      <c r="A16848" t="str">
        <f>HYPERLINK("https://www.773grp.com/globalSearch/PTH04T240WAD/page-1", "PTH04T240WAD")</f>
        <v>PTH04T240WAD</v>
      </c>
      <c r="B16848" s="3" t="str">
        <f>HYPERLINK("https://www.773grp.com/manufacturer/texas-instruments?pageNo=982", "Texas Instruments")</f>
        <v>Texas Instruments</v>
      </c>
      <c r="C16848" s="5">
        <v>4</v>
      </c>
      <c r="D16848" s="6">
        <v>33.409999999999997</v>
      </c>
      <c r="E16848" t="s">
        <v>91</v>
      </c>
    </row>
    <row r="16849" spans="1:5" x14ac:dyDescent="0.25">
      <c r="A16849" t="str">
        <f>HYPERLINK("https://www.773grp.com/globalSearch/PTH04T240WAST/page-1", "PTH04T240WAST")</f>
        <v>PTH04T240WAST</v>
      </c>
      <c r="B16849" s="3" t="str">
        <f>HYPERLINK("https://www.773grp.com/manufacturer/texas-instruments?pageNo=983", "Texas Instruments")</f>
        <v>Texas Instruments</v>
      </c>
      <c r="C16849" s="5">
        <v>250</v>
      </c>
      <c r="D16849" s="6">
        <v>33.409999999999997</v>
      </c>
      <c r="E16849" t="s">
        <v>91</v>
      </c>
    </row>
    <row r="16850" spans="1:5" x14ac:dyDescent="0.25">
      <c r="A16850" t="str">
        <f>HYPERLINK("https://www.773grp.com/globalSearch/PTH04T240WAZ/page-1", "PTH04T240WAZ")</f>
        <v>PTH04T240WAZ</v>
      </c>
      <c r="B16850" s="3" t="str">
        <f>HYPERLINK("https://www.773grp.com/manufacturer/texas-instruments?pageNo=984", "Texas Instruments")</f>
        <v>Texas Instruments</v>
      </c>
      <c r="C16850" s="5">
        <v>1492</v>
      </c>
      <c r="D16850" s="6">
        <v>33.409999999999997</v>
      </c>
      <c r="E16850" t="s">
        <v>91</v>
      </c>
    </row>
    <row r="16851" spans="1:5" x14ac:dyDescent="0.25">
      <c r="A16851" t="str">
        <f>HYPERLINK("https://www.773grp.com/globalSearch/PTH04T240WAZT/page-1", "PTH04T240WAZT")</f>
        <v>PTH04T240WAZT</v>
      </c>
      <c r="B16851" s="3" t="str">
        <f>HYPERLINK("https://www.773grp.com/manufacturer/texas-instruments?pageNo=985", "Texas Instruments")</f>
        <v>Texas Instruments</v>
      </c>
      <c r="C16851" s="5">
        <v>9950</v>
      </c>
      <c r="D16851" s="6">
        <v>33.409999999999997</v>
      </c>
      <c r="E16851" t="s">
        <v>91</v>
      </c>
    </row>
    <row r="16852" spans="1:5" x14ac:dyDescent="0.25">
      <c r="A16852" t="str">
        <f>HYPERLINK("https://www.773grp.com/globalSearch/PTH08T241WAS/page-1", "PTH08T241WAS")</f>
        <v>PTH08T241WAS</v>
      </c>
      <c r="B16852" s="3" t="s">
        <v>90</v>
      </c>
      <c r="C16852" s="5">
        <v>637</v>
      </c>
      <c r="D16852" s="6">
        <v>33.409999999999997</v>
      </c>
      <c r="E16852" t="s">
        <v>91</v>
      </c>
    </row>
    <row r="16853" spans="1:5" x14ac:dyDescent="0.25">
      <c r="A16853" t="str">
        <f>HYPERLINK("https://www.773grp.com/globalSearch/PTH08T241WAZ/page-1", "PTH08T241WAZ")</f>
        <v>PTH08T241WAZ</v>
      </c>
      <c r="B16853" s="3" t="s">
        <v>90</v>
      </c>
      <c r="C16853" s="5">
        <v>701</v>
      </c>
      <c r="D16853" s="6">
        <v>33.409999999999997</v>
      </c>
      <c r="E16853" t="s">
        <v>91</v>
      </c>
    </row>
    <row r="16854" spans="1:5" x14ac:dyDescent="0.25">
      <c r="A16854" t="str">
        <f>HYPERLINK("https://www.773grp.com/globalSearch/PTH08T240FAS/page-1", "PTH08T240FAS")</f>
        <v>PTH08T240FAS</v>
      </c>
      <c r="B16854" s="3" t="s">
        <v>90</v>
      </c>
      <c r="C16854" s="5">
        <v>221</v>
      </c>
      <c r="D16854" s="6">
        <v>36.75</v>
      </c>
      <c r="E16854" t="s">
        <v>91</v>
      </c>
    </row>
    <row r="16855" spans="1:5" x14ac:dyDescent="0.25">
      <c r="A16855" t="str">
        <f>HYPERLINK("https://www.773grp.com/globalSearch/PTH08T240FAZ/page-1", "PTH08T240FAZ")</f>
        <v>PTH08T240FAZ</v>
      </c>
      <c r="B16855" s="3" t="s">
        <v>90</v>
      </c>
      <c r="C16855" s="5">
        <v>1303</v>
      </c>
      <c r="D16855" s="6">
        <v>36.75</v>
      </c>
      <c r="E16855" t="s">
        <v>91</v>
      </c>
    </row>
    <row r="16856" spans="1:5" x14ac:dyDescent="0.25">
      <c r="A16856" t="str">
        <f>HYPERLINK("https://www.773grp.com/globalSearch/PTH08T240WAH/page-1", "PTH08T240WAH")</f>
        <v>PTH08T240WAH</v>
      </c>
      <c r="B16856" s="3" t="s">
        <v>90</v>
      </c>
      <c r="C16856" s="5">
        <v>85</v>
      </c>
      <c r="D16856" s="6">
        <v>36.75</v>
      </c>
      <c r="E16856" t="s">
        <v>91</v>
      </c>
    </row>
    <row r="16857" spans="1:5" x14ac:dyDescent="0.25">
      <c r="A16857" t="str">
        <f>HYPERLINK("https://www.773grp.com/globalSearch/PTH08T240WAS/page-1", "PTH08T240WAS")</f>
        <v>PTH08T240WAS</v>
      </c>
      <c r="B16857" s="3" t="s">
        <v>90</v>
      </c>
      <c r="C16857" s="5">
        <v>1626</v>
      </c>
      <c r="D16857" s="6">
        <v>36.75</v>
      </c>
      <c r="E16857" t="s">
        <v>91</v>
      </c>
    </row>
    <row r="16858" spans="1:5" x14ac:dyDescent="0.25">
      <c r="A16858" t="str">
        <f>HYPERLINK("https://www.773grp.com/globalSearch/PTH08T240WAST/page-1", "PTH08T240WAST")</f>
        <v>PTH08T240WAST</v>
      </c>
      <c r="B16858" s="3" t="s">
        <v>90</v>
      </c>
      <c r="C16858" s="5">
        <v>2000</v>
      </c>
      <c r="D16858" s="6">
        <v>36.75</v>
      </c>
      <c r="E16858" t="s">
        <v>91</v>
      </c>
    </row>
    <row r="16859" spans="1:5" x14ac:dyDescent="0.25">
      <c r="A16859" t="str">
        <f>HYPERLINK("https://www.773grp.com/globalSearch/PTH08T240WAZT/page-1", "PTH08T240WAZT")</f>
        <v>PTH08T240WAZT</v>
      </c>
      <c r="B16859" s="3" t="s">
        <v>90</v>
      </c>
      <c r="C16859" s="5">
        <v>733</v>
      </c>
      <c r="D16859" s="6">
        <v>36.75</v>
      </c>
      <c r="E16859" t="s">
        <v>91</v>
      </c>
    </row>
    <row r="16860" spans="1:5" x14ac:dyDescent="0.25">
      <c r="A16860" t="str">
        <f>HYPERLINK("https://www.773grp.com/globalSearch/PTH04T220WAS/page-1", "PTH04T220WAS")</f>
        <v>PTH04T220WAS</v>
      </c>
      <c r="B16860" s="3" t="s">
        <v>90</v>
      </c>
      <c r="C16860" s="5">
        <v>20</v>
      </c>
      <c r="D16860" s="6">
        <v>38.99</v>
      </c>
      <c r="E16860" t="s">
        <v>91</v>
      </c>
    </row>
    <row r="16861" spans="1:5" x14ac:dyDescent="0.25">
      <c r="A16861" t="str">
        <f>HYPERLINK("https://www.773grp.com/globalSearch/PTH04T220WAZ/page-1", "PTH04T220WAZ")</f>
        <v>PTH04T220WAZ</v>
      </c>
      <c r="B16861" s="3" t="s">
        <v>90</v>
      </c>
      <c r="C16861" s="5">
        <v>9</v>
      </c>
      <c r="D16861" s="6">
        <v>38.99</v>
      </c>
      <c r="E16861" t="s">
        <v>91</v>
      </c>
    </row>
    <row r="16862" spans="1:5" x14ac:dyDescent="0.25">
      <c r="A16862" t="str">
        <f>HYPERLINK("https://www.773grp.com/globalSearch/PTH04T221WAS/page-1", "PTH04T221WAS")</f>
        <v>PTH04T221WAS</v>
      </c>
      <c r="B16862" s="3" t="s">
        <v>90</v>
      </c>
      <c r="C16862" s="5">
        <v>84</v>
      </c>
      <c r="D16862" s="6">
        <v>38.99</v>
      </c>
      <c r="E16862" t="s">
        <v>91</v>
      </c>
    </row>
    <row r="16863" spans="1:5" x14ac:dyDescent="0.25">
      <c r="A16863" t="str">
        <f>HYPERLINK("https://www.773grp.com/globalSearch/PTH04T221WAZ/page-1", "PTH04T221WAZ")</f>
        <v>PTH04T221WAZ</v>
      </c>
      <c r="B16863" s="3" t="s">
        <v>90</v>
      </c>
      <c r="C16863" s="5">
        <v>146</v>
      </c>
      <c r="D16863" s="6">
        <v>38.99</v>
      </c>
      <c r="E16863" t="s">
        <v>91</v>
      </c>
    </row>
    <row r="16864" spans="1:5" x14ac:dyDescent="0.25">
      <c r="A16864" t="str">
        <f>HYPERLINK("https://www.773grp.com/globalSearch/PTH08T221WAS/page-1", "PTH08T221WAS")</f>
        <v>PTH08T221WAS</v>
      </c>
      <c r="B16864" s="3" t="s">
        <v>90</v>
      </c>
      <c r="C16864" s="5">
        <v>1008</v>
      </c>
      <c r="D16864" s="6">
        <v>38.99</v>
      </c>
      <c r="E16864" t="s">
        <v>91</v>
      </c>
    </row>
    <row r="16865" spans="1:5" x14ac:dyDescent="0.25">
      <c r="A16865" t="str">
        <f>HYPERLINK("https://www.773grp.com/globalSearch/PTH08T221WAZT/page-1", "PTH08T221WAZT")</f>
        <v>PTH08T221WAZT</v>
      </c>
      <c r="B16865" s="3" t="s">
        <v>90</v>
      </c>
      <c r="C16865" s="5">
        <v>235</v>
      </c>
      <c r="D16865" s="6">
        <v>38.99</v>
      </c>
      <c r="E16865" t="s">
        <v>91</v>
      </c>
    </row>
    <row r="16866" spans="1:5" x14ac:dyDescent="0.25">
      <c r="A16866" t="str">
        <f>HYPERLINK("https://www.773grp.com/globalSearch/PTH03010WAD/page-1", "PTH03010WAD")</f>
        <v>PTH03010WAD</v>
      </c>
      <c r="B16866" s="3" t="s">
        <v>90</v>
      </c>
      <c r="C16866" s="5">
        <v>200</v>
      </c>
      <c r="D16866" s="6">
        <v>39.49</v>
      </c>
      <c r="E16866" t="s">
        <v>91</v>
      </c>
    </row>
    <row r="16867" spans="1:5" x14ac:dyDescent="0.25">
      <c r="A16867" t="str">
        <f>HYPERLINK("https://www.773grp.com/globalSearch/PTH03010WAH/page-1", "PTH03010WAH")</f>
        <v>PTH03010WAH</v>
      </c>
      <c r="B16867" s="3" t="s">
        <v>90</v>
      </c>
      <c r="C16867" s="5">
        <v>1475</v>
      </c>
      <c r="D16867" s="6">
        <v>39.49</v>
      </c>
      <c r="E16867" t="s">
        <v>91</v>
      </c>
    </row>
    <row r="16868" spans="1:5" x14ac:dyDescent="0.25">
      <c r="A16868" t="str">
        <f>HYPERLINK("https://www.773grp.com/globalSearch/PTH03010WAS/page-1", "PTH03010WAS")</f>
        <v>PTH03010WAS</v>
      </c>
      <c r="B16868" s="3" t="s">
        <v>90</v>
      </c>
      <c r="C16868" s="5">
        <v>1084</v>
      </c>
      <c r="D16868" s="6">
        <v>39.49</v>
      </c>
      <c r="E16868" t="s">
        <v>91</v>
      </c>
    </row>
    <row r="16869" spans="1:5" x14ac:dyDescent="0.25">
      <c r="A16869" t="str">
        <f>HYPERLINK("https://www.773grp.com/globalSearch/PTH03010WAZ/page-1", "PTH03010WAZ")</f>
        <v>PTH03010WAZ</v>
      </c>
      <c r="B16869" s="3" t="s">
        <v>90</v>
      </c>
      <c r="C16869" s="5">
        <v>49</v>
      </c>
      <c r="D16869" s="6">
        <v>39.49</v>
      </c>
      <c r="E16869" t="s">
        <v>91</v>
      </c>
    </row>
    <row r="16870" spans="1:5" x14ac:dyDescent="0.25">
      <c r="A16870" t="str">
        <f>HYPERLINK("https://www.773grp.com/globalSearch/PTH05010WAH/page-1", "PTH05010WAH")</f>
        <v>PTH05010WAH</v>
      </c>
      <c r="B16870" s="3" t="s">
        <v>90</v>
      </c>
      <c r="C16870" s="5">
        <v>793</v>
      </c>
      <c r="D16870" s="6">
        <v>39.49</v>
      </c>
      <c r="E16870" t="s">
        <v>91</v>
      </c>
    </row>
    <row r="16871" spans="1:5" x14ac:dyDescent="0.25">
      <c r="A16871" t="str">
        <f>HYPERLINK("https://www.773grp.com/globalSearch/PTH05010WAS/page-1", "PTH05010WAS")</f>
        <v>PTH05010WAS</v>
      </c>
      <c r="B16871" s="3" t="s">
        <v>90</v>
      </c>
      <c r="C16871" s="5">
        <v>3274</v>
      </c>
      <c r="D16871" s="6">
        <v>39.49</v>
      </c>
      <c r="E16871" t="s">
        <v>91</v>
      </c>
    </row>
    <row r="16872" spans="1:5" x14ac:dyDescent="0.25">
      <c r="A16872" t="str">
        <f>HYPERLINK("https://www.773grp.com/globalSearch/PTH05010WAZ/page-1", "PTH05010WAZ")</f>
        <v>PTH05010WAZ</v>
      </c>
      <c r="B16872" s="3" t="s">
        <v>90</v>
      </c>
      <c r="C16872" s="5">
        <v>184</v>
      </c>
      <c r="D16872" s="6">
        <v>39.49</v>
      </c>
      <c r="E16872" t="s">
        <v>91</v>
      </c>
    </row>
    <row r="16873" spans="1:5" x14ac:dyDescent="0.25">
      <c r="A16873" t="str">
        <f>HYPERLINK("https://www.773grp.com/globalSearch/PTH12010WAH/page-1", "PTH12010WAH")</f>
        <v>PTH12010WAH</v>
      </c>
      <c r="B16873" s="3" t="s">
        <v>90</v>
      </c>
      <c r="C16873" s="5">
        <v>50</v>
      </c>
      <c r="D16873" s="6">
        <v>39.49</v>
      </c>
      <c r="E16873" t="s">
        <v>91</v>
      </c>
    </row>
    <row r="16874" spans="1:5" x14ac:dyDescent="0.25">
      <c r="A16874" t="str">
        <f>HYPERLINK("https://www.773grp.com/globalSearch/PTH12010WAS/page-1", "PTH12010WAS")</f>
        <v>PTH12010WAS</v>
      </c>
      <c r="B16874" s="3" t="s">
        <v>90</v>
      </c>
      <c r="C16874" s="5">
        <v>686</v>
      </c>
      <c r="D16874" s="6">
        <v>39.49</v>
      </c>
      <c r="E16874" t="s">
        <v>91</v>
      </c>
    </row>
    <row r="16875" spans="1:5" x14ac:dyDescent="0.25">
      <c r="A16875" t="str">
        <f>HYPERLINK("https://www.773grp.com/globalSearch/PTH12010WAST/page-1", "PTH12010WAST")</f>
        <v>PTH12010WAST</v>
      </c>
      <c r="B16875" s="3" t="s">
        <v>90</v>
      </c>
      <c r="C16875" s="5">
        <v>3750</v>
      </c>
      <c r="D16875" s="6">
        <v>39.49</v>
      </c>
      <c r="E16875" t="s">
        <v>91</v>
      </c>
    </row>
    <row r="16876" spans="1:5" x14ac:dyDescent="0.25">
      <c r="A16876" t="str">
        <f>HYPERLINK("https://www.773grp.com/globalSearch/PTH12010WAZ/page-1", "PTH12010WAZ")</f>
        <v>PTH12010WAZ</v>
      </c>
      <c r="B16876" s="3" t="s">
        <v>90</v>
      </c>
      <c r="C16876" s="5">
        <v>7380</v>
      </c>
      <c r="D16876" s="6">
        <v>39.49</v>
      </c>
      <c r="E16876" t="s">
        <v>91</v>
      </c>
    </row>
    <row r="16877" spans="1:5" x14ac:dyDescent="0.25">
      <c r="A16877" t="str">
        <f>HYPERLINK("https://www.773grp.com/globalSearch/PTV12020WAD/page-1", "PTV12020WAD")</f>
        <v>PTV12020WAD</v>
      </c>
      <c r="B16877" s="3" t="s">
        <v>90</v>
      </c>
      <c r="C16877" s="5">
        <v>70</v>
      </c>
      <c r="D16877" s="6">
        <v>39.49</v>
      </c>
      <c r="E16877" t="s">
        <v>91</v>
      </c>
    </row>
    <row r="16878" spans="1:5" x14ac:dyDescent="0.25">
      <c r="A16878" t="str">
        <f>HYPERLINK("https://www.773grp.com/globalSearch/PTV12020WAD/page-1", "PTV12020WAD")</f>
        <v>PTV12020WAD</v>
      </c>
      <c r="B16878" s="3" t="s">
        <v>90</v>
      </c>
      <c r="C16878" s="5">
        <v>160</v>
      </c>
      <c r="D16878" s="6">
        <v>39.49</v>
      </c>
      <c r="E16878" t="s">
        <v>91</v>
      </c>
    </row>
    <row r="16879" spans="1:5" x14ac:dyDescent="0.25">
      <c r="A16879" t="str">
        <f>HYPERLINK("https://www.773grp.com/globalSearch/PTMA403033A1AZT/page-1", "PTMA403033A1AZT")</f>
        <v>PTMA403033A1AZT</v>
      </c>
      <c r="B16879" s="3" t="s">
        <v>90</v>
      </c>
      <c r="C16879" s="5">
        <v>200</v>
      </c>
      <c r="D16879" s="6">
        <v>39.79</v>
      </c>
      <c r="E16879" t="s">
        <v>91</v>
      </c>
    </row>
    <row r="16880" spans="1:5" x14ac:dyDescent="0.25">
      <c r="A16880" t="str">
        <f>HYPERLINK("https://www.773grp.com/globalSearch/PT6303G/page-1", "PT6303G")</f>
        <v>PT6303G</v>
      </c>
      <c r="B16880" s="3" t="s">
        <v>90</v>
      </c>
      <c r="C16880" s="5">
        <v>1</v>
      </c>
      <c r="D16880" s="6">
        <v>39.909999999999997</v>
      </c>
      <c r="E16880" t="s">
        <v>91</v>
      </c>
    </row>
    <row r="16881" spans="1:5" x14ac:dyDescent="0.25">
      <c r="A16881" t="str">
        <f>HYPERLINK("https://www.773grp.com/globalSearch/PT6304R/page-1", "PT6304R")</f>
        <v>PT6304R</v>
      </c>
      <c r="B16881" s="3" t="s">
        <v>90</v>
      </c>
      <c r="C16881" s="5">
        <v>5</v>
      </c>
      <c r="D16881" s="6">
        <v>39.909999999999997</v>
      </c>
      <c r="E16881" t="s">
        <v>91</v>
      </c>
    </row>
    <row r="16882" spans="1:5" x14ac:dyDescent="0.25">
      <c r="A16882" t="str">
        <f>HYPERLINK("https://www.773grp.com/globalSearch/PTH03010YAH/page-1", "PTH03010YAH")</f>
        <v>PTH03010YAH</v>
      </c>
      <c r="B16882" s="3" t="s">
        <v>90</v>
      </c>
      <c r="C16882" s="5">
        <v>7550</v>
      </c>
      <c r="D16882" s="6">
        <v>40.79</v>
      </c>
      <c r="E16882" t="s">
        <v>91</v>
      </c>
    </row>
    <row r="16883" spans="1:5" x14ac:dyDescent="0.25">
      <c r="A16883" t="str">
        <f>HYPERLINK("https://www.773grp.com/globalSearch/PTH03010YAZ/page-1", "PTH03010YAZ")</f>
        <v>PTH03010YAZ</v>
      </c>
      <c r="B16883" s="3" t="s">
        <v>90</v>
      </c>
      <c r="C16883" s="5">
        <v>825</v>
      </c>
      <c r="D16883" s="6">
        <v>40.79</v>
      </c>
      <c r="E16883" t="s">
        <v>91</v>
      </c>
    </row>
    <row r="16884" spans="1:5" x14ac:dyDescent="0.25">
      <c r="A16884" t="str">
        <f>HYPERLINK("https://www.773grp.com/globalSearch/PTH05010YAS/page-1", "PTH05010YAS")</f>
        <v>PTH05010YAS</v>
      </c>
      <c r="B16884" s="3" t="s">
        <v>90</v>
      </c>
      <c r="C16884" s="5">
        <v>1424</v>
      </c>
      <c r="D16884" s="6">
        <v>40.79</v>
      </c>
      <c r="E16884" t="s">
        <v>91</v>
      </c>
    </row>
    <row r="16885" spans="1:5" x14ac:dyDescent="0.25">
      <c r="A16885" t="str">
        <f>HYPERLINK("https://www.773grp.com/globalSearch/PTH12010YAZT/page-1", "PTH12010YAZT")</f>
        <v>PTH12010YAZT</v>
      </c>
      <c r="B16885" s="3" t="s">
        <v>90</v>
      </c>
      <c r="C16885" s="5">
        <v>2000</v>
      </c>
      <c r="D16885" s="6">
        <v>40.79</v>
      </c>
      <c r="E16885" t="s">
        <v>91</v>
      </c>
    </row>
    <row r="16886" spans="1:5" x14ac:dyDescent="0.25">
      <c r="A16886" t="str">
        <f>HYPERLINK("https://www.773grp.com/globalSearch/PTMA402050A2AZ/page-1", "PTMA402050A2AZ")</f>
        <v>PTMA402050A2AZ</v>
      </c>
      <c r="B16886" s="3" t="s">
        <v>90</v>
      </c>
      <c r="C16886" s="5">
        <v>10</v>
      </c>
      <c r="D16886" s="6">
        <v>40.79</v>
      </c>
      <c r="E16886" t="s">
        <v>91</v>
      </c>
    </row>
    <row r="16887" spans="1:5" x14ac:dyDescent="0.25">
      <c r="A16887" t="str">
        <f>HYPERLINK("https://www.773grp.com/globalSearch/PTMA402050A3AZ/page-1", "PTMA402050A3AZ")</f>
        <v>PTMA402050A3AZ</v>
      </c>
      <c r="B16887" s="3" t="s">
        <v>90</v>
      </c>
      <c r="C16887" s="5">
        <v>30</v>
      </c>
      <c r="D16887" s="6">
        <v>40.79</v>
      </c>
      <c r="E16887" t="s">
        <v>91</v>
      </c>
    </row>
    <row r="16888" spans="1:5" x14ac:dyDescent="0.25">
      <c r="A16888" t="str">
        <f>HYPERLINK("https://www.773grp.com/globalSearch/PTMA402050N1AD/page-1", "PTMA402050N1AD")</f>
        <v>PTMA402050N1AD</v>
      </c>
      <c r="B16888" s="3" t="s">
        <v>90</v>
      </c>
      <c r="C16888" s="5">
        <v>30</v>
      </c>
      <c r="D16888" s="6">
        <v>40.79</v>
      </c>
      <c r="E16888" t="s">
        <v>91</v>
      </c>
    </row>
    <row r="16889" spans="1:5" x14ac:dyDescent="0.25">
      <c r="A16889" t="str">
        <f>HYPERLINK("https://www.773grp.com/globalSearch/PTMA402050P1AD/page-1", "PTMA402050P1AD")</f>
        <v>PTMA402050P1AD</v>
      </c>
      <c r="B16889" s="3" t="s">
        <v>90</v>
      </c>
      <c r="C16889" s="5">
        <v>18</v>
      </c>
      <c r="D16889" s="6">
        <v>40.79</v>
      </c>
      <c r="E16889" t="s">
        <v>91</v>
      </c>
    </row>
    <row r="16890" spans="1:5" x14ac:dyDescent="0.25">
      <c r="A16890" t="str">
        <f>HYPERLINK("https://www.773grp.com/globalSearch/PTMA402050P1AZ/page-1", "PTMA402050P1AZ")</f>
        <v>PTMA402050P1AZ</v>
      </c>
      <c r="B16890" s="3" t="s">
        <v>90</v>
      </c>
      <c r="C16890" s="5">
        <v>62</v>
      </c>
      <c r="D16890" s="6">
        <v>40.79</v>
      </c>
      <c r="E16890" t="s">
        <v>91</v>
      </c>
    </row>
    <row r="16891" spans="1:5" x14ac:dyDescent="0.25">
      <c r="A16891" t="str">
        <f>HYPERLINK("https://www.773grp.com/globalSearch/PTMA403033A2AZ/page-1", "PTMA403033A2AZ")</f>
        <v>PTMA403033A2AZ</v>
      </c>
      <c r="B16891" s="3" t="s">
        <v>90</v>
      </c>
      <c r="C16891" s="5">
        <v>90</v>
      </c>
      <c r="D16891" s="6">
        <v>40.79</v>
      </c>
      <c r="E16891" t="s">
        <v>91</v>
      </c>
    </row>
    <row r="16892" spans="1:5" x14ac:dyDescent="0.25">
      <c r="A16892" t="str">
        <f>HYPERLINK("https://www.773grp.com/globalSearch/PTMA403033N1AS/page-1", "PTMA403033N1AS")</f>
        <v>PTMA403033N1AS</v>
      </c>
      <c r="B16892" s="3" t="s">
        <v>90</v>
      </c>
      <c r="C16892" s="5">
        <v>60</v>
      </c>
      <c r="D16892" s="6">
        <v>40.79</v>
      </c>
      <c r="E16892" t="s">
        <v>91</v>
      </c>
    </row>
    <row r="16893" spans="1:5" x14ac:dyDescent="0.25">
      <c r="A16893" t="str">
        <f>HYPERLINK("https://www.773grp.com/globalSearch/PTMA403033P1AZ/page-1", "PTMA403033P1AZ")</f>
        <v>PTMA403033P1AZ</v>
      </c>
      <c r="B16893" s="3" t="s">
        <v>90</v>
      </c>
      <c r="C16893" s="5">
        <v>90</v>
      </c>
      <c r="D16893" s="6">
        <v>40.79</v>
      </c>
      <c r="E16893" t="s">
        <v>91</v>
      </c>
    </row>
    <row r="16894" spans="1:5" x14ac:dyDescent="0.25">
      <c r="A16894" t="str">
        <f>HYPERLINK("https://www.773grp.com/globalSearch/PTH05060YAH/page-1", "PTH05060YAH")</f>
        <v>PTH05060YAH</v>
      </c>
      <c r="B16894" s="3" t="s">
        <v>90</v>
      </c>
      <c r="C16894" s="5">
        <v>153</v>
      </c>
      <c r="D16894" s="6">
        <v>41.71</v>
      </c>
      <c r="E16894" t="s">
        <v>91</v>
      </c>
    </row>
    <row r="16895" spans="1:5" x14ac:dyDescent="0.25">
      <c r="A16895" t="str">
        <f>HYPERLINK("https://www.773grp.com/globalSearch/PTH05060YAS/page-1", "PTH05060YAS")</f>
        <v>PTH05060YAS</v>
      </c>
      <c r="B16895" s="3" t="s">
        <v>90</v>
      </c>
      <c r="C16895" s="5">
        <v>148</v>
      </c>
      <c r="D16895" s="6">
        <v>41.71</v>
      </c>
      <c r="E16895" t="s">
        <v>91</v>
      </c>
    </row>
    <row r="16896" spans="1:5" x14ac:dyDescent="0.25">
      <c r="A16896" t="str">
        <f>HYPERLINK("https://www.773grp.com/globalSearch/PTH12060YAH/page-1", "PTH12060YAH")</f>
        <v>PTH12060YAH</v>
      </c>
      <c r="B16896" s="3" t="s">
        <v>90</v>
      </c>
      <c r="C16896" s="5">
        <v>31</v>
      </c>
      <c r="D16896" s="6">
        <v>41.71</v>
      </c>
      <c r="E16896" t="s">
        <v>91</v>
      </c>
    </row>
    <row r="16897" spans="1:5" x14ac:dyDescent="0.25">
      <c r="A16897" t="str">
        <f>HYPERLINK("https://www.773grp.com/globalSearch/PTH12060YAS/page-1", "PTH12060YAS")</f>
        <v>PTH12060YAS</v>
      </c>
      <c r="B16897" s="3" t="s">
        <v>90</v>
      </c>
      <c r="C16897" s="5">
        <v>1791</v>
      </c>
      <c r="D16897" s="6">
        <v>41.71</v>
      </c>
      <c r="E16897" t="s">
        <v>91</v>
      </c>
    </row>
    <row r="16898" spans="1:5" x14ac:dyDescent="0.25">
      <c r="A16898" t="str">
        <f>HYPERLINK("https://www.773grp.com/globalSearch/PTH12060YAZ/page-1", "PTH12060YAZ")</f>
        <v>PTH12060YAZ</v>
      </c>
      <c r="B16898" s="3" t="s">
        <v>90</v>
      </c>
      <c r="C16898" s="5">
        <v>1072</v>
      </c>
      <c r="D16898" s="6">
        <v>41.71</v>
      </c>
      <c r="E16898" t="s">
        <v>91</v>
      </c>
    </row>
    <row r="16899" spans="1:5" x14ac:dyDescent="0.25">
      <c r="A16899" t="str">
        <f>HYPERLINK("https://www.773grp.com/globalSearch/PTH12060YAZT/page-1", "PTH12060YAZT")</f>
        <v>PTH12060YAZT</v>
      </c>
      <c r="B16899" s="3" t="s">
        <v>90</v>
      </c>
      <c r="C16899" s="5">
        <v>9218</v>
      </c>
      <c r="D16899" s="6">
        <v>41.71</v>
      </c>
      <c r="E16899" t="s">
        <v>91</v>
      </c>
    </row>
    <row r="16900" spans="1:5" x14ac:dyDescent="0.25">
      <c r="A16900" t="str">
        <f>HYPERLINK("https://www.773grp.com/globalSearch/PTMA401120A3AZ/page-1", "PTMA401120A3AZ")</f>
        <v>PTMA401120A3AZ</v>
      </c>
      <c r="B16900" s="3" t="s">
        <v>90</v>
      </c>
      <c r="C16900" s="5">
        <v>60</v>
      </c>
      <c r="D16900" s="6">
        <v>42.19</v>
      </c>
      <c r="E16900" t="s">
        <v>91</v>
      </c>
    </row>
    <row r="16901" spans="1:5" x14ac:dyDescent="0.25">
      <c r="A16901" t="str">
        <f>HYPERLINK("https://www.773grp.com/globalSearch/PTMA401120N2AZ/page-1", "PTMA401120N2AZ")</f>
        <v>PTMA401120N2AZ</v>
      </c>
      <c r="B16901" s="3" t="s">
        <v>90</v>
      </c>
      <c r="C16901" s="5">
        <v>240</v>
      </c>
      <c r="D16901" s="6">
        <v>42.19</v>
      </c>
      <c r="E16901" t="s">
        <v>91</v>
      </c>
    </row>
    <row r="16902" spans="1:5" x14ac:dyDescent="0.25">
      <c r="A16902" t="str">
        <f>HYPERLINK("https://www.773grp.com/globalSearch/PTMA402050P2AS/page-1", "PTMA402050P2AS")</f>
        <v>PTMA402050P2AS</v>
      </c>
      <c r="B16902" s="3" t="s">
        <v>90</v>
      </c>
      <c r="C16902" s="5">
        <v>36</v>
      </c>
      <c r="D16902" s="6">
        <v>42.19</v>
      </c>
      <c r="E16902" t="s">
        <v>91</v>
      </c>
    </row>
    <row r="16903" spans="1:5" x14ac:dyDescent="0.25">
      <c r="A16903" t="str">
        <f>HYPERLINK("https://www.773grp.com/globalSearch/PTMA402050P2AST/page-1", "PTMA402050P2AST")</f>
        <v>PTMA402050P2AST</v>
      </c>
      <c r="B16903" s="3" t="s">
        <v>90</v>
      </c>
      <c r="C16903" s="5">
        <v>250</v>
      </c>
      <c r="D16903" s="6">
        <v>42.19</v>
      </c>
      <c r="E16903" t="s">
        <v>91</v>
      </c>
    </row>
    <row r="16904" spans="1:5" x14ac:dyDescent="0.25">
      <c r="A16904" t="str">
        <f>HYPERLINK("https://www.773grp.com/globalSearch/PTMA403033N2AS/page-1", "PTMA403033N2AS")</f>
        <v>PTMA403033N2AS</v>
      </c>
      <c r="B16904" s="3" t="s">
        <v>90</v>
      </c>
      <c r="C16904" s="5">
        <v>30</v>
      </c>
      <c r="D16904" s="6">
        <v>42.19</v>
      </c>
      <c r="E16904" t="s">
        <v>91</v>
      </c>
    </row>
    <row r="16905" spans="1:5" x14ac:dyDescent="0.25">
      <c r="A16905" t="str">
        <f>HYPERLINK("https://www.773grp.com/globalSearch/PTH08T220WAD/page-1", "PTH08T220WAD")</f>
        <v>PTH08T220WAD</v>
      </c>
      <c r="B16905" s="3" t="s">
        <v>90</v>
      </c>
      <c r="C16905" s="5">
        <v>32</v>
      </c>
      <c r="D16905" s="6">
        <v>42.9</v>
      </c>
      <c r="E16905" t="s">
        <v>91</v>
      </c>
    </row>
    <row r="16906" spans="1:5" x14ac:dyDescent="0.25">
      <c r="A16906" t="str">
        <f>HYPERLINK("https://www.773grp.com/globalSearch/PTH12010YAS/page-1", "PTH12010YAS")</f>
        <v>PTH12010YAS</v>
      </c>
      <c r="B16906" s="3" t="s">
        <v>90</v>
      </c>
      <c r="C16906" s="5">
        <v>1350</v>
      </c>
      <c r="D16906" s="6">
        <v>44.85</v>
      </c>
      <c r="E16906" t="s">
        <v>91</v>
      </c>
    </row>
    <row r="16907" spans="1:5" x14ac:dyDescent="0.25">
      <c r="A16907" t="str">
        <f>HYPERLINK("https://www.773grp.com/globalSearch/PTN78060AAH/page-1", "PTN78060AAH")</f>
        <v>PTN78060AAH</v>
      </c>
      <c r="B16907" s="3" t="s">
        <v>90</v>
      </c>
      <c r="C16907" s="5">
        <v>770</v>
      </c>
      <c r="D16907" s="6">
        <v>46.8</v>
      </c>
      <c r="E16907" t="s">
        <v>91</v>
      </c>
    </row>
    <row r="16908" spans="1:5" x14ac:dyDescent="0.25">
      <c r="A16908" t="str">
        <f>HYPERLINK("https://www.773grp.com/globalSearch/PTN78060HAS/page-1", "PTN78060HAS")</f>
        <v>PTN78060HAS</v>
      </c>
      <c r="B16908" s="3" t="s">
        <v>90</v>
      </c>
      <c r="C16908" s="5">
        <v>181</v>
      </c>
      <c r="D16908" s="6">
        <v>46.8</v>
      </c>
      <c r="E16908" t="s">
        <v>91</v>
      </c>
    </row>
    <row r="16909" spans="1:5" x14ac:dyDescent="0.25">
      <c r="A16909" t="str">
        <f>HYPERLINK("https://www.773grp.com/globalSearch/PTN78060HAZ/page-1", "PTN78060HAZ")</f>
        <v>PTN78060HAZ</v>
      </c>
      <c r="B16909" s="3" t="s">
        <v>90</v>
      </c>
      <c r="C16909" s="5">
        <v>201</v>
      </c>
      <c r="D16909" s="6">
        <v>46.8</v>
      </c>
      <c r="E16909" t="s">
        <v>91</v>
      </c>
    </row>
    <row r="16910" spans="1:5" x14ac:dyDescent="0.25">
      <c r="A16910" t="str">
        <f>HYPERLINK("https://www.773grp.com/globalSearch/PTN78020AAS/page-1", "PTN78020AAS")</f>
        <v>PTN78020AAS</v>
      </c>
      <c r="B16910" s="3" t="s">
        <v>90</v>
      </c>
      <c r="C16910" s="5">
        <v>425</v>
      </c>
      <c r="D16910" s="6">
        <v>47.64</v>
      </c>
      <c r="E16910" t="s">
        <v>91</v>
      </c>
    </row>
    <row r="16911" spans="1:5" x14ac:dyDescent="0.25">
      <c r="A16911" t="str">
        <f>HYPERLINK("https://www.773grp.com/globalSearch/PTN78020HAS/page-1", "PTN78020HAS")</f>
        <v>PTN78020HAS</v>
      </c>
      <c r="B16911" s="3" t="s">
        <v>90</v>
      </c>
      <c r="C16911" s="5">
        <v>395</v>
      </c>
      <c r="D16911" s="6">
        <v>47.64</v>
      </c>
      <c r="E16911" t="s">
        <v>91</v>
      </c>
    </row>
    <row r="16912" spans="1:5" x14ac:dyDescent="0.25">
      <c r="A16912" t="str">
        <f>HYPERLINK("https://www.773grp.com/globalSearch/PTN78020HAZ/page-1", "PTN78020HAZ")</f>
        <v>PTN78020HAZ</v>
      </c>
      <c r="B16912" s="3" t="s">
        <v>90</v>
      </c>
      <c r="C16912" s="5">
        <v>2785</v>
      </c>
      <c r="D16912" s="6">
        <v>47.64</v>
      </c>
      <c r="E16912" t="s">
        <v>91</v>
      </c>
    </row>
    <row r="16913" spans="1:5" x14ac:dyDescent="0.25">
      <c r="A16913" t="str">
        <f>HYPERLINK("https://www.773grp.com/globalSearch/PTN78020WAS/page-1", "PTN78020WAS")</f>
        <v>PTN78020WAS</v>
      </c>
      <c r="B16913" s="3" t="s">
        <v>90</v>
      </c>
      <c r="C16913" s="5">
        <v>3</v>
      </c>
      <c r="D16913" s="6">
        <v>47.64</v>
      </c>
      <c r="E16913" t="s">
        <v>91</v>
      </c>
    </row>
    <row r="16914" spans="1:5" x14ac:dyDescent="0.25">
      <c r="A16914" t="str">
        <f>HYPERLINK("https://www.773grp.com/globalSearch/PTH03010YAS/page-1", "PTH03010YAS")</f>
        <v>PTH03010YAS</v>
      </c>
      <c r="B16914" s="3" t="s">
        <v>90</v>
      </c>
      <c r="C16914" s="5">
        <v>385</v>
      </c>
      <c r="D16914" s="6">
        <v>49.36</v>
      </c>
      <c r="E16914" t="s">
        <v>91</v>
      </c>
    </row>
    <row r="16915" spans="1:5" x14ac:dyDescent="0.25">
      <c r="A16915" t="str">
        <f>HYPERLINK("https://www.773grp.com/globalSearch/PTH05010YAZ/page-1", "PTH05010YAZ")</f>
        <v>PTH05010YAZ</v>
      </c>
      <c r="B16915" s="3" t="s">
        <v>90</v>
      </c>
      <c r="C16915" s="5">
        <v>1175</v>
      </c>
      <c r="D16915" s="6">
        <v>49.36</v>
      </c>
      <c r="E16915" t="s">
        <v>91</v>
      </c>
    </row>
    <row r="16916" spans="1:5" x14ac:dyDescent="0.25">
      <c r="A16916" t="str">
        <f>HYPERLINK("https://www.773grp.com/globalSearch/PTH12010LAS/page-1", "PTH12010LAS")</f>
        <v>PTH12010LAS</v>
      </c>
      <c r="B16916" s="3" t="s">
        <v>90</v>
      </c>
      <c r="C16916" s="5">
        <v>690</v>
      </c>
      <c r="D16916" s="6">
        <v>49.36</v>
      </c>
      <c r="E16916" t="s">
        <v>91</v>
      </c>
    </row>
    <row r="16917" spans="1:5" x14ac:dyDescent="0.25">
      <c r="A16917" t="str">
        <f>HYPERLINK("https://www.773grp.com/globalSearch/PTH12010LAZ/page-1", "PTH12010LAZ")</f>
        <v>PTH12010LAZ</v>
      </c>
      <c r="B16917" s="3" t="s">
        <v>90</v>
      </c>
      <c r="C16917" s="5">
        <v>38</v>
      </c>
      <c r="D16917" s="6">
        <v>49.36</v>
      </c>
      <c r="E16917" t="s">
        <v>91</v>
      </c>
    </row>
    <row r="16918" spans="1:5" x14ac:dyDescent="0.25">
      <c r="A16918" t="str">
        <f>HYPERLINK("https://www.773grp.com/globalSearch/PTH12010YAH/page-1", "PTH12010YAH")</f>
        <v>PTH12010YAH</v>
      </c>
      <c r="B16918" s="3" t="s">
        <v>90</v>
      </c>
      <c r="C16918" s="5">
        <v>321</v>
      </c>
      <c r="D16918" s="6">
        <v>49.36</v>
      </c>
      <c r="E16918" t="s">
        <v>91</v>
      </c>
    </row>
    <row r="16919" spans="1:5" x14ac:dyDescent="0.25">
      <c r="A16919" t="str">
        <f>HYPERLINK("https://www.773grp.com/globalSearch/PTH12010YAZ/page-1", "PTH12010YAZ")</f>
        <v>PTH12010YAZ</v>
      </c>
      <c r="B16919" s="3" t="s">
        <v>90</v>
      </c>
      <c r="C16919" s="5">
        <v>402</v>
      </c>
      <c r="D16919" s="6">
        <v>49.36</v>
      </c>
      <c r="E16919" t="s">
        <v>91</v>
      </c>
    </row>
    <row r="16920" spans="1:5" x14ac:dyDescent="0.25">
      <c r="A16920" t="str">
        <f>HYPERLINK("https://www.773grp.com/globalSearch/PTH03020WAH/page-1", "PTH03020WAH")</f>
        <v>PTH03020WAH</v>
      </c>
      <c r="B16920" s="3" t="s">
        <v>90</v>
      </c>
      <c r="C16920" s="5">
        <v>1</v>
      </c>
      <c r="D16920" s="6">
        <v>51.05</v>
      </c>
      <c r="E16920" t="s">
        <v>91</v>
      </c>
    </row>
    <row r="16921" spans="1:5" x14ac:dyDescent="0.25">
      <c r="A16921" t="str">
        <f>HYPERLINK("https://www.773grp.com/globalSearch/PTH03020WAH/page-1", "PTH03020WAH")</f>
        <v>PTH03020WAH</v>
      </c>
      <c r="B16921" s="3" t="s">
        <v>90</v>
      </c>
      <c r="C16921" s="5">
        <v>80</v>
      </c>
      <c r="D16921" s="6">
        <v>51.05</v>
      </c>
      <c r="E16921" t="s">
        <v>91</v>
      </c>
    </row>
    <row r="16922" spans="1:5" x14ac:dyDescent="0.25">
      <c r="A16922" t="str">
        <f>HYPERLINK("https://www.773grp.com/globalSearch/PTH03020WAZ/page-1", "PTH03020WAZ")</f>
        <v>PTH03020WAZ</v>
      </c>
      <c r="B16922" s="3" t="s">
        <v>90</v>
      </c>
      <c r="C16922" s="5">
        <v>4960</v>
      </c>
      <c r="D16922" s="6">
        <v>51.05</v>
      </c>
      <c r="E16922" t="s">
        <v>91</v>
      </c>
    </row>
    <row r="16923" spans="1:5" x14ac:dyDescent="0.25">
      <c r="A16923" t="str">
        <f>HYPERLINK("https://www.773grp.com/globalSearch/PTH05020WAH/page-1", "PTH05020WAH")</f>
        <v>PTH05020WAH</v>
      </c>
      <c r="B16923" s="3" t="s">
        <v>90</v>
      </c>
      <c r="C16923" s="5">
        <v>2</v>
      </c>
      <c r="D16923" s="6">
        <v>51.05</v>
      </c>
      <c r="E16923" t="s">
        <v>91</v>
      </c>
    </row>
    <row r="16924" spans="1:5" x14ac:dyDescent="0.25">
      <c r="A16924" t="str">
        <f>HYPERLINK("https://www.773grp.com/globalSearch/PTH05020WAS/page-1", "PTH05020WAS")</f>
        <v>PTH05020WAS</v>
      </c>
      <c r="B16924" s="3" t="s">
        <v>90</v>
      </c>
      <c r="C16924" s="5">
        <v>27</v>
      </c>
      <c r="D16924" s="6">
        <v>51.05</v>
      </c>
      <c r="E16924" t="s">
        <v>91</v>
      </c>
    </row>
    <row r="16925" spans="1:5" x14ac:dyDescent="0.25">
      <c r="A16925" t="str">
        <f>HYPERLINK("https://www.773grp.com/globalSearch/PTH05020WAZ/page-1", "PTH05020WAZ")</f>
        <v>PTH05020WAZ</v>
      </c>
      <c r="B16925" s="3" t="s">
        <v>90</v>
      </c>
      <c r="C16925" s="5">
        <v>2</v>
      </c>
      <c r="D16925" s="6">
        <v>51.05</v>
      </c>
      <c r="E16925" t="s">
        <v>91</v>
      </c>
    </row>
    <row r="16926" spans="1:5" x14ac:dyDescent="0.25">
      <c r="A16926" t="str">
        <f>HYPERLINK("https://www.773grp.com/globalSearch/PTH12020LAS/page-1", "PTH12020LAS")</f>
        <v>PTH12020LAS</v>
      </c>
      <c r="B16926" s="3" t="s">
        <v>90</v>
      </c>
      <c r="C16926" s="5">
        <v>572</v>
      </c>
      <c r="D16926" s="6">
        <v>51.05</v>
      </c>
      <c r="E16926" t="s">
        <v>91</v>
      </c>
    </row>
    <row r="16927" spans="1:5" x14ac:dyDescent="0.25">
      <c r="A16927" t="str">
        <f>HYPERLINK("https://www.773grp.com/globalSearch/PTH12020WAD/page-1", "PTH12020WAD")</f>
        <v>PTH12020WAD</v>
      </c>
      <c r="B16927" s="3" t="s">
        <v>90</v>
      </c>
      <c r="C16927" s="5">
        <v>13</v>
      </c>
      <c r="D16927" s="6">
        <v>51.05</v>
      </c>
      <c r="E16927" t="s">
        <v>91</v>
      </c>
    </row>
    <row r="16928" spans="1:5" x14ac:dyDescent="0.25">
      <c r="A16928" t="str">
        <f>HYPERLINK("https://www.773grp.com/globalSearch/PTMA403033A1AD/page-1", "PTMA403033A1AD")</f>
        <v>PTMA403033A1AD</v>
      </c>
      <c r="B16928" s="3" t="s">
        <v>90</v>
      </c>
      <c r="C16928" s="5">
        <v>52</v>
      </c>
      <c r="D16928" s="6">
        <v>51.19</v>
      </c>
      <c r="E16928" t="s">
        <v>91</v>
      </c>
    </row>
    <row r="16929" spans="1:5" x14ac:dyDescent="0.25">
      <c r="A16929" t="str">
        <f>HYPERLINK("https://www.773grp.com/globalSearch/PTMA403033A1AZ/page-1", "PTMA403033A1AZ")</f>
        <v>PTMA403033A1AZ</v>
      </c>
      <c r="B16929" s="3" t="s">
        <v>90</v>
      </c>
      <c r="C16929" s="5">
        <v>27</v>
      </c>
      <c r="D16929" s="6">
        <v>51.19</v>
      </c>
      <c r="E16929" t="s">
        <v>91</v>
      </c>
    </row>
    <row r="16930" spans="1:5" x14ac:dyDescent="0.25">
      <c r="A16930" t="str">
        <f>HYPERLINK("https://www.773grp.com/globalSearch/PTH12020LAST/page-1", "PTH12020LAST")</f>
        <v>PTH12020LAST</v>
      </c>
      <c r="B16930" s="3" t="s">
        <v>90</v>
      </c>
      <c r="C16930" s="5">
        <v>2400</v>
      </c>
      <c r="D16930" s="6">
        <v>51.48</v>
      </c>
      <c r="E16930" t="s">
        <v>91</v>
      </c>
    </row>
    <row r="16931" spans="1:5" x14ac:dyDescent="0.25">
      <c r="A16931" t="str">
        <f>HYPERLINK("https://www.773grp.com/globalSearch/PTH12020WAST/page-1", "PTH12020WAST")</f>
        <v>PTH12020WAST</v>
      </c>
      <c r="B16931" s="3" t="s">
        <v>90</v>
      </c>
      <c r="C16931" s="5">
        <v>2809</v>
      </c>
      <c r="D16931" s="6">
        <v>51.48</v>
      </c>
      <c r="E16931" t="s">
        <v>91</v>
      </c>
    </row>
    <row r="16932" spans="1:5" x14ac:dyDescent="0.25">
      <c r="A16932" t="str">
        <f>HYPERLINK("https://www.773grp.com/globalSearch/PTH12020WAZT/page-1", "PTH12020WAZT")</f>
        <v>PTH12020WAZT</v>
      </c>
      <c r="B16932" s="3" t="s">
        <v>90</v>
      </c>
      <c r="C16932" s="5">
        <v>1396</v>
      </c>
      <c r="D16932" s="6">
        <v>51.48</v>
      </c>
      <c r="E16932" t="s">
        <v>91</v>
      </c>
    </row>
    <row r="16933" spans="1:5" x14ac:dyDescent="0.25">
      <c r="A16933" t="str">
        <f>HYPERLINK("https://www.773grp.com/globalSearch/PTMA401120A2AZ/page-1", "PTMA401120A2AZ")</f>
        <v>PTMA401120A2AZ</v>
      </c>
      <c r="B16933" s="3" t="s">
        <v>90</v>
      </c>
      <c r="C16933" s="5">
        <v>30</v>
      </c>
      <c r="D16933" s="6">
        <v>52.6</v>
      </c>
      <c r="E16933" t="s">
        <v>91</v>
      </c>
    </row>
    <row r="16934" spans="1:5" x14ac:dyDescent="0.25">
      <c r="A16934" t="str">
        <f>HYPERLINK("https://www.773grp.com/globalSearch/PTMA401120N1AZ/page-1", "PTMA401120N1AZ")</f>
        <v>PTMA401120N1AZ</v>
      </c>
      <c r="B16934" s="3" t="s">
        <v>90</v>
      </c>
      <c r="C16934" s="5">
        <v>408</v>
      </c>
      <c r="D16934" s="6">
        <v>52.6</v>
      </c>
      <c r="E16934" t="s">
        <v>91</v>
      </c>
    </row>
    <row r="16935" spans="1:5" x14ac:dyDescent="0.25">
      <c r="A16935" t="str">
        <f>HYPERLINK("https://www.773grp.com/globalSearch/PTMA401120P1AD/page-1", "PTMA401120P1AD")</f>
        <v>PTMA401120P1AD</v>
      </c>
      <c r="B16935" s="3" t="s">
        <v>90</v>
      </c>
      <c r="C16935" s="5">
        <v>19</v>
      </c>
      <c r="D16935" s="6">
        <v>52.6</v>
      </c>
      <c r="E16935" t="s">
        <v>91</v>
      </c>
    </row>
    <row r="16936" spans="1:5" x14ac:dyDescent="0.25">
      <c r="A16936" t="str">
        <f>HYPERLINK("https://www.773grp.com/globalSearch/PTMA402050A3AD/page-1", "PTMA402050A3AD")</f>
        <v>PTMA402050A3AD</v>
      </c>
      <c r="B16936" s="3" t="s">
        <v>90</v>
      </c>
      <c r="C16936" s="5">
        <v>352</v>
      </c>
      <c r="D16936" s="6">
        <v>52.6</v>
      </c>
      <c r="E16936" t="s">
        <v>91</v>
      </c>
    </row>
    <row r="16937" spans="1:5" x14ac:dyDescent="0.25">
      <c r="A16937" t="str">
        <f>HYPERLINK("https://www.773grp.com/globalSearch/PTMA402050N1AZ/page-1", "PTMA402050N1AZ")</f>
        <v>PTMA402050N1AZ</v>
      </c>
      <c r="B16937" s="3" t="s">
        <v>90</v>
      </c>
      <c r="C16937" s="5">
        <v>30</v>
      </c>
      <c r="D16937" s="6">
        <v>52.6</v>
      </c>
      <c r="E16937" t="s">
        <v>91</v>
      </c>
    </row>
    <row r="16938" spans="1:5" x14ac:dyDescent="0.25">
      <c r="A16938" t="str">
        <f>HYPERLINK("https://www.773grp.com/globalSearch/PTMA403033A2AD/page-1", "PTMA403033A2AD")</f>
        <v>PTMA403033A2AD</v>
      </c>
      <c r="B16938" s="3" t="s">
        <v>90</v>
      </c>
      <c r="C16938" s="5">
        <v>176</v>
      </c>
      <c r="D16938" s="6">
        <v>52.6</v>
      </c>
      <c r="E16938" t="s">
        <v>91</v>
      </c>
    </row>
    <row r="16939" spans="1:5" x14ac:dyDescent="0.25">
      <c r="A16939" t="str">
        <f>HYPERLINK("https://www.773grp.com/globalSearch/PTMA403033A3AD/page-1", "PTMA403033A3AD")</f>
        <v>PTMA403033A3AD</v>
      </c>
      <c r="B16939" s="3" t="s">
        <v>90</v>
      </c>
      <c r="C16939" s="5">
        <v>60</v>
      </c>
      <c r="D16939" s="6">
        <v>52.6</v>
      </c>
      <c r="E16939" t="s">
        <v>91</v>
      </c>
    </row>
    <row r="16940" spans="1:5" x14ac:dyDescent="0.25">
      <c r="A16940" t="str">
        <f>HYPERLINK("https://www.773grp.com/globalSearch/PTMA403033A3AZ/page-1", "PTMA403033A3AZ")</f>
        <v>PTMA403033A3AZ</v>
      </c>
      <c r="B16940" s="3" t="s">
        <v>90</v>
      </c>
      <c r="C16940" s="5">
        <v>90</v>
      </c>
      <c r="D16940" s="6">
        <v>52.6</v>
      </c>
      <c r="E16940" t="s">
        <v>91</v>
      </c>
    </row>
    <row r="16941" spans="1:5" x14ac:dyDescent="0.25">
      <c r="A16941" t="str">
        <f>HYPERLINK("https://www.773grp.com/globalSearch/PTMA403033N1AD/page-1", "PTMA403033N1AD")</f>
        <v>PTMA403033N1AD</v>
      </c>
      <c r="B16941" s="3" t="s">
        <v>90</v>
      </c>
      <c r="C16941" s="5">
        <v>88</v>
      </c>
      <c r="D16941" s="6">
        <v>52.6</v>
      </c>
      <c r="E16941" t="s">
        <v>91</v>
      </c>
    </row>
    <row r="16942" spans="1:5" x14ac:dyDescent="0.25">
      <c r="A16942" t="str">
        <f>HYPERLINK("https://www.773grp.com/globalSearch/PTMA403033N1AZT/page-1", "PTMA403033N1AZT")</f>
        <v>PTMA403033N1AZT</v>
      </c>
      <c r="B16942" s="3" t="s">
        <v>90</v>
      </c>
      <c r="C16942" s="5">
        <v>1500</v>
      </c>
      <c r="D16942" s="6">
        <v>52.6</v>
      </c>
      <c r="E16942" t="s">
        <v>91</v>
      </c>
    </row>
    <row r="16943" spans="1:5" x14ac:dyDescent="0.25">
      <c r="A16943" t="str">
        <f>HYPERLINK("https://www.773grp.com/globalSearch/PTMA403033P1AD/page-1", "PTMA403033P1AD")</f>
        <v>PTMA403033P1AD</v>
      </c>
      <c r="B16943" s="3" t="s">
        <v>90</v>
      </c>
      <c r="C16943" s="5">
        <v>80</v>
      </c>
      <c r="D16943" s="6">
        <v>52.6</v>
      </c>
      <c r="E16943" t="s">
        <v>91</v>
      </c>
    </row>
    <row r="16944" spans="1:5" x14ac:dyDescent="0.25">
      <c r="A16944" t="str">
        <f>HYPERLINK("https://www.773grp.com/globalSearch/PTMA401120N2AD/page-1", "PTMA401120N2AD")</f>
        <v>PTMA401120N2AD</v>
      </c>
      <c r="B16944" s="3" t="s">
        <v>90</v>
      </c>
      <c r="C16944" s="5">
        <v>30</v>
      </c>
      <c r="D16944" s="6">
        <v>54</v>
      </c>
      <c r="E16944" t="s">
        <v>91</v>
      </c>
    </row>
    <row r="16945" spans="1:5" x14ac:dyDescent="0.25">
      <c r="A16945" t="str">
        <f>HYPERLINK("https://www.773grp.com/globalSearch/PTMA401120N2AS/page-1", "PTMA401120N2AS")</f>
        <v>PTMA401120N2AS</v>
      </c>
      <c r="B16945" s="3" t="s">
        <v>90</v>
      </c>
      <c r="C16945" s="5">
        <v>224</v>
      </c>
      <c r="D16945" s="6">
        <v>54</v>
      </c>
      <c r="E16945" t="s">
        <v>91</v>
      </c>
    </row>
    <row r="16946" spans="1:5" x14ac:dyDescent="0.25">
      <c r="A16946" t="str">
        <f>HYPERLINK("https://www.773grp.com/globalSearch/PTMA401120P2AD/page-1", "PTMA401120P2AD")</f>
        <v>PTMA401120P2AD</v>
      </c>
      <c r="B16946" s="3" t="s">
        <v>90</v>
      </c>
      <c r="C16946" s="5">
        <v>30</v>
      </c>
      <c r="D16946" s="6">
        <v>54</v>
      </c>
      <c r="E16946" t="s">
        <v>91</v>
      </c>
    </row>
    <row r="16947" spans="1:5" x14ac:dyDescent="0.25">
      <c r="A16947" t="str">
        <f>HYPERLINK("https://www.773grp.com/globalSearch/PTMA401120P2AZ/page-1", "PTMA401120P2AZ")</f>
        <v>PTMA401120P2AZ</v>
      </c>
      <c r="B16947" s="3" t="s">
        <v>90</v>
      </c>
      <c r="C16947" s="5">
        <v>90</v>
      </c>
      <c r="D16947" s="6">
        <v>54</v>
      </c>
      <c r="E16947" t="s">
        <v>91</v>
      </c>
    </row>
    <row r="16948" spans="1:5" x14ac:dyDescent="0.25">
      <c r="A16948" t="str">
        <f>HYPERLINK("https://www.773grp.com/globalSearch/PTMA402050N2AZ/page-1", "PTMA402050N2AZ")</f>
        <v>PTMA402050N2AZ</v>
      </c>
      <c r="B16948" s="3" t="s">
        <v>90</v>
      </c>
      <c r="C16948" s="5">
        <v>862</v>
      </c>
      <c r="D16948" s="6">
        <v>54</v>
      </c>
      <c r="E16948" t="s">
        <v>91</v>
      </c>
    </row>
    <row r="16949" spans="1:5" x14ac:dyDescent="0.25">
      <c r="A16949" t="str">
        <f>HYPERLINK("https://www.773grp.com/globalSearch/PTMA403033N2AZ/page-1", "PTMA403033N2AZ")</f>
        <v>PTMA403033N2AZ</v>
      </c>
      <c r="B16949" s="3" t="s">
        <v>90</v>
      </c>
      <c r="C16949" s="5">
        <v>130</v>
      </c>
      <c r="D16949" s="6">
        <v>54</v>
      </c>
      <c r="E16949" t="s">
        <v>91</v>
      </c>
    </row>
    <row r="16950" spans="1:5" x14ac:dyDescent="0.25">
      <c r="A16950" t="str">
        <f>HYPERLINK("https://www.773grp.com/globalSearch/PTMA403033P2AZ/page-1", "PTMA403033P2AZ")</f>
        <v>PTMA403033P2AZ</v>
      </c>
      <c r="B16950" s="3" t="s">
        <v>90</v>
      </c>
      <c r="C16950" s="5">
        <v>60</v>
      </c>
      <c r="D16950" s="6">
        <v>54</v>
      </c>
      <c r="E16950" t="s">
        <v>91</v>
      </c>
    </row>
    <row r="16951" spans="1:5" x14ac:dyDescent="0.25">
      <c r="A16951" t="str">
        <f>HYPERLINK("https://www.773grp.com/globalSearch/PTH03030WAH/page-1", "PTH03030WAH")</f>
        <v>PTH03030WAH</v>
      </c>
      <c r="B16951" s="3" t="s">
        <v>90</v>
      </c>
      <c r="C16951" s="5">
        <v>1114</v>
      </c>
      <c r="D16951" s="6">
        <v>57.85</v>
      </c>
      <c r="E16951" t="s">
        <v>91</v>
      </c>
    </row>
    <row r="16952" spans="1:5" x14ac:dyDescent="0.25">
      <c r="A16952" t="str">
        <f>HYPERLINK("https://www.773grp.com/globalSearch/PTH03030WAS/page-1", "PTH03030WAS")</f>
        <v>PTH03030WAS</v>
      </c>
      <c r="B16952" s="3" t="s">
        <v>90</v>
      </c>
      <c r="C16952" s="5">
        <v>1233</v>
      </c>
      <c r="D16952" s="6">
        <v>57.85</v>
      </c>
      <c r="E16952" t="s">
        <v>91</v>
      </c>
    </row>
    <row r="16953" spans="1:5" x14ac:dyDescent="0.25">
      <c r="A16953" t="str">
        <f>HYPERLINK("https://www.773grp.com/globalSearch/PTH05030WAS/page-1", "PTH05030WAS")</f>
        <v>PTH05030WAS</v>
      </c>
      <c r="B16953" s="3" t="s">
        <v>90</v>
      </c>
      <c r="C16953" s="5">
        <v>149</v>
      </c>
      <c r="D16953" s="6">
        <v>57.85</v>
      </c>
      <c r="E16953" t="s">
        <v>91</v>
      </c>
    </row>
    <row r="16954" spans="1:5" x14ac:dyDescent="0.25">
      <c r="A16954" t="str">
        <f>HYPERLINK("https://www.773grp.com/globalSearch/PT4311C/page-1", "PT4311C")</f>
        <v>PT4311C</v>
      </c>
      <c r="B16954" s="3" t="s">
        <v>90</v>
      </c>
      <c r="C16954" s="5">
        <v>15</v>
      </c>
      <c r="D16954" s="6">
        <v>60.75</v>
      </c>
      <c r="E16954" t="s">
        <v>91</v>
      </c>
    </row>
    <row r="16955" spans="1:5" x14ac:dyDescent="0.25">
      <c r="A16955" t="str">
        <f>HYPERLINK("https://www.773grp.com/globalSearch/PT4313C/page-1", "PT4313C")</f>
        <v>PT4313C</v>
      </c>
      <c r="B16955" s="3" t="s">
        <v>90</v>
      </c>
      <c r="C16955" s="5">
        <v>90</v>
      </c>
      <c r="D16955" s="6">
        <v>60.75</v>
      </c>
      <c r="E16955" t="s">
        <v>91</v>
      </c>
    </row>
    <row r="16956" spans="1:5" x14ac:dyDescent="0.25">
      <c r="A16956" t="str">
        <f>HYPERLINK("https://www.773grp.com/globalSearch/PTH08T210WAS/page-1", "PTH08T210WAS")</f>
        <v>PTH08T210WAS</v>
      </c>
      <c r="B16956" s="3" t="s">
        <v>90</v>
      </c>
      <c r="C16956" s="5">
        <v>7</v>
      </c>
      <c r="D16956" s="6">
        <v>61.26</v>
      </c>
      <c r="E16956" t="s">
        <v>91</v>
      </c>
    </row>
    <row r="16957" spans="1:5" x14ac:dyDescent="0.25">
      <c r="A16957" t="str">
        <f>HYPERLINK("https://www.773grp.com/globalSearch/PTH08T210WAZ/page-1", "PTH08T210WAZ")</f>
        <v>PTH08T210WAZ</v>
      </c>
      <c r="B16957" s="3" t="s">
        <v>90</v>
      </c>
      <c r="C16957" s="5">
        <v>37</v>
      </c>
      <c r="D16957" s="6">
        <v>61.26</v>
      </c>
      <c r="E16957" t="s">
        <v>91</v>
      </c>
    </row>
    <row r="16958" spans="1:5" x14ac:dyDescent="0.25">
      <c r="A16958" t="str">
        <f>HYPERLINK("https://www.773grp.com/globalSearch/PTH08T210WAZT/page-1", "PTH08T210WAZT")</f>
        <v>PTH08T210WAZT</v>
      </c>
      <c r="B16958" s="3" t="s">
        <v>90</v>
      </c>
      <c r="C16958" s="5">
        <v>255</v>
      </c>
      <c r="D16958" s="6">
        <v>61.26</v>
      </c>
      <c r="E16958" t="s">
        <v>91</v>
      </c>
    </row>
    <row r="16959" spans="1:5" x14ac:dyDescent="0.25">
      <c r="A16959" t="str">
        <f>HYPERLINK("https://www.773grp.com/globalSearch/PT4212A/page-1", "PT4212A")</f>
        <v>PT4212A</v>
      </c>
      <c r="B16959" s="3" t="s">
        <v>90</v>
      </c>
      <c r="C16959" s="5">
        <v>8</v>
      </c>
      <c r="D16959" s="6">
        <v>63.29</v>
      </c>
      <c r="E16959" t="s">
        <v>91</v>
      </c>
    </row>
    <row r="16960" spans="1:5" x14ac:dyDescent="0.25">
      <c r="A16960" t="str">
        <f>HYPERLINK("https://www.773grp.com/globalSearch/PT4213A/page-1", "PT4213A")</f>
        <v>PT4213A</v>
      </c>
      <c r="B16960" s="3" t="s">
        <v>90</v>
      </c>
      <c r="C16960" s="5">
        <v>91</v>
      </c>
      <c r="D16960" s="6">
        <v>63.29</v>
      </c>
      <c r="E16960" t="s">
        <v>91</v>
      </c>
    </row>
    <row r="16961" spans="1:5" x14ac:dyDescent="0.25">
      <c r="A16961" t="str">
        <f>HYPERLINK("https://www.773grp.com/globalSearch/PT4213C/page-1", "PT4213C")</f>
        <v>PT4213C</v>
      </c>
      <c r="B16961" s="3" t="s">
        <v>90</v>
      </c>
      <c r="C16961" s="5">
        <v>54</v>
      </c>
      <c r="D16961" s="6">
        <v>63.29</v>
      </c>
      <c r="E16961" t="s">
        <v>91</v>
      </c>
    </row>
    <row r="16962" spans="1:5" x14ac:dyDescent="0.25">
      <c r="A16962" t="str">
        <f>HYPERLINK("https://www.773grp.com/globalSearch/PT4313A/page-1", "PT4313A")</f>
        <v>PT4313A</v>
      </c>
      <c r="B16962" s="3" t="s">
        <v>90</v>
      </c>
      <c r="C16962" s="5">
        <v>43</v>
      </c>
      <c r="D16962" s="6">
        <v>66.099999999999994</v>
      </c>
      <c r="E16962" t="s">
        <v>91</v>
      </c>
    </row>
    <row r="16963" spans="1:5" x14ac:dyDescent="0.25">
      <c r="A16963" t="str">
        <f>HYPERLINK("https://www.773grp.com/globalSearch/PT4314A/page-1", "PT4314A")</f>
        <v>PT4314A</v>
      </c>
      <c r="B16963" s="3" t="s">
        <v>90</v>
      </c>
      <c r="C16963" s="5">
        <v>153</v>
      </c>
      <c r="D16963" s="6">
        <v>66.099999999999994</v>
      </c>
      <c r="E16963" t="s">
        <v>91</v>
      </c>
    </row>
    <row r="16964" spans="1:5" x14ac:dyDescent="0.25">
      <c r="A16964" t="str">
        <f>HYPERLINK("https://www.773grp.com/globalSearch/78ST212HC/page-1", "78ST212HC")</f>
        <v>78ST212HC</v>
      </c>
      <c r="B16964" s="3" t="s">
        <v>90</v>
      </c>
      <c r="C16964" s="5">
        <v>17</v>
      </c>
      <c r="D16964" s="6">
        <v>70.489999999999995</v>
      </c>
      <c r="E16964" t="s">
        <v>91</v>
      </c>
    </row>
    <row r="16965" spans="1:5" x14ac:dyDescent="0.25">
      <c r="A16965" t="str">
        <f>HYPERLINK("https://www.773grp.com/globalSearch/78ST212VC/page-1", "78ST212VC")</f>
        <v>78ST212VC</v>
      </c>
      <c r="B16965" s="3" t="s">
        <v>90</v>
      </c>
      <c r="C16965" s="5">
        <v>60</v>
      </c>
      <c r="D16965" s="6">
        <v>70.489999999999995</v>
      </c>
      <c r="E16965" t="s">
        <v>91</v>
      </c>
    </row>
    <row r="16966" spans="1:5" x14ac:dyDescent="0.25">
      <c r="A16966" t="str">
        <f>HYPERLINK("https://www.773grp.com/globalSearch/PTH12030LAH/page-1", "PTH12030LAH")</f>
        <v>PTH12030LAH</v>
      </c>
      <c r="B16966" s="3" t="s">
        <v>90</v>
      </c>
      <c r="C16966" s="5">
        <v>51</v>
      </c>
      <c r="D16966" s="6">
        <v>72.34</v>
      </c>
      <c r="E16966" t="s">
        <v>91</v>
      </c>
    </row>
    <row r="16967" spans="1:5" x14ac:dyDescent="0.25">
      <c r="A16967" t="str">
        <f>HYPERLINK("https://www.773grp.com/globalSearch/PTH12030LAZ/page-1", "PTH12030LAZ")</f>
        <v>PTH12030LAZ</v>
      </c>
      <c r="B16967" s="3" t="s">
        <v>90</v>
      </c>
      <c r="C16967" s="5">
        <v>13</v>
      </c>
      <c r="D16967" s="6">
        <v>72.34</v>
      </c>
      <c r="E16967" t="s">
        <v>91</v>
      </c>
    </row>
    <row r="16968" spans="1:5" x14ac:dyDescent="0.25">
      <c r="A16968" t="str">
        <f>HYPERLINK("https://www.773grp.com/globalSearch/PTH12030WAH/page-1", "PTH12030WAH")</f>
        <v>PTH12030WAH</v>
      </c>
      <c r="B16968" s="3" t="s">
        <v>90</v>
      </c>
      <c r="C16968" s="5">
        <v>68</v>
      </c>
      <c r="D16968" s="6">
        <v>72.34</v>
      </c>
      <c r="E16968" t="s">
        <v>91</v>
      </c>
    </row>
    <row r="16969" spans="1:5" x14ac:dyDescent="0.25">
      <c r="A16969" t="str">
        <f>HYPERLINK("https://www.773grp.com/globalSearch/PTH12030WAZ/page-1", "PTH12030WAZ")</f>
        <v>PTH12030WAZ</v>
      </c>
      <c r="B16969" s="3" t="s">
        <v>90</v>
      </c>
      <c r="C16969" s="5">
        <v>931</v>
      </c>
      <c r="D16969" s="6">
        <v>72.34</v>
      </c>
      <c r="E16969" t="s">
        <v>91</v>
      </c>
    </row>
    <row r="16970" spans="1:5" x14ac:dyDescent="0.25">
      <c r="A16970" t="str">
        <f>HYPERLINK("https://www.773grp.com/globalSearch/PTH12030WAZT/page-1", "PTH12030WAZT")</f>
        <v>PTH12030WAZT</v>
      </c>
      <c r="B16970" s="3" t="s">
        <v>90</v>
      </c>
      <c r="C16970" s="5">
        <v>400</v>
      </c>
      <c r="D16970" s="6">
        <v>72.760000000000005</v>
      </c>
      <c r="E16970" t="s">
        <v>91</v>
      </c>
    </row>
    <row r="16971" spans="1:5" x14ac:dyDescent="0.25">
      <c r="A16971" t="str">
        <f>HYPERLINK("https://www.773grp.com/globalSearch/PTB48540BAD/page-1", "PTB48540BAD")</f>
        <v>PTB48540BAD</v>
      </c>
      <c r="B16971" s="3" t="s">
        <v>90</v>
      </c>
      <c r="C16971" s="5">
        <v>36</v>
      </c>
      <c r="D16971" s="6">
        <v>73.13</v>
      </c>
      <c r="E16971" t="s">
        <v>91</v>
      </c>
    </row>
    <row r="16972" spans="1:5" x14ac:dyDescent="0.25">
      <c r="A16972" t="str">
        <f>HYPERLINK("https://www.773grp.com/globalSearch/PTB48540BAS/page-1", "PTB48540BAS")</f>
        <v>PTB48540BAS</v>
      </c>
      <c r="B16972" s="3" t="s">
        <v>90</v>
      </c>
      <c r="C16972" s="5">
        <v>48</v>
      </c>
      <c r="D16972" s="6">
        <v>73.13</v>
      </c>
      <c r="E16972" t="s">
        <v>91</v>
      </c>
    </row>
    <row r="16973" spans="1:5" x14ac:dyDescent="0.25">
      <c r="A16973" t="str">
        <f>HYPERLINK("https://www.773grp.com/globalSearch/PTH05T210WAD/page-1", "PTH05T210WAD")</f>
        <v>PTH05T210WAD</v>
      </c>
      <c r="B16973" s="3" t="s">
        <v>90</v>
      </c>
      <c r="C16973" s="5">
        <v>6</v>
      </c>
      <c r="D16973" s="6">
        <v>76.58</v>
      </c>
      <c r="E16973" t="s">
        <v>91</v>
      </c>
    </row>
    <row r="16974" spans="1:5" x14ac:dyDescent="0.25">
      <c r="A16974" t="str">
        <f>HYPERLINK("https://www.773grp.com/globalSearch/PTH05T210WAS/page-1", "PTH05T210WAS")</f>
        <v>PTH05T210WAS</v>
      </c>
      <c r="B16974" s="3" t="s">
        <v>90</v>
      </c>
      <c r="C16974" s="5">
        <v>8</v>
      </c>
      <c r="D16974" s="6">
        <v>76.58</v>
      </c>
      <c r="E16974" t="s">
        <v>91</v>
      </c>
    </row>
    <row r="16975" spans="1:5" x14ac:dyDescent="0.25">
      <c r="A16975" t="str">
        <f>HYPERLINK("https://www.773grp.com/globalSearch/PTH05T210WAZ/page-1", "PTH05T210WAZ")</f>
        <v>PTH05T210WAZ</v>
      </c>
      <c r="B16975" s="3" t="s">
        <v>90</v>
      </c>
      <c r="C16975" s="5">
        <v>22</v>
      </c>
      <c r="D16975" s="6">
        <v>76.58</v>
      </c>
      <c r="E16975" t="s">
        <v>91</v>
      </c>
    </row>
    <row r="16976" spans="1:5" x14ac:dyDescent="0.25">
      <c r="A16976" t="str">
        <f>HYPERLINK("https://www.773grp.com/globalSearch/PT6308S/page-1", "PT6308S")</f>
        <v>PT6308S</v>
      </c>
      <c r="B16976" s="3" t="s">
        <v>90</v>
      </c>
      <c r="C16976" s="5">
        <v>24</v>
      </c>
      <c r="D16976" s="6">
        <v>78.48</v>
      </c>
      <c r="E16976" t="s">
        <v>91</v>
      </c>
    </row>
    <row r="16977" spans="1:5" x14ac:dyDescent="0.25">
      <c r="A16977" t="str">
        <f>HYPERLINK("https://www.773grp.com/globalSearch/PT6911C/page-1", "PT6911C")</f>
        <v>PT6911C</v>
      </c>
      <c r="B16977" s="3" t="s">
        <v>90</v>
      </c>
      <c r="C16977" s="5">
        <v>25</v>
      </c>
      <c r="D16977" s="6">
        <v>84.94</v>
      </c>
      <c r="E16977" t="s">
        <v>91</v>
      </c>
    </row>
    <row r="16978" spans="1:5" x14ac:dyDescent="0.25">
      <c r="A16978" t="str">
        <f>HYPERLINK("https://www.773grp.com/globalSearch/PT4224A/page-1", "PT4224A")</f>
        <v>PT4224A</v>
      </c>
      <c r="B16978" s="3" t="s">
        <v>90</v>
      </c>
      <c r="C16978" s="5">
        <v>13</v>
      </c>
      <c r="D16978" s="6">
        <v>86.91</v>
      </c>
      <c r="E16978" t="s">
        <v>91</v>
      </c>
    </row>
    <row r="16979" spans="1:5" x14ac:dyDescent="0.25">
      <c r="A16979" t="str">
        <f>HYPERLINK("https://www.773grp.com/globalSearch/PT4224C/page-1", "PT4224C")</f>
        <v>PT4224C</v>
      </c>
      <c r="B16979" s="3" t="s">
        <v>90</v>
      </c>
      <c r="C16979" s="5">
        <v>10</v>
      </c>
      <c r="D16979" s="6">
        <v>86.91</v>
      </c>
      <c r="E16979" t="s">
        <v>91</v>
      </c>
    </row>
    <row r="16980" spans="1:5" x14ac:dyDescent="0.25">
      <c r="A16980" t="str">
        <f>HYPERLINK("https://www.773grp.com/globalSearch/PTEA404120N2AD/page-1", "PTEA404120N2AD")</f>
        <v>PTEA404120N2AD</v>
      </c>
      <c r="B16980" s="3" t="s">
        <v>90</v>
      </c>
      <c r="C16980" s="5">
        <v>700</v>
      </c>
      <c r="D16980" s="6">
        <v>96.9</v>
      </c>
      <c r="E16980" t="s">
        <v>91</v>
      </c>
    </row>
    <row r="16981" spans="1:5" x14ac:dyDescent="0.25">
      <c r="A16981" t="str">
        <f>HYPERLINK("https://www.773grp.com/globalSearch/PTEA420025N2AD/page-1", "PTEA420025N2AD")</f>
        <v>PTEA420025N2AD</v>
      </c>
      <c r="B16981" s="3" t="s">
        <v>90</v>
      </c>
      <c r="C16981" s="5">
        <v>60</v>
      </c>
      <c r="D16981" s="6">
        <v>96.9</v>
      </c>
      <c r="E16981" t="s">
        <v>91</v>
      </c>
    </row>
    <row r="16982" spans="1:5" x14ac:dyDescent="0.25">
      <c r="A16982" t="str">
        <f>HYPERLINK("https://www.773grp.com/globalSearch/PTEA420025P2AD/page-1", "PTEA420025P2AD")</f>
        <v>PTEA420025P2AD</v>
      </c>
      <c r="B16982" s="3" t="s">
        <v>90</v>
      </c>
      <c r="C16982" s="5">
        <v>60</v>
      </c>
      <c r="D16982" s="6">
        <v>96.9</v>
      </c>
      <c r="E16982" t="s">
        <v>91</v>
      </c>
    </row>
    <row r="16983" spans="1:5" x14ac:dyDescent="0.25">
      <c r="A16983" t="str">
        <f>HYPERLINK("https://www.773grp.com/globalSearch/PTEA420033N2AD/page-1", "PTEA420033N2AD")</f>
        <v>PTEA420033N2AD</v>
      </c>
      <c r="B16983" s="3" t="s">
        <v>90</v>
      </c>
      <c r="C16983" s="5">
        <v>210</v>
      </c>
      <c r="D16983" s="6">
        <v>96.9</v>
      </c>
      <c r="E16983" t="s">
        <v>91</v>
      </c>
    </row>
    <row r="16984" spans="1:5" x14ac:dyDescent="0.25">
      <c r="A16984" t="str">
        <f>HYPERLINK("https://www.773grp.com/globalSearch/PTEA420033P2AD/page-1", "PTEA420033P2AD")</f>
        <v>PTEA420033P2AD</v>
      </c>
      <c r="B16984" s="3" t="s">
        <v>90</v>
      </c>
      <c r="C16984" s="5">
        <v>105</v>
      </c>
      <c r="D16984" s="6">
        <v>96.9</v>
      </c>
      <c r="E16984" t="s">
        <v>91</v>
      </c>
    </row>
    <row r="16985" spans="1:5" x14ac:dyDescent="0.25">
      <c r="A16985" t="str">
        <f>HYPERLINK("https://www.773grp.com/globalSearch/PTQA430025N2AS/page-1", "PTQA430025N2AS")</f>
        <v>PTQA430025N2AS</v>
      </c>
      <c r="B16985" s="3" t="s">
        <v>90</v>
      </c>
      <c r="C16985" s="5">
        <v>99</v>
      </c>
      <c r="D16985" s="6">
        <v>98.44</v>
      </c>
      <c r="E16985" t="s">
        <v>91</v>
      </c>
    </row>
    <row r="16986" spans="1:5" x14ac:dyDescent="0.25">
      <c r="A16986" t="str">
        <f>HYPERLINK("https://www.773grp.com/globalSearch/PTQA430033P2AS/page-1", "PTQA430033P2AS")</f>
        <v>PTQA430033P2AS</v>
      </c>
      <c r="B16986" s="3" t="s">
        <v>90</v>
      </c>
      <c r="C16986" s="5">
        <v>9</v>
      </c>
      <c r="D16986" s="6">
        <v>98.44</v>
      </c>
      <c r="E16986" t="s">
        <v>91</v>
      </c>
    </row>
    <row r="16987" spans="1:5" x14ac:dyDescent="0.25">
      <c r="A16987" t="str">
        <f>HYPERLINK("https://www.773grp.com/globalSearch/PTB48540AAZ/page-1", "PTB48540AAZ")</f>
        <v>PTB48540AAZ</v>
      </c>
      <c r="B16987" s="3" t="s">
        <v>90</v>
      </c>
      <c r="C16987" s="5">
        <v>96</v>
      </c>
      <c r="D16987" s="6">
        <v>100.28</v>
      </c>
      <c r="E16987" t="s">
        <v>91</v>
      </c>
    </row>
    <row r="16988" spans="1:5" x14ac:dyDescent="0.25">
      <c r="A16988" t="str">
        <f>HYPERLINK("https://www.773grp.com/globalSearch/PTB48540BAZ/page-1", "PTB48540BAZ")</f>
        <v>PTB48540BAZ</v>
      </c>
      <c r="B16988" s="3" t="s">
        <v>90</v>
      </c>
      <c r="C16988" s="5">
        <v>943</v>
      </c>
      <c r="D16988" s="6">
        <v>100.28</v>
      </c>
      <c r="E16988" t="s">
        <v>91</v>
      </c>
    </row>
    <row r="16989" spans="1:5" x14ac:dyDescent="0.25">
      <c r="A16989" t="str">
        <f>HYPERLINK("https://www.773grp.com/globalSearch/PTB48540CAD/page-1", "PTB48540CAD")</f>
        <v>PTB48540CAD</v>
      </c>
      <c r="B16989" s="3" t="s">
        <v>90</v>
      </c>
      <c r="C16989" s="5">
        <v>1632</v>
      </c>
      <c r="D16989" s="6">
        <v>100.28</v>
      </c>
      <c r="E16989" t="s">
        <v>91</v>
      </c>
    </row>
    <row r="16990" spans="1:5" x14ac:dyDescent="0.25">
      <c r="A16990" t="str">
        <f>HYPERLINK("https://www.773grp.com/globalSearch/PTB48540CAH/page-1", "PTB48540CAH")</f>
        <v>PTB48540CAH</v>
      </c>
      <c r="B16990" s="3" t="s">
        <v>90</v>
      </c>
      <c r="C16990" s="5">
        <v>546</v>
      </c>
      <c r="D16990" s="6">
        <v>100.28</v>
      </c>
      <c r="E16990" t="s">
        <v>91</v>
      </c>
    </row>
    <row r="16991" spans="1:5" x14ac:dyDescent="0.25">
      <c r="A16991" t="str">
        <f>HYPERLINK("https://www.773grp.com/globalSearch/PTB48540CAZ/page-1", "PTB48540CAZ")</f>
        <v>PTB48540CAZ</v>
      </c>
      <c r="B16991" s="3" t="s">
        <v>90</v>
      </c>
      <c r="C16991" s="5">
        <v>43</v>
      </c>
      <c r="D16991" s="6">
        <v>100.28</v>
      </c>
      <c r="E16991" t="s">
        <v>91</v>
      </c>
    </row>
    <row r="16992" spans="1:5" x14ac:dyDescent="0.25">
      <c r="A16992" t="str">
        <f>HYPERLINK("https://www.773grp.com/globalSearch/PTB48560AAH/page-1", "PTB48560AAH")</f>
        <v>PTB48560AAH</v>
      </c>
      <c r="B16992" s="3" t="s">
        <v>90</v>
      </c>
      <c r="C16992" s="5">
        <v>8</v>
      </c>
      <c r="D16992" s="6">
        <v>101.09</v>
      </c>
      <c r="E16992" t="s">
        <v>91</v>
      </c>
    </row>
    <row r="16993" spans="1:5" x14ac:dyDescent="0.25">
      <c r="A16993" t="str">
        <f>HYPERLINK("https://www.773grp.com/globalSearch/PTB48560AAS/page-1", "PTB48560AAS")</f>
        <v>PTB48560AAS</v>
      </c>
      <c r="B16993" s="3" t="s">
        <v>90</v>
      </c>
      <c r="C16993" s="5">
        <v>26</v>
      </c>
      <c r="D16993" s="6">
        <v>101.09</v>
      </c>
      <c r="E16993" t="s">
        <v>91</v>
      </c>
    </row>
    <row r="16994" spans="1:5" x14ac:dyDescent="0.25">
      <c r="A16994" t="str">
        <f>HYPERLINK("https://www.773grp.com/globalSearch/PTB48560AAZ/page-1", "PTB48560AAZ")</f>
        <v>PTB48560AAZ</v>
      </c>
      <c r="B16994" s="3" t="s">
        <v>90</v>
      </c>
      <c r="C16994" s="5">
        <v>2357</v>
      </c>
      <c r="D16994" s="6">
        <v>101.09</v>
      </c>
      <c r="E16994" t="s">
        <v>91</v>
      </c>
    </row>
    <row r="16995" spans="1:5" x14ac:dyDescent="0.25">
      <c r="A16995" t="str">
        <f>HYPERLINK("https://www.773grp.com/globalSearch/PTB48560BAH/page-1", "PTB48560BAH")</f>
        <v>PTB48560BAH</v>
      </c>
      <c r="B16995" s="3" t="s">
        <v>90</v>
      </c>
      <c r="C16995" s="5">
        <v>205</v>
      </c>
      <c r="D16995" s="6">
        <v>101.09</v>
      </c>
      <c r="E16995" t="s">
        <v>91</v>
      </c>
    </row>
    <row r="16996" spans="1:5" x14ac:dyDescent="0.25">
      <c r="A16996" t="str">
        <f>HYPERLINK("https://www.773grp.com/globalSearch/PTB48560BAZ/page-1", "PTB48560BAZ")</f>
        <v>PTB48560BAZ</v>
      </c>
      <c r="B16996" s="3" t="s">
        <v>90</v>
      </c>
      <c r="C16996" s="5">
        <v>995</v>
      </c>
      <c r="D16996" s="6">
        <v>101.09</v>
      </c>
      <c r="E16996" t="s">
        <v>91</v>
      </c>
    </row>
    <row r="16997" spans="1:5" x14ac:dyDescent="0.25">
      <c r="A16997" t="str">
        <f>HYPERLINK("https://www.773grp.com/globalSearch/PTB48560CAZ/page-1", "PTB48560CAZ")</f>
        <v>PTB48560CAZ</v>
      </c>
      <c r="B16997" s="3" t="s">
        <v>90</v>
      </c>
      <c r="C16997" s="5">
        <v>62</v>
      </c>
      <c r="D16997" s="6">
        <v>101.09</v>
      </c>
      <c r="E16997" t="s">
        <v>91</v>
      </c>
    </row>
    <row r="16998" spans="1:5" x14ac:dyDescent="0.25">
      <c r="A16998" t="str">
        <f>HYPERLINK("https://www.773grp.com/globalSearch/PTB48560CAZ/page-1", "PTB48560CAZ")</f>
        <v>PTB48560CAZ</v>
      </c>
      <c r="B16998" s="3" t="s">
        <v>90</v>
      </c>
      <c r="C16998" s="5">
        <v>1344</v>
      </c>
      <c r="D16998" s="6">
        <v>101.09</v>
      </c>
      <c r="E16998" t="s">
        <v>91</v>
      </c>
    </row>
    <row r="16999" spans="1:5" x14ac:dyDescent="0.25">
      <c r="A16999" t="str">
        <f>HYPERLINK("https://www.773grp.com/globalSearch/PTB78560BAS/page-1", "PTB78560BAS")</f>
        <v>PTB78560BAS</v>
      </c>
      <c r="B16999" s="3" t="s">
        <v>90</v>
      </c>
      <c r="C16999" s="5">
        <v>35</v>
      </c>
      <c r="D16999" s="6">
        <v>101.09</v>
      </c>
      <c r="E16999" t="s">
        <v>91</v>
      </c>
    </row>
    <row r="17000" spans="1:5" x14ac:dyDescent="0.25">
      <c r="A17000" t="str">
        <f>HYPERLINK("https://www.773grp.com/globalSearch/PTB78560BAZ/page-1", "PTB78560BAZ")</f>
        <v>PTB78560BAZ</v>
      </c>
      <c r="B17000" s="3" t="s">
        <v>90</v>
      </c>
      <c r="C17000" s="5">
        <v>49</v>
      </c>
      <c r="D17000" s="6">
        <v>101.09</v>
      </c>
      <c r="E17000" t="s">
        <v>91</v>
      </c>
    </row>
    <row r="17001" spans="1:5" x14ac:dyDescent="0.25">
      <c r="A17001" t="str">
        <f>HYPERLINK("https://www.773grp.com/globalSearch/PT6911A/page-1", "PT6911A")</f>
        <v>PT6911A</v>
      </c>
      <c r="B17001" s="3" t="s">
        <v>90</v>
      </c>
      <c r="C17001" s="5">
        <v>40</v>
      </c>
      <c r="D17001" s="6">
        <v>102.1</v>
      </c>
      <c r="E17001" t="s">
        <v>91</v>
      </c>
    </row>
    <row r="17002" spans="1:5" x14ac:dyDescent="0.25">
      <c r="A17002" t="str">
        <f>HYPERLINK("https://www.773grp.com/globalSearch/PT6911N/page-1", "PT6911N")</f>
        <v>PT6911N</v>
      </c>
      <c r="B17002" s="3" t="s">
        <v>90</v>
      </c>
      <c r="C17002" s="5">
        <v>10</v>
      </c>
      <c r="D17002" s="6">
        <v>102.1</v>
      </c>
      <c r="E17002" t="s">
        <v>91</v>
      </c>
    </row>
    <row r="17003" spans="1:5" x14ac:dyDescent="0.25">
      <c r="A17003" t="str">
        <f>HYPERLINK("https://www.773grp.com/globalSearch/PT6912A/page-1", "PT6912A")</f>
        <v>PT6912A</v>
      </c>
      <c r="B17003" s="3" t="s">
        <v>90</v>
      </c>
      <c r="C17003" s="5">
        <v>4</v>
      </c>
      <c r="D17003" s="6">
        <v>102.1</v>
      </c>
      <c r="E17003" t="s">
        <v>91</v>
      </c>
    </row>
    <row r="17004" spans="1:5" x14ac:dyDescent="0.25">
      <c r="A17004" t="str">
        <f>HYPERLINK("https://www.773grp.com/globalSearch/PT6912N/page-1", "PT6912N")</f>
        <v>PT6912N</v>
      </c>
      <c r="B17004" s="3" t="s">
        <v>90</v>
      </c>
      <c r="C17004" s="5">
        <v>21</v>
      </c>
      <c r="D17004" s="6">
        <v>102.1</v>
      </c>
      <c r="E17004" t="s">
        <v>91</v>
      </c>
    </row>
    <row r="17005" spans="1:5" x14ac:dyDescent="0.25">
      <c r="A17005" t="str">
        <f>HYPERLINK("https://www.773grp.com/globalSearch/PT6913C/page-1", "PT6913C")</f>
        <v>PT6913C</v>
      </c>
      <c r="B17005" s="3" t="s">
        <v>90</v>
      </c>
      <c r="C17005" s="5">
        <v>54</v>
      </c>
      <c r="D17005" s="6">
        <v>102.1</v>
      </c>
      <c r="E17005" t="s">
        <v>91</v>
      </c>
    </row>
    <row r="17006" spans="1:5" x14ac:dyDescent="0.25">
      <c r="A17006" t="str">
        <f>HYPERLINK("https://www.773grp.com/globalSearch/PT6914C/page-1", "PT6914C")</f>
        <v>PT6914C</v>
      </c>
      <c r="B17006" s="3" t="s">
        <v>90</v>
      </c>
      <c r="C17006" s="5">
        <v>21</v>
      </c>
      <c r="D17006" s="6">
        <v>102.1</v>
      </c>
      <c r="E17006" t="s">
        <v>91</v>
      </c>
    </row>
    <row r="17007" spans="1:5" x14ac:dyDescent="0.25">
      <c r="A17007" t="str">
        <f>HYPERLINK("https://www.773grp.com/globalSearch/PT6915C/page-1", "PT6915C")</f>
        <v>PT6915C</v>
      </c>
      <c r="B17007" s="3" t="s">
        <v>90</v>
      </c>
      <c r="C17007" s="5">
        <v>40</v>
      </c>
      <c r="D17007" s="6">
        <v>102.1</v>
      </c>
      <c r="E17007" t="s">
        <v>91</v>
      </c>
    </row>
    <row r="17008" spans="1:5" x14ac:dyDescent="0.25">
      <c r="A17008" t="str">
        <f>HYPERLINK("https://www.773grp.com/globalSearch/PT4222C/page-1", "PT4222C")</f>
        <v>PT4222C</v>
      </c>
      <c r="B17008" s="3" t="s">
        <v>90</v>
      </c>
      <c r="C17008" s="5">
        <v>30</v>
      </c>
      <c r="D17008" s="6">
        <v>104.06</v>
      </c>
      <c r="E17008" t="s">
        <v>91</v>
      </c>
    </row>
    <row r="17009" spans="1:5" x14ac:dyDescent="0.25">
      <c r="A17009" t="str">
        <f>HYPERLINK("https://www.773grp.com/globalSearch/PT4223A/page-1", "PT4223A")</f>
        <v>PT4223A</v>
      </c>
      <c r="B17009" s="3" t="s">
        <v>90</v>
      </c>
      <c r="C17009" s="5">
        <v>13</v>
      </c>
      <c r="D17009" s="6">
        <v>104.06</v>
      </c>
      <c r="E17009" t="s">
        <v>91</v>
      </c>
    </row>
    <row r="17010" spans="1:5" x14ac:dyDescent="0.25">
      <c r="A17010" t="str">
        <f>HYPERLINK("https://www.773grp.com/globalSearch/PT4223C/page-1", "PT4223C")</f>
        <v>PT4223C</v>
      </c>
      <c r="B17010" s="3" t="s">
        <v>90</v>
      </c>
      <c r="C17010" s="5">
        <v>61</v>
      </c>
      <c r="D17010" s="6">
        <v>104.06</v>
      </c>
      <c r="E17010" t="s">
        <v>91</v>
      </c>
    </row>
    <row r="17011" spans="1:5" x14ac:dyDescent="0.25">
      <c r="A17011" t="str">
        <f>HYPERLINK("https://www.773grp.com/globalSearch/PT4224N/page-1", "PT4224N")</f>
        <v>PT4224N</v>
      </c>
      <c r="B17011" s="3" t="s">
        <v>90</v>
      </c>
      <c r="C17011" s="5">
        <v>105</v>
      </c>
      <c r="D17011" s="6">
        <v>104.06</v>
      </c>
      <c r="E17011" t="s">
        <v>91</v>
      </c>
    </row>
    <row r="17012" spans="1:5" x14ac:dyDescent="0.25">
      <c r="A17012" t="str">
        <f>HYPERLINK("https://www.773grp.com/globalSearch/PT4242A/page-1", "PT4242A")</f>
        <v>PT4242A</v>
      </c>
      <c r="B17012" s="3" t="s">
        <v>90</v>
      </c>
      <c r="C17012" s="5">
        <v>188</v>
      </c>
      <c r="D17012" s="6">
        <v>104.06</v>
      </c>
      <c r="E17012" t="s">
        <v>91</v>
      </c>
    </row>
    <row r="17013" spans="1:5" x14ac:dyDescent="0.25">
      <c r="A17013" t="str">
        <f>HYPERLINK("https://www.773grp.com/globalSearch/PT4242C/page-1", "PT4242C")</f>
        <v>PT4242C</v>
      </c>
      <c r="B17013" s="3" t="s">
        <v>90</v>
      </c>
      <c r="C17013" s="5">
        <v>17</v>
      </c>
      <c r="D17013" s="6">
        <v>104.06</v>
      </c>
      <c r="E17013" t="s">
        <v>91</v>
      </c>
    </row>
    <row r="17014" spans="1:5" x14ac:dyDescent="0.25">
      <c r="A17014" t="str">
        <f>HYPERLINK("https://www.773grp.com/globalSearch/PT4243A/page-1", "PT4243A")</f>
        <v>PT4243A</v>
      </c>
      <c r="B17014" s="3" t="s">
        <v>90</v>
      </c>
      <c r="C17014" s="5">
        <v>610</v>
      </c>
      <c r="D17014" s="6">
        <v>104.06</v>
      </c>
      <c r="E17014" t="s">
        <v>91</v>
      </c>
    </row>
    <row r="17015" spans="1:5" x14ac:dyDescent="0.25">
      <c r="A17015" t="str">
        <f>HYPERLINK("https://www.773grp.com/globalSearch/PT4243N/page-1", "PT4243N")</f>
        <v>PT4243N</v>
      </c>
      <c r="B17015" s="3" t="s">
        <v>90</v>
      </c>
      <c r="C17015" s="5">
        <v>1</v>
      </c>
      <c r="D17015" s="6">
        <v>104.06</v>
      </c>
      <c r="E17015" t="s">
        <v>91</v>
      </c>
    </row>
    <row r="17016" spans="1:5" x14ac:dyDescent="0.25">
      <c r="A17016" t="str">
        <f>HYPERLINK("https://www.773grp.com/globalSearch/PT4244A/page-1", "PT4244A")</f>
        <v>PT4244A</v>
      </c>
      <c r="B17016" s="3" t="s">
        <v>90</v>
      </c>
      <c r="C17016" s="5">
        <v>18</v>
      </c>
      <c r="D17016" s="6">
        <v>104.06</v>
      </c>
      <c r="E17016" t="s">
        <v>91</v>
      </c>
    </row>
    <row r="17017" spans="1:5" x14ac:dyDescent="0.25">
      <c r="A17017" t="str">
        <f>HYPERLINK("https://www.773grp.com/globalSearch/PT4244C/page-1", "PT4244C")</f>
        <v>PT4244C</v>
      </c>
      <c r="B17017" s="3" t="s">
        <v>90</v>
      </c>
      <c r="C17017" s="5">
        <v>24</v>
      </c>
      <c r="D17017" s="6">
        <v>104.06</v>
      </c>
      <c r="E17017" t="s">
        <v>91</v>
      </c>
    </row>
    <row r="17018" spans="1:5" x14ac:dyDescent="0.25">
      <c r="A17018" t="str">
        <f>HYPERLINK("https://www.773grp.com/globalSearch/PT4244N/page-1", "PT4244N")</f>
        <v>PT4244N</v>
      </c>
      <c r="B17018" s="3" t="s">
        <v>90</v>
      </c>
      <c r="C17018" s="5">
        <v>30</v>
      </c>
      <c r="D17018" s="6">
        <v>104.06</v>
      </c>
      <c r="E17018" t="s">
        <v>91</v>
      </c>
    </row>
    <row r="17019" spans="1:5" x14ac:dyDescent="0.25">
      <c r="A17019" t="str">
        <f>HYPERLINK("https://www.773grp.com/globalSearch/PT4522A/page-1", "PT4522A")</f>
        <v>PT4522A</v>
      </c>
      <c r="B17019" s="3" t="s">
        <v>90</v>
      </c>
      <c r="C17019" s="5">
        <v>304</v>
      </c>
      <c r="D17019" s="6">
        <v>104.96</v>
      </c>
      <c r="E17019" t="s">
        <v>91</v>
      </c>
    </row>
    <row r="17020" spans="1:5" x14ac:dyDescent="0.25">
      <c r="A17020" t="str">
        <f>HYPERLINK("https://www.773grp.com/globalSearch/PT4522C/page-1", "PT4522C")</f>
        <v>PT4522C</v>
      </c>
      <c r="B17020" s="3" t="s">
        <v>90</v>
      </c>
      <c r="C17020" s="5">
        <v>186</v>
      </c>
      <c r="D17020" s="6">
        <v>104.96</v>
      </c>
      <c r="E17020" t="s">
        <v>91</v>
      </c>
    </row>
    <row r="17021" spans="1:5" x14ac:dyDescent="0.25">
      <c r="A17021" t="str">
        <f>HYPERLINK("https://www.773grp.com/globalSearch/PT4529C/page-1", "PT4529C")</f>
        <v>PT4529C</v>
      </c>
      <c r="B17021" s="3" t="s">
        <v>90</v>
      </c>
      <c r="C17021" s="5">
        <v>10</v>
      </c>
      <c r="D17021" s="6">
        <v>104.96</v>
      </c>
      <c r="E17021" t="s">
        <v>91</v>
      </c>
    </row>
    <row r="17022" spans="1:5" x14ac:dyDescent="0.25">
      <c r="A17022" t="str">
        <f>HYPERLINK("https://www.773grp.com/globalSearch/PT4521A/page-1", "PT4521A")</f>
        <v>PT4521A</v>
      </c>
      <c r="B17022" s="3" t="s">
        <v>90</v>
      </c>
      <c r="C17022" s="5">
        <v>53</v>
      </c>
      <c r="D17022" s="6">
        <v>105.05</v>
      </c>
      <c r="E17022" t="s">
        <v>91</v>
      </c>
    </row>
    <row r="17023" spans="1:5" x14ac:dyDescent="0.25">
      <c r="A17023" t="str">
        <f>HYPERLINK("https://www.773grp.com/globalSearch/PT4522N/page-1", "PT4522N")</f>
        <v>PT4522N</v>
      </c>
      <c r="B17023" s="3" t="s">
        <v>90</v>
      </c>
      <c r="C17023" s="5">
        <v>17</v>
      </c>
      <c r="D17023" s="6">
        <v>105.05</v>
      </c>
      <c r="E17023" t="s">
        <v>91</v>
      </c>
    </row>
    <row r="17024" spans="1:5" x14ac:dyDescent="0.25">
      <c r="A17024" t="str">
        <f>HYPERLINK("https://www.773grp.com/globalSearch/PT4523A/page-1", "PT4523A")</f>
        <v>PT4523A</v>
      </c>
      <c r="B17024" s="3" t="s">
        <v>90</v>
      </c>
      <c r="C17024" s="5">
        <v>20</v>
      </c>
      <c r="D17024" s="6">
        <v>105.05</v>
      </c>
      <c r="E17024" t="s">
        <v>91</v>
      </c>
    </row>
    <row r="17025" spans="1:5" x14ac:dyDescent="0.25">
      <c r="A17025" t="str">
        <f>HYPERLINK("https://www.773grp.com/globalSearch/PT4523C/page-1", "PT4523C")</f>
        <v>PT4523C</v>
      </c>
      <c r="B17025" s="3" t="s">
        <v>90</v>
      </c>
      <c r="C17025" s="5">
        <v>25</v>
      </c>
      <c r="D17025" s="6">
        <v>105.05</v>
      </c>
      <c r="E17025" t="s">
        <v>91</v>
      </c>
    </row>
    <row r="17026" spans="1:5" x14ac:dyDescent="0.25">
      <c r="A17026" t="str">
        <f>HYPERLINK("https://www.773grp.com/globalSearch/PT4523N/page-1", "PT4523N")</f>
        <v>PT4523N</v>
      </c>
      <c r="B17026" s="3" t="s">
        <v>90</v>
      </c>
      <c r="C17026" s="5">
        <v>15</v>
      </c>
      <c r="D17026" s="6">
        <v>105.05</v>
      </c>
      <c r="E17026" t="s">
        <v>91</v>
      </c>
    </row>
    <row r="17027" spans="1:5" x14ac:dyDescent="0.25">
      <c r="A17027" t="str">
        <f>HYPERLINK("https://www.773grp.com/globalSearch/PTB48510AAS/page-1", "PTB48510AAS")</f>
        <v>PTB48510AAS</v>
      </c>
      <c r="B17027" s="3" t="s">
        <v>90</v>
      </c>
      <c r="C17027" s="5">
        <v>9</v>
      </c>
      <c r="D17027" s="6">
        <v>106.88</v>
      </c>
      <c r="E17027" t="s">
        <v>91</v>
      </c>
    </row>
    <row r="17028" spans="1:5" x14ac:dyDescent="0.25">
      <c r="A17028" t="str">
        <f>HYPERLINK("https://www.773grp.com/globalSearch/PTB48510AAZ/page-1", "PTB48510AAZ")</f>
        <v>PTB48510AAZ</v>
      </c>
      <c r="B17028" s="3" t="s">
        <v>90</v>
      </c>
      <c r="C17028" s="5">
        <v>27</v>
      </c>
      <c r="D17028" s="6">
        <v>106.88</v>
      </c>
      <c r="E17028" t="s">
        <v>91</v>
      </c>
    </row>
    <row r="17029" spans="1:5" x14ac:dyDescent="0.25">
      <c r="A17029" t="str">
        <f>HYPERLINK("https://www.773grp.com/globalSearch/PTB48511AAS/page-1", "PTB48511AAS")</f>
        <v>PTB48511AAS</v>
      </c>
      <c r="B17029" s="3" t="s">
        <v>90</v>
      </c>
      <c r="C17029" s="5">
        <v>378</v>
      </c>
      <c r="D17029" s="6">
        <v>106.88</v>
      </c>
      <c r="E17029" t="s">
        <v>91</v>
      </c>
    </row>
    <row r="17030" spans="1:5" x14ac:dyDescent="0.25">
      <c r="A17030" t="str">
        <f>HYPERLINK("https://www.773grp.com/globalSearch/PTB48511AAZ/page-1", "PTB48511AAZ")</f>
        <v>PTB48511AAZ</v>
      </c>
      <c r="B17030" s="3" t="s">
        <v>90</v>
      </c>
      <c r="C17030" s="5">
        <v>27</v>
      </c>
      <c r="D17030" s="6">
        <v>106.88</v>
      </c>
      <c r="E17030" t="s">
        <v>91</v>
      </c>
    </row>
    <row r="17031" spans="1:5" x14ac:dyDescent="0.25">
      <c r="A17031" t="str">
        <f>HYPERLINK("https://www.773grp.com/globalSearch/PT4122A/page-1", "PT4122A")</f>
        <v>PT4122A</v>
      </c>
      <c r="B17031" s="3" t="s">
        <v>90</v>
      </c>
      <c r="C17031" s="5">
        <v>66</v>
      </c>
      <c r="D17031" s="6">
        <v>109.69</v>
      </c>
      <c r="E17031" t="s">
        <v>91</v>
      </c>
    </row>
    <row r="17032" spans="1:5" x14ac:dyDescent="0.25">
      <c r="A17032" t="str">
        <f>HYPERLINK("https://www.773grp.com/globalSearch/PT4122C/page-1", "PT4122C")</f>
        <v>PT4122C</v>
      </c>
      <c r="B17032" s="3" t="s">
        <v>90</v>
      </c>
      <c r="C17032" s="5">
        <v>276</v>
      </c>
      <c r="D17032" s="6">
        <v>109.69</v>
      </c>
      <c r="E17032" t="s">
        <v>91</v>
      </c>
    </row>
    <row r="17033" spans="1:5" x14ac:dyDescent="0.25">
      <c r="A17033" t="str">
        <f>HYPERLINK("https://www.773grp.com/globalSearch/PT4124A/page-1", "PT4124A")</f>
        <v>PT4124A</v>
      </c>
      <c r="B17033" s="3" t="s">
        <v>90</v>
      </c>
      <c r="C17033" s="5">
        <v>81</v>
      </c>
      <c r="D17033" s="6">
        <v>109.69</v>
      </c>
      <c r="E17033" t="s">
        <v>91</v>
      </c>
    </row>
    <row r="17034" spans="1:5" x14ac:dyDescent="0.25">
      <c r="A17034" t="str">
        <f>HYPERLINK("https://www.773grp.com/globalSearch/PT4124C/page-1", "PT4124C")</f>
        <v>PT4124C</v>
      </c>
      <c r="B17034" s="3" t="s">
        <v>90</v>
      </c>
      <c r="C17034" s="5">
        <v>441</v>
      </c>
      <c r="D17034" s="6">
        <v>109.69</v>
      </c>
      <c r="E17034" t="s">
        <v>91</v>
      </c>
    </row>
    <row r="17035" spans="1:5" x14ac:dyDescent="0.25">
      <c r="A17035" t="str">
        <f>HYPERLINK("https://www.773grp.com/globalSearch/PT4141C/page-1", "PT4141C")</f>
        <v>PT4141C</v>
      </c>
      <c r="B17035" s="3" t="s">
        <v>90</v>
      </c>
      <c r="C17035" s="5">
        <v>3</v>
      </c>
      <c r="D17035" s="6">
        <v>109.69</v>
      </c>
      <c r="E17035" t="s">
        <v>91</v>
      </c>
    </row>
    <row r="17036" spans="1:5" x14ac:dyDescent="0.25">
      <c r="A17036" t="str">
        <f>HYPERLINK("https://www.773grp.com/globalSearch/PT4141C/page-1", "PT4141C")</f>
        <v>PT4141C</v>
      </c>
      <c r="B17036" s="3" t="s">
        <v>90</v>
      </c>
      <c r="C17036" s="5">
        <v>9</v>
      </c>
      <c r="D17036" s="6">
        <v>109.69</v>
      </c>
      <c r="E17036" t="s">
        <v>91</v>
      </c>
    </row>
    <row r="17037" spans="1:5" x14ac:dyDescent="0.25">
      <c r="A17037" t="str">
        <f>HYPERLINK("https://www.773grp.com/globalSearch/PT4142C/page-1", "PT4142C")</f>
        <v>PT4142C</v>
      </c>
      <c r="B17037" s="3" t="s">
        <v>90</v>
      </c>
      <c r="C17037" s="5">
        <v>12</v>
      </c>
      <c r="D17037" s="6">
        <v>109.69</v>
      </c>
      <c r="E17037" t="s">
        <v>91</v>
      </c>
    </row>
    <row r="17038" spans="1:5" x14ac:dyDescent="0.25">
      <c r="A17038" t="str">
        <f>HYPERLINK("https://www.773grp.com/globalSearch/PT4143C/page-1", "PT4143C")</f>
        <v>PT4143C</v>
      </c>
      <c r="B17038" s="3" t="s">
        <v>90</v>
      </c>
      <c r="C17038" s="5">
        <v>20</v>
      </c>
      <c r="D17038" s="6">
        <v>109.69</v>
      </c>
      <c r="E17038" t="s">
        <v>91</v>
      </c>
    </row>
    <row r="17039" spans="1:5" x14ac:dyDescent="0.25">
      <c r="A17039" t="str">
        <f>HYPERLINK("https://www.773grp.com/globalSearch/PT7744N/page-1", "PT7744N")</f>
        <v>PT7744N</v>
      </c>
      <c r="B17039" s="3" t="s">
        <v>90</v>
      </c>
      <c r="C17039" s="5">
        <v>40</v>
      </c>
      <c r="D17039" s="6">
        <v>109.98</v>
      </c>
      <c r="E17039" t="s">
        <v>91</v>
      </c>
    </row>
    <row r="17040" spans="1:5" x14ac:dyDescent="0.25">
      <c r="A17040" t="str">
        <f>HYPERLINK("https://www.773grp.com/globalSearch/PT6914A/page-1", "PT6914A")</f>
        <v>PT6914A</v>
      </c>
      <c r="B17040" s="3" t="s">
        <v>90</v>
      </c>
      <c r="C17040" s="5">
        <v>30</v>
      </c>
      <c r="D17040" s="6">
        <v>110.4</v>
      </c>
      <c r="E17040" t="s">
        <v>91</v>
      </c>
    </row>
    <row r="17041" spans="1:5" x14ac:dyDescent="0.25">
      <c r="A17041" t="str">
        <f>HYPERLINK("https://www.773grp.com/globalSearch/PT4146C/page-1", "PT4146C")</f>
        <v>PT4146C</v>
      </c>
      <c r="B17041" s="3" t="s">
        <v>90</v>
      </c>
      <c r="C17041" s="5">
        <v>10</v>
      </c>
      <c r="D17041" s="6">
        <v>114.04</v>
      </c>
      <c r="E17041" t="s">
        <v>91</v>
      </c>
    </row>
    <row r="17042" spans="1:5" x14ac:dyDescent="0.25">
      <c r="A17042" t="str">
        <f>HYPERLINK("https://www.773grp.com/globalSearch/PT4801C/page-1", "PT4801C")</f>
        <v>PT4801C</v>
      </c>
      <c r="B17042" s="3" t="s">
        <v>90</v>
      </c>
      <c r="C17042" s="5">
        <v>5</v>
      </c>
      <c r="D17042" s="6">
        <v>115.18</v>
      </c>
      <c r="E17042" t="s">
        <v>91</v>
      </c>
    </row>
    <row r="17043" spans="1:5" x14ac:dyDescent="0.25">
      <c r="A17043" t="str">
        <f>HYPERLINK("https://www.773grp.com/globalSearch/PTB48580AAH/page-1", "PTB48580AAH")</f>
        <v>PTB48580AAH</v>
      </c>
      <c r="B17043" s="3" t="s">
        <v>90</v>
      </c>
      <c r="C17043" s="5">
        <v>65</v>
      </c>
      <c r="D17043" s="6">
        <v>116.44</v>
      </c>
      <c r="E17043" t="s">
        <v>91</v>
      </c>
    </row>
    <row r="17044" spans="1:5" x14ac:dyDescent="0.25">
      <c r="A17044" t="str">
        <f>HYPERLINK("https://www.773grp.com/globalSearch/PTB48580BAZ/page-1", "PTB48580BAZ")</f>
        <v>PTB48580BAZ</v>
      </c>
      <c r="B17044" s="3" t="s">
        <v>90</v>
      </c>
      <c r="C17044" s="5">
        <v>990</v>
      </c>
      <c r="D17044" s="6">
        <v>116.44</v>
      </c>
      <c r="E17044" t="s">
        <v>91</v>
      </c>
    </row>
    <row r="17045" spans="1:5" x14ac:dyDescent="0.25">
      <c r="A17045" t="str">
        <f>HYPERLINK("https://www.773grp.com/globalSearch/PTH12040WAD/page-1", "PTH12040WAD")</f>
        <v>PTH12040WAD</v>
      </c>
      <c r="B17045" s="3" t="s">
        <v>90</v>
      </c>
      <c r="C17045" s="5">
        <v>247</v>
      </c>
      <c r="D17045" s="6">
        <v>119.1</v>
      </c>
      <c r="E17045" t="s">
        <v>91</v>
      </c>
    </row>
    <row r="17046" spans="1:5" x14ac:dyDescent="0.25">
      <c r="A17046" t="str">
        <f>HYPERLINK("https://www.773grp.com/globalSearch/PTH12040WAS/page-1", "PTH12040WAS")</f>
        <v>PTH12040WAS</v>
      </c>
      <c r="B17046" s="3" t="s">
        <v>90</v>
      </c>
      <c r="C17046" s="5">
        <v>90</v>
      </c>
      <c r="D17046" s="6">
        <v>119.1</v>
      </c>
      <c r="E17046" t="s">
        <v>91</v>
      </c>
    </row>
    <row r="17047" spans="1:5" x14ac:dyDescent="0.25">
      <c r="A17047" t="str">
        <f>HYPERLINK("https://www.773grp.com/globalSearch/PTH12040WAZ/page-1", "PTH12040WAZ")</f>
        <v>PTH12040WAZ</v>
      </c>
      <c r="B17047" s="3" t="s">
        <v>90</v>
      </c>
      <c r="C17047" s="5">
        <v>133</v>
      </c>
      <c r="D17047" s="6">
        <v>119.1</v>
      </c>
      <c r="E17047" t="s">
        <v>91</v>
      </c>
    </row>
    <row r="17048" spans="1:5" x14ac:dyDescent="0.25">
      <c r="A17048" t="str">
        <f>HYPERLINK("https://www.773grp.com/globalSearch/PTB48500AAS/page-1", "PTB48500AAS")</f>
        <v>PTB48500AAS</v>
      </c>
      <c r="B17048" s="3" t="s">
        <v>90</v>
      </c>
      <c r="C17048" s="5">
        <v>180</v>
      </c>
      <c r="D17048" s="6">
        <v>120.94</v>
      </c>
      <c r="E17048" t="s">
        <v>91</v>
      </c>
    </row>
    <row r="17049" spans="1:5" x14ac:dyDescent="0.25">
      <c r="A17049" t="str">
        <f>HYPERLINK("https://www.773grp.com/globalSearch/PTH08T250WAZ/page-1", "PTH08T250WAZ")</f>
        <v>PTH08T250WAZ</v>
      </c>
      <c r="B17049" s="3" t="s">
        <v>90</v>
      </c>
      <c r="C17049" s="5">
        <v>20</v>
      </c>
      <c r="D17049" s="6">
        <v>122.51</v>
      </c>
      <c r="E17049" t="s">
        <v>91</v>
      </c>
    </row>
    <row r="17050" spans="1:5" x14ac:dyDescent="0.25">
      <c r="A17050" t="str">
        <f>HYPERLINK("https://www.773grp.com/globalSearch/PTH08T255WAZ/page-1", "PTH08T255WAZ")</f>
        <v>PTH08T255WAZ</v>
      </c>
      <c r="B17050" s="3" t="s">
        <v>90</v>
      </c>
      <c r="C17050" s="5">
        <v>75</v>
      </c>
      <c r="D17050" s="6">
        <v>122.51</v>
      </c>
      <c r="E17050" t="s">
        <v>91</v>
      </c>
    </row>
    <row r="17051" spans="1:5" x14ac:dyDescent="0.25">
      <c r="A17051" t="str">
        <f>HYPERLINK("https://www.773grp.com/globalSearch/PTH08T250WAST/page-1", "PTH08T250WAST")</f>
        <v>PTH08T250WAST</v>
      </c>
      <c r="B17051" s="3" t="s">
        <v>90</v>
      </c>
      <c r="C17051" s="5">
        <v>6800</v>
      </c>
      <c r="D17051" s="6">
        <v>122.94</v>
      </c>
      <c r="E17051" t="s">
        <v>91</v>
      </c>
    </row>
    <row r="17052" spans="1:5" x14ac:dyDescent="0.25">
      <c r="A17052" t="str">
        <f>HYPERLINK("https://www.773grp.com/globalSearch/PTH08T250WAZT/page-1", "PTH08T250WAZT")</f>
        <v>PTH08T250WAZT</v>
      </c>
      <c r="B17052" s="3" t="s">
        <v>90</v>
      </c>
      <c r="C17052" s="5">
        <v>1</v>
      </c>
      <c r="D17052" s="6">
        <v>122.94</v>
      </c>
      <c r="E17052" t="s">
        <v>91</v>
      </c>
    </row>
    <row r="17053" spans="1:5" x14ac:dyDescent="0.25">
      <c r="A17053" t="str">
        <f>HYPERLINK("https://www.773grp.com/globalSearch/PT4581N/page-1", "PT4581N")</f>
        <v>PT4581N</v>
      </c>
      <c r="B17053" s="3" t="s">
        <v>90</v>
      </c>
      <c r="C17053" s="5">
        <v>92</v>
      </c>
      <c r="D17053" s="6">
        <v>124.59</v>
      </c>
      <c r="E17053" t="s">
        <v>91</v>
      </c>
    </row>
    <row r="17054" spans="1:5" x14ac:dyDescent="0.25">
      <c r="A17054" t="str">
        <f>HYPERLINK("https://www.773grp.com/globalSearch/PT4585C/page-1", "PT4585C")</f>
        <v>PT4585C</v>
      </c>
      <c r="B17054" s="3" t="s">
        <v>90</v>
      </c>
      <c r="C17054" s="5">
        <v>67</v>
      </c>
      <c r="D17054" s="6">
        <v>124.59</v>
      </c>
      <c r="E17054" t="s">
        <v>91</v>
      </c>
    </row>
    <row r="17055" spans="1:5" x14ac:dyDescent="0.25">
      <c r="A17055" t="str">
        <f>HYPERLINK("https://www.773grp.com/globalSearch/PT4502N/page-1", "PT4502N")</f>
        <v>PT4502N</v>
      </c>
      <c r="B17055" s="3" t="s">
        <v>90</v>
      </c>
      <c r="C17055" s="5">
        <v>4</v>
      </c>
      <c r="D17055" s="6">
        <v>126</v>
      </c>
      <c r="E17055" t="s">
        <v>91</v>
      </c>
    </row>
    <row r="17056" spans="1:5" x14ac:dyDescent="0.25">
      <c r="A17056" t="str">
        <f>HYPERLINK("https://www.773grp.com/globalSearch/PT4503A/page-1", "PT4503A")</f>
        <v>PT4503A</v>
      </c>
      <c r="B17056" s="3" t="s">
        <v>90</v>
      </c>
      <c r="C17056" s="5">
        <v>28</v>
      </c>
      <c r="D17056" s="6">
        <v>126</v>
      </c>
      <c r="E17056" t="s">
        <v>91</v>
      </c>
    </row>
    <row r="17057" spans="1:5" x14ac:dyDescent="0.25">
      <c r="A17057" t="str">
        <f>HYPERLINK("https://www.773grp.com/globalSearch/PT4504A/page-1", "PT4504A")</f>
        <v>PT4504A</v>
      </c>
      <c r="B17057" s="3" t="s">
        <v>90</v>
      </c>
      <c r="C17057" s="5">
        <v>102</v>
      </c>
      <c r="D17057" s="6">
        <v>126</v>
      </c>
      <c r="E17057" t="s">
        <v>91</v>
      </c>
    </row>
    <row r="17058" spans="1:5" x14ac:dyDescent="0.25">
      <c r="A17058" t="str">
        <f>HYPERLINK("https://www.773grp.com/globalSearch/PT4504N/page-1", "PT4504N")</f>
        <v>PT4504N</v>
      </c>
      <c r="B17058" s="3" t="s">
        <v>90</v>
      </c>
      <c r="C17058" s="5">
        <v>20</v>
      </c>
      <c r="D17058" s="6">
        <v>126</v>
      </c>
      <c r="E17058" t="s">
        <v>91</v>
      </c>
    </row>
    <row r="17059" spans="1:5" x14ac:dyDescent="0.25">
      <c r="A17059" t="str">
        <f>HYPERLINK("https://www.773grp.com/globalSearch/PT4506A/page-1", "PT4506A")</f>
        <v>PT4506A</v>
      </c>
      <c r="B17059" s="3" t="s">
        <v>90</v>
      </c>
      <c r="C17059" s="5">
        <v>20</v>
      </c>
      <c r="D17059" s="6">
        <v>126</v>
      </c>
      <c r="E17059" t="s">
        <v>91</v>
      </c>
    </row>
    <row r="17060" spans="1:5" x14ac:dyDescent="0.25">
      <c r="A17060" t="str">
        <f>HYPERLINK("https://www.773grp.com/globalSearch/PT4507A/page-1", "PT4507A")</f>
        <v>PT4507A</v>
      </c>
      <c r="B17060" s="3" t="s">
        <v>90</v>
      </c>
      <c r="C17060" s="5">
        <v>80</v>
      </c>
      <c r="D17060" s="6">
        <v>126</v>
      </c>
      <c r="E17060" t="s">
        <v>91</v>
      </c>
    </row>
    <row r="17061" spans="1:5" x14ac:dyDescent="0.25">
      <c r="A17061" t="str">
        <f>HYPERLINK("https://www.773grp.com/globalSearch/PTB48501AAH/page-1", "PTB48501AAH")</f>
        <v>PTB48501AAH</v>
      </c>
      <c r="B17061" s="3" t="s">
        <v>90</v>
      </c>
      <c r="C17061" s="5">
        <v>18</v>
      </c>
      <c r="D17061" s="6">
        <v>126.56</v>
      </c>
      <c r="E17061" t="s">
        <v>91</v>
      </c>
    </row>
    <row r="17062" spans="1:5" x14ac:dyDescent="0.25">
      <c r="A17062" t="str">
        <f>HYPERLINK("https://www.773grp.com/globalSearch/PTB48501AAS/page-1", "PTB48501AAS")</f>
        <v>PTB48501AAS</v>
      </c>
      <c r="B17062" s="3" t="s">
        <v>90</v>
      </c>
      <c r="C17062" s="5">
        <v>162</v>
      </c>
      <c r="D17062" s="6">
        <v>126.56</v>
      </c>
      <c r="E17062" t="s">
        <v>91</v>
      </c>
    </row>
    <row r="17063" spans="1:5" x14ac:dyDescent="0.25">
      <c r="A17063" t="str">
        <f>HYPERLINK("https://www.773grp.com/globalSearch/PTB48510CAS/page-1", "PTB48510CAS")</f>
        <v>PTB48510CAS</v>
      </c>
      <c r="B17063" s="3" t="s">
        <v>90</v>
      </c>
      <c r="C17063" s="5">
        <v>54</v>
      </c>
      <c r="D17063" s="6">
        <v>129.38</v>
      </c>
      <c r="E17063" t="s">
        <v>91</v>
      </c>
    </row>
    <row r="17064" spans="1:5" x14ac:dyDescent="0.25">
      <c r="A17064" t="str">
        <f>HYPERLINK("https://www.773grp.com/globalSearch/PT4247A/page-1", "PT4247A")</f>
        <v>PT4247A</v>
      </c>
      <c r="B17064" s="3" t="s">
        <v>90</v>
      </c>
      <c r="C17064" s="5">
        <v>80</v>
      </c>
      <c r="D17064" s="6">
        <v>130.5</v>
      </c>
      <c r="E17064" t="s">
        <v>91</v>
      </c>
    </row>
    <row r="17065" spans="1:5" x14ac:dyDescent="0.25">
      <c r="A17065" t="str">
        <f>HYPERLINK("https://www.773grp.com/globalSearch/PT3101A/page-1", "PT3101A")</f>
        <v>PT3101A</v>
      </c>
      <c r="B17065" s="3" t="s">
        <v>90</v>
      </c>
      <c r="C17065" s="5">
        <v>64</v>
      </c>
      <c r="D17065" s="6">
        <v>133.88</v>
      </c>
      <c r="E17065" t="s">
        <v>91</v>
      </c>
    </row>
    <row r="17066" spans="1:5" x14ac:dyDescent="0.25">
      <c r="A17066" t="str">
        <f>HYPERLINK("https://www.773grp.com/globalSearch/PTV08040WAD/page-1", "PTV08040WAD")</f>
        <v>PTV08040WAD</v>
      </c>
      <c r="B17066" s="3" t="s">
        <v>90</v>
      </c>
      <c r="C17066" s="5">
        <v>416</v>
      </c>
      <c r="D17066" s="6">
        <v>135.38</v>
      </c>
      <c r="E17066" t="s">
        <v>91</v>
      </c>
    </row>
    <row r="17067" spans="1:5" x14ac:dyDescent="0.25">
      <c r="A17067" t="str">
        <f>HYPERLINK("https://www.773grp.com/globalSearch/PTV08040WAH/page-1", "PTV08040WAH")</f>
        <v>PTV08040WAH</v>
      </c>
      <c r="B17067" s="3" t="s">
        <v>90</v>
      </c>
      <c r="C17067" s="5">
        <v>49</v>
      </c>
      <c r="D17067" s="6">
        <v>135.38</v>
      </c>
      <c r="E17067" t="s">
        <v>91</v>
      </c>
    </row>
    <row r="17068" spans="1:5" x14ac:dyDescent="0.25">
      <c r="A17068" t="str">
        <f>HYPERLINK("https://www.773grp.com/globalSearch/PTQA420050N2AS/page-1", "PTQA420050N2AS")</f>
        <v>PTQA420050N2AS</v>
      </c>
      <c r="B17068" s="3" t="s">
        <v>90</v>
      </c>
      <c r="C17068" s="5">
        <v>44</v>
      </c>
      <c r="D17068" s="6">
        <v>135.85</v>
      </c>
      <c r="E17068" t="s">
        <v>91</v>
      </c>
    </row>
    <row r="17069" spans="1:5" x14ac:dyDescent="0.25">
      <c r="A17069" t="str">
        <f>HYPERLINK("https://www.773grp.com/globalSearch/PTQA420050N2AZ/page-1", "PTQA420050N2AZ")</f>
        <v>PTQA420050N2AZ</v>
      </c>
      <c r="B17069" s="3" t="s">
        <v>90</v>
      </c>
      <c r="C17069" s="5">
        <v>27</v>
      </c>
      <c r="D17069" s="6">
        <v>135.85</v>
      </c>
      <c r="E17069" t="s">
        <v>91</v>
      </c>
    </row>
    <row r="17070" spans="1:5" x14ac:dyDescent="0.25">
      <c r="A17070" t="str">
        <f>HYPERLINK("https://www.773grp.com/globalSearch/PTQA420050P2AD/page-1", "PTQA420050P2AD")</f>
        <v>PTQA420050P2AD</v>
      </c>
      <c r="B17070" s="3" t="s">
        <v>90</v>
      </c>
      <c r="C17070" s="5">
        <v>31</v>
      </c>
      <c r="D17070" s="6">
        <v>135.85</v>
      </c>
      <c r="E17070" t="s">
        <v>91</v>
      </c>
    </row>
    <row r="17071" spans="1:5" x14ac:dyDescent="0.25">
      <c r="A17071" t="str">
        <f>HYPERLINK("https://www.773grp.com/globalSearch/PTQA420050P2AS/page-1", "PTQA420050P2AS")</f>
        <v>PTQA420050P2AS</v>
      </c>
      <c r="B17071" s="3" t="s">
        <v>90</v>
      </c>
      <c r="C17071" s="5">
        <v>27</v>
      </c>
      <c r="D17071" s="6">
        <v>135.85</v>
      </c>
      <c r="E17071" t="s">
        <v>91</v>
      </c>
    </row>
    <row r="17072" spans="1:5" x14ac:dyDescent="0.25">
      <c r="A17072" t="str">
        <f>HYPERLINK("https://www.773grp.com/globalSearch/PTQA420050P2AZ/page-1", "PTQA420050P2AZ")</f>
        <v>PTQA420050P2AZ</v>
      </c>
      <c r="B17072" s="3" t="s">
        <v>90</v>
      </c>
      <c r="C17072" s="5">
        <v>36</v>
      </c>
      <c r="D17072" s="6">
        <v>135.85</v>
      </c>
      <c r="E17072" t="s">
        <v>91</v>
      </c>
    </row>
    <row r="17073" spans="1:5" x14ac:dyDescent="0.25">
      <c r="A17073" t="str">
        <f>HYPERLINK("https://www.773grp.com/globalSearch/PTQA430025N2AD/page-1", "PTQA430025N2AD")</f>
        <v>PTQA430025N2AD</v>
      </c>
      <c r="B17073" s="3" t="s">
        <v>90</v>
      </c>
      <c r="C17073" s="5">
        <v>74</v>
      </c>
      <c r="D17073" s="6">
        <v>135.85</v>
      </c>
      <c r="E17073" t="s">
        <v>91</v>
      </c>
    </row>
    <row r="17074" spans="1:5" x14ac:dyDescent="0.25">
      <c r="A17074" t="str">
        <f>HYPERLINK("https://www.773grp.com/globalSearch/PTQA430025P2AD/page-1", "PTQA430025P2AD")</f>
        <v>PTQA430025P2AD</v>
      </c>
      <c r="B17074" s="3" t="s">
        <v>90</v>
      </c>
      <c r="C17074" s="5">
        <v>9</v>
      </c>
      <c r="D17074" s="6">
        <v>135.85</v>
      </c>
      <c r="E17074" t="s">
        <v>91</v>
      </c>
    </row>
    <row r="17075" spans="1:5" x14ac:dyDescent="0.25">
      <c r="A17075" t="str">
        <f>HYPERLINK("https://www.773grp.com/globalSearch/PTQA430033P2AD/page-1", "PTQA430033P2AD")</f>
        <v>PTQA430033P2AD</v>
      </c>
      <c r="B17075" s="3" t="s">
        <v>90</v>
      </c>
      <c r="C17075" s="5">
        <v>5</v>
      </c>
      <c r="D17075" s="6">
        <v>135.85</v>
      </c>
      <c r="E17075" t="s">
        <v>91</v>
      </c>
    </row>
    <row r="17076" spans="1:5" x14ac:dyDescent="0.25">
      <c r="A17076" t="str">
        <f>HYPERLINK("https://www.773grp.com/globalSearch/PT4507N/page-1", "PT4507N")</f>
        <v>PT4507N</v>
      </c>
      <c r="B17076" s="3" t="s">
        <v>90</v>
      </c>
      <c r="C17076" s="5">
        <v>20</v>
      </c>
      <c r="D17076" s="6">
        <v>136.4</v>
      </c>
      <c r="E17076" t="s">
        <v>91</v>
      </c>
    </row>
    <row r="17077" spans="1:5" x14ac:dyDescent="0.25">
      <c r="A17077" t="str">
        <f>HYPERLINK("https://www.773grp.com/globalSearch/PT4121C/page-1", "PT4121C")</f>
        <v>PT4121C</v>
      </c>
      <c r="B17077" s="3" t="s">
        <v>90</v>
      </c>
      <c r="C17077" s="5">
        <v>146</v>
      </c>
      <c r="D17077" s="6">
        <v>136.97999999999999</v>
      </c>
      <c r="E17077" t="s">
        <v>91</v>
      </c>
    </row>
    <row r="17078" spans="1:5" x14ac:dyDescent="0.25">
      <c r="A17078" t="str">
        <f>HYPERLINK("https://www.773grp.com/globalSearch/PT3401N/page-1", "PT3401N")</f>
        <v>PT3401N</v>
      </c>
      <c r="B17078" s="3" t="s">
        <v>90</v>
      </c>
      <c r="C17078" s="5">
        <v>16</v>
      </c>
      <c r="D17078" s="6">
        <v>137.11000000000001</v>
      </c>
      <c r="E17078" t="s">
        <v>91</v>
      </c>
    </row>
    <row r="17079" spans="1:5" x14ac:dyDescent="0.25">
      <c r="A17079" t="str">
        <f>HYPERLINK("https://www.773grp.com/globalSearch/PT3402N/page-1", "PT3402N")</f>
        <v>PT3402N</v>
      </c>
      <c r="B17079" s="3" t="s">
        <v>90</v>
      </c>
      <c r="C17079" s="5">
        <v>30</v>
      </c>
      <c r="D17079" s="6">
        <v>137.11000000000001</v>
      </c>
      <c r="E17079" t="s">
        <v>91</v>
      </c>
    </row>
    <row r="17080" spans="1:5" x14ac:dyDescent="0.25">
      <c r="A17080" t="str">
        <f>HYPERLINK("https://www.773grp.com/globalSearch/PT3404A/page-1", "PT3404A")</f>
        <v>PT3404A</v>
      </c>
      <c r="B17080" s="3" t="s">
        <v>90</v>
      </c>
      <c r="C17080" s="5">
        <v>48</v>
      </c>
      <c r="D17080" s="6">
        <v>137.11000000000001</v>
      </c>
      <c r="E17080" t="s">
        <v>91</v>
      </c>
    </row>
    <row r="17081" spans="1:5" x14ac:dyDescent="0.25">
      <c r="A17081" t="str">
        <f>HYPERLINK("https://www.773grp.com/globalSearch/PT3408C/page-1", "PT3408C")</f>
        <v>PT3408C</v>
      </c>
      <c r="B17081" s="3" t="s">
        <v>90</v>
      </c>
      <c r="C17081" s="5">
        <v>49</v>
      </c>
      <c r="D17081" s="6">
        <v>137.13999999999999</v>
      </c>
      <c r="E17081" t="s">
        <v>91</v>
      </c>
    </row>
    <row r="17082" spans="1:5" x14ac:dyDescent="0.25">
      <c r="A17082" t="str">
        <f>HYPERLINK("https://www.773grp.com/globalSearch/PT3408N/page-1", "PT3408N")</f>
        <v>PT3408N</v>
      </c>
      <c r="B17082" s="3" t="s">
        <v>90</v>
      </c>
      <c r="C17082" s="5">
        <v>38</v>
      </c>
      <c r="D17082" s="6">
        <v>137.25</v>
      </c>
      <c r="E17082" t="s">
        <v>91</v>
      </c>
    </row>
    <row r="17083" spans="1:5" x14ac:dyDescent="0.25">
      <c r="A17083" t="str">
        <f>HYPERLINK("https://www.773grp.com/globalSearch/PTB48502AAS/page-1", "PTB48502AAS")</f>
        <v>PTB48502AAS</v>
      </c>
      <c r="B17083" s="3" t="s">
        <v>90</v>
      </c>
      <c r="C17083" s="5">
        <v>18</v>
      </c>
      <c r="D17083" s="6">
        <v>137.81</v>
      </c>
      <c r="E17083" t="s">
        <v>91</v>
      </c>
    </row>
    <row r="17084" spans="1:5" x14ac:dyDescent="0.25">
      <c r="A17084" t="str">
        <f>HYPERLINK("https://www.773grp.com/globalSearch/PT4841A/page-1", "PT4841A")</f>
        <v>PT4841A</v>
      </c>
      <c r="B17084" s="3" t="str">
        <f>HYPERLINK("https://www.773grp.com/manufacturer/texas-instruments?pageNo=59", "Texas Instruments")</f>
        <v>Texas Instruments</v>
      </c>
      <c r="C17084" s="5">
        <v>64</v>
      </c>
      <c r="D17084" s="6">
        <v>138.26</v>
      </c>
      <c r="E17084" t="s">
        <v>91</v>
      </c>
    </row>
    <row r="17085" spans="1:5" x14ac:dyDescent="0.25">
      <c r="A17085" t="str">
        <f>HYPERLINK("https://www.773grp.com/globalSearch/PTV08T250WAH/page-1", "PTV08T250WAH")</f>
        <v>PTV08T250WAH</v>
      </c>
      <c r="B17085" s="3" t="str">
        <f>HYPERLINK("https://www.773grp.com/manufacturer/texas-instruments?pageNo=64", "Texas Instruments")</f>
        <v>Texas Instruments</v>
      </c>
      <c r="C17085" s="5">
        <v>42</v>
      </c>
      <c r="D17085" s="6">
        <v>139.22999999999999</v>
      </c>
      <c r="E17085" t="s">
        <v>91</v>
      </c>
    </row>
    <row r="17086" spans="1:5" x14ac:dyDescent="0.25">
      <c r="A17086" t="str">
        <f>HYPERLINK("https://www.773grp.com/globalSearch/PT3344N/page-1", "PT3344N")</f>
        <v>PT3344N</v>
      </c>
      <c r="B17086" s="3" t="str">
        <f>HYPERLINK("https://www.773grp.com/manufacturer/texas-instruments?pageNo=97", "Texas Instruments")</f>
        <v>Texas Instruments</v>
      </c>
      <c r="C17086" s="5">
        <v>4</v>
      </c>
      <c r="D17086" s="6">
        <v>141.88999999999999</v>
      </c>
      <c r="E17086" t="s">
        <v>91</v>
      </c>
    </row>
    <row r="17087" spans="1:5" x14ac:dyDescent="0.25">
      <c r="A17087" t="str">
        <f>HYPERLINK("https://www.773grp.com/globalSearch/PTB48600AAS/page-1", "PTB48600AAS")</f>
        <v>PTB48600AAS</v>
      </c>
      <c r="B17087" s="3" t="str">
        <f>HYPERLINK("https://www.773grp.com/manufacturer/texas-instruments?pageNo=123", "Texas Instruments")</f>
        <v>Texas Instruments</v>
      </c>
      <c r="C17087" s="5">
        <v>36</v>
      </c>
      <c r="D17087" s="6">
        <v>147.66</v>
      </c>
      <c r="E17087" t="s">
        <v>91</v>
      </c>
    </row>
    <row r="17088" spans="1:5" x14ac:dyDescent="0.25">
      <c r="A17088" t="str">
        <f>HYPERLINK("https://www.773grp.com/globalSearch/PTB48510AAH/page-1", "PTB48510AAH")</f>
        <v>PTB48510AAH</v>
      </c>
      <c r="B17088" s="3" t="str">
        <f>HYPERLINK("https://www.773grp.com/manufacturer/texas-instruments?pageNo=128", "Texas Instruments")</f>
        <v>Texas Instruments</v>
      </c>
      <c r="C17088" s="5">
        <v>45</v>
      </c>
      <c r="D17088" s="6">
        <v>148.79</v>
      </c>
      <c r="E17088" t="s">
        <v>91</v>
      </c>
    </row>
    <row r="17089" spans="1:5" x14ac:dyDescent="0.25">
      <c r="A17089" t="str">
        <f>HYPERLINK("https://www.773grp.com/globalSearch/PTB48510BAZ/page-1", "PTB48510BAZ")</f>
        <v>PTB48510BAZ</v>
      </c>
      <c r="B17089" s="3" t="str">
        <f>HYPERLINK("https://www.773grp.com/manufacturer/texas-instruments?pageNo=130", "Texas Instruments")</f>
        <v>Texas Instruments</v>
      </c>
      <c r="C17089" s="5">
        <v>295</v>
      </c>
      <c r="D17089" s="6">
        <v>148.79</v>
      </c>
      <c r="E17089" t="s">
        <v>91</v>
      </c>
    </row>
    <row r="17090" spans="1:5" x14ac:dyDescent="0.25">
      <c r="A17090" t="str">
        <f>HYPERLINK("https://www.773grp.com/globalSearch/PTB48510CAZ/page-1", "PTB48510CAZ")</f>
        <v>PTB48510CAZ</v>
      </c>
      <c r="B17090" s="3" t="str">
        <f>HYPERLINK("https://www.773grp.com/manufacturer/texas-instruments?pageNo=132", "Texas Instruments")</f>
        <v>Texas Instruments</v>
      </c>
      <c r="C17090" s="5">
        <v>101</v>
      </c>
      <c r="D17090" s="6">
        <v>148.79</v>
      </c>
      <c r="E17090" t="s">
        <v>91</v>
      </c>
    </row>
    <row r="17091" spans="1:5" x14ac:dyDescent="0.25">
      <c r="A17091" t="str">
        <f>HYPERLINK("https://www.773grp.com/globalSearch/PTH04040WAH/page-1", "PTH04040WAH")</f>
        <v>PTH04040WAH</v>
      </c>
      <c r="B17091" s="3" t="str">
        <f>HYPERLINK("https://www.773grp.com/manufacturer/texas-instruments?pageNo=136", "Texas Instruments")</f>
        <v>Texas Instruments</v>
      </c>
      <c r="C17091" s="5">
        <v>210</v>
      </c>
      <c r="D17091" s="6">
        <v>148.88999999999999</v>
      </c>
      <c r="E17091" t="s">
        <v>91</v>
      </c>
    </row>
    <row r="17092" spans="1:5" x14ac:dyDescent="0.25">
      <c r="A17092" t="str">
        <f>HYPERLINK("https://www.773grp.com/globalSearch/PTH04040WAS/page-1", "PTH04040WAS")</f>
        <v>PTH04040WAS</v>
      </c>
      <c r="B17092" s="3" t="str">
        <f>HYPERLINK("https://www.773grp.com/manufacturer/texas-instruments?pageNo=137", "Texas Instruments")</f>
        <v>Texas Instruments</v>
      </c>
      <c r="C17092" s="5">
        <v>59</v>
      </c>
      <c r="D17092" s="6">
        <v>148.88999999999999</v>
      </c>
      <c r="E17092" t="s">
        <v>91</v>
      </c>
    </row>
    <row r="17093" spans="1:5" x14ac:dyDescent="0.25">
      <c r="A17093" t="str">
        <f>HYPERLINK("https://www.773grp.com/globalSearch/PTH04040WAZ/page-1", "PTH04040WAZ")</f>
        <v>PTH04040WAZ</v>
      </c>
      <c r="B17093" s="3" t="str">
        <f>HYPERLINK("https://www.773grp.com/manufacturer/texas-instruments?pageNo=138", "Texas Instruments")</f>
        <v>Texas Instruments</v>
      </c>
      <c r="C17093" s="5">
        <v>7</v>
      </c>
      <c r="D17093" s="6">
        <v>148.88999999999999</v>
      </c>
      <c r="E17093" t="s">
        <v>91</v>
      </c>
    </row>
    <row r="17094" spans="1:5" x14ac:dyDescent="0.25">
      <c r="A17094" t="str">
        <f>HYPERLINK("https://www.773grp.com/globalSearch/PT4561A/page-1", "PT4561A")</f>
        <v>PT4561A</v>
      </c>
      <c r="B17094" s="3" t="str">
        <f>HYPERLINK("https://www.773grp.com/manufacturer/texas-instruments?pageNo=150", "Texas Instruments")</f>
        <v>Texas Instruments</v>
      </c>
      <c r="C17094" s="5">
        <v>68</v>
      </c>
      <c r="D17094" s="6">
        <v>149.63</v>
      </c>
      <c r="E17094" t="s">
        <v>91</v>
      </c>
    </row>
    <row r="17095" spans="1:5" x14ac:dyDescent="0.25">
      <c r="A17095" t="str">
        <f>HYPERLINK("https://www.773grp.com/globalSearch/PT4561C/page-1", "PT4561C")</f>
        <v>PT4561C</v>
      </c>
      <c r="B17095" s="3" t="str">
        <f>HYPERLINK("https://www.773grp.com/manufacturer/texas-instruments?pageNo=151", "Texas Instruments")</f>
        <v>Texas Instruments</v>
      </c>
      <c r="C17095" s="5">
        <v>19</v>
      </c>
      <c r="D17095" s="6">
        <v>149.63</v>
      </c>
      <c r="E17095" t="s">
        <v>91</v>
      </c>
    </row>
    <row r="17096" spans="1:5" x14ac:dyDescent="0.25">
      <c r="A17096" t="str">
        <f>HYPERLINK("https://www.773grp.com/globalSearch/PT4561N/page-1", "PT4561N")</f>
        <v>PT4561N</v>
      </c>
      <c r="B17096" s="3" t="str">
        <f>HYPERLINK("https://www.773grp.com/manufacturer/texas-instruments?pageNo=152", "Texas Instruments")</f>
        <v>Texas Instruments</v>
      </c>
      <c r="C17096" s="5">
        <v>163</v>
      </c>
      <c r="D17096" s="6">
        <v>149.63</v>
      </c>
      <c r="E17096" t="s">
        <v>91</v>
      </c>
    </row>
    <row r="17097" spans="1:5" x14ac:dyDescent="0.25">
      <c r="A17097" t="str">
        <f>HYPERLINK("https://www.773grp.com/globalSearch/PT4562C/page-1", "PT4562C")</f>
        <v>PT4562C</v>
      </c>
      <c r="B17097" s="3" t="str">
        <f>HYPERLINK("https://www.773grp.com/manufacturer/texas-instruments?pageNo=153", "Texas Instruments")</f>
        <v>Texas Instruments</v>
      </c>
      <c r="C17097" s="5">
        <v>282</v>
      </c>
      <c r="D17097" s="6">
        <v>149.63</v>
      </c>
      <c r="E17097" t="s">
        <v>91</v>
      </c>
    </row>
    <row r="17098" spans="1:5" x14ac:dyDescent="0.25">
      <c r="A17098" t="str">
        <f>HYPERLINK("https://www.773grp.com/globalSearch/PT4563A/page-1", "PT4563A")</f>
        <v>PT4563A</v>
      </c>
      <c r="B17098" s="3" t="str">
        <f>HYPERLINK("https://www.773grp.com/manufacturer/texas-instruments?pageNo=155", "Texas Instruments")</f>
        <v>Texas Instruments</v>
      </c>
      <c r="C17098" s="5">
        <v>49</v>
      </c>
      <c r="D17098" s="6">
        <v>149.63</v>
      </c>
      <c r="E17098" t="s">
        <v>91</v>
      </c>
    </row>
    <row r="17099" spans="1:5" x14ac:dyDescent="0.25">
      <c r="A17099" t="str">
        <f>HYPERLINK("https://www.773grp.com/globalSearch/PT4563C/page-1", "PT4563C")</f>
        <v>PT4563C</v>
      </c>
      <c r="B17099" s="3" t="str">
        <f>HYPERLINK("https://www.773grp.com/manufacturer/texas-instruments?pageNo=156", "Texas Instruments")</f>
        <v>Texas Instruments</v>
      </c>
      <c r="C17099" s="5">
        <v>6615</v>
      </c>
      <c r="D17099" s="6">
        <v>149.63</v>
      </c>
      <c r="E17099" t="s">
        <v>91</v>
      </c>
    </row>
    <row r="17100" spans="1:5" x14ac:dyDescent="0.25">
      <c r="A17100" t="str">
        <f>HYPERLINK("https://www.773grp.com/globalSearch/PT4563N/page-1", "PT4563N")</f>
        <v>PT4563N</v>
      </c>
      <c r="B17100" s="3" t="str">
        <f>HYPERLINK("https://www.773grp.com/manufacturer/texas-instruments?pageNo=157", "Texas Instruments")</f>
        <v>Texas Instruments</v>
      </c>
      <c r="C17100" s="5">
        <v>9</v>
      </c>
      <c r="D17100" s="6">
        <v>149.63</v>
      </c>
      <c r="E17100" t="s">
        <v>91</v>
      </c>
    </row>
    <row r="17101" spans="1:5" x14ac:dyDescent="0.25">
      <c r="A17101" t="str">
        <f>HYPERLINK("https://www.773grp.com/globalSearch/PT4564N/page-1", "PT4564N")</f>
        <v>PT4564N</v>
      </c>
      <c r="B17101" s="3" t="str">
        <f>HYPERLINK("https://www.773grp.com/manufacturer/texas-instruments?pageNo=159", "Texas Instruments")</f>
        <v>Texas Instruments</v>
      </c>
      <c r="C17101" s="5">
        <v>7</v>
      </c>
      <c r="D17101" s="6">
        <v>149.63</v>
      </c>
      <c r="E17101" t="s">
        <v>91</v>
      </c>
    </row>
    <row r="17102" spans="1:5" x14ac:dyDescent="0.25">
      <c r="A17102" t="str">
        <f>HYPERLINK("https://www.773grp.com/globalSearch/PT4581C/page-1", "PT4581C")</f>
        <v>PT4581C</v>
      </c>
      <c r="B17102" s="3" t="str">
        <f>HYPERLINK("https://www.773grp.com/manufacturer/texas-instruments?pageNo=160", "Texas Instruments")</f>
        <v>Texas Instruments</v>
      </c>
      <c r="C17102" s="5">
        <v>155</v>
      </c>
      <c r="D17102" s="6">
        <v>149.63</v>
      </c>
      <c r="E17102" t="s">
        <v>91</v>
      </c>
    </row>
    <row r="17103" spans="1:5" x14ac:dyDescent="0.25">
      <c r="A17103" t="str">
        <f>HYPERLINK("https://www.773grp.com/globalSearch/PT4582A/page-1", "PT4582A")</f>
        <v>PT4582A</v>
      </c>
      <c r="B17103" s="3" t="str">
        <f>HYPERLINK("https://www.773grp.com/manufacturer/texas-instruments?pageNo=161", "Texas Instruments")</f>
        <v>Texas Instruments</v>
      </c>
      <c r="C17103" s="5">
        <v>3946</v>
      </c>
      <c r="D17103" s="6">
        <v>149.63</v>
      </c>
      <c r="E17103" t="s">
        <v>91</v>
      </c>
    </row>
    <row r="17104" spans="1:5" x14ac:dyDescent="0.25">
      <c r="A17104" t="str">
        <f>HYPERLINK("https://www.773grp.com/globalSearch/PT4582C/page-1", "PT4582C")</f>
        <v>PT4582C</v>
      </c>
      <c r="B17104" s="3" t="str">
        <f>HYPERLINK("https://www.773grp.com/manufacturer/texas-instruments?pageNo=162", "Texas Instruments")</f>
        <v>Texas Instruments</v>
      </c>
      <c r="C17104" s="5">
        <v>866</v>
      </c>
      <c r="D17104" s="6">
        <v>149.63</v>
      </c>
      <c r="E17104" t="s">
        <v>91</v>
      </c>
    </row>
    <row r="17105" spans="1:5" x14ac:dyDescent="0.25">
      <c r="A17105" t="str">
        <f>HYPERLINK("https://www.773grp.com/globalSearch/PT4583A/page-1", "PT4583A")</f>
        <v>PT4583A</v>
      </c>
      <c r="B17105" s="3" t="str">
        <f>HYPERLINK("https://www.773grp.com/manufacturer/texas-instruments?pageNo=163", "Texas Instruments")</f>
        <v>Texas Instruments</v>
      </c>
      <c r="C17105" s="5">
        <v>25</v>
      </c>
      <c r="D17105" s="6">
        <v>149.63</v>
      </c>
      <c r="E17105" t="s">
        <v>91</v>
      </c>
    </row>
    <row r="17106" spans="1:5" x14ac:dyDescent="0.25">
      <c r="A17106" t="str">
        <f>HYPERLINK("https://www.773grp.com/globalSearch/PT4583C/page-1", "PT4583C")</f>
        <v>PT4583C</v>
      </c>
      <c r="B17106" s="3" t="str">
        <f>HYPERLINK("https://www.773grp.com/manufacturer/texas-instruments?pageNo=164", "Texas Instruments")</f>
        <v>Texas Instruments</v>
      </c>
      <c r="C17106" s="5">
        <v>64</v>
      </c>
      <c r="D17106" s="6">
        <v>149.63</v>
      </c>
      <c r="E17106" t="s">
        <v>91</v>
      </c>
    </row>
    <row r="17107" spans="1:5" x14ac:dyDescent="0.25">
      <c r="A17107" t="str">
        <f>HYPERLINK("https://www.773grp.com/globalSearch/PT4583N/page-1", "PT4583N")</f>
        <v>PT4583N</v>
      </c>
      <c r="B17107" s="3" t="str">
        <f>HYPERLINK("https://www.773grp.com/manufacturer/texas-instruments?pageNo=165", "Texas Instruments")</f>
        <v>Texas Instruments</v>
      </c>
      <c r="C17107" s="5">
        <v>153</v>
      </c>
      <c r="D17107" s="6">
        <v>149.63</v>
      </c>
      <c r="E17107" t="s">
        <v>91</v>
      </c>
    </row>
    <row r="17108" spans="1:5" x14ac:dyDescent="0.25">
      <c r="A17108" t="str">
        <f>HYPERLINK("https://www.773grp.com/globalSearch/PT4584C/page-1", "PT4584C")</f>
        <v>PT4584C</v>
      </c>
      <c r="B17108" s="3" t="str">
        <f>HYPERLINK("https://www.773grp.com/manufacturer/texas-instruments?pageNo=167", "Texas Instruments")</f>
        <v>Texas Instruments</v>
      </c>
      <c r="C17108" s="5">
        <v>381</v>
      </c>
      <c r="D17108" s="6">
        <v>149.63</v>
      </c>
      <c r="E17108" t="s">
        <v>91</v>
      </c>
    </row>
    <row r="17109" spans="1:5" x14ac:dyDescent="0.25">
      <c r="A17109" t="str">
        <f>HYPERLINK("https://www.773grp.com/globalSearch/PT3104A/page-1", "PT3104A")</f>
        <v>PT3104A</v>
      </c>
      <c r="B17109" s="3" t="str">
        <f>HYPERLINK("https://www.773grp.com/manufacturer/texas-instruments?pageNo=184", "Texas Instruments")</f>
        <v>Texas Instruments</v>
      </c>
      <c r="C17109" s="5">
        <v>40</v>
      </c>
      <c r="D17109" s="6">
        <v>153.94999999999999</v>
      </c>
      <c r="E17109" t="s">
        <v>91</v>
      </c>
    </row>
    <row r="17110" spans="1:5" x14ac:dyDescent="0.25">
      <c r="A17110" t="str">
        <f>HYPERLINK("https://www.773grp.com/globalSearch/PT3105A/page-1", "PT3105A")</f>
        <v>PT3105A</v>
      </c>
      <c r="B17110" s="3" t="str">
        <f>HYPERLINK("https://www.773grp.com/manufacturer/texas-instruments?pageNo=185", "Texas Instruments")</f>
        <v>Texas Instruments</v>
      </c>
      <c r="C17110" s="5">
        <v>160</v>
      </c>
      <c r="D17110" s="6">
        <v>153.94999999999999</v>
      </c>
      <c r="E17110" t="s">
        <v>91</v>
      </c>
    </row>
    <row r="17111" spans="1:5" x14ac:dyDescent="0.25">
      <c r="A17111" t="str">
        <f>HYPERLINK("https://www.773grp.com/globalSearch/PT7747N/page-1", "PT7747N")</f>
        <v>PT7747N</v>
      </c>
      <c r="B17111" s="3" t="str">
        <f>HYPERLINK("https://www.773grp.com/manufacturer/texas-instruments?pageNo=210", "Texas Instruments")</f>
        <v>Texas Instruments</v>
      </c>
      <c r="C17111" s="5">
        <v>7</v>
      </c>
      <c r="D17111" s="6">
        <v>158.51</v>
      </c>
      <c r="E17111" t="s">
        <v>91</v>
      </c>
    </row>
    <row r="17112" spans="1:5" x14ac:dyDescent="0.25">
      <c r="A17112" t="str">
        <f>HYPERLINK("https://www.773grp.com/globalSearch/PT4567N/page-1", "PT4567N")</f>
        <v>PT4567N</v>
      </c>
      <c r="B17112" s="3" t="str">
        <f>HYPERLINK("https://www.773grp.com/manufacturer/texas-instruments?pageNo=223", "Texas Instruments")</f>
        <v>Texas Instruments</v>
      </c>
      <c r="C17112" s="5">
        <v>70</v>
      </c>
      <c r="D17112" s="6">
        <v>162</v>
      </c>
      <c r="E17112" t="s">
        <v>91</v>
      </c>
    </row>
    <row r="17113" spans="1:5" x14ac:dyDescent="0.25">
      <c r="A17113" t="str">
        <f>HYPERLINK("https://www.773grp.com/globalSearch/PT3321C/page-1", "PT3321C")</f>
        <v>PT3321C</v>
      </c>
      <c r="B17113" s="3" t="str">
        <f>HYPERLINK("https://www.773grp.com/manufacturer/texas-instruments?pageNo=238", "Texas Instruments")</f>
        <v>Texas Instruments</v>
      </c>
      <c r="C17113" s="5">
        <v>7</v>
      </c>
      <c r="D17113" s="6">
        <v>163.19</v>
      </c>
      <c r="E17113" t="s">
        <v>91</v>
      </c>
    </row>
    <row r="17114" spans="1:5" x14ac:dyDescent="0.25">
      <c r="A17114" t="str">
        <f>HYPERLINK("https://www.773grp.com/globalSearch/PT3322A/page-1", "PT3322A")</f>
        <v>PT3322A</v>
      </c>
      <c r="B17114" s="3" t="str">
        <f>HYPERLINK("https://www.773grp.com/manufacturer/texas-instruments?pageNo=239", "Texas Instruments")</f>
        <v>Texas Instruments</v>
      </c>
      <c r="C17114" s="5">
        <v>11</v>
      </c>
      <c r="D17114" s="6">
        <v>163.19</v>
      </c>
      <c r="E17114" t="s">
        <v>91</v>
      </c>
    </row>
    <row r="17115" spans="1:5" x14ac:dyDescent="0.25">
      <c r="A17115" t="str">
        <f>HYPERLINK("https://www.773grp.com/globalSearch/PT3323A/page-1", "PT3323A")</f>
        <v>PT3323A</v>
      </c>
      <c r="B17115" s="3" t="str">
        <f>HYPERLINK("https://www.773grp.com/manufacturer/texas-instruments?pageNo=241", "Texas Instruments")</f>
        <v>Texas Instruments</v>
      </c>
      <c r="C17115" s="5">
        <v>145</v>
      </c>
      <c r="D17115" s="6">
        <v>163.19</v>
      </c>
      <c r="E17115" t="s">
        <v>91</v>
      </c>
    </row>
    <row r="17116" spans="1:5" x14ac:dyDescent="0.25">
      <c r="A17116" t="str">
        <f>HYPERLINK("https://www.773grp.com/globalSearch/PT3342N/page-1", "PT3342N")</f>
        <v>PT3342N</v>
      </c>
      <c r="B17116" s="3" t="str">
        <f>HYPERLINK("https://www.773grp.com/manufacturer/texas-instruments?pageNo=242", "Texas Instruments")</f>
        <v>Texas Instruments</v>
      </c>
      <c r="C17116" s="5">
        <v>243</v>
      </c>
      <c r="D17116" s="6">
        <v>163.19</v>
      </c>
      <c r="E17116" t="s">
        <v>91</v>
      </c>
    </row>
    <row r="17117" spans="1:5" x14ac:dyDescent="0.25">
      <c r="A17117" t="str">
        <f>HYPERLINK("https://www.773grp.com/globalSearch/PT3343A/page-1", "PT3343A")</f>
        <v>PT3343A</v>
      </c>
      <c r="B17117" s="3" t="str">
        <f>HYPERLINK("https://www.773grp.com/manufacturer/texas-instruments?pageNo=243", "Texas Instruments")</f>
        <v>Texas Instruments</v>
      </c>
      <c r="C17117" s="5">
        <v>626</v>
      </c>
      <c r="D17117" s="6">
        <v>163.19</v>
      </c>
      <c r="E17117" t="s">
        <v>91</v>
      </c>
    </row>
    <row r="17118" spans="1:5" x14ac:dyDescent="0.25">
      <c r="A17118" t="str">
        <f>HYPERLINK("https://www.773grp.com/globalSearch/PT3343C/page-1", "PT3343C")</f>
        <v>PT3343C</v>
      </c>
      <c r="B17118" s="3" t="str">
        <f>HYPERLINK("https://www.773grp.com/manufacturer/texas-instruments?pageNo=244", "Texas Instruments")</f>
        <v>Texas Instruments</v>
      </c>
      <c r="C17118" s="5">
        <v>2</v>
      </c>
      <c r="D17118" s="6">
        <v>163.19</v>
      </c>
      <c r="E17118" t="s">
        <v>91</v>
      </c>
    </row>
    <row r="17119" spans="1:5" x14ac:dyDescent="0.25">
      <c r="A17119" t="str">
        <f>HYPERLINK("https://www.773grp.com/globalSearch/PT3343N/page-1", "PT3343N")</f>
        <v>PT3343N</v>
      </c>
      <c r="B17119" s="3" t="str">
        <f>HYPERLINK("https://www.773grp.com/manufacturer/texas-instruments?pageNo=245", "Texas Instruments")</f>
        <v>Texas Instruments</v>
      </c>
      <c r="C17119" s="5">
        <v>17</v>
      </c>
      <c r="D17119" s="6">
        <v>163.19</v>
      </c>
      <c r="E17119" t="s">
        <v>91</v>
      </c>
    </row>
    <row r="17120" spans="1:5" x14ac:dyDescent="0.25">
      <c r="A17120" t="str">
        <f>HYPERLINK("https://www.773grp.com/globalSearch/PT3321N/page-1", "PT3321N")</f>
        <v>PT3321N</v>
      </c>
      <c r="B17120" s="3" t="str">
        <f>HYPERLINK("https://www.773grp.com/manufacturer/texas-instruments?pageNo=246", "Texas Instruments")</f>
        <v>Texas Instruments</v>
      </c>
      <c r="C17120" s="5">
        <v>1711</v>
      </c>
      <c r="D17120" s="6">
        <v>163.26</v>
      </c>
      <c r="E17120" t="s">
        <v>91</v>
      </c>
    </row>
    <row r="17121" spans="1:5" x14ac:dyDescent="0.25">
      <c r="A17121" t="str">
        <f>HYPERLINK("https://www.773grp.com/globalSearch/PT3322N/page-1", "PT3322N")</f>
        <v>PT3322N</v>
      </c>
      <c r="B17121" s="3" t="str">
        <f>HYPERLINK("https://www.773grp.com/manufacturer/texas-instruments?pageNo=247", "Texas Instruments")</f>
        <v>Texas Instruments</v>
      </c>
      <c r="C17121" s="5">
        <v>424</v>
      </c>
      <c r="D17121" s="6">
        <v>163.26</v>
      </c>
      <c r="E17121" t="s">
        <v>91</v>
      </c>
    </row>
    <row r="17122" spans="1:5" x14ac:dyDescent="0.25">
      <c r="A17122" t="str">
        <f>HYPERLINK("https://www.773grp.com/globalSearch/PT3324N/page-1", "PT3324N")</f>
        <v>PT3324N</v>
      </c>
      <c r="B17122" s="3" t="str">
        <f>HYPERLINK("https://www.773grp.com/manufacturer/texas-instruments?pageNo=248", "Texas Instruments")</f>
        <v>Texas Instruments</v>
      </c>
      <c r="C17122" s="5">
        <v>769</v>
      </c>
      <c r="D17122" s="6">
        <v>163.26</v>
      </c>
      <c r="E17122" t="s">
        <v>91</v>
      </c>
    </row>
    <row r="17123" spans="1:5" x14ac:dyDescent="0.25">
      <c r="A17123" t="str">
        <f>HYPERLINK("https://www.773grp.com/globalSearch/PT3327N/page-1", "PT3327N")</f>
        <v>PT3327N</v>
      </c>
      <c r="B17123" s="3" t="str">
        <f>HYPERLINK("https://www.773grp.com/manufacturer/texas-instruments?pageNo=249", "Texas Instruments")</f>
        <v>Texas Instruments</v>
      </c>
      <c r="C17123" s="5">
        <v>320</v>
      </c>
      <c r="D17123" s="6">
        <v>163.26</v>
      </c>
      <c r="E17123" t="s">
        <v>91</v>
      </c>
    </row>
    <row r="17124" spans="1:5" x14ac:dyDescent="0.25">
      <c r="A17124" t="str">
        <f>HYPERLINK("https://www.773grp.com/globalSearch/PT3341A/page-1", "PT3341A")</f>
        <v>PT3341A</v>
      </c>
      <c r="B17124" s="3" t="str">
        <f>HYPERLINK("https://www.773grp.com/manufacturer/texas-instruments?pageNo=250", "Texas Instruments")</f>
        <v>Texas Instruments</v>
      </c>
      <c r="C17124" s="5">
        <v>356</v>
      </c>
      <c r="D17124" s="6">
        <v>163.26</v>
      </c>
      <c r="E17124" t="s">
        <v>91</v>
      </c>
    </row>
    <row r="17125" spans="1:5" x14ac:dyDescent="0.25">
      <c r="A17125" t="str">
        <f>HYPERLINK("https://www.773grp.com/globalSearch/PT3342C/page-1", "PT3342C")</f>
        <v>PT3342C</v>
      </c>
      <c r="B17125" s="3" t="str">
        <f>HYPERLINK("https://www.773grp.com/manufacturer/texas-instruments?pageNo=251", "Texas Instruments")</f>
        <v>Texas Instruments</v>
      </c>
      <c r="C17125" s="5">
        <v>8</v>
      </c>
      <c r="D17125" s="6">
        <v>163.26</v>
      </c>
      <c r="E17125" t="s">
        <v>91</v>
      </c>
    </row>
    <row r="17126" spans="1:5" x14ac:dyDescent="0.25">
      <c r="A17126" t="str">
        <f>HYPERLINK("https://www.773grp.com/globalSearch/PT7743N/page-1", "PT7743N")</f>
        <v>PT7743N</v>
      </c>
      <c r="B17126" s="3" t="str">
        <f>HYPERLINK("https://www.773grp.com/manufacturer/texas-instruments?pageNo=254", "Texas Instruments")</f>
        <v>Texas Instruments</v>
      </c>
      <c r="C17126" s="5">
        <v>560</v>
      </c>
      <c r="D17126" s="6">
        <v>164.4</v>
      </c>
      <c r="E17126" t="s">
        <v>91</v>
      </c>
    </row>
    <row r="17127" spans="1:5" x14ac:dyDescent="0.25">
      <c r="A17127" t="str">
        <f>HYPERLINK("https://www.773grp.com/globalSearch/PT7749N/page-1", "PT7749N")</f>
        <v>PT7749N</v>
      </c>
      <c r="B17127" s="3" t="str">
        <f>HYPERLINK("https://www.773grp.com/manufacturer/texas-instruments?pageNo=255", "Texas Instruments")</f>
        <v>Texas Instruments</v>
      </c>
      <c r="C17127" s="5">
        <v>630</v>
      </c>
      <c r="D17127" s="6">
        <v>164.4</v>
      </c>
      <c r="E17127" t="s">
        <v>91</v>
      </c>
    </row>
    <row r="17128" spans="1:5" x14ac:dyDescent="0.25">
      <c r="A17128" t="str">
        <f>HYPERLINK("https://www.773grp.com/globalSearch/PT4101A/page-1", "PT4101A")</f>
        <v>PT4101A</v>
      </c>
      <c r="B17128" s="3" t="str">
        <f>HYPERLINK("https://www.773grp.com/manufacturer/texas-instruments?pageNo=264", "Texas Instruments")</f>
        <v>Texas Instruments</v>
      </c>
      <c r="C17128" s="5">
        <v>41</v>
      </c>
      <c r="D17128" s="6">
        <v>164.99</v>
      </c>
      <c r="E17128" t="s">
        <v>91</v>
      </c>
    </row>
    <row r="17129" spans="1:5" x14ac:dyDescent="0.25">
      <c r="A17129" t="str">
        <f>HYPERLINK("https://www.773grp.com/globalSearch/PT4106A/page-1", "PT4106A")</f>
        <v>PT4106A</v>
      </c>
      <c r="B17129" s="3" t="str">
        <f>HYPERLINK("https://www.773grp.com/manufacturer/texas-instruments?pageNo=265", "Texas Instruments")</f>
        <v>Texas Instruments</v>
      </c>
      <c r="C17129" s="5">
        <v>24</v>
      </c>
      <c r="D17129" s="6">
        <v>164.99</v>
      </c>
      <c r="E17129" t="s">
        <v>91</v>
      </c>
    </row>
    <row r="17130" spans="1:5" x14ac:dyDescent="0.25">
      <c r="A17130" t="str">
        <f>HYPERLINK("https://www.773grp.com/globalSearch/PT4101C/page-1", "PT4101C")</f>
        <v>PT4101C</v>
      </c>
      <c r="B17130" s="3" t="str">
        <f>HYPERLINK("https://www.773grp.com/manufacturer/texas-instruments?pageNo=267", "Texas Instruments")</f>
        <v>Texas Instruments</v>
      </c>
      <c r="C17130" s="5">
        <v>156</v>
      </c>
      <c r="D17130" s="6">
        <v>165.09</v>
      </c>
      <c r="E17130" t="s">
        <v>91</v>
      </c>
    </row>
    <row r="17131" spans="1:5" x14ac:dyDescent="0.25">
      <c r="A17131" t="str">
        <f>HYPERLINK("https://www.773grp.com/globalSearch/PT4102A/page-1", "PT4102A")</f>
        <v>PT4102A</v>
      </c>
      <c r="B17131" s="3" t="str">
        <f>HYPERLINK("https://www.773grp.com/manufacturer/texas-instruments?pageNo=268", "Texas Instruments")</f>
        <v>Texas Instruments</v>
      </c>
      <c r="C17131" s="5">
        <v>32</v>
      </c>
      <c r="D17131" s="6">
        <v>165.09</v>
      </c>
      <c r="E17131" t="s">
        <v>91</v>
      </c>
    </row>
    <row r="17132" spans="1:5" x14ac:dyDescent="0.25">
      <c r="A17132" t="str">
        <f>HYPERLINK("https://www.773grp.com/globalSearch/PT4102C/page-1", "PT4102C")</f>
        <v>PT4102C</v>
      </c>
      <c r="B17132" s="3" t="str">
        <f>HYPERLINK("https://www.773grp.com/manufacturer/texas-instruments?pageNo=269", "Texas Instruments")</f>
        <v>Texas Instruments</v>
      </c>
      <c r="C17132" s="5">
        <v>44</v>
      </c>
      <c r="D17132" s="6">
        <v>165.09</v>
      </c>
      <c r="E17132" t="s">
        <v>91</v>
      </c>
    </row>
    <row r="17133" spans="1:5" x14ac:dyDescent="0.25">
      <c r="A17133" t="str">
        <f>HYPERLINK("https://www.773grp.com/globalSearch/PT4105A/page-1", "PT4105A")</f>
        <v>PT4105A</v>
      </c>
      <c r="B17133" s="3" t="str">
        <f>HYPERLINK("https://www.773grp.com/manufacturer/texas-instruments?pageNo=270", "Texas Instruments")</f>
        <v>Texas Instruments</v>
      </c>
      <c r="C17133" s="5">
        <v>16</v>
      </c>
      <c r="D17133" s="6">
        <v>165.09</v>
      </c>
      <c r="E17133" t="s">
        <v>91</v>
      </c>
    </row>
    <row r="17134" spans="1:5" x14ac:dyDescent="0.25">
      <c r="A17134" t="str">
        <f>HYPERLINK("https://www.773grp.com/globalSearch/PTQB425080N2AD/page-1", "PTQB425080N2AD")</f>
        <v>PTQB425080N2AD</v>
      </c>
      <c r="B17134" s="3" t="str">
        <f>HYPERLINK("https://www.773grp.com/manufacturer/texas-instruments?pageNo=313", "Texas Instruments")</f>
        <v>Texas Instruments</v>
      </c>
      <c r="C17134" s="5">
        <v>72</v>
      </c>
      <c r="D17134" s="6">
        <v>174.66</v>
      </c>
      <c r="E17134" t="s">
        <v>91</v>
      </c>
    </row>
    <row r="17135" spans="1:5" x14ac:dyDescent="0.25">
      <c r="A17135" t="str">
        <f>HYPERLINK("https://www.773grp.com/globalSearch/PTQB425080P2AD/page-1", "PTQB425080P2AD")</f>
        <v>PTQB425080P2AD</v>
      </c>
      <c r="B17135" s="3" t="str">
        <f>HYPERLINK("https://www.773grp.com/manufacturer/texas-instruments?pageNo=315", "Texas Instruments")</f>
        <v>Texas Instruments</v>
      </c>
      <c r="C17135" s="5">
        <v>486</v>
      </c>
      <c r="D17135" s="6">
        <v>174.66</v>
      </c>
      <c r="E17135" t="s">
        <v>91</v>
      </c>
    </row>
    <row r="17136" spans="1:5" x14ac:dyDescent="0.25">
      <c r="A17136" t="str">
        <f>HYPERLINK("https://www.773grp.com/globalSearch/PT4711A/page-1", "PT4711A")</f>
        <v>PT4711A</v>
      </c>
      <c r="B17136" s="3" t="str">
        <f>HYPERLINK("https://www.773grp.com/manufacturer/texas-instruments?pageNo=330", "Texas Instruments")</f>
        <v>Texas Instruments</v>
      </c>
      <c r="C17136" s="5">
        <v>126</v>
      </c>
      <c r="D17136" s="6">
        <v>177.9</v>
      </c>
      <c r="E17136" t="s">
        <v>91</v>
      </c>
    </row>
    <row r="17137" spans="1:5" x14ac:dyDescent="0.25">
      <c r="A17137" t="str">
        <f>HYPERLINK("https://www.773grp.com/globalSearch/PT4711C/page-1", "PT4711C")</f>
        <v>PT4711C</v>
      </c>
      <c r="B17137" s="3" t="str">
        <f>HYPERLINK("https://www.773grp.com/manufacturer/texas-instruments?pageNo=331", "Texas Instruments")</f>
        <v>Texas Instruments</v>
      </c>
      <c r="C17137" s="5">
        <v>8</v>
      </c>
      <c r="D17137" s="6">
        <v>177.9</v>
      </c>
      <c r="E17137" t="s">
        <v>91</v>
      </c>
    </row>
    <row r="17138" spans="1:5" x14ac:dyDescent="0.25">
      <c r="A17138" t="str">
        <f>HYPERLINK("https://www.773grp.com/globalSearch/PT3402A/page-1", "PT3402A")</f>
        <v>PT3402A</v>
      </c>
      <c r="B17138" s="3" t="str">
        <f>HYPERLINK("https://www.773grp.com/manufacturer/texas-instruments?pageNo=333", "Texas Instruments")</f>
        <v>Texas Instruments</v>
      </c>
      <c r="C17138" s="5">
        <v>24</v>
      </c>
      <c r="D17138" s="6">
        <v>178.31</v>
      </c>
      <c r="E17138" t="s">
        <v>91</v>
      </c>
    </row>
    <row r="17139" spans="1:5" x14ac:dyDescent="0.25">
      <c r="A17139" t="str">
        <f>HYPERLINK("https://www.773grp.com/globalSearch/PT4403A/page-1", "PT4403A")</f>
        <v>PT4403A</v>
      </c>
      <c r="B17139" s="3" t="str">
        <f>HYPERLINK("https://www.773grp.com/manufacturer/texas-instruments?pageNo=355", "Texas Instruments")</f>
        <v>Texas Instruments</v>
      </c>
      <c r="C17139" s="5">
        <v>16</v>
      </c>
      <c r="D17139" s="6">
        <v>182.81</v>
      </c>
      <c r="E17139" t="s">
        <v>91</v>
      </c>
    </row>
    <row r="17140" spans="1:5" x14ac:dyDescent="0.25">
      <c r="A17140" t="str">
        <f>HYPERLINK("https://www.773grp.com/globalSearch/PTB48511BAH/page-1", "PTB48511BAH")</f>
        <v>PTB48511BAH</v>
      </c>
      <c r="B17140" s="3" t="str">
        <f>HYPERLINK("https://www.773grp.com/manufacturer/texas-instruments?pageNo=361", "Texas Instruments")</f>
        <v>Texas Instruments</v>
      </c>
      <c r="C17140" s="5">
        <v>151</v>
      </c>
      <c r="D17140" s="6">
        <v>184.36</v>
      </c>
      <c r="E17140" t="s">
        <v>91</v>
      </c>
    </row>
    <row r="17141" spans="1:5" x14ac:dyDescent="0.25">
      <c r="A17141" t="str">
        <f>HYPERLINK("https://www.773grp.com/globalSearch/PT7741N/page-1", "PT7741N")</f>
        <v>PT7741N</v>
      </c>
      <c r="B17141" s="3" t="str">
        <f>HYPERLINK("https://www.773grp.com/manufacturer/texas-instruments?pageNo=390", "Texas Instruments")</f>
        <v>Texas Instruments</v>
      </c>
      <c r="C17141" s="5">
        <v>260</v>
      </c>
      <c r="D17141" s="6">
        <v>190.69</v>
      </c>
      <c r="E17141" t="s">
        <v>91</v>
      </c>
    </row>
    <row r="17142" spans="1:5" x14ac:dyDescent="0.25">
      <c r="A17142" t="str">
        <f>HYPERLINK("https://www.773grp.com/globalSearch/PT7746A/page-1", "PT7746A")</f>
        <v>PT7746A</v>
      </c>
      <c r="B17142" s="3" t="str">
        <f>HYPERLINK("https://www.773grp.com/manufacturer/texas-instruments?pageNo=391", "Texas Instruments")</f>
        <v>Texas Instruments</v>
      </c>
      <c r="C17142" s="5">
        <v>58</v>
      </c>
      <c r="D17142" s="6">
        <v>190.69</v>
      </c>
      <c r="E17142" t="s">
        <v>91</v>
      </c>
    </row>
    <row r="17143" spans="1:5" x14ac:dyDescent="0.25">
      <c r="A17143" t="str">
        <f>HYPERLINK("https://www.773grp.com/globalSearch/PTB48502AAH/page-1", "PTB48502AAH")</f>
        <v>PTB48502AAH</v>
      </c>
      <c r="B17143" s="3" t="str">
        <f>HYPERLINK("https://www.773grp.com/manufacturer/texas-instruments?pageNo=392", "Texas Instruments")</f>
        <v>Texas Instruments</v>
      </c>
      <c r="C17143" s="5">
        <v>18</v>
      </c>
      <c r="D17143" s="6">
        <v>190.83</v>
      </c>
      <c r="E17143" t="s">
        <v>91</v>
      </c>
    </row>
    <row r="17144" spans="1:5" x14ac:dyDescent="0.25">
      <c r="A17144" t="str">
        <f>HYPERLINK("https://www.773grp.com/globalSearch/PTB48502AAZ/page-1", "PTB48502AAZ")</f>
        <v>PTB48502AAZ</v>
      </c>
      <c r="B17144" s="3" t="str">
        <f>HYPERLINK("https://www.773grp.com/manufacturer/texas-instruments?pageNo=393", "Texas Instruments")</f>
        <v>Texas Instruments</v>
      </c>
      <c r="C17144" s="5">
        <v>24</v>
      </c>
      <c r="D17144" s="6">
        <v>190.83</v>
      </c>
      <c r="E17144" t="s">
        <v>91</v>
      </c>
    </row>
    <row r="17145" spans="1:5" x14ac:dyDescent="0.25">
      <c r="A17145" t="str">
        <f>HYPERLINK("https://www.773grp.com/globalSearch/PTB48600AAH/page-1", "PTB48600AAH")</f>
        <v>PTB48600AAH</v>
      </c>
      <c r="B17145" s="3" t="str">
        <f>HYPERLINK("https://www.773grp.com/manufacturer/texas-instruments?pageNo=463", "Texas Instruments")</f>
        <v>Texas Instruments</v>
      </c>
      <c r="C17145" s="5">
        <v>8</v>
      </c>
      <c r="D17145" s="6">
        <v>203.76</v>
      </c>
      <c r="E17145" t="s">
        <v>91</v>
      </c>
    </row>
    <row r="17146" spans="1:5" x14ac:dyDescent="0.25">
      <c r="A17146" t="str">
        <f>HYPERLINK("https://www.773grp.com/globalSearch/PTB48600AAZ/page-1", "PTB48600AAZ")</f>
        <v>PTB48600AAZ</v>
      </c>
      <c r="B17146" s="3" t="str">
        <f>HYPERLINK("https://www.773grp.com/manufacturer/texas-instruments?pageNo=464", "Texas Instruments")</f>
        <v>Texas Instruments</v>
      </c>
      <c r="C17146" s="5">
        <v>85</v>
      </c>
      <c r="D17146" s="6">
        <v>203.76</v>
      </c>
      <c r="E17146" t="s">
        <v>91</v>
      </c>
    </row>
    <row r="17147" spans="1:5" x14ac:dyDescent="0.25">
      <c r="A17147" t="str">
        <f>HYPERLINK("https://www.773grp.com/globalSearch/PT4821C/page-1", "PT4821C")</f>
        <v>PT4821C</v>
      </c>
      <c r="B17147" s="3" t="str">
        <f>HYPERLINK("https://www.773grp.com/manufacturer/texas-instruments?pageNo=480", "Texas Instruments")</f>
        <v>Texas Instruments</v>
      </c>
      <c r="C17147" s="5">
        <v>200</v>
      </c>
      <c r="D17147" s="6">
        <v>209.81</v>
      </c>
      <c r="E17147" t="s">
        <v>91</v>
      </c>
    </row>
    <row r="17148" spans="1:5" x14ac:dyDescent="0.25">
      <c r="A17148" t="str">
        <f>HYPERLINK("https://www.773grp.com/globalSearch/PT4826A/page-1", "PT4826A")</f>
        <v>PT4826A</v>
      </c>
      <c r="B17148" s="3" t="str">
        <f>HYPERLINK("https://www.773grp.com/manufacturer/texas-instruments?pageNo=482", "Texas Instruments")</f>
        <v>Texas Instruments</v>
      </c>
      <c r="C17148" s="5">
        <v>11</v>
      </c>
      <c r="D17148" s="6">
        <v>209.81</v>
      </c>
      <c r="E17148" t="s">
        <v>91</v>
      </c>
    </row>
    <row r="17149" spans="1:5" x14ac:dyDescent="0.25">
      <c r="A17149" t="str">
        <f>HYPERLINK("https://www.773grp.com/globalSearch/PT4828A/page-1", "PT4828A")</f>
        <v>PT4828A</v>
      </c>
      <c r="B17149" s="3" t="str">
        <f>HYPERLINK("https://www.773grp.com/manufacturer/texas-instruments?pageNo=483", "Texas Instruments")</f>
        <v>Texas Instruments</v>
      </c>
      <c r="C17149" s="5">
        <v>3</v>
      </c>
      <c r="D17149" s="6">
        <v>209.81</v>
      </c>
      <c r="E17149" t="s">
        <v>91</v>
      </c>
    </row>
    <row r="17150" spans="1:5" x14ac:dyDescent="0.25">
      <c r="A17150" t="str">
        <f>HYPERLINK("https://www.773grp.com/globalSearch/PT4828C/page-1", "PT4828C")</f>
        <v>PT4828C</v>
      </c>
      <c r="B17150" s="3" t="str">
        <f>HYPERLINK("https://www.773grp.com/manufacturer/texas-instruments?pageNo=484", "Texas Instruments")</f>
        <v>Texas Instruments</v>
      </c>
      <c r="C17150" s="5">
        <v>24</v>
      </c>
      <c r="D17150" s="6">
        <v>209.81</v>
      </c>
      <c r="E17150" t="s">
        <v>91</v>
      </c>
    </row>
    <row r="17151" spans="1:5" x14ac:dyDescent="0.25">
      <c r="A17151" t="str">
        <f>HYPERLINK("https://www.773grp.com/globalSearch/PT4831C/page-1", "PT4831C")</f>
        <v>PT4831C</v>
      </c>
      <c r="B17151" s="3" t="str">
        <f>HYPERLINK("https://www.773grp.com/manufacturer/texas-instruments?pageNo=485", "Texas Instruments")</f>
        <v>Texas Instruments</v>
      </c>
      <c r="C17151" s="5">
        <v>19</v>
      </c>
      <c r="D17151" s="6">
        <v>209.81</v>
      </c>
      <c r="E17151" t="s">
        <v>91</v>
      </c>
    </row>
    <row r="17152" spans="1:5" x14ac:dyDescent="0.25">
      <c r="A17152" t="str">
        <f>HYPERLINK("https://www.773grp.com/globalSearch/PT4833C/page-1", "PT4833C")</f>
        <v>PT4833C</v>
      </c>
      <c r="B17152" s="3" t="str">
        <f>HYPERLINK("https://www.773grp.com/manufacturer/texas-instruments?pageNo=486", "Texas Instruments")</f>
        <v>Texas Instruments</v>
      </c>
      <c r="C17152" s="5">
        <v>252</v>
      </c>
      <c r="D17152" s="6">
        <v>209.81</v>
      </c>
      <c r="E17152" t="s">
        <v>91</v>
      </c>
    </row>
    <row r="17153" spans="1:5" x14ac:dyDescent="0.25">
      <c r="A17153" t="str">
        <f>HYPERLINK("https://www.773grp.com/globalSearch/PT4403N/page-1", "PT4403N")</f>
        <v>PT4403N</v>
      </c>
      <c r="B17153" s="3" t="str">
        <f>HYPERLINK("https://www.773grp.com/manufacturer/texas-instruments?pageNo=490", "Texas Instruments")</f>
        <v>Texas Instruments</v>
      </c>
      <c r="C17153" s="5">
        <v>56</v>
      </c>
      <c r="D17153" s="6">
        <v>210.23</v>
      </c>
      <c r="E17153" t="s">
        <v>91</v>
      </c>
    </row>
    <row r="17154" spans="1:5" x14ac:dyDescent="0.25">
      <c r="A17154" t="str">
        <f>HYPERLINK("https://www.773grp.com/globalSearch/PT4104C/page-1", "PT4104C")</f>
        <v>PT4104C</v>
      </c>
      <c r="B17154" s="3" t="str">
        <f>HYPERLINK("https://www.773grp.com/manufacturer/texas-instruments?pageNo=519", "Texas Instruments")</f>
        <v>Texas Instruments</v>
      </c>
      <c r="C17154" s="5">
        <v>144</v>
      </c>
      <c r="D17154" s="6">
        <v>215.29</v>
      </c>
      <c r="E17154" t="s">
        <v>91</v>
      </c>
    </row>
    <row r="17155" spans="1:5" x14ac:dyDescent="0.25">
      <c r="A17155" t="str">
        <f>HYPERLINK("https://www.773grp.com/globalSearch/PT4411C/page-1", "PT4411C")</f>
        <v>PT4411C</v>
      </c>
      <c r="B17155" s="3" t="str">
        <f>HYPERLINK("https://www.773grp.com/manufacturer/texas-instruments?pageNo=572", "Texas Instruments")</f>
        <v>Texas Instruments</v>
      </c>
      <c r="C17155" s="5">
        <v>79</v>
      </c>
      <c r="D17155" s="6">
        <v>227.05</v>
      </c>
      <c r="E17155" t="s">
        <v>91</v>
      </c>
    </row>
    <row r="17156" spans="1:5" x14ac:dyDescent="0.25">
      <c r="A17156" t="str">
        <f>HYPERLINK("https://www.773grp.com/globalSearch/PT4412C/page-1", "PT4412C")</f>
        <v>PT4412C</v>
      </c>
      <c r="B17156" s="3" t="str">
        <f>HYPERLINK("https://www.773grp.com/manufacturer/texas-instruments?pageNo=573", "Texas Instruments")</f>
        <v>Texas Instruments</v>
      </c>
      <c r="C17156" s="5">
        <v>165</v>
      </c>
      <c r="D17156" s="6">
        <v>227.05</v>
      </c>
      <c r="E17156" t="s">
        <v>91</v>
      </c>
    </row>
    <row r="17157" spans="1:5" x14ac:dyDescent="0.25">
      <c r="A17157" t="str">
        <f>HYPERLINK("https://www.773grp.com/globalSearch/PT4411N/page-1", "PT4411N")</f>
        <v>PT4411N</v>
      </c>
      <c r="B17157" s="3" t="str">
        <f>HYPERLINK("https://www.773grp.com/manufacturer/texas-instruments?pageNo=574", "Texas Instruments")</f>
        <v>Texas Instruments</v>
      </c>
      <c r="C17157" s="5">
        <v>36</v>
      </c>
      <c r="D17157" s="6">
        <v>227.1</v>
      </c>
      <c r="E17157" t="s">
        <v>91</v>
      </c>
    </row>
    <row r="17158" spans="1:5" x14ac:dyDescent="0.25">
      <c r="A17158" t="str">
        <f>HYPERLINK("https://www.773grp.com/globalSearch/PT4413C/page-1", "PT4413C")</f>
        <v>PT4413C</v>
      </c>
      <c r="B17158" s="3" t="str">
        <f>HYPERLINK("https://www.773grp.com/manufacturer/texas-instruments?pageNo=575", "Texas Instruments")</f>
        <v>Texas Instruments</v>
      </c>
      <c r="C17158" s="5">
        <v>41</v>
      </c>
      <c r="D17158" s="6">
        <v>227.1</v>
      </c>
      <c r="E17158" t="s">
        <v>91</v>
      </c>
    </row>
    <row r="17159" spans="1:5" x14ac:dyDescent="0.25">
      <c r="A17159" t="str">
        <f>HYPERLINK("https://www.773grp.com/globalSearch/PT4411A/page-1", "PT4411A")</f>
        <v>PT4411A</v>
      </c>
      <c r="B17159" s="3" t="str">
        <f>HYPERLINK("https://www.773grp.com/manufacturer/texas-instruments?pageNo=699", "Texas Instruments")</f>
        <v>Texas Instruments</v>
      </c>
      <c r="C17159" s="5">
        <v>48</v>
      </c>
      <c r="D17159" s="6">
        <v>224.19</v>
      </c>
      <c r="E17159" t="s">
        <v>91</v>
      </c>
    </row>
    <row r="17160" spans="1:5" x14ac:dyDescent="0.25">
      <c r="A17160" t="str">
        <f>HYPERLINK("https://www.773grp.com/globalSearch/PT4413A/page-1", "PT4413A")</f>
        <v>PT4413A</v>
      </c>
      <c r="B17160" s="3" t="str">
        <f>HYPERLINK("https://www.773grp.com/manufacturer/texas-instruments?pageNo=700", "Texas Instruments")</f>
        <v>Texas Instruments</v>
      </c>
      <c r="C17160" s="5">
        <v>26</v>
      </c>
      <c r="D17160" s="6">
        <v>224.19</v>
      </c>
      <c r="E17160" t="s">
        <v>91</v>
      </c>
    </row>
    <row r="17161" spans="1:5" x14ac:dyDescent="0.25">
      <c r="A17161" t="str">
        <f>HYPERLINK("https://www.773grp.com/globalSearch/PT4472C/page-1", "PT4472C")</f>
        <v>PT4472C</v>
      </c>
      <c r="B17161" s="3" t="str">
        <f>HYPERLINK("https://www.773grp.com/manufacturer/texas-instruments?pageNo=709", "Texas Instruments")</f>
        <v>Texas Instruments</v>
      </c>
      <c r="C17161" s="5">
        <v>36</v>
      </c>
      <c r="D17161" s="6">
        <v>225.99</v>
      </c>
      <c r="E17161" t="s">
        <v>91</v>
      </c>
    </row>
    <row r="17162" spans="1:5" x14ac:dyDescent="0.25">
      <c r="A17162" t="str">
        <f>HYPERLINK("https://www.773grp.com/globalSearch/PT4473A/page-1", "PT4473A")</f>
        <v>PT4473A</v>
      </c>
      <c r="B17162" s="3" t="str">
        <f>HYPERLINK("https://www.773grp.com/manufacturer/texas-instruments?pageNo=710", "Texas Instruments")</f>
        <v>Texas Instruments</v>
      </c>
      <c r="C17162" s="5">
        <v>5</v>
      </c>
      <c r="D17162" s="6">
        <v>225.99</v>
      </c>
      <c r="E17162" t="s">
        <v>91</v>
      </c>
    </row>
    <row r="17163" spans="1:5" x14ac:dyDescent="0.25">
      <c r="A17163" t="str">
        <f>HYPERLINK("https://www.773grp.com/globalSearch/PT4473C/page-1", "PT4473C")</f>
        <v>PT4473C</v>
      </c>
      <c r="B17163" s="3" t="str">
        <f>HYPERLINK("https://www.773grp.com/manufacturer/texas-instruments?pageNo=711", "Texas Instruments")</f>
        <v>Texas Instruments</v>
      </c>
      <c r="C17163" s="5">
        <v>29</v>
      </c>
      <c r="D17163" s="6">
        <v>225.99</v>
      </c>
      <c r="E17163" t="s">
        <v>91</v>
      </c>
    </row>
    <row r="17164" spans="1:5" x14ac:dyDescent="0.25">
      <c r="A17164" t="str">
        <f>HYPERLINK("https://www.773grp.com/globalSearch/PT4474A/page-1", "PT4474A")</f>
        <v>PT4474A</v>
      </c>
      <c r="B17164" s="3" t="str">
        <f>HYPERLINK("https://www.773grp.com/manufacturer/texas-instruments?pageNo=712", "Texas Instruments")</f>
        <v>Texas Instruments</v>
      </c>
      <c r="C17164" s="5">
        <v>30</v>
      </c>
      <c r="D17164" s="6">
        <v>225.99</v>
      </c>
      <c r="E17164" t="s">
        <v>91</v>
      </c>
    </row>
    <row r="17165" spans="1:5" x14ac:dyDescent="0.25">
      <c r="A17165" t="str">
        <f>HYPERLINK("https://www.773grp.com/globalSearch/PT4475A/page-1", "PT4475A")</f>
        <v>PT4475A</v>
      </c>
      <c r="B17165" s="3" t="str">
        <f>HYPERLINK("https://www.773grp.com/manufacturer/texas-instruments?pageNo=713", "Texas Instruments")</f>
        <v>Texas Instruments</v>
      </c>
      <c r="C17165" s="5">
        <v>67</v>
      </c>
      <c r="D17165" s="6">
        <v>225.99</v>
      </c>
      <c r="E17165" t="s">
        <v>91</v>
      </c>
    </row>
    <row r="17166" spans="1:5" x14ac:dyDescent="0.25">
      <c r="A17166" t="str">
        <f>HYPERLINK("https://www.773grp.com/globalSearch/PT4476A/page-1", "PT4476A")</f>
        <v>PT4476A</v>
      </c>
      <c r="B17166" s="3" t="str">
        <f>HYPERLINK("https://www.773grp.com/manufacturer/texas-instruments?pageNo=714", "Texas Instruments")</f>
        <v>Texas Instruments</v>
      </c>
      <c r="C17166" s="5">
        <v>9</v>
      </c>
      <c r="D17166" s="6">
        <v>225.99</v>
      </c>
      <c r="E17166" t="s">
        <v>91</v>
      </c>
    </row>
    <row r="17167" spans="1:5" x14ac:dyDescent="0.25">
      <c r="A17167" t="str">
        <f>HYPERLINK("https://www.773grp.com/globalSearch/PT4701A/page-1", "PT4701A")</f>
        <v>PT4701A</v>
      </c>
      <c r="B17167" s="3" t="str">
        <f>HYPERLINK("https://www.773grp.com/manufacturer/texas-instruments?pageNo=735", "Texas Instruments")</f>
        <v>Texas Instruments</v>
      </c>
      <c r="C17167" s="5">
        <v>5</v>
      </c>
      <c r="D17167" s="6">
        <v>263.54000000000002</v>
      </c>
      <c r="E17167" t="s">
        <v>91</v>
      </c>
    </row>
    <row r="17168" spans="1:5" x14ac:dyDescent="0.25">
      <c r="A17168" t="str">
        <f>HYPERLINK("https://www.773grp.com/globalSearch/PTB78520WAD/page-1", "PTB78520WAD")</f>
        <v>PTB78520WAD</v>
      </c>
      <c r="B17168" s="3" t="str">
        <f>HYPERLINK("https://www.773grp.com/manufacturer/texas-instruments?pageNo=740", "Texas Instruments")</f>
        <v>Texas Instruments</v>
      </c>
      <c r="C17168" s="5">
        <v>12</v>
      </c>
      <c r="D17168" s="6">
        <v>228.45</v>
      </c>
      <c r="E17168" t="s">
        <v>91</v>
      </c>
    </row>
    <row r="17169" spans="1:5" x14ac:dyDescent="0.25">
      <c r="A17169" t="str">
        <f>HYPERLINK("https://www.773grp.com/globalSearch/PT4851A/page-1", "PT4851A")</f>
        <v>PT4851A</v>
      </c>
      <c r="B17169" s="3" t="str">
        <f>HYPERLINK("https://www.773grp.com/manufacturer/texas-instruments?pageNo=744", "Texas Instruments")</f>
        <v>Texas Instruments</v>
      </c>
      <c r="C17169" s="5">
        <v>22</v>
      </c>
      <c r="D17169" s="6">
        <v>264.74</v>
      </c>
      <c r="E17169" t="s">
        <v>91</v>
      </c>
    </row>
    <row r="17170" spans="1:5" x14ac:dyDescent="0.25">
      <c r="A17170" t="str">
        <f>HYPERLINK("https://www.773grp.com/globalSearch/PT4821A/page-1", "PT4821A")</f>
        <v>PT4821A</v>
      </c>
      <c r="B17170" s="3" t="str">
        <f>HYPERLINK("https://www.773grp.com/manufacturer/texas-instruments?pageNo=783", "Texas Instruments")</f>
        <v>Texas Instruments</v>
      </c>
      <c r="C17170" s="5">
        <v>909</v>
      </c>
      <c r="D17170" s="6">
        <v>272.81</v>
      </c>
      <c r="E17170" t="s">
        <v>91</v>
      </c>
    </row>
    <row r="17171" spans="1:5" x14ac:dyDescent="0.25">
      <c r="A17171" t="str">
        <f>HYPERLINK("https://www.773grp.com/globalSearch/PT4827A/page-1", "PT4827A")</f>
        <v>PT4827A</v>
      </c>
      <c r="B17171" s="3" t="str">
        <f>HYPERLINK("https://www.773grp.com/manufacturer/texas-instruments?pageNo=784", "Texas Instruments")</f>
        <v>Texas Instruments</v>
      </c>
      <c r="C17171" s="5">
        <v>14</v>
      </c>
      <c r="D17171" s="6">
        <v>272.81</v>
      </c>
      <c r="E17171" t="s">
        <v>91</v>
      </c>
    </row>
    <row r="17172" spans="1:5" x14ac:dyDescent="0.25">
      <c r="A17172" t="str">
        <f>HYPERLINK("https://www.773grp.com/globalSearch/PT4854N/page-1", "PT4854N")</f>
        <v>PT4854N</v>
      </c>
      <c r="B17172" s="3" t="str">
        <f>HYPERLINK("https://www.773grp.com/manufacturer/texas-instruments?pageNo=789", "Texas Instruments")</f>
        <v>Texas Instruments</v>
      </c>
      <c r="C17172" s="5">
        <v>307</v>
      </c>
      <c r="D17172" s="6">
        <v>237.44</v>
      </c>
      <c r="E17172" t="s">
        <v>91</v>
      </c>
    </row>
    <row r="17173" spans="1:5" x14ac:dyDescent="0.25">
      <c r="A17173" t="str">
        <f>HYPERLINK("https://www.773grp.com/globalSearch/PT4856N/page-1", "PT4856N")</f>
        <v>PT4856N</v>
      </c>
      <c r="B17173" s="3" t="str">
        <f>HYPERLINK("https://www.773grp.com/manufacturer/texas-instruments?pageNo=790", "Texas Instruments")</f>
        <v>Texas Instruments</v>
      </c>
      <c r="C17173" s="5">
        <v>6</v>
      </c>
      <c r="D17173" s="6">
        <v>237.44</v>
      </c>
      <c r="E17173" t="s">
        <v>91</v>
      </c>
    </row>
    <row r="17174" spans="1:5" x14ac:dyDescent="0.25">
      <c r="A17174" t="str">
        <f>HYPERLINK("https://www.773grp.com/globalSearch/PT4661C/page-1", "PT4661C")</f>
        <v>PT4661C</v>
      </c>
      <c r="B17174" s="3" t="s">
        <v>90</v>
      </c>
      <c r="C17174" s="5">
        <v>5</v>
      </c>
      <c r="D17174" s="6">
        <v>243.74</v>
      </c>
      <c r="E17174" t="s">
        <v>91</v>
      </c>
    </row>
    <row r="17175" spans="1:5" x14ac:dyDescent="0.25">
      <c r="A17175" t="str">
        <f>HYPERLINK("https://www.773grp.com/globalSearch/PT4661N/page-1", "PT4661N")</f>
        <v>PT4661N</v>
      </c>
      <c r="B17175" s="3" t="s">
        <v>90</v>
      </c>
      <c r="C17175" s="5">
        <v>129</v>
      </c>
      <c r="D17175" s="6">
        <v>243.74</v>
      </c>
      <c r="E17175" t="s">
        <v>91</v>
      </c>
    </row>
    <row r="17176" spans="1:5" x14ac:dyDescent="0.25">
      <c r="A17176" t="str">
        <f>HYPERLINK("https://www.773grp.com/globalSearch/PT4662C/page-1", "PT4662C")</f>
        <v>PT4662C</v>
      </c>
      <c r="B17176" s="3" t="s">
        <v>90</v>
      </c>
      <c r="C17176" s="5">
        <v>81</v>
      </c>
      <c r="D17176" s="6">
        <v>243.74</v>
      </c>
      <c r="E17176" t="s">
        <v>91</v>
      </c>
    </row>
    <row r="17177" spans="1:5" x14ac:dyDescent="0.25">
      <c r="A17177" t="str">
        <f>HYPERLINK("https://www.773grp.com/globalSearch/PT4663A/page-1", "PT4663A")</f>
        <v>PT4663A</v>
      </c>
      <c r="B17177" s="3" t="s">
        <v>90</v>
      </c>
      <c r="C17177" s="5">
        <v>45</v>
      </c>
      <c r="D17177" s="6">
        <v>243.74</v>
      </c>
      <c r="E17177" t="s">
        <v>91</v>
      </c>
    </row>
    <row r="17178" spans="1:5" x14ac:dyDescent="0.25">
      <c r="A17178" t="str">
        <f>HYPERLINK("https://www.773grp.com/globalSearch/PT4681A/page-1", "PT4681A")</f>
        <v>PT4681A</v>
      </c>
      <c r="B17178" s="3" t="s">
        <v>90</v>
      </c>
      <c r="C17178" s="5">
        <v>22</v>
      </c>
      <c r="D17178" s="6">
        <v>243.74</v>
      </c>
      <c r="E17178" t="s">
        <v>91</v>
      </c>
    </row>
    <row r="17179" spans="1:5" x14ac:dyDescent="0.25">
      <c r="A17179" t="str">
        <f>HYPERLINK("https://www.773grp.com/globalSearch/PT4682A/page-1", "PT4682A")</f>
        <v>PT4682A</v>
      </c>
      <c r="B17179" s="3" t="s">
        <v>90</v>
      </c>
      <c r="C17179" s="5">
        <v>6</v>
      </c>
      <c r="D17179" s="6">
        <v>243.74</v>
      </c>
      <c r="E17179" t="s">
        <v>91</v>
      </c>
    </row>
    <row r="17180" spans="1:5" x14ac:dyDescent="0.25">
      <c r="A17180" t="str">
        <f>HYPERLINK("https://www.773grp.com/globalSearch/PT4681C/page-1", "PT4681C")</f>
        <v>PT4681C</v>
      </c>
      <c r="B17180" s="3" t="s">
        <v>90</v>
      </c>
      <c r="C17180" s="5">
        <v>36</v>
      </c>
      <c r="D17180" s="6">
        <v>243.83</v>
      </c>
      <c r="E17180" t="s">
        <v>91</v>
      </c>
    </row>
    <row r="17181" spans="1:5" x14ac:dyDescent="0.25">
      <c r="A17181" t="str">
        <f>HYPERLINK("https://www.773grp.com/globalSearch/PT4685C/page-1", "PT4685C")</f>
        <v>PT4685C</v>
      </c>
      <c r="B17181" s="3" t="s">
        <v>90</v>
      </c>
      <c r="C17181" s="5">
        <v>36</v>
      </c>
      <c r="D17181" s="6">
        <v>243.83</v>
      </c>
      <c r="E17181" t="s">
        <v>91</v>
      </c>
    </row>
    <row r="17182" spans="1:5" x14ac:dyDescent="0.25">
      <c r="A17182" t="str">
        <f>HYPERLINK("https://www.773grp.com/globalSearch/PT4842A/page-1", "PT4842A")</f>
        <v>PT4842A</v>
      </c>
      <c r="B17182" s="3" t="s">
        <v>90</v>
      </c>
      <c r="C17182" s="5">
        <v>204</v>
      </c>
      <c r="D17182" s="6">
        <v>261.45999999999998</v>
      </c>
      <c r="E17182" t="s">
        <v>91</v>
      </c>
    </row>
    <row r="17183" spans="1:5" x14ac:dyDescent="0.25">
      <c r="A17183" t="str">
        <f>HYPERLINK("https://www.773grp.com/globalSearch/PT4842N/page-1", "PT4842N")</f>
        <v>PT4842N</v>
      </c>
      <c r="B17183" s="3" t="s">
        <v>90</v>
      </c>
      <c r="C17183" s="5">
        <v>150</v>
      </c>
      <c r="D17183" s="6">
        <v>261.45999999999998</v>
      </c>
      <c r="E17183" t="s">
        <v>91</v>
      </c>
    </row>
    <row r="17184" spans="1:5" x14ac:dyDescent="0.25">
      <c r="A17184" t="str">
        <f>HYPERLINK("https://www.773grp.com/globalSearch/PT4482C/page-1", "PT4482C")</f>
        <v>PT4482C</v>
      </c>
      <c r="B17184" s="3" t="s">
        <v>90</v>
      </c>
      <c r="C17184" s="5">
        <v>112</v>
      </c>
      <c r="D17184" s="6">
        <v>296.05</v>
      </c>
      <c r="E17184" t="s">
        <v>91</v>
      </c>
    </row>
    <row r="17185" spans="1:5" x14ac:dyDescent="0.25">
      <c r="A17185" t="str">
        <f>HYPERLINK("https://www.773grp.com/globalSearch/PT4483C/page-1", "PT4483C")</f>
        <v>PT4483C</v>
      </c>
      <c r="B17185" s="3" t="s">
        <v>90</v>
      </c>
      <c r="C17185" s="5">
        <v>3</v>
      </c>
      <c r="D17185" s="6">
        <v>296.05</v>
      </c>
      <c r="E17185" t="s">
        <v>91</v>
      </c>
    </row>
    <row r="17186" spans="1:5" x14ac:dyDescent="0.25">
      <c r="A17186" t="str">
        <f>HYPERLINK("https://www.773grp.com/globalSearch/PT4484N/page-1", "PT4484N")</f>
        <v>PT4484N</v>
      </c>
      <c r="B17186" s="3" t="s">
        <v>90</v>
      </c>
      <c r="C17186" s="5">
        <v>627</v>
      </c>
      <c r="D17186" s="6">
        <v>296.05</v>
      </c>
      <c r="E17186" t="s">
        <v>91</v>
      </c>
    </row>
    <row r="17187" spans="1:5" x14ac:dyDescent="0.25">
      <c r="A17187" t="str">
        <f>HYPERLINK("https://www.773grp.com/globalSearch/PT4855N/page-1", "PT4855N")</f>
        <v>PT4855N</v>
      </c>
      <c r="B17187" s="3" t="s">
        <v>90</v>
      </c>
      <c r="C17187" s="5">
        <v>2</v>
      </c>
      <c r="D17187" s="6">
        <v>308.66000000000003</v>
      </c>
      <c r="E17187" t="s">
        <v>91</v>
      </c>
    </row>
    <row r="17188" spans="1:5" x14ac:dyDescent="0.25">
      <c r="A17188" t="str">
        <f>HYPERLINK("https://www.773grp.com/globalSearch/PT4661A/page-1", "PT4661A")</f>
        <v>PT4661A</v>
      </c>
      <c r="B17188" s="3" t="s">
        <v>90</v>
      </c>
      <c r="C17188" s="5">
        <v>2</v>
      </c>
      <c r="D17188" s="6">
        <v>316.77999999999997</v>
      </c>
      <c r="E17188" t="s">
        <v>91</v>
      </c>
    </row>
    <row r="17189" spans="1:5" x14ac:dyDescent="0.25">
      <c r="A17189" t="str">
        <f>HYPERLINK("https://www.773grp.com/globalSearch/PT4683A/page-1", "PT4683A")</f>
        <v>PT4683A</v>
      </c>
      <c r="B17189" s="3" t="s">
        <v>90</v>
      </c>
      <c r="C17189" s="5">
        <v>88</v>
      </c>
      <c r="D17189" s="6">
        <v>316.77999999999997</v>
      </c>
      <c r="E17189" t="s">
        <v>91</v>
      </c>
    </row>
    <row r="17190" spans="1:5" x14ac:dyDescent="0.25">
      <c r="A17190" t="str">
        <f>HYPERLINK("https://www.773grp.com/globalSearch/722G/page-1", "722G")</f>
        <v>722G</v>
      </c>
      <c r="B17190" s="3" t="s">
        <v>90</v>
      </c>
      <c r="C17190" s="5">
        <v>727</v>
      </c>
      <c r="D17190" s="6">
        <v>532.1</v>
      </c>
      <c r="E17190" t="s">
        <v>91</v>
      </c>
    </row>
    <row r="17191" spans="1:5" x14ac:dyDescent="0.25">
      <c r="A17191" t="str">
        <f>HYPERLINK("https://www.773grp.com/globalSearch/722G/page-1", "722G")</f>
        <v>722G</v>
      </c>
      <c r="B17191" s="3" t="s">
        <v>90</v>
      </c>
      <c r="C17191" s="5">
        <v>58</v>
      </c>
      <c r="D17191" s="6">
        <v>532.1</v>
      </c>
      <c r="E17191" t="s">
        <v>91</v>
      </c>
    </row>
    <row r="17192" spans="1:5" x14ac:dyDescent="0.25">
      <c r="A17192" t="str">
        <f>HYPERLINK("https://www.773grp.com/globalSearch/0722MG/page-1", "0722MG")</f>
        <v>0722MG</v>
      </c>
      <c r="B17192" s="3" t="s">
        <v>90</v>
      </c>
      <c r="C17192" s="5">
        <v>1391</v>
      </c>
      <c r="D17192" s="6">
        <v>543.30999999999995</v>
      </c>
      <c r="E17192" t="s">
        <v>91</v>
      </c>
    </row>
    <row r="17193" spans="1:5" x14ac:dyDescent="0.25">
      <c r="A17193" t="str">
        <f>HYPERLINK("https://www.773grp.com/globalSearch/SN74LV221APWT/page-1", "SN74LV221APWT")</f>
        <v>SN74LV221APWT</v>
      </c>
      <c r="B17193" s="3" t="s">
        <v>90</v>
      </c>
      <c r="C17193" s="5">
        <v>500</v>
      </c>
      <c r="D17193" s="6">
        <v>4.16</v>
      </c>
      <c r="E17193" t="s">
        <v>46</v>
      </c>
    </row>
    <row r="17194" spans="1:5" x14ac:dyDescent="0.25">
      <c r="A17194" t="str">
        <f>HYPERLINK("https://www.773grp.com/globalSearch/SN74LS422D/page-1", "SN74LS422D")</f>
        <v>SN74LS422D</v>
      </c>
      <c r="B17194" s="3" t="str">
        <f>HYPERLINK("https://www.773grp.com/manufacturer/texas-instruments?pageNo=284", "Texas Instruments")</f>
        <v>Texas Instruments</v>
      </c>
      <c r="C17194" s="5">
        <v>2026</v>
      </c>
      <c r="D17194" s="6">
        <v>3.83</v>
      </c>
      <c r="E17194" t="s">
        <v>46</v>
      </c>
    </row>
    <row r="17195" spans="1:5" x14ac:dyDescent="0.25">
      <c r="A17195" t="str">
        <f>HYPERLINK("https://www.773grp.com/globalSearch/SN74LS423N/page-1", "SN74LS423N")</f>
        <v>SN74LS423N</v>
      </c>
      <c r="B17195" s="3" t="s">
        <v>90</v>
      </c>
      <c r="C17195" s="5">
        <v>8786</v>
      </c>
      <c r="D17195" s="6">
        <v>4.2300000000000004</v>
      </c>
      <c r="E17195" t="s">
        <v>46</v>
      </c>
    </row>
    <row r="17196" spans="1:5" x14ac:dyDescent="0.25">
      <c r="A17196" t="str">
        <f>HYPERLINK("https://www.773grp.com/globalSearch/SN74LS423NSR/page-1", "SN74LS423NSR")</f>
        <v>SN74LS423NSR</v>
      </c>
      <c r="B17196" s="3" t="s">
        <v>90</v>
      </c>
      <c r="C17196" s="5">
        <v>3800</v>
      </c>
      <c r="D17196" s="6">
        <v>4.2300000000000004</v>
      </c>
      <c r="E17196" t="s">
        <v>46</v>
      </c>
    </row>
    <row r="17197" spans="1:5" x14ac:dyDescent="0.25">
      <c r="A17197" t="str">
        <f>HYPERLINK("https://www.773grp.com/globalSearch/SN74LS423D/page-1", "SN74LS423D")</f>
        <v>SN74LS423D</v>
      </c>
      <c r="B17197" s="3" t="s">
        <v>90</v>
      </c>
      <c r="C17197" s="5">
        <v>21297</v>
      </c>
      <c r="D17197" s="6">
        <v>4.43</v>
      </c>
      <c r="E17197" t="s">
        <v>46</v>
      </c>
    </row>
    <row r="17198" spans="1:5" x14ac:dyDescent="0.25">
      <c r="A17198" t="str">
        <f>HYPERLINK("https://www.773grp.com/globalSearch/SN74121N/page-1", "SN74121N")</f>
        <v>SN74121N</v>
      </c>
      <c r="B17198" s="3" t="s">
        <v>90</v>
      </c>
      <c r="C17198" s="5">
        <v>7585</v>
      </c>
      <c r="D17198" s="6">
        <v>5.63</v>
      </c>
      <c r="E17198" t="s">
        <v>46</v>
      </c>
    </row>
    <row r="17199" spans="1:5" x14ac:dyDescent="0.25">
      <c r="A17199" t="str">
        <f>HYPERLINK("https://www.773grp.com/globalSearch/SN74121D/page-1", "SN74121D")</f>
        <v>SN74121D</v>
      </c>
      <c r="B17199" s="3" t="s">
        <v>90</v>
      </c>
      <c r="C17199" s="5">
        <v>1753</v>
      </c>
      <c r="D17199" s="6">
        <v>6.03</v>
      </c>
      <c r="E17199" t="s">
        <v>46</v>
      </c>
    </row>
    <row r="17200" spans="1:5" x14ac:dyDescent="0.25">
      <c r="A17200" t="str">
        <f>HYPERLINK("https://www.773grp.com/globalSearch/SN74123N/page-1", "SN74123N")</f>
        <v>SN74123N</v>
      </c>
      <c r="B17200" s="3" t="s">
        <v>90</v>
      </c>
      <c r="C17200" s="5">
        <v>550</v>
      </c>
      <c r="D17200" s="6">
        <v>8.0500000000000007</v>
      </c>
      <c r="E17200" t="s">
        <v>46</v>
      </c>
    </row>
    <row r="17201" spans="1:5" x14ac:dyDescent="0.25">
      <c r="A17201" t="str">
        <f>HYPERLINK("https://www.773grp.com/globalSearch/SN74221N/page-1", "SN74221N")</f>
        <v>SN74221N</v>
      </c>
      <c r="B17201" s="3" t="s">
        <v>90</v>
      </c>
      <c r="C17201" s="5">
        <v>25680</v>
      </c>
      <c r="D17201" s="6">
        <v>8.4</v>
      </c>
      <c r="E17201" t="s">
        <v>46</v>
      </c>
    </row>
    <row r="17202" spans="1:5" x14ac:dyDescent="0.25">
      <c r="A17202" t="str">
        <f>HYPERLINK("https://www.773grp.com/globalSearch/SN74221NE4/page-1", "SN74221NE4")</f>
        <v>SN74221NE4</v>
      </c>
      <c r="B17202" s="3" t="s">
        <v>90</v>
      </c>
      <c r="C17202" s="5">
        <v>150</v>
      </c>
      <c r="D17202" s="6">
        <v>8.4</v>
      </c>
      <c r="E17202" t="s">
        <v>46</v>
      </c>
    </row>
    <row r="17203" spans="1:5" x14ac:dyDescent="0.25">
      <c r="A17203" t="str">
        <f>HYPERLINK("https://www.773grp.com/globalSearch/CD54HC4538F/page-1", "CD54HC4538F")</f>
        <v>CD54HC4538F</v>
      </c>
      <c r="B17203" s="3" t="s">
        <v>90</v>
      </c>
      <c r="C17203" s="5">
        <v>328</v>
      </c>
      <c r="D17203" s="6">
        <v>14.38</v>
      </c>
      <c r="E17203" t="s">
        <v>46</v>
      </c>
    </row>
    <row r="17204" spans="1:5" x14ac:dyDescent="0.25">
      <c r="A17204" t="str">
        <f>HYPERLINK("https://www.773grp.com/globalSearch/SN54LS123J/page-1", "SN54LS123J")</f>
        <v>SN54LS123J</v>
      </c>
      <c r="B17204" s="3" t="s">
        <v>90</v>
      </c>
      <c r="C17204" s="5">
        <v>80</v>
      </c>
      <c r="D17204" s="6">
        <v>14.51</v>
      </c>
      <c r="E17204" t="s">
        <v>46</v>
      </c>
    </row>
    <row r="17205" spans="1:5" x14ac:dyDescent="0.25">
      <c r="A17205" t="str">
        <f>HYPERLINK("https://www.773grp.com/globalSearch/5962-9755301QCA/page-1", "5962-9755301QCA")</f>
        <v>5962-9755301QCA</v>
      </c>
      <c r="B17205" s="3" t="s">
        <v>90</v>
      </c>
      <c r="C17205" s="5">
        <v>17</v>
      </c>
      <c r="D17205" s="6">
        <v>15.15</v>
      </c>
      <c r="E17205" t="s">
        <v>46</v>
      </c>
    </row>
    <row r="17206" spans="1:5" x14ac:dyDescent="0.25">
      <c r="A17206" t="str">
        <f>HYPERLINK("https://www.773grp.com/globalSearch/CD54HC123F/page-1", "CD54HC123F")</f>
        <v>CD54HC123F</v>
      </c>
      <c r="B17206" s="3" t="s">
        <v>90</v>
      </c>
      <c r="C17206" s="5">
        <v>210</v>
      </c>
      <c r="D17206" s="6">
        <v>19.63</v>
      </c>
      <c r="E17206" t="s">
        <v>46</v>
      </c>
    </row>
    <row r="17207" spans="1:5" x14ac:dyDescent="0.25">
      <c r="A17207" t="str">
        <f>HYPERLINK("https://www.773grp.com/globalSearch/CD14538BF/page-1", "CD14538BF")</f>
        <v>CD14538BF</v>
      </c>
      <c r="B17207" s="3" t="s">
        <v>90</v>
      </c>
      <c r="C17207" s="5">
        <v>1</v>
      </c>
      <c r="D17207" s="6">
        <v>19.66</v>
      </c>
      <c r="E17207" t="s">
        <v>46</v>
      </c>
    </row>
    <row r="17208" spans="1:5" x14ac:dyDescent="0.25">
      <c r="A17208" t="str">
        <f>HYPERLINK("https://www.773grp.com/globalSearch/CD4047BF/page-1", "CD4047BF")</f>
        <v>CD4047BF</v>
      </c>
      <c r="B17208" s="3" t="s">
        <v>90</v>
      </c>
      <c r="C17208" s="5">
        <v>69</v>
      </c>
      <c r="D17208" s="6">
        <v>20.45</v>
      </c>
      <c r="E17208" t="s">
        <v>46</v>
      </c>
    </row>
    <row r="17209" spans="1:5" x14ac:dyDescent="0.25">
      <c r="A17209" t="str">
        <f>HYPERLINK("https://www.773grp.com/globalSearch/CD4098BF/page-1", "CD4098BF")</f>
        <v>CD4098BF</v>
      </c>
      <c r="B17209" s="3" t="s">
        <v>90</v>
      </c>
      <c r="C17209" s="5">
        <v>590</v>
      </c>
      <c r="D17209" s="6">
        <v>20.63</v>
      </c>
      <c r="E17209" t="s">
        <v>46</v>
      </c>
    </row>
    <row r="17210" spans="1:5" x14ac:dyDescent="0.25">
      <c r="A17210" t="str">
        <f>HYPERLINK("https://www.773grp.com/globalSearch/SNJ54LS221J/page-1", "SNJ54LS221J")</f>
        <v>SNJ54LS221J</v>
      </c>
      <c r="B17210" s="3" t="s">
        <v>90</v>
      </c>
      <c r="C17210" s="5">
        <v>333</v>
      </c>
      <c r="D17210" s="6">
        <v>20.89</v>
      </c>
      <c r="E17210" t="s">
        <v>46</v>
      </c>
    </row>
    <row r="17211" spans="1:5" x14ac:dyDescent="0.25">
      <c r="A17211" t="str">
        <f>HYPERLINK("https://www.773grp.com/globalSearch/CD54HC221F/page-1", "CD54HC221F")</f>
        <v>CD54HC221F</v>
      </c>
      <c r="B17211" s="3" t="s">
        <v>90</v>
      </c>
      <c r="C17211" s="5">
        <v>194</v>
      </c>
      <c r="D17211" s="6">
        <v>21.71</v>
      </c>
      <c r="E17211" t="s">
        <v>46</v>
      </c>
    </row>
    <row r="17212" spans="1:5" x14ac:dyDescent="0.25">
      <c r="A17212" t="str">
        <f>HYPERLINK("https://www.773grp.com/globalSearch/SNJ54221J/page-1", "SNJ54221J")</f>
        <v>SNJ54221J</v>
      </c>
      <c r="B17212" s="3" t="s">
        <v>90</v>
      </c>
      <c r="C17212" s="5">
        <v>333</v>
      </c>
      <c r="D17212" s="6">
        <v>21.89</v>
      </c>
      <c r="E17212" t="s">
        <v>46</v>
      </c>
    </row>
    <row r="17213" spans="1:5" x14ac:dyDescent="0.25">
      <c r="A17213" t="str">
        <f>HYPERLINK("https://www.773grp.com/globalSearch/5962-9055701EA/page-1", "5962-9055701EA")</f>
        <v>5962-9055701EA</v>
      </c>
      <c r="B17213" s="3" t="s">
        <v>90</v>
      </c>
      <c r="C17213" s="5">
        <v>751</v>
      </c>
      <c r="D17213" s="6">
        <v>22.48</v>
      </c>
      <c r="E17213" t="s">
        <v>46</v>
      </c>
    </row>
    <row r="17214" spans="1:5" x14ac:dyDescent="0.25">
      <c r="A17214" t="str">
        <f>HYPERLINK("https://www.773grp.com/globalSearch/SN54LS122FK/page-1", "SN54LS122FK")</f>
        <v>SN54LS122FK</v>
      </c>
      <c r="B17214" s="3" t="s">
        <v>90</v>
      </c>
      <c r="C17214" s="5">
        <v>418</v>
      </c>
      <c r="D17214" s="6">
        <v>23.74</v>
      </c>
      <c r="E17214" t="s">
        <v>46</v>
      </c>
    </row>
    <row r="17215" spans="1:5" x14ac:dyDescent="0.25">
      <c r="A17215" t="str">
        <f>HYPERLINK("https://www.773grp.com/globalSearch/CD4047BF3A/page-1", "CD4047BF3A")</f>
        <v>CD4047BF3A</v>
      </c>
      <c r="B17215" s="3" t="s">
        <v>90</v>
      </c>
      <c r="C17215" s="5">
        <v>343</v>
      </c>
      <c r="D17215" s="6">
        <v>23.85</v>
      </c>
      <c r="E17215" t="s">
        <v>46</v>
      </c>
    </row>
    <row r="17216" spans="1:5" x14ac:dyDescent="0.25">
      <c r="A17216" t="str">
        <f>HYPERLINK("https://www.773grp.com/globalSearch/SNJ54L123J/page-1", "SNJ54L123J")</f>
        <v>SNJ54L123J</v>
      </c>
      <c r="B17216" s="3" t="s">
        <v>90</v>
      </c>
      <c r="C17216" s="5">
        <v>316</v>
      </c>
      <c r="D17216" s="6">
        <v>23.91</v>
      </c>
      <c r="E17216" t="s">
        <v>46</v>
      </c>
    </row>
    <row r="17217" spans="1:5" x14ac:dyDescent="0.25">
      <c r="A17217" t="str">
        <f>HYPERLINK("https://www.773grp.com/globalSearch/5962-8970001EA/page-1", "5962-8970001EA")</f>
        <v>5962-8970001EA</v>
      </c>
      <c r="B17217" s="3" t="s">
        <v>90</v>
      </c>
      <c r="C17217" s="5">
        <v>132</v>
      </c>
      <c r="D17217" s="6">
        <v>24.25</v>
      </c>
      <c r="E17217" t="s">
        <v>46</v>
      </c>
    </row>
    <row r="17218" spans="1:5" x14ac:dyDescent="0.25">
      <c r="A17218" t="str">
        <f>HYPERLINK("https://www.773grp.com/globalSearch/5962-8684701EA/page-1", "5962-8684701EA")</f>
        <v>5962-8684701EA</v>
      </c>
      <c r="B17218" s="3" t="str">
        <f>HYPERLINK("https://www.773grp.com/manufacturer/texas-instruments?pageNo=38", "Texas Instruments")</f>
        <v>Texas Instruments</v>
      </c>
      <c r="C17218" s="5">
        <v>153</v>
      </c>
      <c r="D17218" s="6">
        <v>27.59</v>
      </c>
      <c r="E17218" t="s">
        <v>46</v>
      </c>
    </row>
    <row r="17219" spans="1:5" x14ac:dyDescent="0.25">
      <c r="A17219" t="str">
        <f>HYPERLINK("https://www.773grp.com/globalSearch/JM38510-31403B2A/page-1", "JM38510-31403B2A")</f>
        <v>JM38510-31403B2A</v>
      </c>
      <c r="B17219" s="3" t="str">
        <f>HYPERLINK("https://www.773grp.com/manufacturer/texas-instruments?pageNo=376", "Texas Instruments")</f>
        <v>Texas Instruments</v>
      </c>
      <c r="C17219" s="5">
        <v>446</v>
      </c>
      <c r="D17219" s="6">
        <v>29.54</v>
      </c>
      <c r="E17219" t="s">
        <v>46</v>
      </c>
    </row>
    <row r="17220" spans="1:5" x14ac:dyDescent="0.25">
      <c r="A17220" t="str">
        <f>HYPERLINK("https://www.773grp.com/globalSearch/JM38510-31402BEA/page-1", "JM38510-31402BEA")</f>
        <v>JM38510-31402BEA</v>
      </c>
      <c r="B17220" s="3" t="str">
        <f>HYPERLINK("https://www.773grp.com/manufacturer/texas-instruments?pageNo=399", "Texas Instruments")</f>
        <v>Texas Instruments</v>
      </c>
      <c r="C17220" s="5">
        <v>284</v>
      </c>
      <c r="D17220" s="6">
        <v>29.7</v>
      </c>
      <c r="E17220" t="s">
        <v>46</v>
      </c>
    </row>
    <row r="17221" spans="1:5" x14ac:dyDescent="0.25">
      <c r="A17221" t="str">
        <f>HYPERLINK("https://www.773grp.com/globalSearch/5962-9861601Q2A/page-1", "5962-9861601Q2A")</f>
        <v>5962-9861601Q2A</v>
      </c>
      <c r="B17221" s="3" t="str">
        <f>HYPERLINK("https://www.773grp.com/manufacturer/texas-instruments?pageNo=897", "Texas Instruments")</f>
        <v>Texas Instruments</v>
      </c>
      <c r="C17221" s="5">
        <v>89</v>
      </c>
      <c r="D17221" s="6">
        <v>33.03</v>
      </c>
      <c r="E17221" t="s">
        <v>46</v>
      </c>
    </row>
    <row r="17222" spans="1:5" x14ac:dyDescent="0.25">
      <c r="A17222" t="str">
        <f>HYPERLINK("https://www.773grp.com/globalSearch/5962-9861601QFA/page-1", "5962-9861601QFA")</f>
        <v>5962-9861601QFA</v>
      </c>
      <c r="B17222" s="3" t="s">
        <v>90</v>
      </c>
      <c r="C17222" s="5">
        <v>152</v>
      </c>
      <c r="D17222" s="6">
        <v>35.24</v>
      </c>
      <c r="E17222" t="s">
        <v>46</v>
      </c>
    </row>
    <row r="17223" spans="1:5" x14ac:dyDescent="0.25">
      <c r="A17223" t="str">
        <f>HYPERLINK("https://www.773grp.com/globalSearch/SNJ54123W/page-1", "SNJ54123W")</f>
        <v>SNJ54123W</v>
      </c>
      <c r="B17223" s="3" t="s">
        <v>90</v>
      </c>
      <c r="C17223" s="5">
        <v>8</v>
      </c>
      <c r="D17223" s="6">
        <v>38.31</v>
      </c>
      <c r="E17223" t="s">
        <v>46</v>
      </c>
    </row>
    <row r="17224" spans="1:5" x14ac:dyDescent="0.25">
      <c r="A17224" t="str">
        <f>HYPERLINK("https://www.773grp.com/globalSearch/JM38510-01203BEA/page-1", "JM38510-01203BEA")</f>
        <v>JM38510-01203BEA</v>
      </c>
      <c r="B17224" s="3" t="s">
        <v>90</v>
      </c>
      <c r="C17224" s="5">
        <v>62</v>
      </c>
      <c r="D17224" s="6">
        <v>39.1</v>
      </c>
      <c r="E17224" t="s">
        <v>46</v>
      </c>
    </row>
    <row r="17225" spans="1:5" x14ac:dyDescent="0.25">
      <c r="A17225" t="str">
        <f>HYPERLINK("https://www.773grp.com/globalSearch/SNJ54LS221W/page-1", "SNJ54LS221W")</f>
        <v>SNJ54LS221W</v>
      </c>
      <c r="B17225" s="3" t="s">
        <v>90</v>
      </c>
      <c r="C17225" s="5">
        <v>25</v>
      </c>
      <c r="D17225" s="6">
        <v>42.9</v>
      </c>
      <c r="E17225" t="s">
        <v>46</v>
      </c>
    </row>
    <row r="17226" spans="1:5" x14ac:dyDescent="0.25">
      <c r="A17226" t="str">
        <f>HYPERLINK("https://www.773grp.com/globalSearch/SN74LS294N/page-1", "SN74LS294N")</f>
        <v>SN74LS294N</v>
      </c>
      <c r="B17226" s="3" t="s">
        <v>90</v>
      </c>
      <c r="C17226" s="5">
        <v>3462</v>
      </c>
      <c r="D17226" s="6">
        <v>45.85</v>
      </c>
      <c r="E17226" t="s">
        <v>46</v>
      </c>
    </row>
    <row r="17227" spans="1:5" x14ac:dyDescent="0.25">
      <c r="A17227" t="str">
        <f>HYPERLINK("https://www.773grp.com/globalSearch/7603901FA/page-1", "7603901FA")</f>
        <v>7603901FA</v>
      </c>
      <c r="B17227" s="3" t="s">
        <v>90</v>
      </c>
      <c r="C17227" s="5">
        <v>235</v>
      </c>
      <c r="D17227" s="6">
        <v>47.48</v>
      </c>
      <c r="E17227" t="s">
        <v>46</v>
      </c>
    </row>
    <row r="17228" spans="1:5" x14ac:dyDescent="0.25">
      <c r="A17228" t="str">
        <f>HYPERLINK("https://www.773grp.com/globalSearch/SNJ54LS123W/page-1", "SNJ54LS123W")</f>
        <v>SNJ54LS123W</v>
      </c>
      <c r="B17228" s="3" t="s">
        <v>90</v>
      </c>
      <c r="C17228" s="5">
        <v>26</v>
      </c>
      <c r="D17228" s="6">
        <v>47.48</v>
      </c>
      <c r="E17228" t="s">
        <v>46</v>
      </c>
    </row>
    <row r="17229" spans="1:5" x14ac:dyDescent="0.25">
      <c r="A17229" t="str">
        <f>HYPERLINK("https://www.773grp.com/globalSearch/5962-9861601QEA/page-1", "5962-9861601QEA")</f>
        <v>5962-9861601QEA</v>
      </c>
      <c r="B17229" s="3" t="s">
        <v>90</v>
      </c>
      <c r="C17229" s="5">
        <v>38</v>
      </c>
      <c r="D17229" s="6">
        <v>47.54</v>
      </c>
      <c r="E17229" t="s">
        <v>46</v>
      </c>
    </row>
    <row r="17230" spans="1:5" x14ac:dyDescent="0.25">
      <c r="A17230" t="str">
        <f>HYPERLINK("https://www.773grp.com/globalSearch/SN74LS292N/page-1", "SN74LS292N")</f>
        <v>SN74LS292N</v>
      </c>
      <c r="B17230" s="3" t="s">
        <v>90</v>
      </c>
      <c r="C17230" s="5">
        <v>2477</v>
      </c>
      <c r="D17230" s="6">
        <v>49.33</v>
      </c>
      <c r="E17230" t="s">
        <v>46</v>
      </c>
    </row>
    <row r="17231" spans="1:5" x14ac:dyDescent="0.25">
      <c r="A17231" t="str">
        <f>HYPERLINK("https://www.773grp.com/globalSearch/SNJ54LS123FK/page-1", "SNJ54LS123FK")</f>
        <v>SNJ54LS123FK</v>
      </c>
      <c r="B17231" s="3" t="s">
        <v>90</v>
      </c>
      <c r="C17231" s="5">
        <v>14</v>
      </c>
      <c r="D17231" s="6">
        <v>49.36</v>
      </c>
      <c r="E17231" t="s">
        <v>46</v>
      </c>
    </row>
    <row r="17232" spans="1:5" x14ac:dyDescent="0.25">
      <c r="A17232" t="str">
        <f>HYPERLINK("https://www.773grp.com/globalSearch/JM38510-31401BFA/page-1", "JM38510-31401BFA")</f>
        <v>JM38510-31401BFA</v>
      </c>
      <c r="B17232" s="3" t="s">
        <v>90</v>
      </c>
      <c r="C17232" s="5">
        <v>501</v>
      </c>
      <c r="D17232" s="6">
        <v>51.73</v>
      </c>
      <c r="E17232" t="s">
        <v>46</v>
      </c>
    </row>
    <row r="17233" spans="1:5" x14ac:dyDescent="0.25">
      <c r="A17233" t="str">
        <f>HYPERLINK("https://www.773grp.com/globalSearch/JM38510-31401B2A/page-1", "JM38510-31401B2A")</f>
        <v>JM38510-31401B2A</v>
      </c>
      <c r="B17233" s="3" t="s">
        <v>90</v>
      </c>
      <c r="C17233" s="5">
        <v>436</v>
      </c>
      <c r="D17233" s="6">
        <v>52.06</v>
      </c>
      <c r="E17233" t="s">
        <v>46</v>
      </c>
    </row>
    <row r="17234" spans="1:5" x14ac:dyDescent="0.25">
      <c r="A17234" t="str">
        <f>HYPERLINK("https://www.773grp.com/globalSearch/JM38510-31402BFA/page-1", "JM38510-31402BFA")</f>
        <v>JM38510-31402BFA</v>
      </c>
      <c r="B17234" s="3" t="s">
        <v>90</v>
      </c>
      <c r="C17234" s="5">
        <v>638</v>
      </c>
      <c r="D17234" s="6">
        <v>53.78</v>
      </c>
      <c r="E17234" t="s">
        <v>46</v>
      </c>
    </row>
    <row r="17235" spans="1:5" x14ac:dyDescent="0.25">
      <c r="A17235" t="str">
        <f>HYPERLINK("https://www.773grp.com/globalSearch/5962-8780501EA/page-1", "5962-8780501EA")</f>
        <v>5962-8780501EA</v>
      </c>
      <c r="B17235" s="3" t="s">
        <v>90</v>
      </c>
      <c r="C17235" s="5">
        <v>229</v>
      </c>
      <c r="D17235" s="6">
        <v>59.54</v>
      </c>
      <c r="E17235" t="s">
        <v>46</v>
      </c>
    </row>
    <row r="17236" spans="1:5" x14ac:dyDescent="0.25">
      <c r="A17236" t="str">
        <f>HYPERLINK("https://www.773grp.com/globalSearch/CD54HCT4538F3A/page-1", "CD54HCT4538F3A")</f>
        <v>CD54HCT4538F3A</v>
      </c>
      <c r="B17236" s="3" t="s">
        <v>90</v>
      </c>
      <c r="C17236" s="5">
        <v>77</v>
      </c>
      <c r="D17236" s="6">
        <v>67.11</v>
      </c>
      <c r="E17236" t="s">
        <v>46</v>
      </c>
    </row>
    <row r="17237" spans="1:5" x14ac:dyDescent="0.25">
      <c r="A17237" t="str">
        <f>HYPERLINK("https://www.773grp.com/globalSearch/JM38510-17504BEA/page-1", "JM38510-17504BEA")</f>
        <v>JM38510-17504BEA</v>
      </c>
      <c r="B17237" s="3" t="s">
        <v>90</v>
      </c>
      <c r="C17237" s="5">
        <v>194</v>
      </c>
      <c r="D17237" s="6">
        <v>115.09</v>
      </c>
      <c r="E17237" t="s">
        <v>46</v>
      </c>
    </row>
    <row r="17238" spans="1:5" x14ac:dyDescent="0.25">
      <c r="A17238" t="str">
        <f>HYPERLINK("https://www.773grp.com/globalSearch/5962-7603901VFA/page-1", "5962-7603901VFA")</f>
        <v>5962-7603901VFA</v>
      </c>
      <c r="B17238" s="3" t="str">
        <f>HYPERLINK("https://www.773grp.com/manufacturer/texas-instruments?pageNo=678", "Texas Instruments")</f>
        <v>Texas Instruments</v>
      </c>
      <c r="C17238" s="5">
        <v>3</v>
      </c>
      <c r="D17238" s="6">
        <v>222.26</v>
      </c>
      <c r="E17238" t="s">
        <v>46</v>
      </c>
    </row>
    <row r="17239" spans="1:5" x14ac:dyDescent="0.25">
      <c r="A17239" t="str">
        <f>HYPERLINK("https://www.773grp.com/globalSearch/ZL40800DCE1/page-1", "ZL40800DCE1")</f>
        <v>ZL40800DCE1</v>
      </c>
      <c r="B17239" s="3" t="s">
        <v>116</v>
      </c>
      <c r="C17239" s="5">
        <v>364</v>
      </c>
      <c r="D17239" s="6">
        <v>3.38</v>
      </c>
      <c r="E17239" t="s">
        <v>46</v>
      </c>
    </row>
    <row r="17240" spans="1:5" x14ac:dyDescent="0.25">
      <c r="A17240" t="str">
        <f>HYPERLINK("https://www.773grp.com/globalSearch/ZL40800DCF1/page-1", "ZL40800DCF1")</f>
        <v>ZL40800DCF1</v>
      </c>
      <c r="B17240" s="3" t="s">
        <v>116</v>
      </c>
      <c r="C17240" s="5">
        <v>4250</v>
      </c>
      <c r="D17240" s="6">
        <v>3.38</v>
      </c>
      <c r="E17240" t="s">
        <v>46</v>
      </c>
    </row>
    <row r="17241" spans="1:5" x14ac:dyDescent="0.25">
      <c r="A17241" t="str">
        <f>HYPERLINK("https://www.773grp.com/globalSearch/ZL40802DCE1/page-1", "ZL40802DCE1")</f>
        <v>ZL40802DCE1</v>
      </c>
      <c r="B17241" s="3" t="s">
        <v>116</v>
      </c>
      <c r="C17241" s="5">
        <v>2952</v>
      </c>
      <c r="D17241" s="6">
        <v>3.38</v>
      </c>
      <c r="E17241" t="s">
        <v>46</v>
      </c>
    </row>
    <row r="17242" spans="1:5" x14ac:dyDescent="0.25">
      <c r="A17242" t="str">
        <f>HYPERLINK("https://www.773grp.com/globalSearch/ZL40815DCE1/page-1", "ZL40815DCE1")</f>
        <v>ZL40815DCE1</v>
      </c>
      <c r="B17242" s="3" t="s">
        <v>116</v>
      </c>
      <c r="C17242" s="5">
        <v>15108</v>
      </c>
      <c r="D17242" s="6">
        <v>3.38</v>
      </c>
      <c r="E17242" t="s">
        <v>46</v>
      </c>
    </row>
    <row r="17243" spans="1:5" x14ac:dyDescent="0.25">
      <c r="A17243" t="str">
        <f>HYPERLINK("https://www.773grp.com/globalSearch/ZL40804DCE1/page-1", "ZL40804DCE1")</f>
        <v>ZL40804DCE1</v>
      </c>
      <c r="B17243" s="3" t="s">
        <v>116</v>
      </c>
      <c r="C17243" s="5">
        <v>27827</v>
      </c>
      <c r="D17243" s="6">
        <v>3.41</v>
      </c>
      <c r="E17243" t="s">
        <v>46</v>
      </c>
    </row>
    <row r="17244" spans="1:5" x14ac:dyDescent="0.25">
      <c r="A17244" t="str">
        <f>HYPERLINK("https://www.773grp.com/globalSearch/ZL40802-DCA/page-1", "ZL40802-DCA")</f>
        <v>ZL40802-DCA</v>
      </c>
      <c r="B17244" s="3" t="s">
        <v>116</v>
      </c>
      <c r="C17244" s="5">
        <v>691</v>
      </c>
      <c r="D17244" s="6">
        <v>4.4400000000000004</v>
      </c>
      <c r="E17244" t="s">
        <v>46</v>
      </c>
    </row>
    <row r="17245" spans="1:5" x14ac:dyDescent="0.25">
      <c r="A17245" t="str">
        <f>HYPERLINK("https://www.773grp.com/globalSearch/SP8714-IG-MPAS/page-1", "SP8714-IG-MPAS")</f>
        <v>SP8714-IG-MPAS</v>
      </c>
      <c r="B17245" s="3" t="s">
        <v>116</v>
      </c>
      <c r="C17245" s="5">
        <v>10164</v>
      </c>
      <c r="D17245" s="6">
        <v>11.68</v>
      </c>
      <c r="E17245" t="s">
        <v>46</v>
      </c>
    </row>
    <row r="17246" spans="1:5" x14ac:dyDescent="0.25">
      <c r="A17246" t="str">
        <f>HYPERLINK("https://www.773grp.com/globalSearch/SP8714-IG-MPBP/page-1", "SP8714-IG-MPBP")</f>
        <v>SP8714-IG-MPBP</v>
      </c>
      <c r="B17246" s="3" t="s">
        <v>116</v>
      </c>
      <c r="C17246" s="5">
        <v>208</v>
      </c>
      <c r="D17246" s="6">
        <v>11.68</v>
      </c>
      <c r="E17246" t="s">
        <v>46</v>
      </c>
    </row>
    <row r="17247" spans="1:5" x14ac:dyDescent="0.25">
      <c r="A17247" t="str">
        <f>HYPERLINK("https://www.773grp.com/globalSearch/ZL40818-DCE/page-1", "ZL40818-DCE")</f>
        <v>ZL40818-DCE</v>
      </c>
      <c r="B17247" s="3" t="s">
        <v>116</v>
      </c>
      <c r="C17247" s="5">
        <v>4310</v>
      </c>
      <c r="D17247" s="6">
        <v>15.15</v>
      </c>
      <c r="E17247" t="s">
        <v>46</v>
      </c>
    </row>
    <row r="17248" spans="1:5" x14ac:dyDescent="0.25">
      <c r="A17248" t="str">
        <f>HYPERLINK("https://www.773grp.com/globalSearch/ZL40810-DCE/page-1", "ZL40810-DCE")</f>
        <v>ZL40810-DCE</v>
      </c>
      <c r="B17248" s="3" t="s">
        <v>116</v>
      </c>
      <c r="C17248" s="5">
        <v>1488</v>
      </c>
      <c r="D17248" s="6">
        <v>15.48</v>
      </c>
      <c r="E17248" t="s">
        <v>46</v>
      </c>
    </row>
    <row r="17249" spans="1:5" x14ac:dyDescent="0.25">
      <c r="A17249" t="str">
        <f>HYPERLINK("https://www.773grp.com/globalSearch/ZL40804-DCA/page-1", "ZL40804-DCA")</f>
        <v>ZL40804-DCA</v>
      </c>
      <c r="B17249" s="3" t="s">
        <v>116</v>
      </c>
      <c r="C17249" s="5">
        <v>58</v>
      </c>
      <c r="D17249" s="6">
        <v>15.91</v>
      </c>
      <c r="E17249" t="s">
        <v>46</v>
      </c>
    </row>
    <row r="17250" spans="1:5" x14ac:dyDescent="0.25">
      <c r="A17250" t="str">
        <f>HYPERLINK("https://www.773grp.com/globalSearch/ZL40813-DCE/page-1", "ZL40813-DCE")</f>
        <v>ZL40813-DCE</v>
      </c>
      <c r="B17250" s="3" t="s">
        <v>116</v>
      </c>
      <c r="C17250" s="5">
        <v>1545</v>
      </c>
      <c r="D17250" s="6">
        <v>22.31</v>
      </c>
      <c r="E17250" t="s">
        <v>46</v>
      </c>
    </row>
    <row r="17251" spans="1:5" x14ac:dyDescent="0.25">
      <c r="A17251" t="str">
        <f>HYPERLINK("https://www.773grp.com/globalSearch/ZL40812-DCE/page-1", "ZL40812-DCE")</f>
        <v>ZL40812-DCE</v>
      </c>
      <c r="B17251" s="3" t="s">
        <v>116</v>
      </c>
      <c r="C17251" s="5">
        <v>1535</v>
      </c>
      <c r="D17251" s="6">
        <v>23.76</v>
      </c>
      <c r="E17251" t="s">
        <v>46</v>
      </c>
    </row>
    <row r="17252" spans="1:5" x14ac:dyDescent="0.25">
      <c r="A17252" t="str">
        <f>HYPERLINK("https://www.773grp.com/globalSearch/SP8902-KG-MP1T/page-1", "SP8902-KG-MP1T")</f>
        <v>SP8902-KG-MP1T</v>
      </c>
      <c r="B17252" s="3" t="s">
        <v>116</v>
      </c>
      <c r="C17252" s="5">
        <v>4242</v>
      </c>
      <c r="D17252" s="6">
        <v>30.38</v>
      </c>
      <c r="E17252" t="s">
        <v>46</v>
      </c>
    </row>
    <row r="17253" spans="1:5" x14ac:dyDescent="0.25">
      <c r="A17253" t="str">
        <f>HYPERLINK("https://www.773grp.com/globalSearch/ZL40814-DCE/page-1", "ZL40814-DCE")</f>
        <v>ZL40814-DCE</v>
      </c>
      <c r="B17253" s="3" t="s">
        <v>116</v>
      </c>
      <c r="C17253" s="5">
        <v>4242</v>
      </c>
      <c r="D17253" s="6">
        <v>35.21</v>
      </c>
      <c r="E17253" t="s">
        <v>46</v>
      </c>
    </row>
    <row r="17254" spans="1:5" x14ac:dyDescent="0.25">
      <c r="A17254" t="str">
        <f>HYPERLINK("https://www.773grp.com/globalSearch/SP8782BMPTC/page-1", "SP8782BMPTC")</f>
        <v>SP8782BMPTC</v>
      </c>
      <c r="B17254" s="3" t="s">
        <v>116</v>
      </c>
      <c r="C17254" s="5">
        <v>1132</v>
      </c>
      <c r="D17254" s="6">
        <v>36.15</v>
      </c>
      <c r="E17254" t="s">
        <v>46</v>
      </c>
    </row>
    <row r="17255" spans="1:5" x14ac:dyDescent="0.25">
      <c r="A17255" t="str">
        <f>HYPERLINK("https://www.773grp.com/globalSearch/SP8910-KG-MP1S/page-1", "SP8910-KG-MP1S")</f>
        <v>SP8910-KG-MP1S</v>
      </c>
      <c r="B17255" s="3" t="s">
        <v>116</v>
      </c>
      <c r="C17255" s="5">
        <v>3606</v>
      </c>
      <c r="D17255" s="6">
        <v>46.58</v>
      </c>
      <c r="E17255" t="s">
        <v>46</v>
      </c>
    </row>
    <row r="17256" spans="1:5" x14ac:dyDescent="0.25">
      <c r="A17256" t="str">
        <f>HYPERLINK("https://www.773grp.com/globalSearch/SP8908-KG-MP1S/page-1", "SP8908-KG-MP1S")</f>
        <v>SP8908-KG-MP1S</v>
      </c>
      <c r="B17256" s="3" t="s">
        <v>116</v>
      </c>
      <c r="C17256" s="5">
        <v>2382</v>
      </c>
      <c r="D17256" s="6">
        <v>55.53</v>
      </c>
      <c r="E17256" t="s">
        <v>46</v>
      </c>
    </row>
    <row r="17257" spans="1:5" x14ac:dyDescent="0.25">
      <c r="A17257" t="str">
        <f>HYPERLINK("https://www.773grp.com/globalSearch/SP8902-KG-MP1S/page-1", "SP8902-KG-MP1S")</f>
        <v>SP8902-KG-MP1S</v>
      </c>
      <c r="B17257" s="3" t="s">
        <v>116</v>
      </c>
      <c r="C17257" s="5">
        <v>9372</v>
      </c>
      <c r="D17257" s="6">
        <v>61.18</v>
      </c>
      <c r="E17257" t="s">
        <v>46</v>
      </c>
    </row>
    <row r="17258" spans="1:5" x14ac:dyDescent="0.25">
      <c r="A17258" t="str">
        <f>HYPERLINK("https://www.773grp.com/globalSearch/SP8400-KG-MPFP/page-1", "SP8400-KG-MPFP")</f>
        <v>SP8400-KG-MPFP</v>
      </c>
      <c r="B17258" s="3" t="s">
        <v>116</v>
      </c>
      <c r="C17258" s="5">
        <v>2503</v>
      </c>
      <c r="D17258" s="6">
        <v>70.930000000000007</v>
      </c>
      <c r="E17258" t="s">
        <v>46</v>
      </c>
    </row>
    <row r="17259" spans="1:5" x14ac:dyDescent="0.25">
      <c r="A17259" t="str">
        <f>HYPERLINK("https://www.773grp.com/globalSearch/SP8401-KG-MPES/page-1", "SP8401-KG-MPES")</f>
        <v>SP8401-KG-MPES</v>
      </c>
      <c r="B17259" s="3" t="s">
        <v>116</v>
      </c>
      <c r="C17259" s="5">
        <v>7044</v>
      </c>
      <c r="D17259" s="6">
        <v>70.930000000000007</v>
      </c>
      <c r="E17259" t="s">
        <v>46</v>
      </c>
    </row>
    <row r="17260" spans="1:5" x14ac:dyDescent="0.25">
      <c r="A17260" t="str">
        <f>HYPERLINK("https://www.773grp.com/globalSearch/SP8808-A-DG/page-1", "SP8808-A-DG")</f>
        <v>SP8808-A-DG</v>
      </c>
      <c r="B17260" s="3" t="s">
        <v>116</v>
      </c>
      <c r="C17260" s="5">
        <v>65</v>
      </c>
      <c r="D17260" s="6">
        <v>126.09</v>
      </c>
      <c r="E17260" t="s">
        <v>46</v>
      </c>
    </row>
    <row r="17261" spans="1:5" x14ac:dyDescent="0.25">
      <c r="A17261" t="str">
        <f>HYPERLINK("https://www.773grp.com/globalSearch/SP8804-A-DG/page-1", "SP8804-A-DG")</f>
        <v>SP8804-A-DG</v>
      </c>
      <c r="B17261" s="3" t="s">
        <v>116</v>
      </c>
      <c r="C17261" s="5">
        <v>360</v>
      </c>
      <c r="D17261" s="6">
        <v>347.54</v>
      </c>
      <c r="E17261" t="s">
        <v>46</v>
      </c>
    </row>
    <row r="17262" spans="1:5" x14ac:dyDescent="0.25">
      <c r="A17262" t="str">
        <f>HYPERLINK("https://www.773grp.com/globalSearch/TIBPAL16R6-25CFN/page-1", "TIBPAL16R6-25CFN")</f>
        <v>TIBPAL16R6-25CFN</v>
      </c>
      <c r="B17262" s="3" t="str">
        <f>HYPERLINK("https://www.773grp.com/manufacturer/texas-instruments?pageNo=347", "Texas Instruments")</f>
        <v>Texas Instruments</v>
      </c>
      <c r="C17262" s="5">
        <v>592</v>
      </c>
      <c r="D17262" s="6">
        <v>3.85</v>
      </c>
      <c r="E17262" t="s">
        <v>44</v>
      </c>
    </row>
    <row r="17263" spans="1:5" x14ac:dyDescent="0.25">
      <c r="A17263" t="str">
        <f>HYPERLINK("https://www.773grp.com/globalSearch/TIBPAL16R8-25CFN/page-1", "TIBPAL16R8-25CFN")</f>
        <v>TIBPAL16R8-25CFN</v>
      </c>
      <c r="B17263" s="3" t="str">
        <f>HYPERLINK("https://www.773grp.com/manufacturer/texas-instruments?pageNo=348", "Texas Instruments")</f>
        <v>Texas Instruments</v>
      </c>
      <c r="C17263" s="5">
        <v>848</v>
      </c>
      <c r="D17263" s="6">
        <v>3.85</v>
      </c>
      <c r="E17263" t="s">
        <v>44</v>
      </c>
    </row>
    <row r="17264" spans="1:5" x14ac:dyDescent="0.25">
      <c r="A17264" t="str">
        <f>HYPERLINK("https://www.773grp.com/globalSearch/TIBPAL16R8-25CN/page-1", "TIBPAL16R8-25CN")</f>
        <v>TIBPAL16R8-25CN</v>
      </c>
      <c r="B17264" s="3" t="str">
        <f>HYPERLINK("https://www.773grp.com/manufacturer/texas-instruments?pageNo=349", "Texas Instruments")</f>
        <v>Texas Instruments</v>
      </c>
      <c r="C17264" s="5">
        <v>885</v>
      </c>
      <c r="D17264" s="6">
        <v>3.85</v>
      </c>
      <c r="E17264" t="s">
        <v>44</v>
      </c>
    </row>
    <row r="17265" spans="1:5" x14ac:dyDescent="0.25">
      <c r="A17265" t="str">
        <f>HYPERLINK("https://www.773grp.com/globalSearch/TIBPAL20R4-10CNT/page-1", "TIBPAL20R4-10CNT")</f>
        <v>TIBPAL20R4-10CNT</v>
      </c>
      <c r="B17265" s="3" t="str">
        <f>HYPERLINK("https://www.773grp.com/manufacturer/texas-instruments?pageNo=350", "Texas Instruments")</f>
        <v>Texas Instruments</v>
      </c>
      <c r="C17265" s="5">
        <v>2425</v>
      </c>
      <c r="D17265" s="6">
        <v>3.85</v>
      </c>
      <c r="E17265" t="s">
        <v>44</v>
      </c>
    </row>
    <row r="17266" spans="1:5" x14ac:dyDescent="0.25">
      <c r="A17266" t="str">
        <f>HYPERLINK("https://www.773grp.com/globalSearch/TIBPAL16R8-15CFN/page-1", "TIBPAL16R8-15CFN")</f>
        <v>TIBPAL16R8-15CFN</v>
      </c>
      <c r="B17266" s="3" t="s">
        <v>90</v>
      </c>
      <c r="C17266" s="5">
        <v>73</v>
      </c>
      <c r="D17266" s="6">
        <v>4.1399999999999997</v>
      </c>
      <c r="E17266" t="s">
        <v>44</v>
      </c>
    </row>
    <row r="17267" spans="1:5" x14ac:dyDescent="0.25">
      <c r="A17267" t="str">
        <f>HYPERLINK("https://www.773grp.com/globalSearch/TIBPAL16R8-15CN/page-1", "TIBPAL16R8-15CN")</f>
        <v>TIBPAL16R8-15CN</v>
      </c>
      <c r="B17267" s="3" t="s">
        <v>90</v>
      </c>
      <c r="C17267" s="5">
        <v>1159</v>
      </c>
      <c r="D17267" s="6">
        <v>4.1399999999999997</v>
      </c>
      <c r="E17267" t="s">
        <v>44</v>
      </c>
    </row>
    <row r="17268" spans="1:5" x14ac:dyDescent="0.25">
      <c r="A17268" t="str">
        <f>HYPERLINK("https://www.773grp.com/globalSearch/TIBPAL20L8-15CNL/page-1", "TIBPAL20L8-15CNL")</f>
        <v>TIBPAL20L8-15CNL</v>
      </c>
      <c r="B17268" s="3" t="s">
        <v>90</v>
      </c>
      <c r="C17268" s="5">
        <v>4218</v>
      </c>
      <c r="D17268" s="6">
        <v>4.1399999999999997</v>
      </c>
      <c r="E17268" t="s">
        <v>44</v>
      </c>
    </row>
    <row r="17269" spans="1:5" x14ac:dyDescent="0.25">
      <c r="A17269" t="str">
        <f>HYPERLINK("https://www.773grp.com/globalSearch/TIBPAL16R6-15CFN/page-1", "TIBPAL16R6-15CFN")</f>
        <v>TIBPAL16R6-15CFN</v>
      </c>
      <c r="B17269" s="3" t="str">
        <f>HYPERLINK("https://www.773grp.com/manufacturer/texas-instruments?pageNo=280", "Texas Instruments")</f>
        <v>Texas Instruments</v>
      </c>
      <c r="C17269" s="5">
        <v>2025</v>
      </c>
      <c r="D17269" s="6">
        <v>4.96</v>
      </c>
      <c r="E17269" t="s">
        <v>44</v>
      </c>
    </row>
    <row r="17270" spans="1:5" x14ac:dyDescent="0.25">
      <c r="A17270" t="str">
        <f>HYPERLINK("https://www.773grp.com/globalSearch/TIBPAL16R6-15CN/page-1", "TIBPAL16R6-15CN")</f>
        <v>TIBPAL16R6-15CN</v>
      </c>
      <c r="B17270" s="3" t="str">
        <f>HYPERLINK("https://www.773grp.com/manufacturer/texas-instruments?pageNo=281", "Texas Instruments")</f>
        <v>Texas Instruments</v>
      </c>
      <c r="C17270" s="5">
        <v>702</v>
      </c>
      <c r="D17270" s="6">
        <v>4.96</v>
      </c>
      <c r="E17270" t="s">
        <v>44</v>
      </c>
    </row>
    <row r="17271" spans="1:5" x14ac:dyDescent="0.25">
      <c r="A17271" t="str">
        <f>HYPERLINK("https://www.773grp.com/globalSearch/TIBPAL16L8-25CFN/page-1", "TIBPAL16L8-25CFN")</f>
        <v>TIBPAL16L8-25CFN</v>
      </c>
      <c r="B17271" s="3" t="str">
        <f>HYPERLINK("https://www.773grp.com/manufacturer/texas-instruments?pageNo=799", "Texas Instruments")</f>
        <v>Texas Instruments</v>
      </c>
      <c r="C17271" s="5">
        <v>77881</v>
      </c>
      <c r="D17271" s="6">
        <v>5.0599999999999996</v>
      </c>
      <c r="E17271" t="s">
        <v>44</v>
      </c>
    </row>
    <row r="17272" spans="1:5" x14ac:dyDescent="0.25">
      <c r="A17272" t="str">
        <f>HYPERLINK("https://www.773grp.com/globalSearch/TIBPAL16L8-25CN/page-1", "TIBPAL16L8-25CN")</f>
        <v>TIBPAL16L8-25CN</v>
      </c>
      <c r="B17272" s="3" t="str">
        <f>HYPERLINK("https://www.773grp.com/manufacturer/texas-instruments?pageNo=800", "Texas Instruments")</f>
        <v>Texas Instruments</v>
      </c>
      <c r="C17272" s="5">
        <v>1220</v>
      </c>
      <c r="D17272" s="6">
        <v>5.0599999999999996</v>
      </c>
      <c r="E17272" t="s">
        <v>44</v>
      </c>
    </row>
    <row r="17273" spans="1:5" x14ac:dyDescent="0.25">
      <c r="A17273" t="str">
        <f>HYPERLINK("https://www.773grp.com/globalSearch/TIBPAL16R4-25CFN/page-1", "TIBPAL16R4-25CFN")</f>
        <v>TIBPAL16R4-25CFN</v>
      </c>
      <c r="B17273" s="3" t="str">
        <f>HYPERLINK("https://www.773grp.com/manufacturer/texas-instruments?pageNo=801", "Texas Instruments")</f>
        <v>Texas Instruments</v>
      </c>
      <c r="C17273" s="5">
        <v>301</v>
      </c>
      <c r="D17273" s="6">
        <v>5.0599999999999996</v>
      </c>
      <c r="E17273" t="s">
        <v>44</v>
      </c>
    </row>
    <row r="17274" spans="1:5" x14ac:dyDescent="0.25">
      <c r="A17274" t="str">
        <f>HYPERLINK("https://www.773grp.com/globalSearch/TIBPAL16R4-25CN/page-1", "TIBPAL16R4-25CN")</f>
        <v>TIBPAL16R4-25CN</v>
      </c>
      <c r="B17274" s="3" t="str">
        <f>HYPERLINK("https://www.773grp.com/manufacturer/texas-instruments?pageNo=802", "Texas Instruments")</f>
        <v>Texas Instruments</v>
      </c>
      <c r="C17274" s="5">
        <v>15</v>
      </c>
      <c r="D17274" s="6">
        <v>5.0599999999999996</v>
      </c>
      <c r="E17274" t="s">
        <v>44</v>
      </c>
    </row>
    <row r="17275" spans="1:5" x14ac:dyDescent="0.25">
      <c r="A17275" t="str">
        <f>HYPERLINK("https://www.773grp.com/globalSearch/TIBPAL16L8-10CN/page-1", "TIBPAL16L8-10CN")</f>
        <v>TIBPAL16L8-10CN</v>
      </c>
      <c r="B17275" s="3" t="s">
        <v>90</v>
      </c>
      <c r="C17275" s="5">
        <v>1097</v>
      </c>
      <c r="D17275" s="6">
        <v>4.93</v>
      </c>
      <c r="E17275" t="s">
        <v>44</v>
      </c>
    </row>
    <row r="17276" spans="1:5" x14ac:dyDescent="0.25">
      <c r="A17276" t="str">
        <f>HYPERLINK("https://www.773grp.com/globalSearch/TIBPAL16R4-10CFN/page-1", "TIBPAL16R4-10CFN")</f>
        <v>TIBPAL16R4-10CFN</v>
      </c>
      <c r="B17276" s="3" t="s">
        <v>90</v>
      </c>
      <c r="C17276" s="5">
        <v>457</v>
      </c>
      <c r="D17276" s="6">
        <v>5.18</v>
      </c>
      <c r="E17276" t="s">
        <v>44</v>
      </c>
    </row>
    <row r="17277" spans="1:5" x14ac:dyDescent="0.25">
      <c r="A17277" t="str">
        <f>HYPERLINK("https://www.773grp.com/globalSearch/TIBPAL16R4-10CN/page-1", "TIBPAL16R4-10CN")</f>
        <v>TIBPAL16R4-10CN</v>
      </c>
      <c r="B17277" s="3" t="s">
        <v>90</v>
      </c>
      <c r="C17277" s="5">
        <v>11</v>
      </c>
      <c r="D17277" s="6">
        <v>5.18</v>
      </c>
      <c r="E17277" t="s">
        <v>44</v>
      </c>
    </row>
    <row r="17278" spans="1:5" x14ac:dyDescent="0.25">
      <c r="A17278" t="str">
        <f>HYPERLINK("https://www.773grp.com/globalSearch/TIBPAL16R6-10CFN/page-1", "TIBPAL16R6-10CFN")</f>
        <v>TIBPAL16R6-10CFN</v>
      </c>
      <c r="B17278" s="3" t="s">
        <v>90</v>
      </c>
      <c r="C17278" s="5">
        <v>795</v>
      </c>
      <c r="D17278" s="6">
        <v>5.18</v>
      </c>
      <c r="E17278" t="s">
        <v>44</v>
      </c>
    </row>
    <row r="17279" spans="1:5" x14ac:dyDescent="0.25">
      <c r="A17279" t="str">
        <f>HYPERLINK("https://www.773grp.com/globalSearch/TIBPAL16R6-10CN/page-1", "TIBPAL16R6-10CN")</f>
        <v>TIBPAL16R6-10CN</v>
      </c>
      <c r="B17279" s="3" t="s">
        <v>90</v>
      </c>
      <c r="C17279" s="5">
        <v>1260</v>
      </c>
      <c r="D17279" s="6">
        <v>5.18</v>
      </c>
      <c r="E17279" t="s">
        <v>44</v>
      </c>
    </row>
    <row r="17280" spans="1:5" x14ac:dyDescent="0.25">
      <c r="A17280" t="str">
        <f>HYPERLINK("https://www.773grp.com/globalSearch/TIBPAL20L8-25CFN/page-1", "TIBPAL20L8-25CFN")</f>
        <v>TIBPAL20L8-25CFN</v>
      </c>
      <c r="B17280" s="3" t="s">
        <v>90</v>
      </c>
      <c r="C17280" s="5">
        <v>89</v>
      </c>
      <c r="D17280" s="6">
        <v>5.45</v>
      </c>
      <c r="E17280" t="s">
        <v>44</v>
      </c>
    </row>
    <row r="17281" spans="1:5" x14ac:dyDescent="0.25">
      <c r="A17281" t="str">
        <f>HYPERLINK("https://www.773grp.com/globalSearch/TIBPAL20L8-25CNT/page-1", "TIBPAL20L8-25CNT")</f>
        <v>TIBPAL20L8-25CNT</v>
      </c>
      <c r="B17281" s="3" t="s">
        <v>90</v>
      </c>
      <c r="C17281" s="5">
        <v>1123</v>
      </c>
      <c r="D17281" s="6">
        <v>5.45</v>
      </c>
      <c r="E17281" t="s">
        <v>44</v>
      </c>
    </row>
    <row r="17282" spans="1:5" x14ac:dyDescent="0.25">
      <c r="A17282" t="str">
        <f>HYPERLINK("https://www.773grp.com/globalSearch/TIBPAL20R4-25CFN/page-1", "TIBPAL20R4-25CFN")</f>
        <v>TIBPAL20R4-25CFN</v>
      </c>
      <c r="B17282" s="3" t="s">
        <v>90</v>
      </c>
      <c r="C17282" s="5">
        <v>1915</v>
      </c>
      <c r="D17282" s="6">
        <v>5.45</v>
      </c>
      <c r="E17282" t="s">
        <v>44</v>
      </c>
    </row>
    <row r="17283" spans="1:5" x14ac:dyDescent="0.25">
      <c r="A17283" t="str">
        <f>HYPERLINK("https://www.773grp.com/globalSearch/TIBPAL20R4-25CNT/page-1", "TIBPAL20R4-25CNT")</f>
        <v>TIBPAL20R4-25CNT</v>
      </c>
      <c r="B17283" s="3" t="s">
        <v>90</v>
      </c>
      <c r="C17283" s="5">
        <v>1752</v>
      </c>
      <c r="D17283" s="6">
        <v>5.45</v>
      </c>
      <c r="E17283" t="s">
        <v>44</v>
      </c>
    </row>
    <row r="17284" spans="1:5" x14ac:dyDescent="0.25">
      <c r="A17284" t="str">
        <f>HYPERLINK("https://www.773grp.com/globalSearch/TIBPAL20R6-25CFN/page-1", "TIBPAL20R6-25CFN")</f>
        <v>TIBPAL20R6-25CFN</v>
      </c>
      <c r="B17284" s="3" t="s">
        <v>90</v>
      </c>
      <c r="C17284" s="5">
        <v>1263</v>
      </c>
      <c r="D17284" s="6">
        <v>5.45</v>
      </c>
      <c r="E17284" t="s">
        <v>44</v>
      </c>
    </row>
    <row r="17285" spans="1:5" x14ac:dyDescent="0.25">
      <c r="A17285" t="str">
        <f>HYPERLINK("https://www.773grp.com/globalSearch/TIBPAL20R6-25CNT/page-1", "TIBPAL20R6-25CNT")</f>
        <v>TIBPAL20R6-25CNT</v>
      </c>
      <c r="B17285" s="3" t="s">
        <v>90</v>
      </c>
      <c r="C17285" s="5">
        <v>3933</v>
      </c>
      <c r="D17285" s="6">
        <v>5.45</v>
      </c>
      <c r="E17285" t="s">
        <v>44</v>
      </c>
    </row>
    <row r="17286" spans="1:5" x14ac:dyDescent="0.25">
      <c r="A17286" t="str">
        <f>HYPERLINK("https://www.773grp.com/globalSearch/TIBPAL20R8-25CFN/page-1", "TIBPAL20R8-25CFN")</f>
        <v>TIBPAL20R8-25CFN</v>
      </c>
      <c r="B17286" s="3" t="s">
        <v>90</v>
      </c>
      <c r="C17286" s="5">
        <v>2428</v>
      </c>
      <c r="D17286" s="6">
        <v>5.45</v>
      </c>
      <c r="E17286" t="s">
        <v>44</v>
      </c>
    </row>
    <row r="17287" spans="1:5" x14ac:dyDescent="0.25">
      <c r="A17287" t="str">
        <f>HYPERLINK("https://www.773grp.com/globalSearch/TIBPAL20R8-25CNT/page-1", "TIBPAL20R8-25CNT")</f>
        <v>TIBPAL20R8-25CNT</v>
      </c>
      <c r="B17287" s="3" t="s">
        <v>90</v>
      </c>
      <c r="C17287" s="5">
        <v>407</v>
      </c>
      <c r="D17287" s="6">
        <v>5.45</v>
      </c>
      <c r="E17287" t="s">
        <v>44</v>
      </c>
    </row>
    <row r="17288" spans="1:5" x14ac:dyDescent="0.25">
      <c r="A17288" t="str">
        <f>HYPERLINK("https://www.773grp.com/globalSearch/TIBPAL20L8-15CFN/page-1", "TIBPAL20L8-15CFN")</f>
        <v>TIBPAL20L8-15CFN</v>
      </c>
      <c r="B17288" s="3" t="str">
        <f>HYPERLINK("https://www.773grp.com/manufacturer/texas-instruments?pageNo=409", "Texas Instruments")</f>
        <v>Texas Instruments</v>
      </c>
      <c r="C17288" s="5">
        <v>5546</v>
      </c>
      <c r="D17288" s="6">
        <v>6.66</v>
      </c>
      <c r="E17288" t="s">
        <v>44</v>
      </c>
    </row>
    <row r="17289" spans="1:5" x14ac:dyDescent="0.25">
      <c r="A17289" t="str">
        <f>HYPERLINK("https://www.773grp.com/globalSearch/TIBPAL20L8-15CNT/page-1", "TIBPAL20L8-15CNT")</f>
        <v>TIBPAL20L8-15CNT</v>
      </c>
      <c r="B17289" s="3" t="str">
        <f>HYPERLINK("https://www.773grp.com/manufacturer/texas-instruments?pageNo=410", "Texas Instruments")</f>
        <v>Texas Instruments</v>
      </c>
      <c r="C17289" s="5">
        <v>6</v>
      </c>
      <c r="D17289" s="6">
        <v>6.66</v>
      </c>
      <c r="E17289" t="s">
        <v>44</v>
      </c>
    </row>
    <row r="17290" spans="1:5" x14ac:dyDescent="0.25">
      <c r="A17290" t="str">
        <f>HYPERLINK("https://www.773grp.com/globalSearch/TIBPAL20R4-15CFN/page-1", "TIBPAL20R4-15CFN")</f>
        <v>TIBPAL20R4-15CFN</v>
      </c>
      <c r="B17290" s="3" t="str">
        <f>HYPERLINK("https://www.773grp.com/manufacturer/texas-instruments?pageNo=411", "Texas Instruments")</f>
        <v>Texas Instruments</v>
      </c>
      <c r="C17290" s="5">
        <v>27062</v>
      </c>
      <c r="D17290" s="6">
        <v>6.66</v>
      </c>
      <c r="E17290" t="s">
        <v>44</v>
      </c>
    </row>
    <row r="17291" spans="1:5" x14ac:dyDescent="0.25">
      <c r="A17291" t="str">
        <f>HYPERLINK("https://www.773grp.com/globalSearch/TIBPAL20R4-15CNT/page-1", "TIBPAL20R4-15CNT")</f>
        <v>TIBPAL20R4-15CNT</v>
      </c>
      <c r="B17291" s="3" t="str">
        <f>HYPERLINK("https://www.773grp.com/manufacturer/texas-instruments?pageNo=412", "Texas Instruments")</f>
        <v>Texas Instruments</v>
      </c>
      <c r="C17291" s="5">
        <v>388</v>
      </c>
      <c r="D17291" s="6">
        <v>6.66</v>
      </c>
      <c r="E17291" t="s">
        <v>44</v>
      </c>
    </row>
    <row r="17292" spans="1:5" x14ac:dyDescent="0.25">
      <c r="A17292" t="str">
        <f>HYPERLINK("https://www.773grp.com/globalSearch/TIBPAL20R6-15CFN/page-1", "TIBPAL20R6-15CFN")</f>
        <v>TIBPAL20R6-15CFN</v>
      </c>
      <c r="B17292" s="3" t="str">
        <f>HYPERLINK("https://www.773grp.com/manufacturer/texas-instruments?pageNo=413", "Texas Instruments")</f>
        <v>Texas Instruments</v>
      </c>
      <c r="C17292" s="5">
        <v>1374</v>
      </c>
      <c r="D17292" s="6">
        <v>6.66</v>
      </c>
      <c r="E17292" t="s">
        <v>44</v>
      </c>
    </row>
    <row r="17293" spans="1:5" x14ac:dyDescent="0.25">
      <c r="A17293" t="str">
        <f>HYPERLINK("https://www.773grp.com/globalSearch/TIBPAL20R6-15CNT/page-1", "TIBPAL20R6-15CNT")</f>
        <v>TIBPAL20R6-15CNT</v>
      </c>
      <c r="B17293" s="3" t="str">
        <f>HYPERLINK("https://www.773grp.com/manufacturer/texas-instruments?pageNo=414", "Texas Instruments")</f>
        <v>Texas Instruments</v>
      </c>
      <c r="C17293" s="5">
        <v>1807</v>
      </c>
      <c r="D17293" s="6">
        <v>6.66</v>
      </c>
      <c r="E17293" t="s">
        <v>44</v>
      </c>
    </row>
    <row r="17294" spans="1:5" x14ac:dyDescent="0.25">
      <c r="A17294" t="str">
        <f>HYPERLINK("https://www.773grp.com/globalSearch/TIBPAL20R8-15CFN/page-1", "TIBPAL20R8-15CFN")</f>
        <v>TIBPAL20R8-15CFN</v>
      </c>
      <c r="B17294" s="3" t="str">
        <f>HYPERLINK("https://www.773grp.com/manufacturer/texas-instruments?pageNo=415", "Texas Instruments")</f>
        <v>Texas Instruments</v>
      </c>
      <c r="C17294" s="5">
        <v>5170</v>
      </c>
      <c r="D17294" s="6">
        <v>6.66</v>
      </c>
      <c r="E17294" t="s">
        <v>44</v>
      </c>
    </row>
    <row r="17295" spans="1:5" x14ac:dyDescent="0.25">
      <c r="A17295" t="str">
        <f>HYPERLINK("https://www.773grp.com/globalSearch/TIBPAL20R8-15CNT/page-1", "TIBPAL20R8-15CNT")</f>
        <v>TIBPAL20R8-15CNT</v>
      </c>
      <c r="B17295" s="3" t="str">
        <f>HYPERLINK("https://www.773grp.com/manufacturer/texas-instruments?pageNo=416", "Texas Instruments")</f>
        <v>Texas Instruments</v>
      </c>
      <c r="C17295" s="5">
        <v>2839</v>
      </c>
      <c r="D17295" s="6">
        <v>6.66</v>
      </c>
      <c r="E17295" t="s">
        <v>44</v>
      </c>
    </row>
    <row r="17296" spans="1:5" x14ac:dyDescent="0.25">
      <c r="A17296" t="str">
        <f>HYPERLINK("https://www.773grp.com/globalSearch/TIBPAL16L8-7CFN/page-1", "TIBPAL16L8-7CFN")</f>
        <v>TIBPAL16L8-7CFN</v>
      </c>
      <c r="B17296" s="3" t="s">
        <v>90</v>
      </c>
      <c r="C17296" s="5">
        <v>425</v>
      </c>
      <c r="D17296" s="6">
        <v>8.48</v>
      </c>
      <c r="E17296" t="s">
        <v>44</v>
      </c>
    </row>
    <row r="17297" spans="1:5" x14ac:dyDescent="0.25">
      <c r="A17297" t="str">
        <f>HYPERLINK("https://www.773grp.com/globalSearch/TIBPAL16L8-7CN/page-1", "TIBPAL16L8-7CN")</f>
        <v>TIBPAL16L8-7CN</v>
      </c>
      <c r="B17297" s="3" t="s">
        <v>90</v>
      </c>
      <c r="C17297" s="5">
        <v>164</v>
      </c>
      <c r="D17297" s="6">
        <v>8.48</v>
      </c>
      <c r="E17297" t="s">
        <v>44</v>
      </c>
    </row>
    <row r="17298" spans="1:5" x14ac:dyDescent="0.25">
      <c r="A17298" t="str">
        <f>HYPERLINK("https://www.773grp.com/globalSearch/TIBPAL20L8-7CFN/page-1", "TIBPAL20L8-7CFN")</f>
        <v>TIBPAL20L8-7CFN</v>
      </c>
      <c r="B17298" s="3" t="s">
        <v>90</v>
      </c>
      <c r="C17298" s="5">
        <v>30</v>
      </c>
      <c r="D17298" s="6">
        <v>9.65</v>
      </c>
      <c r="E17298" t="s">
        <v>44</v>
      </c>
    </row>
    <row r="17299" spans="1:5" x14ac:dyDescent="0.25">
      <c r="A17299" t="str">
        <f>HYPERLINK("https://www.773grp.com/globalSearch/TIBPAL22V10ACFN/page-1", "TIBPAL22V10ACFN")</f>
        <v>TIBPAL22V10ACFN</v>
      </c>
      <c r="B17299" s="3" t="s">
        <v>90</v>
      </c>
      <c r="C17299" s="5">
        <v>55</v>
      </c>
      <c r="D17299" s="6">
        <v>10.039999999999999</v>
      </c>
      <c r="E17299" t="s">
        <v>44</v>
      </c>
    </row>
    <row r="17300" spans="1:5" x14ac:dyDescent="0.25">
      <c r="A17300" t="str">
        <f>HYPERLINK("https://www.773grp.com/globalSearch/TIBPAL22V10ACNT/page-1", "TIBPAL22V10ACNT")</f>
        <v>TIBPAL22V10ACNT</v>
      </c>
      <c r="B17300" s="3" t="s">
        <v>90</v>
      </c>
      <c r="C17300" s="5">
        <v>1248</v>
      </c>
      <c r="D17300" s="6">
        <v>10.039999999999999</v>
      </c>
      <c r="E17300" t="s">
        <v>44</v>
      </c>
    </row>
    <row r="17301" spans="1:5" x14ac:dyDescent="0.25">
      <c r="A17301" t="str">
        <f>HYPERLINK("https://www.773grp.com/globalSearch/TIBPAL16R6-7CFN/page-1", "TIBPAL16R6-7CFN")</f>
        <v>TIBPAL16R6-7CFN</v>
      </c>
      <c r="B17301" s="3" t="s">
        <v>90</v>
      </c>
      <c r="C17301" s="5">
        <v>794</v>
      </c>
      <c r="D17301" s="6">
        <v>10.41</v>
      </c>
      <c r="E17301" t="s">
        <v>44</v>
      </c>
    </row>
    <row r="17302" spans="1:5" x14ac:dyDescent="0.25">
      <c r="A17302" t="str">
        <f>HYPERLINK("https://www.773grp.com/globalSearch/TICPAL22V10Z-25CFN/page-1", "TICPAL22V10Z-25CFN")</f>
        <v>TICPAL22V10Z-25CFN</v>
      </c>
      <c r="B17302" s="3" t="s">
        <v>90</v>
      </c>
      <c r="C17302" s="5">
        <v>3478</v>
      </c>
      <c r="D17302" s="6">
        <v>10.76</v>
      </c>
      <c r="E17302" t="s">
        <v>44</v>
      </c>
    </row>
    <row r="17303" spans="1:5" x14ac:dyDescent="0.25">
      <c r="A17303" t="str">
        <f>HYPERLINK("https://www.773grp.com/globalSearch/TICPAL22V10Z-25CNT/page-1", "TICPAL22V10Z-25CNT")</f>
        <v>TICPAL22V10Z-25CNT</v>
      </c>
      <c r="B17303" s="3" t="s">
        <v>90</v>
      </c>
      <c r="C17303" s="5">
        <v>263</v>
      </c>
      <c r="D17303" s="6">
        <v>10.76</v>
      </c>
      <c r="E17303" t="s">
        <v>44</v>
      </c>
    </row>
    <row r="17304" spans="1:5" x14ac:dyDescent="0.25">
      <c r="A17304" t="str">
        <f>HYPERLINK("https://www.773grp.com/globalSearch/TIBPAL20R4-7CNT/page-1", "TIBPAL20R4-7CNT")</f>
        <v>TIBPAL20R4-7CNT</v>
      </c>
      <c r="B17304" s="3" t="s">
        <v>90</v>
      </c>
      <c r="C17304" s="5">
        <v>19026</v>
      </c>
      <c r="D17304" s="6">
        <v>10.85</v>
      </c>
      <c r="E17304" t="s">
        <v>44</v>
      </c>
    </row>
    <row r="17305" spans="1:5" x14ac:dyDescent="0.25">
      <c r="A17305" t="str">
        <f>HYPERLINK("https://www.773grp.com/globalSearch/TIBPAL22VP10-20CFN/page-1", "TIBPAL22VP10-20CFN")</f>
        <v>TIBPAL22VP10-20CFN</v>
      </c>
      <c r="B17305" s="3" t="s">
        <v>90</v>
      </c>
      <c r="C17305" s="5">
        <v>1849</v>
      </c>
      <c r="D17305" s="6">
        <v>10.85</v>
      </c>
      <c r="E17305" t="s">
        <v>44</v>
      </c>
    </row>
    <row r="17306" spans="1:5" x14ac:dyDescent="0.25">
      <c r="A17306" t="str">
        <f>HYPERLINK("https://www.773grp.com/globalSearch/TIBPAL20R4-10CFN/page-1", "TIBPAL20R4-10CFN")</f>
        <v>TIBPAL20R4-10CFN</v>
      </c>
      <c r="B17306" s="3" t="s">
        <v>90</v>
      </c>
      <c r="C17306" s="5">
        <v>407</v>
      </c>
      <c r="D17306" s="6">
        <v>10.98</v>
      </c>
      <c r="E17306" t="s">
        <v>44</v>
      </c>
    </row>
    <row r="17307" spans="1:5" x14ac:dyDescent="0.25">
      <c r="A17307" t="str">
        <f>HYPERLINK("https://www.773grp.com/globalSearch/TIBPAL20R6-10CFN/page-1", "TIBPAL20R6-10CFN")</f>
        <v>TIBPAL20R6-10CFN</v>
      </c>
      <c r="B17307" s="3" t="s">
        <v>90</v>
      </c>
      <c r="C17307" s="5">
        <v>1911</v>
      </c>
      <c r="D17307" s="6">
        <v>14.18</v>
      </c>
      <c r="E17307" t="s">
        <v>44</v>
      </c>
    </row>
    <row r="17308" spans="1:5" x14ac:dyDescent="0.25">
      <c r="A17308" t="str">
        <f>HYPERLINK("https://www.773grp.com/globalSearch/TIBPAL20R6-10CNT/page-1", "TIBPAL20R6-10CNT")</f>
        <v>TIBPAL20R6-10CNT</v>
      </c>
      <c r="B17308" s="3" t="s">
        <v>90</v>
      </c>
      <c r="C17308" s="5">
        <v>3421</v>
      </c>
      <c r="D17308" s="6">
        <v>14.18</v>
      </c>
      <c r="E17308" t="s">
        <v>44</v>
      </c>
    </row>
    <row r="17309" spans="1:5" x14ac:dyDescent="0.25">
      <c r="A17309" t="str">
        <f>HYPERLINK("https://www.773grp.com/globalSearch/TIBPAL20R8-10CNT/page-1", "TIBPAL20R8-10CNT")</f>
        <v>TIBPAL20R8-10CNT</v>
      </c>
      <c r="B17309" s="3" t="s">
        <v>90</v>
      </c>
      <c r="C17309" s="5">
        <v>3508</v>
      </c>
      <c r="D17309" s="6">
        <v>14.18</v>
      </c>
      <c r="E17309" t="s">
        <v>44</v>
      </c>
    </row>
    <row r="17310" spans="1:5" x14ac:dyDescent="0.25">
      <c r="A17310" t="str">
        <f>HYPERLINK("https://www.773grp.com/globalSearch/TIBPAL20L10-30CFN/page-1", "TIBPAL20L10-30CFN")</f>
        <v>TIBPAL20L10-30CFN</v>
      </c>
      <c r="B17310" s="3" t="s">
        <v>90</v>
      </c>
      <c r="C17310" s="5">
        <v>1088</v>
      </c>
      <c r="D17310" s="6">
        <v>15.48</v>
      </c>
      <c r="E17310" t="s">
        <v>44</v>
      </c>
    </row>
    <row r="17311" spans="1:5" x14ac:dyDescent="0.25">
      <c r="A17311" t="str">
        <f>HYPERLINK("https://www.773grp.com/globalSearch/TIBPAL16L8-12CN/page-1", "TIBPAL16L8-12CN")</f>
        <v>TIBPAL16L8-12CN</v>
      </c>
      <c r="B17311" s="3" t="s">
        <v>90</v>
      </c>
      <c r="C17311" s="5">
        <v>1673</v>
      </c>
      <c r="D17311" s="6">
        <v>18.28</v>
      </c>
      <c r="E17311" t="s">
        <v>44</v>
      </c>
    </row>
    <row r="17312" spans="1:5" x14ac:dyDescent="0.25">
      <c r="A17312" t="str">
        <f>HYPERLINK("https://www.773grp.com/globalSearch/TIBPAL16R4-12CN/page-1", "TIBPAL16R4-12CN")</f>
        <v>TIBPAL16R4-12CN</v>
      </c>
      <c r="B17312" s="3" t="s">
        <v>90</v>
      </c>
      <c r="C17312" s="5">
        <v>493</v>
      </c>
      <c r="D17312" s="6">
        <v>18.28</v>
      </c>
      <c r="E17312" t="s">
        <v>44</v>
      </c>
    </row>
    <row r="17313" spans="1:5" x14ac:dyDescent="0.25">
      <c r="A17313" t="str">
        <f>HYPERLINK("https://www.773grp.com/globalSearch/TIBPAL16R6-12CFN/page-1", "TIBPAL16R6-12CFN")</f>
        <v>TIBPAL16R6-12CFN</v>
      </c>
      <c r="B17313" s="3" t="s">
        <v>90</v>
      </c>
      <c r="C17313" s="5">
        <v>4457</v>
      </c>
      <c r="D17313" s="6">
        <v>18.28</v>
      </c>
      <c r="E17313" t="s">
        <v>44</v>
      </c>
    </row>
    <row r="17314" spans="1:5" x14ac:dyDescent="0.25">
      <c r="A17314" t="str">
        <f>HYPERLINK("https://www.773grp.com/globalSearch/TIBPAL16R8-12CFN/page-1", "TIBPAL16R8-12CFN")</f>
        <v>TIBPAL16R8-12CFN</v>
      </c>
      <c r="B17314" s="3" t="s">
        <v>90</v>
      </c>
      <c r="C17314" s="5">
        <v>1567</v>
      </c>
      <c r="D17314" s="6">
        <v>18.28</v>
      </c>
      <c r="E17314" t="s">
        <v>44</v>
      </c>
    </row>
    <row r="17315" spans="1:5" x14ac:dyDescent="0.25">
      <c r="A17315" t="str">
        <f>HYPERLINK("https://www.773grp.com/globalSearch/TIBPAL16R8-12CN/page-1", "TIBPAL16R8-12CN")</f>
        <v>TIBPAL16R8-12CN</v>
      </c>
      <c r="B17315" s="3" t="s">
        <v>90</v>
      </c>
      <c r="C17315" s="5">
        <v>740</v>
      </c>
      <c r="D17315" s="6">
        <v>18.28</v>
      </c>
      <c r="E17315" t="s">
        <v>44</v>
      </c>
    </row>
    <row r="17316" spans="1:5" x14ac:dyDescent="0.25">
      <c r="A17316" t="str">
        <f>HYPERLINK("https://www.773grp.com/globalSearch/TIFPLA840CNT/page-1", "TIFPLA840CNT")</f>
        <v>TIFPLA840CNT</v>
      </c>
      <c r="B17316" s="3" t="s">
        <v>90</v>
      </c>
      <c r="C17316" s="5">
        <v>3795</v>
      </c>
      <c r="D17316" s="6">
        <v>18.53</v>
      </c>
      <c r="E17316" t="s">
        <v>44</v>
      </c>
    </row>
    <row r="17317" spans="1:5" x14ac:dyDescent="0.25">
      <c r="A17317" t="str">
        <f>HYPERLINK("https://www.773grp.com/globalSearch/TIBPAL20L10-20CFN/page-1", "TIBPAL20L10-20CFN")</f>
        <v>TIBPAL20L10-20CFN</v>
      </c>
      <c r="B17317" s="3" t="s">
        <v>90</v>
      </c>
      <c r="C17317" s="5">
        <v>1601</v>
      </c>
      <c r="D17317" s="6">
        <v>18.739999999999998</v>
      </c>
      <c r="E17317" t="s">
        <v>44</v>
      </c>
    </row>
    <row r="17318" spans="1:5" x14ac:dyDescent="0.25">
      <c r="A17318" t="str">
        <f>HYPERLINK("https://www.773grp.com/globalSearch/TIBPAL20R8-5CNT/page-1", "TIBPAL20R8-5CNT")</f>
        <v>TIBPAL20R8-5CNT</v>
      </c>
      <c r="B17318" s="3" t="s">
        <v>90</v>
      </c>
      <c r="C17318" s="5">
        <v>1812</v>
      </c>
      <c r="D17318" s="6">
        <v>19.100000000000001</v>
      </c>
      <c r="E17318" t="s">
        <v>44</v>
      </c>
    </row>
    <row r="17319" spans="1:5" x14ac:dyDescent="0.25">
      <c r="A17319" t="str">
        <f>HYPERLINK("https://www.773grp.com/globalSearch/TIBPAL20R8-7CFN/page-1", "TIBPAL20R8-7CFN")</f>
        <v>TIBPAL20R8-7CFN</v>
      </c>
      <c r="B17319" s="3" t="s">
        <v>90</v>
      </c>
      <c r="C17319" s="5">
        <v>2518</v>
      </c>
      <c r="D17319" s="6">
        <v>19.579999999999998</v>
      </c>
      <c r="E17319" t="s">
        <v>44</v>
      </c>
    </row>
    <row r="17320" spans="1:5" x14ac:dyDescent="0.25">
      <c r="A17320" t="str">
        <f>HYPERLINK("https://www.773grp.com/globalSearch/TIBPAL20R8-7CNT/page-1", "TIBPAL20R8-7CNT")</f>
        <v>TIBPAL20R8-7CNT</v>
      </c>
      <c r="B17320" s="3" t="s">
        <v>90</v>
      </c>
      <c r="C17320" s="5">
        <v>482</v>
      </c>
      <c r="D17320" s="6">
        <v>19.579999999999998</v>
      </c>
      <c r="E17320" t="s">
        <v>44</v>
      </c>
    </row>
    <row r="17321" spans="1:5" x14ac:dyDescent="0.25">
      <c r="A17321" t="str">
        <f>HYPERLINK("https://www.773grp.com/globalSearch/TIBPALR19L8CNT/page-1", "TIBPALR19L8CNT")</f>
        <v>TIBPALR19L8CNT</v>
      </c>
      <c r="B17321" s="3" t="s">
        <v>90</v>
      </c>
      <c r="C17321" s="5">
        <v>5</v>
      </c>
      <c r="D17321" s="6">
        <v>19.96</v>
      </c>
      <c r="E17321" t="s">
        <v>44</v>
      </c>
    </row>
    <row r="17322" spans="1:5" x14ac:dyDescent="0.25">
      <c r="A17322" t="str">
        <f>HYPERLINK("https://www.773grp.com/globalSearch/TIBPALR19R4CNT/page-1", "TIBPALR19R4CNT")</f>
        <v>TIBPALR19R4CNT</v>
      </c>
      <c r="B17322" s="3" t="s">
        <v>90</v>
      </c>
      <c r="C17322" s="5">
        <v>4</v>
      </c>
      <c r="D17322" s="6">
        <v>19.96</v>
      </c>
      <c r="E17322" t="s">
        <v>44</v>
      </c>
    </row>
    <row r="17323" spans="1:5" x14ac:dyDescent="0.25">
      <c r="A17323" t="str">
        <f>HYPERLINK("https://www.773grp.com/globalSearch/TIBPALR19R8CNT/page-1", "TIBPALR19R8CNT")</f>
        <v>TIBPALR19R8CNT</v>
      </c>
      <c r="B17323" s="3" t="s">
        <v>90</v>
      </c>
      <c r="C17323" s="5">
        <v>17</v>
      </c>
      <c r="D17323" s="6">
        <v>19.96</v>
      </c>
      <c r="E17323" t="s">
        <v>44</v>
      </c>
    </row>
    <row r="17324" spans="1:5" x14ac:dyDescent="0.25">
      <c r="A17324" t="str">
        <f>HYPERLINK("https://www.773grp.com/globalSearch/TIBPALT19R4CNT/page-1", "TIBPALT19R4CNT")</f>
        <v>TIBPALT19R4CNT</v>
      </c>
      <c r="B17324" s="3" t="s">
        <v>90</v>
      </c>
      <c r="C17324" s="5">
        <v>171</v>
      </c>
      <c r="D17324" s="6">
        <v>19.96</v>
      </c>
      <c r="E17324" t="s">
        <v>44</v>
      </c>
    </row>
    <row r="17325" spans="1:5" x14ac:dyDescent="0.25">
      <c r="A17325" t="str">
        <f>HYPERLINK("https://www.773grp.com/globalSearch/TIBPALT19R6CNT/page-1", "TIBPALT19R6CNT")</f>
        <v>TIBPALT19R6CNT</v>
      </c>
      <c r="B17325" s="3" t="s">
        <v>90</v>
      </c>
      <c r="C17325" s="5">
        <v>791</v>
      </c>
      <c r="D17325" s="6">
        <v>19.96</v>
      </c>
      <c r="E17325" t="s">
        <v>44</v>
      </c>
    </row>
    <row r="17326" spans="1:5" x14ac:dyDescent="0.25">
      <c r="A17326" t="str">
        <f>HYPERLINK("https://www.773grp.com/globalSearch/TIBPALT19R8CNT/page-1", "TIBPALT19R8CNT")</f>
        <v>TIBPALT19R8CNT</v>
      </c>
      <c r="B17326" s="3" t="s">
        <v>90</v>
      </c>
      <c r="C17326" s="5">
        <v>1146</v>
      </c>
      <c r="D17326" s="6">
        <v>19.96</v>
      </c>
      <c r="E17326" t="s">
        <v>44</v>
      </c>
    </row>
    <row r="17327" spans="1:5" x14ac:dyDescent="0.25">
      <c r="A17327" t="str">
        <f>HYPERLINK("https://www.773grp.com/globalSearch/TIBPALR19R4CFN/page-1", "TIBPALR19R4CFN")</f>
        <v>TIBPALR19R4CFN</v>
      </c>
      <c r="B17327" s="3" t="s">
        <v>90</v>
      </c>
      <c r="C17327" s="5">
        <v>169</v>
      </c>
      <c r="D17327" s="6">
        <v>20.89</v>
      </c>
      <c r="E17327" t="s">
        <v>44</v>
      </c>
    </row>
    <row r="17328" spans="1:5" x14ac:dyDescent="0.25">
      <c r="A17328" t="str">
        <f>HYPERLINK("https://www.773grp.com/globalSearch/TIFPLA839CFN/page-1", "TIFPLA839CFN")</f>
        <v>TIFPLA839CFN</v>
      </c>
      <c r="B17328" s="3" t="s">
        <v>90</v>
      </c>
      <c r="C17328" s="5">
        <v>491</v>
      </c>
      <c r="D17328" s="6">
        <v>20.89</v>
      </c>
      <c r="E17328" t="s">
        <v>44</v>
      </c>
    </row>
    <row r="17329" spans="1:5" x14ac:dyDescent="0.25">
      <c r="A17329" t="str">
        <f>HYPERLINK("https://www.773grp.com/globalSearch/TIBPAL20R6-7CFN/page-1", "TIBPAL20R6-7CFN")</f>
        <v>TIBPAL20R6-7CFN</v>
      </c>
      <c r="B17329" s="3" t="s">
        <v>90</v>
      </c>
      <c r="C17329" s="5">
        <v>534</v>
      </c>
      <c r="D17329" s="6">
        <v>22.5</v>
      </c>
      <c r="E17329" t="s">
        <v>44</v>
      </c>
    </row>
    <row r="17330" spans="1:5" x14ac:dyDescent="0.25">
      <c r="A17330" t="str">
        <f>HYPERLINK("https://www.773grp.com/globalSearch/TIBPAL20R6-7CNT/page-1", "TIBPAL20R6-7CNT")</f>
        <v>TIBPAL20R6-7CNT</v>
      </c>
      <c r="B17330" s="3" t="s">
        <v>90</v>
      </c>
      <c r="C17330" s="5">
        <v>45</v>
      </c>
      <c r="D17330" s="6">
        <v>22.5</v>
      </c>
      <c r="E17330" t="s">
        <v>44</v>
      </c>
    </row>
    <row r="17331" spans="1:5" x14ac:dyDescent="0.25">
      <c r="A17331" t="str">
        <f>HYPERLINK("https://www.773grp.com/globalSearch/TIBPAL20X10-20CNT/page-1", "TIBPAL20X10-20CNT")</f>
        <v>TIBPAL20X10-20CNT</v>
      </c>
      <c r="B17331" s="3" t="s">
        <v>90</v>
      </c>
      <c r="C17331" s="5">
        <v>24011</v>
      </c>
      <c r="D17331" s="6">
        <v>23.43</v>
      </c>
      <c r="E17331" t="s">
        <v>44</v>
      </c>
    </row>
    <row r="17332" spans="1:5" x14ac:dyDescent="0.25">
      <c r="A17332" t="str">
        <f>HYPERLINK("https://www.773grp.com/globalSearch/TIBPAL20X10-30CNT/page-1", "TIBPAL20X10-30CNT")</f>
        <v>TIBPAL20X10-30CNT</v>
      </c>
      <c r="B17332" s="3" t="s">
        <v>90</v>
      </c>
      <c r="C17332" s="5">
        <v>7697</v>
      </c>
      <c r="D17332" s="6">
        <v>23.43</v>
      </c>
      <c r="E17332" t="s">
        <v>44</v>
      </c>
    </row>
    <row r="17333" spans="1:5" x14ac:dyDescent="0.25">
      <c r="A17333" t="str">
        <f>HYPERLINK("https://www.773grp.com/globalSearch/TIBPAL20X4-20CNT/page-1", "TIBPAL20X4-20CNT")</f>
        <v>TIBPAL20X4-20CNT</v>
      </c>
      <c r="B17333" s="3" t="s">
        <v>90</v>
      </c>
      <c r="C17333" s="5">
        <v>2329</v>
      </c>
      <c r="D17333" s="6">
        <v>23.43</v>
      </c>
      <c r="E17333" t="s">
        <v>44</v>
      </c>
    </row>
    <row r="17334" spans="1:5" x14ac:dyDescent="0.25">
      <c r="A17334" t="str">
        <f>HYPERLINK("https://www.773grp.com/globalSearch/TIBPAL20X10-20CFN/page-1", "TIBPAL20X10-20CFN")</f>
        <v>TIBPAL20X10-20CFN</v>
      </c>
      <c r="B17334" s="3" t="s">
        <v>90</v>
      </c>
      <c r="C17334" s="5">
        <v>538</v>
      </c>
      <c r="D17334" s="6">
        <v>24.68</v>
      </c>
      <c r="E17334" t="s">
        <v>44</v>
      </c>
    </row>
    <row r="17335" spans="1:5" x14ac:dyDescent="0.25">
      <c r="A17335" t="str">
        <f>HYPERLINK("https://www.773grp.com/globalSearch/TIBPAL20X4-20CFN/page-1", "TIBPAL20X4-20CFN")</f>
        <v>TIBPAL20X4-20CFN</v>
      </c>
      <c r="B17335" s="3" t="s">
        <v>90</v>
      </c>
      <c r="C17335" s="5">
        <v>7168</v>
      </c>
      <c r="D17335" s="6">
        <v>24.68</v>
      </c>
      <c r="E17335" t="s">
        <v>44</v>
      </c>
    </row>
    <row r="17336" spans="1:5" x14ac:dyDescent="0.25">
      <c r="A17336" t="str">
        <f>HYPERLINK("https://www.773grp.com/globalSearch/TIBPAL20R4-5CNT/page-1", "TIBPAL20R4-5CNT")</f>
        <v>TIBPAL20R4-5CNT</v>
      </c>
      <c r="B17336" s="3" t="str">
        <f>HYPERLINK("https://www.773grp.com/manufacturer/texas-instruments?pageNo=29", "Texas Instruments")</f>
        <v>Texas Instruments</v>
      </c>
      <c r="C17336" s="5">
        <v>3</v>
      </c>
      <c r="D17336" s="6">
        <v>27.51</v>
      </c>
      <c r="E17336" t="s">
        <v>44</v>
      </c>
    </row>
    <row r="17337" spans="1:5" x14ac:dyDescent="0.25">
      <c r="A17337" t="str">
        <f>HYPERLINK("https://www.773grp.com/globalSearch/TIBPAL16R8-20MJ/page-1", "TIBPAL16R8-20MJ")</f>
        <v>TIBPAL16R8-20MJ</v>
      </c>
      <c r="B17337" s="3" t="str">
        <f>HYPERLINK("https://www.773grp.com/manufacturer/texas-instruments?pageNo=36", "Texas Instruments")</f>
        <v>Texas Instruments</v>
      </c>
      <c r="C17337" s="5">
        <v>816</v>
      </c>
      <c r="D17337" s="6">
        <v>27.56</v>
      </c>
      <c r="E17337" t="s">
        <v>44</v>
      </c>
    </row>
    <row r="17338" spans="1:5" x14ac:dyDescent="0.25">
      <c r="A17338" t="str">
        <f>HYPERLINK("https://www.773grp.com/globalSearch/PAL16R8A-2MJ/page-1", "PAL16R8A-2MJ")</f>
        <v>PAL16R8A-2MJ</v>
      </c>
      <c r="B17338" s="3" t="str">
        <f>HYPERLINK("https://www.773grp.com/manufacturer/texas-instruments?pageNo=127", "Texas Instruments")</f>
        <v>Texas Instruments</v>
      </c>
      <c r="C17338" s="5">
        <v>51</v>
      </c>
      <c r="D17338" s="6">
        <v>28.1</v>
      </c>
      <c r="E17338" t="s">
        <v>44</v>
      </c>
    </row>
    <row r="17339" spans="1:5" x14ac:dyDescent="0.25">
      <c r="A17339" t="str">
        <f>HYPERLINK("https://www.773grp.com/globalSearch/TIBPAL16R4-5CFN/page-1", "TIBPAL16R4-5CFN")</f>
        <v>TIBPAL16R4-5CFN</v>
      </c>
      <c r="B17339" s="3" t="str">
        <f>HYPERLINK("https://www.773grp.com/manufacturer/texas-instruments?pageNo=210", "Texas Instruments")</f>
        <v>Texas Instruments</v>
      </c>
      <c r="C17339" s="5">
        <v>1242</v>
      </c>
      <c r="D17339" s="6">
        <v>28.39</v>
      </c>
      <c r="E17339" t="s">
        <v>44</v>
      </c>
    </row>
    <row r="17340" spans="1:5" x14ac:dyDescent="0.25">
      <c r="A17340" t="str">
        <f>HYPERLINK("https://www.773grp.com/globalSearch/TIBPAL16R6-5CFN/page-1", "TIBPAL16R6-5CFN")</f>
        <v>TIBPAL16R6-5CFN</v>
      </c>
      <c r="B17340" s="3" t="str">
        <f>HYPERLINK("https://www.773grp.com/manufacturer/texas-instruments?pageNo=211", "Texas Instruments")</f>
        <v>Texas Instruments</v>
      </c>
      <c r="C17340" s="5">
        <v>221</v>
      </c>
      <c r="D17340" s="6">
        <v>28.39</v>
      </c>
      <c r="E17340" t="s">
        <v>44</v>
      </c>
    </row>
    <row r="17341" spans="1:5" x14ac:dyDescent="0.25">
      <c r="A17341" t="str">
        <f>HYPERLINK("https://www.773grp.com/globalSearch/TIBPAL16R8-5CFN/page-1", "TIBPAL16R8-5CFN")</f>
        <v>TIBPAL16R8-5CFN</v>
      </c>
      <c r="B17341" s="3" t="str">
        <f>HYPERLINK("https://www.773grp.com/manufacturer/texas-instruments?pageNo=212", "Texas Instruments")</f>
        <v>Texas Instruments</v>
      </c>
      <c r="C17341" s="5">
        <v>1528</v>
      </c>
      <c r="D17341" s="6">
        <v>28.39</v>
      </c>
      <c r="E17341" t="s">
        <v>44</v>
      </c>
    </row>
    <row r="17342" spans="1:5" x14ac:dyDescent="0.25">
      <c r="A17342" t="str">
        <f>HYPERLINK("https://www.773grp.com/globalSearch/TIBPAL16R8-5CN/page-1", "TIBPAL16R8-5CN")</f>
        <v>TIBPAL16R8-5CN</v>
      </c>
      <c r="B17342" s="3" t="str">
        <f>HYPERLINK("https://www.773grp.com/manufacturer/texas-instruments?pageNo=213", "Texas Instruments")</f>
        <v>Texas Instruments</v>
      </c>
      <c r="C17342" s="5">
        <v>1921</v>
      </c>
      <c r="D17342" s="6">
        <v>28.39</v>
      </c>
      <c r="E17342" t="s">
        <v>44</v>
      </c>
    </row>
    <row r="17343" spans="1:5" x14ac:dyDescent="0.25">
      <c r="A17343" t="str">
        <f>HYPERLINK("https://www.773grp.com/globalSearch/TIBPAL22V10-10CFN/page-1", "TIBPAL22V10-10CFN")</f>
        <v>TIBPAL22V10-10CFN</v>
      </c>
      <c r="B17343" s="3" t="str">
        <f>HYPERLINK("https://www.773grp.com/manufacturer/texas-instruments?pageNo=214", "Texas Instruments")</f>
        <v>Texas Instruments</v>
      </c>
      <c r="C17343" s="5">
        <v>4578</v>
      </c>
      <c r="D17343" s="6">
        <v>28.39</v>
      </c>
      <c r="E17343" t="s">
        <v>44</v>
      </c>
    </row>
    <row r="17344" spans="1:5" x14ac:dyDescent="0.25">
      <c r="A17344" t="str">
        <f>HYPERLINK("https://www.773grp.com/globalSearch/TIBPAL22V10-10CNT/page-1", "TIBPAL22V10-10CNT")</f>
        <v>TIBPAL22V10-10CNT</v>
      </c>
      <c r="B17344" s="3" t="str">
        <f>HYPERLINK("https://www.773grp.com/manufacturer/texas-instruments?pageNo=215", "Texas Instruments")</f>
        <v>Texas Instruments</v>
      </c>
      <c r="C17344" s="5">
        <v>1</v>
      </c>
      <c r="D17344" s="6">
        <v>28.39</v>
      </c>
      <c r="E17344" t="s">
        <v>44</v>
      </c>
    </row>
    <row r="17345" spans="1:5" x14ac:dyDescent="0.25">
      <c r="A17345" t="str">
        <f>HYPERLINK("https://www.773grp.com/globalSearch/TIBPAD18N8-6CN/page-1", "TIBPAD18N8-6CN")</f>
        <v>TIBPAD18N8-6CN</v>
      </c>
      <c r="B17345" s="3" t="str">
        <f>HYPERLINK("https://www.773grp.com/manufacturer/texas-instruments?pageNo=505", "Texas Instruments")</f>
        <v>Texas Instruments</v>
      </c>
      <c r="C17345" s="5">
        <v>2082</v>
      </c>
      <c r="D17345" s="6">
        <v>30.55</v>
      </c>
      <c r="E17345" t="s">
        <v>44</v>
      </c>
    </row>
    <row r="17346" spans="1:5" x14ac:dyDescent="0.25">
      <c r="A17346" t="str">
        <f>HYPERLINK("https://www.773grp.com/globalSearch/TIB82S105BCFN/page-1", "TIB82S105BCFN")</f>
        <v>TIB82S105BCFN</v>
      </c>
      <c r="B17346" s="3" t="str">
        <f>HYPERLINK("https://www.773grp.com/manufacturer/texas-instruments?pageNo=630", "Texas Instruments")</f>
        <v>Texas Instruments</v>
      </c>
      <c r="C17346" s="5">
        <v>632</v>
      </c>
      <c r="D17346" s="6">
        <v>30.94</v>
      </c>
      <c r="E17346" t="s">
        <v>44</v>
      </c>
    </row>
    <row r="17347" spans="1:5" x14ac:dyDescent="0.25">
      <c r="A17347" t="str">
        <f>HYPERLINK("https://www.773grp.com/globalSearch/PAL16R4AMJ/page-1", "PAL16R4AMJ")</f>
        <v>PAL16R4AMJ</v>
      </c>
      <c r="B17347" s="3" t="str">
        <f>HYPERLINK("https://www.773grp.com/manufacturer/texas-instruments?pageNo=863", "Texas Instruments")</f>
        <v>Texas Instruments</v>
      </c>
      <c r="C17347" s="5">
        <v>6</v>
      </c>
      <c r="D17347" s="6">
        <v>32.54</v>
      </c>
      <c r="E17347" t="s">
        <v>44</v>
      </c>
    </row>
    <row r="17348" spans="1:5" x14ac:dyDescent="0.25">
      <c r="A17348" t="str">
        <f>HYPERLINK("https://www.773grp.com/globalSearch/TIBPAL16R6-30MJ/page-1", "TIBPAL16R6-30MJ")</f>
        <v>TIBPAL16R6-30MJ</v>
      </c>
      <c r="B17348" s="3" t="s">
        <v>90</v>
      </c>
      <c r="C17348" s="5">
        <v>18</v>
      </c>
      <c r="D17348" s="6">
        <v>34.46</v>
      </c>
      <c r="E17348" t="s">
        <v>44</v>
      </c>
    </row>
    <row r="17349" spans="1:5" x14ac:dyDescent="0.25">
      <c r="A17349" t="str">
        <f>HYPERLINK("https://www.773grp.com/globalSearch/PAL16R4A-2MJB/page-1", "PAL16R4A-2MJB")</f>
        <v>PAL16R4A-2MJB</v>
      </c>
      <c r="B17349" s="3" t="s">
        <v>90</v>
      </c>
      <c r="C17349" s="5">
        <v>14</v>
      </c>
      <c r="D17349" s="6">
        <v>34.729999999999997</v>
      </c>
      <c r="E17349" t="s">
        <v>44</v>
      </c>
    </row>
    <row r="17350" spans="1:5" x14ac:dyDescent="0.25">
      <c r="A17350" t="str">
        <f>HYPERLINK("https://www.773grp.com/globalSearch/PAL16L8A-2MJ/page-1", "PAL16L8A-2MJ")</f>
        <v>PAL16L8A-2MJ</v>
      </c>
      <c r="B17350" s="3" t="s">
        <v>90</v>
      </c>
      <c r="C17350" s="5">
        <v>33</v>
      </c>
      <c r="D17350" s="6">
        <v>37.090000000000003</v>
      </c>
      <c r="E17350" t="s">
        <v>44</v>
      </c>
    </row>
    <row r="17351" spans="1:5" x14ac:dyDescent="0.25">
      <c r="A17351" t="str">
        <f>HYPERLINK("https://www.773grp.com/globalSearch/PAL16R6AMJ/page-1", "PAL16R6AMJ")</f>
        <v>PAL16R6AMJ</v>
      </c>
      <c r="B17351" s="3" t="s">
        <v>90</v>
      </c>
      <c r="C17351" s="5">
        <v>40</v>
      </c>
      <c r="D17351" s="6">
        <v>37.6</v>
      </c>
      <c r="E17351" t="s">
        <v>44</v>
      </c>
    </row>
    <row r="17352" spans="1:5" x14ac:dyDescent="0.25">
      <c r="A17352" t="str">
        <f>HYPERLINK("https://www.773grp.com/globalSearch/PAL16R8AMJ/page-1", "PAL16R8AMJ")</f>
        <v>PAL16R8AMJ</v>
      </c>
      <c r="B17352" s="3" t="s">
        <v>90</v>
      </c>
      <c r="C17352" s="5">
        <v>186</v>
      </c>
      <c r="D17352" s="6">
        <v>38.36</v>
      </c>
      <c r="E17352" t="s">
        <v>44</v>
      </c>
    </row>
    <row r="17353" spans="1:5" x14ac:dyDescent="0.25">
      <c r="A17353" t="str">
        <f>HYPERLINK("https://www.773grp.com/globalSearch/TIBPAL20R6-5CFN/page-1", "TIBPAL20R6-5CFN")</f>
        <v>TIBPAL20R6-5CFN</v>
      </c>
      <c r="B17353" s="3" t="s">
        <v>90</v>
      </c>
      <c r="C17353" s="5">
        <v>1699</v>
      </c>
      <c r="D17353" s="6">
        <v>39.58</v>
      </c>
      <c r="E17353" t="s">
        <v>44</v>
      </c>
    </row>
    <row r="17354" spans="1:5" x14ac:dyDescent="0.25">
      <c r="A17354" t="str">
        <f>HYPERLINK("https://www.773grp.com/globalSearch/TIBPAL20R6-5CNT/page-1", "TIBPAL20R6-5CNT")</f>
        <v>TIBPAL20R6-5CNT</v>
      </c>
      <c r="B17354" s="3" t="s">
        <v>90</v>
      </c>
      <c r="C17354" s="5">
        <v>1871</v>
      </c>
      <c r="D17354" s="6">
        <v>39.58</v>
      </c>
      <c r="E17354" t="s">
        <v>44</v>
      </c>
    </row>
    <row r="17355" spans="1:5" x14ac:dyDescent="0.25">
      <c r="A17355" t="str">
        <f>HYPERLINK("https://www.773grp.com/globalSearch/5962-8515506RA/page-1", "5962-8515506RA")</f>
        <v>5962-8515506RA</v>
      </c>
      <c r="B17355" s="3" t="s">
        <v>90</v>
      </c>
      <c r="C17355" s="5">
        <v>119</v>
      </c>
      <c r="D17355" s="6">
        <v>40.08</v>
      </c>
      <c r="E17355" t="s">
        <v>44</v>
      </c>
    </row>
    <row r="17356" spans="1:5" x14ac:dyDescent="0.25">
      <c r="A17356" t="str">
        <f>HYPERLINK("https://www.773grp.com/globalSearch/5962-8515507RA/page-1", "5962-8515507RA")</f>
        <v>5962-8515507RA</v>
      </c>
      <c r="B17356" s="3" t="s">
        <v>90</v>
      </c>
      <c r="C17356" s="5">
        <v>66</v>
      </c>
      <c r="D17356" s="6">
        <v>40.08</v>
      </c>
      <c r="E17356" t="s">
        <v>44</v>
      </c>
    </row>
    <row r="17357" spans="1:5" x14ac:dyDescent="0.25">
      <c r="A17357" t="str">
        <f>HYPERLINK("https://www.773grp.com/globalSearch/TIBPAL16R6-20MJB/page-1", "TIBPAL16R6-20MJB")</f>
        <v>TIBPAL16R6-20MJB</v>
      </c>
      <c r="B17357" s="3" t="s">
        <v>90</v>
      </c>
      <c r="C17357" s="5">
        <v>291</v>
      </c>
      <c r="D17357" s="6">
        <v>40.08</v>
      </c>
      <c r="E17357" t="s">
        <v>44</v>
      </c>
    </row>
    <row r="17358" spans="1:5" x14ac:dyDescent="0.25">
      <c r="A17358" t="str">
        <f>HYPERLINK("https://www.773grp.com/globalSearch/TIBPAL16R6-30MJB/page-1", "TIBPAL16R6-30MJB")</f>
        <v>TIBPAL16R6-30MJB</v>
      </c>
      <c r="B17358" s="3" t="s">
        <v>90</v>
      </c>
      <c r="C17358" s="5">
        <v>3</v>
      </c>
      <c r="D17358" s="6">
        <v>40.08</v>
      </c>
      <c r="E17358" t="s">
        <v>44</v>
      </c>
    </row>
    <row r="17359" spans="1:5" x14ac:dyDescent="0.25">
      <c r="A17359" t="str">
        <f>HYPERLINK("https://www.773grp.com/globalSearch/PAL16R4A-2MJ/page-1", "PAL16R4A-2MJ")</f>
        <v>PAL16R4A-2MJ</v>
      </c>
      <c r="B17359" s="3" t="s">
        <v>90</v>
      </c>
      <c r="C17359" s="5">
        <v>244</v>
      </c>
      <c r="D17359" s="6">
        <v>41.74</v>
      </c>
      <c r="E17359" t="s">
        <v>44</v>
      </c>
    </row>
    <row r="17360" spans="1:5" x14ac:dyDescent="0.25">
      <c r="A17360" t="str">
        <f>HYPERLINK("https://www.773grp.com/globalSearch/TIBPAL16R4-10MJB/page-1", "TIBPAL16R4-10MJB")</f>
        <v>TIBPAL16R4-10MJB</v>
      </c>
      <c r="B17360" s="3" t="s">
        <v>90</v>
      </c>
      <c r="C17360" s="5">
        <v>224</v>
      </c>
      <c r="D17360" s="6">
        <v>42.64</v>
      </c>
      <c r="E17360" t="s">
        <v>44</v>
      </c>
    </row>
    <row r="17361" spans="1:5" x14ac:dyDescent="0.25">
      <c r="A17361" t="str">
        <f>HYPERLINK("https://www.773grp.com/globalSearch/TIBPAL22V10-7CFN/page-1", "TIBPAL22V10-7CFN")</f>
        <v>TIBPAL22V10-7CFN</v>
      </c>
      <c r="B17361" s="3" t="s">
        <v>90</v>
      </c>
      <c r="C17361" s="5">
        <v>1699</v>
      </c>
      <c r="D17361" s="6">
        <v>43.34</v>
      </c>
      <c r="E17361" t="s">
        <v>44</v>
      </c>
    </row>
    <row r="17362" spans="1:5" x14ac:dyDescent="0.25">
      <c r="A17362" t="str">
        <f>HYPERLINK("https://www.773grp.com/globalSearch/TIBPAL22V10-7CNT/page-1", "TIBPAL22V10-7CNT")</f>
        <v>TIBPAL22V10-7CNT</v>
      </c>
      <c r="B17362" s="3" t="s">
        <v>90</v>
      </c>
      <c r="C17362" s="5">
        <v>3088</v>
      </c>
      <c r="D17362" s="6">
        <v>43.34</v>
      </c>
      <c r="E17362" t="s">
        <v>44</v>
      </c>
    </row>
    <row r="17363" spans="1:5" x14ac:dyDescent="0.25">
      <c r="A17363" t="str">
        <f>HYPERLINK("https://www.773grp.com/globalSearch/TIBPAL20L8-5CFN/page-1", "TIBPAL20L8-5CFN")</f>
        <v>TIBPAL20L8-5CFN</v>
      </c>
      <c r="B17363" s="3" t="s">
        <v>90</v>
      </c>
      <c r="C17363" s="5">
        <v>2686</v>
      </c>
      <c r="D17363" s="6">
        <v>45.4</v>
      </c>
      <c r="E17363" t="s">
        <v>44</v>
      </c>
    </row>
    <row r="17364" spans="1:5" x14ac:dyDescent="0.25">
      <c r="A17364" t="str">
        <f>HYPERLINK("https://www.773grp.com/globalSearch/TIBPAL20L8-5CNT/page-1", "TIBPAL20L8-5CNT")</f>
        <v>TIBPAL20L8-5CNT</v>
      </c>
      <c r="B17364" s="3" t="s">
        <v>90</v>
      </c>
      <c r="C17364" s="5">
        <v>723</v>
      </c>
      <c r="D17364" s="6">
        <v>45.4</v>
      </c>
      <c r="E17364" t="s">
        <v>44</v>
      </c>
    </row>
    <row r="17365" spans="1:5" x14ac:dyDescent="0.25">
      <c r="A17365" t="str">
        <f>HYPERLINK("https://www.773grp.com/globalSearch/TIBPAL16L8-20MJ/page-1", "TIBPAL16L8-20MJ")</f>
        <v>TIBPAL16L8-20MJ</v>
      </c>
      <c r="B17365" s="3" t="s">
        <v>90</v>
      </c>
      <c r="C17365" s="5">
        <v>37</v>
      </c>
      <c r="D17365" s="6">
        <v>46.91</v>
      </c>
      <c r="E17365" t="s">
        <v>44</v>
      </c>
    </row>
    <row r="17366" spans="1:5" x14ac:dyDescent="0.25">
      <c r="A17366" t="str">
        <f>HYPERLINK("https://www.773grp.com/globalSearch/PAL16L8AMJB/page-1", "PAL16L8AMJB")</f>
        <v>PAL16L8AMJB</v>
      </c>
      <c r="B17366" s="3" t="s">
        <v>90</v>
      </c>
      <c r="C17366" s="5">
        <v>14</v>
      </c>
      <c r="D17366" s="6">
        <v>49.66</v>
      </c>
      <c r="E17366" t="s">
        <v>44</v>
      </c>
    </row>
    <row r="17367" spans="1:5" x14ac:dyDescent="0.25">
      <c r="A17367" t="str">
        <f>HYPERLINK("https://www.773grp.com/globalSearch/8103610RA/page-1", "8103610RA")</f>
        <v>8103610RA</v>
      </c>
      <c r="B17367" s="3" t="s">
        <v>90</v>
      </c>
      <c r="C17367" s="5">
        <v>78</v>
      </c>
      <c r="D17367" s="6">
        <v>50.09</v>
      </c>
      <c r="E17367" t="s">
        <v>44</v>
      </c>
    </row>
    <row r="17368" spans="1:5" x14ac:dyDescent="0.25">
      <c r="A17368" t="str">
        <f>HYPERLINK("https://www.773grp.com/globalSearch/EP910JC-30/page-1", "EP910JC-30")</f>
        <v>EP910JC-30</v>
      </c>
      <c r="B17368" s="3" t="s">
        <v>90</v>
      </c>
      <c r="C17368" s="5">
        <v>11</v>
      </c>
      <c r="D17368" s="6">
        <v>50.24</v>
      </c>
      <c r="E17368" t="s">
        <v>44</v>
      </c>
    </row>
    <row r="17369" spans="1:5" x14ac:dyDescent="0.25">
      <c r="A17369" t="str">
        <f>HYPERLINK("https://www.773grp.com/globalSearch/5962-8515508RA/page-1", "5962-8515508RA")</f>
        <v>5962-8515508RA</v>
      </c>
      <c r="B17369" s="3" t="s">
        <v>90</v>
      </c>
      <c r="C17369" s="5">
        <v>79</v>
      </c>
      <c r="D17369" s="6">
        <v>51.08</v>
      </c>
      <c r="E17369" t="s">
        <v>44</v>
      </c>
    </row>
    <row r="17370" spans="1:5" x14ac:dyDescent="0.25">
      <c r="A17370" t="str">
        <f>HYPERLINK("https://www.773grp.com/globalSearch/TIBPAL16R6-15MJ/page-1", "TIBPAL16R6-15MJ")</f>
        <v>TIBPAL16R6-15MJ</v>
      </c>
      <c r="B17370" s="3" t="s">
        <v>90</v>
      </c>
      <c r="C17370" s="5">
        <v>221</v>
      </c>
      <c r="D17370" s="6">
        <v>51.55</v>
      </c>
      <c r="E17370" t="s">
        <v>44</v>
      </c>
    </row>
    <row r="17371" spans="1:5" x14ac:dyDescent="0.25">
      <c r="A17371" t="str">
        <f>HYPERLINK("https://www.773grp.com/globalSearch/5962-8515504RA/page-1", "5962-8515504RA")</f>
        <v>5962-8515504RA</v>
      </c>
      <c r="B17371" s="3" t="s">
        <v>90</v>
      </c>
      <c r="C17371" s="5">
        <v>124</v>
      </c>
      <c r="D17371" s="6">
        <v>52.45</v>
      </c>
      <c r="E17371" t="s">
        <v>44</v>
      </c>
    </row>
    <row r="17372" spans="1:5" x14ac:dyDescent="0.25">
      <c r="A17372" t="str">
        <f>HYPERLINK("https://www.773grp.com/globalSearch/TIBPAL16L8-20MJB/page-1", "TIBPAL16L8-20MJB")</f>
        <v>TIBPAL16L8-20MJB</v>
      </c>
      <c r="B17372" s="3" t="s">
        <v>90</v>
      </c>
      <c r="C17372" s="5">
        <v>6</v>
      </c>
      <c r="D17372" s="6">
        <v>53.5</v>
      </c>
      <c r="E17372" t="s">
        <v>44</v>
      </c>
    </row>
    <row r="17373" spans="1:5" x14ac:dyDescent="0.25">
      <c r="A17373" t="str">
        <f>HYPERLINK("https://www.773grp.com/globalSearch/5962-8515505RA/page-1", "5962-8515505RA")</f>
        <v>5962-8515505RA</v>
      </c>
      <c r="B17373" s="3" t="s">
        <v>90</v>
      </c>
      <c r="C17373" s="5">
        <v>5</v>
      </c>
      <c r="D17373" s="6">
        <v>54.34</v>
      </c>
      <c r="E17373" t="s">
        <v>44</v>
      </c>
    </row>
    <row r="17374" spans="1:5" x14ac:dyDescent="0.25">
      <c r="A17374" t="str">
        <f>HYPERLINK("https://www.773grp.com/globalSearch/TIBPAL16L8-30MJB/page-1", "TIBPAL16L8-30MJB")</f>
        <v>TIBPAL16L8-30MJB</v>
      </c>
      <c r="B17374" s="3" t="s">
        <v>90</v>
      </c>
      <c r="C17374" s="5">
        <v>2</v>
      </c>
      <c r="D17374" s="6">
        <v>54.34</v>
      </c>
      <c r="E17374" t="s">
        <v>44</v>
      </c>
    </row>
    <row r="17375" spans="1:5" x14ac:dyDescent="0.25">
      <c r="A17375" t="str">
        <f>HYPERLINK("https://www.773grp.com/globalSearch/81036122A/page-1", "81036122A")</f>
        <v>81036122A</v>
      </c>
      <c r="B17375" s="3" t="s">
        <v>90</v>
      </c>
      <c r="C17375" s="5">
        <v>82</v>
      </c>
      <c r="D17375" s="6">
        <v>56.25</v>
      </c>
      <c r="E17375" t="s">
        <v>44</v>
      </c>
    </row>
    <row r="17376" spans="1:5" x14ac:dyDescent="0.25">
      <c r="A17376" t="str">
        <f>HYPERLINK("https://www.773grp.com/globalSearch/81036102A/page-1", "81036102A")</f>
        <v>81036102A</v>
      </c>
      <c r="B17376" s="3" t="s">
        <v>90</v>
      </c>
      <c r="C17376" s="5">
        <v>11</v>
      </c>
      <c r="D17376" s="6">
        <v>57.21</v>
      </c>
      <c r="E17376" t="s">
        <v>44</v>
      </c>
    </row>
    <row r="17377" spans="1:5" x14ac:dyDescent="0.25">
      <c r="A17377" t="str">
        <f>HYPERLINK("https://www.773grp.com/globalSearch/PAL16R4AMFKB/page-1", "PAL16R4AMFKB")</f>
        <v>PAL16R4AMFKB</v>
      </c>
      <c r="B17377" s="3" t="s">
        <v>90</v>
      </c>
      <c r="C17377" s="5">
        <v>70</v>
      </c>
      <c r="D17377" s="6">
        <v>57.21</v>
      </c>
      <c r="E17377" t="s">
        <v>44</v>
      </c>
    </row>
    <row r="17378" spans="1:5" x14ac:dyDescent="0.25">
      <c r="A17378" t="str">
        <f>HYPERLINK("https://www.773grp.com/globalSearch/81036142A/page-1", "81036142A")</f>
        <v>81036142A</v>
      </c>
      <c r="B17378" s="3" t="s">
        <v>90</v>
      </c>
      <c r="C17378" s="5">
        <v>5</v>
      </c>
      <c r="D17378" s="6">
        <v>59.54</v>
      </c>
      <c r="E17378" t="s">
        <v>44</v>
      </c>
    </row>
    <row r="17379" spans="1:5" x14ac:dyDescent="0.25">
      <c r="A17379" t="str">
        <f>HYPERLINK("https://www.773grp.com/globalSearch/PAL16R4A-2MFKB/page-1", "PAL16R4A-2MFKB")</f>
        <v>PAL16R4A-2MFKB</v>
      </c>
      <c r="B17379" s="3" t="s">
        <v>90</v>
      </c>
      <c r="C17379" s="5">
        <v>5</v>
      </c>
      <c r="D17379" s="6">
        <v>59.54</v>
      </c>
      <c r="E17379" t="s">
        <v>44</v>
      </c>
    </row>
    <row r="17380" spans="1:5" x14ac:dyDescent="0.25">
      <c r="A17380" t="str">
        <f>HYPERLINK("https://www.773grp.com/globalSearch/81036072A/page-1", "81036072A")</f>
        <v>81036072A</v>
      </c>
      <c r="B17380" s="3" t="s">
        <v>90</v>
      </c>
      <c r="C17380" s="5">
        <v>60</v>
      </c>
      <c r="D17380" s="6">
        <v>62.55</v>
      </c>
      <c r="E17380" t="s">
        <v>44</v>
      </c>
    </row>
    <row r="17381" spans="1:5" x14ac:dyDescent="0.25">
      <c r="A17381" t="str">
        <f>HYPERLINK("https://www.773grp.com/globalSearch/5962-8515510RA/page-1", "5962-8515510RA")</f>
        <v>5962-8515510RA</v>
      </c>
      <c r="B17381" s="3" t="s">
        <v>90</v>
      </c>
      <c r="C17381" s="5">
        <v>139</v>
      </c>
      <c r="D17381" s="6">
        <v>63.25</v>
      </c>
      <c r="E17381" t="s">
        <v>44</v>
      </c>
    </row>
    <row r="17382" spans="1:5" x14ac:dyDescent="0.25">
      <c r="A17382" t="str">
        <f>HYPERLINK("https://www.773grp.com/globalSearch/TIBPAL20R8-20MJT/page-1", "TIBPAL20R8-20MJT")</f>
        <v>TIBPAL20R8-20MJT</v>
      </c>
      <c r="B17382" s="3" t="s">
        <v>90</v>
      </c>
      <c r="C17382" s="5">
        <v>110</v>
      </c>
      <c r="D17382" s="6">
        <v>63.25</v>
      </c>
      <c r="E17382" t="s">
        <v>44</v>
      </c>
    </row>
    <row r="17383" spans="1:5" x14ac:dyDescent="0.25">
      <c r="A17383" t="str">
        <f>HYPERLINK("https://www.773grp.com/globalSearch/5962-85155022A/page-1", "5962-85155022A")</f>
        <v>5962-85155022A</v>
      </c>
      <c r="B17383" s="3" t="s">
        <v>90</v>
      </c>
      <c r="C17383" s="5">
        <v>1</v>
      </c>
      <c r="D17383" s="6">
        <v>68.400000000000006</v>
      </c>
      <c r="E17383" t="s">
        <v>44</v>
      </c>
    </row>
    <row r="17384" spans="1:5" x14ac:dyDescent="0.25">
      <c r="A17384" t="str">
        <f>HYPERLINK("https://www.773grp.com/globalSearch/8412903LA/page-1", "8412903LA")</f>
        <v>8412903LA</v>
      </c>
      <c r="B17384" s="3" t="s">
        <v>90</v>
      </c>
      <c r="C17384" s="5">
        <v>4</v>
      </c>
      <c r="D17384" s="6">
        <v>74.5</v>
      </c>
      <c r="E17384" t="s">
        <v>44</v>
      </c>
    </row>
    <row r="17385" spans="1:5" x14ac:dyDescent="0.25">
      <c r="A17385" t="str">
        <f>HYPERLINK("https://www.773grp.com/globalSearch/TIBPAL20R4-20MJTB/page-1", "TIBPAL20R4-20MJTB")</f>
        <v>TIBPAL20R4-20MJTB</v>
      </c>
      <c r="B17385" s="3" t="s">
        <v>90</v>
      </c>
      <c r="C17385" s="5">
        <v>223</v>
      </c>
      <c r="D17385" s="6">
        <v>75.44</v>
      </c>
      <c r="E17385" t="s">
        <v>44</v>
      </c>
    </row>
    <row r="17386" spans="1:5" x14ac:dyDescent="0.25">
      <c r="A17386" t="str">
        <f>HYPERLINK("https://www.773grp.com/globalSearch/5962-85155052A/page-1", "5962-85155052A")</f>
        <v>5962-85155052A</v>
      </c>
      <c r="B17386" s="3" t="s">
        <v>90</v>
      </c>
      <c r="C17386" s="5">
        <v>350</v>
      </c>
      <c r="D17386" s="6">
        <v>75.459999999999994</v>
      </c>
      <c r="E17386" t="s">
        <v>44</v>
      </c>
    </row>
    <row r="17387" spans="1:5" x14ac:dyDescent="0.25">
      <c r="A17387" t="str">
        <f>HYPERLINK("https://www.773grp.com/globalSearch/TIBPAL16L8-30MFKB/page-1", "TIBPAL16L8-30MFKB")</f>
        <v>TIBPAL16L8-30MFKB</v>
      </c>
      <c r="B17387" s="3" t="s">
        <v>90</v>
      </c>
      <c r="C17387" s="5">
        <v>6</v>
      </c>
      <c r="D17387" s="6">
        <v>75.459999999999994</v>
      </c>
      <c r="E17387" t="s">
        <v>44</v>
      </c>
    </row>
    <row r="17388" spans="1:5" x14ac:dyDescent="0.25">
      <c r="A17388" t="str">
        <f>HYPERLINK("https://www.773grp.com/globalSearch/5962-85155012A/page-1", "5962-85155012A")</f>
        <v>5962-85155012A</v>
      </c>
      <c r="B17388" s="3" t="s">
        <v>90</v>
      </c>
      <c r="C17388" s="5">
        <v>266</v>
      </c>
      <c r="D17388" s="6">
        <v>75.739999999999995</v>
      </c>
      <c r="E17388" t="s">
        <v>44</v>
      </c>
    </row>
    <row r="17389" spans="1:5" x14ac:dyDescent="0.25">
      <c r="A17389" t="str">
        <f>HYPERLINK("https://www.773grp.com/globalSearch/5962-85155042A/page-1", "5962-85155042A")</f>
        <v>5962-85155042A</v>
      </c>
      <c r="B17389" s="3" t="s">
        <v>90</v>
      </c>
      <c r="C17389" s="5">
        <v>22</v>
      </c>
      <c r="D17389" s="6">
        <v>75.78</v>
      </c>
      <c r="E17389" t="s">
        <v>44</v>
      </c>
    </row>
    <row r="17390" spans="1:5" x14ac:dyDescent="0.25">
      <c r="A17390" t="str">
        <f>HYPERLINK("https://www.773grp.com/globalSearch/8412904LA/page-1", "8412904LA")</f>
        <v>8412904LA</v>
      </c>
      <c r="B17390" s="3" t="s">
        <v>90</v>
      </c>
      <c r="C17390" s="5">
        <v>17</v>
      </c>
      <c r="D17390" s="6">
        <v>76.86</v>
      </c>
      <c r="E17390" t="s">
        <v>44</v>
      </c>
    </row>
    <row r="17391" spans="1:5" x14ac:dyDescent="0.25">
      <c r="A17391" t="str">
        <f>HYPERLINK("https://www.773grp.com/globalSearch/5962-8515512RA/page-1", "5962-8515512RA")</f>
        <v>5962-8515512RA</v>
      </c>
      <c r="B17391" s="3" t="s">
        <v>90</v>
      </c>
      <c r="C17391" s="5">
        <v>32</v>
      </c>
      <c r="D17391" s="6">
        <v>79.599999999999994</v>
      </c>
      <c r="E17391" t="s">
        <v>44</v>
      </c>
    </row>
    <row r="17392" spans="1:5" x14ac:dyDescent="0.25">
      <c r="A17392" t="str">
        <f>HYPERLINK("https://www.773grp.com/globalSearch/TIBPAL16R4-15MJB/page-1", "TIBPAL16R4-15MJB")</f>
        <v>TIBPAL16R4-15MJB</v>
      </c>
      <c r="B17392" s="3" t="s">
        <v>90</v>
      </c>
      <c r="C17392" s="5">
        <v>503</v>
      </c>
      <c r="D17392" s="6">
        <v>79.599999999999994</v>
      </c>
      <c r="E17392" t="s">
        <v>44</v>
      </c>
    </row>
    <row r="17393" spans="1:5" x14ac:dyDescent="0.25">
      <c r="A17393" t="str">
        <f>HYPERLINK("https://www.773grp.com/globalSearch/5962-8515509RA/page-1", "5962-8515509RA")</f>
        <v>5962-8515509RA</v>
      </c>
      <c r="B17393" s="3" t="s">
        <v>90</v>
      </c>
      <c r="C17393" s="5">
        <v>1465</v>
      </c>
      <c r="D17393" s="6">
        <v>79.69</v>
      </c>
      <c r="E17393" t="s">
        <v>44</v>
      </c>
    </row>
    <row r="17394" spans="1:5" x14ac:dyDescent="0.25">
      <c r="A17394" t="str">
        <f>HYPERLINK("https://www.773grp.com/globalSearch/8412901LA/page-1", "8412901LA")</f>
        <v>8412901LA</v>
      </c>
      <c r="B17394" s="3" t="s">
        <v>90</v>
      </c>
      <c r="C17394" s="5">
        <v>17</v>
      </c>
      <c r="D17394" s="6">
        <v>88.13</v>
      </c>
      <c r="E17394" t="s">
        <v>44</v>
      </c>
    </row>
    <row r="17395" spans="1:5" x14ac:dyDescent="0.25">
      <c r="A17395" t="str">
        <f>HYPERLINK("https://www.773grp.com/globalSearch/5962-8767101LA/page-1", "5962-8767101LA")</f>
        <v>5962-8767101LA</v>
      </c>
      <c r="B17395" s="3" t="s">
        <v>90</v>
      </c>
      <c r="C17395" s="5">
        <v>82</v>
      </c>
      <c r="D17395" s="6">
        <v>88.34</v>
      </c>
      <c r="E17395" t="s">
        <v>44</v>
      </c>
    </row>
    <row r="17396" spans="1:5" x14ac:dyDescent="0.25">
      <c r="A17396" t="str">
        <f>HYPERLINK("https://www.773grp.com/globalSearch/8103614SA/page-1", "8103614SA")</f>
        <v>8103614SA</v>
      </c>
      <c r="B17396" s="3" t="s">
        <v>90</v>
      </c>
      <c r="C17396" s="5">
        <v>24</v>
      </c>
      <c r="D17396" s="6">
        <v>89.44</v>
      </c>
      <c r="E17396" t="s">
        <v>44</v>
      </c>
    </row>
    <row r="17397" spans="1:5" x14ac:dyDescent="0.25">
      <c r="A17397" t="str">
        <f>HYPERLINK("https://www.773grp.com/globalSearch/5962-8767104KA/page-1", "5962-8767104KA")</f>
        <v>5962-8767104KA</v>
      </c>
      <c r="B17397" s="3" t="s">
        <v>90</v>
      </c>
      <c r="C17397" s="5">
        <v>176</v>
      </c>
      <c r="D17397" s="6">
        <v>90.88</v>
      </c>
      <c r="E17397" t="s">
        <v>44</v>
      </c>
    </row>
    <row r="17398" spans="1:5" x14ac:dyDescent="0.25">
      <c r="A17398" t="str">
        <f>HYPERLINK("https://www.773grp.com/globalSearch/5962-8515503SA/page-1", "5962-8515503SA")</f>
        <v>5962-8515503SA</v>
      </c>
      <c r="B17398" s="3" t="s">
        <v>90</v>
      </c>
      <c r="C17398" s="5">
        <v>2</v>
      </c>
      <c r="D17398" s="6">
        <v>94.34</v>
      </c>
      <c r="E17398" t="s">
        <v>44</v>
      </c>
    </row>
    <row r="17399" spans="1:5" x14ac:dyDescent="0.25">
      <c r="A17399" t="str">
        <f>HYPERLINK("https://www.773grp.com/globalSearch/TIBPAL16R8-30MWB/page-1", "TIBPAL16R8-30MWB")</f>
        <v>TIBPAL16R8-30MWB</v>
      </c>
      <c r="B17399" s="3" t="s">
        <v>90</v>
      </c>
      <c r="C17399" s="5">
        <v>77</v>
      </c>
      <c r="D17399" s="6">
        <v>94.34</v>
      </c>
      <c r="E17399" t="s">
        <v>44</v>
      </c>
    </row>
    <row r="17400" spans="1:5" x14ac:dyDescent="0.25">
      <c r="A17400" t="str">
        <f>HYPERLINK("https://www.773grp.com/globalSearch/TIBPAL22V10AMJT/page-1", "TIBPAL22V10AMJT")</f>
        <v>TIBPAL22V10AMJT</v>
      </c>
      <c r="B17400" s="3" t="s">
        <v>90</v>
      </c>
      <c r="C17400" s="5">
        <v>1</v>
      </c>
      <c r="D17400" s="6">
        <v>94.34</v>
      </c>
      <c r="E17400" t="s">
        <v>44</v>
      </c>
    </row>
    <row r="17401" spans="1:5" x14ac:dyDescent="0.25">
      <c r="A17401" t="str">
        <f>HYPERLINK("https://www.773grp.com/globalSearch/5962-85155102A/page-1", "5962-85155102A")</f>
        <v>5962-85155102A</v>
      </c>
      <c r="B17401" s="3" t="s">
        <v>90</v>
      </c>
      <c r="C17401" s="5">
        <v>11</v>
      </c>
      <c r="D17401" s="6">
        <v>95.63</v>
      </c>
      <c r="E17401" t="s">
        <v>44</v>
      </c>
    </row>
    <row r="17402" spans="1:5" x14ac:dyDescent="0.25">
      <c r="A17402" t="str">
        <f>HYPERLINK("https://www.773grp.com/globalSearch/5962-87671043A/page-1", "5962-87671043A")</f>
        <v>5962-87671043A</v>
      </c>
      <c r="B17402" s="3" t="s">
        <v>90</v>
      </c>
      <c r="C17402" s="5">
        <v>41</v>
      </c>
      <c r="D17402" s="6">
        <v>95.96</v>
      </c>
      <c r="E17402" t="s">
        <v>44</v>
      </c>
    </row>
    <row r="17403" spans="1:5" x14ac:dyDescent="0.25">
      <c r="A17403" t="str">
        <f>HYPERLINK("https://www.773grp.com/globalSearch/5962-8515508SA/page-1", "5962-8515508SA")</f>
        <v>5962-8515508SA</v>
      </c>
      <c r="B17403" s="3" t="s">
        <v>90</v>
      </c>
      <c r="C17403" s="5">
        <v>175</v>
      </c>
      <c r="D17403" s="6">
        <v>104.13</v>
      </c>
      <c r="E17403" t="s">
        <v>44</v>
      </c>
    </row>
    <row r="17404" spans="1:5" x14ac:dyDescent="0.25">
      <c r="A17404" t="str">
        <f>HYPERLINK("https://www.773grp.com/globalSearch/5962-85155092A/page-1", "5962-85155092A")</f>
        <v>5962-85155092A</v>
      </c>
      <c r="B17404" s="3" t="s">
        <v>90</v>
      </c>
      <c r="C17404" s="5">
        <v>75</v>
      </c>
      <c r="D17404" s="6">
        <v>104.24</v>
      </c>
      <c r="E17404" t="s">
        <v>44</v>
      </c>
    </row>
    <row r="17405" spans="1:5" x14ac:dyDescent="0.25">
      <c r="A17405" t="str">
        <f>HYPERLINK("https://www.773grp.com/globalSearch/TIBPAL16L8-15MFKB/page-1", "TIBPAL16L8-15MFKB")</f>
        <v>TIBPAL16L8-15MFKB</v>
      </c>
      <c r="B17405" s="3" t="s">
        <v>90</v>
      </c>
      <c r="C17405" s="5">
        <v>22</v>
      </c>
      <c r="D17405" s="6">
        <v>104.24</v>
      </c>
      <c r="E17405" t="s">
        <v>44</v>
      </c>
    </row>
    <row r="17406" spans="1:5" x14ac:dyDescent="0.25">
      <c r="A17406" t="str">
        <f>HYPERLINK("https://www.773grp.com/globalSearch/8103610SA/page-1", "8103610SA")</f>
        <v>8103610SA</v>
      </c>
      <c r="B17406" s="3" t="s">
        <v>90</v>
      </c>
      <c r="C17406" s="5">
        <v>1</v>
      </c>
      <c r="D17406" s="6">
        <v>104.54</v>
      </c>
      <c r="E17406" t="s">
        <v>44</v>
      </c>
    </row>
    <row r="17407" spans="1:5" x14ac:dyDescent="0.25">
      <c r="A17407" t="str">
        <f>HYPERLINK("https://www.773grp.com/globalSearch/5962-8515515RA/page-1", "5962-8515515RA")</f>
        <v>5962-8515515RA</v>
      </c>
      <c r="B17407" s="3" t="s">
        <v>90</v>
      </c>
      <c r="C17407" s="5">
        <v>16</v>
      </c>
      <c r="D17407" s="6">
        <v>116.15</v>
      </c>
      <c r="E17407" t="s">
        <v>44</v>
      </c>
    </row>
    <row r="17408" spans="1:5" x14ac:dyDescent="0.25">
      <c r="A17408" t="str">
        <f>HYPERLINK("https://www.773grp.com/globalSearch/5962-8515513RA/page-1", "5962-8515513RA")</f>
        <v>5962-8515513RA</v>
      </c>
      <c r="B17408" s="3" t="s">
        <v>90</v>
      </c>
      <c r="C17408" s="5">
        <v>28</v>
      </c>
      <c r="D17408" s="6">
        <v>117.9</v>
      </c>
      <c r="E17408" t="s">
        <v>44</v>
      </c>
    </row>
    <row r="17409" spans="1:5" x14ac:dyDescent="0.25">
      <c r="A17409" t="str">
        <f>HYPERLINK("https://www.773grp.com/globalSearch/TIBPAL16L8-12MJB/page-1", "TIBPAL16L8-12MJB")</f>
        <v>TIBPAL16L8-12MJB</v>
      </c>
      <c r="B17409" s="3" t="s">
        <v>90</v>
      </c>
      <c r="C17409" s="5">
        <v>16</v>
      </c>
      <c r="D17409" s="6">
        <v>117.9</v>
      </c>
      <c r="E17409" t="s">
        <v>44</v>
      </c>
    </row>
    <row r="17410" spans="1:5" x14ac:dyDescent="0.25">
      <c r="A17410" t="str">
        <f>HYPERLINK("https://www.773grp.com/globalSearch/TIBPAL16R8-10MJB/page-1", "TIBPAL16R8-10MJB")</f>
        <v>TIBPAL16R8-10MJB</v>
      </c>
      <c r="B17410" s="3" t="s">
        <v>90</v>
      </c>
      <c r="C17410" s="5">
        <v>11</v>
      </c>
      <c r="D17410" s="6">
        <v>117.9</v>
      </c>
      <c r="E17410" t="s">
        <v>44</v>
      </c>
    </row>
    <row r="17411" spans="1:5" x14ac:dyDescent="0.25">
      <c r="A17411" t="str">
        <f>HYPERLINK("https://www.773grp.com/globalSearch/5962-8515511SA/page-1", "5962-8515511SA")</f>
        <v>5962-8515511SA</v>
      </c>
      <c r="B17411" s="3" t="s">
        <v>90</v>
      </c>
      <c r="C17411" s="5">
        <v>7</v>
      </c>
      <c r="D17411" s="6">
        <v>125.08</v>
      </c>
      <c r="E17411" t="s">
        <v>44</v>
      </c>
    </row>
    <row r="17412" spans="1:5" x14ac:dyDescent="0.25">
      <c r="A17412" t="str">
        <f>HYPERLINK("https://www.773grp.com/globalSearch/TIBPAL16R6-15MWB/page-1", "TIBPAL16R6-15MWB")</f>
        <v>TIBPAL16R6-15MWB</v>
      </c>
      <c r="B17412" s="3" t="s">
        <v>90</v>
      </c>
      <c r="C17412" s="5">
        <v>143</v>
      </c>
      <c r="D17412" s="6">
        <v>125.08</v>
      </c>
      <c r="E17412" t="s">
        <v>44</v>
      </c>
    </row>
    <row r="17413" spans="1:5" x14ac:dyDescent="0.25">
      <c r="A17413" t="str">
        <f>HYPERLINK("https://www.773grp.com/globalSearch/5962-8515512SA/page-1", "5962-8515512SA")</f>
        <v>5962-8515512SA</v>
      </c>
      <c r="B17413" s="3" t="s">
        <v>90</v>
      </c>
      <c r="C17413" s="5">
        <v>17</v>
      </c>
      <c r="D17413" s="6">
        <v>126.6</v>
      </c>
      <c r="E17413" t="s">
        <v>44</v>
      </c>
    </row>
    <row r="17414" spans="1:5" x14ac:dyDescent="0.25">
      <c r="A17414" t="str">
        <f>HYPERLINK("https://www.773grp.com/globalSearch/TIBPAL16L8-12MFKB/page-1", "TIBPAL16L8-12MFKB")</f>
        <v>TIBPAL16L8-12MFKB</v>
      </c>
      <c r="B17414" s="3" t="s">
        <v>90</v>
      </c>
      <c r="C17414" s="5">
        <v>45</v>
      </c>
      <c r="D17414" s="6">
        <v>128.93</v>
      </c>
      <c r="E17414" t="s">
        <v>44</v>
      </c>
    </row>
    <row r="17415" spans="1:5" x14ac:dyDescent="0.25">
      <c r="A17415" t="str">
        <f>HYPERLINK("https://www.773grp.com/globalSearch/TIBPAL16R8-10MWB/page-1", "TIBPAL16R8-10MWB")</f>
        <v>TIBPAL16R8-10MWB</v>
      </c>
      <c r="B17415" s="3" t="s">
        <v>90</v>
      </c>
      <c r="C17415" s="5">
        <v>25</v>
      </c>
      <c r="D17415" s="6">
        <v>130.16</v>
      </c>
      <c r="E17415" t="s">
        <v>44</v>
      </c>
    </row>
    <row r="17416" spans="1:5" x14ac:dyDescent="0.25">
      <c r="A17416" t="str">
        <f>HYPERLINK("https://www.773grp.com/globalSearch/JM38510-50603BRA/page-1", "JM38510-50603BRA")</f>
        <v>JM38510-50603BRA</v>
      </c>
      <c r="B17416" s="3" t="s">
        <v>90</v>
      </c>
      <c r="C17416" s="5">
        <v>240</v>
      </c>
      <c r="D17416" s="6">
        <v>130.22999999999999</v>
      </c>
      <c r="E17416" t="s">
        <v>44</v>
      </c>
    </row>
    <row r="17417" spans="1:5" x14ac:dyDescent="0.25">
      <c r="A17417" t="str">
        <f>HYPERLINK("https://www.773grp.com/globalSearch/TIBPAL16R8-12MFKB/page-1", "TIBPAL16R8-12MFKB")</f>
        <v>TIBPAL16R8-12MFKB</v>
      </c>
      <c r="B17417" s="3" t="s">
        <v>90</v>
      </c>
      <c r="C17417" s="5">
        <v>57</v>
      </c>
      <c r="D17417" s="6">
        <v>135.93</v>
      </c>
      <c r="E17417" t="s">
        <v>44</v>
      </c>
    </row>
    <row r="17418" spans="1:5" x14ac:dyDescent="0.25">
      <c r="A17418" t="str">
        <f>HYPERLINK("https://www.773grp.com/globalSearch/5962-8605301KA/page-1", "5962-8605301KA")</f>
        <v>5962-8605301KA</v>
      </c>
      <c r="B17418" s="3" t="s">
        <v>90</v>
      </c>
      <c r="C17418" s="5">
        <v>117</v>
      </c>
      <c r="D17418" s="6">
        <v>136.78</v>
      </c>
      <c r="E17418" t="s">
        <v>44</v>
      </c>
    </row>
    <row r="17419" spans="1:5" x14ac:dyDescent="0.25">
      <c r="A17419" t="str">
        <f>HYPERLINK("https://www.773grp.com/globalSearch/TIBPAL16R8-7MJB/page-1", "TIBPAL16R8-7MJB")</f>
        <v>TIBPAL16R8-7MJB</v>
      </c>
      <c r="B17419" s="3" t="str">
        <f>HYPERLINK("https://www.773grp.com/manufacturer/texas-instruments?pageNo=99", "Texas Instruments")</f>
        <v>Texas Instruments</v>
      </c>
      <c r="C17419" s="5">
        <v>570</v>
      </c>
      <c r="D17419" s="6">
        <v>142.38999999999999</v>
      </c>
      <c r="E17419" t="s">
        <v>44</v>
      </c>
    </row>
    <row r="17420" spans="1:5" x14ac:dyDescent="0.25">
      <c r="A17420" t="str">
        <f>HYPERLINK("https://www.773grp.com/globalSearch/5962-8515509SA/page-1", "5962-8515509SA")</f>
        <v>5962-8515509SA</v>
      </c>
      <c r="B17420" s="3" t="str">
        <f>HYPERLINK("https://www.773grp.com/manufacturer/texas-instruments?pageNo=116", "Texas Instruments")</f>
        <v>Texas Instruments</v>
      </c>
      <c r="C17420" s="5">
        <v>2</v>
      </c>
      <c r="D17420" s="6">
        <v>145.43</v>
      </c>
      <c r="E17420" t="s">
        <v>44</v>
      </c>
    </row>
    <row r="17421" spans="1:5" x14ac:dyDescent="0.25">
      <c r="A17421" t="str">
        <f>HYPERLINK("https://www.773grp.com/globalSearch/TIBPAL16L8-15MWB/page-1", "TIBPAL16L8-15MWB")</f>
        <v>TIBPAL16L8-15MWB</v>
      </c>
      <c r="B17421" s="3" t="str">
        <f>HYPERLINK("https://www.773grp.com/manufacturer/texas-instruments?pageNo=117", "Texas Instruments")</f>
        <v>Texas Instruments</v>
      </c>
      <c r="C17421" s="5">
        <v>1</v>
      </c>
      <c r="D17421" s="6">
        <v>145.43</v>
      </c>
      <c r="E17421" t="s">
        <v>44</v>
      </c>
    </row>
    <row r="17422" spans="1:5" x14ac:dyDescent="0.25">
      <c r="A17422" t="str">
        <f>HYPERLINK("https://www.773grp.com/globalSearch/5962-8605304LA/page-1", "5962-8605304LA")</f>
        <v>5962-8605304LA</v>
      </c>
      <c r="B17422" s="3" t="str">
        <f>HYPERLINK("https://www.773grp.com/manufacturer/texas-instruments?pageNo=170", "Texas Instruments")</f>
        <v>Texas Instruments</v>
      </c>
      <c r="C17422" s="5">
        <v>294</v>
      </c>
      <c r="D17422" s="6">
        <v>150.44</v>
      </c>
      <c r="E17422" t="s">
        <v>44</v>
      </c>
    </row>
    <row r="17423" spans="1:5" x14ac:dyDescent="0.25">
      <c r="A17423" t="str">
        <f>HYPERLINK("https://www.773grp.com/globalSearch/TIBPAL20R6-10MJTB/page-1", "TIBPAL20R6-10MJTB")</f>
        <v>TIBPAL20R6-10MJTB</v>
      </c>
      <c r="B17423" s="3" t="str">
        <f>HYPERLINK("https://www.773grp.com/manufacturer/texas-instruments?pageNo=206", "Texas Instruments")</f>
        <v>Texas Instruments</v>
      </c>
      <c r="C17423" s="5">
        <v>191</v>
      </c>
      <c r="D17423" s="6">
        <v>157.47999999999999</v>
      </c>
      <c r="E17423" t="s">
        <v>44</v>
      </c>
    </row>
    <row r="17424" spans="1:5" x14ac:dyDescent="0.25">
      <c r="A17424" t="str">
        <f>HYPERLINK("https://www.773grp.com/globalSearch/JM38510-50606BRA/page-1", "JM38510-50606BRA")</f>
        <v>JM38510-50606BRA</v>
      </c>
      <c r="B17424" s="3" t="str">
        <f>HYPERLINK("https://www.773grp.com/manufacturer/texas-instruments?pageNo=220", "Texas Instruments")</f>
        <v>Texas Instruments</v>
      </c>
      <c r="C17424" s="5">
        <v>162</v>
      </c>
      <c r="D17424" s="6">
        <v>160.94999999999999</v>
      </c>
      <c r="E17424" t="s">
        <v>44</v>
      </c>
    </row>
    <row r="17425" spans="1:5" x14ac:dyDescent="0.25">
      <c r="A17425" t="str">
        <f>HYPERLINK("https://www.773grp.com/globalSearch/JM38510-50607BRA/page-1", "JM38510-50607BRA")</f>
        <v>JM38510-50607BRA</v>
      </c>
      <c r="B17425" s="3" t="str">
        <f>HYPERLINK("https://www.773grp.com/manufacturer/texas-instruments?pageNo=221", "Texas Instruments")</f>
        <v>Texas Instruments</v>
      </c>
      <c r="C17425" s="5">
        <v>615</v>
      </c>
      <c r="D17425" s="6">
        <v>161.55000000000001</v>
      </c>
      <c r="E17425" t="s">
        <v>44</v>
      </c>
    </row>
    <row r="17426" spans="1:5" x14ac:dyDescent="0.25">
      <c r="A17426" t="str">
        <f>HYPERLINK("https://www.773grp.com/globalSearch/5962-8515519SA/page-1", "5962-8515519SA")</f>
        <v>5962-8515519SA</v>
      </c>
      <c r="B17426" s="3" t="str">
        <f>HYPERLINK("https://www.773grp.com/manufacturer/texas-instruments?pageNo=222", "Texas Instruments")</f>
        <v>Texas Instruments</v>
      </c>
      <c r="C17426" s="5">
        <v>130</v>
      </c>
      <c r="D17426" s="6">
        <v>161.69999999999999</v>
      </c>
      <c r="E17426" t="s">
        <v>44</v>
      </c>
    </row>
    <row r="17427" spans="1:5" x14ac:dyDescent="0.25">
      <c r="A17427" t="str">
        <f>HYPERLINK("https://www.773grp.com/globalSearch/5962-85155182A/page-1", "5962-85155182A")</f>
        <v>5962-85155182A</v>
      </c>
      <c r="B17427" s="3" t="str">
        <f>HYPERLINK("https://www.773grp.com/manufacturer/texas-instruments?pageNo=228", "Texas Instruments")</f>
        <v>Texas Instruments</v>
      </c>
      <c r="C17427" s="5">
        <v>3</v>
      </c>
      <c r="D17427" s="6">
        <v>162.71</v>
      </c>
      <c r="E17427" t="s">
        <v>44</v>
      </c>
    </row>
    <row r="17428" spans="1:5" x14ac:dyDescent="0.25">
      <c r="A17428" t="str">
        <f>HYPERLINK("https://www.773grp.com/globalSearch/JM38510-50401BRA/page-1", "JM38510-50401BRA")</f>
        <v>JM38510-50401BRA</v>
      </c>
      <c r="B17428" s="3" t="str">
        <f>HYPERLINK("https://www.773grp.com/manufacturer/texas-instruments?pageNo=367", "Texas Instruments")</f>
        <v>Texas Instruments</v>
      </c>
      <c r="C17428" s="5">
        <v>853</v>
      </c>
      <c r="D17428" s="6">
        <v>186.89</v>
      </c>
      <c r="E17428" t="s">
        <v>44</v>
      </c>
    </row>
    <row r="17429" spans="1:5" x14ac:dyDescent="0.25">
      <c r="A17429" t="str">
        <f>HYPERLINK("https://www.773grp.com/globalSearch/JM38510-50403BRA/page-1", "JM38510-50403BRA")</f>
        <v>JM38510-50403BRA</v>
      </c>
      <c r="B17429" s="3" t="str">
        <f>HYPERLINK("https://www.773grp.com/manufacturer/texas-instruments?pageNo=368", "Texas Instruments")</f>
        <v>Texas Instruments</v>
      </c>
      <c r="C17429" s="5">
        <v>210</v>
      </c>
      <c r="D17429" s="6">
        <v>187.15</v>
      </c>
      <c r="E17429" t="s">
        <v>44</v>
      </c>
    </row>
    <row r="17430" spans="1:5" x14ac:dyDescent="0.25">
      <c r="A17430" t="str">
        <f>HYPERLINK("https://www.773grp.com/globalSearch/JM38510-50601BRA/page-1", "JM38510-50601BRA")</f>
        <v>JM38510-50601BRA</v>
      </c>
      <c r="B17430" s="3" t="str">
        <f>HYPERLINK("https://www.773grp.com/manufacturer/texas-instruments?pageNo=375", "Texas Instruments")</f>
        <v>Texas Instruments</v>
      </c>
      <c r="C17430" s="5">
        <v>124</v>
      </c>
      <c r="D17430" s="6">
        <v>188.19</v>
      </c>
      <c r="E17430" t="s">
        <v>44</v>
      </c>
    </row>
    <row r="17431" spans="1:5" x14ac:dyDescent="0.25">
      <c r="A17431" t="str">
        <f>HYPERLINK("https://www.773grp.com/globalSearch/JM38510-50605BRA/page-1", "JM38510-50605BRA")</f>
        <v>JM38510-50605BRA</v>
      </c>
      <c r="B17431" s="3" t="str">
        <f>HYPERLINK("https://www.773grp.com/manufacturer/texas-instruments?pageNo=383", "Texas Instruments")</f>
        <v>Texas Instruments</v>
      </c>
      <c r="C17431" s="5">
        <v>7</v>
      </c>
      <c r="D17431" s="6">
        <v>189.68</v>
      </c>
      <c r="E17431" t="s">
        <v>44</v>
      </c>
    </row>
    <row r="17432" spans="1:5" x14ac:dyDescent="0.25">
      <c r="A17432" t="str">
        <f>HYPERLINK("https://www.773grp.com/globalSearch/JM38510-50604BRA/page-1", "JM38510-50604BRA")</f>
        <v>JM38510-50604BRA</v>
      </c>
      <c r="B17432" s="3" t="str">
        <f>HYPERLINK("https://www.773grp.com/manufacturer/texas-instruments?pageNo=386", "Texas Instruments")</f>
        <v>Texas Instruments</v>
      </c>
      <c r="C17432" s="5">
        <v>128</v>
      </c>
      <c r="D17432" s="6">
        <v>190.24</v>
      </c>
      <c r="E17432" t="s">
        <v>44</v>
      </c>
    </row>
    <row r="17433" spans="1:5" x14ac:dyDescent="0.25">
      <c r="A17433" t="str">
        <f>HYPERLINK("https://www.773grp.com/globalSearch/5962-8605304KA/page-1", "5962-8605304KA")</f>
        <v>5962-8605304KA</v>
      </c>
      <c r="B17433" s="3" t="str">
        <f>HYPERLINK("https://www.773grp.com/manufacturer/texas-instruments?pageNo=459", "Texas Instruments")</f>
        <v>Texas Instruments</v>
      </c>
      <c r="C17433" s="5">
        <v>1</v>
      </c>
      <c r="D17433" s="6">
        <v>202.3</v>
      </c>
      <c r="E17433" t="s">
        <v>44</v>
      </c>
    </row>
    <row r="17434" spans="1:5" x14ac:dyDescent="0.25">
      <c r="A17434" t="str">
        <f>HYPERLINK("https://www.773grp.com/globalSearch/JM38510-50503BLA/page-1", "JM38510-50503BLA")</f>
        <v>JM38510-50503BLA</v>
      </c>
      <c r="B17434" s="3" t="str">
        <f>HYPERLINK("https://www.773grp.com/manufacturer/texas-instruments?pageNo=508", "Texas Instruments")</f>
        <v>Texas Instruments</v>
      </c>
      <c r="C17434" s="5">
        <v>111</v>
      </c>
      <c r="D17434" s="6">
        <v>211.36</v>
      </c>
      <c r="E17434" t="s">
        <v>44</v>
      </c>
    </row>
    <row r="17435" spans="1:5" x14ac:dyDescent="0.25">
      <c r="A17435" t="str">
        <f>HYPERLINK("https://www.773grp.com/globalSearch/JM38510-50504BLA/page-1", "JM38510-50504BLA")</f>
        <v>JM38510-50504BLA</v>
      </c>
      <c r="B17435" s="3" t="str">
        <f>HYPERLINK("https://www.773grp.com/manufacturer/texas-instruments?pageNo=765", "Texas Instruments")</f>
        <v>Texas Instruments</v>
      </c>
      <c r="C17435" s="5">
        <v>687</v>
      </c>
      <c r="D17435" s="6">
        <v>268.7</v>
      </c>
      <c r="E17435" t="s">
        <v>44</v>
      </c>
    </row>
    <row r="17436" spans="1:5" x14ac:dyDescent="0.25">
      <c r="A17436" t="str">
        <f>HYPERLINK("https://www.773grp.com/globalSearch/JM38510-50501BLA/page-1", "JM38510-50501BLA")</f>
        <v>JM38510-50501BLA</v>
      </c>
      <c r="B17436" s="3" t="str">
        <f>HYPERLINK("https://www.773grp.com/manufacturer/texas-instruments?pageNo=766", "Texas Instruments")</f>
        <v>Texas Instruments</v>
      </c>
      <c r="C17436" s="5">
        <v>11</v>
      </c>
      <c r="D17436" s="6">
        <v>269.02999999999997</v>
      </c>
      <c r="E17436" t="s">
        <v>44</v>
      </c>
    </row>
    <row r="17437" spans="1:5" x14ac:dyDescent="0.25">
      <c r="A17437" t="str">
        <f>HYPERLINK("https://www.773grp.com/globalSearch/JM38510-50502BLA/page-1", "JM38510-50502BLA")</f>
        <v>JM38510-50502BLA</v>
      </c>
      <c r="B17437" s="3" t="str">
        <f>HYPERLINK("https://www.773grp.com/manufacturer/texas-instruments?pageNo=794", "Texas Instruments")</f>
        <v>Texas Instruments</v>
      </c>
      <c r="C17437" s="5">
        <v>5</v>
      </c>
      <c r="D17437" s="6">
        <v>275.35000000000002</v>
      </c>
      <c r="E17437" t="s">
        <v>44</v>
      </c>
    </row>
    <row r="17438" spans="1:5" x14ac:dyDescent="0.25">
      <c r="A17438" t="str">
        <f>HYPERLINK("https://www.773grp.com/globalSearch/PAL16R4ACN/page-1", "PAL16R4ACN")</f>
        <v>PAL16R4ACN</v>
      </c>
      <c r="B17438" s="3" t="s">
        <v>113</v>
      </c>
      <c r="C17438" s="5">
        <v>8199</v>
      </c>
      <c r="D17438" s="6">
        <v>4.05</v>
      </c>
      <c r="E17438" t="s">
        <v>44</v>
      </c>
    </row>
    <row r="17439" spans="1:5" x14ac:dyDescent="0.25">
      <c r="A17439" t="str">
        <f>HYPERLINK("https://www.773grp.com/globalSearch/PAL16L8ACNL/page-1", "PAL16L8ACNL")</f>
        <v>PAL16L8ACNL</v>
      </c>
      <c r="B17439" s="3" t="s">
        <v>113</v>
      </c>
      <c r="C17439" s="5">
        <v>41309</v>
      </c>
      <c r="D17439" s="6">
        <v>4.1900000000000004</v>
      </c>
      <c r="E17439" t="s">
        <v>44</v>
      </c>
    </row>
    <row r="17440" spans="1:5" x14ac:dyDescent="0.25">
      <c r="A17440" t="str">
        <f>HYPERLINK("https://www.773grp.com/globalSearch/PAL16R4ACNL/page-1", "PAL16R4ACNL")</f>
        <v>PAL16R4ACNL</v>
      </c>
      <c r="B17440" s="3" t="s">
        <v>113</v>
      </c>
      <c r="C17440" s="5">
        <v>2715</v>
      </c>
      <c r="D17440" s="6">
        <v>4.1900000000000004</v>
      </c>
      <c r="E17440" t="s">
        <v>44</v>
      </c>
    </row>
    <row r="17441" spans="1:5" x14ac:dyDescent="0.25">
      <c r="A17441" t="str">
        <f>HYPERLINK("https://www.773grp.com/globalSearch/PAL16R6ACN/page-1", "PAL16R6ACN")</f>
        <v>PAL16R6ACN</v>
      </c>
      <c r="B17441" s="3" t="s">
        <v>113</v>
      </c>
      <c r="C17441" s="5">
        <v>639</v>
      </c>
      <c r="D17441" s="6">
        <v>4.1900000000000004</v>
      </c>
      <c r="E17441" t="s">
        <v>44</v>
      </c>
    </row>
    <row r="17442" spans="1:5" x14ac:dyDescent="0.25">
      <c r="A17442" t="str">
        <f>HYPERLINK("https://www.773grp.com/globalSearch/PAL16R6ACNL/page-1", "PAL16R6ACNL")</f>
        <v>PAL16R6ACNL</v>
      </c>
      <c r="B17442" s="3" t="s">
        <v>113</v>
      </c>
      <c r="C17442" s="5">
        <v>182</v>
      </c>
      <c r="D17442" s="6">
        <v>4.1900000000000004</v>
      </c>
      <c r="E17442" t="s">
        <v>44</v>
      </c>
    </row>
    <row r="17443" spans="1:5" x14ac:dyDescent="0.25">
      <c r="A17443" t="str">
        <f>HYPERLINK("https://www.773grp.com/globalSearch/PAL16R8ACNL/page-1", "PAL16R8ACNL")</f>
        <v>PAL16R8ACNL</v>
      </c>
      <c r="B17443" s="3" t="s">
        <v>113</v>
      </c>
      <c r="C17443" s="5">
        <v>497</v>
      </c>
      <c r="D17443" s="6">
        <v>4.1900000000000004</v>
      </c>
      <c r="E17443" t="s">
        <v>44</v>
      </c>
    </row>
    <row r="17444" spans="1:5" x14ac:dyDescent="0.25">
      <c r="A17444" t="str">
        <f>HYPERLINK("https://www.773grp.com/globalSearch/PAL16L8BCNL/page-1", "PAL16L8BCNL")</f>
        <v>PAL16L8BCNL</v>
      </c>
      <c r="B17444" s="3" t="s">
        <v>113</v>
      </c>
      <c r="C17444" s="5">
        <v>14092</v>
      </c>
      <c r="D17444" s="6">
        <v>5.24</v>
      </c>
      <c r="E17444" t="s">
        <v>44</v>
      </c>
    </row>
    <row r="17445" spans="1:5" x14ac:dyDescent="0.25">
      <c r="A17445" t="str">
        <f>HYPERLINK("https://www.773grp.com/globalSearch/PAL16R4BCN/page-1", "PAL16R4BCN")</f>
        <v>PAL16R4BCN</v>
      </c>
      <c r="B17445" s="3" t="s">
        <v>113</v>
      </c>
      <c r="C17445" s="5">
        <v>878</v>
      </c>
      <c r="D17445" s="6">
        <v>5.24</v>
      </c>
      <c r="E17445" t="s">
        <v>44</v>
      </c>
    </row>
    <row r="17446" spans="1:5" x14ac:dyDescent="0.25">
      <c r="A17446" t="str">
        <f>HYPERLINK("https://www.773grp.com/globalSearch/PAL16R4BCNL/page-1", "PAL16R4BCNL")</f>
        <v>PAL16R4BCNL</v>
      </c>
      <c r="B17446" s="3" t="s">
        <v>113</v>
      </c>
      <c r="C17446" s="5">
        <v>11310</v>
      </c>
      <c r="D17446" s="6">
        <v>5.24</v>
      </c>
      <c r="E17446" t="s">
        <v>44</v>
      </c>
    </row>
    <row r="17447" spans="1:5" x14ac:dyDescent="0.25">
      <c r="A17447" t="str">
        <f>HYPERLINK("https://www.773grp.com/globalSearch/PAL16R6BCN/page-1", "PAL16R6BCN")</f>
        <v>PAL16R6BCN</v>
      </c>
      <c r="B17447" s="3" t="s">
        <v>113</v>
      </c>
      <c r="C17447" s="5">
        <v>1557</v>
      </c>
      <c r="D17447" s="6">
        <v>5.24</v>
      </c>
      <c r="E17447" t="s">
        <v>44</v>
      </c>
    </row>
    <row r="17448" spans="1:5" x14ac:dyDescent="0.25">
      <c r="A17448" t="str">
        <f>HYPERLINK("https://www.773grp.com/globalSearch/PAL16R6BCNL/page-1", "PAL16R6BCNL")</f>
        <v>PAL16R6BCNL</v>
      </c>
      <c r="B17448" s="3" t="s">
        <v>113</v>
      </c>
      <c r="C17448" s="5">
        <v>36071</v>
      </c>
      <c r="D17448" s="6">
        <v>5.24</v>
      </c>
      <c r="E17448" t="s">
        <v>44</v>
      </c>
    </row>
    <row r="17449" spans="1:5" x14ac:dyDescent="0.25">
      <c r="A17449" t="str">
        <f>HYPERLINK("https://www.773grp.com/globalSearch/PAL16R8BCN/page-1", "PAL16R8BCN")</f>
        <v>PAL16R8BCN</v>
      </c>
      <c r="B17449" s="3" t="s">
        <v>113</v>
      </c>
      <c r="C17449" s="5">
        <v>8065</v>
      </c>
      <c r="D17449" s="6">
        <v>5.24</v>
      </c>
      <c r="E17449" t="s">
        <v>44</v>
      </c>
    </row>
    <row r="17450" spans="1:5" x14ac:dyDescent="0.25">
      <c r="A17450" t="str">
        <f>HYPERLINK("https://www.773grp.com/globalSearch/PAL16R8BCNL/page-1", "PAL16R8BCNL")</f>
        <v>PAL16R8BCNL</v>
      </c>
      <c r="B17450" s="3" t="s">
        <v>113</v>
      </c>
      <c r="C17450" s="5">
        <v>1411</v>
      </c>
      <c r="D17450" s="6">
        <v>5.24</v>
      </c>
      <c r="E17450" t="s">
        <v>44</v>
      </c>
    </row>
    <row r="17451" spans="1:5" x14ac:dyDescent="0.25">
      <c r="A17451" t="str">
        <f>HYPERLINK("https://www.773grp.com/globalSearch/PAL20L8ACNS/page-1", "PAL20L8ACNS")</f>
        <v>PAL20L8ACNS</v>
      </c>
      <c r="B17451" s="3" t="s">
        <v>113</v>
      </c>
      <c r="C17451" s="5">
        <v>13934</v>
      </c>
      <c r="D17451" s="6">
        <v>6.61</v>
      </c>
      <c r="E17451" t="s">
        <v>44</v>
      </c>
    </row>
    <row r="17452" spans="1:5" x14ac:dyDescent="0.25">
      <c r="A17452" t="str">
        <f>HYPERLINK("https://www.773grp.com/globalSearch/PAL20R4ACNL/page-1", "PAL20R4ACNL")</f>
        <v>PAL20R4ACNL</v>
      </c>
      <c r="B17452" s="3" t="s">
        <v>113</v>
      </c>
      <c r="C17452" s="5">
        <v>974</v>
      </c>
      <c r="D17452" s="6">
        <v>6.61</v>
      </c>
      <c r="E17452" t="s">
        <v>44</v>
      </c>
    </row>
    <row r="17453" spans="1:5" x14ac:dyDescent="0.25">
      <c r="A17453" t="str">
        <f>HYPERLINK("https://www.773grp.com/globalSearch/PAL20R6ACNL/page-1", "PAL20R6ACNL")</f>
        <v>PAL20R6ACNL</v>
      </c>
      <c r="B17453" s="3" t="s">
        <v>113</v>
      </c>
      <c r="C17453" s="5">
        <v>1233</v>
      </c>
      <c r="D17453" s="6">
        <v>6.61</v>
      </c>
      <c r="E17453" t="s">
        <v>44</v>
      </c>
    </row>
    <row r="17454" spans="1:5" x14ac:dyDescent="0.25">
      <c r="A17454" t="str">
        <f>HYPERLINK("https://www.773grp.com/globalSearch/PAL20R6ACNS/page-1", "PAL20R6ACNS")</f>
        <v>PAL20R6ACNS</v>
      </c>
      <c r="B17454" s="3" t="s">
        <v>113</v>
      </c>
      <c r="C17454" s="5">
        <v>4444</v>
      </c>
      <c r="D17454" s="6">
        <v>6.61</v>
      </c>
      <c r="E17454" t="s">
        <v>44</v>
      </c>
    </row>
    <row r="17455" spans="1:5" x14ac:dyDescent="0.25">
      <c r="A17455" t="str">
        <f>HYPERLINK("https://www.773grp.com/globalSearch/PAL20R6BCNL/page-1", "PAL20R6BCNL")</f>
        <v>PAL20R6BCNL</v>
      </c>
      <c r="B17455" s="3" t="s">
        <v>113</v>
      </c>
      <c r="C17455" s="5">
        <v>403</v>
      </c>
      <c r="D17455" s="6">
        <v>6.61</v>
      </c>
      <c r="E17455" t="s">
        <v>44</v>
      </c>
    </row>
    <row r="17456" spans="1:5" x14ac:dyDescent="0.25">
      <c r="A17456" t="str">
        <f>HYPERLINK("https://www.773grp.com/globalSearch/PAL20R8ACNS/page-1", "PAL20R8ACNS")</f>
        <v>PAL20R8ACNS</v>
      </c>
      <c r="B17456" s="3" t="s">
        <v>113</v>
      </c>
      <c r="C17456" s="5">
        <v>5708</v>
      </c>
      <c r="D17456" s="6">
        <v>6.61</v>
      </c>
      <c r="E17456" t="s">
        <v>44</v>
      </c>
    </row>
    <row r="17457" spans="1:5" x14ac:dyDescent="0.25">
      <c r="A17457" t="str">
        <f>HYPERLINK("https://www.773grp.com/globalSearch/PAL20L8ACNL/page-1", "PAL20L8ACNL")</f>
        <v>PAL20L8ACNL</v>
      </c>
      <c r="B17457" s="3" t="s">
        <v>113</v>
      </c>
      <c r="C17457" s="5">
        <v>20490</v>
      </c>
      <c r="D17457" s="6">
        <v>6.75</v>
      </c>
      <c r="E17457" t="s">
        <v>44</v>
      </c>
    </row>
    <row r="17458" spans="1:5" x14ac:dyDescent="0.25">
      <c r="A17458" t="str">
        <f>HYPERLINK("https://www.773grp.com/globalSearch/PAL20R8ACNL/page-1", "PAL20R8ACNL")</f>
        <v>PAL20R8ACNL</v>
      </c>
      <c r="B17458" s="3" t="s">
        <v>113</v>
      </c>
      <c r="C17458" s="5">
        <v>1020</v>
      </c>
      <c r="D17458" s="6">
        <v>6.75</v>
      </c>
      <c r="E17458" t="s">
        <v>44</v>
      </c>
    </row>
    <row r="17459" spans="1:5" x14ac:dyDescent="0.25">
      <c r="A17459" t="str">
        <f>HYPERLINK("https://www.773grp.com/globalSearch/AMPAL18P8LPC/page-1", "AMPAL18P8LPC")</f>
        <v>AMPAL18P8LPC</v>
      </c>
      <c r="B17459" s="3" t="s">
        <v>113</v>
      </c>
      <c r="C17459" s="5">
        <v>4</v>
      </c>
      <c r="D17459" s="6">
        <v>7.04</v>
      </c>
      <c r="E17459" t="s">
        <v>44</v>
      </c>
    </row>
    <row r="17460" spans="1:5" x14ac:dyDescent="0.25">
      <c r="A17460" t="str">
        <f>HYPERLINK("https://www.773grp.com/globalSearch/AMPAL18P8AJC/page-1", "AMPAL18P8AJC")</f>
        <v>AMPAL18P8AJC</v>
      </c>
      <c r="B17460" s="3" t="s">
        <v>113</v>
      </c>
      <c r="C17460" s="5">
        <v>4021</v>
      </c>
      <c r="D17460" s="6">
        <v>8.15</v>
      </c>
      <c r="E17460" t="s">
        <v>44</v>
      </c>
    </row>
    <row r="17461" spans="1:5" x14ac:dyDescent="0.25">
      <c r="A17461" t="str">
        <f>HYPERLINK("https://www.773grp.com/globalSearch/PAL16L8D-2JC/page-1", "PAL16L8D-2JC")</f>
        <v>PAL16L8D-2JC</v>
      </c>
      <c r="B17461" s="3" t="s">
        <v>113</v>
      </c>
      <c r="C17461" s="5">
        <v>8267</v>
      </c>
      <c r="D17461" s="6">
        <v>8.44</v>
      </c>
      <c r="E17461" t="s">
        <v>44</v>
      </c>
    </row>
    <row r="17462" spans="1:5" x14ac:dyDescent="0.25">
      <c r="A17462" t="str">
        <f>HYPERLINK("https://www.773grp.com/globalSearch/PAL16L8D-2PC/page-1", "PAL16L8D-2PC")</f>
        <v>PAL16L8D-2PC</v>
      </c>
      <c r="B17462" s="3" t="s">
        <v>113</v>
      </c>
      <c r="C17462" s="5">
        <v>4863</v>
      </c>
      <c r="D17462" s="6">
        <v>8.44</v>
      </c>
      <c r="E17462" t="s">
        <v>44</v>
      </c>
    </row>
    <row r="17463" spans="1:5" x14ac:dyDescent="0.25">
      <c r="A17463" t="str">
        <f>HYPERLINK("https://www.773grp.com/globalSearch/PAL16R4D-2JC/page-1", "PAL16R4D-2JC")</f>
        <v>PAL16R4D-2JC</v>
      </c>
      <c r="B17463" s="3" t="s">
        <v>113</v>
      </c>
      <c r="C17463" s="5">
        <v>1859</v>
      </c>
      <c r="D17463" s="6">
        <v>8.44</v>
      </c>
      <c r="E17463" t="s">
        <v>44</v>
      </c>
    </row>
    <row r="17464" spans="1:5" x14ac:dyDescent="0.25">
      <c r="A17464" t="str">
        <f>HYPERLINK("https://www.773grp.com/globalSearch/PAL16R4D-2PC/page-1", "PAL16R4D-2PC")</f>
        <v>PAL16R4D-2PC</v>
      </c>
      <c r="B17464" s="3" t="s">
        <v>113</v>
      </c>
      <c r="C17464" s="5">
        <v>1773</v>
      </c>
      <c r="D17464" s="6">
        <v>8.44</v>
      </c>
      <c r="E17464" t="s">
        <v>44</v>
      </c>
    </row>
    <row r="17465" spans="1:5" x14ac:dyDescent="0.25">
      <c r="A17465" t="str">
        <f>HYPERLINK("https://www.773grp.com/globalSearch/PAL16R6D-2JC/page-1", "PAL16R6D-2JC")</f>
        <v>PAL16R6D-2JC</v>
      </c>
      <c r="B17465" s="3" t="s">
        <v>113</v>
      </c>
      <c r="C17465" s="5">
        <v>9605</v>
      </c>
      <c r="D17465" s="6">
        <v>8.44</v>
      </c>
      <c r="E17465" t="s">
        <v>44</v>
      </c>
    </row>
    <row r="17466" spans="1:5" x14ac:dyDescent="0.25">
      <c r="A17466" t="str">
        <f>HYPERLINK("https://www.773grp.com/globalSearch/PAL16R6D-2PC/page-1", "PAL16R6D-2PC")</f>
        <v>PAL16R6D-2PC</v>
      </c>
      <c r="B17466" s="3" t="s">
        <v>113</v>
      </c>
      <c r="C17466" s="5">
        <v>3558</v>
      </c>
      <c r="D17466" s="6">
        <v>8.44</v>
      </c>
      <c r="E17466" t="s">
        <v>44</v>
      </c>
    </row>
    <row r="17467" spans="1:5" x14ac:dyDescent="0.25">
      <c r="A17467" t="str">
        <f>HYPERLINK("https://www.773grp.com/globalSearch/PAL16R8D-2JC/page-1", "PAL16R8D-2JC")</f>
        <v>PAL16R8D-2JC</v>
      </c>
      <c r="B17467" s="3" t="s">
        <v>113</v>
      </c>
      <c r="C17467" s="5">
        <v>889</v>
      </c>
      <c r="D17467" s="6">
        <v>8.44</v>
      </c>
      <c r="E17467" t="s">
        <v>44</v>
      </c>
    </row>
    <row r="17468" spans="1:5" x14ac:dyDescent="0.25">
      <c r="A17468" t="str">
        <f>HYPERLINK("https://www.773grp.com/globalSearch/PAL16R8D-2PC/page-1", "PAL16R8D-2PC")</f>
        <v>PAL16R8D-2PC</v>
      </c>
      <c r="B17468" s="3" t="s">
        <v>113</v>
      </c>
      <c r="C17468" s="5">
        <v>879</v>
      </c>
      <c r="D17468" s="6">
        <v>8.44</v>
      </c>
      <c r="E17468" t="s">
        <v>44</v>
      </c>
    </row>
    <row r="17469" spans="1:5" x14ac:dyDescent="0.25">
      <c r="A17469" t="str">
        <f>HYPERLINK("https://www.773grp.com/globalSearch/PAL20R4BCNS/page-1", "PAL20R4BCNS")</f>
        <v>PAL20R4BCNS</v>
      </c>
      <c r="B17469" s="3" t="s">
        <v>113</v>
      </c>
      <c r="C17469" s="5">
        <v>1910</v>
      </c>
      <c r="D17469" s="6">
        <v>8.44</v>
      </c>
      <c r="E17469" t="s">
        <v>44</v>
      </c>
    </row>
    <row r="17470" spans="1:5" x14ac:dyDescent="0.25">
      <c r="A17470" t="str">
        <f>HYPERLINK("https://www.773grp.com/globalSearch/PAL20R6BCNS/page-1", "PAL20R6BCNS")</f>
        <v>PAL20R6BCNS</v>
      </c>
      <c r="B17470" s="3" t="s">
        <v>113</v>
      </c>
      <c r="C17470" s="5">
        <v>496</v>
      </c>
      <c r="D17470" s="6">
        <v>8.44</v>
      </c>
      <c r="E17470" t="s">
        <v>44</v>
      </c>
    </row>
    <row r="17471" spans="1:5" x14ac:dyDescent="0.25">
      <c r="A17471" t="str">
        <f>HYPERLINK("https://www.773grp.com/globalSearch/PAL20R8BCNL/page-1", "PAL20R8BCNL")</f>
        <v>PAL20R8BCNL</v>
      </c>
      <c r="B17471" s="3" t="s">
        <v>113</v>
      </c>
      <c r="C17471" s="5">
        <v>14745</v>
      </c>
      <c r="D17471" s="6">
        <v>8.44</v>
      </c>
      <c r="E17471" t="s">
        <v>44</v>
      </c>
    </row>
    <row r="17472" spans="1:5" x14ac:dyDescent="0.25">
      <c r="A17472" t="str">
        <f>HYPERLINK("https://www.773grp.com/globalSearch/PAL20R8BCNS/page-1", "PAL20R8BCNS")</f>
        <v>PAL20R8BCNS</v>
      </c>
      <c r="B17472" s="3" t="s">
        <v>113</v>
      </c>
      <c r="C17472" s="5">
        <v>5621</v>
      </c>
      <c r="D17472" s="6">
        <v>8.44</v>
      </c>
      <c r="E17472" t="s">
        <v>44</v>
      </c>
    </row>
    <row r="17473" spans="1:5" x14ac:dyDescent="0.25">
      <c r="A17473" t="str">
        <f>HYPERLINK("https://www.773grp.com/globalSearch/PAL20L8BCNL/page-1", "PAL20L8BCNL")</f>
        <v>PAL20L8BCNL</v>
      </c>
      <c r="B17473" s="3" t="s">
        <v>113</v>
      </c>
      <c r="C17473" s="5">
        <v>4663</v>
      </c>
      <c r="D17473" s="6">
        <v>8.58</v>
      </c>
      <c r="E17473" t="s">
        <v>44</v>
      </c>
    </row>
    <row r="17474" spans="1:5" x14ac:dyDescent="0.25">
      <c r="A17474" t="str">
        <f>HYPERLINK("https://www.773grp.com/globalSearch/AMPAL18P8ALJC/page-1", "AMPAL18P8ALJC")</f>
        <v>AMPAL18P8ALJC</v>
      </c>
      <c r="B17474" s="3" t="s">
        <v>113</v>
      </c>
      <c r="C17474" s="5">
        <v>1111</v>
      </c>
      <c r="D17474" s="6">
        <v>9.56</v>
      </c>
      <c r="E17474" t="s">
        <v>44</v>
      </c>
    </row>
    <row r="17475" spans="1:5" x14ac:dyDescent="0.25">
      <c r="A17475" t="str">
        <f>HYPERLINK("https://www.773grp.com/globalSearch/PALCE20V8Q-10PC-5/page-1", "PALCE20V8Q-10PC-5")</f>
        <v>PALCE20V8Q-10PC-5</v>
      </c>
      <c r="B17475" s="3" t="s">
        <v>113</v>
      </c>
      <c r="C17475" s="5">
        <v>52866</v>
      </c>
      <c r="D17475" s="6">
        <v>9.84</v>
      </c>
      <c r="E17475" t="s">
        <v>44</v>
      </c>
    </row>
    <row r="17476" spans="1:5" x14ac:dyDescent="0.25">
      <c r="A17476" t="str">
        <f>HYPERLINK("https://www.773grp.com/globalSearch/MACH111-20JC/page-1", "MACH111-20JC")</f>
        <v>MACH111-20JC</v>
      </c>
      <c r="B17476" s="3" t="s">
        <v>113</v>
      </c>
      <c r="C17476" s="5">
        <v>27754</v>
      </c>
      <c r="D17476" s="6">
        <v>10.130000000000001</v>
      </c>
      <c r="E17476" t="s">
        <v>44</v>
      </c>
    </row>
    <row r="17477" spans="1:5" x14ac:dyDescent="0.25">
      <c r="A17477" t="str">
        <f>HYPERLINK("https://www.773grp.com/globalSearch/MACH110-20JC/page-1", "MACH110-20JC")</f>
        <v>MACH110-20JC</v>
      </c>
      <c r="B17477" s="3" t="s">
        <v>113</v>
      </c>
      <c r="C17477" s="5">
        <v>2445</v>
      </c>
      <c r="D17477" s="6">
        <v>10.46</v>
      </c>
      <c r="E17477" t="s">
        <v>44</v>
      </c>
    </row>
    <row r="17478" spans="1:5" x14ac:dyDescent="0.25">
      <c r="A17478" t="str">
        <f>HYPERLINK("https://www.773grp.com/globalSearch/PAL20L8BCNS/page-1", "PAL20L8BCNS")</f>
        <v>PAL20L8BCNS</v>
      </c>
      <c r="B17478" s="3" t="s">
        <v>113</v>
      </c>
      <c r="C17478" s="5">
        <v>17188</v>
      </c>
      <c r="D17478" s="6">
        <v>10.55</v>
      </c>
      <c r="E17478" t="s">
        <v>44</v>
      </c>
    </row>
    <row r="17479" spans="1:5" x14ac:dyDescent="0.25">
      <c r="A17479" t="str">
        <f>HYPERLINK("https://www.773grp.com/globalSearch/AMPAL18P8BJC/page-1", "AMPAL18P8BJC")</f>
        <v>AMPAL18P8BJC</v>
      </c>
      <c r="B17479" s="3" t="s">
        <v>113</v>
      </c>
      <c r="C17479" s="5">
        <v>806</v>
      </c>
      <c r="D17479" s="6">
        <v>11.25</v>
      </c>
      <c r="E17479" t="s">
        <v>44</v>
      </c>
    </row>
    <row r="17480" spans="1:5" x14ac:dyDescent="0.25">
      <c r="A17480" t="str">
        <f>HYPERLINK("https://www.773grp.com/globalSearch/AMPAL18P8BPC/page-1", "AMPAL18P8BPC")</f>
        <v>AMPAL18P8BPC</v>
      </c>
      <c r="B17480" s="3" t="s">
        <v>113</v>
      </c>
      <c r="C17480" s="5">
        <v>9</v>
      </c>
      <c r="D17480" s="6">
        <v>11.25</v>
      </c>
      <c r="E17480" t="s">
        <v>44</v>
      </c>
    </row>
    <row r="17481" spans="1:5" x14ac:dyDescent="0.25">
      <c r="A17481" t="str">
        <f>HYPERLINK("https://www.773grp.com/globalSearch/MACH215-20JC/page-1", "MACH215-20JC")</f>
        <v>MACH215-20JC</v>
      </c>
      <c r="B17481" s="3" t="s">
        <v>113</v>
      </c>
      <c r="C17481" s="5">
        <v>920</v>
      </c>
      <c r="D17481" s="6">
        <v>11.81</v>
      </c>
      <c r="E17481" t="s">
        <v>44</v>
      </c>
    </row>
    <row r="17482" spans="1:5" x14ac:dyDescent="0.25">
      <c r="A17482" t="str">
        <f>HYPERLINK("https://www.773grp.com/globalSearch/MACH215-20JC/page-1", "MACH215-20JC")</f>
        <v>MACH215-20JC</v>
      </c>
      <c r="B17482" s="3" t="s">
        <v>113</v>
      </c>
      <c r="C17482" s="5">
        <v>3329</v>
      </c>
      <c r="D17482" s="6">
        <v>11.81</v>
      </c>
      <c r="E17482" t="s">
        <v>44</v>
      </c>
    </row>
    <row r="17483" spans="1:5" x14ac:dyDescent="0.25">
      <c r="A17483" t="str">
        <f>HYPERLINK("https://www.773grp.com/globalSearch/MACH211-20JC/page-1", "MACH211-20JC")</f>
        <v>MACH211-20JC</v>
      </c>
      <c r="B17483" s="3" t="s">
        <v>113</v>
      </c>
      <c r="C17483" s="5">
        <v>6215</v>
      </c>
      <c r="D17483" s="6">
        <v>11.93</v>
      </c>
      <c r="E17483" t="s">
        <v>44</v>
      </c>
    </row>
    <row r="17484" spans="1:5" x14ac:dyDescent="0.25">
      <c r="A17484" t="str">
        <f>HYPERLINK("https://www.773grp.com/globalSearch/AMPAL22V10JC/page-1", "AMPAL22V10JC")</f>
        <v>AMPAL22V10JC</v>
      </c>
      <c r="B17484" s="3" t="s">
        <v>113</v>
      </c>
      <c r="C17484" s="5">
        <v>9000</v>
      </c>
      <c r="D17484" s="6">
        <v>12.94</v>
      </c>
      <c r="E17484" t="s">
        <v>44</v>
      </c>
    </row>
    <row r="17485" spans="1:5" x14ac:dyDescent="0.25">
      <c r="A17485" t="str">
        <f>HYPERLINK("https://www.773grp.com/globalSearch/AMPAL22V10PC/page-1", "AMPAL22V10PC")</f>
        <v>AMPAL22V10PC</v>
      </c>
      <c r="B17485" s="3" t="s">
        <v>113</v>
      </c>
      <c r="C17485" s="5">
        <v>2195</v>
      </c>
      <c r="D17485" s="6">
        <v>12.94</v>
      </c>
      <c r="E17485" t="s">
        <v>44</v>
      </c>
    </row>
    <row r="17486" spans="1:5" x14ac:dyDescent="0.25">
      <c r="A17486" t="str">
        <f>HYPERLINK("https://www.773grp.com/globalSearch/MACH111-20VC/page-1", "MACH111-20VC")</f>
        <v>MACH111-20VC</v>
      </c>
      <c r="B17486" s="3" t="s">
        <v>113</v>
      </c>
      <c r="C17486" s="5">
        <v>938</v>
      </c>
      <c r="D17486" s="6">
        <v>13.46</v>
      </c>
      <c r="E17486" t="s">
        <v>44</v>
      </c>
    </row>
    <row r="17487" spans="1:5" x14ac:dyDescent="0.25">
      <c r="A17487" t="str">
        <f>HYPERLINK("https://www.773grp.com/globalSearch/AMPAL22V10AJC/page-1", "AMPAL22V10AJC")</f>
        <v>AMPAL22V10AJC</v>
      </c>
      <c r="B17487" s="3" t="s">
        <v>113</v>
      </c>
      <c r="C17487" s="5">
        <v>16748</v>
      </c>
      <c r="D17487" s="6">
        <v>13.61</v>
      </c>
      <c r="E17487" t="s">
        <v>44</v>
      </c>
    </row>
    <row r="17488" spans="1:5" x14ac:dyDescent="0.25">
      <c r="A17488" t="str">
        <f>HYPERLINK("https://www.773grp.com/globalSearch/MACH211-20VC/page-1", "MACH211-20VC")</f>
        <v>MACH211-20VC</v>
      </c>
      <c r="B17488" s="3" t="s">
        <v>113</v>
      </c>
      <c r="C17488" s="5">
        <v>4412</v>
      </c>
      <c r="D17488" s="6">
        <v>15.86</v>
      </c>
      <c r="E17488" t="s">
        <v>44</v>
      </c>
    </row>
    <row r="17489" spans="1:5" x14ac:dyDescent="0.25">
      <c r="A17489" t="str">
        <f>HYPERLINK("https://www.773grp.com/globalSearch/PAL16L8-7JC/page-1", "PAL16L8-7JC")</f>
        <v>PAL16L8-7JC</v>
      </c>
      <c r="B17489" s="3" t="s">
        <v>113</v>
      </c>
      <c r="C17489" s="5">
        <v>11296</v>
      </c>
      <c r="D17489" s="6">
        <v>16.88</v>
      </c>
      <c r="E17489" t="s">
        <v>44</v>
      </c>
    </row>
    <row r="17490" spans="1:5" x14ac:dyDescent="0.25">
      <c r="A17490" t="str">
        <f>HYPERLINK("https://www.773grp.com/globalSearch/PAL16R4-7JC/page-1", "PAL16R4-7JC")</f>
        <v>PAL16R4-7JC</v>
      </c>
      <c r="B17490" s="3" t="s">
        <v>113</v>
      </c>
      <c r="C17490" s="5">
        <v>1691</v>
      </c>
      <c r="D17490" s="6">
        <v>16.88</v>
      </c>
      <c r="E17490" t="s">
        <v>44</v>
      </c>
    </row>
    <row r="17491" spans="1:5" x14ac:dyDescent="0.25">
      <c r="A17491" t="str">
        <f>HYPERLINK("https://www.773grp.com/globalSearch/PAL16R4-7PC/page-1", "PAL16R4-7PC")</f>
        <v>PAL16R4-7PC</v>
      </c>
      <c r="B17491" s="3" t="s">
        <v>113</v>
      </c>
      <c r="C17491" s="5">
        <v>3821</v>
      </c>
      <c r="D17491" s="6">
        <v>16.88</v>
      </c>
      <c r="E17491" t="s">
        <v>44</v>
      </c>
    </row>
    <row r="17492" spans="1:5" x14ac:dyDescent="0.25">
      <c r="A17492" t="str">
        <f>HYPERLINK("https://www.773grp.com/globalSearch/PAL16R6-7JC/page-1", "PAL16R6-7JC")</f>
        <v>PAL16R6-7JC</v>
      </c>
      <c r="B17492" s="3" t="s">
        <v>113</v>
      </c>
      <c r="C17492" s="5">
        <v>2265</v>
      </c>
      <c r="D17492" s="6">
        <v>16.88</v>
      </c>
      <c r="E17492" t="s">
        <v>44</v>
      </c>
    </row>
    <row r="17493" spans="1:5" x14ac:dyDescent="0.25">
      <c r="A17493" t="str">
        <f>HYPERLINK("https://www.773grp.com/globalSearch/PAL16R6-7PC/page-1", "PAL16R6-7PC")</f>
        <v>PAL16R6-7PC</v>
      </c>
      <c r="B17493" s="3" t="s">
        <v>113</v>
      </c>
      <c r="C17493" s="5">
        <v>1816</v>
      </c>
      <c r="D17493" s="6">
        <v>16.88</v>
      </c>
      <c r="E17493" t="s">
        <v>44</v>
      </c>
    </row>
    <row r="17494" spans="1:5" x14ac:dyDescent="0.25">
      <c r="A17494" t="str">
        <f>HYPERLINK("https://www.773grp.com/globalSearch/PAL16R8-7JC/page-1", "PAL16R8-7JC")</f>
        <v>PAL16R8-7JC</v>
      </c>
      <c r="B17494" s="3" t="s">
        <v>113</v>
      </c>
      <c r="C17494" s="5">
        <v>22</v>
      </c>
      <c r="D17494" s="6">
        <v>16.88</v>
      </c>
      <c r="E17494" t="s">
        <v>44</v>
      </c>
    </row>
    <row r="17495" spans="1:5" x14ac:dyDescent="0.25">
      <c r="A17495" t="str">
        <f>HYPERLINK("https://www.773grp.com/globalSearch/MACH221-20JC/page-1", "MACH221-20JC")</f>
        <v>MACH221-20JC</v>
      </c>
      <c r="B17495" s="3" t="s">
        <v>113</v>
      </c>
      <c r="C17495" s="5">
        <v>287</v>
      </c>
      <c r="D17495" s="6">
        <v>17.39</v>
      </c>
      <c r="E17495" t="s">
        <v>44</v>
      </c>
    </row>
    <row r="17496" spans="1:5" x14ac:dyDescent="0.25">
      <c r="A17496" t="str">
        <f>HYPERLINK("https://www.773grp.com/globalSearch/MACH211SP-20VC/page-1", "MACH211SP-20VC")</f>
        <v>MACH211SP-20VC</v>
      </c>
      <c r="B17496" s="3" t="s">
        <v>113</v>
      </c>
      <c r="C17496" s="5">
        <v>250</v>
      </c>
      <c r="D17496" s="6">
        <v>17.440000000000001</v>
      </c>
      <c r="E17496" t="s">
        <v>44</v>
      </c>
    </row>
    <row r="17497" spans="1:5" x14ac:dyDescent="0.25">
      <c r="A17497" t="str">
        <f>HYPERLINK("https://www.773grp.com/globalSearch/PAL16L8BCJ/page-1", "PAL16L8BCJ")</f>
        <v>PAL16L8BCJ</v>
      </c>
      <c r="B17497" s="3" t="s">
        <v>113</v>
      </c>
      <c r="C17497" s="5">
        <v>437</v>
      </c>
      <c r="D17497" s="6">
        <v>17.73</v>
      </c>
      <c r="E17497" t="s">
        <v>44</v>
      </c>
    </row>
    <row r="17498" spans="1:5" x14ac:dyDescent="0.25">
      <c r="A17498" t="str">
        <f>HYPERLINK("https://www.773grp.com/globalSearch/PAL16R4BCJ/page-1", "PAL16R4BCJ")</f>
        <v>PAL16R4BCJ</v>
      </c>
      <c r="B17498" s="3" t="s">
        <v>113</v>
      </c>
      <c r="C17498" s="5">
        <v>897</v>
      </c>
      <c r="D17498" s="6">
        <v>17.73</v>
      </c>
      <c r="E17498" t="s">
        <v>44</v>
      </c>
    </row>
    <row r="17499" spans="1:5" x14ac:dyDescent="0.25">
      <c r="A17499" t="str">
        <f>HYPERLINK("https://www.773grp.com/globalSearch/PAL16R6BCJ/page-1", "PAL16R6BCJ")</f>
        <v>PAL16R6BCJ</v>
      </c>
      <c r="B17499" s="3" t="s">
        <v>113</v>
      </c>
      <c r="C17499" s="5">
        <v>992</v>
      </c>
      <c r="D17499" s="6">
        <v>17.73</v>
      </c>
      <c r="E17499" t="s">
        <v>44</v>
      </c>
    </row>
    <row r="17500" spans="1:5" x14ac:dyDescent="0.25">
      <c r="A17500" t="str">
        <f>HYPERLINK("https://www.773grp.com/globalSearch/MACHLV210-20JC/page-1", "MACHLV210-20JC")</f>
        <v>MACHLV210-20JC</v>
      </c>
      <c r="B17500" s="3" t="s">
        <v>113</v>
      </c>
      <c r="C17500" s="5">
        <v>1145</v>
      </c>
      <c r="D17500" s="6">
        <v>17.850000000000001</v>
      </c>
      <c r="E17500" t="s">
        <v>44</v>
      </c>
    </row>
    <row r="17501" spans="1:5" x14ac:dyDescent="0.25">
      <c r="A17501" t="str">
        <f>HYPERLINK("https://www.773grp.com/globalSearch/MACH120-20JC/page-1", "MACH120-20JC")</f>
        <v>MACH120-20JC</v>
      </c>
      <c r="B17501" s="3" t="s">
        <v>113</v>
      </c>
      <c r="C17501" s="5">
        <v>3792</v>
      </c>
      <c r="D17501" s="6">
        <v>19.690000000000001</v>
      </c>
      <c r="E17501" t="s">
        <v>44</v>
      </c>
    </row>
    <row r="17502" spans="1:5" x14ac:dyDescent="0.25">
      <c r="A17502" t="str">
        <f>HYPERLINK("https://www.773grp.com/globalSearch/PAL20L8-10-2JC/page-1", "PAL20L8-10-2JC")</f>
        <v>PAL20L8-10-2JC</v>
      </c>
      <c r="B17502" s="3" t="s">
        <v>113</v>
      </c>
      <c r="C17502" s="5">
        <v>2454</v>
      </c>
      <c r="D17502" s="6">
        <v>20.11</v>
      </c>
      <c r="E17502" t="s">
        <v>44</v>
      </c>
    </row>
    <row r="17503" spans="1:5" x14ac:dyDescent="0.25">
      <c r="A17503" t="str">
        <f>HYPERLINK("https://www.773grp.com/globalSearch/PAL20L8-10-2PC/page-1", "PAL20L8-10-2PC")</f>
        <v>PAL20L8-10-2PC</v>
      </c>
      <c r="B17503" s="3" t="s">
        <v>113</v>
      </c>
      <c r="C17503" s="5">
        <v>1974</v>
      </c>
      <c r="D17503" s="6">
        <v>20.11</v>
      </c>
      <c r="E17503" t="s">
        <v>44</v>
      </c>
    </row>
    <row r="17504" spans="1:5" x14ac:dyDescent="0.25">
      <c r="A17504" t="str">
        <f>HYPERLINK("https://www.773grp.com/globalSearch/PAL20R4-10-2JC/page-1", "PAL20R4-10-2JC")</f>
        <v>PAL20R4-10-2JC</v>
      </c>
      <c r="B17504" s="3" t="s">
        <v>113</v>
      </c>
      <c r="C17504" s="5">
        <v>239</v>
      </c>
      <c r="D17504" s="6">
        <v>20.11</v>
      </c>
      <c r="E17504" t="s">
        <v>44</v>
      </c>
    </row>
    <row r="17505" spans="1:5" x14ac:dyDescent="0.25">
      <c r="A17505" t="str">
        <f>HYPERLINK("https://www.773grp.com/globalSearch/PAL20R4-10-2PC/page-1", "PAL20R4-10-2PC")</f>
        <v>PAL20R4-10-2PC</v>
      </c>
      <c r="B17505" s="3" t="s">
        <v>113</v>
      </c>
      <c r="C17505" s="5">
        <v>6169</v>
      </c>
      <c r="D17505" s="6">
        <v>20.11</v>
      </c>
      <c r="E17505" t="s">
        <v>44</v>
      </c>
    </row>
    <row r="17506" spans="1:5" x14ac:dyDescent="0.25">
      <c r="A17506" t="str">
        <f>HYPERLINK("https://www.773grp.com/globalSearch/PAL20R6-10-2JC/page-1", "PAL20R6-10-2JC")</f>
        <v>PAL20R6-10-2JC</v>
      </c>
      <c r="B17506" s="3" t="s">
        <v>113</v>
      </c>
      <c r="C17506" s="5">
        <v>304</v>
      </c>
      <c r="D17506" s="6">
        <v>20.11</v>
      </c>
      <c r="E17506" t="s">
        <v>44</v>
      </c>
    </row>
    <row r="17507" spans="1:5" x14ac:dyDescent="0.25">
      <c r="A17507" t="str">
        <f>HYPERLINK("https://www.773grp.com/globalSearch/PAL20R6-10-2PC/page-1", "PAL20R6-10-2PC")</f>
        <v>PAL20R6-10-2PC</v>
      </c>
      <c r="B17507" s="3" t="s">
        <v>113</v>
      </c>
      <c r="C17507" s="5">
        <v>8936</v>
      </c>
      <c r="D17507" s="6">
        <v>20.11</v>
      </c>
      <c r="E17507" t="s">
        <v>44</v>
      </c>
    </row>
    <row r="17508" spans="1:5" x14ac:dyDescent="0.25">
      <c r="A17508" t="str">
        <f>HYPERLINK("https://www.773grp.com/globalSearch/PAL20R8-10-2PC/page-1", "PAL20R8-10-2PC")</f>
        <v>PAL20R8-10-2PC</v>
      </c>
      <c r="B17508" s="3" t="s">
        <v>113</v>
      </c>
      <c r="C17508" s="5">
        <v>7133</v>
      </c>
      <c r="D17508" s="6">
        <v>20.11</v>
      </c>
      <c r="E17508" t="s">
        <v>44</v>
      </c>
    </row>
    <row r="17509" spans="1:5" x14ac:dyDescent="0.25">
      <c r="A17509" t="str">
        <f>HYPERLINK("https://www.773grp.com/globalSearch/PAL20L8ACFN/page-1", "PAL20L8ACFN")</f>
        <v>PAL20L8ACFN</v>
      </c>
      <c r="B17509" s="3" t="s">
        <v>113</v>
      </c>
      <c r="C17509" s="5">
        <v>1904</v>
      </c>
      <c r="D17509" s="6">
        <v>21.1</v>
      </c>
      <c r="E17509" t="s">
        <v>44</v>
      </c>
    </row>
    <row r="17510" spans="1:5" x14ac:dyDescent="0.25">
      <c r="A17510" t="str">
        <f>HYPERLINK("https://www.773grp.com/globalSearch/MACH231SP-20VC/page-1", "MACH231SP-20VC")</f>
        <v>MACH231SP-20VC</v>
      </c>
      <c r="B17510" s="3" t="s">
        <v>113</v>
      </c>
      <c r="C17510" s="5">
        <v>123</v>
      </c>
      <c r="D17510" s="6">
        <v>23.91</v>
      </c>
      <c r="E17510" t="s">
        <v>44</v>
      </c>
    </row>
    <row r="17511" spans="1:5" x14ac:dyDescent="0.25">
      <c r="A17511" t="str">
        <f>HYPERLINK("https://www.773grp.com/globalSearch/MACH231SP-20YC/page-1", "MACH231SP-20YC")</f>
        <v>MACH231SP-20YC</v>
      </c>
      <c r="B17511" s="3" t="s">
        <v>113</v>
      </c>
      <c r="C17511" s="5">
        <v>604</v>
      </c>
      <c r="D17511" s="6">
        <v>23.91</v>
      </c>
      <c r="E17511" t="s">
        <v>44</v>
      </c>
    </row>
    <row r="17512" spans="1:5" x14ac:dyDescent="0.25">
      <c r="A17512" t="str">
        <f>HYPERLINK("https://www.773grp.com/globalSearch/MACH130-20JC/page-1", "MACH130-20JC")</f>
        <v>MACH130-20JC</v>
      </c>
      <c r="B17512" s="3" t="s">
        <v>113</v>
      </c>
      <c r="C17512" s="5">
        <v>5914</v>
      </c>
      <c r="D17512" s="6">
        <v>25.03</v>
      </c>
      <c r="E17512" t="s">
        <v>44</v>
      </c>
    </row>
    <row r="17513" spans="1:5" x14ac:dyDescent="0.25">
      <c r="A17513" t="str">
        <f>HYPERLINK("https://www.773grp.com/globalSearch/PAL20L8ACJS/page-1", "PAL20L8ACJS")</f>
        <v>PAL20L8ACJS</v>
      </c>
      <c r="B17513" s="3" t="s">
        <v>113</v>
      </c>
      <c r="C17513" s="5">
        <v>748</v>
      </c>
      <c r="D17513" s="6">
        <v>25.09</v>
      </c>
      <c r="E17513" t="s">
        <v>44</v>
      </c>
    </row>
    <row r="17514" spans="1:5" x14ac:dyDescent="0.25">
      <c r="A17514" t="str">
        <f>HYPERLINK("https://www.773grp.com/globalSearch/PAL20R4ACJS/page-1", "PAL20R4ACJS")</f>
        <v>PAL20R4ACJS</v>
      </c>
      <c r="B17514" s="3" t="s">
        <v>113</v>
      </c>
      <c r="C17514" s="5">
        <v>321</v>
      </c>
      <c r="D17514" s="6">
        <v>25.09</v>
      </c>
      <c r="E17514" t="s">
        <v>44</v>
      </c>
    </row>
    <row r="17515" spans="1:5" x14ac:dyDescent="0.25">
      <c r="A17515" t="str">
        <f>HYPERLINK("https://www.773grp.com/globalSearch/PAL20R8ACJS/page-1", "PAL20R8ACJS")</f>
        <v>PAL20R8ACJS</v>
      </c>
      <c r="B17515" s="3" t="s">
        <v>113</v>
      </c>
      <c r="C17515" s="5">
        <v>750</v>
      </c>
      <c r="D17515" s="6">
        <v>25.09</v>
      </c>
      <c r="E17515" t="s">
        <v>44</v>
      </c>
    </row>
    <row r="17516" spans="1:5" x14ac:dyDescent="0.25">
      <c r="A17516" t="str">
        <f>HYPERLINK("https://www.773grp.com/globalSearch/AMPAL20L10-20JC/page-1", "AMPAL20L10-20JC")</f>
        <v>AMPAL20L10-20JC</v>
      </c>
      <c r="B17516" s="3" t="s">
        <v>113</v>
      </c>
      <c r="C17516" s="5">
        <v>76</v>
      </c>
      <c r="D17516" s="6">
        <v>28.13</v>
      </c>
      <c r="E17516" t="s">
        <v>44</v>
      </c>
    </row>
    <row r="17517" spans="1:5" x14ac:dyDescent="0.25">
      <c r="A17517" t="str">
        <f>HYPERLINK("https://www.773grp.com/globalSearch/PAL22V10-15JC/page-1", "PAL22V10-15JC")</f>
        <v>PAL22V10-15JC</v>
      </c>
      <c r="B17517" s="3" t="s">
        <v>113</v>
      </c>
      <c r="C17517" s="5">
        <v>2570</v>
      </c>
      <c r="D17517" s="6">
        <v>28.13</v>
      </c>
      <c r="E17517" t="s">
        <v>44</v>
      </c>
    </row>
    <row r="17518" spans="1:5" x14ac:dyDescent="0.25">
      <c r="A17518" t="str">
        <f>HYPERLINK("https://www.773grp.com/globalSearch/PAL22V10-15PC/page-1", "PAL22V10-15PC")</f>
        <v>PAL22V10-15PC</v>
      </c>
      <c r="B17518" s="3" t="s">
        <v>113</v>
      </c>
      <c r="C17518" s="5">
        <v>2654</v>
      </c>
      <c r="D17518" s="6">
        <v>28.13</v>
      </c>
      <c r="E17518" t="s">
        <v>44</v>
      </c>
    </row>
    <row r="17519" spans="1:5" x14ac:dyDescent="0.25">
      <c r="A17519" t="str">
        <f>HYPERLINK("https://www.773grp.com/globalSearch/AMPAL20L10BJC/page-1", "AMPAL20L10BJC")</f>
        <v>AMPAL20L10BJC</v>
      </c>
      <c r="B17519" s="3" t="s">
        <v>113</v>
      </c>
      <c r="C17519" s="5">
        <v>121</v>
      </c>
      <c r="D17519" s="6">
        <v>28.83</v>
      </c>
      <c r="E17519" t="s">
        <v>44</v>
      </c>
    </row>
    <row r="17520" spans="1:5" x14ac:dyDescent="0.25">
      <c r="A17520" t="str">
        <f>HYPERLINK("https://www.773grp.com/globalSearch/PAL20L8-7PC/page-1", "PAL20L8-7PC")</f>
        <v>PAL20L8-7PC</v>
      </c>
      <c r="B17520" s="3" t="s">
        <v>113</v>
      </c>
      <c r="C17520" s="5">
        <v>11845</v>
      </c>
      <c r="D17520" s="6">
        <v>29.81</v>
      </c>
      <c r="E17520" t="s">
        <v>44</v>
      </c>
    </row>
    <row r="17521" spans="1:5" x14ac:dyDescent="0.25">
      <c r="A17521" t="str">
        <f>HYPERLINK("https://www.773grp.com/globalSearch/PAL20R4-7JC/page-1", "PAL20R4-7JC")</f>
        <v>PAL20R4-7JC</v>
      </c>
      <c r="B17521" s="3" t="s">
        <v>113</v>
      </c>
      <c r="C17521" s="5">
        <v>2570</v>
      </c>
      <c r="D17521" s="6">
        <v>29.81</v>
      </c>
      <c r="E17521" t="s">
        <v>44</v>
      </c>
    </row>
    <row r="17522" spans="1:5" x14ac:dyDescent="0.25">
      <c r="A17522" t="str">
        <f>HYPERLINK("https://www.773grp.com/globalSearch/PAL20R4-7PC/page-1", "PAL20R4-7PC")</f>
        <v>PAL20R4-7PC</v>
      </c>
      <c r="B17522" s="3" t="s">
        <v>113</v>
      </c>
      <c r="C17522" s="5">
        <v>9763</v>
      </c>
      <c r="D17522" s="6">
        <v>29.81</v>
      </c>
      <c r="E17522" t="s">
        <v>44</v>
      </c>
    </row>
    <row r="17523" spans="1:5" x14ac:dyDescent="0.25">
      <c r="A17523" t="str">
        <f>HYPERLINK("https://www.773grp.com/globalSearch/PAL20R6-7JC/page-1", "PAL20R6-7JC")</f>
        <v>PAL20R6-7JC</v>
      </c>
      <c r="B17523" s="3" t="s">
        <v>113</v>
      </c>
      <c r="C17523" s="5">
        <v>2304</v>
      </c>
      <c r="D17523" s="6">
        <v>29.81</v>
      </c>
      <c r="E17523" t="s">
        <v>44</v>
      </c>
    </row>
    <row r="17524" spans="1:5" x14ac:dyDescent="0.25">
      <c r="A17524" t="str">
        <f>HYPERLINK("https://www.773grp.com/globalSearch/PAL20R6-7PC/page-1", "PAL20R6-7PC")</f>
        <v>PAL20R6-7PC</v>
      </c>
      <c r="B17524" s="3" t="s">
        <v>113</v>
      </c>
      <c r="C17524" s="5">
        <v>799</v>
      </c>
      <c r="D17524" s="6">
        <v>29.81</v>
      </c>
      <c r="E17524" t="s">
        <v>44</v>
      </c>
    </row>
    <row r="17525" spans="1:5" x14ac:dyDescent="0.25">
      <c r="A17525" t="str">
        <f>HYPERLINK("https://www.773grp.com/globalSearch/PAL20R8-7JC/page-1", "PAL20R8-7JC")</f>
        <v>PAL20R8-7JC</v>
      </c>
      <c r="B17525" s="3" t="s">
        <v>113</v>
      </c>
      <c r="C17525" s="5">
        <v>1424</v>
      </c>
      <c r="D17525" s="6">
        <v>29.81</v>
      </c>
      <c r="E17525" t="s">
        <v>44</v>
      </c>
    </row>
    <row r="17526" spans="1:5" x14ac:dyDescent="0.25">
      <c r="A17526" t="str">
        <f>HYPERLINK("https://www.773grp.com/globalSearch/PAL20R8-7PC/page-1", "PAL20R8-7PC")</f>
        <v>PAL20R8-7PC</v>
      </c>
      <c r="B17526" s="3" t="s">
        <v>113</v>
      </c>
      <c r="C17526" s="5">
        <v>1779</v>
      </c>
      <c r="D17526" s="6">
        <v>29.81</v>
      </c>
      <c r="E17526" t="s">
        <v>44</v>
      </c>
    </row>
    <row r="17527" spans="1:5" x14ac:dyDescent="0.25">
      <c r="A17527" t="str">
        <f>HYPERLINK("https://www.773grp.com/globalSearch/PAL20R8BCJS/page-1", "PAL20R8BCJS")</f>
        <v>PAL20R8BCJS</v>
      </c>
      <c r="B17527" s="3" t="s">
        <v>113</v>
      </c>
      <c r="C17527" s="5">
        <v>182</v>
      </c>
      <c r="D17527" s="6">
        <v>32.11</v>
      </c>
      <c r="E17527" t="s">
        <v>44</v>
      </c>
    </row>
    <row r="17528" spans="1:5" x14ac:dyDescent="0.25">
      <c r="A17528" t="str">
        <f>HYPERLINK("https://www.773grp.com/globalSearch/PAL20L8-7JC/page-1", "PAL20L8-7JC")</f>
        <v>PAL20L8-7JC</v>
      </c>
      <c r="B17528" s="3" t="s">
        <v>113</v>
      </c>
      <c r="C17528" s="5">
        <v>25544</v>
      </c>
      <c r="D17528" s="6">
        <v>37.26</v>
      </c>
      <c r="E17528" t="s">
        <v>44</v>
      </c>
    </row>
    <row r="17529" spans="1:5" x14ac:dyDescent="0.25">
      <c r="A17529" t="str">
        <f>HYPERLINK("https://www.773grp.com/globalSearch/PAL16R8-5JC/page-1", "PAL16R8-5JC")</f>
        <v>PAL16R8-5JC</v>
      </c>
      <c r="B17529" s="3" t="s">
        <v>113</v>
      </c>
      <c r="C17529" s="5">
        <v>403</v>
      </c>
      <c r="D17529" s="6">
        <v>37.549999999999997</v>
      </c>
      <c r="E17529" t="s">
        <v>44</v>
      </c>
    </row>
    <row r="17530" spans="1:5" x14ac:dyDescent="0.25">
      <c r="A17530" t="str">
        <f>HYPERLINK("https://www.773grp.com/globalSearch/PAL22V10-10JC/page-1", "PAL22V10-10JC")</f>
        <v>PAL22V10-10JC</v>
      </c>
      <c r="B17530" s="3" t="s">
        <v>113</v>
      </c>
      <c r="C17530" s="5">
        <v>1365</v>
      </c>
      <c r="D17530" s="6">
        <v>39.380000000000003</v>
      </c>
      <c r="E17530" t="s">
        <v>44</v>
      </c>
    </row>
    <row r="17531" spans="1:5" x14ac:dyDescent="0.25">
      <c r="A17531" t="str">
        <f>HYPERLINK("https://www.773grp.com/globalSearch/MACH220-20JC/page-1", "MACH220-20JC")</f>
        <v>MACH220-20JC</v>
      </c>
      <c r="B17531" s="3" t="s">
        <v>113</v>
      </c>
      <c r="C17531" s="5">
        <v>4611</v>
      </c>
      <c r="D17531" s="6">
        <v>39.69</v>
      </c>
      <c r="E17531" t="s">
        <v>44</v>
      </c>
    </row>
    <row r="17532" spans="1:5" x14ac:dyDescent="0.25">
      <c r="A17532" t="str">
        <f>HYPERLINK("https://www.773grp.com/globalSearch/MACH230-20JC/page-1", "MACH230-20JC")</f>
        <v>MACH230-20JC</v>
      </c>
      <c r="B17532" s="3" t="s">
        <v>113</v>
      </c>
      <c r="C17532" s="5">
        <v>10055</v>
      </c>
      <c r="D17532" s="6">
        <v>43.49</v>
      </c>
      <c r="E17532" t="s">
        <v>44</v>
      </c>
    </row>
    <row r="17533" spans="1:5" x14ac:dyDescent="0.25">
      <c r="A17533" t="str">
        <f>HYPERLINK("https://www.773grp.com/globalSearch/PAL22V10-15DC/page-1", "PAL22V10-15DC")</f>
        <v>PAL22V10-15DC</v>
      </c>
      <c r="B17533" s="3" t="s">
        <v>113</v>
      </c>
      <c r="C17533" s="5">
        <v>93</v>
      </c>
      <c r="D17533" s="6">
        <v>43.91</v>
      </c>
      <c r="E17533" t="s">
        <v>44</v>
      </c>
    </row>
    <row r="17534" spans="1:5" x14ac:dyDescent="0.25">
      <c r="A17534" t="str">
        <f>HYPERLINK("https://www.773grp.com/globalSearch/PAL16L8-5JC/page-1", "PAL16L8-5JC")</f>
        <v>PAL16L8-5JC</v>
      </c>
      <c r="B17534" s="3" t="s">
        <v>113</v>
      </c>
      <c r="C17534" s="5">
        <v>2526</v>
      </c>
      <c r="D17534" s="6">
        <v>45</v>
      </c>
      <c r="E17534" t="s">
        <v>44</v>
      </c>
    </row>
    <row r="17535" spans="1:5" x14ac:dyDescent="0.25">
      <c r="A17535" t="str">
        <f>HYPERLINK("https://www.773grp.com/globalSearch/PAL16R6-5JC/page-1", "PAL16R6-5JC")</f>
        <v>PAL16R6-5JC</v>
      </c>
      <c r="B17535" s="3" t="s">
        <v>113</v>
      </c>
      <c r="C17535" s="5">
        <v>18004</v>
      </c>
      <c r="D17535" s="6">
        <v>45</v>
      </c>
      <c r="E17535" t="s">
        <v>44</v>
      </c>
    </row>
    <row r="17536" spans="1:5" x14ac:dyDescent="0.25">
      <c r="A17536" t="str">
        <f>HYPERLINK("https://www.773grp.com/globalSearch/PAL16R6-5PC/page-1", "PAL16R6-5PC")</f>
        <v>PAL16R6-5PC</v>
      </c>
      <c r="B17536" s="3" t="s">
        <v>113</v>
      </c>
      <c r="C17536" s="5">
        <v>1050</v>
      </c>
      <c r="D17536" s="6">
        <v>45</v>
      </c>
      <c r="E17536" t="s">
        <v>44</v>
      </c>
    </row>
    <row r="17537" spans="1:5" x14ac:dyDescent="0.25">
      <c r="A17537" t="str">
        <f>HYPERLINK("https://www.773grp.com/globalSearch/PAL16L8-4JC/page-1", "PAL16L8-4JC")</f>
        <v>PAL16L8-4JC</v>
      </c>
      <c r="B17537" s="3" t="s">
        <v>113</v>
      </c>
      <c r="C17537" s="5">
        <v>6550</v>
      </c>
      <c r="D17537" s="6">
        <v>49.16</v>
      </c>
      <c r="E17537" t="s">
        <v>44</v>
      </c>
    </row>
    <row r="17538" spans="1:5" x14ac:dyDescent="0.25">
      <c r="A17538" t="str">
        <f>HYPERLINK("https://www.773grp.com/globalSearch/PAL16R4-4JC/page-1", "PAL16R4-4JC")</f>
        <v>PAL16R4-4JC</v>
      </c>
      <c r="B17538" s="3" t="s">
        <v>113</v>
      </c>
      <c r="C17538" s="5">
        <v>13</v>
      </c>
      <c r="D17538" s="6">
        <v>49.16</v>
      </c>
      <c r="E17538" t="s">
        <v>44</v>
      </c>
    </row>
    <row r="17539" spans="1:5" x14ac:dyDescent="0.25">
      <c r="A17539" t="str">
        <f>HYPERLINK("https://www.773grp.com/globalSearch/PAL16R8-4JC/page-1", "PAL16R8-4JC")</f>
        <v>PAL16R8-4JC</v>
      </c>
      <c r="B17539" s="3" t="s">
        <v>113</v>
      </c>
      <c r="C17539" s="5">
        <v>136</v>
      </c>
      <c r="D17539" s="6">
        <v>49.16</v>
      </c>
      <c r="E17539" t="s">
        <v>44</v>
      </c>
    </row>
    <row r="17540" spans="1:5" x14ac:dyDescent="0.25">
      <c r="A17540" t="str">
        <f>HYPERLINK("https://www.773grp.com/globalSearch/PAL22V10-7JC/page-1", "PAL22V10-7JC")</f>
        <v>PAL22V10-7JC</v>
      </c>
      <c r="B17540" s="3" t="s">
        <v>113</v>
      </c>
      <c r="C17540" s="5">
        <v>2298</v>
      </c>
      <c r="D17540" s="6">
        <v>52.09</v>
      </c>
      <c r="E17540" t="s">
        <v>44</v>
      </c>
    </row>
    <row r="17541" spans="1:5" x14ac:dyDescent="0.25">
      <c r="A17541" t="str">
        <f>HYPERLINK("https://www.773grp.com/globalSearch/PAL22V10-7PC/page-1", "PAL22V10-7PC")</f>
        <v>PAL22V10-7PC</v>
      </c>
      <c r="B17541" s="3" t="s">
        <v>113</v>
      </c>
      <c r="C17541" s="5">
        <v>12119</v>
      </c>
      <c r="D17541" s="6">
        <v>52.09</v>
      </c>
      <c r="E17541" t="s">
        <v>44</v>
      </c>
    </row>
    <row r="17542" spans="1:5" x14ac:dyDescent="0.25">
      <c r="A17542" t="str">
        <f>HYPERLINK("https://www.773grp.com/globalSearch/PAL16R4-5JC/page-1", "PAL16R4-5JC")</f>
        <v>PAL16R4-5JC</v>
      </c>
      <c r="B17542" s="3" t="s">
        <v>113</v>
      </c>
      <c r="C17542" s="5">
        <v>4108</v>
      </c>
      <c r="D17542" s="6">
        <v>56.25</v>
      </c>
      <c r="E17542" t="s">
        <v>44</v>
      </c>
    </row>
    <row r="17543" spans="1:5" x14ac:dyDescent="0.25">
      <c r="A17543" t="str">
        <f>HYPERLINK("https://www.773grp.com/globalSearch/PAL20L8-5JC/page-1", "PAL20L8-5JC")</f>
        <v>PAL20L8-5JC</v>
      </c>
      <c r="B17543" s="3" t="s">
        <v>113</v>
      </c>
      <c r="C17543" s="5">
        <v>12161</v>
      </c>
      <c r="D17543" s="6">
        <v>56.25</v>
      </c>
      <c r="E17543" t="s">
        <v>44</v>
      </c>
    </row>
    <row r="17544" spans="1:5" x14ac:dyDescent="0.25">
      <c r="A17544" t="str">
        <f>HYPERLINK("https://www.773grp.com/globalSearch/PAL20L8-5PC/page-1", "PAL20L8-5PC")</f>
        <v>PAL20L8-5PC</v>
      </c>
      <c r="B17544" s="3" t="s">
        <v>113</v>
      </c>
      <c r="C17544" s="5">
        <v>1652</v>
      </c>
      <c r="D17544" s="6">
        <v>56.25</v>
      </c>
      <c r="E17544" t="s">
        <v>44</v>
      </c>
    </row>
    <row r="17545" spans="1:5" x14ac:dyDescent="0.25">
      <c r="A17545" t="str">
        <f>HYPERLINK("https://www.773grp.com/globalSearch/PAL20R4-5JC/page-1", "PAL20R4-5JC")</f>
        <v>PAL20R4-5JC</v>
      </c>
      <c r="B17545" s="3" t="s">
        <v>113</v>
      </c>
      <c r="C17545" s="5">
        <v>1600</v>
      </c>
      <c r="D17545" s="6">
        <v>56.25</v>
      </c>
      <c r="E17545" t="s">
        <v>44</v>
      </c>
    </row>
    <row r="17546" spans="1:5" x14ac:dyDescent="0.25">
      <c r="A17546" t="str">
        <f>HYPERLINK("https://www.773grp.com/globalSearch/PAL20R6-5JC/page-1", "PAL20R6-5JC")</f>
        <v>PAL20R6-5JC</v>
      </c>
      <c r="B17546" s="3" t="s">
        <v>113</v>
      </c>
      <c r="C17546" s="5">
        <v>4790</v>
      </c>
      <c r="D17546" s="6">
        <v>56.25</v>
      </c>
      <c r="E17546" t="s">
        <v>44</v>
      </c>
    </row>
    <row r="17547" spans="1:5" x14ac:dyDescent="0.25">
      <c r="A17547" t="str">
        <f>HYPERLINK("https://www.773grp.com/globalSearch/PAL20R6-5PC/page-1", "PAL20R6-5PC")</f>
        <v>PAL20R6-5PC</v>
      </c>
      <c r="B17547" s="3" t="s">
        <v>113</v>
      </c>
      <c r="C17547" s="5">
        <v>208</v>
      </c>
      <c r="D17547" s="6">
        <v>56.25</v>
      </c>
      <c r="E17547" t="s">
        <v>44</v>
      </c>
    </row>
    <row r="17548" spans="1:5" x14ac:dyDescent="0.25">
      <c r="A17548" t="str">
        <f>HYPERLINK("https://www.773grp.com/globalSearch/PAL20R8-5JC/page-1", "PAL20R8-5JC")</f>
        <v>PAL20R8-5JC</v>
      </c>
      <c r="B17548" s="3" t="s">
        <v>113</v>
      </c>
      <c r="C17548" s="5">
        <v>875</v>
      </c>
      <c r="D17548" s="6">
        <v>56.25</v>
      </c>
      <c r="E17548" t="s">
        <v>44</v>
      </c>
    </row>
    <row r="17549" spans="1:5" x14ac:dyDescent="0.25">
      <c r="A17549" t="str">
        <f>HYPERLINK("https://www.773grp.com/globalSearch/PAL20R8-5PC/page-1", "PAL20R8-5PC")</f>
        <v>PAL20R8-5PC</v>
      </c>
      <c r="B17549" s="3" t="s">
        <v>113</v>
      </c>
      <c r="C17549" s="5">
        <v>429</v>
      </c>
      <c r="D17549" s="6">
        <v>56.25</v>
      </c>
      <c r="E17549" t="s">
        <v>44</v>
      </c>
    </row>
    <row r="17550" spans="1:5" x14ac:dyDescent="0.25">
      <c r="A17550" t="str">
        <f>HYPERLINK("https://www.773grp.com/globalSearch/PAL16R8-7DC/page-1", "PAL16R8-7DC")</f>
        <v>PAL16R8-7DC</v>
      </c>
      <c r="B17550" s="3" t="s">
        <v>113</v>
      </c>
      <c r="C17550" s="5">
        <v>500</v>
      </c>
      <c r="D17550" s="6">
        <v>65.86</v>
      </c>
      <c r="E17550" t="s">
        <v>44</v>
      </c>
    </row>
    <row r="17551" spans="1:5" x14ac:dyDescent="0.25">
      <c r="A17551" t="str">
        <f>HYPERLINK("https://www.773grp.com/globalSearch/PAL16L8-7DC/page-1", "PAL16L8-7DC")</f>
        <v>PAL16L8-7DC</v>
      </c>
      <c r="B17551" s="3" t="s">
        <v>113</v>
      </c>
      <c r="C17551" s="5">
        <v>608</v>
      </c>
      <c r="D17551" s="6">
        <v>66.709999999999994</v>
      </c>
      <c r="E17551" t="s">
        <v>44</v>
      </c>
    </row>
    <row r="17552" spans="1:5" x14ac:dyDescent="0.25">
      <c r="A17552" t="str">
        <f>HYPERLINK("https://www.773grp.com/globalSearch/MACH435-20JC/page-1", "MACH435-20JC")</f>
        <v>MACH435-20JC</v>
      </c>
      <c r="B17552" s="3" t="s">
        <v>113</v>
      </c>
      <c r="C17552" s="5">
        <v>1272</v>
      </c>
      <c r="D17552" s="6">
        <v>78.75</v>
      </c>
      <c r="E17552" t="s">
        <v>44</v>
      </c>
    </row>
    <row r="17553" spans="1:5" x14ac:dyDescent="0.25">
      <c r="A17553" t="str">
        <f>HYPERLINK("https://www.773grp.com/globalSearch/MACH435Q-25JC/page-1", "MACH435Q-25JC")</f>
        <v>MACH435Q-25JC</v>
      </c>
      <c r="B17553" s="3" t="s">
        <v>113</v>
      </c>
      <c r="C17553" s="5">
        <v>1784</v>
      </c>
      <c r="D17553" s="6">
        <v>78.75</v>
      </c>
      <c r="E17553" t="s">
        <v>44</v>
      </c>
    </row>
    <row r="17554" spans="1:5" x14ac:dyDescent="0.25">
      <c r="A17554" t="str">
        <f>HYPERLINK("https://www.773grp.com/globalSearch/MACH465-20YC/page-1", "MACH465-20YC")</f>
        <v>MACH465-20YC</v>
      </c>
      <c r="B17554" s="3" t="s">
        <v>113</v>
      </c>
      <c r="C17554" s="5">
        <v>1264</v>
      </c>
      <c r="D17554" s="6">
        <v>181.13</v>
      </c>
      <c r="E17554" t="s">
        <v>44</v>
      </c>
    </row>
    <row r="17555" spans="1:5" x14ac:dyDescent="0.25">
      <c r="A17555" t="str">
        <f>HYPERLINK("https://www.773grp.com/globalSearch/XC9536XV-5VQ44C/page-1", "XC9536XV-5VQ44C")</f>
        <v>XC9536XV-5VQ44C</v>
      </c>
      <c r="B17555" s="3" t="str">
        <f>HYPERLINK("https://www.773grp.com/manufacturer/amd?pageNo=32", "Xilinx")</f>
        <v>Xilinx</v>
      </c>
      <c r="C17555" s="5">
        <v>1400</v>
      </c>
      <c r="D17555" s="6">
        <v>3.34</v>
      </c>
      <c r="E17555" t="s">
        <v>44</v>
      </c>
    </row>
    <row r="17556" spans="1:5" x14ac:dyDescent="0.25">
      <c r="A17556" t="str">
        <f>HYPERLINK("https://www.773grp.com/globalSearch/XC9536XL-10VQ44Q/page-1", "XC9536XL-10VQ44Q")</f>
        <v>XC9536XL-10VQ44Q</v>
      </c>
      <c r="B17556" s="3" t="str">
        <f>HYPERLINK("https://www.773grp.com/manufacturer/amd?pageNo=33", "Xilinx")</f>
        <v>Xilinx</v>
      </c>
      <c r="C17556" s="5">
        <v>3205</v>
      </c>
      <c r="D17556" s="6">
        <v>3.46</v>
      </c>
      <c r="E17556" t="s">
        <v>44</v>
      </c>
    </row>
    <row r="17557" spans="1:5" x14ac:dyDescent="0.25">
      <c r="A17557" t="str">
        <f>HYPERLINK("https://www.773grp.com/globalSearch/XC9536XL-10VQG44Q/page-1", "XC9536XL-10VQG44Q")</f>
        <v>XC9536XL-10VQG44Q</v>
      </c>
      <c r="B17557" s="3" t="str">
        <f>HYPERLINK("https://www.773grp.com/manufacturer/amd?pageNo=34", "Xilinx")</f>
        <v>Xilinx</v>
      </c>
      <c r="C17557" s="5">
        <v>6776</v>
      </c>
      <c r="D17557" s="6">
        <v>3.46</v>
      </c>
      <c r="E17557" t="s">
        <v>44</v>
      </c>
    </row>
    <row r="17558" spans="1:5" x14ac:dyDescent="0.25">
      <c r="A17558" t="str">
        <f>HYPERLINK("https://www.773grp.com/globalSearch/XC2C32A-4PC44C/page-1", "XC2C32A-4PC44C")</f>
        <v>XC2C32A-4PC44C</v>
      </c>
      <c r="B17558" s="3" t="str">
        <f>HYPERLINK("https://www.773grp.com/manufacturer/amd?pageNo=35", "Xilinx")</f>
        <v>Xilinx</v>
      </c>
      <c r="C17558" s="5">
        <v>3833</v>
      </c>
      <c r="D17558" s="6">
        <v>3.71</v>
      </c>
      <c r="E17558" t="s">
        <v>44</v>
      </c>
    </row>
    <row r="17559" spans="1:5" x14ac:dyDescent="0.25">
      <c r="A17559" t="str">
        <f>HYPERLINK("https://www.773grp.com/globalSearch/XC2C32A-4PCG44C/page-1", "XC2C32A-4PCG44C")</f>
        <v>XC2C32A-4PCG44C</v>
      </c>
      <c r="B17559" s="3" t="str">
        <f>HYPERLINK("https://www.773grp.com/manufacturer/amd?pageNo=36", "Xilinx")</f>
        <v>Xilinx</v>
      </c>
      <c r="C17559" s="5">
        <v>7562</v>
      </c>
      <c r="D17559" s="6">
        <v>3.71</v>
      </c>
      <c r="E17559" t="s">
        <v>44</v>
      </c>
    </row>
    <row r="17560" spans="1:5" x14ac:dyDescent="0.25">
      <c r="A17560" t="str">
        <f>HYPERLINK("https://www.773grp.com/globalSearch/XC2C32A-6PC44C/page-1", "XC2C32A-6PC44C")</f>
        <v>XC2C32A-6PC44C</v>
      </c>
      <c r="B17560" s="3" t="str">
        <f>HYPERLINK("https://www.773grp.com/manufacturer/amd?pageNo=37", "Xilinx")</f>
        <v>Xilinx</v>
      </c>
      <c r="C17560" s="5">
        <v>2</v>
      </c>
      <c r="D17560" s="6">
        <v>5.16</v>
      </c>
      <c r="E17560" t="s">
        <v>44</v>
      </c>
    </row>
    <row r="17561" spans="1:5" x14ac:dyDescent="0.25">
      <c r="A17561" t="str">
        <f>HYPERLINK("https://www.773grp.com/globalSearch/XC2C32A-6PCG44C/page-1", "XC2C32A-6PCG44C")</f>
        <v>XC2C32A-6PCG44C</v>
      </c>
      <c r="B17561" s="3" t="str">
        <f>HYPERLINK("https://www.773grp.com/manufacturer/amd?pageNo=38", "Xilinx")</f>
        <v>Xilinx</v>
      </c>
      <c r="C17561" s="5">
        <v>681</v>
      </c>
      <c r="D17561" s="6">
        <v>5.16</v>
      </c>
      <c r="E17561" t="s">
        <v>44</v>
      </c>
    </row>
    <row r="17562" spans="1:5" x14ac:dyDescent="0.25">
      <c r="A17562" t="str">
        <f>HYPERLINK("https://www.773grp.com/globalSearch/XC9572XV-7VQG44C/page-1", "XC9572XV-7VQG44C")</f>
        <v>XC9572XV-7VQG44C</v>
      </c>
      <c r="B17562" s="3" t="str">
        <f>HYPERLINK("https://www.773grp.com/manufacturer/amd?pageNo=39", "Xilinx")</f>
        <v>Xilinx</v>
      </c>
      <c r="C17562" s="5">
        <v>10324</v>
      </c>
      <c r="D17562" s="6">
        <v>5.16</v>
      </c>
      <c r="E17562" t="s">
        <v>44</v>
      </c>
    </row>
    <row r="17563" spans="1:5" x14ac:dyDescent="0.25">
      <c r="A17563" t="str">
        <f>HYPERLINK("https://www.773grp.com/globalSearch/XC2C64A-7PC44C/page-1", "XC2C64A-7PC44C")</f>
        <v>XC2C64A-7PC44C</v>
      </c>
      <c r="B17563" s="3" t="str">
        <f>HYPERLINK("https://www.773grp.com/manufacturer/amd?pageNo=40", "Xilinx")</f>
        <v>Xilinx</v>
      </c>
      <c r="C17563" s="5">
        <v>8475</v>
      </c>
      <c r="D17563" s="6">
        <v>5.26</v>
      </c>
      <c r="E17563" t="s">
        <v>44</v>
      </c>
    </row>
    <row r="17564" spans="1:5" x14ac:dyDescent="0.25">
      <c r="A17564" t="str">
        <f>HYPERLINK("https://www.773grp.com/globalSearch/XC2C64A-7PCG44C/page-1", "XC2C64A-7PCG44C")</f>
        <v>XC2C64A-7PCG44C</v>
      </c>
      <c r="B17564" s="3" t="str">
        <f>HYPERLINK("https://www.773grp.com/manufacturer/amd?pageNo=41", "Xilinx")</f>
        <v>Xilinx</v>
      </c>
      <c r="C17564" s="5">
        <v>2234</v>
      </c>
      <c r="D17564" s="6">
        <v>5.26</v>
      </c>
      <c r="E17564" t="s">
        <v>44</v>
      </c>
    </row>
    <row r="17565" spans="1:5" x14ac:dyDescent="0.25">
      <c r="A17565" t="str">
        <f>HYPERLINK("https://www.773grp.com/globalSearch/XC2C64A-7PCG44I/page-1", "XC2C64A-7PCG44I")</f>
        <v>XC2C64A-7PCG44I</v>
      </c>
      <c r="B17565" s="3" t="str">
        <f>HYPERLINK("https://www.773grp.com/manufacturer/amd?pageNo=42", "Xilinx")</f>
        <v>Xilinx</v>
      </c>
      <c r="C17565" s="5">
        <v>3520</v>
      </c>
      <c r="D17565" s="6">
        <v>6.33</v>
      </c>
      <c r="E17565" t="s">
        <v>44</v>
      </c>
    </row>
    <row r="17566" spans="1:5" x14ac:dyDescent="0.25">
      <c r="A17566" t="str">
        <f>HYPERLINK("https://www.773grp.com/globalSearch/XC9572XV-7VQ44C/page-1", "XC9572XV-7VQ44C")</f>
        <v>XC9572XV-7VQ44C</v>
      </c>
      <c r="B17566" s="3" t="str">
        <f>HYPERLINK("https://www.773grp.com/manufacturer/amd?pageNo=44", "Xilinx")</f>
        <v>Xilinx</v>
      </c>
      <c r="C17566" s="5">
        <v>794</v>
      </c>
      <c r="D17566" s="6">
        <v>6.8</v>
      </c>
      <c r="E17566" t="s">
        <v>44</v>
      </c>
    </row>
    <row r="17567" spans="1:5" x14ac:dyDescent="0.25">
      <c r="A17567" t="str">
        <f>HYPERLINK("https://www.773grp.com/globalSearch/XCR3032XL-10VQ44Q/page-1", "XCR3032XL-10VQ44Q")</f>
        <v>XCR3032XL-10VQ44Q</v>
      </c>
      <c r="B17567" s="3" t="str">
        <f>HYPERLINK("https://www.773grp.com/manufacturer/amd?pageNo=45", "Xilinx")</f>
        <v>Xilinx</v>
      </c>
      <c r="C17567" s="5">
        <v>3523</v>
      </c>
      <c r="D17567" s="6">
        <v>6.95</v>
      </c>
      <c r="E17567" t="s">
        <v>44</v>
      </c>
    </row>
    <row r="17568" spans="1:5" x14ac:dyDescent="0.25">
      <c r="A17568" t="str">
        <f>HYPERLINK("https://www.773grp.com/globalSearch/XC9572XL-10VQ64Q/page-1", "XC9572XL-10VQ64Q")</f>
        <v>XC9572XL-10VQ64Q</v>
      </c>
      <c r="B17568" s="3" t="str">
        <f>HYPERLINK("https://www.773grp.com/manufacturer/amd?pageNo=47", "Xilinx")</f>
        <v>Xilinx</v>
      </c>
      <c r="C17568" s="5">
        <v>2996</v>
      </c>
      <c r="D17568" s="6">
        <v>7.76</v>
      </c>
      <c r="E17568" t="s">
        <v>44</v>
      </c>
    </row>
    <row r="17569" spans="1:5" x14ac:dyDescent="0.25">
      <c r="A17569" t="str">
        <f>HYPERLINK("https://www.773grp.com/globalSearch/XC9572XL-10TQ100Q/page-1", "XC9572XL-10TQ100Q")</f>
        <v>XC9572XL-10TQ100Q</v>
      </c>
      <c r="B17569" s="3" t="str">
        <f>HYPERLINK("https://www.773grp.com/manufacturer/amd?pageNo=48", "Xilinx")</f>
        <v>Xilinx</v>
      </c>
      <c r="C17569" s="5">
        <v>31</v>
      </c>
      <c r="D17569" s="6">
        <v>8.24</v>
      </c>
      <c r="E17569" t="s">
        <v>44</v>
      </c>
    </row>
    <row r="17570" spans="1:5" x14ac:dyDescent="0.25">
      <c r="A17570" t="str">
        <f>HYPERLINK("https://www.773grp.com/globalSearch/XC9572XL-10TQG100Q/page-1", "XC9572XL-10TQG100Q")</f>
        <v>XC9572XL-10TQG100Q</v>
      </c>
      <c r="B17570" s="3" t="str">
        <f>HYPERLINK("https://www.773grp.com/manufacturer/amd?pageNo=49", "Xilinx")</f>
        <v>Xilinx</v>
      </c>
      <c r="C17570" s="5">
        <v>272</v>
      </c>
      <c r="D17570" s="6">
        <v>8.24</v>
      </c>
      <c r="E17570" t="s">
        <v>44</v>
      </c>
    </row>
    <row r="17571" spans="1:5" x14ac:dyDescent="0.25">
      <c r="A17571" t="str">
        <f>HYPERLINK("https://www.773grp.com/globalSearch/XC9572XV-5VQ44C/page-1", "XC9572XV-5VQ44C")</f>
        <v>XC9572XV-5VQ44C</v>
      </c>
      <c r="B17571" s="3" t="str">
        <f>HYPERLINK("https://www.773grp.com/manufacturer/amd?pageNo=50", "Xilinx")</f>
        <v>Xilinx</v>
      </c>
      <c r="C17571" s="5">
        <v>2211</v>
      </c>
      <c r="D17571" s="6">
        <v>8.24</v>
      </c>
      <c r="E17571" t="s">
        <v>44</v>
      </c>
    </row>
    <row r="17572" spans="1:5" x14ac:dyDescent="0.25">
      <c r="A17572" t="str">
        <f>HYPERLINK("https://www.773grp.com/globalSearch/XC9572XV-7TQ100C/page-1", "XC9572XV-7TQ100C")</f>
        <v>XC9572XV-7TQ100C</v>
      </c>
      <c r="B17572" s="3" t="str">
        <f>HYPERLINK("https://www.773grp.com/manufacturer/amd?pageNo=54", "Xilinx")</f>
        <v>Xilinx</v>
      </c>
      <c r="C17572" s="5">
        <v>474</v>
      </c>
      <c r="D17572" s="6">
        <v>8.86</v>
      </c>
      <c r="E17572" t="s">
        <v>44</v>
      </c>
    </row>
    <row r="17573" spans="1:5" x14ac:dyDescent="0.25">
      <c r="A17573" t="str">
        <f>HYPERLINK("https://www.773grp.com/globalSearch/XCR3064XL-10PCG44C/page-1", "XCR3064XL-10PCG44C")</f>
        <v>XCR3064XL-10PCG44C</v>
      </c>
      <c r="B17573" s="3" t="str">
        <f>HYPERLINK("https://www.773grp.com/manufacturer/amd?pageNo=55", "Xilinx")</f>
        <v>Xilinx</v>
      </c>
      <c r="C17573" s="5">
        <v>2</v>
      </c>
      <c r="D17573" s="6">
        <v>9.1999999999999993</v>
      </c>
      <c r="E17573" t="s">
        <v>44</v>
      </c>
    </row>
    <row r="17574" spans="1:5" x14ac:dyDescent="0.25">
      <c r="A17574" t="str">
        <f>HYPERLINK("https://www.773grp.com/globalSearch/XC95144XV-7TQ144C/page-1", "XC95144XV-7TQ144C")</f>
        <v>XC95144XV-7TQ144C</v>
      </c>
      <c r="B17574" s="3" t="str">
        <f>HYPERLINK("https://www.773grp.com/manufacturer/amd?pageNo=76", "Xilinx")</f>
        <v>Xilinx</v>
      </c>
      <c r="C17574" s="5">
        <v>56</v>
      </c>
      <c r="D17574" s="6">
        <v>17.940000000000001</v>
      </c>
      <c r="E17574" t="s">
        <v>44</v>
      </c>
    </row>
    <row r="17575" spans="1:5" x14ac:dyDescent="0.25">
      <c r="A17575" t="str">
        <f>HYPERLINK("https://www.773grp.com/globalSearch/XC95144XV-7CS144C/page-1", "XC95144XV-7CS144C")</f>
        <v>XC95144XV-7CS144C</v>
      </c>
      <c r="B17575" s="3" t="str">
        <f>HYPERLINK("https://www.773grp.com/manufacturer/amd?pageNo=77", "Xilinx")</f>
        <v>Xilinx</v>
      </c>
      <c r="C17575" s="5">
        <v>1459</v>
      </c>
      <c r="D17575" s="6">
        <v>18.899999999999999</v>
      </c>
      <c r="E17575" t="s">
        <v>44</v>
      </c>
    </row>
    <row r="17576" spans="1:5" x14ac:dyDescent="0.25">
      <c r="A17576" t="str">
        <f>HYPERLINK("https://www.773grp.com/globalSearch/XC95144XV-7CSG144C/page-1", "XC95144XV-7CSG144C")</f>
        <v>XC95144XV-7CSG144C</v>
      </c>
      <c r="B17576" s="3" t="str">
        <f>HYPERLINK("https://www.773grp.com/manufacturer/amd?pageNo=78", "Xilinx")</f>
        <v>Xilinx</v>
      </c>
      <c r="C17576" s="5">
        <v>1008</v>
      </c>
      <c r="D17576" s="6">
        <v>18.899999999999999</v>
      </c>
      <c r="E17576" t="s">
        <v>44</v>
      </c>
    </row>
    <row r="17577" spans="1:5" x14ac:dyDescent="0.25">
      <c r="A17577" t="str">
        <f>HYPERLINK("https://www.773grp.com/globalSearch/XC95144XV-7TQ144I/page-1", "XC95144XV-7TQ144I")</f>
        <v>XC95144XV-7TQ144I</v>
      </c>
      <c r="B17577" s="3" t="str">
        <f>HYPERLINK("https://www.773grp.com/manufacturer/amd?pageNo=85", "Xilinx")</f>
        <v>Xilinx</v>
      </c>
      <c r="C17577" s="5">
        <v>571</v>
      </c>
      <c r="D17577" s="6">
        <v>21.51</v>
      </c>
      <c r="E17577" t="s">
        <v>44</v>
      </c>
    </row>
    <row r="17578" spans="1:5" x14ac:dyDescent="0.25">
      <c r="A17578" t="str">
        <f>HYPERLINK("https://www.773grp.com/globalSearch/XC95144XV-5TQ100C/page-1", "XC95144XV-5TQ100C")</f>
        <v>XC95144XV-5TQ100C</v>
      </c>
      <c r="B17578" s="3" t="str">
        <f>HYPERLINK("https://www.773grp.com/manufacturer/amd?pageNo=90", "Xilinx")</f>
        <v>Xilinx</v>
      </c>
      <c r="C17578" s="5">
        <v>1364</v>
      </c>
      <c r="D17578" s="6">
        <v>24.86</v>
      </c>
      <c r="E17578" t="s">
        <v>44</v>
      </c>
    </row>
    <row r="17579" spans="1:5" x14ac:dyDescent="0.25">
      <c r="A17579" t="str">
        <f>HYPERLINK("https://www.773grp.com/globalSearch/XC95144XV-5TQG100C/page-1", "XC95144XV-5TQG100C")</f>
        <v>XC95144XV-5TQG100C</v>
      </c>
      <c r="B17579" s="3" t="str">
        <f>HYPERLINK("https://www.773grp.com/manufacturer/amd?pageNo=95", "Xilinx")</f>
        <v>Xilinx</v>
      </c>
      <c r="C17579" s="5">
        <v>126</v>
      </c>
      <c r="D17579" s="6">
        <v>26.78</v>
      </c>
      <c r="E17579" t="s">
        <v>44</v>
      </c>
    </row>
    <row r="17580" spans="1:5" x14ac:dyDescent="0.25">
      <c r="A17580" t="str">
        <f>HYPERLINK("https://www.773grp.com/globalSearch/XC95144XV-5CS144C/page-1", "XC95144XV-5CS144C")</f>
        <v>XC95144XV-5CS144C</v>
      </c>
      <c r="B17580" s="3" t="str">
        <f>HYPERLINK("https://www.773grp.com/manufacturer/amd?pageNo=99", "Xilinx")</f>
        <v>Xilinx</v>
      </c>
      <c r="C17580" s="5">
        <v>1110</v>
      </c>
      <c r="D17580" s="6">
        <v>28.21</v>
      </c>
      <c r="E17580" t="s">
        <v>44</v>
      </c>
    </row>
    <row r="17581" spans="1:5" x14ac:dyDescent="0.25">
      <c r="A17581" t="str">
        <f>HYPERLINK("https://www.773grp.com/globalSearch/XC95288XV-7PQ208C/page-1", "XC95288XV-7PQ208C")</f>
        <v>XC95288XV-7PQ208C</v>
      </c>
      <c r="B17581" s="3" t="s">
        <v>115</v>
      </c>
      <c r="C17581" s="5">
        <v>5</v>
      </c>
      <c r="D17581" s="6">
        <v>38.03</v>
      </c>
      <c r="E17581" t="s">
        <v>44</v>
      </c>
    </row>
    <row r="17582" spans="1:5" x14ac:dyDescent="0.25">
      <c r="A17582" t="str">
        <f>HYPERLINK("https://www.773grp.com/globalSearch/XC95288XV-7FG256C/page-1", "XC95288XV-7FG256C")</f>
        <v>XC95288XV-7FG256C</v>
      </c>
      <c r="B17582" s="3" t="s">
        <v>115</v>
      </c>
      <c r="C17582" s="5">
        <v>947</v>
      </c>
      <c r="D17582" s="6">
        <v>41.71</v>
      </c>
      <c r="E17582" t="s">
        <v>44</v>
      </c>
    </row>
    <row r="17583" spans="1:5" x14ac:dyDescent="0.25">
      <c r="A17583" t="str">
        <f>HYPERLINK("https://www.773grp.com/globalSearch/XC95288XV-10FG256I/page-1", "XC95288XV-10FG256I")</f>
        <v>XC95288XV-10FG256I</v>
      </c>
      <c r="B17583" s="3" t="s">
        <v>115</v>
      </c>
      <c r="C17583" s="5">
        <v>525</v>
      </c>
      <c r="D17583" s="6">
        <v>47.7</v>
      </c>
      <c r="E17583" t="s">
        <v>44</v>
      </c>
    </row>
    <row r="17584" spans="1:5" x14ac:dyDescent="0.25">
      <c r="A17584" t="str">
        <f>HYPERLINK("https://www.773grp.com/globalSearch/XC95288XV-6PQ208C/page-1", "XC95288XV-6PQ208C")</f>
        <v>XC95288XV-6PQ208C</v>
      </c>
      <c r="B17584" s="3" t="s">
        <v>115</v>
      </c>
      <c r="C17584" s="5">
        <v>399</v>
      </c>
      <c r="D17584" s="6">
        <v>57.15</v>
      </c>
      <c r="E17584" t="s">
        <v>44</v>
      </c>
    </row>
    <row r="17585" spans="1:5" x14ac:dyDescent="0.25">
      <c r="A17585" t="str">
        <f>HYPERLINK("https://www.773grp.com/globalSearch/XC95288XV-6FG256C/page-1", "XC95288XV-6FG256C")</f>
        <v>XC95288XV-6FG256C</v>
      </c>
      <c r="B17585" s="3" t="s">
        <v>115</v>
      </c>
      <c r="C17585" s="5">
        <v>320</v>
      </c>
      <c r="D17585" s="6">
        <v>62.53</v>
      </c>
      <c r="E17585" t="s">
        <v>44</v>
      </c>
    </row>
    <row r="17586" spans="1:5" x14ac:dyDescent="0.25">
      <c r="A17586" t="str">
        <f>HYPERLINK("https://www.773grp.com/globalSearch/XC95216-15HQ208C/page-1", "XC95216-15HQ208C")</f>
        <v>XC95216-15HQ208C</v>
      </c>
      <c r="B17586" s="3" t="s">
        <v>115</v>
      </c>
      <c r="C17586" s="5">
        <v>243</v>
      </c>
      <c r="D17586" s="6">
        <v>80.099999999999994</v>
      </c>
      <c r="E17586" t="s">
        <v>44</v>
      </c>
    </row>
    <row r="17587" spans="1:5" x14ac:dyDescent="0.25">
      <c r="A17587" t="str">
        <f>HYPERLINK("https://www.773grp.com/globalSearch/TMS27PC512-12FML/page-1", "TMS27PC512-12FML")</f>
        <v>TMS27PC512-12FML</v>
      </c>
      <c r="B17587" s="3" t="str">
        <f>HYPERLINK("https://www.773grp.com/manufacturer/texas-instruments?pageNo=131", "Texas Instruments")</f>
        <v>Texas Instruments</v>
      </c>
      <c r="C17587" s="5">
        <v>1</v>
      </c>
      <c r="D17587" s="6">
        <v>4.2300000000000004</v>
      </c>
      <c r="E17587" t="s">
        <v>53</v>
      </c>
    </row>
    <row r="17588" spans="1:5" x14ac:dyDescent="0.25">
      <c r="A17588" t="str">
        <f>HYPERLINK("https://www.773grp.com/globalSearch/BQ2022ADBZR/page-1", "BQ2022ADBZR")</f>
        <v>BQ2022ADBZR</v>
      </c>
      <c r="B17588" s="3" t="s">
        <v>90</v>
      </c>
      <c r="C17588" s="5">
        <v>3000</v>
      </c>
      <c r="D17588" s="6">
        <v>4.74</v>
      </c>
      <c r="E17588" t="s">
        <v>53</v>
      </c>
    </row>
    <row r="17589" spans="1:5" x14ac:dyDescent="0.25">
      <c r="A17589" t="str">
        <f>HYPERLINK("https://www.773grp.com/globalSearch/BQ2024DBZR/page-1", "BQ2024DBZR")</f>
        <v>BQ2024DBZR</v>
      </c>
      <c r="B17589" s="3" t="str">
        <f>HYPERLINK("https://www.773grp.com/manufacturer/texas-instruments?pageNo=466", "Texas Instruments")</f>
        <v>Texas Instruments</v>
      </c>
      <c r="C17589" s="5">
        <v>194984</v>
      </c>
      <c r="D17589" s="6">
        <v>5.01</v>
      </c>
      <c r="E17589" t="s">
        <v>53</v>
      </c>
    </row>
    <row r="17590" spans="1:5" x14ac:dyDescent="0.25">
      <c r="A17590" t="str">
        <f>HYPERLINK("https://www.773grp.com/globalSearch/TMS29F040-90C5FML/page-1", "TMS29F040-90C5FML")</f>
        <v>TMS29F040-90C5FML</v>
      </c>
      <c r="B17590" s="3" t="s">
        <v>90</v>
      </c>
      <c r="C17590" s="5">
        <v>409</v>
      </c>
      <c r="D17590" s="6">
        <v>4.93</v>
      </c>
      <c r="E17590" t="s">
        <v>53</v>
      </c>
    </row>
    <row r="17591" spans="1:5" x14ac:dyDescent="0.25">
      <c r="A17591" t="str">
        <f>HYPERLINK("https://www.773grp.com/globalSearch/TMS27PC256-15FMLR/page-1", "TMS27PC256-15FMLR")</f>
        <v>TMS27PC256-15FMLR</v>
      </c>
      <c r="B17591" s="3" t="s">
        <v>90</v>
      </c>
      <c r="C17591" s="5">
        <v>925</v>
      </c>
      <c r="D17591" s="6">
        <v>5.74</v>
      </c>
      <c r="E17591" t="s">
        <v>53</v>
      </c>
    </row>
    <row r="17592" spans="1:5" x14ac:dyDescent="0.25">
      <c r="A17592" t="str">
        <f>HYPERLINK("https://www.773grp.com/globalSearch/TMS27PC512-120FML/page-1", "TMS27PC512-120FML")</f>
        <v>TMS27PC512-120FML</v>
      </c>
      <c r="B17592" s="3" t="s">
        <v>90</v>
      </c>
      <c r="C17592" s="5">
        <v>110</v>
      </c>
      <c r="D17592" s="6">
        <v>5.94</v>
      </c>
      <c r="E17592" t="s">
        <v>53</v>
      </c>
    </row>
    <row r="17593" spans="1:5" x14ac:dyDescent="0.25">
      <c r="A17593" t="str">
        <f>HYPERLINK("https://www.773grp.com/globalSearch/TMS27PC256-2NL/page-1", "TMS27PC256-2NL")</f>
        <v>TMS27PC256-2NL</v>
      </c>
      <c r="B17593" s="3" t="str">
        <f>HYPERLINK("https://www.773grp.com/manufacturer/texas-instruments?pageNo=446", "Texas Instruments")</f>
        <v>Texas Instruments</v>
      </c>
      <c r="C17593" s="5">
        <v>4165</v>
      </c>
      <c r="D17593" s="6">
        <v>6.71</v>
      </c>
      <c r="E17593" t="s">
        <v>53</v>
      </c>
    </row>
    <row r="17594" spans="1:5" x14ac:dyDescent="0.25">
      <c r="A17594" t="str">
        <f>HYPERLINK("https://www.773grp.com/globalSearch/TMS27PC256-17FML/page-1", "TMS27PC256-17FML")</f>
        <v>TMS27PC256-17FML</v>
      </c>
      <c r="B17594" s="3" t="s">
        <v>90</v>
      </c>
      <c r="C17594" s="5">
        <v>43231</v>
      </c>
      <c r="D17594" s="6">
        <v>7.39</v>
      </c>
      <c r="E17594" t="s">
        <v>53</v>
      </c>
    </row>
    <row r="17595" spans="1:5" x14ac:dyDescent="0.25">
      <c r="A17595" t="str">
        <f>HYPERLINK("https://www.773grp.com/globalSearch/TMS27PC512-2FML/page-1", "TMS27PC512-2FML")</f>
        <v>TMS27PC512-2FML</v>
      </c>
      <c r="B17595" s="3" t="s">
        <v>90</v>
      </c>
      <c r="C17595" s="5">
        <v>16893</v>
      </c>
      <c r="D17595" s="6">
        <v>7.65</v>
      </c>
      <c r="E17595" t="s">
        <v>53</v>
      </c>
    </row>
    <row r="17596" spans="1:5" x14ac:dyDescent="0.25">
      <c r="A17596" t="str">
        <f>HYPERLINK("https://www.773grp.com/globalSearch/BQ2022DBZR/page-1", "BQ2022DBZR")</f>
        <v>BQ2022DBZR</v>
      </c>
      <c r="B17596" s="3" t="s">
        <v>90</v>
      </c>
      <c r="C17596" s="5">
        <v>5860</v>
      </c>
      <c r="D17596" s="6">
        <v>8.86</v>
      </c>
      <c r="E17596" t="s">
        <v>53</v>
      </c>
    </row>
    <row r="17597" spans="1:5" x14ac:dyDescent="0.25">
      <c r="A17597" t="str">
        <f>HYPERLINK("https://www.773grp.com/globalSearch/BQ2022LPR/page-1", "BQ2022LPR")</f>
        <v>BQ2022LPR</v>
      </c>
      <c r="B17597" s="3" t="s">
        <v>90</v>
      </c>
      <c r="C17597" s="5">
        <v>445985</v>
      </c>
      <c r="D17597" s="6">
        <v>8.86</v>
      </c>
      <c r="E17597" t="s">
        <v>53</v>
      </c>
    </row>
    <row r="17598" spans="1:5" x14ac:dyDescent="0.25">
      <c r="A17598" t="str">
        <f>HYPERLINK("https://www.773grp.com/globalSearch/TMS27PC010A-12NL/page-1", "TMS27PC010A-12NL")</f>
        <v>TMS27PC010A-12NL</v>
      </c>
      <c r="B17598" s="3" t="s">
        <v>90</v>
      </c>
      <c r="C17598" s="5">
        <v>880</v>
      </c>
      <c r="D17598" s="6">
        <v>9.5</v>
      </c>
      <c r="E17598" t="s">
        <v>53</v>
      </c>
    </row>
    <row r="17599" spans="1:5" x14ac:dyDescent="0.25">
      <c r="A17599" t="str">
        <f>HYPERLINK("https://www.773grp.com/globalSearch/TMS27PC256-15NE/page-1", "TMS27PC256-15NE")</f>
        <v>TMS27PC256-15NE</v>
      </c>
      <c r="B17599" s="3" t="s">
        <v>90</v>
      </c>
      <c r="C17599" s="5">
        <v>8454</v>
      </c>
      <c r="D17599" s="6">
        <v>9.6999999999999993</v>
      </c>
      <c r="E17599" t="s">
        <v>53</v>
      </c>
    </row>
    <row r="17600" spans="1:5" x14ac:dyDescent="0.25">
      <c r="A17600" t="str">
        <f>HYPERLINK("https://www.773grp.com/globalSearch/TMS27C291-3JL/page-1", "TMS27C291-3JL")</f>
        <v>TMS27C291-3JL</v>
      </c>
      <c r="B17600" s="3" t="str">
        <f>HYPERLINK("https://www.773grp.com/manufacturer/texas-instruments?pageNo=658", "Texas Instruments")</f>
        <v>Texas Instruments</v>
      </c>
      <c r="C17600" s="5">
        <v>5807</v>
      </c>
      <c r="D17600" s="6">
        <v>31.23</v>
      </c>
      <c r="E17600" t="s">
        <v>53</v>
      </c>
    </row>
    <row r="17601" spans="1:5" x14ac:dyDescent="0.25">
      <c r="A17601" t="str">
        <f>HYPERLINK("https://www.773grp.com/globalSearch/TMS27C291-35JL/page-1", "TMS27C291-35JL")</f>
        <v>TMS27C291-35JL</v>
      </c>
      <c r="B17601" s="3" t="s">
        <v>90</v>
      </c>
      <c r="C17601" s="5">
        <v>28037</v>
      </c>
      <c r="D17601" s="6">
        <v>34.340000000000003</v>
      </c>
      <c r="E17601" t="s">
        <v>53</v>
      </c>
    </row>
    <row r="17602" spans="1:5" x14ac:dyDescent="0.25">
      <c r="A17602" t="str">
        <f>HYPERLINK("https://www.773grp.com/globalSearch/TMS27PC291-3FNL/page-1", "TMS27PC291-3FNL")</f>
        <v>TMS27PC291-3FNL</v>
      </c>
      <c r="B17602" s="3" t="s">
        <v>90</v>
      </c>
      <c r="C17602" s="5">
        <v>21979</v>
      </c>
      <c r="D17602" s="6">
        <v>37.46</v>
      </c>
      <c r="E17602" t="s">
        <v>53</v>
      </c>
    </row>
    <row r="17603" spans="1:5" x14ac:dyDescent="0.25">
      <c r="A17603" t="str">
        <f>HYPERLINK("https://www.773grp.com/globalSearch/SMJ29F816FGM/page-1", "SMJ29F816FGM")</f>
        <v>SMJ29F816FGM</v>
      </c>
      <c r="B17603" s="3" t="s">
        <v>90</v>
      </c>
      <c r="C17603" s="5">
        <v>1937</v>
      </c>
      <c r="D17603" s="6">
        <v>136.63999999999999</v>
      </c>
      <c r="E17603" t="s">
        <v>53</v>
      </c>
    </row>
    <row r="17604" spans="1:5" x14ac:dyDescent="0.25">
      <c r="A17604" t="str">
        <f>HYPERLINK("https://www.773grp.com/globalSearch/X28C512P-12/page-1", "X28C512P-12")</f>
        <v>X28C512P-12</v>
      </c>
      <c r="B17604" s="3" t="s">
        <v>114</v>
      </c>
      <c r="C17604" s="5">
        <v>725</v>
      </c>
      <c r="D17604" s="6">
        <v>124.99</v>
      </c>
      <c r="E17604" t="s">
        <v>53</v>
      </c>
    </row>
    <row r="17605" spans="1:5" x14ac:dyDescent="0.25">
      <c r="A17605" t="str">
        <f>HYPERLINK("https://www.773grp.com/globalSearch/X28C010NM-12/page-1", "X28C010NM-12")</f>
        <v>X28C010NM-12</v>
      </c>
      <c r="B17605" s="3" t="s">
        <v>114</v>
      </c>
      <c r="C17605" s="5">
        <v>132</v>
      </c>
      <c r="D17605" s="6">
        <v>258.75</v>
      </c>
      <c r="E17605" t="s">
        <v>53</v>
      </c>
    </row>
    <row r="17606" spans="1:5" x14ac:dyDescent="0.25">
      <c r="A17606" t="str">
        <f>HYPERLINK("https://www.773grp.com/globalSearch/X28C010NMB-15/page-1", "X28C010NMB-15")</f>
        <v>X28C010NMB-15</v>
      </c>
      <c r="B17606" s="3" t="s">
        <v>114</v>
      </c>
      <c r="C17606" s="5">
        <v>128</v>
      </c>
      <c r="D17606" s="6">
        <v>224.29</v>
      </c>
      <c r="E17606" t="s">
        <v>53</v>
      </c>
    </row>
    <row r="17607" spans="1:5" x14ac:dyDescent="0.25">
      <c r="A17607" t="str">
        <f>HYPERLINK("https://www.773grp.com/globalSearch/XC1736EPC20C/page-1", "XC1736EPC20C")</f>
        <v>XC1736EPC20C</v>
      </c>
      <c r="B17607" s="3" t="str">
        <f>HYPERLINK("https://www.773grp.com/manufacturer/amd?pageNo=51", "Xilinx")</f>
        <v>Xilinx</v>
      </c>
      <c r="C17607" s="5">
        <v>1469</v>
      </c>
      <c r="D17607" s="6">
        <v>8.73</v>
      </c>
      <c r="E17607" t="s">
        <v>53</v>
      </c>
    </row>
    <row r="17608" spans="1:5" x14ac:dyDescent="0.25">
      <c r="A17608" t="str">
        <f>HYPERLINK("https://www.773grp.com/globalSearch/XC1736ESOG8C/page-1", "XC1736ESOG8C")</f>
        <v>XC1736ESOG8C</v>
      </c>
      <c r="B17608" s="3" t="str">
        <f>HYPERLINK("https://www.773grp.com/manufacturer/amd?pageNo=52", "Xilinx")</f>
        <v>Xilinx</v>
      </c>
      <c r="C17608" s="5">
        <v>2474</v>
      </c>
      <c r="D17608" s="6">
        <v>8.73</v>
      </c>
      <c r="E17608" t="s">
        <v>53</v>
      </c>
    </row>
    <row r="17609" spans="1:5" x14ac:dyDescent="0.25">
      <c r="A17609" t="str">
        <f>HYPERLINK("https://www.773grp.com/globalSearch/XC1736EVOG8C/page-1", "XC1736EVOG8C")</f>
        <v>XC1736EVOG8C</v>
      </c>
      <c r="B17609" s="3" t="str">
        <f>HYPERLINK("https://www.773grp.com/manufacturer/amd?pageNo=53", "Xilinx")</f>
        <v>Xilinx</v>
      </c>
      <c r="C17609" s="5">
        <v>2030</v>
      </c>
      <c r="D17609" s="6">
        <v>8.73</v>
      </c>
      <c r="E17609" t="s">
        <v>53</v>
      </c>
    </row>
    <row r="17610" spans="1:5" x14ac:dyDescent="0.25">
      <c r="A17610" t="str">
        <f>HYPERLINK("https://www.773grp.com/globalSearch/XC1765ELPD8C/page-1", "XC1765ELPD8C")</f>
        <v>XC1765ELPD8C</v>
      </c>
      <c r="B17610" s="3" t="str">
        <f>HYPERLINK("https://www.773grp.com/manufacturer/amd?pageNo=56", "Xilinx")</f>
        <v>Xilinx</v>
      </c>
      <c r="C17610" s="5">
        <v>3077</v>
      </c>
      <c r="D17610" s="6">
        <v>9.56</v>
      </c>
      <c r="E17610" t="s">
        <v>53</v>
      </c>
    </row>
    <row r="17611" spans="1:5" x14ac:dyDescent="0.25">
      <c r="A17611" t="str">
        <f>HYPERLINK("https://www.773grp.com/globalSearch/XC1765ESOG8C/page-1", "XC1765ESOG8C")</f>
        <v>XC1765ESOG8C</v>
      </c>
      <c r="B17611" s="3" t="str">
        <f>HYPERLINK("https://www.773grp.com/manufacturer/amd?pageNo=58", "Xilinx")</f>
        <v>Xilinx</v>
      </c>
      <c r="C17611" s="5">
        <v>2912</v>
      </c>
      <c r="D17611" s="6">
        <v>10.16</v>
      </c>
      <c r="E17611" t="s">
        <v>53</v>
      </c>
    </row>
    <row r="17612" spans="1:5" x14ac:dyDescent="0.25">
      <c r="A17612" t="str">
        <f>HYPERLINK("https://www.773grp.com/globalSearch/XC1765EVO8C/page-1", "XC1765EVO8C")</f>
        <v>XC1765EVO8C</v>
      </c>
      <c r="B17612" s="3" t="str">
        <f>HYPERLINK("https://www.773grp.com/manufacturer/amd?pageNo=59", "Xilinx")</f>
        <v>Xilinx</v>
      </c>
      <c r="C17612" s="5">
        <v>1585</v>
      </c>
      <c r="D17612" s="6">
        <v>10.16</v>
      </c>
      <c r="E17612" t="s">
        <v>53</v>
      </c>
    </row>
    <row r="17613" spans="1:5" x14ac:dyDescent="0.25">
      <c r="A17613" t="str">
        <f>HYPERLINK("https://www.773grp.com/globalSearch/XC1736EPC20I/page-1", "XC1736EPC20I")</f>
        <v>XC1736EPC20I</v>
      </c>
      <c r="B17613" s="3" t="str">
        <f>HYPERLINK("https://www.773grp.com/manufacturer/amd?pageNo=60", "Xilinx")</f>
        <v>Xilinx</v>
      </c>
      <c r="C17613" s="5">
        <v>6485</v>
      </c>
      <c r="D17613" s="6">
        <v>10.3</v>
      </c>
      <c r="E17613" t="s">
        <v>53</v>
      </c>
    </row>
    <row r="17614" spans="1:5" x14ac:dyDescent="0.25">
      <c r="A17614" t="str">
        <f>HYPERLINK("https://www.773grp.com/globalSearch/XC1736EVO8I/page-1", "XC1736EVO8I")</f>
        <v>XC1736EVO8I</v>
      </c>
      <c r="B17614" s="3" t="str">
        <f>HYPERLINK("https://www.773grp.com/manufacturer/amd?pageNo=61", "Xilinx")</f>
        <v>Xilinx</v>
      </c>
      <c r="C17614" s="5">
        <v>1260</v>
      </c>
      <c r="D17614" s="6">
        <v>10.3</v>
      </c>
      <c r="E17614" t="s">
        <v>53</v>
      </c>
    </row>
    <row r="17615" spans="1:5" x14ac:dyDescent="0.25">
      <c r="A17615" t="str">
        <f>HYPERLINK("https://www.773grp.com/globalSearch/XC1765ELPC20C/page-1", "XC1765ELPC20C")</f>
        <v>XC1765ELPC20C</v>
      </c>
      <c r="B17615" s="3" t="str">
        <f>HYPERLINK("https://www.773grp.com/manufacturer/amd?pageNo=63", "Xilinx")</f>
        <v>Xilinx</v>
      </c>
      <c r="C17615" s="5">
        <v>4341</v>
      </c>
      <c r="D17615" s="6">
        <v>11.48</v>
      </c>
      <c r="E17615" t="s">
        <v>53</v>
      </c>
    </row>
    <row r="17616" spans="1:5" x14ac:dyDescent="0.25">
      <c r="A17616" t="str">
        <f>HYPERLINK("https://www.773grp.com/globalSearch/XC1765ELSO8C/page-1", "XC1765ELSO8C")</f>
        <v>XC1765ELSO8C</v>
      </c>
      <c r="B17616" s="3" t="str">
        <f>HYPERLINK("https://www.773grp.com/manufacturer/amd?pageNo=64", "Xilinx")</f>
        <v>Xilinx</v>
      </c>
      <c r="C17616" s="5">
        <v>7057</v>
      </c>
      <c r="D17616" s="6">
        <v>11.48</v>
      </c>
      <c r="E17616" t="s">
        <v>53</v>
      </c>
    </row>
    <row r="17617" spans="1:5" x14ac:dyDescent="0.25">
      <c r="A17617" t="str">
        <f>HYPERLINK("https://www.773grp.com/globalSearch/XC1765ELSOG8C/page-1", "XC1765ELSOG8C")</f>
        <v>XC1765ELSOG8C</v>
      </c>
      <c r="B17617" s="3" t="str">
        <f>HYPERLINK("https://www.773grp.com/manufacturer/amd?pageNo=65", "Xilinx")</f>
        <v>Xilinx</v>
      </c>
      <c r="C17617" s="5">
        <v>6765</v>
      </c>
      <c r="D17617" s="6">
        <v>11.48</v>
      </c>
      <c r="E17617" t="s">
        <v>53</v>
      </c>
    </row>
    <row r="17618" spans="1:5" x14ac:dyDescent="0.25">
      <c r="A17618" t="str">
        <f>HYPERLINK("https://www.773grp.com/globalSearch/XC1765ELVO8C/page-1", "XC1765ELVO8C")</f>
        <v>XC1765ELVO8C</v>
      </c>
      <c r="B17618" s="3" t="str">
        <f>HYPERLINK("https://www.773grp.com/manufacturer/amd?pageNo=66", "Xilinx")</f>
        <v>Xilinx</v>
      </c>
      <c r="C17618" s="5">
        <v>4806</v>
      </c>
      <c r="D17618" s="6">
        <v>11.48</v>
      </c>
      <c r="E17618" t="s">
        <v>53</v>
      </c>
    </row>
    <row r="17619" spans="1:5" x14ac:dyDescent="0.25">
      <c r="A17619" t="str">
        <f>HYPERLINK("https://www.773grp.com/globalSearch/XC1765ELVOG8C/page-1", "XC1765ELVOG8C")</f>
        <v>XC1765ELVOG8C</v>
      </c>
      <c r="B17619" s="3" t="str">
        <f>HYPERLINK("https://www.773grp.com/manufacturer/amd?pageNo=67", "Xilinx")</f>
        <v>Xilinx</v>
      </c>
      <c r="C17619" s="5">
        <v>6809</v>
      </c>
      <c r="D17619" s="6">
        <v>11.48</v>
      </c>
      <c r="E17619" t="s">
        <v>53</v>
      </c>
    </row>
    <row r="17620" spans="1:5" x14ac:dyDescent="0.25">
      <c r="A17620" t="str">
        <f>HYPERLINK("https://www.773grp.com/globalSearch/XC1765EVO8I/page-1", "XC1765EVO8I")</f>
        <v>XC1765EVO8I</v>
      </c>
      <c r="B17620" s="3" t="str">
        <f>HYPERLINK("https://www.773grp.com/manufacturer/amd?pageNo=68", "Xilinx")</f>
        <v>Xilinx</v>
      </c>
      <c r="C17620" s="5">
        <v>5766</v>
      </c>
      <c r="D17620" s="6">
        <v>11.95</v>
      </c>
      <c r="E17620" t="s">
        <v>53</v>
      </c>
    </row>
    <row r="17621" spans="1:5" x14ac:dyDescent="0.25">
      <c r="A17621" t="str">
        <f>HYPERLINK("https://www.773grp.com/globalSearch/XC17128ELPD8C/page-1", "XC17128ELPD8C")</f>
        <v>XC17128ELPD8C</v>
      </c>
      <c r="B17621" s="3" t="str">
        <f>HYPERLINK("https://www.773grp.com/manufacturer/amd?pageNo=69", "Xilinx")</f>
        <v>Xilinx</v>
      </c>
      <c r="C17621" s="5">
        <v>2720</v>
      </c>
      <c r="D17621" s="6">
        <v>12.79</v>
      </c>
      <c r="E17621" t="s">
        <v>53</v>
      </c>
    </row>
    <row r="17622" spans="1:5" x14ac:dyDescent="0.25">
      <c r="A17622" t="str">
        <f>HYPERLINK("https://www.773grp.com/globalSearch/XC1765ELVO8I/page-1", "XC1765ELVO8I")</f>
        <v>XC1765ELVO8I</v>
      </c>
      <c r="B17622" s="3" t="str">
        <f>HYPERLINK("https://www.773grp.com/manufacturer/amd?pageNo=70", "Xilinx")</f>
        <v>Xilinx</v>
      </c>
      <c r="C17622" s="5">
        <v>4820</v>
      </c>
      <c r="D17622" s="6">
        <v>13.5</v>
      </c>
      <c r="E17622" t="s">
        <v>53</v>
      </c>
    </row>
    <row r="17623" spans="1:5" x14ac:dyDescent="0.25">
      <c r="A17623" t="str">
        <f>HYPERLINK("https://www.773grp.com/globalSearch/XC17128ELVO8C/page-1", "XC17128ELVO8C")</f>
        <v>XC17128ELVO8C</v>
      </c>
      <c r="B17623" s="3" t="str">
        <f>HYPERLINK("https://www.773grp.com/manufacturer/amd?pageNo=71", "Xilinx")</f>
        <v>Xilinx</v>
      </c>
      <c r="C17623" s="5">
        <v>51</v>
      </c>
      <c r="D17623" s="6">
        <v>14.71</v>
      </c>
      <c r="E17623" t="s">
        <v>53</v>
      </c>
    </row>
    <row r="17624" spans="1:5" x14ac:dyDescent="0.25">
      <c r="A17624" t="str">
        <f>HYPERLINK("https://www.773grp.com/globalSearch/XC17128EPCG20C/page-1", "XC17128EPCG20C")</f>
        <v>XC17128EPCG20C</v>
      </c>
      <c r="B17624" s="3" t="str">
        <f>HYPERLINK("https://www.773grp.com/manufacturer/amd?pageNo=72", "Xilinx")</f>
        <v>Xilinx</v>
      </c>
      <c r="C17624" s="5">
        <v>22</v>
      </c>
      <c r="D17624" s="6">
        <v>16.5</v>
      </c>
      <c r="E17624" t="s">
        <v>53</v>
      </c>
    </row>
    <row r="17625" spans="1:5" x14ac:dyDescent="0.25">
      <c r="A17625" t="str">
        <f>HYPERLINK("https://www.773grp.com/globalSearch/XC17128EVOG8C/page-1", "XC17128EVOG8C")</f>
        <v>XC17128EVOG8C</v>
      </c>
      <c r="B17625" s="3" t="str">
        <f>HYPERLINK("https://www.773grp.com/manufacturer/amd?pageNo=73", "Xilinx")</f>
        <v>Xilinx</v>
      </c>
      <c r="C17625" s="5">
        <v>29</v>
      </c>
      <c r="D17625" s="6">
        <v>16.5</v>
      </c>
      <c r="E17625" t="s">
        <v>53</v>
      </c>
    </row>
    <row r="17626" spans="1:5" x14ac:dyDescent="0.25">
      <c r="A17626" t="str">
        <f>HYPERLINK("https://www.773grp.com/globalSearch/XC17S200AVQ44C/page-1", "XC17S200AVQ44C")</f>
        <v>XC17S200AVQ44C</v>
      </c>
      <c r="B17626" s="3" t="str">
        <f>HYPERLINK("https://www.773grp.com/manufacturer/amd?pageNo=74", "Xilinx")</f>
        <v>Xilinx</v>
      </c>
      <c r="C17626" s="5">
        <v>2138</v>
      </c>
      <c r="D17626" s="6">
        <v>17.100000000000001</v>
      </c>
      <c r="E17626" t="s">
        <v>53</v>
      </c>
    </row>
    <row r="17627" spans="1:5" x14ac:dyDescent="0.25">
      <c r="A17627" t="str">
        <f>HYPERLINK("https://www.773grp.com/globalSearch/XC17128ELVO8I/page-1", "XC17128ELVO8I")</f>
        <v>XC17128ELVO8I</v>
      </c>
      <c r="B17627" s="3" t="str">
        <f>HYPERLINK("https://www.773grp.com/manufacturer/amd?pageNo=75", "Xilinx")</f>
        <v>Xilinx</v>
      </c>
      <c r="C17627" s="5">
        <v>1429</v>
      </c>
      <c r="D17627" s="6">
        <v>17.329999999999998</v>
      </c>
      <c r="E17627" t="s">
        <v>53</v>
      </c>
    </row>
    <row r="17628" spans="1:5" x14ac:dyDescent="0.25">
      <c r="A17628" t="str">
        <f>HYPERLINK("https://www.773grp.com/globalSearch/XC17256ELPD8C/page-1", "XC17256ELPD8C")</f>
        <v>XC17256ELPD8C</v>
      </c>
      <c r="B17628" s="3" t="str">
        <f>HYPERLINK("https://www.773grp.com/manufacturer/amd?pageNo=79", "Xilinx")</f>
        <v>Xilinx</v>
      </c>
      <c r="C17628" s="5">
        <v>1421</v>
      </c>
      <c r="D17628" s="6">
        <v>19.71</v>
      </c>
      <c r="E17628" t="s">
        <v>53</v>
      </c>
    </row>
    <row r="17629" spans="1:5" x14ac:dyDescent="0.25">
      <c r="A17629" t="str">
        <f>HYPERLINK("https://www.773grp.com/globalSearch/XC17S200AVQ44I/page-1", "XC17S200AVQ44I")</f>
        <v>XC17S200AVQ44I</v>
      </c>
      <c r="B17629" s="3" t="str">
        <f>HYPERLINK("https://www.773grp.com/manufacturer/amd?pageNo=80", "Xilinx")</f>
        <v>Xilinx</v>
      </c>
      <c r="C17629" s="5">
        <v>3467</v>
      </c>
      <c r="D17629" s="6">
        <v>19.71</v>
      </c>
      <c r="E17629" t="s">
        <v>53</v>
      </c>
    </row>
    <row r="17630" spans="1:5" x14ac:dyDescent="0.25">
      <c r="A17630" t="str">
        <f>HYPERLINK("https://www.773grp.com/globalSearch/XC17256ELPC20C/page-1", "XC17256ELPC20C")</f>
        <v>XC17256ELPC20C</v>
      </c>
      <c r="B17630" s="3" t="str">
        <f>HYPERLINK("https://www.773grp.com/manufacturer/amd?pageNo=81", "Xilinx")</f>
        <v>Xilinx</v>
      </c>
      <c r="C17630" s="5">
        <v>2131</v>
      </c>
      <c r="D17630" s="6">
        <v>20.68</v>
      </c>
      <c r="E17630" t="s">
        <v>53</v>
      </c>
    </row>
    <row r="17631" spans="1:5" x14ac:dyDescent="0.25">
      <c r="A17631" t="str">
        <f>HYPERLINK("https://www.773grp.com/globalSearch/XC17256ELVO8C/page-1", "XC17256ELVO8C")</f>
        <v>XC17256ELVO8C</v>
      </c>
      <c r="B17631" s="3" t="str">
        <f>HYPERLINK("https://www.773grp.com/manufacturer/amd?pageNo=83", "Xilinx")</f>
        <v>Xilinx</v>
      </c>
      <c r="C17631" s="5">
        <v>1464</v>
      </c>
      <c r="D17631" s="6">
        <v>21.15</v>
      </c>
      <c r="E17631" t="s">
        <v>53</v>
      </c>
    </row>
    <row r="17632" spans="1:5" x14ac:dyDescent="0.25">
      <c r="A17632" t="str">
        <f>HYPERLINK("https://www.773grp.com/globalSearch/XC17512LSO20C/page-1", "XC17512LSO20C")</f>
        <v>XC17512LSO20C</v>
      </c>
      <c r="B17632" s="3" t="str">
        <f>HYPERLINK("https://www.773grp.com/manufacturer/amd?pageNo=88", "Xilinx")</f>
        <v>Xilinx</v>
      </c>
      <c r="C17632" s="5">
        <v>646</v>
      </c>
      <c r="D17632" s="6">
        <v>24.01</v>
      </c>
      <c r="E17632" t="s">
        <v>53</v>
      </c>
    </row>
    <row r="17633" spans="1:5" x14ac:dyDescent="0.25">
      <c r="A17633" t="str">
        <f>HYPERLINK("https://www.773grp.com/globalSearch/XCF08PVO48C/page-1", "XCF08PVO48C")</f>
        <v>XCF08PVO48C</v>
      </c>
      <c r="B17633" s="3" t="str">
        <f>HYPERLINK("https://www.773grp.com/manufacturer/amd?pageNo=96", "Xilinx")</f>
        <v>Xilinx</v>
      </c>
      <c r="C17633" s="5">
        <v>31251</v>
      </c>
      <c r="D17633" s="6">
        <v>27.38</v>
      </c>
      <c r="E17633" t="s">
        <v>53</v>
      </c>
    </row>
    <row r="17634" spans="1:5" x14ac:dyDescent="0.25">
      <c r="A17634" t="str">
        <f>HYPERLINK("https://www.773grp.com/globalSearch/XC17V01SO20I/page-1", "XC17V01SO20I")</f>
        <v>XC17V01SO20I</v>
      </c>
      <c r="B17634" s="3" t="str">
        <f>HYPERLINK("https://www.773grp.com/manufacturer/amd?pageNo=98", "Xilinx")</f>
        <v>Xilinx</v>
      </c>
      <c r="C17634" s="5">
        <v>3464</v>
      </c>
      <c r="D17634" s="6">
        <v>27.63</v>
      </c>
      <c r="E17634" t="s">
        <v>53</v>
      </c>
    </row>
    <row r="17635" spans="1:5" x14ac:dyDescent="0.25">
      <c r="A17635" t="str">
        <f>HYPERLINK("https://www.773grp.com/globalSearch/XC1701LPD8C/page-1", "XC1701LPD8C")</f>
        <v>XC1701LPD8C</v>
      </c>
      <c r="B17635" s="3" t="s">
        <v>115</v>
      </c>
      <c r="C17635" s="5">
        <v>1</v>
      </c>
      <c r="D17635" s="6">
        <v>28.58</v>
      </c>
      <c r="E17635" t="s">
        <v>53</v>
      </c>
    </row>
    <row r="17636" spans="1:5" x14ac:dyDescent="0.25">
      <c r="A17636" t="str">
        <f>HYPERLINK("https://www.773grp.com/globalSearch/XC1701LSO20C/page-1", "XC1701LSO20C")</f>
        <v>XC1701LSO20C</v>
      </c>
      <c r="B17636" s="3" t="s">
        <v>115</v>
      </c>
      <c r="C17636" s="5">
        <v>42</v>
      </c>
      <c r="D17636" s="6">
        <v>30</v>
      </c>
      <c r="E17636" t="s">
        <v>53</v>
      </c>
    </row>
    <row r="17637" spans="1:5" x14ac:dyDescent="0.25">
      <c r="A17637" t="str">
        <f>HYPERLINK("https://www.773grp.com/globalSearch/XC17256EPC20C/page-1", "XC17256EPC20C")</f>
        <v>XC17256EPC20C</v>
      </c>
      <c r="B17637" s="3" t="s">
        <v>115</v>
      </c>
      <c r="C17637" s="5">
        <v>2523</v>
      </c>
      <c r="D17637" s="6">
        <v>32.4</v>
      </c>
      <c r="E17637" t="s">
        <v>53</v>
      </c>
    </row>
    <row r="17638" spans="1:5" x14ac:dyDescent="0.25">
      <c r="A17638" t="str">
        <f>HYPERLINK("https://www.773grp.com/globalSearch/XC17256EVO8C/page-1", "XC17256EVO8C")</f>
        <v>XC17256EVO8C</v>
      </c>
      <c r="B17638" s="3" t="s">
        <v>115</v>
      </c>
      <c r="C17638" s="5">
        <v>4005</v>
      </c>
      <c r="D17638" s="6">
        <v>32.4</v>
      </c>
      <c r="E17638" t="s">
        <v>53</v>
      </c>
    </row>
    <row r="17639" spans="1:5" x14ac:dyDescent="0.25">
      <c r="A17639" t="str">
        <f>HYPERLINK("https://www.773grp.com/globalSearch/XC1701LPC20I/page-1", "XC1701LPC20I")</f>
        <v>XC1701LPC20I</v>
      </c>
      <c r="B17639" s="3" t="s">
        <v>115</v>
      </c>
      <c r="C17639" s="5">
        <v>62</v>
      </c>
      <c r="D17639" s="6">
        <v>33.71</v>
      </c>
      <c r="E17639" t="s">
        <v>53</v>
      </c>
    </row>
    <row r="17640" spans="1:5" x14ac:dyDescent="0.25">
      <c r="A17640" t="str">
        <f>HYPERLINK("https://www.773grp.com/globalSearch/XCF16PVO48C/page-1", "XCF16PVO48C")</f>
        <v>XCF16PVO48C</v>
      </c>
      <c r="B17640" s="3" t="s">
        <v>115</v>
      </c>
      <c r="C17640" s="5">
        <v>6020</v>
      </c>
      <c r="D17640" s="6">
        <v>36.590000000000003</v>
      </c>
      <c r="E17640" t="s">
        <v>53</v>
      </c>
    </row>
    <row r="17641" spans="1:5" x14ac:dyDescent="0.25">
      <c r="A17641" t="str">
        <f>HYPERLINK("https://www.773grp.com/globalSearch/XC17V02PC20C/page-1", "XC17V02PC20C")</f>
        <v>XC17V02PC20C</v>
      </c>
      <c r="B17641" s="3" t="s">
        <v>115</v>
      </c>
      <c r="C17641" s="5">
        <v>243</v>
      </c>
      <c r="D17641" s="6">
        <v>36.700000000000003</v>
      </c>
      <c r="E17641" t="s">
        <v>53</v>
      </c>
    </row>
    <row r="17642" spans="1:5" x14ac:dyDescent="0.25">
      <c r="A17642" t="str">
        <f>HYPERLINK("https://www.773grp.com/globalSearch/XC17V02PC44C/page-1", "XC17V02PC44C")</f>
        <v>XC17V02PC44C</v>
      </c>
      <c r="B17642" s="3" t="s">
        <v>115</v>
      </c>
      <c r="C17642" s="5">
        <v>1912</v>
      </c>
      <c r="D17642" s="6">
        <v>36.700000000000003</v>
      </c>
      <c r="E17642" t="s">
        <v>53</v>
      </c>
    </row>
    <row r="17643" spans="1:5" x14ac:dyDescent="0.25">
      <c r="A17643" t="str">
        <f>HYPERLINK("https://www.773grp.com/globalSearch/XC17V02VQ44C/page-1", "XC17V02VQ44C")</f>
        <v>XC17V02VQ44C</v>
      </c>
      <c r="B17643" s="3" t="s">
        <v>115</v>
      </c>
      <c r="C17643" s="5">
        <v>576</v>
      </c>
      <c r="D17643" s="6">
        <v>36.700000000000003</v>
      </c>
      <c r="E17643" t="s">
        <v>53</v>
      </c>
    </row>
    <row r="17644" spans="1:5" x14ac:dyDescent="0.25">
      <c r="A17644" t="str">
        <f>HYPERLINK("https://www.773grp.com/globalSearch/XC17256EPC20I/page-1", "XC17256EPC20I")</f>
        <v>XC17256EPC20I</v>
      </c>
      <c r="B17644" s="3" t="s">
        <v>115</v>
      </c>
      <c r="C17644" s="5">
        <v>1978</v>
      </c>
      <c r="D17644" s="6">
        <v>38.25</v>
      </c>
      <c r="E17644" t="s">
        <v>53</v>
      </c>
    </row>
    <row r="17645" spans="1:5" x14ac:dyDescent="0.25">
      <c r="A17645" t="str">
        <f>HYPERLINK("https://www.773grp.com/globalSearch/XC17V02PC20I/page-1", "XC17V02PC20I")</f>
        <v>XC17V02PC20I</v>
      </c>
      <c r="B17645" s="3" t="s">
        <v>115</v>
      </c>
      <c r="C17645" s="5">
        <v>313</v>
      </c>
      <c r="D17645" s="6">
        <v>43.29</v>
      </c>
      <c r="E17645" t="s">
        <v>53</v>
      </c>
    </row>
    <row r="17646" spans="1:5" x14ac:dyDescent="0.25">
      <c r="A17646" t="str">
        <f>HYPERLINK("https://www.773grp.com/globalSearch/XC17V02VQ44I/page-1", "XC17V02VQ44I")</f>
        <v>XC17V02VQ44I</v>
      </c>
      <c r="B17646" s="3" t="s">
        <v>115</v>
      </c>
      <c r="C17646" s="5">
        <v>473</v>
      </c>
      <c r="D17646" s="6">
        <v>43.29</v>
      </c>
      <c r="E17646" t="s">
        <v>53</v>
      </c>
    </row>
    <row r="17647" spans="1:5" x14ac:dyDescent="0.25">
      <c r="A17647" t="str">
        <f>HYPERLINK("https://www.773grp.com/globalSearch/XC1702LPC44C/page-1", "XC1702LPC44C")</f>
        <v>XC1702LPC44C</v>
      </c>
      <c r="B17647" s="3" t="s">
        <v>115</v>
      </c>
      <c r="C17647" s="5">
        <v>95</v>
      </c>
      <c r="D17647" s="6">
        <v>45.79</v>
      </c>
      <c r="E17647" t="s">
        <v>53</v>
      </c>
    </row>
    <row r="17648" spans="1:5" x14ac:dyDescent="0.25">
      <c r="A17648" t="str">
        <f>HYPERLINK("https://www.773grp.com/globalSearch/XC1702LVQ44C/page-1", "XC1702LVQ44C")</f>
        <v>XC1702LVQ44C</v>
      </c>
      <c r="B17648" s="3" t="s">
        <v>115</v>
      </c>
      <c r="C17648" s="5">
        <v>33</v>
      </c>
      <c r="D17648" s="6">
        <v>45.79</v>
      </c>
      <c r="E17648" t="s">
        <v>53</v>
      </c>
    </row>
    <row r="17649" spans="1:5" x14ac:dyDescent="0.25">
      <c r="A17649" t="str">
        <f>HYPERLINK("https://www.773grp.com/globalSearch/XC1701PC20C/page-1", "XC1701PC20C")</f>
        <v>XC1701PC20C</v>
      </c>
      <c r="B17649" s="3" t="s">
        <v>115</v>
      </c>
      <c r="C17649" s="5">
        <v>41</v>
      </c>
      <c r="D17649" s="6">
        <v>47.11</v>
      </c>
      <c r="E17649" t="s">
        <v>53</v>
      </c>
    </row>
    <row r="17650" spans="1:5" x14ac:dyDescent="0.25">
      <c r="A17650" t="str">
        <f>HYPERLINK("https://www.773grp.com/globalSearch/XC1701SO20C/page-1", "XC1701SO20C")</f>
        <v>XC1701SO20C</v>
      </c>
      <c r="B17650" s="3" t="s">
        <v>115</v>
      </c>
      <c r="C17650" s="5">
        <v>498</v>
      </c>
      <c r="D17650" s="6">
        <v>47.11</v>
      </c>
      <c r="E17650" t="s">
        <v>53</v>
      </c>
    </row>
    <row r="17651" spans="1:5" x14ac:dyDescent="0.25">
      <c r="A17651" t="str">
        <f>HYPERLINK("https://www.773grp.com/globalSearch/XC1702LPC44I/page-1", "XC1702LPC44I")</f>
        <v>XC1702LPC44I</v>
      </c>
      <c r="B17651" s="3" t="s">
        <v>115</v>
      </c>
      <c r="C17651" s="5">
        <v>202</v>
      </c>
      <c r="D17651" s="6">
        <v>54.04</v>
      </c>
      <c r="E17651" t="s">
        <v>53</v>
      </c>
    </row>
    <row r="17652" spans="1:5" x14ac:dyDescent="0.25">
      <c r="A17652" t="str">
        <f>HYPERLINK("https://www.773grp.com/globalSearch/XCF32PVO48C/page-1", "XCF32PVO48C")</f>
        <v>XCF32PVO48C</v>
      </c>
      <c r="B17652" s="3" t="s">
        <v>115</v>
      </c>
      <c r="C17652" s="5">
        <v>24499</v>
      </c>
      <c r="D17652" s="6">
        <v>59.54</v>
      </c>
      <c r="E17652" t="s">
        <v>53</v>
      </c>
    </row>
    <row r="17653" spans="1:5" x14ac:dyDescent="0.25">
      <c r="A17653" t="str">
        <f>HYPERLINK("https://www.773grp.com/globalSearch/XC1704LPC44C/page-1", "XC1704LPC44C")</f>
        <v>XC1704LPC44C</v>
      </c>
      <c r="B17653" s="3" t="s">
        <v>115</v>
      </c>
      <c r="C17653" s="5">
        <v>31</v>
      </c>
      <c r="D17653" s="6">
        <v>63</v>
      </c>
      <c r="E17653" t="s">
        <v>53</v>
      </c>
    </row>
    <row r="17654" spans="1:5" x14ac:dyDescent="0.25">
      <c r="A17654" t="str">
        <f>HYPERLINK("https://www.773grp.com/globalSearch/XC1704LVQ44C/page-1", "XC1704LVQ44C")</f>
        <v>XC1704LVQ44C</v>
      </c>
      <c r="B17654" s="3" t="s">
        <v>115</v>
      </c>
      <c r="C17654" s="5">
        <v>88</v>
      </c>
      <c r="D17654" s="6">
        <v>63</v>
      </c>
      <c r="E17654" t="s">
        <v>53</v>
      </c>
    </row>
    <row r="17655" spans="1:5" x14ac:dyDescent="0.25">
      <c r="A17655" t="str">
        <f>HYPERLINK("https://www.773grp.com/globalSearch/XC17V08PC44C/page-1", "XC17V08PC44C")</f>
        <v>XC17V08PC44C</v>
      </c>
      <c r="B17655" s="3" t="s">
        <v>115</v>
      </c>
      <c r="C17655" s="5">
        <v>825</v>
      </c>
      <c r="D17655" s="6">
        <v>70.290000000000006</v>
      </c>
      <c r="E17655" t="s">
        <v>53</v>
      </c>
    </row>
    <row r="17656" spans="1:5" x14ac:dyDescent="0.25">
      <c r="A17656" t="str">
        <f>HYPERLINK("https://www.773grp.com/globalSearch/XC1704LPC44I/page-1", "XC1704LPC44I")</f>
        <v>XC1704LPC44I</v>
      </c>
      <c r="B17656" s="3" t="s">
        <v>115</v>
      </c>
      <c r="C17656" s="5">
        <v>1173</v>
      </c>
      <c r="D17656" s="6">
        <v>74.209999999999994</v>
      </c>
      <c r="E17656" t="s">
        <v>53</v>
      </c>
    </row>
    <row r="17657" spans="1:5" x14ac:dyDescent="0.25">
      <c r="A17657" t="str">
        <f>HYPERLINK("https://www.773grp.com/globalSearch/UC3611DW/page-1", "UC3611DW")</f>
        <v>UC3611DW</v>
      </c>
      <c r="B17657" s="3" t="str">
        <f>HYPERLINK("https://www.773grp.com/manufacturer/texas-instruments?pageNo=627", "Texas Instruments")</f>
        <v>Texas Instruments</v>
      </c>
      <c r="C17657" s="5">
        <v>6848</v>
      </c>
      <c r="D17657" s="6">
        <v>6.86</v>
      </c>
      <c r="E17657" t="s">
        <v>80</v>
      </c>
    </row>
    <row r="17658" spans="1:5" x14ac:dyDescent="0.25">
      <c r="A17658" t="str">
        <f>HYPERLINK("https://www.773grp.com/globalSearch/UC3611J/page-1", "UC3611J")</f>
        <v>UC3611J</v>
      </c>
      <c r="B17658" s="3" t="s">
        <v>90</v>
      </c>
      <c r="C17658" s="5">
        <v>560</v>
      </c>
      <c r="D17658" s="6">
        <v>25.35</v>
      </c>
      <c r="E17658" t="s">
        <v>80</v>
      </c>
    </row>
    <row r="17659" spans="1:5" x14ac:dyDescent="0.25">
      <c r="A17659" t="str">
        <f>HYPERLINK("https://www.773grp.com/globalSearch/UC1611J/page-1", "UC1611J")</f>
        <v>UC1611J</v>
      </c>
      <c r="B17659" s="3" t="str">
        <f>HYPERLINK("https://www.773grp.com/manufacturer/texas-instruments?pageNo=293", "Texas Instruments")</f>
        <v>Texas Instruments</v>
      </c>
      <c r="C17659" s="5">
        <v>308</v>
      </c>
      <c r="D17659" s="6">
        <v>28.99</v>
      </c>
      <c r="E17659" t="s">
        <v>80</v>
      </c>
    </row>
    <row r="17660" spans="1:5" x14ac:dyDescent="0.25">
      <c r="A17660" t="str">
        <f>HYPERLINK("https://www.773grp.com/globalSearch/UC1612J/page-1", "UC1612J")</f>
        <v>UC1612J</v>
      </c>
      <c r="B17660" s="3" t="str">
        <f>HYPERLINK("https://www.773grp.com/manufacturer/texas-instruments?pageNo=467", "Texas Instruments")</f>
        <v>Texas Instruments</v>
      </c>
      <c r="C17660" s="5">
        <v>228</v>
      </c>
      <c r="D17660" s="6">
        <v>30.24</v>
      </c>
      <c r="E17660" t="s">
        <v>80</v>
      </c>
    </row>
    <row r="17661" spans="1:5" x14ac:dyDescent="0.25">
      <c r="A17661" t="str">
        <f>HYPERLINK("https://www.773grp.com/globalSearch/5962-9053801PA/page-1", "5962-9053801PA")</f>
        <v>5962-9053801PA</v>
      </c>
      <c r="B17661" s="3" t="s">
        <v>90</v>
      </c>
      <c r="C17661" s="5">
        <v>302</v>
      </c>
      <c r="D17661" s="6">
        <v>36.49</v>
      </c>
      <c r="E17661" t="s">
        <v>80</v>
      </c>
    </row>
    <row r="17662" spans="1:5" x14ac:dyDescent="0.25">
      <c r="A17662" t="str">
        <f>HYPERLINK("https://www.773grp.com/globalSearch/5962-90538012A/page-1", "5962-90538012A")</f>
        <v>5962-90538012A</v>
      </c>
      <c r="B17662" s="3" t="s">
        <v>90</v>
      </c>
      <c r="C17662" s="5">
        <v>51</v>
      </c>
      <c r="D17662" s="6">
        <v>51.41</v>
      </c>
      <c r="E17662" t="s">
        <v>80</v>
      </c>
    </row>
    <row r="17663" spans="1:5" x14ac:dyDescent="0.25">
      <c r="A17663" t="str">
        <f>HYPERLINK("https://www.773grp.com/globalSearch/UC1611L/page-1", "UC1611L")</f>
        <v>UC1611L</v>
      </c>
      <c r="B17663" s="3" t="s">
        <v>112</v>
      </c>
      <c r="C17663" s="5">
        <v>1181</v>
      </c>
      <c r="D17663" s="6">
        <v>36.15</v>
      </c>
      <c r="E17663" t="s">
        <v>80</v>
      </c>
    </row>
    <row r="17664" spans="1:5" x14ac:dyDescent="0.25">
      <c r="A17664" t="str">
        <f>HYPERLINK("https://www.773grp.com/globalSearch/UC1611L883B/page-1", "UC1611L883B")</f>
        <v>UC1611L883B</v>
      </c>
      <c r="B17664" s="3" t="s">
        <v>112</v>
      </c>
      <c r="C17664" s="5">
        <v>129</v>
      </c>
      <c r="D17664" s="6">
        <v>51.41</v>
      </c>
      <c r="E17664" t="s">
        <v>80</v>
      </c>
    </row>
    <row r="17665" spans="1:5" x14ac:dyDescent="0.25">
      <c r="A17665" t="str">
        <f>HYPERLINK("https://www.773grp.com/globalSearch/TRC1300N/page-1", "TRC1300N")</f>
        <v>TRC1300N</v>
      </c>
      <c r="B17665" s="3" t="s">
        <v>90</v>
      </c>
      <c r="C17665" s="5">
        <v>9369</v>
      </c>
      <c r="D17665" s="6">
        <v>5.54</v>
      </c>
      <c r="E17665" t="s">
        <v>99</v>
      </c>
    </row>
    <row r="17666" spans="1:5" x14ac:dyDescent="0.25">
      <c r="A17666" t="str">
        <f>HYPERLINK("https://www.773grp.com/globalSearch/TRC1300D/page-1", "TRC1300D")</f>
        <v>TRC1300D</v>
      </c>
      <c r="B17666" s="3" t="s">
        <v>90</v>
      </c>
      <c r="C17666" s="5">
        <v>40298</v>
      </c>
      <c r="D17666" s="6">
        <v>5.78</v>
      </c>
      <c r="E17666" t="s">
        <v>99</v>
      </c>
    </row>
    <row r="17667" spans="1:5" x14ac:dyDescent="0.25">
      <c r="A17667" t="str">
        <f>HYPERLINK("https://www.773grp.com/globalSearch/TRC1315D/page-1", "TRC1315D")</f>
        <v>TRC1315D</v>
      </c>
      <c r="B17667" s="3" t="s">
        <v>90</v>
      </c>
      <c r="C17667" s="5">
        <v>2155</v>
      </c>
      <c r="D17667" s="6">
        <v>6.11</v>
      </c>
      <c r="E17667" t="s">
        <v>99</v>
      </c>
    </row>
    <row r="17668" spans="1:5" x14ac:dyDescent="0.25">
      <c r="A17668" t="str">
        <f>HYPERLINK("https://www.773grp.com/globalSearch/TRC1315N/page-1", "TRC1315N")</f>
        <v>TRC1315N</v>
      </c>
      <c r="B17668" s="3" t="s">
        <v>90</v>
      </c>
      <c r="C17668" s="5">
        <v>13808</v>
      </c>
      <c r="D17668" s="6">
        <v>6.11</v>
      </c>
      <c r="E17668" t="s">
        <v>99</v>
      </c>
    </row>
    <row r="17669" spans="1:5" x14ac:dyDescent="0.25">
      <c r="A17669" t="str">
        <f>HYPERLINK("https://www.773grp.com/globalSearch/TRF1400DW/page-1", "TRF1400DW")</f>
        <v>TRF1400DW</v>
      </c>
      <c r="B17669" s="3" t="str">
        <f>HYPERLINK("https://www.773grp.com/manufacturer/texas-instruments?pageNo=691", "Texas Instruments")</f>
        <v>Texas Instruments</v>
      </c>
      <c r="C17669" s="5">
        <v>10715</v>
      </c>
      <c r="D17669" s="6">
        <v>6.89</v>
      </c>
      <c r="E17669" t="s">
        <v>99</v>
      </c>
    </row>
    <row r="17670" spans="1:5" x14ac:dyDescent="0.25">
      <c r="A17670" t="str">
        <f>HYPERLINK("https://www.773grp.com/globalSearch/TMS3637D/page-1", "TMS3637D")</f>
        <v>TMS3637D</v>
      </c>
      <c r="B17670" s="3" t="s">
        <v>90</v>
      </c>
      <c r="C17670" s="5">
        <v>579</v>
      </c>
      <c r="D17670" s="6">
        <v>8.7799999999999994</v>
      </c>
      <c r="E17670" t="s">
        <v>99</v>
      </c>
    </row>
    <row r="17671" spans="1:5" x14ac:dyDescent="0.25">
      <c r="A17671" t="str">
        <f>HYPERLINK("https://www.773grp.com/globalSearch/THS9001DBVR/page-1", "THS9001DBVR")</f>
        <v>THS9001DBVR</v>
      </c>
      <c r="B17671" s="3" t="str">
        <f>HYPERLINK("https://www.773grp.com/manufacturer/texas-instruments?pageNo=546", "Texas Instruments")</f>
        <v>Texas Instruments</v>
      </c>
      <c r="C17671" s="5">
        <v>24000</v>
      </c>
      <c r="D17671" s="6">
        <v>3.66</v>
      </c>
      <c r="E17671" t="s">
        <v>97</v>
      </c>
    </row>
    <row r="17672" spans="1:5" x14ac:dyDescent="0.25">
      <c r="A17672" t="str">
        <f>HYPERLINK("https://www.773grp.com/globalSearch/THS9000DRDT/page-1", "THS9000DRDT")</f>
        <v>THS9000DRDT</v>
      </c>
      <c r="B17672" s="3" t="str">
        <f>HYPERLINK("https://www.773grp.com/manufacturer/texas-instruments?pageNo=614", "Texas Instruments")</f>
        <v>Texas Instruments</v>
      </c>
      <c r="C17672" s="5">
        <v>1470</v>
      </c>
      <c r="D17672" s="6">
        <v>3.94</v>
      </c>
      <c r="E17672" t="s">
        <v>97</v>
      </c>
    </row>
    <row r="17673" spans="1:5" x14ac:dyDescent="0.25">
      <c r="A17673" t="str">
        <f>HYPERLINK("https://www.773grp.com/globalSearch/THS9001DBVT/page-1", "THS9001DBVT")</f>
        <v>THS9001DBVT</v>
      </c>
      <c r="B17673" s="3" t="s">
        <v>90</v>
      </c>
      <c r="C17673" s="5">
        <v>76250</v>
      </c>
      <c r="D17673" s="6">
        <v>4.2300000000000004</v>
      </c>
      <c r="E17673" t="s">
        <v>97</v>
      </c>
    </row>
    <row r="17674" spans="1:5" x14ac:dyDescent="0.25">
      <c r="A17674" t="str">
        <f>HYPERLINK("https://www.773grp.com/globalSearch/TRF8010PWP/page-1", "TRF8010PWP")</f>
        <v>TRF8010PWP</v>
      </c>
      <c r="B17674" s="3" t="s">
        <v>90</v>
      </c>
      <c r="C17674" s="5">
        <v>3660</v>
      </c>
      <c r="D17674" s="6">
        <v>4.3</v>
      </c>
      <c r="E17674" t="s">
        <v>97</v>
      </c>
    </row>
    <row r="17675" spans="1:5" x14ac:dyDescent="0.25">
      <c r="A17675" t="str">
        <f>HYPERLINK("https://www.773grp.com/globalSearch/CC2590RGVR/page-1", "CC2590RGVR")</f>
        <v>CC2590RGVR</v>
      </c>
      <c r="B17675" s="3" t="s">
        <v>90</v>
      </c>
      <c r="C17675" s="5">
        <v>6013</v>
      </c>
      <c r="D17675" s="6">
        <v>4.3499999999999996</v>
      </c>
      <c r="E17675" t="s">
        <v>97</v>
      </c>
    </row>
    <row r="17676" spans="1:5" x14ac:dyDescent="0.25">
      <c r="A17676" t="str">
        <f>HYPERLINK("https://www.773grp.com/globalSearch/TRF7610PWP/page-1", "TRF7610PWP")</f>
        <v>TRF7610PWP</v>
      </c>
      <c r="B17676" s="3" t="str">
        <f>HYPERLINK("https://www.773grp.com/manufacturer/texas-instruments?pageNo=723", "Texas Instruments")</f>
        <v>Texas Instruments</v>
      </c>
      <c r="C17676" s="5">
        <v>261</v>
      </c>
      <c r="D17676" s="6">
        <v>6.95</v>
      </c>
      <c r="E17676" t="s">
        <v>97</v>
      </c>
    </row>
    <row r="17677" spans="1:5" x14ac:dyDescent="0.25">
      <c r="A17677" t="str">
        <f>HYPERLINK("https://www.773grp.com/globalSearch/TRF1123IRTMR/page-1", "TRF1123IRTMR")</f>
        <v>TRF1123IRTMR</v>
      </c>
      <c r="B17677" s="3" t="s">
        <v>90</v>
      </c>
      <c r="C17677" s="5">
        <v>69002</v>
      </c>
      <c r="D17677" s="6">
        <v>16.739999999999998</v>
      </c>
      <c r="E17677" t="s">
        <v>97</v>
      </c>
    </row>
    <row r="17678" spans="1:5" x14ac:dyDescent="0.25">
      <c r="A17678" t="str">
        <f>HYPERLINK("https://www.773grp.com/globalSearch/TRF1223IRTMR/page-1", "TRF1223IRTMR")</f>
        <v>TRF1223IRTMR</v>
      </c>
      <c r="B17678" s="3" t="s">
        <v>90</v>
      </c>
      <c r="C17678" s="5">
        <v>12000</v>
      </c>
      <c r="D17678" s="6">
        <v>17.59</v>
      </c>
      <c r="E17678" t="s">
        <v>97</v>
      </c>
    </row>
    <row r="17679" spans="1:5" x14ac:dyDescent="0.25">
      <c r="A17679" t="str">
        <f>HYPERLINK("https://www.773grp.com/globalSearch/TRF1123IRTMT/page-1", "TRF1123IRTMT")</f>
        <v>TRF1123IRTMT</v>
      </c>
      <c r="B17679" s="3" t="s">
        <v>90</v>
      </c>
      <c r="C17679" s="5">
        <v>22500</v>
      </c>
      <c r="D17679" s="6">
        <v>19.28</v>
      </c>
      <c r="E17679" t="s">
        <v>97</v>
      </c>
    </row>
    <row r="17680" spans="1:5" x14ac:dyDescent="0.25">
      <c r="A17680" t="str">
        <f>HYPERLINK("https://www.773grp.com/globalSearch/TRF1223IRTMT/page-1", "TRF1223IRTMT")</f>
        <v>TRF1223IRTMT</v>
      </c>
      <c r="B17680" s="3" t="s">
        <v>90</v>
      </c>
      <c r="C17680" s="5">
        <v>16891</v>
      </c>
      <c r="D17680" s="6">
        <v>20.21</v>
      </c>
      <c r="E17680" t="s">
        <v>97</v>
      </c>
    </row>
    <row r="17681" spans="1:5" x14ac:dyDescent="0.25">
      <c r="A17681" t="str">
        <f>HYPERLINK("https://www.773grp.com/globalSearch/ZL40000-LCE/page-1", "ZL40000-LCE")</f>
        <v>ZL40000-LCE</v>
      </c>
      <c r="B17681" s="3" t="s">
        <v>116</v>
      </c>
      <c r="C17681" s="5">
        <v>86</v>
      </c>
      <c r="D17681" s="6">
        <v>12.94</v>
      </c>
      <c r="E17681" t="s">
        <v>118</v>
      </c>
    </row>
    <row r="17682" spans="1:5" x14ac:dyDescent="0.25">
      <c r="A17682" t="str">
        <f>HYPERLINK("https://www.773grp.com/globalSearch/TRF1015DB/page-1", "TRF1015DB")</f>
        <v>TRF1015DB</v>
      </c>
      <c r="B17682" s="3" t="str">
        <f>HYPERLINK("https://www.773grp.com/manufacturer/texas-instruments?pageNo=410", "Texas Instruments")</f>
        <v>Texas Instruments</v>
      </c>
      <c r="C17682" s="5">
        <v>4360</v>
      </c>
      <c r="D17682" s="6">
        <v>3.63</v>
      </c>
      <c r="E17682" t="s">
        <v>76</v>
      </c>
    </row>
    <row r="17683" spans="1:5" x14ac:dyDescent="0.25">
      <c r="A17683" t="str">
        <f>HYPERLINK("https://www.773grp.com/globalSearch/TRF1115IRGPR/page-1", "TRF1115IRGPR")</f>
        <v>TRF1115IRGPR</v>
      </c>
      <c r="B17683" s="3" t="s">
        <v>90</v>
      </c>
      <c r="C17683" s="5">
        <v>12500</v>
      </c>
      <c r="D17683" s="6">
        <v>18.7</v>
      </c>
      <c r="E17683" t="s">
        <v>76</v>
      </c>
    </row>
    <row r="17684" spans="1:5" x14ac:dyDescent="0.25">
      <c r="A17684" t="str">
        <f>HYPERLINK("https://www.773grp.com/globalSearch/TRF1216IRGPR/page-1", "TRF1216IRGPR")</f>
        <v>TRF1216IRGPR</v>
      </c>
      <c r="B17684" s="3" t="s">
        <v>90</v>
      </c>
      <c r="C17684" s="5">
        <v>42000</v>
      </c>
      <c r="D17684" s="6">
        <v>18.7</v>
      </c>
      <c r="E17684" t="s">
        <v>76</v>
      </c>
    </row>
    <row r="17685" spans="1:5" x14ac:dyDescent="0.25">
      <c r="A17685" t="str">
        <f>HYPERLINK("https://www.773grp.com/globalSearch/TRF1122IRTMR/page-1", "TRF1122IRTMR")</f>
        <v>TRF1122IRTMR</v>
      </c>
      <c r="B17685" s="3" t="s">
        <v>90</v>
      </c>
      <c r="C17685" s="5">
        <v>17427</v>
      </c>
      <c r="D17685" s="6">
        <v>19.41</v>
      </c>
      <c r="E17685" t="s">
        <v>76</v>
      </c>
    </row>
    <row r="17686" spans="1:5" x14ac:dyDescent="0.25">
      <c r="A17686" t="str">
        <f>HYPERLINK("https://www.773grp.com/globalSearch/TRF1222IRTMR/page-1", "TRF1222IRTMR")</f>
        <v>TRF1222IRTMR</v>
      </c>
      <c r="B17686" s="3" t="s">
        <v>90</v>
      </c>
      <c r="C17686" s="5">
        <v>48000</v>
      </c>
      <c r="D17686" s="6">
        <v>19.41</v>
      </c>
      <c r="E17686" t="s">
        <v>76</v>
      </c>
    </row>
    <row r="17687" spans="1:5" x14ac:dyDescent="0.25">
      <c r="A17687" t="str">
        <f>HYPERLINK("https://www.773grp.com/globalSearch/TRF1115IRGPT/page-1", "TRF1115IRGPT")</f>
        <v>TRF1115IRGPT</v>
      </c>
      <c r="B17687" s="3" t="s">
        <v>90</v>
      </c>
      <c r="C17687" s="5">
        <v>18897</v>
      </c>
      <c r="D17687" s="6">
        <v>21.51</v>
      </c>
      <c r="E17687" t="s">
        <v>76</v>
      </c>
    </row>
    <row r="17688" spans="1:5" x14ac:dyDescent="0.25">
      <c r="A17688" t="str">
        <f>HYPERLINK("https://www.773grp.com/globalSearch/TRF1216IRGPT/page-1", "TRF1216IRGPT")</f>
        <v>TRF1216IRGPT</v>
      </c>
      <c r="B17688" s="3" t="s">
        <v>90</v>
      </c>
      <c r="C17688" s="5">
        <v>14230</v>
      </c>
      <c r="D17688" s="6">
        <v>21.51</v>
      </c>
      <c r="E17688" t="s">
        <v>76</v>
      </c>
    </row>
    <row r="17689" spans="1:5" x14ac:dyDescent="0.25">
      <c r="A17689" t="str">
        <f>HYPERLINK("https://www.773grp.com/globalSearch/TRF1122IRTMT/page-1", "TRF1122IRTMT")</f>
        <v>TRF1122IRTMT</v>
      </c>
      <c r="B17689" s="3" t="s">
        <v>90</v>
      </c>
      <c r="C17689" s="5">
        <v>17155</v>
      </c>
      <c r="D17689" s="6">
        <v>22.36</v>
      </c>
      <c r="E17689" t="s">
        <v>76</v>
      </c>
    </row>
    <row r="17690" spans="1:5" x14ac:dyDescent="0.25">
      <c r="A17690" t="str">
        <f>HYPERLINK("https://www.773grp.com/globalSearch/TRF1222IRTMT/page-1", "TRF1222IRTMT")</f>
        <v>TRF1222IRTMT</v>
      </c>
      <c r="B17690" s="3" t="s">
        <v>90</v>
      </c>
      <c r="C17690" s="5">
        <v>17295</v>
      </c>
      <c r="D17690" s="6">
        <v>22.36</v>
      </c>
      <c r="E17690" t="s">
        <v>76</v>
      </c>
    </row>
    <row r="17691" spans="1:5" x14ac:dyDescent="0.25">
      <c r="A17691" t="str">
        <f>HYPERLINK("https://www.773grp.com/globalSearch/TRF1112IRGZR/page-1", "TRF1112IRGZR")</f>
        <v>TRF1112IRGZR</v>
      </c>
      <c r="B17691" s="3" t="s">
        <v>90</v>
      </c>
      <c r="C17691" s="5">
        <v>2500</v>
      </c>
      <c r="D17691" s="6">
        <v>53.29</v>
      </c>
      <c r="E17691" t="s">
        <v>76</v>
      </c>
    </row>
    <row r="17692" spans="1:5" x14ac:dyDescent="0.25">
      <c r="A17692" t="str">
        <f>HYPERLINK("https://www.773grp.com/globalSearch/TRF1121IRGZR/page-1", "TRF1121IRGZR")</f>
        <v>TRF1121IRGZR</v>
      </c>
      <c r="B17692" s="3" t="s">
        <v>90</v>
      </c>
      <c r="C17692" s="5">
        <v>5000</v>
      </c>
      <c r="D17692" s="6">
        <v>57.09</v>
      </c>
      <c r="E17692" t="s">
        <v>76</v>
      </c>
    </row>
    <row r="17693" spans="1:5" x14ac:dyDescent="0.25">
      <c r="A17693" t="str">
        <f>HYPERLINK("https://www.773grp.com/globalSearch/TRF1221IRGZR/page-1", "TRF1221IRGZR")</f>
        <v>TRF1221IRGZR</v>
      </c>
      <c r="B17693" s="3" t="s">
        <v>90</v>
      </c>
      <c r="C17693" s="5">
        <v>45000</v>
      </c>
      <c r="D17693" s="6">
        <v>57.09</v>
      </c>
      <c r="E17693" t="s">
        <v>76</v>
      </c>
    </row>
    <row r="17694" spans="1:5" x14ac:dyDescent="0.25">
      <c r="A17694" t="str">
        <f>HYPERLINK("https://www.773grp.com/globalSearch/TRF1112IRGZT/page-1", "TRF1112IRGZT")</f>
        <v>TRF1112IRGZT</v>
      </c>
      <c r="B17694" s="3" t="s">
        <v>90</v>
      </c>
      <c r="C17694" s="5">
        <v>11464</v>
      </c>
      <c r="D17694" s="6">
        <v>57.51</v>
      </c>
      <c r="E17694" t="s">
        <v>76</v>
      </c>
    </row>
    <row r="17695" spans="1:5" x14ac:dyDescent="0.25">
      <c r="A17695" t="str">
        <f>HYPERLINK("https://www.773grp.com/globalSearch/TRF1212IRGZT/page-1", "TRF1212IRGZT")</f>
        <v>TRF1212IRGZT</v>
      </c>
      <c r="B17695" s="3" t="s">
        <v>90</v>
      </c>
      <c r="C17695" s="5">
        <v>25750</v>
      </c>
      <c r="D17695" s="6">
        <v>57.51</v>
      </c>
      <c r="E17695" t="s">
        <v>76</v>
      </c>
    </row>
    <row r="17696" spans="1:5" x14ac:dyDescent="0.25">
      <c r="A17696" t="str">
        <f>HYPERLINK("https://www.773grp.com/globalSearch/TRF1121IRGZT/page-1", "TRF1121IRGZT")</f>
        <v>TRF1121IRGZT</v>
      </c>
      <c r="B17696" s="3" t="s">
        <v>90</v>
      </c>
      <c r="C17696" s="5">
        <v>12551</v>
      </c>
      <c r="D17696" s="6">
        <v>61.31</v>
      </c>
      <c r="E17696" t="s">
        <v>76</v>
      </c>
    </row>
    <row r="17697" spans="1:5" x14ac:dyDescent="0.25">
      <c r="A17697" t="str">
        <f>HYPERLINK("https://www.773grp.com/globalSearch/TRF1221IRGZT/page-1", "TRF1221IRGZT")</f>
        <v>TRF1221IRGZT</v>
      </c>
      <c r="B17697" s="3" t="s">
        <v>90</v>
      </c>
      <c r="C17697" s="5">
        <v>12695</v>
      </c>
      <c r="D17697" s="6">
        <v>65.680000000000007</v>
      </c>
      <c r="E17697" t="s">
        <v>76</v>
      </c>
    </row>
    <row r="17698" spans="1:5" x14ac:dyDescent="0.25">
      <c r="A17698" t="str">
        <f>HYPERLINK("https://www.773grp.com/globalSearch/SL2015-KG-QP1S/page-1", "SL2015-KG-QP1S")</f>
        <v>SL2015-KG-QP1S</v>
      </c>
      <c r="B17698" s="3" t="s">
        <v>116</v>
      </c>
      <c r="C17698" s="5">
        <v>8718</v>
      </c>
      <c r="D17698" s="6">
        <v>3.29</v>
      </c>
      <c r="E17698" t="s">
        <v>76</v>
      </c>
    </row>
    <row r="17699" spans="1:5" x14ac:dyDescent="0.25">
      <c r="A17699" t="str">
        <f>HYPERLINK("https://www.773grp.com/globalSearch/LF398P/page-1", "LF398P")</f>
        <v>LF398P</v>
      </c>
      <c r="B17699" s="3" t="str">
        <f>HYPERLINK("https://www.773grp.com/manufacturer/texas-instruments?pageNo=779", "Texas Instruments")</f>
        <v>Texas Instruments</v>
      </c>
      <c r="C17699" s="5">
        <v>4984</v>
      </c>
      <c r="D17699" s="6">
        <v>7.04</v>
      </c>
      <c r="E17699" t="s">
        <v>5</v>
      </c>
    </row>
    <row r="17700" spans="1:5" x14ac:dyDescent="0.25">
      <c r="A17700" t="str">
        <f>HYPERLINK("https://www.773grp.com/globalSearch/OPA615IDR/page-1", "OPA615IDR")</f>
        <v>OPA615IDR</v>
      </c>
      <c r="B17700" s="3" t="s">
        <v>90</v>
      </c>
      <c r="C17700" s="5">
        <v>9950</v>
      </c>
      <c r="D17700" s="6">
        <v>15.7</v>
      </c>
      <c r="E17700" t="s">
        <v>5</v>
      </c>
    </row>
    <row r="17701" spans="1:5" x14ac:dyDescent="0.25">
      <c r="A17701" t="str">
        <f>HYPERLINK("https://www.773grp.com/globalSearch/OPA615IDGST/page-1", "OPA615IDGST")</f>
        <v>OPA615IDGST</v>
      </c>
      <c r="B17701" s="3" t="s">
        <v>90</v>
      </c>
      <c r="C17701" s="5">
        <v>5485</v>
      </c>
      <c r="D17701" s="6">
        <v>16.09</v>
      </c>
      <c r="E17701" t="s">
        <v>5</v>
      </c>
    </row>
    <row r="17702" spans="1:5" x14ac:dyDescent="0.25">
      <c r="A17702" t="str">
        <f>HYPERLINK("https://www.773grp.com/globalSearch/OPA615ID/page-1", "OPA615ID")</f>
        <v>OPA615ID</v>
      </c>
      <c r="B17702" s="3" t="s">
        <v>90</v>
      </c>
      <c r="C17702" s="5">
        <v>78</v>
      </c>
      <c r="D17702" s="6">
        <v>18.45</v>
      </c>
      <c r="E17702" t="s">
        <v>5</v>
      </c>
    </row>
    <row r="17703" spans="1:5" x14ac:dyDescent="0.25">
      <c r="A17703" t="str">
        <f>HYPERLINK("https://www.773grp.com/globalSearch/TL1591CP/page-1", "TL1591CP")</f>
        <v>TL1591CP</v>
      </c>
      <c r="B17703" s="3" t="s">
        <v>90</v>
      </c>
      <c r="C17703" s="5">
        <v>5</v>
      </c>
      <c r="D17703" s="6">
        <v>34.46</v>
      </c>
      <c r="E17703" t="s">
        <v>5</v>
      </c>
    </row>
    <row r="17704" spans="1:5" x14ac:dyDescent="0.25">
      <c r="A17704" t="str">
        <f>HYPERLINK("https://www.773grp.com/globalSearch/SHC702JM/page-1", "SHC702JM")</f>
        <v>SHC702JM</v>
      </c>
      <c r="B17704" s="3" t="s">
        <v>90</v>
      </c>
      <c r="C17704" s="5">
        <v>4</v>
      </c>
      <c r="D17704" s="6">
        <v>438.33</v>
      </c>
      <c r="E17704" t="s">
        <v>5</v>
      </c>
    </row>
    <row r="17705" spans="1:5" x14ac:dyDescent="0.25">
      <c r="A17705" t="str">
        <f>HYPERLINK("https://www.773grp.com/globalSearch/TSB42AA9PZTR/page-1", "TSB42AA9PZTR")</f>
        <v>TSB42AA9PZTR</v>
      </c>
      <c r="B17705" s="3" t="s">
        <v>90</v>
      </c>
      <c r="C17705" s="5">
        <v>5000</v>
      </c>
      <c r="D17705" s="6">
        <v>17.98</v>
      </c>
      <c r="E17705" t="s">
        <v>73</v>
      </c>
    </row>
    <row r="17706" spans="1:5" x14ac:dyDescent="0.25">
      <c r="A17706" t="str">
        <f>HYPERLINK("https://www.773grp.com/globalSearch/PCI1620GHK/page-1", "PCI1620GHK")</f>
        <v>PCI1620GHK</v>
      </c>
      <c r="B17706" s="3" t="s">
        <v>90</v>
      </c>
      <c r="C17706" s="5">
        <v>29690</v>
      </c>
      <c r="D17706" s="6">
        <v>20.68</v>
      </c>
      <c r="E17706" t="s">
        <v>73</v>
      </c>
    </row>
    <row r="17707" spans="1:5" x14ac:dyDescent="0.25">
      <c r="A17707" t="str">
        <f>HYPERLINK("https://www.773grp.com/globalSearch/PCI1620PDV/page-1", "PCI1620PDV")</f>
        <v>PCI1620PDV</v>
      </c>
      <c r="B17707" s="3" t="s">
        <v>90</v>
      </c>
      <c r="C17707" s="5">
        <v>216710</v>
      </c>
      <c r="D17707" s="6">
        <v>33.46</v>
      </c>
      <c r="E17707" t="s">
        <v>73</v>
      </c>
    </row>
    <row r="17708" spans="1:5" x14ac:dyDescent="0.25">
      <c r="A17708" t="str">
        <f>HYPERLINK("https://www.773grp.com/globalSearch/PCI7420GHK/page-1", "PCI7420GHK")</f>
        <v>PCI7420GHK</v>
      </c>
      <c r="B17708" s="3" t="s">
        <v>90</v>
      </c>
      <c r="C17708" s="5">
        <v>20087</v>
      </c>
      <c r="D17708" s="6">
        <v>33.75</v>
      </c>
      <c r="E17708" t="s">
        <v>73</v>
      </c>
    </row>
    <row r="17709" spans="1:5" x14ac:dyDescent="0.25">
      <c r="A17709" t="str">
        <f>HYPERLINK("https://www.773grp.com/globalSearch/PCI7420ZHK/page-1", "PCI7420ZHK")</f>
        <v>PCI7420ZHK</v>
      </c>
      <c r="B17709" s="3" t="s">
        <v>90</v>
      </c>
      <c r="C17709" s="5">
        <v>4756</v>
      </c>
      <c r="D17709" s="6">
        <v>33.75</v>
      </c>
      <c r="E17709" t="s">
        <v>73</v>
      </c>
    </row>
    <row r="17710" spans="1:5" x14ac:dyDescent="0.25">
      <c r="A17710" t="str">
        <f>HYPERLINK("https://www.773grp.com/globalSearch/PCI7620GHK/page-1", "PCI7620GHK")</f>
        <v>PCI7620GHK</v>
      </c>
      <c r="B17710" s="3" t="s">
        <v>90</v>
      </c>
      <c r="C17710" s="5">
        <v>12</v>
      </c>
      <c r="D17710" s="6">
        <v>36.56</v>
      </c>
      <c r="E17710" t="s">
        <v>73</v>
      </c>
    </row>
    <row r="17711" spans="1:5" x14ac:dyDescent="0.25">
      <c r="A17711" t="str">
        <f>HYPERLINK("https://www.773grp.com/globalSearch/PCI7620ZHK/page-1", "PCI7620ZHK")</f>
        <v>PCI7620ZHK</v>
      </c>
      <c r="B17711" s="3" t="s">
        <v>90</v>
      </c>
      <c r="C17711" s="5">
        <v>1</v>
      </c>
      <c r="D17711" s="6">
        <v>36.56</v>
      </c>
      <c r="E17711" t="s">
        <v>73</v>
      </c>
    </row>
    <row r="17712" spans="1:5" x14ac:dyDescent="0.25">
      <c r="A17712" t="str">
        <f>HYPERLINK("https://www.773grp.com/globalSearch/TL16C550DRHBR/page-1", "TL16C550DRHBR")</f>
        <v>TL16C550DRHBR</v>
      </c>
      <c r="B17712" s="3" t="str">
        <f>HYPERLINK("https://www.773grp.com/manufacturer/texas-instruments?pageNo=351", "Texas Instruments")</f>
        <v>Texas Instruments</v>
      </c>
      <c r="C17712" s="5">
        <v>3000</v>
      </c>
      <c r="D17712" s="6">
        <v>3.85</v>
      </c>
      <c r="E17712" t="s">
        <v>60</v>
      </c>
    </row>
    <row r="17713" spans="1:5" x14ac:dyDescent="0.25">
      <c r="A17713" t="str">
        <f>HYPERLINK("https://www.773grp.com/globalSearch/TL16C550DZQSR/page-1", "TL16C550DZQSR")</f>
        <v>TL16C550DZQSR</v>
      </c>
      <c r="B17713" s="3" t="str">
        <f>HYPERLINK("https://www.773grp.com/manufacturer/texas-instruments?pageNo=352", "Texas Instruments")</f>
        <v>Texas Instruments</v>
      </c>
      <c r="C17713" s="5">
        <v>12500</v>
      </c>
      <c r="D17713" s="6">
        <v>3.85</v>
      </c>
      <c r="E17713" t="s">
        <v>60</v>
      </c>
    </row>
    <row r="17714" spans="1:5" x14ac:dyDescent="0.25">
      <c r="A17714" t="str">
        <f>HYPERLINK("https://www.773grp.com/globalSearch/TUSB2046BIRHBT/page-1", "TUSB2046BIRHBT")</f>
        <v>TUSB2046BIRHBT</v>
      </c>
      <c r="B17714" s="3" t="s">
        <v>90</v>
      </c>
      <c r="C17714" s="5">
        <v>610</v>
      </c>
      <c r="D17714" s="6">
        <v>4.1900000000000004</v>
      </c>
      <c r="E17714" t="s">
        <v>60</v>
      </c>
    </row>
    <row r="17715" spans="1:5" x14ac:dyDescent="0.25">
      <c r="A17715" t="str">
        <f>HYPERLINK("https://www.773grp.com/globalSearch/TL16C550DIPFBR/page-1", "TL16C550DIPFBR")</f>
        <v>TL16C550DIPFBR</v>
      </c>
      <c r="B17715" s="3" t="s">
        <v>90</v>
      </c>
      <c r="C17715" s="5">
        <v>7000</v>
      </c>
      <c r="D17715" s="6">
        <v>4.3499999999999996</v>
      </c>
      <c r="E17715" t="s">
        <v>60</v>
      </c>
    </row>
    <row r="17716" spans="1:5" x14ac:dyDescent="0.25">
      <c r="A17716" t="str">
        <f>HYPERLINK("https://www.773grp.com/globalSearch/TL16C450FNR/page-1", "TL16C450FNR")</f>
        <v>TL16C450FNR</v>
      </c>
      <c r="B17716" s="3" t="str">
        <f>HYPERLINK("https://www.773grp.com/manufacturer/texas-instruments?pageNo=235", "Texas Instruments")</f>
        <v>Texas Instruments</v>
      </c>
      <c r="C17716" s="5">
        <v>221</v>
      </c>
      <c r="D17716" s="6">
        <v>4.4400000000000004</v>
      </c>
      <c r="E17716" t="s">
        <v>60</v>
      </c>
    </row>
    <row r="17717" spans="1:5" x14ac:dyDescent="0.25">
      <c r="A17717" t="str">
        <f>HYPERLINK("https://www.773grp.com/globalSearch/TL16C550DPFB/page-1", "TL16C550DPFB")</f>
        <v>TL16C550DPFB</v>
      </c>
      <c r="B17717" s="3" t="str">
        <f>HYPERLINK("https://www.773grp.com/manufacturer/texas-instruments?pageNo=843", "Texas Instruments")</f>
        <v>Texas Instruments</v>
      </c>
      <c r="C17717" s="5">
        <v>251</v>
      </c>
      <c r="D17717" s="6">
        <v>4.59</v>
      </c>
      <c r="E17717" t="s">
        <v>60</v>
      </c>
    </row>
    <row r="17718" spans="1:5" x14ac:dyDescent="0.25">
      <c r="A17718" t="str">
        <f>HYPERLINK("https://www.773grp.com/globalSearch/TL16C550DPT/page-1", "TL16C550DPT")</f>
        <v>TL16C550DPT</v>
      </c>
      <c r="B17718" s="3" t="str">
        <f>HYPERLINK("https://www.773grp.com/manufacturer/texas-instruments?pageNo=844", "Texas Instruments")</f>
        <v>Texas Instruments</v>
      </c>
      <c r="C17718" s="5">
        <v>1358</v>
      </c>
      <c r="D17718" s="6">
        <v>4.59</v>
      </c>
      <c r="E17718" t="s">
        <v>60</v>
      </c>
    </row>
    <row r="17719" spans="1:5" x14ac:dyDescent="0.25">
      <c r="A17719" t="str">
        <f>HYPERLINK("https://www.773grp.com/globalSearch/TL16C550DRHB/page-1", "TL16C550DRHB")</f>
        <v>TL16C550DRHB</v>
      </c>
      <c r="B17719" s="3" t="str">
        <f>HYPERLINK("https://www.773grp.com/manufacturer/texas-instruments?pageNo=845", "Texas Instruments")</f>
        <v>Texas Instruments</v>
      </c>
      <c r="C17719" s="5">
        <v>401</v>
      </c>
      <c r="D17719" s="6">
        <v>4.59</v>
      </c>
      <c r="E17719" t="s">
        <v>60</v>
      </c>
    </row>
    <row r="17720" spans="1:5" x14ac:dyDescent="0.25">
      <c r="A17720" t="str">
        <f>HYPERLINK("https://www.773grp.com/globalSearch/TL16C550DRHB/page-1", "TL16C550DRHB")</f>
        <v>TL16C550DRHB</v>
      </c>
      <c r="B17720" s="3" t="str">
        <f>HYPERLINK("https://www.773grp.com/manufacturer/texas-instruments?pageNo=846", "Texas Instruments")</f>
        <v>Texas Instruments</v>
      </c>
      <c r="C17720" s="5">
        <v>1807</v>
      </c>
      <c r="D17720" s="6">
        <v>4.59</v>
      </c>
      <c r="E17720" t="s">
        <v>60</v>
      </c>
    </row>
    <row r="17721" spans="1:5" x14ac:dyDescent="0.25">
      <c r="A17721" t="str">
        <f>HYPERLINK("https://www.773grp.com/globalSearch/TL16C550CPTR/page-1", "TL16C550CPTR")</f>
        <v>TL16C550CPTR</v>
      </c>
      <c r="B17721" s="3" t="s">
        <v>90</v>
      </c>
      <c r="C17721" s="5">
        <v>8000</v>
      </c>
      <c r="D17721" s="6">
        <v>4.8600000000000003</v>
      </c>
      <c r="E17721" t="s">
        <v>60</v>
      </c>
    </row>
    <row r="17722" spans="1:5" x14ac:dyDescent="0.25">
      <c r="A17722" t="str">
        <f>HYPERLINK("https://www.773grp.com/globalSearch/TL16C550CN/page-1", "TL16C550CN")</f>
        <v>TL16C550CN</v>
      </c>
      <c r="B17722" s="3" t="s">
        <v>90</v>
      </c>
      <c r="C17722" s="5">
        <v>4</v>
      </c>
      <c r="D17722" s="6">
        <v>4.93</v>
      </c>
      <c r="E17722" t="s">
        <v>60</v>
      </c>
    </row>
    <row r="17723" spans="1:5" x14ac:dyDescent="0.25">
      <c r="A17723" t="str">
        <f>HYPERLINK("https://www.773grp.com/globalSearch/TL16C550DIRHB/page-1", "TL16C550DIRHB")</f>
        <v>TL16C550DIRHB</v>
      </c>
      <c r="B17723" s="3" t="s">
        <v>90</v>
      </c>
      <c r="C17723" s="5">
        <v>39022</v>
      </c>
      <c r="D17723" s="6">
        <v>5.0999999999999996</v>
      </c>
      <c r="E17723" t="s">
        <v>60</v>
      </c>
    </row>
    <row r="17724" spans="1:5" x14ac:dyDescent="0.25">
      <c r="A17724" t="str">
        <f>HYPERLINK("https://www.773grp.com/globalSearch/TL16C450FN/page-1", "TL16C450FN")</f>
        <v>TL16C450FN</v>
      </c>
      <c r="B17724" s="3" t="s">
        <v>90</v>
      </c>
      <c r="C17724" s="5">
        <v>3663</v>
      </c>
      <c r="D17724" s="6">
        <v>5.29</v>
      </c>
      <c r="E17724" t="s">
        <v>60</v>
      </c>
    </row>
    <row r="17725" spans="1:5" x14ac:dyDescent="0.25">
      <c r="A17725" t="str">
        <f>HYPERLINK("https://www.773grp.com/globalSearch/TL16C550CIPTR/page-1", "TL16C550CIPTR")</f>
        <v>TL16C550CIPTR</v>
      </c>
      <c r="B17725" s="3" t="s">
        <v>90</v>
      </c>
      <c r="C17725" s="5">
        <v>1000</v>
      </c>
      <c r="D17725" s="6">
        <v>5.36</v>
      </c>
      <c r="E17725" t="s">
        <v>60</v>
      </c>
    </row>
    <row r="17726" spans="1:5" x14ac:dyDescent="0.25">
      <c r="A17726" t="str">
        <f>HYPERLINK("https://www.773grp.com/globalSearch/TUSB2043VF/page-1", "TUSB2043VF")</f>
        <v>TUSB2043VF</v>
      </c>
      <c r="B17726" s="3" t="s">
        <v>90</v>
      </c>
      <c r="C17726" s="5">
        <v>167250</v>
      </c>
      <c r="D17726" s="6">
        <v>5.63</v>
      </c>
      <c r="E17726" t="s">
        <v>60</v>
      </c>
    </row>
    <row r="17727" spans="1:5" x14ac:dyDescent="0.25">
      <c r="A17727" t="str">
        <f>HYPERLINK("https://www.773grp.com/globalSearch/TL16C550CFNR/page-1", "TL16C550CFNR")</f>
        <v>TL16C550CFNR</v>
      </c>
      <c r="B17727" s="3" t="s">
        <v>90</v>
      </c>
      <c r="C17727" s="5">
        <v>18729</v>
      </c>
      <c r="D17727" s="6">
        <v>5.7</v>
      </c>
      <c r="E17727" t="s">
        <v>60</v>
      </c>
    </row>
    <row r="17728" spans="1:5" x14ac:dyDescent="0.25">
      <c r="A17728" t="str">
        <f>HYPERLINK("https://www.773grp.com/globalSearch/TL16C550CFNRG4/page-1", "TL16C550CFNRG4")</f>
        <v>TL16C550CFNRG4</v>
      </c>
      <c r="B17728" s="3" t="s">
        <v>90</v>
      </c>
      <c r="C17728" s="5">
        <v>2000</v>
      </c>
      <c r="D17728" s="6">
        <v>5.7</v>
      </c>
      <c r="E17728" t="s">
        <v>60</v>
      </c>
    </row>
    <row r="17729" spans="1:5" x14ac:dyDescent="0.25">
      <c r="A17729" t="str">
        <f>HYPERLINK("https://www.773grp.com/globalSearch/TL16C550CPFB/page-1", "TL16C550CPFB")</f>
        <v>TL16C550CPFB</v>
      </c>
      <c r="B17729" s="3" t="s">
        <v>90</v>
      </c>
      <c r="C17729" s="5">
        <v>8689</v>
      </c>
      <c r="D17729" s="6">
        <v>5.79</v>
      </c>
      <c r="E17729" t="s">
        <v>60</v>
      </c>
    </row>
    <row r="17730" spans="1:5" x14ac:dyDescent="0.25">
      <c r="A17730" t="str">
        <f>HYPERLINK("https://www.773grp.com/globalSearch/TL16C550CPT/page-1", "TL16C550CPT")</f>
        <v>TL16C550CPT</v>
      </c>
      <c r="B17730" s="3" t="s">
        <v>90</v>
      </c>
      <c r="C17730" s="5">
        <v>12363</v>
      </c>
      <c r="D17730" s="6">
        <v>5.79</v>
      </c>
      <c r="E17730" t="s">
        <v>60</v>
      </c>
    </row>
    <row r="17731" spans="1:5" x14ac:dyDescent="0.25">
      <c r="A17731" t="str">
        <f>HYPERLINK("https://www.773grp.com/globalSearch/TL16C2550RHBR/page-1", "TL16C2550RHBR")</f>
        <v>TL16C2550RHBR</v>
      </c>
      <c r="B17731" s="3" t="s">
        <v>90</v>
      </c>
      <c r="C17731" s="5">
        <v>11760</v>
      </c>
      <c r="D17731" s="6">
        <v>6.19</v>
      </c>
      <c r="E17731" t="s">
        <v>60</v>
      </c>
    </row>
    <row r="17732" spans="1:5" x14ac:dyDescent="0.25">
      <c r="A17732" t="str">
        <f>HYPERLINK("https://www.773grp.com/globalSearch/TL16C550CIPT/page-1", "TL16C550CIPT")</f>
        <v>TL16C550CIPT</v>
      </c>
      <c r="B17732" s="3" t="s">
        <v>90</v>
      </c>
      <c r="C17732" s="5">
        <v>3728</v>
      </c>
      <c r="D17732" s="6">
        <v>6.3</v>
      </c>
      <c r="E17732" t="s">
        <v>60</v>
      </c>
    </row>
    <row r="17733" spans="1:5" x14ac:dyDescent="0.25">
      <c r="A17733" t="str">
        <f>HYPERLINK("https://www.773grp.com/globalSearch/TL16C550CFN/page-1", "TL16C550CFN")</f>
        <v>TL16C550CFN</v>
      </c>
      <c r="B17733" s="3" t="str">
        <f>HYPERLINK("https://www.773grp.com/manufacturer/texas-instruments?pageNo=398", "Texas Instruments")</f>
        <v>Texas Instruments</v>
      </c>
      <c r="C17733" s="5">
        <v>6976</v>
      </c>
      <c r="D17733" s="6">
        <v>6.64</v>
      </c>
      <c r="E17733" t="s">
        <v>60</v>
      </c>
    </row>
    <row r="17734" spans="1:5" x14ac:dyDescent="0.25">
      <c r="A17734" t="str">
        <f>HYPERLINK("https://www.773grp.com/globalSearch/TL16C2550IPFBR/page-1", "TL16C2550IPFBR")</f>
        <v>TL16C2550IPFBR</v>
      </c>
      <c r="B17734" s="3" t="str">
        <f>HYPERLINK("https://www.773grp.com/manufacturer/texas-instruments?pageNo=425", "Texas Instruments")</f>
        <v>Texas Instruments</v>
      </c>
      <c r="C17734" s="5">
        <v>1000</v>
      </c>
      <c r="D17734" s="6">
        <v>6.7</v>
      </c>
      <c r="E17734" t="s">
        <v>60</v>
      </c>
    </row>
    <row r="17735" spans="1:5" x14ac:dyDescent="0.25">
      <c r="A17735" t="str">
        <f>HYPERLINK("https://www.773grp.com/globalSearch/TL16C550CIFN/page-1", "TL16C550CIFN")</f>
        <v>TL16C550CIFN</v>
      </c>
      <c r="B17735" s="3" t="str">
        <f>HYPERLINK("https://www.773grp.com/manufacturer/texas-instruments?pageNo=960", "Texas Instruments")</f>
        <v>Texas Instruments</v>
      </c>
      <c r="C17735" s="5">
        <v>70</v>
      </c>
      <c r="D17735" s="6">
        <v>7.14</v>
      </c>
      <c r="E17735" t="s">
        <v>60</v>
      </c>
    </row>
    <row r="17736" spans="1:5" x14ac:dyDescent="0.25">
      <c r="A17736" t="str">
        <f>HYPERLINK("https://www.773grp.com/globalSearch/TL16C752BPTR/page-1", "TL16C752BPTR")</f>
        <v>TL16C752BPTR</v>
      </c>
      <c r="B17736" s="3" t="s">
        <v>90</v>
      </c>
      <c r="C17736" s="5">
        <v>16084</v>
      </c>
      <c r="D17736" s="6">
        <v>7.31</v>
      </c>
      <c r="E17736" t="s">
        <v>60</v>
      </c>
    </row>
    <row r="17737" spans="1:5" x14ac:dyDescent="0.25">
      <c r="A17737" t="str">
        <f>HYPERLINK("https://www.773grp.com/globalSearch/TL16C2550PFB/page-1", "TL16C2550PFB")</f>
        <v>TL16C2550PFB</v>
      </c>
      <c r="B17737" s="3" t="s">
        <v>90</v>
      </c>
      <c r="C17737" s="5">
        <v>151</v>
      </c>
      <c r="D17737" s="6">
        <v>7.43</v>
      </c>
      <c r="E17737" t="s">
        <v>60</v>
      </c>
    </row>
    <row r="17738" spans="1:5" x14ac:dyDescent="0.25">
      <c r="A17738" t="str">
        <f>HYPERLINK("https://www.773grp.com/globalSearch/TL16C2550RHB/page-1", "TL16C2550RHB")</f>
        <v>TL16C2550RHB</v>
      </c>
      <c r="B17738" s="3" t="s">
        <v>90</v>
      </c>
      <c r="C17738" s="5">
        <v>1871</v>
      </c>
      <c r="D17738" s="6">
        <v>7.43</v>
      </c>
      <c r="E17738" t="s">
        <v>60</v>
      </c>
    </row>
    <row r="17739" spans="1:5" x14ac:dyDescent="0.25">
      <c r="A17739" t="str">
        <f>HYPERLINK("https://www.773grp.com/globalSearch/TL16C752CRHB/page-1", "TL16C752CRHB")</f>
        <v>TL16C752CRHB</v>
      </c>
      <c r="B17739" s="3" t="s">
        <v>90</v>
      </c>
      <c r="C17739" s="5">
        <v>4891</v>
      </c>
      <c r="D17739" s="6">
        <v>7.46</v>
      </c>
      <c r="E17739" t="s">
        <v>60</v>
      </c>
    </row>
    <row r="17740" spans="1:5" x14ac:dyDescent="0.25">
      <c r="A17740" t="str">
        <f>HYPERLINK("https://www.773grp.com/globalSearch/TL16C452FNR/page-1", "TL16C452FNR")</f>
        <v>TL16C452FNR</v>
      </c>
      <c r="B17740" s="3" t="s">
        <v>90</v>
      </c>
      <c r="C17740" s="5">
        <v>2715</v>
      </c>
      <c r="D17740" s="6">
        <v>7.54</v>
      </c>
      <c r="E17740" t="s">
        <v>60</v>
      </c>
    </row>
    <row r="17741" spans="1:5" x14ac:dyDescent="0.25">
      <c r="A17741" t="str">
        <f>HYPERLINK("https://www.773grp.com/globalSearch/TL16C2550IRHB/page-1", "TL16C2550IRHB")</f>
        <v>TL16C2550IRHB</v>
      </c>
      <c r="B17741" s="3" t="s">
        <v>90</v>
      </c>
      <c r="C17741" s="5">
        <v>438</v>
      </c>
      <c r="D17741" s="6">
        <v>7.94</v>
      </c>
      <c r="E17741" t="s">
        <v>60</v>
      </c>
    </row>
    <row r="17742" spans="1:5" x14ac:dyDescent="0.25">
      <c r="A17742" t="str">
        <f>HYPERLINK("https://www.773grp.com/globalSearch/TL16C752CIRHB/page-1", "TL16C752CIRHB")</f>
        <v>TL16C752CIRHB</v>
      </c>
      <c r="B17742" s="3" t="s">
        <v>90</v>
      </c>
      <c r="C17742" s="5">
        <v>1673</v>
      </c>
      <c r="D17742" s="6">
        <v>8.01</v>
      </c>
      <c r="E17742" t="s">
        <v>60</v>
      </c>
    </row>
    <row r="17743" spans="1:5" x14ac:dyDescent="0.25">
      <c r="A17743" t="str">
        <f>HYPERLINK("https://www.773grp.com/globalSearch/TL16C2552FNR/page-1", "TL16C2552FNR")</f>
        <v>TL16C2552FNR</v>
      </c>
      <c r="B17743" s="3" t="s">
        <v>90</v>
      </c>
      <c r="C17743" s="5">
        <v>3500</v>
      </c>
      <c r="D17743" s="6">
        <v>8.15</v>
      </c>
      <c r="E17743" t="s">
        <v>60</v>
      </c>
    </row>
    <row r="17744" spans="1:5" x14ac:dyDescent="0.25">
      <c r="A17744" t="str">
        <f>HYPERLINK("https://www.773grp.com/globalSearch/TL16C752CPFB/page-1", "TL16C752CPFB")</f>
        <v>TL16C752CPFB</v>
      </c>
      <c r="B17744" s="3" t="s">
        <v>90</v>
      </c>
      <c r="C17744" s="5">
        <v>144</v>
      </c>
      <c r="D17744" s="6">
        <v>8.15</v>
      </c>
      <c r="E17744" t="s">
        <v>60</v>
      </c>
    </row>
    <row r="17745" spans="1:5" x14ac:dyDescent="0.25">
      <c r="A17745" t="str">
        <f>HYPERLINK("https://www.773grp.com/globalSearch/TL16C550AFN/page-1", "TL16C550AFN")</f>
        <v>TL16C550AFN</v>
      </c>
      <c r="B17745" s="3" t="s">
        <v>90</v>
      </c>
      <c r="C17745" s="5">
        <v>142</v>
      </c>
      <c r="D17745" s="6">
        <v>8.2799999999999994</v>
      </c>
      <c r="E17745" t="s">
        <v>60</v>
      </c>
    </row>
    <row r="17746" spans="1:5" x14ac:dyDescent="0.25">
      <c r="A17746" t="str">
        <f>HYPERLINK("https://www.773grp.com/globalSearch/TL16C550AN/page-1", "TL16C550AN")</f>
        <v>TL16C550AN</v>
      </c>
      <c r="B17746" s="3" t="s">
        <v>90</v>
      </c>
      <c r="C17746" s="5">
        <v>307</v>
      </c>
      <c r="D17746" s="6">
        <v>8.2799999999999994</v>
      </c>
      <c r="E17746" t="s">
        <v>60</v>
      </c>
    </row>
    <row r="17747" spans="1:5" x14ac:dyDescent="0.25">
      <c r="A17747" t="str">
        <f>HYPERLINK("https://www.773grp.com/globalSearch/TL16C550BFN/page-1", "TL16C550BFN")</f>
        <v>TL16C550BFN</v>
      </c>
      <c r="B17747" s="3" t="s">
        <v>90</v>
      </c>
      <c r="C17747" s="5">
        <v>591</v>
      </c>
      <c r="D17747" s="6">
        <v>8.2799999999999994</v>
      </c>
      <c r="E17747" t="s">
        <v>60</v>
      </c>
    </row>
    <row r="17748" spans="1:5" x14ac:dyDescent="0.25">
      <c r="A17748" t="str">
        <f>HYPERLINK("https://www.773grp.com/globalSearch/TL16C550BFN/page-1", "TL16C550BFN")</f>
        <v>TL16C550BFN</v>
      </c>
      <c r="B17748" s="3" t="s">
        <v>90</v>
      </c>
      <c r="C17748" s="5">
        <v>295</v>
      </c>
      <c r="D17748" s="6">
        <v>8.2799999999999994</v>
      </c>
      <c r="E17748" t="s">
        <v>60</v>
      </c>
    </row>
    <row r="17749" spans="1:5" x14ac:dyDescent="0.25">
      <c r="A17749" t="str">
        <f>HYPERLINK("https://www.773grp.com/globalSearch/TL16C550BN/page-1", "TL16C550BN")</f>
        <v>TL16C550BN</v>
      </c>
      <c r="B17749" s="3" t="s">
        <v>90</v>
      </c>
      <c r="C17749" s="5">
        <v>7589</v>
      </c>
      <c r="D17749" s="6">
        <v>8.3000000000000007</v>
      </c>
      <c r="E17749" t="s">
        <v>60</v>
      </c>
    </row>
    <row r="17750" spans="1:5" x14ac:dyDescent="0.25">
      <c r="A17750" t="str">
        <f>HYPERLINK("https://www.773grp.com/globalSearch/TL16C752BPT/page-1", "TL16C752BPT")</f>
        <v>TL16C752BPT</v>
      </c>
      <c r="B17750" s="3" t="s">
        <v>90</v>
      </c>
      <c r="C17750" s="5">
        <v>3248</v>
      </c>
      <c r="D17750" s="6">
        <v>8.7799999999999994</v>
      </c>
      <c r="E17750" t="s">
        <v>60</v>
      </c>
    </row>
    <row r="17751" spans="1:5" x14ac:dyDescent="0.25">
      <c r="A17751" t="str">
        <f>HYPERLINK("https://www.773grp.com/globalSearch/TL16C550BPT/page-1", "TL16C550BPT")</f>
        <v>TL16C550BPT</v>
      </c>
      <c r="B17751" s="3" t="s">
        <v>90</v>
      </c>
      <c r="C17751" s="5">
        <v>63</v>
      </c>
      <c r="D17751" s="6">
        <v>8.86</v>
      </c>
      <c r="E17751" t="s">
        <v>60</v>
      </c>
    </row>
    <row r="17752" spans="1:5" x14ac:dyDescent="0.25">
      <c r="A17752" t="str">
        <f>HYPERLINK("https://www.773grp.com/globalSearch/TL16C550BPTR/page-1", "TL16C550BPTR")</f>
        <v>TL16C550BPTR</v>
      </c>
      <c r="B17752" s="3" t="s">
        <v>90</v>
      </c>
      <c r="C17752" s="5">
        <v>17000</v>
      </c>
      <c r="D17752" s="6">
        <v>8.86</v>
      </c>
      <c r="E17752" t="s">
        <v>60</v>
      </c>
    </row>
    <row r="17753" spans="1:5" x14ac:dyDescent="0.25">
      <c r="A17753" t="str">
        <f>HYPERLINK("https://www.773grp.com/globalSearch/TL16C752PT/page-1", "TL16C752PT")</f>
        <v>TL16C752PT</v>
      </c>
      <c r="B17753" s="3" t="s">
        <v>90</v>
      </c>
      <c r="C17753" s="5">
        <v>4246</v>
      </c>
      <c r="D17753" s="6">
        <v>8.86</v>
      </c>
      <c r="E17753" t="s">
        <v>60</v>
      </c>
    </row>
    <row r="17754" spans="1:5" x14ac:dyDescent="0.25">
      <c r="A17754" t="str">
        <f>HYPERLINK("https://www.773grp.com/globalSearch/TL16C452FN/page-1", "TL16C452FN")</f>
        <v>TL16C452FN</v>
      </c>
      <c r="B17754" s="3" t="s">
        <v>90</v>
      </c>
      <c r="C17754" s="5">
        <v>5465</v>
      </c>
      <c r="D17754" s="6">
        <v>8.98</v>
      </c>
      <c r="E17754" t="s">
        <v>60</v>
      </c>
    </row>
    <row r="17755" spans="1:5" x14ac:dyDescent="0.25">
      <c r="A17755" t="str">
        <f>HYPERLINK("https://www.773grp.com/globalSearch/TL16C451FNR/page-1", "TL16C451FNR")</f>
        <v>TL16C451FNR</v>
      </c>
      <c r="B17755" s="3" t="s">
        <v>90</v>
      </c>
      <c r="C17755" s="5">
        <v>5250</v>
      </c>
      <c r="D17755" s="6">
        <v>9.11</v>
      </c>
      <c r="E17755" t="s">
        <v>60</v>
      </c>
    </row>
    <row r="17756" spans="1:5" x14ac:dyDescent="0.25">
      <c r="A17756" t="str">
        <f>HYPERLINK("https://www.773grp.com/globalSearch/TL16C2552FN/page-1", "TL16C2552FN")</f>
        <v>TL16C2552FN</v>
      </c>
      <c r="B17756" s="3" t="s">
        <v>90</v>
      </c>
      <c r="C17756" s="5">
        <v>917</v>
      </c>
      <c r="D17756" s="6">
        <v>9.7899999999999991</v>
      </c>
      <c r="E17756" t="s">
        <v>60</v>
      </c>
    </row>
    <row r="17757" spans="1:5" x14ac:dyDescent="0.25">
      <c r="A17757" t="str">
        <f>HYPERLINK("https://www.773grp.com/globalSearch/TL16C2552IFN/page-1", "TL16C2552IFN")</f>
        <v>TL16C2552IFN</v>
      </c>
      <c r="B17757" s="3" t="s">
        <v>90</v>
      </c>
      <c r="C17757" s="5">
        <v>8292</v>
      </c>
      <c r="D17757" s="6">
        <v>10.3</v>
      </c>
      <c r="E17757" t="s">
        <v>60</v>
      </c>
    </row>
    <row r="17758" spans="1:5" x14ac:dyDescent="0.25">
      <c r="A17758" t="str">
        <f>HYPERLINK("https://www.773grp.com/globalSearch/TSB43AB22APDT/page-1", "TSB43AB22APDT")</f>
        <v>TSB43AB22APDT</v>
      </c>
      <c r="B17758" s="3" t="s">
        <v>90</v>
      </c>
      <c r="C17758" s="5">
        <v>77491</v>
      </c>
      <c r="D17758" s="6">
        <v>10.69</v>
      </c>
      <c r="E17758" t="s">
        <v>60</v>
      </c>
    </row>
    <row r="17759" spans="1:5" x14ac:dyDescent="0.25">
      <c r="A17759" t="str">
        <f>HYPERLINK("https://www.773grp.com/globalSearch/TSB43AB22APDTG4/page-1", "TSB43AB22APDTG4")</f>
        <v>TSB43AB22APDTG4</v>
      </c>
      <c r="B17759" s="3" t="s">
        <v>90</v>
      </c>
      <c r="C17759" s="5">
        <v>53020</v>
      </c>
      <c r="D17759" s="6">
        <v>10.69</v>
      </c>
      <c r="E17759" t="s">
        <v>60</v>
      </c>
    </row>
    <row r="17760" spans="1:5" x14ac:dyDescent="0.25">
      <c r="A17760" t="str">
        <f>HYPERLINK("https://www.773grp.com/globalSearch/TSB43AB22PDT/page-1", "TSB43AB22PDT")</f>
        <v>TSB43AB22PDT</v>
      </c>
      <c r="B17760" s="3" t="s">
        <v>90</v>
      </c>
      <c r="C17760" s="5">
        <v>22627</v>
      </c>
      <c r="D17760" s="6">
        <v>10.69</v>
      </c>
      <c r="E17760" t="s">
        <v>60</v>
      </c>
    </row>
    <row r="17761" spans="1:5" x14ac:dyDescent="0.25">
      <c r="A17761" t="str">
        <f>HYPERLINK("https://www.773grp.com/globalSearch/TL16C2752FN/page-1", "TL16C2752FN")</f>
        <v>TL16C2752FN</v>
      </c>
      <c r="B17761" s="3" t="s">
        <v>90</v>
      </c>
      <c r="C17761" s="5">
        <v>7648</v>
      </c>
      <c r="D17761" s="6">
        <v>10.8</v>
      </c>
      <c r="E17761" t="s">
        <v>60</v>
      </c>
    </row>
    <row r="17762" spans="1:5" x14ac:dyDescent="0.25">
      <c r="A17762" t="str">
        <f>HYPERLINK("https://www.773grp.com/globalSearch/TL16C451FN/page-1", "TL16C451FN")</f>
        <v>TL16C451FN</v>
      </c>
      <c r="B17762" s="3" t="s">
        <v>90</v>
      </c>
      <c r="C17762" s="5">
        <v>4417</v>
      </c>
      <c r="D17762" s="6">
        <v>10.85</v>
      </c>
      <c r="E17762" t="s">
        <v>60</v>
      </c>
    </row>
    <row r="17763" spans="1:5" x14ac:dyDescent="0.25">
      <c r="A17763" t="str">
        <f>HYPERLINK("https://www.773grp.com/globalSearch/TL16C2752IFN/page-1", "TL16C2752IFN")</f>
        <v>TL16C2752IFN</v>
      </c>
      <c r="B17763" s="3" t="s">
        <v>90</v>
      </c>
      <c r="C17763" s="5">
        <v>3875</v>
      </c>
      <c r="D17763" s="6">
        <v>11.31</v>
      </c>
      <c r="E17763" t="s">
        <v>60</v>
      </c>
    </row>
    <row r="17764" spans="1:5" x14ac:dyDescent="0.25">
      <c r="A17764" t="str">
        <f>HYPERLINK("https://www.773grp.com/globalSearch/TL16C2752IFNG4/page-1", "TL16C2752IFNG4")</f>
        <v>TL16C2752IFNG4</v>
      </c>
      <c r="B17764" s="3" t="s">
        <v>90</v>
      </c>
      <c r="C17764" s="5">
        <v>8</v>
      </c>
      <c r="D17764" s="6">
        <v>11.39</v>
      </c>
      <c r="E17764" t="s">
        <v>60</v>
      </c>
    </row>
    <row r="17765" spans="1:5" x14ac:dyDescent="0.25">
      <c r="A17765" t="str">
        <f>HYPERLINK("https://www.773grp.com/globalSearch/TL16C552AFN/page-1", "TL16C552AFN")</f>
        <v>TL16C552AFN</v>
      </c>
      <c r="B17765" s="3" t="s">
        <v>90</v>
      </c>
      <c r="C17765" s="5">
        <v>1162</v>
      </c>
      <c r="D17765" s="6">
        <v>11.48</v>
      </c>
      <c r="E17765" t="s">
        <v>60</v>
      </c>
    </row>
    <row r="17766" spans="1:5" x14ac:dyDescent="0.25">
      <c r="A17766" t="str">
        <f>HYPERLINK("https://www.773grp.com/globalSearch/TL16C552AFNG4/page-1", "TL16C552AFNG4")</f>
        <v>TL16C552AFNG4</v>
      </c>
      <c r="B17766" s="3" t="s">
        <v>90</v>
      </c>
      <c r="C17766" s="5">
        <v>824</v>
      </c>
      <c r="D17766" s="6">
        <v>11.48</v>
      </c>
      <c r="E17766" t="s">
        <v>60</v>
      </c>
    </row>
    <row r="17767" spans="1:5" x14ac:dyDescent="0.25">
      <c r="A17767" t="str">
        <f>HYPERLINK("https://www.773grp.com/globalSearch/TL16C552AFNR/page-1", "TL16C552AFNR")</f>
        <v>TL16C552AFNR</v>
      </c>
      <c r="B17767" s="3" t="s">
        <v>90</v>
      </c>
      <c r="C17767" s="5">
        <v>1398</v>
      </c>
      <c r="D17767" s="6">
        <v>11.48</v>
      </c>
      <c r="E17767" t="s">
        <v>60</v>
      </c>
    </row>
    <row r="17768" spans="1:5" x14ac:dyDescent="0.25">
      <c r="A17768" t="str">
        <f>HYPERLINK("https://www.773grp.com/globalSearch/TL16C750FNR/page-1", "TL16C750FNR")</f>
        <v>TL16C750FNR</v>
      </c>
      <c r="B17768" s="3" t="s">
        <v>90</v>
      </c>
      <c r="C17768" s="5">
        <v>8235</v>
      </c>
      <c r="D17768" s="6">
        <v>11.48</v>
      </c>
      <c r="E17768" t="s">
        <v>60</v>
      </c>
    </row>
    <row r="17769" spans="1:5" x14ac:dyDescent="0.25">
      <c r="A17769" t="str">
        <f>HYPERLINK("https://www.773grp.com/globalSearch/TSB43AB23PDT/page-1", "TSB43AB23PDT")</f>
        <v>TSB43AB23PDT</v>
      </c>
      <c r="B17769" s="3" t="s">
        <v>90</v>
      </c>
      <c r="C17769" s="5">
        <v>63142</v>
      </c>
      <c r="D17769" s="6">
        <v>11.85</v>
      </c>
      <c r="E17769" t="s">
        <v>60</v>
      </c>
    </row>
    <row r="17770" spans="1:5" x14ac:dyDescent="0.25">
      <c r="A17770" t="str">
        <f>HYPERLINK("https://www.773grp.com/globalSearch/TSB43AB23PDTG4/page-1", "TSB43AB23PDTG4")</f>
        <v>TSB43AB23PDTG4</v>
      </c>
      <c r="B17770" s="3" t="s">
        <v>90</v>
      </c>
      <c r="C17770" s="5">
        <v>4860</v>
      </c>
      <c r="D17770" s="6">
        <v>11.85</v>
      </c>
      <c r="E17770" t="s">
        <v>60</v>
      </c>
    </row>
    <row r="17771" spans="1:5" x14ac:dyDescent="0.25">
      <c r="A17771" t="str">
        <f>HYPERLINK("https://www.773grp.com/globalSearch/TSB43AB23PGE/page-1", "TSB43AB23PGE")</f>
        <v>TSB43AB23PGE</v>
      </c>
      <c r="B17771" s="3" t="s">
        <v>90</v>
      </c>
      <c r="C17771" s="5">
        <v>18184</v>
      </c>
      <c r="D17771" s="6">
        <v>11.85</v>
      </c>
      <c r="E17771" t="s">
        <v>60</v>
      </c>
    </row>
    <row r="17772" spans="1:5" x14ac:dyDescent="0.25">
      <c r="A17772" t="str">
        <f>HYPERLINK("https://www.773grp.com/globalSearch/TSB43AB23PGEG4/page-1", "TSB43AB23PGEG4")</f>
        <v>TSB43AB23PGEG4</v>
      </c>
      <c r="B17772" s="3" t="s">
        <v>90</v>
      </c>
      <c r="C17772" s="5">
        <v>2975</v>
      </c>
      <c r="D17772" s="6">
        <v>11.95</v>
      </c>
      <c r="E17772" t="s">
        <v>60</v>
      </c>
    </row>
    <row r="17773" spans="1:5" x14ac:dyDescent="0.25">
      <c r="A17773" t="str">
        <f>HYPERLINK("https://www.773grp.com/globalSearch/TL16C552AIFN/page-1", "TL16C552AIFN")</f>
        <v>TL16C552AIFN</v>
      </c>
      <c r="B17773" s="3" t="s">
        <v>90</v>
      </c>
      <c r="C17773" s="5">
        <v>362</v>
      </c>
      <c r="D17773" s="6">
        <v>11.99</v>
      </c>
      <c r="E17773" t="s">
        <v>60</v>
      </c>
    </row>
    <row r="17774" spans="1:5" x14ac:dyDescent="0.25">
      <c r="A17774" t="str">
        <f>HYPERLINK("https://www.773grp.com/globalSearch/TL16C552FNR/page-1", "TL16C552FNR")</f>
        <v>TL16C552FNR</v>
      </c>
      <c r="B17774" s="3" t="s">
        <v>90</v>
      </c>
      <c r="C17774" s="5">
        <v>1000</v>
      </c>
      <c r="D17774" s="6">
        <v>12.06</v>
      </c>
      <c r="E17774" t="s">
        <v>60</v>
      </c>
    </row>
    <row r="17775" spans="1:5" x14ac:dyDescent="0.25">
      <c r="A17775" t="str">
        <f>HYPERLINK("https://www.773grp.com/globalSearch/TSB43AB21APDT/page-1", "TSB43AB21APDT")</f>
        <v>TSB43AB21APDT</v>
      </c>
      <c r="B17775" s="3" t="str">
        <f>HYPERLINK("https://www.773grp.com/manufacturer/texas-instruments?pageNo=234", "Texas Instruments")</f>
        <v>Texas Instruments</v>
      </c>
      <c r="C17775" s="5">
        <v>34299</v>
      </c>
      <c r="D17775" s="6">
        <v>12.53</v>
      </c>
      <c r="E17775" t="s">
        <v>60</v>
      </c>
    </row>
    <row r="17776" spans="1:5" x14ac:dyDescent="0.25">
      <c r="A17776" t="str">
        <f>HYPERLINK("https://www.773grp.com/globalSearch/TSB43AB21APDTG4/page-1", "TSB43AB21APDTG4")</f>
        <v>TSB43AB21APDTG4</v>
      </c>
      <c r="B17776" s="3" t="str">
        <f>HYPERLINK("https://www.773grp.com/manufacturer/texas-instruments?pageNo=235", "Texas Instruments")</f>
        <v>Texas Instruments</v>
      </c>
      <c r="C17776" s="5">
        <v>15</v>
      </c>
      <c r="D17776" s="6">
        <v>12.53</v>
      </c>
      <c r="E17776" t="s">
        <v>60</v>
      </c>
    </row>
    <row r="17777" spans="1:5" x14ac:dyDescent="0.25">
      <c r="A17777" t="str">
        <f>HYPERLINK("https://www.773grp.com/globalSearch/TSB43AB21PDT/page-1", "TSB43AB21PDT")</f>
        <v>TSB43AB21PDT</v>
      </c>
      <c r="B17777" s="3" t="str">
        <f>HYPERLINK("https://www.773grp.com/manufacturer/texas-instruments?pageNo=236", "Texas Instruments")</f>
        <v>Texas Instruments</v>
      </c>
      <c r="C17777" s="5">
        <v>970</v>
      </c>
      <c r="D17777" s="6">
        <v>12.53</v>
      </c>
      <c r="E17777" t="s">
        <v>60</v>
      </c>
    </row>
    <row r="17778" spans="1:5" x14ac:dyDescent="0.25">
      <c r="A17778" t="str">
        <f>HYPERLINK("https://www.773grp.com/globalSearch/TL16C750PM/page-1", "TL16C750PM")</f>
        <v>TL16C750PM</v>
      </c>
      <c r="B17778" s="3" t="str">
        <f>HYPERLINK("https://www.773grp.com/manufacturer/texas-instruments?pageNo=305", "Texas Instruments")</f>
        <v>Texas Instruments</v>
      </c>
      <c r="C17778" s="5">
        <v>2008</v>
      </c>
      <c r="D17778" s="6">
        <v>12.66</v>
      </c>
      <c r="E17778" t="s">
        <v>60</v>
      </c>
    </row>
    <row r="17779" spans="1:5" x14ac:dyDescent="0.25">
      <c r="A17779" t="str">
        <f>HYPERLINK("https://www.773grp.com/globalSearch/TSB43EA42ZGU/page-1", "TSB43EA42ZGU")</f>
        <v>TSB43EA42ZGU</v>
      </c>
      <c r="B17779" s="3" t="str">
        <f>HYPERLINK("https://www.773grp.com/manufacturer/texas-instruments?pageNo=320", "Texas Instruments")</f>
        <v>Texas Instruments</v>
      </c>
      <c r="C17779" s="5">
        <v>74</v>
      </c>
      <c r="D17779" s="6">
        <v>12.66</v>
      </c>
      <c r="E17779" t="s">
        <v>60</v>
      </c>
    </row>
    <row r="17780" spans="1:5" x14ac:dyDescent="0.25">
      <c r="A17780" t="str">
        <f>HYPERLINK("https://www.773grp.com/globalSearch/TSB12LV26PZT/page-1", "TSB12LV26PZT")</f>
        <v>TSB12LV26PZT</v>
      </c>
      <c r="B17780" s="3" t="str">
        <f>HYPERLINK("https://www.773grp.com/manufacturer/texas-instruments?pageNo=536", "Texas Instruments")</f>
        <v>Texas Instruments</v>
      </c>
      <c r="C17780" s="5">
        <v>6</v>
      </c>
      <c r="D17780" s="6">
        <v>13.08</v>
      </c>
      <c r="E17780" t="s">
        <v>60</v>
      </c>
    </row>
    <row r="17781" spans="1:5" x14ac:dyDescent="0.25">
      <c r="A17781" t="str">
        <f>HYPERLINK("https://www.773grp.com/globalSearch/TL16C750IPM/page-1", "TL16C750IPM")</f>
        <v>TL16C750IPM</v>
      </c>
      <c r="B17781" s="3" t="str">
        <f>HYPERLINK("https://www.773grp.com/manufacturer/texas-instruments?pageNo=558", "Texas Instruments")</f>
        <v>Texas Instruments</v>
      </c>
      <c r="C17781" s="5">
        <v>335</v>
      </c>
      <c r="D17781" s="6">
        <v>13.16</v>
      </c>
      <c r="E17781" t="s">
        <v>60</v>
      </c>
    </row>
    <row r="17782" spans="1:5" x14ac:dyDescent="0.25">
      <c r="A17782" t="str">
        <f>HYPERLINK("https://www.773grp.com/globalSearch/TL16C750FN/page-1", "TL16C750FN")</f>
        <v>TL16C750FN</v>
      </c>
      <c r="B17782" s="3" t="str">
        <f>HYPERLINK("https://www.773grp.com/manufacturer/texas-instruments?pageNo=751", "Texas Instruments")</f>
        <v>Texas Instruments</v>
      </c>
      <c r="C17782" s="5">
        <v>1049</v>
      </c>
      <c r="D17782" s="6">
        <v>13.5</v>
      </c>
      <c r="E17782" t="s">
        <v>60</v>
      </c>
    </row>
    <row r="17783" spans="1:5" x14ac:dyDescent="0.25">
      <c r="A17783" t="str">
        <f>HYPERLINK("https://www.773grp.com/globalSearch/TSB43AB23IPDTEP/page-1", "TSB43AB23IPDTEP")</f>
        <v>TSB43AB23IPDTEP</v>
      </c>
      <c r="B17783" s="3" t="str">
        <f>HYPERLINK("https://www.773grp.com/manufacturer/texas-instruments?pageNo=824", "Texas Instruments")</f>
        <v>Texas Instruments</v>
      </c>
      <c r="C17783" s="5">
        <v>275</v>
      </c>
      <c r="D17783" s="6">
        <v>13.64</v>
      </c>
      <c r="E17783" t="s">
        <v>60</v>
      </c>
    </row>
    <row r="17784" spans="1:5" x14ac:dyDescent="0.25">
      <c r="A17784" t="str">
        <f>HYPERLINK("https://www.773grp.com/globalSearch/TSB43AB21AIPDT/page-1", "TSB43AB21AIPDT")</f>
        <v>TSB43AB21AIPDT</v>
      </c>
      <c r="B17784" s="3" t="str">
        <f>HYPERLINK("https://www.773grp.com/manufacturer/texas-instruments?pageNo=901", "Texas Instruments")</f>
        <v>Texas Instruments</v>
      </c>
      <c r="C17784" s="5">
        <v>2677</v>
      </c>
      <c r="D17784" s="6">
        <v>13.79</v>
      </c>
      <c r="E17784" t="s">
        <v>60</v>
      </c>
    </row>
    <row r="17785" spans="1:5" x14ac:dyDescent="0.25">
      <c r="A17785" t="str">
        <f>HYPERLINK("https://www.773grp.com/globalSearch/TL16C554AFNR/page-1", "TL16C554AFNR")</f>
        <v>TL16C554AFNR</v>
      </c>
      <c r="B17785" s="3" t="s">
        <v>90</v>
      </c>
      <c r="C17785" s="5">
        <v>16045</v>
      </c>
      <c r="D17785" s="6">
        <v>14.14</v>
      </c>
      <c r="E17785" t="s">
        <v>60</v>
      </c>
    </row>
    <row r="17786" spans="1:5" x14ac:dyDescent="0.25">
      <c r="A17786" t="str">
        <f>HYPERLINK("https://www.773grp.com/globalSearch/TL16C552FN/page-1", "TL16C552FN")</f>
        <v>TL16C552FN</v>
      </c>
      <c r="B17786" s="3" t="s">
        <v>90</v>
      </c>
      <c r="C17786" s="5">
        <v>4251</v>
      </c>
      <c r="D17786" s="6">
        <v>14.21</v>
      </c>
      <c r="E17786" t="s">
        <v>60</v>
      </c>
    </row>
    <row r="17787" spans="1:5" x14ac:dyDescent="0.25">
      <c r="A17787" t="str">
        <f>HYPERLINK("https://www.773grp.com/globalSearch/TL16C752BLPTREP/page-1", "TL16C752BLPTREP")</f>
        <v>TL16C752BLPTREP</v>
      </c>
      <c r="B17787" s="3" t="s">
        <v>90</v>
      </c>
      <c r="C17787" s="5">
        <v>882</v>
      </c>
      <c r="D17787" s="6">
        <v>14.21</v>
      </c>
      <c r="E17787" t="s">
        <v>60</v>
      </c>
    </row>
    <row r="17788" spans="1:5" x14ac:dyDescent="0.25">
      <c r="A17788" t="str">
        <f>HYPERLINK("https://www.773grp.com/globalSearch/TL16C752BTPTREP/page-1", "TL16C752BTPTREP")</f>
        <v>TL16C752BTPTREP</v>
      </c>
      <c r="B17788" s="3" t="s">
        <v>90</v>
      </c>
      <c r="C17788" s="5">
        <v>1239</v>
      </c>
      <c r="D17788" s="6">
        <v>14.21</v>
      </c>
      <c r="E17788" t="s">
        <v>60</v>
      </c>
    </row>
    <row r="17789" spans="1:5" x14ac:dyDescent="0.25">
      <c r="A17789" t="str">
        <f>HYPERLINK("https://www.773grp.com/globalSearch/TSB12LV26IPZT/page-1", "TSB12LV26IPZT")</f>
        <v>TSB12LV26IPZT</v>
      </c>
      <c r="B17789" s="3" t="s">
        <v>90</v>
      </c>
      <c r="C17789" s="5">
        <v>2958</v>
      </c>
      <c r="D17789" s="6">
        <v>14.48</v>
      </c>
      <c r="E17789" t="s">
        <v>60</v>
      </c>
    </row>
    <row r="17790" spans="1:5" x14ac:dyDescent="0.25">
      <c r="A17790" t="str">
        <f>HYPERLINK("https://www.773grp.com/globalSearch/TL16PNP550AFN/page-1", "TL16PNP550AFN")</f>
        <v>TL16PNP550AFN</v>
      </c>
      <c r="B17790" s="3" t="s">
        <v>90</v>
      </c>
      <c r="C17790" s="5">
        <v>3401</v>
      </c>
      <c r="D17790" s="6">
        <v>14.99</v>
      </c>
      <c r="E17790" t="s">
        <v>60</v>
      </c>
    </row>
    <row r="17791" spans="1:5" x14ac:dyDescent="0.25">
      <c r="A17791" t="str">
        <f>HYPERLINK("https://www.773grp.com/globalSearch/TL16C554APN/page-1", "TL16C554APN")</f>
        <v>TL16C554APN</v>
      </c>
      <c r="B17791" s="3" t="s">
        <v>90</v>
      </c>
      <c r="C17791" s="5">
        <v>1152</v>
      </c>
      <c r="D17791" s="6">
        <v>15.83</v>
      </c>
      <c r="E17791" t="s">
        <v>60</v>
      </c>
    </row>
    <row r="17792" spans="1:5" x14ac:dyDescent="0.25">
      <c r="A17792" t="str">
        <f>HYPERLINK("https://www.773grp.com/globalSearch/SN65LVCP15PW/page-1", "SN65LVCP15PW")</f>
        <v>SN65LVCP15PW</v>
      </c>
      <c r="B17792" s="3" t="s">
        <v>90</v>
      </c>
      <c r="C17792" s="5">
        <v>1037</v>
      </c>
      <c r="D17792" s="6">
        <v>16.2</v>
      </c>
      <c r="E17792" t="s">
        <v>60</v>
      </c>
    </row>
    <row r="17793" spans="1:5" x14ac:dyDescent="0.25">
      <c r="A17793" t="str">
        <f>HYPERLINK("https://www.773grp.com/globalSearch/TL16C554PNR/page-1", "TL16C554PNR")</f>
        <v>TL16C554PNR</v>
      </c>
      <c r="B17793" s="3" t="s">
        <v>90</v>
      </c>
      <c r="C17793" s="5">
        <v>2900</v>
      </c>
      <c r="D17793" s="6">
        <v>16.25</v>
      </c>
      <c r="E17793" t="s">
        <v>60</v>
      </c>
    </row>
    <row r="17794" spans="1:5" x14ac:dyDescent="0.25">
      <c r="A17794" t="str">
        <f>HYPERLINK("https://www.773grp.com/globalSearch/TIR2000PAG/page-1", "TIR2000PAG")</f>
        <v>TIR2000PAG</v>
      </c>
      <c r="B17794" s="3" t="s">
        <v>90</v>
      </c>
      <c r="C17794" s="5">
        <v>25752</v>
      </c>
      <c r="D17794" s="6">
        <v>16.29</v>
      </c>
      <c r="E17794" t="s">
        <v>60</v>
      </c>
    </row>
    <row r="17795" spans="1:5" x14ac:dyDescent="0.25">
      <c r="A17795" t="str">
        <f>HYPERLINK("https://www.773grp.com/globalSearch/TL16C554AIPN/page-1", "TL16C554AIPN")</f>
        <v>TL16C554AIPN</v>
      </c>
      <c r="B17795" s="3" t="s">
        <v>90</v>
      </c>
      <c r="C17795" s="5">
        <v>392</v>
      </c>
      <c r="D17795" s="6">
        <v>16.34</v>
      </c>
      <c r="E17795" t="s">
        <v>60</v>
      </c>
    </row>
    <row r="17796" spans="1:5" x14ac:dyDescent="0.25">
      <c r="A17796" t="str">
        <f>HYPERLINK("https://www.773grp.com/globalSearch/TL16PC564BGGM/page-1", "TL16PC564BGGM")</f>
        <v>TL16PC564BGGM</v>
      </c>
      <c r="B17796" s="3" t="s">
        <v>90</v>
      </c>
      <c r="C17796" s="5">
        <v>292</v>
      </c>
      <c r="D17796" s="6">
        <v>16.59</v>
      </c>
      <c r="E17796" t="s">
        <v>60</v>
      </c>
    </row>
    <row r="17797" spans="1:5" x14ac:dyDescent="0.25">
      <c r="A17797" t="str">
        <f>HYPERLINK("https://www.773grp.com/globalSearch/TSB14AA1PFB/page-1", "TSB14AA1PFB")</f>
        <v>TSB14AA1PFB</v>
      </c>
      <c r="B17797" s="3" t="s">
        <v>90</v>
      </c>
      <c r="C17797" s="5">
        <v>293</v>
      </c>
      <c r="D17797" s="6">
        <v>16.59</v>
      </c>
      <c r="E17797" t="s">
        <v>60</v>
      </c>
    </row>
    <row r="17798" spans="1:5" x14ac:dyDescent="0.25">
      <c r="A17798" t="str">
        <f>HYPERLINK("https://www.773grp.com/globalSearch/TL16C554AFN/page-1", "TL16C554AFN")</f>
        <v>TL16C554AFN</v>
      </c>
      <c r="B17798" s="3" t="s">
        <v>90</v>
      </c>
      <c r="C17798" s="5">
        <v>1805</v>
      </c>
      <c r="D17798" s="6">
        <v>16.68</v>
      </c>
      <c r="E17798" t="s">
        <v>60</v>
      </c>
    </row>
    <row r="17799" spans="1:5" x14ac:dyDescent="0.25">
      <c r="A17799" t="str">
        <f>HYPERLINK("https://www.773grp.com/globalSearch/TL16C554AFNG4/page-1", "TL16C554AFNG4")</f>
        <v>TL16C554AFNG4</v>
      </c>
      <c r="B17799" s="3" t="s">
        <v>90</v>
      </c>
      <c r="C17799" s="5">
        <v>203</v>
      </c>
      <c r="D17799" s="6">
        <v>16.68</v>
      </c>
      <c r="E17799" t="s">
        <v>60</v>
      </c>
    </row>
    <row r="17800" spans="1:5" x14ac:dyDescent="0.25">
      <c r="A17800" t="str">
        <f>HYPERLINK("https://www.773grp.com/globalSearch/TL28L92FR/page-1", "TL28L92FR")</f>
        <v>TL28L92FR</v>
      </c>
      <c r="B17800" s="3" t="s">
        <v>90</v>
      </c>
      <c r="C17800" s="5">
        <v>5013</v>
      </c>
      <c r="D17800" s="6">
        <v>16.88</v>
      </c>
      <c r="E17800" t="s">
        <v>60</v>
      </c>
    </row>
    <row r="17801" spans="1:5" x14ac:dyDescent="0.25">
      <c r="A17801" t="str">
        <f>HYPERLINK("https://www.773grp.com/globalSearch/TL16C554FNR/page-1", "TL16C554FNR")</f>
        <v>TL16C554FNR</v>
      </c>
      <c r="B17801" s="3" t="s">
        <v>90</v>
      </c>
      <c r="C17801" s="5">
        <v>4711</v>
      </c>
      <c r="D17801" s="6">
        <v>17.100000000000001</v>
      </c>
      <c r="E17801" t="s">
        <v>60</v>
      </c>
    </row>
    <row r="17802" spans="1:5" x14ac:dyDescent="0.25">
      <c r="A17802" t="str">
        <f>HYPERLINK("https://www.773grp.com/globalSearch/TL16PC564BLVPZ/page-1", "TL16PC564BLVPZ")</f>
        <v>TL16PC564BLVPZ</v>
      </c>
      <c r="B17802" s="3" t="s">
        <v>90</v>
      </c>
      <c r="C17802" s="5">
        <v>2160</v>
      </c>
      <c r="D17802" s="6">
        <v>17.16</v>
      </c>
      <c r="E17802" t="s">
        <v>60</v>
      </c>
    </row>
    <row r="17803" spans="1:5" x14ac:dyDescent="0.25">
      <c r="A17803" t="str">
        <f>HYPERLINK("https://www.773grp.com/globalSearch/TL16C554IFNR/page-1", "TL16C554IFNR")</f>
        <v>TL16C554IFNR</v>
      </c>
      <c r="B17803" s="3" t="s">
        <v>90</v>
      </c>
      <c r="C17803" s="5">
        <v>5342</v>
      </c>
      <c r="D17803" s="6">
        <v>17.600000000000001</v>
      </c>
      <c r="E17803" t="s">
        <v>60</v>
      </c>
    </row>
    <row r="17804" spans="1:5" x14ac:dyDescent="0.25">
      <c r="A17804" t="str">
        <f>HYPERLINK("https://www.773grp.com/globalSearch/TSB42AA9PZT/page-1", "TSB42AA9PZT")</f>
        <v>TSB42AA9PZT</v>
      </c>
      <c r="B17804" s="3" t="s">
        <v>90</v>
      </c>
      <c r="C17804" s="5">
        <v>720</v>
      </c>
      <c r="D17804" s="6">
        <v>17.98</v>
      </c>
      <c r="E17804" t="s">
        <v>60</v>
      </c>
    </row>
    <row r="17805" spans="1:5" x14ac:dyDescent="0.25">
      <c r="A17805" t="str">
        <f>HYPERLINK("https://www.773grp.com/globalSearch/TL16C554PN/page-1", "TL16C554PN")</f>
        <v>TL16C554PN</v>
      </c>
      <c r="B17805" s="3" t="s">
        <v>90</v>
      </c>
      <c r="C17805" s="5">
        <v>373</v>
      </c>
      <c r="D17805" s="6">
        <v>19.350000000000001</v>
      </c>
      <c r="E17805" t="s">
        <v>60</v>
      </c>
    </row>
    <row r="17806" spans="1:5" x14ac:dyDescent="0.25">
      <c r="A17806" t="str">
        <f>HYPERLINK("https://www.773grp.com/globalSearch/TL16C554FN/page-1", "TL16C554FN")</f>
        <v>TL16C554FN</v>
      </c>
      <c r="B17806" s="3" t="s">
        <v>90</v>
      </c>
      <c r="C17806" s="5">
        <v>2422</v>
      </c>
      <c r="D17806" s="6">
        <v>20.2</v>
      </c>
      <c r="E17806" t="s">
        <v>60</v>
      </c>
    </row>
    <row r="17807" spans="1:5" x14ac:dyDescent="0.25">
      <c r="A17807" t="str">
        <f>HYPERLINK("https://www.773grp.com/globalSearch/TSB43AA22PDT/page-1", "TSB43AA22PDT")</f>
        <v>TSB43AA22PDT</v>
      </c>
      <c r="B17807" s="3" t="s">
        <v>90</v>
      </c>
      <c r="C17807" s="5">
        <v>29</v>
      </c>
      <c r="D17807" s="6">
        <v>20.25</v>
      </c>
      <c r="E17807" t="s">
        <v>60</v>
      </c>
    </row>
    <row r="17808" spans="1:5" x14ac:dyDescent="0.25">
      <c r="A17808" t="str">
        <f>HYPERLINK("https://www.773grp.com/globalSearch/TL16C554IFN/page-1", "TL16C554IFN")</f>
        <v>TL16C554IFN</v>
      </c>
      <c r="B17808" s="3" t="s">
        <v>90</v>
      </c>
      <c r="C17808" s="5">
        <v>7225</v>
      </c>
      <c r="D17808" s="6">
        <v>20.7</v>
      </c>
      <c r="E17808" t="s">
        <v>60</v>
      </c>
    </row>
    <row r="17809" spans="1:5" x14ac:dyDescent="0.25">
      <c r="A17809" t="str">
        <f>HYPERLINK("https://www.773grp.com/globalSearch/TSB14AA1TPFB/page-1", "TSB14AA1TPFB")</f>
        <v>TSB14AA1TPFB</v>
      </c>
      <c r="B17809" s="3" t="s">
        <v>90</v>
      </c>
      <c r="C17809" s="5">
        <v>14912</v>
      </c>
      <c r="D17809" s="6">
        <v>21.38</v>
      </c>
      <c r="E17809" t="s">
        <v>60</v>
      </c>
    </row>
    <row r="17810" spans="1:5" x14ac:dyDescent="0.25">
      <c r="A17810" t="str">
        <f>HYPERLINK("https://www.773grp.com/globalSearch/TL16PC564BPZ/page-1", "TL16PC564BPZ")</f>
        <v>TL16PC564BPZ</v>
      </c>
      <c r="B17810" s="3" t="s">
        <v>90</v>
      </c>
      <c r="C17810" s="5">
        <v>1013</v>
      </c>
      <c r="D17810" s="6">
        <v>21.71</v>
      </c>
      <c r="E17810" t="s">
        <v>60</v>
      </c>
    </row>
    <row r="17811" spans="1:5" x14ac:dyDescent="0.25">
      <c r="A17811" t="str">
        <f>HYPERLINK("https://www.773grp.com/globalSearch/TSB82AA2BPGE/page-1", "TSB82AA2BPGE")</f>
        <v>TSB82AA2BPGE</v>
      </c>
      <c r="B17811" s="3" t="s">
        <v>90</v>
      </c>
      <c r="C17811" s="5">
        <v>1770</v>
      </c>
      <c r="D17811" s="6">
        <v>21.94</v>
      </c>
      <c r="E17811" t="s">
        <v>60</v>
      </c>
    </row>
    <row r="17812" spans="1:5" x14ac:dyDescent="0.25">
      <c r="A17812" t="str">
        <f>HYPERLINK("https://www.773grp.com/globalSearch/TSB82AA2GGW/page-1", "TSB82AA2GGW")</f>
        <v>TSB82AA2GGW</v>
      </c>
      <c r="B17812" s="3" t="s">
        <v>90</v>
      </c>
      <c r="C17812" s="5">
        <v>635</v>
      </c>
      <c r="D17812" s="6">
        <v>21.94</v>
      </c>
      <c r="E17812" t="s">
        <v>60</v>
      </c>
    </row>
    <row r="17813" spans="1:5" x14ac:dyDescent="0.25">
      <c r="A17813" t="str">
        <f>HYPERLINK("https://www.773grp.com/globalSearch/TSB82AA2PGE/page-1", "TSB82AA2PGE")</f>
        <v>TSB82AA2PGE</v>
      </c>
      <c r="B17813" s="3" t="s">
        <v>90</v>
      </c>
      <c r="C17813" s="5">
        <v>39633</v>
      </c>
      <c r="D17813" s="6">
        <v>21.94</v>
      </c>
      <c r="E17813" t="s">
        <v>60</v>
      </c>
    </row>
    <row r="17814" spans="1:5" x14ac:dyDescent="0.25">
      <c r="A17814" t="str">
        <f>HYPERLINK("https://www.773grp.com/globalSearch/TSB82AA2PGEG4/page-1", "TSB82AA2PGEG4")</f>
        <v>TSB82AA2PGEG4</v>
      </c>
      <c r="B17814" s="3" t="s">
        <v>90</v>
      </c>
      <c r="C17814" s="5">
        <v>23</v>
      </c>
      <c r="D17814" s="6">
        <v>21.94</v>
      </c>
      <c r="E17814" t="s">
        <v>60</v>
      </c>
    </row>
    <row r="17815" spans="1:5" x14ac:dyDescent="0.25">
      <c r="A17815" t="str">
        <f>HYPERLINK("https://www.773grp.com/globalSearch/TSB82AA2ZGW/page-1", "TSB82AA2ZGW")</f>
        <v>TSB82AA2ZGW</v>
      </c>
      <c r="B17815" s="3" t="s">
        <v>90</v>
      </c>
      <c r="C17815" s="5">
        <v>7641</v>
      </c>
      <c r="D17815" s="6">
        <v>21.94</v>
      </c>
      <c r="E17815" t="s">
        <v>60</v>
      </c>
    </row>
    <row r="17816" spans="1:5" x14ac:dyDescent="0.25">
      <c r="A17816" t="str">
        <f>HYPERLINK("https://www.773grp.com/globalSearch/TL16PC564APZ/page-1", "TL16PC564APZ")</f>
        <v>TL16PC564APZ</v>
      </c>
      <c r="B17816" s="3" t="s">
        <v>90</v>
      </c>
      <c r="C17816" s="5">
        <v>27380</v>
      </c>
      <c r="D17816" s="6">
        <v>22.08</v>
      </c>
      <c r="E17816" t="s">
        <v>60</v>
      </c>
    </row>
    <row r="17817" spans="1:5" x14ac:dyDescent="0.25">
      <c r="A17817" t="str">
        <f>HYPERLINK("https://www.773grp.com/globalSearch/TSB42AA9APZTR/page-1", "TSB42AA9APZTR")</f>
        <v>TSB42AA9APZTR</v>
      </c>
      <c r="B17817" s="3" t="s">
        <v>90</v>
      </c>
      <c r="C17817" s="5">
        <v>1000</v>
      </c>
      <c r="D17817" s="6">
        <v>22.23</v>
      </c>
      <c r="E17817" t="s">
        <v>60</v>
      </c>
    </row>
    <row r="17818" spans="1:5" x14ac:dyDescent="0.25">
      <c r="A17818" t="str">
        <f>HYPERLINK("https://www.773grp.com/globalSearch/TSB43EB42ZGU/page-1", "TSB43EB42ZGU")</f>
        <v>TSB43EB42ZGU</v>
      </c>
      <c r="B17818" s="3" t="s">
        <v>90</v>
      </c>
      <c r="C17818" s="5">
        <v>1358</v>
      </c>
      <c r="D17818" s="6">
        <v>22.36</v>
      </c>
      <c r="E17818" t="s">
        <v>60</v>
      </c>
    </row>
    <row r="17819" spans="1:5" x14ac:dyDescent="0.25">
      <c r="A17819" t="str">
        <f>HYPERLINK("https://www.773grp.com/globalSearch/TL16PC564BLVIPZ/page-1", "TL16PC564BLVIPZ")</f>
        <v>TL16PC564BLVIPZ</v>
      </c>
      <c r="B17819" s="3" t="s">
        <v>90</v>
      </c>
      <c r="C17819" s="5">
        <v>23436</v>
      </c>
      <c r="D17819" s="6">
        <v>22.41</v>
      </c>
      <c r="E17819" t="s">
        <v>60</v>
      </c>
    </row>
    <row r="17820" spans="1:5" x14ac:dyDescent="0.25">
      <c r="A17820" t="str">
        <f>HYPERLINK("https://www.773grp.com/globalSearch/TL16PIR552PH/page-1", "TL16PIR552PH")</f>
        <v>TL16PIR552PH</v>
      </c>
      <c r="B17820" s="3" t="s">
        <v>90</v>
      </c>
      <c r="C17820" s="5">
        <v>122</v>
      </c>
      <c r="D17820" s="6">
        <v>22.58</v>
      </c>
      <c r="E17820" t="s">
        <v>60</v>
      </c>
    </row>
    <row r="17821" spans="1:5" x14ac:dyDescent="0.25">
      <c r="A17821" t="str">
        <f>HYPERLINK("https://www.773grp.com/globalSearch/TSB82AA2BIPGE/page-1", "TSB82AA2BIPGE")</f>
        <v>TSB82AA2BIPGE</v>
      </c>
      <c r="B17821" s="3" t="s">
        <v>90</v>
      </c>
      <c r="C17821" s="5">
        <v>136</v>
      </c>
      <c r="D17821" s="6">
        <v>24.19</v>
      </c>
      <c r="E17821" t="s">
        <v>60</v>
      </c>
    </row>
    <row r="17822" spans="1:5" x14ac:dyDescent="0.25">
      <c r="A17822" t="str">
        <f>HYPERLINK("https://www.773grp.com/globalSearch/TSB82AA2IPGE/page-1", "TSB82AA2IPGE")</f>
        <v>TSB82AA2IPGE</v>
      </c>
      <c r="B17822" s="3" t="s">
        <v>90</v>
      </c>
      <c r="C17822" s="5">
        <v>5613</v>
      </c>
      <c r="D17822" s="6">
        <v>24.19</v>
      </c>
      <c r="E17822" t="s">
        <v>60</v>
      </c>
    </row>
    <row r="17823" spans="1:5" x14ac:dyDescent="0.25">
      <c r="A17823" t="str">
        <f>HYPERLINK("https://www.773grp.com/globalSearch/TL16C754BFN/page-1", "TL16C754BFN")</f>
        <v>TL16C754BFN</v>
      </c>
      <c r="B17823" s="3" t="s">
        <v>90</v>
      </c>
      <c r="C17823" s="5">
        <v>373</v>
      </c>
      <c r="D17823" s="6">
        <v>24.89</v>
      </c>
      <c r="E17823" t="s">
        <v>60</v>
      </c>
    </row>
    <row r="17824" spans="1:5" x14ac:dyDescent="0.25">
      <c r="A17824" t="str">
        <f>HYPERLINK("https://www.773grp.com/globalSearch/TL16C754FN/page-1", "TL16C754FN")</f>
        <v>TL16C754FN</v>
      </c>
      <c r="B17824" s="3" t="s">
        <v>90</v>
      </c>
      <c r="C17824" s="5">
        <v>2142</v>
      </c>
      <c r="D17824" s="6">
        <v>24.93</v>
      </c>
      <c r="E17824" t="s">
        <v>60</v>
      </c>
    </row>
    <row r="17825" spans="1:5" x14ac:dyDescent="0.25">
      <c r="A17825" t="str">
        <f>HYPERLINK("https://www.773grp.com/globalSearch/PCI4520GHK/page-1", "PCI4520GHK")</f>
        <v>PCI4520GHK</v>
      </c>
      <c r="B17825" s="3" t="s">
        <v>90</v>
      </c>
      <c r="C17825" s="5">
        <v>2621</v>
      </c>
      <c r="D17825" s="6">
        <v>25.74</v>
      </c>
      <c r="E17825" t="s">
        <v>60</v>
      </c>
    </row>
    <row r="17826" spans="1:5" x14ac:dyDescent="0.25">
      <c r="A17826" t="str">
        <f>HYPERLINK("https://www.773grp.com/globalSearch/TSB41BA3BPFP/page-1", "TSB41BA3BPFP")</f>
        <v>TSB41BA3BPFP</v>
      </c>
      <c r="B17826" s="3" t="s">
        <v>90</v>
      </c>
      <c r="C17826" s="5">
        <v>270</v>
      </c>
      <c r="D17826" s="6">
        <v>26.58</v>
      </c>
      <c r="E17826" t="s">
        <v>60</v>
      </c>
    </row>
    <row r="17827" spans="1:5" x14ac:dyDescent="0.25">
      <c r="A17827" t="str">
        <f>HYPERLINK("https://www.773grp.com/globalSearch/TSB42AA9APZT/page-1", "TSB42AA9APZT")</f>
        <v>TSB42AA9APZT</v>
      </c>
      <c r="B17827" s="3" t="s">
        <v>90</v>
      </c>
      <c r="C17827" s="5">
        <v>20510</v>
      </c>
      <c r="D17827" s="6">
        <v>26.71</v>
      </c>
      <c r="E17827" t="s">
        <v>60</v>
      </c>
    </row>
    <row r="17828" spans="1:5" x14ac:dyDescent="0.25">
      <c r="A17828" t="str">
        <f>HYPERLINK("https://www.773grp.com/globalSearch/TSB42AC3PZT/page-1", "TSB42AC3PZT")</f>
        <v>TSB42AC3PZT</v>
      </c>
      <c r="B17828" s="3" t="s">
        <v>90</v>
      </c>
      <c r="C17828" s="5">
        <v>159</v>
      </c>
      <c r="D17828" s="6">
        <v>26.71</v>
      </c>
      <c r="E17828" t="s">
        <v>60</v>
      </c>
    </row>
    <row r="17829" spans="1:5" x14ac:dyDescent="0.25">
      <c r="A17829" t="str">
        <f>HYPERLINK("https://www.773grp.com/globalSearch/TSB43AA82APGE/page-1", "TSB43AA82APGE")</f>
        <v>TSB43AA82APGE</v>
      </c>
      <c r="B17829" s="3" t="str">
        <f>HYPERLINK("https://www.773grp.com/manufacturer/texas-instruments?pageNo=19", "Texas Instruments")</f>
        <v>Texas Instruments</v>
      </c>
      <c r="C17829" s="5">
        <v>42</v>
      </c>
      <c r="D17829" s="6">
        <v>27.43</v>
      </c>
      <c r="E17829" t="s">
        <v>60</v>
      </c>
    </row>
    <row r="17830" spans="1:5" x14ac:dyDescent="0.25">
      <c r="A17830" t="str">
        <f>HYPERLINK("https://www.773grp.com/globalSearch/TSB43AA82GGW/page-1", "TSB43AA82GGW")</f>
        <v>TSB43AA82GGW</v>
      </c>
      <c r="B17830" s="3" t="str">
        <f>HYPERLINK("https://www.773grp.com/manufacturer/texas-instruments?pageNo=20", "Texas Instruments")</f>
        <v>Texas Instruments</v>
      </c>
      <c r="C17830" s="5">
        <v>16884</v>
      </c>
      <c r="D17830" s="6">
        <v>27.43</v>
      </c>
      <c r="E17830" t="s">
        <v>60</v>
      </c>
    </row>
    <row r="17831" spans="1:5" x14ac:dyDescent="0.25">
      <c r="A17831" t="str">
        <f>HYPERLINK("https://www.773grp.com/globalSearch/TSB43AA82IGGW/page-1", "TSB43AA82IGGW")</f>
        <v>TSB43AA82IGGW</v>
      </c>
      <c r="B17831" s="3" t="str">
        <f>HYPERLINK("https://www.773grp.com/manufacturer/texas-instruments?pageNo=21", "Texas Instruments")</f>
        <v>Texas Instruments</v>
      </c>
      <c r="C17831" s="5">
        <v>254</v>
      </c>
      <c r="D17831" s="6">
        <v>27.43</v>
      </c>
      <c r="E17831" t="s">
        <v>60</v>
      </c>
    </row>
    <row r="17832" spans="1:5" x14ac:dyDescent="0.25">
      <c r="A17832" t="str">
        <f>HYPERLINK("https://www.773grp.com/globalSearch/TSB43AA82PGE/page-1", "TSB43AA82PGE")</f>
        <v>TSB43AA82PGE</v>
      </c>
      <c r="B17832" s="3" t="str">
        <f>HYPERLINK("https://www.773grp.com/manufacturer/texas-instruments?pageNo=22", "Texas Instruments")</f>
        <v>Texas Instruments</v>
      </c>
      <c r="C17832" s="5">
        <v>11994</v>
      </c>
      <c r="D17832" s="6">
        <v>27.43</v>
      </c>
      <c r="E17832" t="s">
        <v>60</v>
      </c>
    </row>
    <row r="17833" spans="1:5" x14ac:dyDescent="0.25">
      <c r="A17833" t="str">
        <f>HYPERLINK("https://www.773grp.com/globalSearch/TSB12LV32TPZEP/page-1", "TSB12LV32TPZEP")</f>
        <v>TSB12LV32TPZEP</v>
      </c>
      <c r="B17833" s="3" t="str">
        <f>HYPERLINK("https://www.773grp.com/manufacturer/texas-instruments?pageNo=244", "Texas Instruments")</f>
        <v>Texas Instruments</v>
      </c>
      <c r="C17833" s="5">
        <v>745</v>
      </c>
      <c r="D17833" s="6">
        <v>28.64</v>
      </c>
      <c r="E17833" t="s">
        <v>60</v>
      </c>
    </row>
    <row r="17834" spans="1:5" x14ac:dyDescent="0.25">
      <c r="A17834" t="str">
        <f>HYPERLINK("https://www.773grp.com/globalSearch/TSB43AA82AIPGE/page-1", "TSB43AA82AIPGE")</f>
        <v>TSB43AA82AIPGE</v>
      </c>
      <c r="B17834" s="3" t="str">
        <f>HYPERLINK("https://www.773grp.com/manufacturer/texas-instruments?pageNo=448", "Texas Instruments")</f>
        <v>Texas Instruments</v>
      </c>
      <c r="C17834" s="5">
        <v>3364</v>
      </c>
      <c r="D17834" s="6">
        <v>30.09</v>
      </c>
      <c r="E17834" t="s">
        <v>60</v>
      </c>
    </row>
    <row r="17835" spans="1:5" x14ac:dyDescent="0.25">
      <c r="A17835" t="str">
        <f>HYPERLINK("https://www.773grp.com/globalSearch/TSB12LV01BPZT/page-1", "TSB12LV01BPZT")</f>
        <v>TSB12LV01BPZT</v>
      </c>
      <c r="B17835" s="3" t="str">
        <f>HYPERLINK("https://www.773grp.com/manufacturer/texas-instruments?pageNo=612", "Texas Instruments")</f>
        <v>Texas Instruments</v>
      </c>
      <c r="C17835" s="5">
        <v>7768</v>
      </c>
      <c r="D17835" s="6">
        <v>30.85</v>
      </c>
      <c r="E17835" t="s">
        <v>60</v>
      </c>
    </row>
    <row r="17836" spans="1:5" x14ac:dyDescent="0.25">
      <c r="A17836" t="str">
        <f>HYPERLINK("https://www.773grp.com/globalSearch/TSB41BA3BTPFPEP/page-1", "TSB41BA3BTPFPEP")</f>
        <v>TSB41BA3BTPFPEP</v>
      </c>
      <c r="B17836" s="3" t="str">
        <f>HYPERLINK("https://www.773grp.com/manufacturer/texas-instruments?pageNo=764", "Texas Instruments")</f>
        <v>Texas Instruments</v>
      </c>
      <c r="C17836" s="5">
        <v>8</v>
      </c>
      <c r="D17836" s="6">
        <v>31.95</v>
      </c>
      <c r="E17836" t="s">
        <v>60</v>
      </c>
    </row>
    <row r="17837" spans="1:5" x14ac:dyDescent="0.25">
      <c r="A17837" t="str">
        <f>HYPERLINK("https://www.773grp.com/globalSearch/TSB12LV01BIPZT/page-1", "TSB12LV01BIPZT")</f>
        <v>TSB12LV01BIPZT</v>
      </c>
      <c r="B17837" s="3" t="str">
        <f>HYPERLINK("https://www.773grp.com/manufacturer/texas-instruments?pageNo=807", "Texas Instruments")</f>
        <v>Texas Instruments</v>
      </c>
      <c r="C17837" s="5">
        <v>4352</v>
      </c>
      <c r="D17837" s="6">
        <v>32.200000000000003</v>
      </c>
      <c r="E17837" t="s">
        <v>60</v>
      </c>
    </row>
    <row r="17838" spans="1:5" x14ac:dyDescent="0.25">
      <c r="A17838" t="str">
        <f>HYPERLINK("https://www.773grp.com/globalSearch/TSB42AA4PDT/page-1", "TSB42AA4PDT")</f>
        <v>TSB42AA4PDT</v>
      </c>
      <c r="B17838" s="3" t="str">
        <f>HYPERLINK("https://www.773grp.com/manufacturer/texas-instruments?pageNo=841", "Texas Instruments")</f>
        <v>Texas Instruments</v>
      </c>
      <c r="C17838" s="5">
        <v>24083</v>
      </c>
      <c r="D17838" s="6">
        <v>32.35</v>
      </c>
      <c r="E17838" t="s">
        <v>60</v>
      </c>
    </row>
    <row r="17839" spans="1:5" x14ac:dyDescent="0.25">
      <c r="A17839" t="str">
        <f>HYPERLINK("https://www.773grp.com/globalSearch/TSB12LV21BIPGF/page-1", "TSB12LV21BIPGF")</f>
        <v>TSB12LV21BIPGF</v>
      </c>
      <c r="B17839" s="3" t="s">
        <v>90</v>
      </c>
      <c r="C17839" s="5">
        <v>1918</v>
      </c>
      <c r="D17839" s="6">
        <v>34.729999999999997</v>
      </c>
      <c r="E17839" t="s">
        <v>60</v>
      </c>
    </row>
    <row r="17840" spans="1:5" x14ac:dyDescent="0.25">
      <c r="A17840" t="str">
        <f>HYPERLINK("https://www.773grp.com/globalSearch/TSB43CA43AGGW/page-1", "TSB43CA43AGGW")</f>
        <v>TSB43CA43AGGW</v>
      </c>
      <c r="B17840" s="3" t="s">
        <v>90</v>
      </c>
      <c r="C17840" s="5">
        <v>242</v>
      </c>
      <c r="D17840" s="6">
        <v>35.44</v>
      </c>
      <c r="E17840" t="s">
        <v>60</v>
      </c>
    </row>
    <row r="17841" spans="1:5" x14ac:dyDescent="0.25">
      <c r="A17841" t="str">
        <f>HYPERLINK("https://www.773grp.com/globalSearch/TSB43CA42PGF/page-1", "TSB43CA42PGF")</f>
        <v>TSB43CA42PGF</v>
      </c>
      <c r="B17841" s="3" t="s">
        <v>90</v>
      </c>
      <c r="C17841" s="5">
        <v>23</v>
      </c>
      <c r="D17841" s="6">
        <v>37.26</v>
      </c>
      <c r="E17841" t="s">
        <v>60</v>
      </c>
    </row>
    <row r="17842" spans="1:5" x14ac:dyDescent="0.25">
      <c r="A17842" t="str">
        <f>HYPERLINK("https://www.773grp.com/globalSearch/TSB43CA42ZGW/page-1", "TSB43CA42ZGW")</f>
        <v>TSB43CA42ZGW</v>
      </c>
      <c r="B17842" s="3" t="s">
        <v>90</v>
      </c>
      <c r="C17842" s="5">
        <v>533</v>
      </c>
      <c r="D17842" s="6">
        <v>37.26</v>
      </c>
      <c r="E17842" t="s">
        <v>60</v>
      </c>
    </row>
    <row r="17843" spans="1:5" x14ac:dyDescent="0.25">
      <c r="A17843" t="str">
        <f>HYPERLINK("https://www.773grp.com/globalSearch/TSB42AB4PDT/page-1", "TSB42AB4PDT")</f>
        <v>TSB42AB4PDT</v>
      </c>
      <c r="B17843" s="3" t="s">
        <v>90</v>
      </c>
      <c r="C17843" s="5">
        <v>12680</v>
      </c>
      <c r="D17843" s="6">
        <v>38.39</v>
      </c>
      <c r="E17843" t="s">
        <v>60</v>
      </c>
    </row>
    <row r="17844" spans="1:5" x14ac:dyDescent="0.25">
      <c r="A17844" t="str">
        <f>HYPERLINK("https://www.773grp.com/globalSearch/TSB12LV42PZ/page-1", "TSB12LV42PZ")</f>
        <v>TSB12LV42PZ</v>
      </c>
      <c r="B17844" s="3" t="s">
        <v>90</v>
      </c>
      <c r="C17844" s="5">
        <v>2960</v>
      </c>
      <c r="D17844" s="6">
        <v>40.68</v>
      </c>
      <c r="E17844" t="s">
        <v>60</v>
      </c>
    </row>
    <row r="17845" spans="1:5" x14ac:dyDescent="0.25">
      <c r="A17845" t="str">
        <f>HYPERLINK("https://www.773grp.com/globalSearch/TSB12LV21BPGF/page-1", "TSB12LV21BPGF")</f>
        <v>TSB12LV21BPGF</v>
      </c>
      <c r="B17845" s="3" t="s">
        <v>90</v>
      </c>
      <c r="C17845" s="5">
        <v>4051</v>
      </c>
      <c r="D17845" s="6">
        <v>41.48</v>
      </c>
      <c r="E17845" t="s">
        <v>60</v>
      </c>
    </row>
    <row r="17846" spans="1:5" x14ac:dyDescent="0.25">
      <c r="A17846" t="str">
        <f>HYPERLINK("https://www.773grp.com/globalSearch/TSB43CB43APGF/page-1", "TSB43CB43APGF")</f>
        <v>TSB43CB43APGF</v>
      </c>
      <c r="B17846" s="3" t="s">
        <v>90</v>
      </c>
      <c r="C17846" s="5">
        <v>3115</v>
      </c>
      <c r="D17846" s="6">
        <v>44.3</v>
      </c>
      <c r="E17846" t="s">
        <v>60</v>
      </c>
    </row>
    <row r="17847" spans="1:5" x14ac:dyDescent="0.25">
      <c r="A17847" t="str">
        <f>HYPERLINK("https://www.773grp.com/globalSearch/TSB43CB43APGFG4/page-1", "TSB43CB43APGFG4")</f>
        <v>TSB43CB43APGFG4</v>
      </c>
      <c r="B17847" s="3" t="s">
        <v>90</v>
      </c>
      <c r="C17847" s="5">
        <v>250</v>
      </c>
      <c r="D17847" s="6">
        <v>44.3</v>
      </c>
      <c r="E17847" t="s">
        <v>60</v>
      </c>
    </row>
    <row r="17848" spans="1:5" x14ac:dyDescent="0.25">
      <c r="A17848" t="str">
        <f>HYPERLINK("https://www.773grp.com/globalSearch/TSB12LV21APGF/page-1", "TSB12LV21APGF")</f>
        <v>TSB12LV21APGF</v>
      </c>
      <c r="B17848" s="3" t="s">
        <v>90</v>
      </c>
      <c r="C17848" s="5">
        <v>303</v>
      </c>
      <c r="D17848" s="6">
        <v>47.93</v>
      </c>
      <c r="E17848" t="s">
        <v>60</v>
      </c>
    </row>
    <row r="17849" spans="1:5" x14ac:dyDescent="0.25">
      <c r="A17849" t="str">
        <f>HYPERLINK("https://www.773grp.com/globalSearch/TSB42AB4IPDT/page-1", "TSB42AB4IPDT")</f>
        <v>TSB42AB4IPDT</v>
      </c>
      <c r="B17849" s="3" t="s">
        <v>90</v>
      </c>
      <c r="C17849" s="5">
        <v>1261</v>
      </c>
      <c r="D17849" s="6">
        <v>52.6</v>
      </c>
      <c r="E17849" t="s">
        <v>60</v>
      </c>
    </row>
    <row r="17850" spans="1:5" x14ac:dyDescent="0.25">
      <c r="A17850" t="str">
        <f>HYPERLINK("https://www.773grp.com/globalSearch/TNETE110APGE/page-1", "TNETE110APGE")</f>
        <v>TNETE110APGE</v>
      </c>
      <c r="B17850" s="3" t="s">
        <v>90</v>
      </c>
      <c r="C17850" s="5">
        <v>122</v>
      </c>
      <c r="D17850" s="6">
        <v>53.44</v>
      </c>
      <c r="E17850" t="s">
        <v>60</v>
      </c>
    </row>
    <row r="17851" spans="1:5" x14ac:dyDescent="0.25">
      <c r="A17851" t="str">
        <f>HYPERLINK("https://www.773grp.com/globalSearch/TSB12LV21AIPGF/page-1", "TSB12LV21AIPGF")</f>
        <v>TSB12LV21AIPGF</v>
      </c>
      <c r="B17851" s="3" t="s">
        <v>90</v>
      </c>
      <c r="C17851" s="5">
        <v>3218</v>
      </c>
      <c r="D17851" s="6">
        <v>56.61</v>
      </c>
      <c r="E17851" t="s">
        <v>60</v>
      </c>
    </row>
    <row r="17852" spans="1:5" x14ac:dyDescent="0.25">
      <c r="A17852" t="str">
        <f>HYPERLINK("https://www.773grp.com/globalSearch/TSB12LV21AMPGF/page-1", "TSB12LV21AMPGF")</f>
        <v>TSB12LV21AMPGF</v>
      </c>
      <c r="B17852" s="3" t="s">
        <v>90</v>
      </c>
      <c r="C17852" s="5">
        <v>148</v>
      </c>
      <c r="D17852" s="6">
        <v>59.06</v>
      </c>
      <c r="E17852" t="s">
        <v>60</v>
      </c>
    </row>
    <row r="17853" spans="1:5" x14ac:dyDescent="0.25">
      <c r="A17853" t="str">
        <f>HYPERLINK("https://www.773grp.com/globalSearch/TNETE100APCM/page-1", "TNETE100APCM")</f>
        <v>TNETE100APCM</v>
      </c>
      <c r="B17853" s="3" t="s">
        <v>90</v>
      </c>
      <c r="C17853" s="5">
        <v>1504</v>
      </c>
      <c r="D17853" s="6">
        <v>67.5</v>
      </c>
      <c r="E17853" t="s">
        <v>60</v>
      </c>
    </row>
    <row r="17854" spans="1:5" x14ac:dyDescent="0.25">
      <c r="A17854" t="str">
        <f>HYPERLINK("https://www.773grp.com/globalSearch/TNETX3100PGC/page-1", "TNETX3100PGC")</f>
        <v>TNETX3100PGC</v>
      </c>
      <c r="B17854" s="3" t="s">
        <v>90</v>
      </c>
      <c r="C17854" s="5">
        <v>11885</v>
      </c>
      <c r="D17854" s="6">
        <v>98.39</v>
      </c>
      <c r="E17854" t="s">
        <v>60</v>
      </c>
    </row>
    <row r="17855" spans="1:5" x14ac:dyDescent="0.25">
      <c r="A17855" t="str">
        <f>HYPERLINK("https://www.773grp.com/globalSearch/TI380C25PGE/page-1", "TI380C25PGE")</f>
        <v>TI380C25PGE</v>
      </c>
      <c r="B17855" s="3" t="str">
        <f>HYPERLINK("https://www.773grp.com/manufacturer/texas-instruments?pageNo=219", "Texas Instruments")</f>
        <v>Texas Instruments</v>
      </c>
      <c r="C17855" s="5">
        <v>4909</v>
      </c>
      <c r="D17855" s="6">
        <v>160.85</v>
      </c>
      <c r="E17855" t="s">
        <v>60</v>
      </c>
    </row>
    <row r="17856" spans="1:5" x14ac:dyDescent="0.25">
      <c r="A17856" t="str">
        <f>HYPERLINK("https://www.773grp.com/globalSearch/TNETX3110PGV/page-1", "TNETX3110PGV")</f>
        <v>TNETX3110PGV</v>
      </c>
      <c r="B17856" s="3" t="str">
        <f>HYPERLINK("https://www.773grp.com/manufacturer/texas-instruments?pageNo=318", "Texas Instruments")</f>
        <v>Texas Instruments</v>
      </c>
      <c r="C17856" s="5">
        <v>288</v>
      </c>
      <c r="D17856" s="6">
        <v>175.79</v>
      </c>
      <c r="E17856" t="s">
        <v>60</v>
      </c>
    </row>
    <row r="17857" spans="1:5" x14ac:dyDescent="0.25">
      <c r="A17857" t="str">
        <f>HYPERLINK("https://www.773grp.com/globalSearch/TNETX3151PGV/page-1", "TNETX3151PGV")</f>
        <v>TNETX3151PGV</v>
      </c>
      <c r="B17857" s="3" t="str">
        <f>HYPERLINK("https://www.773grp.com/manufacturer/texas-instruments?pageNo=407", "Texas Instruments")</f>
        <v>Texas Instruments</v>
      </c>
      <c r="C17857" s="5">
        <v>1131</v>
      </c>
      <c r="D17857" s="6">
        <v>193.35</v>
      </c>
      <c r="E17857" t="s">
        <v>60</v>
      </c>
    </row>
    <row r="17858" spans="1:5" x14ac:dyDescent="0.25">
      <c r="A17858" t="str">
        <f>HYPERLINK("https://www.773grp.com/globalSearch/TNETX3190PGV/page-1", "TNETX3190PGV")</f>
        <v>TNETX3190PGV</v>
      </c>
      <c r="B17858" s="3" t="str">
        <f>HYPERLINK("https://www.773grp.com/manufacturer/texas-instruments?pageNo=534", "Texas Instruments")</f>
        <v>Texas Instruments</v>
      </c>
      <c r="C17858" s="5">
        <v>369</v>
      </c>
      <c r="D17858" s="6">
        <v>217.98</v>
      </c>
      <c r="E17858" t="s">
        <v>60</v>
      </c>
    </row>
    <row r="17859" spans="1:5" x14ac:dyDescent="0.25">
      <c r="A17859" t="str">
        <f>HYPERLINK("https://www.773grp.com/globalSearch/TMS380C26PQL/page-1", "TMS380C26PQL")</f>
        <v>TMS380C26PQL</v>
      </c>
      <c r="B17859" s="3" t="str">
        <f>HYPERLINK("https://www.773grp.com/manufacturer/texas-instruments?pageNo=578", "Texas Instruments")</f>
        <v>Texas Instruments</v>
      </c>
      <c r="C17859" s="5">
        <v>1369</v>
      </c>
      <c r="D17859" s="6">
        <v>227.43</v>
      </c>
      <c r="E17859" t="s">
        <v>60</v>
      </c>
    </row>
    <row r="17860" spans="1:5" x14ac:dyDescent="0.25">
      <c r="A17860" t="str">
        <f>HYPERLINK("https://www.773grp.com/globalSearch/TI380C27PGE/page-1", "TI380C27PGE")</f>
        <v>TI380C27PGE</v>
      </c>
      <c r="B17860" s="3" t="str">
        <f>HYPERLINK("https://www.773grp.com/manufacturer/texas-instruments?pageNo=654", "Texas Instruments")</f>
        <v>Texas Instruments</v>
      </c>
      <c r="C17860" s="5">
        <v>5879</v>
      </c>
      <c r="D17860" s="6">
        <v>250.48</v>
      </c>
      <c r="E17860" t="s">
        <v>60</v>
      </c>
    </row>
    <row r="17861" spans="1:5" x14ac:dyDescent="0.25">
      <c r="A17861" t="str">
        <f>HYPERLINK("https://www.773grp.com/globalSearch/TSB12C01AMWNB/page-1", "TSB12C01AMWNB")</f>
        <v>TSB12C01AMWNB</v>
      </c>
      <c r="B17861" s="3" t="str">
        <f>HYPERLINK("https://www.773grp.com/manufacturer/texas-instruments?pageNo=698", "Texas Instruments")</f>
        <v>Texas Instruments</v>
      </c>
      <c r="C17861" s="5">
        <v>148</v>
      </c>
      <c r="D17861" s="6">
        <v>224.11</v>
      </c>
      <c r="E17861" t="s">
        <v>60</v>
      </c>
    </row>
    <row r="17862" spans="1:5" x14ac:dyDescent="0.25">
      <c r="A17862" t="str">
        <f>HYPERLINK("https://www.773grp.com/globalSearch/TSB12C01AMWN/page-1", "TSB12C01AMWN")</f>
        <v>TSB12C01AMWN</v>
      </c>
      <c r="B17862" s="3" t="str">
        <f>HYPERLINK("https://www.773grp.com/manufacturer/texas-instruments?pageNo=738", "Texas Instruments")</f>
        <v>Texas Instruments</v>
      </c>
      <c r="C17862" s="5">
        <v>96</v>
      </c>
      <c r="D17862" s="6">
        <v>228.26</v>
      </c>
      <c r="E17862" t="s">
        <v>60</v>
      </c>
    </row>
    <row r="17863" spans="1:5" x14ac:dyDescent="0.25">
      <c r="A17863" t="str">
        <f>HYPERLINK("https://www.773grp.com/globalSearch/TL16C552AMHV/page-1", "TL16C552AMHV")</f>
        <v>TL16C552AMHV</v>
      </c>
      <c r="B17863" s="3" t="s">
        <v>90</v>
      </c>
      <c r="C17863" s="5">
        <v>133</v>
      </c>
      <c r="D17863" s="6">
        <v>549.73</v>
      </c>
      <c r="E17863" t="s">
        <v>60</v>
      </c>
    </row>
    <row r="17864" spans="1:5" x14ac:dyDescent="0.25">
      <c r="A17864" t="str">
        <f>HYPERLINK("https://www.773grp.com/globalSearch/TL16C550BFN/page-1", "TL16C550BFN")</f>
        <v>TL16C550BFN</v>
      </c>
      <c r="B17864" s="3" t="s">
        <v>112</v>
      </c>
      <c r="C17864" s="5">
        <v>2</v>
      </c>
      <c r="D17864" s="6">
        <v>8.2799999999999994</v>
      </c>
      <c r="E17864" t="s">
        <v>60</v>
      </c>
    </row>
    <row r="17865" spans="1:5" x14ac:dyDescent="0.25">
      <c r="A17865" t="str">
        <f>HYPERLINK("https://www.773grp.com/globalSearch/Z0844104PSC/page-1", "Z0844104PSC")</f>
        <v>Z0844104PSC</v>
      </c>
      <c r="B17865" s="3" t="s">
        <v>121</v>
      </c>
      <c r="C17865" s="5">
        <v>218</v>
      </c>
      <c r="D17865" s="6">
        <v>5.63</v>
      </c>
      <c r="E17865" t="s">
        <v>60</v>
      </c>
    </row>
    <row r="17866" spans="1:5" x14ac:dyDescent="0.25">
      <c r="A17866" t="str">
        <f>HYPERLINK("https://www.773grp.com/globalSearch/Z0844106PSC/page-1", "Z0844106PSC")</f>
        <v>Z0844106PSC</v>
      </c>
      <c r="B17866" s="3" t="s">
        <v>121</v>
      </c>
      <c r="C17866" s="5">
        <v>5856</v>
      </c>
      <c r="D17866" s="6">
        <v>5.63</v>
      </c>
      <c r="E17866" t="s">
        <v>60</v>
      </c>
    </row>
    <row r="17867" spans="1:5" x14ac:dyDescent="0.25">
      <c r="A17867" t="str">
        <f>HYPERLINK("https://www.773grp.com/globalSearch/Z0844204PSC/page-1", "Z0844204PSC")</f>
        <v>Z0844204PSC</v>
      </c>
      <c r="B17867" s="3" t="s">
        <v>121</v>
      </c>
      <c r="C17867" s="5">
        <v>4199</v>
      </c>
      <c r="D17867" s="6">
        <v>5.63</v>
      </c>
      <c r="E17867" t="s">
        <v>60</v>
      </c>
    </row>
    <row r="17868" spans="1:5" x14ac:dyDescent="0.25">
      <c r="A17868" t="str">
        <f>HYPERLINK("https://www.773grp.com/globalSearch/Z0844206PSC/page-1", "Z0844206PSC")</f>
        <v>Z0844206PSC</v>
      </c>
      <c r="B17868" s="3" t="s">
        <v>121</v>
      </c>
      <c r="C17868" s="5">
        <v>3735</v>
      </c>
      <c r="D17868" s="6">
        <v>5.63</v>
      </c>
      <c r="E17868" t="s">
        <v>60</v>
      </c>
    </row>
    <row r="17869" spans="1:5" x14ac:dyDescent="0.25">
      <c r="A17869" t="str">
        <f>HYPERLINK("https://www.773grp.com/globalSearch/Z0844404VSC/page-1", "Z0844404VSC")</f>
        <v>Z0844404VSC</v>
      </c>
      <c r="B17869" s="3" t="s">
        <v>121</v>
      </c>
      <c r="C17869" s="5">
        <v>1166</v>
      </c>
      <c r="D17869" s="6">
        <v>5.63</v>
      </c>
      <c r="E17869" t="s">
        <v>60</v>
      </c>
    </row>
    <row r="17870" spans="1:5" x14ac:dyDescent="0.25">
      <c r="A17870" t="str">
        <f>HYPERLINK("https://www.773grp.com/globalSearch/Z0803006PSC/page-1", "Z0803006PSC")</f>
        <v>Z0803006PSC</v>
      </c>
      <c r="B17870" s="3" t="s">
        <v>121</v>
      </c>
      <c r="C17870" s="5">
        <v>421</v>
      </c>
      <c r="D17870" s="6">
        <v>10.08</v>
      </c>
      <c r="E17870" t="s">
        <v>60</v>
      </c>
    </row>
    <row r="17871" spans="1:5" x14ac:dyDescent="0.25">
      <c r="A17871" t="str">
        <f>HYPERLINK("https://www.773grp.com/globalSearch/Z0803008VSC/page-1", "Z0803008VSC")</f>
        <v>Z0803008VSC</v>
      </c>
      <c r="B17871" s="3" t="s">
        <v>121</v>
      </c>
      <c r="C17871" s="5">
        <v>19</v>
      </c>
      <c r="D17871" s="6">
        <v>10.08</v>
      </c>
      <c r="E17871" t="s">
        <v>60</v>
      </c>
    </row>
    <row r="17872" spans="1:5" x14ac:dyDescent="0.25">
      <c r="A17872" t="str">
        <f>HYPERLINK("https://www.773grp.com/globalSearch/Z8523310FSC/page-1", "Z8523310FSC")</f>
        <v>Z8523310FSC</v>
      </c>
      <c r="B17872" s="3" t="s">
        <v>121</v>
      </c>
      <c r="C17872" s="5">
        <v>275</v>
      </c>
      <c r="D17872" s="6">
        <v>11.18</v>
      </c>
      <c r="E17872" t="s">
        <v>60</v>
      </c>
    </row>
    <row r="17873" spans="1:5" x14ac:dyDescent="0.25">
      <c r="A17873" t="str">
        <f>HYPERLINK("https://www.773grp.com/globalSearch/Z8523310FSG/page-1", "Z8523310FSG")</f>
        <v>Z8523310FSG</v>
      </c>
      <c r="B17873" s="3" t="s">
        <v>121</v>
      </c>
      <c r="C17873" s="5">
        <v>970</v>
      </c>
      <c r="D17873" s="6">
        <v>11.18</v>
      </c>
      <c r="E17873" t="s">
        <v>60</v>
      </c>
    </row>
    <row r="17874" spans="1:5" x14ac:dyDescent="0.25">
      <c r="A17874" t="str">
        <f>HYPERLINK("https://www.773grp.com/globalSearch/SN74LS195AN/page-1", "SN74LS195AN")</f>
        <v>SN74LS195AN</v>
      </c>
      <c r="B17874" s="3" t="str">
        <f>HYPERLINK("https://www.773grp.com/manufacturer/texas-instruments?pageNo=443", "Texas Instruments")</f>
        <v>Texas Instruments</v>
      </c>
      <c r="C17874" s="5">
        <v>2700</v>
      </c>
      <c r="D17874" s="6">
        <v>4.01</v>
      </c>
      <c r="E17874" t="s">
        <v>28</v>
      </c>
    </row>
    <row r="17875" spans="1:5" x14ac:dyDescent="0.25">
      <c r="A17875" t="str">
        <f>HYPERLINK("https://www.773grp.com/globalSearch/SN74LS195AN3/page-1", "SN74LS195AN3")</f>
        <v>SN74LS195AN3</v>
      </c>
      <c r="B17875" s="3" t="str">
        <f>HYPERLINK("https://www.773grp.com/manufacturer/texas-instruments?pageNo=444", "Texas Instruments")</f>
        <v>Texas Instruments</v>
      </c>
      <c r="C17875" s="5">
        <v>3390</v>
      </c>
      <c r="D17875" s="6">
        <v>4.01</v>
      </c>
      <c r="E17875" t="s">
        <v>28</v>
      </c>
    </row>
    <row r="17876" spans="1:5" x14ac:dyDescent="0.25">
      <c r="A17876" t="str">
        <f>HYPERLINK("https://www.773grp.com/globalSearch/CD74HC4015E/page-1", "CD74HC4015E")</f>
        <v>CD74HC4015E</v>
      </c>
      <c r="B17876" s="3" t="str">
        <f>HYPERLINK("https://www.773grp.com/manufacturer/texas-instruments?pageNo=980", "Texas Instruments")</f>
        <v>Texas Instruments</v>
      </c>
      <c r="C17876" s="5">
        <v>11375</v>
      </c>
      <c r="D17876" s="6">
        <v>4.16</v>
      </c>
      <c r="E17876" t="s">
        <v>28</v>
      </c>
    </row>
    <row r="17877" spans="1:5" x14ac:dyDescent="0.25">
      <c r="A17877" t="str">
        <f>HYPERLINK("https://www.773grp.com/globalSearch/CD74HC4015E/page-1", "CD74HC4015E")</f>
        <v>CD74HC4015E</v>
      </c>
      <c r="B17877" s="3" t="str">
        <f>HYPERLINK("https://www.773grp.com/manufacturer/texas-instruments?pageNo=981", "Texas Instruments")</f>
        <v>Texas Instruments</v>
      </c>
      <c r="C17877" s="5">
        <v>460</v>
      </c>
      <c r="D17877" s="6">
        <v>4.16</v>
      </c>
      <c r="E17877" t="s">
        <v>28</v>
      </c>
    </row>
    <row r="17878" spans="1:5" x14ac:dyDescent="0.25">
      <c r="A17878" t="str">
        <f>HYPERLINK("https://www.773grp.com/globalSearch/TPIC6A595DWR/page-1", "TPIC6A595DWR")</f>
        <v>TPIC6A595DWR</v>
      </c>
      <c r="B17878" s="3" t="s">
        <v>90</v>
      </c>
      <c r="C17878" s="5">
        <v>34000</v>
      </c>
      <c r="D17878" s="6">
        <v>3.8</v>
      </c>
      <c r="E17878" t="s">
        <v>28</v>
      </c>
    </row>
    <row r="17879" spans="1:5" x14ac:dyDescent="0.25">
      <c r="A17879" t="str">
        <f>HYPERLINK("https://www.773grp.com/globalSearch/TPIC6A595DWRG4/page-1", "TPIC6A595DWRG4")</f>
        <v>TPIC6A595DWRG4</v>
      </c>
      <c r="B17879" s="3" t="s">
        <v>90</v>
      </c>
      <c r="C17879" s="5">
        <v>687</v>
      </c>
      <c r="D17879" s="6">
        <v>3.8</v>
      </c>
      <c r="E17879" t="s">
        <v>28</v>
      </c>
    </row>
    <row r="17880" spans="1:5" x14ac:dyDescent="0.25">
      <c r="A17880" t="str">
        <f>HYPERLINK("https://www.773grp.com/globalSearch/SN74S194N/page-1", "SN74S194N")</f>
        <v>SN74S194N</v>
      </c>
      <c r="B17880" s="3" t="str">
        <f>HYPERLINK("https://www.773grp.com/manufacturer/texas-instruments?pageNo=23", "Texas Instruments")</f>
        <v>Texas Instruments</v>
      </c>
      <c r="C17880" s="5">
        <v>18000</v>
      </c>
      <c r="D17880" s="6">
        <v>4.2300000000000004</v>
      </c>
      <c r="E17880" t="s">
        <v>28</v>
      </c>
    </row>
    <row r="17881" spans="1:5" x14ac:dyDescent="0.25">
      <c r="A17881" t="str">
        <f>HYPERLINK("https://www.773grp.com/globalSearch/SN74LS96D/page-1", "SN74LS96D")</f>
        <v>SN74LS96D</v>
      </c>
      <c r="B17881" s="3" t="s">
        <v>90</v>
      </c>
      <c r="C17881" s="5">
        <v>7940</v>
      </c>
      <c r="D17881" s="6">
        <v>4.05</v>
      </c>
      <c r="E17881" t="s">
        <v>28</v>
      </c>
    </row>
    <row r="17882" spans="1:5" x14ac:dyDescent="0.25">
      <c r="A17882" t="str">
        <f>HYPERLINK("https://www.773grp.com/globalSearch/SN74LS195ADR/page-1", "SN74LS195ADR")</f>
        <v>SN74LS195ADR</v>
      </c>
      <c r="B17882" s="3" t="str">
        <f>HYPERLINK("https://www.773grp.com/manufacturer/texas-instruments?pageNo=131", "Texas Instruments")</f>
        <v>Texas Instruments</v>
      </c>
      <c r="C17882" s="5">
        <v>2500</v>
      </c>
      <c r="D17882" s="6">
        <v>4.91</v>
      </c>
      <c r="E17882" t="s">
        <v>28</v>
      </c>
    </row>
    <row r="17883" spans="1:5" x14ac:dyDescent="0.25">
      <c r="A17883" t="str">
        <f>HYPERLINK("https://www.773grp.com/globalSearch/SN74LV8153PWR/page-1", "SN74LV8153PWR")</f>
        <v>SN74LV8153PWR</v>
      </c>
      <c r="B17883" s="3" t="str">
        <f>HYPERLINK("https://www.773grp.com/manufacturer/texas-instruments?pageNo=139", "Texas Instruments")</f>
        <v>Texas Instruments</v>
      </c>
      <c r="C17883" s="5">
        <v>50800</v>
      </c>
      <c r="D17883" s="6">
        <v>4.91</v>
      </c>
      <c r="E17883" t="s">
        <v>28</v>
      </c>
    </row>
    <row r="17884" spans="1:5" x14ac:dyDescent="0.25">
      <c r="A17884" t="str">
        <f>HYPERLINK("https://www.773grp.com/globalSearch/SNJ54LS395AJ/page-1", "SNJ54LS395AJ")</f>
        <v>SNJ54LS395AJ</v>
      </c>
      <c r="B17884" s="3" t="s">
        <v>90</v>
      </c>
      <c r="C17884" s="5">
        <v>45</v>
      </c>
      <c r="D17884" s="6">
        <v>4.6399999999999997</v>
      </c>
      <c r="E17884" t="s">
        <v>28</v>
      </c>
    </row>
    <row r="17885" spans="1:5" x14ac:dyDescent="0.25">
      <c r="A17885" t="str">
        <f>HYPERLINK("https://www.773grp.com/globalSearch/TPIC6A595NE/page-1", "TPIC6A595NE")</f>
        <v>TPIC6A595NE</v>
      </c>
      <c r="B17885" s="3" t="s">
        <v>90</v>
      </c>
      <c r="C17885" s="5">
        <v>520</v>
      </c>
      <c r="D17885" s="6">
        <v>4.6399999999999997</v>
      </c>
      <c r="E17885" t="s">
        <v>28</v>
      </c>
    </row>
    <row r="17886" spans="1:5" x14ac:dyDescent="0.25">
      <c r="A17886" t="str">
        <f>HYPERLINK("https://www.773grp.com/globalSearch/TPIC6A596DW/page-1", "TPIC6A596DW")</f>
        <v>TPIC6A596DW</v>
      </c>
      <c r="B17886" s="3" t="s">
        <v>90</v>
      </c>
      <c r="C17886" s="5">
        <v>358</v>
      </c>
      <c r="D17886" s="6">
        <v>4.6399999999999997</v>
      </c>
      <c r="E17886" t="s">
        <v>28</v>
      </c>
    </row>
    <row r="17887" spans="1:5" x14ac:dyDescent="0.25">
      <c r="A17887" t="str">
        <f>HYPERLINK("https://www.773grp.com/globalSearch/TPIC6A596NE/page-1", "TPIC6A596NE")</f>
        <v>TPIC6A596NE</v>
      </c>
      <c r="B17887" s="3" t="s">
        <v>90</v>
      </c>
      <c r="C17887" s="5">
        <v>643</v>
      </c>
      <c r="D17887" s="6">
        <v>4.6399999999999997</v>
      </c>
      <c r="E17887" t="s">
        <v>28</v>
      </c>
    </row>
    <row r="17888" spans="1:5" x14ac:dyDescent="0.25">
      <c r="A17888" t="str">
        <f>HYPERLINK("https://www.773grp.com/globalSearch/SN74LS323N/page-1", "SN74LS323N")</f>
        <v>SN74LS323N</v>
      </c>
      <c r="B17888" s="3" t="s">
        <v>90</v>
      </c>
      <c r="C17888" s="5">
        <v>15</v>
      </c>
      <c r="D17888" s="6">
        <v>4.8099999999999996</v>
      </c>
      <c r="E17888" t="s">
        <v>28</v>
      </c>
    </row>
    <row r="17889" spans="1:5" x14ac:dyDescent="0.25">
      <c r="A17889" t="str">
        <f>HYPERLINK("https://www.773grp.com/globalSearch/SN74LS323DW/page-1", "SN74LS323DW")</f>
        <v>SN74LS323DW</v>
      </c>
      <c r="B17889" s="3" t="s">
        <v>90</v>
      </c>
      <c r="C17889" s="5">
        <v>455</v>
      </c>
      <c r="D17889" s="6">
        <v>5.0599999999999996</v>
      </c>
      <c r="E17889" t="s">
        <v>28</v>
      </c>
    </row>
    <row r="17890" spans="1:5" x14ac:dyDescent="0.25">
      <c r="A17890" t="str">
        <f>HYPERLINK("https://www.773grp.com/globalSearch/SN74LS323DWR/page-1", "SN74LS323DWR")</f>
        <v>SN74LS323DWR</v>
      </c>
      <c r="B17890" s="3" t="s">
        <v>90</v>
      </c>
      <c r="C17890" s="5">
        <v>6000</v>
      </c>
      <c r="D17890" s="6">
        <v>5.15</v>
      </c>
      <c r="E17890" t="s">
        <v>28</v>
      </c>
    </row>
    <row r="17891" spans="1:5" x14ac:dyDescent="0.25">
      <c r="A17891" t="str">
        <f>HYPERLINK("https://www.773grp.com/globalSearch/SN74LS299N/page-1", "SN74LS299N")</f>
        <v>SN74LS299N</v>
      </c>
      <c r="B17891" s="3" t="s">
        <v>90</v>
      </c>
      <c r="C17891" s="5">
        <v>7390</v>
      </c>
      <c r="D17891" s="6">
        <v>5.83</v>
      </c>
      <c r="E17891" t="s">
        <v>28</v>
      </c>
    </row>
    <row r="17892" spans="1:5" x14ac:dyDescent="0.25">
      <c r="A17892" t="str">
        <f>HYPERLINK("https://www.773grp.com/globalSearch/SN74AS194DR/page-1", "SN74AS194DR")</f>
        <v>SN74AS194DR</v>
      </c>
      <c r="B17892" s="3" t="str">
        <f>HYPERLINK("https://www.773grp.com/manufacturer/texas-instruments?pageNo=7", "Texas Instruments")</f>
        <v>Texas Instruments</v>
      </c>
      <c r="C17892" s="5">
        <v>2500</v>
      </c>
      <c r="D17892" s="6">
        <v>6.45</v>
      </c>
      <c r="E17892" t="s">
        <v>28</v>
      </c>
    </row>
    <row r="17893" spans="1:5" x14ac:dyDescent="0.25">
      <c r="A17893" t="str">
        <f>HYPERLINK("https://www.773grp.com/globalSearch/SN74LS299DW/page-1", "SN74LS299DW")</f>
        <v>SN74LS299DW</v>
      </c>
      <c r="B17893" s="3" t="str">
        <f>HYPERLINK("https://www.773grp.com/manufacturer/texas-instruments?pageNo=23", "Texas Instruments")</f>
        <v>Texas Instruments</v>
      </c>
      <c r="C17893" s="5">
        <v>20997</v>
      </c>
      <c r="D17893" s="6">
        <v>6.45</v>
      </c>
      <c r="E17893" t="s">
        <v>28</v>
      </c>
    </row>
    <row r="17894" spans="1:5" x14ac:dyDescent="0.25">
      <c r="A17894" t="str">
        <f>HYPERLINK("https://www.773grp.com/globalSearch/SN54S195J/page-1", "SN54S195J")</f>
        <v>SN54S195J</v>
      </c>
      <c r="B17894" s="3" t="str">
        <f>HYPERLINK("https://www.773grp.com/manufacturer/texas-instruments?pageNo=666", "Texas Instruments")</f>
        <v>Texas Instruments</v>
      </c>
      <c r="C17894" s="5">
        <v>1482</v>
      </c>
      <c r="D17894" s="6">
        <v>6.89</v>
      </c>
      <c r="E17894" t="s">
        <v>28</v>
      </c>
    </row>
    <row r="17895" spans="1:5" x14ac:dyDescent="0.25">
      <c r="A17895" t="str">
        <f>HYPERLINK("https://www.773grp.com/globalSearch/SN74AS194N/page-1", "SN74AS194N")</f>
        <v>SN74AS194N</v>
      </c>
      <c r="B17895" s="3" t="str">
        <f>HYPERLINK("https://www.773grp.com/manufacturer/texas-instruments?pageNo=811", "Texas Instruments")</f>
        <v>Texas Instruments</v>
      </c>
      <c r="C17895" s="5">
        <v>6500</v>
      </c>
      <c r="D17895" s="6">
        <v>7.04</v>
      </c>
      <c r="E17895" t="s">
        <v>28</v>
      </c>
    </row>
    <row r="17896" spans="1:5" x14ac:dyDescent="0.25">
      <c r="A17896" t="str">
        <f>HYPERLINK("https://www.773grp.com/globalSearch/SN74ALS166DR/page-1", "SN74ALS166DR")</f>
        <v>SN74ALS166DR</v>
      </c>
      <c r="B17896" s="3" t="s">
        <v>90</v>
      </c>
      <c r="C17896" s="5">
        <v>2500</v>
      </c>
      <c r="D17896" s="6">
        <v>7.63</v>
      </c>
      <c r="E17896" t="s">
        <v>28</v>
      </c>
    </row>
    <row r="17897" spans="1:5" x14ac:dyDescent="0.25">
      <c r="A17897" t="str">
        <f>HYPERLINK("https://www.773grp.com/globalSearch/SN74ALS166DRE4/page-1", "SN74ALS166DRE4")</f>
        <v>SN74ALS166DRE4</v>
      </c>
      <c r="B17897" s="3" t="s">
        <v>90</v>
      </c>
      <c r="C17897" s="5">
        <v>5000</v>
      </c>
      <c r="D17897" s="6">
        <v>7.63</v>
      </c>
      <c r="E17897" t="s">
        <v>28</v>
      </c>
    </row>
    <row r="17898" spans="1:5" x14ac:dyDescent="0.25">
      <c r="A17898" t="str">
        <f>HYPERLINK("https://www.773grp.com/globalSearch/SN74AS194D/page-1", "SN74AS194D")</f>
        <v>SN74AS194D</v>
      </c>
      <c r="B17898" s="3" t="s">
        <v>90</v>
      </c>
      <c r="C17898" s="5">
        <v>6285</v>
      </c>
      <c r="D17898" s="6">
        <v>7.63</v>
      </c>
      <c r="E17898" t="s">
        <v>28</v>
      </c>
    </row>
    <row r="17899" spans="1:5" x14ac:dyDescent="0.25">
      <c r="A17899" t="str">
        <f>HYPERLINK("https://www.773grp.com/globalSearch/SN74178N/page-1", "SN74178N")</f>
        <v>SN74178N</v>
      </c>
      <c r="B17899" s="3" t="s">
        <v>90</v>
      </c>
      <c r="C17899" s="5">
        <v>4365</v>
      </c>
      <c r="D17899" s="6">
        <v>7.71</v>
      </c>
      <c r="E17899" t="s">
        <v>28</v>
      </c>
    </row>
    <row r="17900" spans="1:5" x14ac:dyDescent="0.25">
      <c r="A17900" t="str">
        <f>HYPERLINK("https://www.773grp.com/globalSearch/CD54HC164F/page-1", "CD54HC164F")</f>
        <v>CD54HC164F</v>
      </c>
      <c r="B17900" s="3" t="s">
        <v>90</v>
      </c>
      <c r="C17900" s="5">
        <v>74</v>
      </c>
      <c r="D17900" s="6">
        <v>7.99</v>
      </c>
      <c r="E17900" t="s">
        <v>28</v>
      </c>
    </row>
    <row r="17901" spans="1:5" x14ac:dyDescent="0.25">
      <c r="A17901" t="str">
        <f>HYPERLINK("https://www.773grp.com/globalSearch/SN74ALS166N/page-1", "SN74ALS166N")</f>
        <v>SN74ALS166N</v>
      </c>
      <c r="B17901" s="3" t="s">
        <v>90</v>
      </c>
      <c r="C17901" s="5">
        <v>9655</v>
      </c>
      <c r="D17901" s="6">
        <v>8.24</v>
      </c>
      <c r="E17901" t="s">
        <v>28</v>
      </c>
    </row>
    <row r="17902" spans="1:5" x14ac:dyDescent="0.25">
      <c r="A17902" t="str">
        <f>HYPERLINK("https://www.773grp.com/globalSearch/SNJ54LS164J/page-1", "SNJ54LS164J")</f>
        <v>SNJ54LS164J</v>
      </c>
      <c r="B17902" s="3" t="s">
        <v>90</v>
      </c>
      <c r="C17902" s="5">
        <v>197</v>
      </c>
      <c r="D17902" s="6">
        <v>8.33</v>
      </c>
      <c r="E17902" t="s">
        <v>28</v>
      </c>
    </row>
    <row r="17903" spans="1:5" x14ac:dyDescent="0.25">
      <c r="A17903" t="str">
        <f>HYPERLINK("https://www.773grp.com/globalSearch/SN74ALS299DWR/page-1", "SN74ALS299DWR")</f>
        <v>SN74ALS299DWR</v>
      </c>
      <c r="B17903" s="3" t="s">
        <v>90</v>
      </c>
      <c r="C17903" s="5">
        <v>37799</v>
      </c>
      <c r="D17903" s="6">
        <v>8.44</v>
      </c>
      <c r="E17903" t="s">
        <v>28</v>
      </c>
    </row>
    <row r="17904" spans="1:5" x14ac:dyDescent="0.25">
      <c r="A17904" t="str">
        <f>HYPERLINK("https://www.773grp.com/globalSearch/SN54LS164J/page-1", "SN54LS164J")</f>
        <v>SN54LS164J</v>
      </c>
      <c r="B17904" s="3" t="s">
        <v>90</v>
      </c>
      <c r="C17904" s="5">
        <v>106</v>
      </c>
      <c r="D17904" s="6">
        <v>8.58</v>
      </c>
      <c r="E17904" t="s">
        <v>28</v>
      </c>
    </row>
    <row r="17905" spans="1:5" x14ac:dyDescent="0.25">
      <c r="A17905" t="str">
        <f>HYPERLINK("https://www.773grp.com/globalSearch/SN74ALS166D/page-1", "SN74ALS166D")</f>
        <v>SN74ALS166D</v>
      </c>
      <c r="B17905" s="3" t="s">
        <v>90</v>
      </c>
      <c r="C17905" s="5">
        <v>4211</v>
      </c>
      <c r="D17905" s="6">
        <v>9.0299999999999994</v>
      </c>
      <c r="E17905" t="s">
        <v>28</v>
      </c>
    </row>
    <row r="17906" spans="1:5" x14ac:dyDescent="0.25">
      <c r="A17906" t="str">
        <f>HYPERLINK("https://www.773grp.com/globalSearch/SN74ALS166DE4/page-1", "SN74ALS166DE4")</f>
        <v>SN74ALS166DE4</v>
      </c>
      <c r="B17906" s="3" t="s">
        <v>90</v>
      </c>
      <c r="C17906" s="5">
        <v>220</v>
      </c>
      <c r="D17906" s="6">
        <v>9.0299999999999994</v>
      </c>
      <c r="E17906" t="s">
        <v>28</v>
      </c>
    </row>
    <row r="17907" spans="1:5" x14ac:dyDescent="0.25">
      <c r="A17907" t="str">
        <f>HYPERLINK("https://www.773grp.com/globalSearch/SN74F299N3/page-1", "SN74F299N3")</f>
        <v>SN74F299N3</v>
      </c>
      <c r="B17907" s="3" t="s">
        <v>90</v>
      </c>
      <c r="C17907" s="5">
        <v>2630</v>
      </c>
      <c r="D17907" s="6">
        <v>9.0299999999999994</v>
      </c>
      <c r="E17907" t="s">
        <v>28</v>
      </c>
    </row>
    <row r="17908" spans="1:5" x14ac:dyDescent="0.25">
      <c r="A17908" t="str">
        <f>HYPERLINK("https://www.773grp.com/globalSearch/SN74ALS299NSR/page-1", "SN74ALS299NSR")</f>
        <v>SN74ALS299NSR</v>
      </c>
      <c r="B17908" s="3" t="s">
        <v>90</v>
      </c>
      <c r="C17908" s="5">
        <v>4000</v>
      </c>
      <c r="D17908" s="6">
        <v>9.23</v>
      </c>
      <c r="E17908" t="s">
        <v>28</v>
      </c>
    </row>
    <row r="17909" spans="1:5" x14ac:dyDescent="0.25">
      <c r="A17909" t="str">
        <f>HYPERLINK("https://www.773grp.com/globalSearch/SN74ALS299N/page-1", "SN74ALS299N")</f>
        <v>SN74ALS299N</v>
      </c>
      <c r="B17909" s="3" t="s">
        <v>90</v>
      </c>
      <c r="C17909" s="5">
        <v>60</v>
      </c>
      <c r="D17909" s="6">
        <v>9.25</v>
      </c>
      <c r="E17909" t="s">
        <v>28</v>
      </c>
    </row>
    <row r="17910" spans="1:5" x14ac:dyDescent="0.25">
      <c r="A17910" t="str">
        <f>HYPERLINK("https://www.773grp.com/globalSearch/SN54HC195J/page-1", "SN54HC195J")</f>
        <v>SN54HC195J</v>
      </c>
      <c r="B17910" s="3" t="s">
        <v>90</v>
      </c>
      <c r="C17910" s="5">
        <v>54</v>
      </c>
      <c r="D17910" s="6">
        <v>9.31</v>
      </c>
      <c r="E17910" t="s">
        <v>28</v>
      </c>
    </row>
    <row r="17911" spans="1:5" x14ac:dyDescent="0.25">
      <c r="A17911" t="str">
        <f>HYPERLINK("https://www.773grp.com/globalSearch/SN54HC166J/page-1", "SN54HC166J")</f>
        <v>SN54HC166J</v>
      </c>
      <c r="B17911" s="3" t="s">
        <v>90</v>
      </c>
      <c r="C17911" s="5">
        <v>1</v>
      </c>
      <c r="D17911" s="6">
        <v>10.09</v>
      </c>
      <c r="E17911" t="s">
        <v>28</v>
      </c>
    </row>
    <row r="17912" spans="1:5" x14ac:dyDescent="0.25">
      <c r="A17912" t="str">
        <f>HYPERLINK("https://www.773grp.com/globalSearch/SN74ALS299DW/page-1", "SN74ALS299DW")</f>
        <v>SN74ALS299DW</v>
      </c>
      <c r="B17912" s="3" t="s">
        <v>90</v>
      </c>
      <c r="C17912" s="5">
        <v>4410</v>
      </c>
      <c r="D17912" s="6">
        <v>10.24</v>
      </c>
      <c r="E17912" t="s">
        <v>28</v>
      </c>
    </row>
    <row r="17913" spans="1:5" x14ac:dyDescent="0.25">
      <c r="A17913" t="str">
        <f>HYPERLINK("https://www.773grp.com/globalSearch/SN74ALS323DW/page-1", "SN74ALS323DW")</f>
        <v>SN74ALS323DW</v>
      </c>
      <c r="B17913" s="3" t="s">
        <v>90</v>
      </c>
      <c r="C17913" s="5">
        <v>3265</v>
      </c>
      <c r="D17913" s="6">
        <v>10.24</v>
      </c>
      <c r="E17913" t="s">
        <v>28</v>
      </c>
    </row>
    <row r="17914" spans="1:5" x14ac:dyDescent="0.25">
      <c r="A17914" t="str">
        <f>HYPERLINK("https://www.773grp.com/globalSearch/SN74ALS323N3/page-1", "SN74ALS323N3")</f>
        <v>SN74ALS323N3</v>
      </c>
      <c r="B17914" s="3" t="s">
        <v>90</v>
      </c>
      <c r="C17914" s="5">
        <v>580</v>
      </c>
      <c r="D17914" s="6">
        <v>10.24</v>
      </c>
      <c r="E17914" t="s">
        <v>28</v>
      </c>
    </row>
    <row r="17915" spans="1:5" x14ac:dyDescent="0.25">
      <c r="A17915" t="str">
        <f>HYPERLINK("https://www.773grp.com/globalSearch/SN54HC164J/page-1", "SN54HC164J")</f>
        <v>SN54HC164J</v>
      </c>
      <c r="B17915" s="3" t="s">
        <v>90</v>
      </c>
      <c r="C17915" s="5">
        <v>735</v>
      </c>
      <c r="D17915" s="6">
        <v>10.58</v>
      </c>
      <c r="E17915" t="s">
        <v>28</v>
      </c>
    </row>
    <row r="17916" spans="1:5" x14ac:dyDescent="0.25">
      <c r="A17916" t="str">
        <f>HYPERLINK("https://www.773grp.com/globalSearch/SNJ54LS295BW/page-1", "SNJ54LS295BW")</f>
        <v>SNJ54LS295BW</v>
      </c>
      <c r="B17916" s="3" t="s">
        <v>90</v>
      </c>
      <c r="C17916" s="5">
        <v>4</v>
      </c>
      <c r="D17916" s="6">
        <v>10.64</v>
      </c>
      <c r="E17916" t="s">
        <v>28</v>
      </c>
    </row>
    <row r="17917" spans="1:5" x14ac:dyDescent="0.25">
      <c r="A17917" t="str">
        <f>HYPERLINK("https://www.773grp.com/globalSearch/SN74S299N/page-1", "SN74S299N")</f>
        <v>SN74S299N</v>
      </c>
      <c r="B17917" s="3" t="s">
        <v>90</v>
      </c>
      <c r="C17917" s="5">
        <v>574</v>
      </c>
      <c r="D17917" s="6">
        <v>10.85</v>
      </c>
      <c r="E17917" t="s">
        <v>28</v>
      </c>
    </row>
    <row r="17918" spans="1:5" x14ac:dyDescent="0.25">
      <c r="A17918" t="str">
        <f>HYPERLINK("https://www.773grp.com/globalSearch/SN74LS595N3/page-1", "SN74LS595N3")</f>
        <v>SN74LS595N3</v>
      </c>
      <c r="B17918" s="3" t="s">
        <v>90</v>
      </c>
      <c r="C17918" s="5">
        <v>164</v>
      </c>
      <c r="D17918" s="6">
        <v>11.05</v>
      </c>
      <c r="E17918" t="s">
        <v>28</v>
      </c>
    </row>
    <row r="17919" spans="1:5" x14ac:dyDescent="0.25">
      <c r="A17919" t="str">
        <f>HYPERLINK("https://www.773grp.com/globalSearch/CD4034BE/page-1", "CD4034BE")</f>
        <v>CD4034BE</v>
      </c>
      <c r="B17919" s="3" t="s">
        <v>90</v>
      </c>
      <c r="C17919" s="5">
        <v>991</v>
      </c>
      <c r="D17919" s="6">
        <v>11.51</v>
      </c>
      <c r="E17919" t="s">
        <v>28</v>
      </c>
    </row>
    <row r="17920" spans="1:5" x14ac:dyDescent="0.25">
      <c r="A17920" t="str">
        <f>HYPERLINK("https://www.773grp.com/globalSearch/SNJ54S195J/page-1", "SNJ54S195J")</f>
        <v>SNJ54S195J</v>
      </c>
      <c r="B17920" s="3" t="s">
        <v>90</v>
      </c>
      <c r="C17920" s="5">
        <v>165</v>
      </c>
      <c r="D17920" s="6">
        <v>11.51</v>
      </c>
      <c r="E17920" t="s">
        <v>28</v>
      </c>
    </row>
    <row r="17921" spans="1:5" x14ac:dyDescent="0.25">
      <c r="A17921" t="str">
        <f>HYPERLINK("https://www.773grp.com/globalSearch/74ACT11898DW/page-1", "74ACT11898DW")</f>
        <v>74ACT11898DW</v>
      </c>
      <c r="B17921" s="3" t="s">
        <v>90</v>
      </c>
      <c r="C17921" s="5">
        <v>775</v>
      </c>
      <c r="D17921" s="6">
        <v>11.59</v>
      </c>
      <c r="E17921" t="s">
        <v>28</v>
      </c>
    </row>
    <row r="17922" spans="1:5" x14ac:dyDescent="0.25">
      <c r="A17922" t="str">
        <f>HYPERLINK("https://www.773grp.com/globalSearch/SN5491AJ/page-1", "SN5491AJ")</f>
        <v>SN5491AJ</v>
      </c>
      <c r="B17922" s="3" t="s">
        <v>90</v>
      </c>
      <c r="C17922" s="5">
        <v>3</v>
      </c>
      <c r="D17922" s="6">
        <v>11.95</v>
      </c>
      <c r="E17922" t="s">
        <v>28</v>
      </c>
    </row>
    <row r="17923" spans="1:5" x14ac:dyDescent="0.25">
      <c r="A17923" t="str">
        <f>HYPERLINK("https://www.773grp.com/globalSearch/SNJ54178J/page-1", "SNJ54178J")</f>
        <v>SNJ54178J</v>
      </c>
      <c r="B17923" s="3" t="s">
        <v>90</v>
      </c>
      <c r="C17923" s="5">
        <v>2038</v>
      </c>
      <c r="D17923" s="6">
        <v>11.95</v>
      </c>
      <c r="E17923" t="s">
        <v>28</v>
      </c>
    </row>
    <row r="17924" spans="1:5" x14ac:dyDescent="0.25">
      <c r="A17924" t="str">
        <f>HYPERLINK("https://www.773grp.com/globalSearch/SNJ54LS165AJ/page-1", "SNJ54LS165AJ")</f>
        <v>SNJ54LS165AJ</v>
      </c>
      <c r="B17924" s="3" t="str">
        <f>HYPERLINK("https://www.773grp.com/manufacturer/texas-instruments?pageNo=380", "Texas Instruments")</f>
        <v>Texas Instruments</v>
      </c>
      <c r="C17924" s="5">
        <v>259</v>
      </c>
      <c r="D17924" s="6">
        <v>12.79</v>
      </c>
      <c r="E17924" t="s">
        <v>28</v>
      </c>
    </row>
    <row r="17925" spans="1:5" x14ac:dyDescent="0.25">
      <c r="A17925" t="str">
        <f>HYPERLINK("https://www.773grp.com/globalSearch/5962-8682701EA/page-1", "5962-8682701EA")</f>
        <v>5962-8682701EA</v>
      </c>
      <c r="B17925" s="3" t="str">
        <f>HYPERLINK("https://www.773grp.com/manufacturer/texas-instruments?pageNo=552", "Texas Instruments")</f>
        <v>Texas Instruments</v>
      </c>
      <c r="C17925" s="5">
        <v>67</v>
      </c>
      <c r="D17925" s="6">
        <v>13.16</v>
      </c>
      <c r="E17925" t="s">
        <v>28</v>
      </c>
    </row>
    <row r="17926" spans="1:5" x14ac:dyDescent="0.25">
      <c r="A17926" t="str">
        <f>HYPERLINK("https://www.773grp.com/globalSearch/SNJ5491AJ/page-1", "SNJ5491AJ")</f>
        <v>SNJ5491AJ</v>
      </c>
      <c r="B17926" s="3" t="str">
        <f>HYPERLINK("https://www.773grp.com/manufacturer/texas-instruments?pageNo=667", "Texas Instruments")</f>
        <v>Texas Instruments</v>
      </c>
      <c r="C17926" s="5">
        <v>117</v>
      </c>
      <c r="D17926" s="6">
        <v>13.36</v>
      </c>
      <c r="E17926" t="s">
        <v>28</v>
      </c>
    </row>
    <row r="17927" spans="1:5" x14ac:dyDescent="0.25">
      <c r="A17927" t="str">
        <f>HYPERLINK("https://www.773grp.com/globalSearch/SNJ54179W/page-1", "SNJ54179W")</f>
        <v>SNJ54179W</v>
      </c>
      <c r="B17927" s="3" t="s">
        <v>90</v>
      </c>
      <c r="C17927" s="5">
        <v>29</v>
      </c>
      <c r="D17927" s="6">
        <v>14.06</v>
      </c>
      <c r="E17927" t="s">
        <v>28</v>
      </c>
    </row>
    <row r="17928" spans="1:5" x14ac:dyDescent="0.25">
      <c r="A17928" t="str">
        <f>HYPERLINK("https://www.773grp.com/globalSearch/SNJ54HC164J/page-1", "SNJ54HC164J")</f>
        <v>SNJ54HC164J</v>
      </c>
      <c r="B17928" s="3" t="s">
        <v>90</v>
      </c>
      <c r="C17928" s="5">
        <v>252</v>
      </c>
      <c r="D17928" s="6">
        <v>14.71</v>
      </c>
      <c r="E17928" t="s">
        <v>28</v>
      </c>
    </row>
    <row r="17929" spans="1:5" x14ac:dyDescent="0.25">
      <c r="A17929" t="str">
        <f>HYPERLINK("https://www.773grp.com/globalSearch/SN54LS165AJ/page-1", "SN54LS165AJ")</f>
        <v>SN54LS165AJ</v>
      </c>
      <c r="B17929" s="3" t="s">
        <v>90</v>
      </c>
      <c r="C17929" s="5">
        <v>139</v>
      </c>
      <c r="D17929" s="6">
        <v>15.08</v>
      </c>
      <c r="E17929" t="s">
        <v>28</v>
      </c>
    </row>
    <row r="17930" spans="1:5" x14ac:dyDescent="0.25">
      <c r="A17930" t="str">
        <f>HYPERLINK("https://www.773grp.com/globalSearch/SN74AS195N/page-1", "SN74AS195N")</f>
        <v>SN74AS195N</v>
      </c>
      <c r="B17930" s="3" t="s">
        <v>90</v>
      </c>
      <c r="C17930" s="5">
        <v>1311</v>
      </c>
      <c r="D17930" s="6">
        <v>15.19</v>
      </c>
      <c r="E17930" t="s">
        <v>28</v>
      </c>
    </row>
    <row r="17931" spans="1:5" x14ac:dyDescent="0.25">
      <c r="A17931" t="str">
        <f>HYPERLINK("https://www.773grp.com/globalSearch/JM38510-30601BEA/page-1", "JM38510-30601BEA")</f>
        <v>JM38510-30601BEA</v>
      </c>
      <c r="B17931" s="3" t="s">
        <v>90</v>
      </c>
      <c r="C17931" s="5">
        <v>66</v>
      </c>
      <c r="D17931" s="6">
        <v>15.23</v>
      </c>
      <c r="E17931" t="s">
        <v>28</v>
      </c>
    </row>
    <row r="17932" spans="1:5" x14ac:dyDescent="0.25">
      <c r="A17932" t="str">
        <f>HYPERLINK("https://www.773grp.com/globalSearch/SN54HC194J/page-1", "SN54HC194J")</f>
        <v>SN54HC194J</v>
      </c>
      <c r="B17932" s="3" t="s">
        <v>90</v>
      </c>
      <c r="C17932" s="5">
        <v>110</v>
      </c>
      <c r="D17932" s="6">
        <v>15.48</v>
      </c>
      <c r="E17932" t="s">
        <v>28</v>
      </c>
    </row>
    <row r="17933" spans="1:5" x14ac:dyDescent="0.25">
      <c r="A17933" t="str">
        <f>HYPERLINK("https://www.773grp.com/globalSearch/SN74ALS323N/page-1", "SN74ALS323N")</f>
        <v>SN74ALS323N</v>
      </c>
      <c r="B17933" s="3" t="s">
        <v>90</v>
      </c>
      <c r="C17933" s="5">
        <v>4531</v>
      </c>
      <c r="D17933" s="6">
        <v>16.29</v>
      </c>
      <c r="E17933" t="s">
        <v>28</v>
      </c>
    </row>
    <row r="17934" spans="1:5" x14ac:dyDescent="0.25">
      <c r="A17934" t="str">
        <f>HYPERLINK("https://www.773grp.com/globalSearch/SNJ54HC165J/page-1", "SNJ54HC165J")</f>
        <v>SNJ54HC165J</v>
      </c>
      <c r="B17934" s="3" t="s">
        <v>90</v>
      </c>
      <c r="C17934" s="5">
        <v>7</v>
      </c>
      <c r="D17934" s="6">
        <v>16.29</v>
      </c>
      <c r="E17934" t="s">
        <v>28</v>
      </c>
    </row>
    <row r="17935" spans="1:5" x14ac:dyDescent="0.25">
      <c r="A17935" t="str">
        <f>HYPERLINK("https://www.773grp.com/globalSearch/SNJ54LS194AJ/page-1", "SNJ54LS194AJ")</f>
        <v>SNJ54LS194AJ</v>
      </c>
      <c r="B17935" s="3" t="s">
        <v>90</v>
      </c>
      <c r="C17935" s="5">
        <v>34</v>
      </c>
      <c r="D17935" s="6">
        <v>17.13</v>
      </c>
      <c r="E17935" t="s">
        <v>28</v>
      </c>
    </row>
    <row r="17936" spans="1:5" x14ac:dyDescent="0.25">
      <c r="A17936" t="str">
        <f>HYPERLINK("https://www.773grp.com/globalSearch/SN54165W/page-1", "SN54165W")</f>
        <v>SN54165W</v>
      </c>
      <c r="B17936" s="3" t="s">
        <v>90</v>
      </c>
      <c r="C17936" s="5">
        <v>420</v>
      </c>
      <c r="D17936" s="6">
        <v>17.260000000000002</v>
      </c>
      <c r="E17936" t="s">
        <v>28</v>
      </c>
    </row>
    <row r="17937" spans="1:5" x14ac:dyDescent="0.25">
      <c r="A17937" t="str">
        <f>HYPERLINK("https://www.773grp.com/globalSearch/SN54LS166AJ/page-1", "SN54LS166AJ")</f>
        <v>SN54LS166AJ</v>
      </c>
      <c r="B17937" s="3" t="s">
        <v>90</v>
      </c>
      <c r="C17937" s="5">
        <v>352</v>
      </c>
      <c r="D17937" s="6">
        <v>17.350000000000001</v>
      </c>
      <c r="E17937" t="s">
        <v>28</v>
      </c>
    </row>
    <row r="17938" spans="1:5" x14ac:dyDescent="0.25">
      <c r="A17938" t="str">
        <f>HYPERLINK("https://www.773grp.com/globalSearch/SN54LS194AJ/page-1", "SN54LS194AJ")</f>
        <v>SN54LS194AJ</v>
      </c>
      <c r="B17938" s="3" t="s">
        <v>90</v>
      </c>
      <c r="C17938" s="5">
        <v>73</v>
      </c>
      <c r="D17938" s="6">
        <v>17.78</v>
      </c>
      <c r="E17938" t="s">
        <v>28</v>
      </c>
    </row>
    <row r="17939" spans="1:5" x14ac:dyDescent="0.25">
      <c r="A17939" t="str">
        <f>HYPERLINK("https://www.773grp.com/globalSearch/7702501EA/page-1", "7702501EA")</f>
        <v>7702501EA</v>
      </c>
      <c r="B17939" s="3" t="s">
        <v>90</v>
      </c>
      <c r="C17939" s="5">
        <v>12</v>
      </c>
      <c r="D17939" s="6">
        <v>18.36</v>
      </c>
      <c r="E17939" t="s">
        <v>28</v>
      </c>
    </row>
    <row r="17940" spans="1:5" x14ac:dyDescent="0.25">
      <c r="A17940" t="str">
        <f>HYPERLINK("https://www.773grp.com/globalSearch/CD4094BF3A/page-1", "CD4094BF3A")</f>
        <v>CD4094BF3A</v>
      </c>
      <c r="B17940" s="3" t="s">
        <v>90</v>
      </c>
      <c r="C17940" s="5">
        <v>4233</v>
      </c>
      <c r="D17940" s="6">
        <v>18.36</v>
      </c>
      <c r="E17940" t="s">
        <v>28</v>
      </c>
    </row>
    <row r="17941" spans="1:5" x14ac:dyDescent="0.25">
      <c r="A17941" t="str">
        <f>HYPERLINK("https://www.773grp.com/globalSearch/SN74LS672N/page-1", "SN74LS672N")</f>
        <v>SN74LS672N</v>
      </c>
      <c r="B17941" s="3" t="s">
        <v>90</v>
      </c>
      <c r="C17941" s="5">
        <v>2800</v>
      </c>
      <c r="D17941" s="6">
        <v>18.559999999999999</v>
      </c>
      <c r="E17941" t="s">
        <v>28</v>
      </c>
    </row>
    <row r="17942" spans="1:5" x14ac:dyDescent="0.25">
      <c r="A17942" t="str">
        <f>HYPERLINK("https://www.773grp.com/globalSearch/JM38510-30605BDA/page-1", "JM38510-30605BDA")</f>
        <v>JM38510-30605BDA</v>
      </c>
      <c r="B17942" s="3" t="s">
        <v>90</v>
      </c>
      <c r="C17942" s="5">
        <v>106</v>
      </c>
      <c r="D17942" s="6">
        <v>18.7</v>
      </c>
      <c r="E17942" t="s">
        <v>28</v>
      </c>
    </row>
    <row r="17943" spans="1:5" x14ac:dyDescent="0.25">
      <c r="A17943" t="str">
        <f>HYPERLINK("https://www.773grp.com/globalSearch/SN74LS672J/page-1", "SN74LS672J")</f>
        <v>SN74LS672J</v>
      </c>
      <c r="B17943" s="3" t="s">
        <v>90</v>
      </c>
      <c r="C17943" s="5">
        <v>560</v>
      </c>
      <c r="D17943" s="6">
        <v>18.989999999999998</v>
      </c>
      <c r="E17943" t="s">
        <v>28</v>
      </c>
    </row>
    <row r="17944" spans="1:5" x14ac:dyDescent="0.25">
      <c r="A17944" t="str">
        <f>HYPERLINK("https://www.773grp.com/globalSearch/7802401RA/page-1", "7802401RA")</f>
        <v>7802401RA</v>
      </c>
      <c r="B17944" s="3" t="s">
        <v>90</v>
      </c>
      <c r="C17944" s="5">
        <v>103</v>
      </c>
      <c r="D17944" s="6">
        <v>19.079999999999998</v>
      </c>
      <c r="E17944" t="s">
        <v>28</v>
      </c>
    </row>
    <row r="17945" spans="1:5" x14ac:dyDescent="0.25">
      <c r="A17945" t="str">
        <f>HYPERLINK("https://www.773grp.com/globalSearch/SN74LS595N/page-1", "SN74LS595N")</f>
        <v>SN74LS595N</v>
      </c>
      <c r="B17945" s="3" t="s">
        <v>90</v>
      </c>
      <c r="C17945" s="5">
        <v>1000</v>
      </c>
      <c r="D17945" s="6">
        <v>19.100000000000001</v>
      </c>
      <c r="E17945" t="s">
        <v>28</v>
      </c>
    </row>
    <row r="17946" spans="1:5" x14ac:dyDescent="0.25">
      <c r="A17946" t="str">
        <f>HYPERLINK("https://www.773grp.com/globalSearch/SN74LS595NE4/page-1", "SN74LS595NE4")</f>
        <v>SN74LS595NE4</v>
      </c>
      <c r="B17946" s="3" t="s">
        <v>90</v>
      </c>
      <c r="C17946" s="5">
        <v>2335</v>
      </c>
      <c r="D17946" s="6">
        <v>19.100000000000001</v>
      </c>
      <c r="E17946" t="s">
        <v>28</v>
      </c>
    </row>
    <row r="17947" spans="1:5" x14ac:dyDescent="0.25">
      <c r="A17947" t="str">
        <f>HYPERLINK("https://www.773grp.com/globalSearch/CD4015BF3A/page-1", "CD4015BF3A")</f>
        <v>CD4015BF3A</v>
      </c>
      <c r="B17947" s="3" t="s">
        <v>90</v>
      </c>
      <c r="C17947" s="5">
        <v>128</v>
      </c>
      <c r="D17947" s="6">
        <v>19.350000000000001</v>
      </c>
      <c r="E17947" t="s">
        <v>28</v>
      </c>
    </row>
    <row r="17948" spans="1:5" x14ac:dyDescent="0.25">
      <c r="A17948" t="str">
        <f>HYPERLINK("https://www.773grp.com/globalSearch/SN74LS597N/page-1", "SN74LS597N")</f>
        <v>SN74LS597N</v>
      </c>
      <c r="B17948" s="3" t="s">
        <v>90</v>
      </c>
      <c r="C17948" s="5">
        <v>4903</v>
      </c>
      <c r="D17948" s="6">
        <v>19.489999999999998</v>
      </c>
      <c r="E17948" t="s">
        <v>28</v>
      </c>
    </row>
    <row r="17949" spans="1:5" x14ac:dyDescent="0.25">
      <c r="A17949" t="str">
        <f>HYPERLINK("https://www.773grp.com/globalSearch/SN74LS597NSR/page-1", "SN74LS597NSR")</f>
        <v>SN74LS597NSR</v>
      </c>
      <c r="B17949" s="3" t="s">
        <v>90</v>
      </c>
      <c r="C17949" s="5">
        <v>6000</v>
      </c>
      <c r="D17949" s="6">
        <v>19.489999999999998</v>
      </c>
      <c r="E17949" t="s">
        <v>28</v>
      </c>
    </row>
    <row r="17950" spans="1:5" x14ac:dyDescent="0.25">
      <c r="A17950" t="str">
        <f>HYPERLINK("https://www.773grp.com/globalSearch/8001701EA/page-1", "8001701EA")</f>
        <v>8001701EA</v>
      </c>
      <c r="B17950" s="3" t="s">
        <v>90</v>
      </c>
      <c r="C17950" s="5">
        <v>54</v>
      </c>
      <c r="D17950" s="6">
        <v>19.54</v>
      </c>
      <c r="E17950" t="s">
        <v>28</v>
      </c>
    </row>
    <row r="17951" spans="1:5" x14ac:dyDescent="0.25">
      <c r="A17951" t="str">
        <f>HYPERLINK("https://www.773grp.com/globalSearch/SNJ54LS166AJ/page-1", "SNJ54LS166AJ")</f>
        <v>SNJ54LS166AJ</v>
      </c>
      <c r="B17951" s="3" t="s">
        <v>90</v>
      </c>
      <c r="C17951" s="5">
        <v>89</v>
      </c>
      <c r="D17951" s="6">
        <v>19.54</v>
      </c>
      <c r="E17951" t="s">
        <v>28</v>
      </c>
    </row>
    <row r="17952" spans="1:5" x14ac:dyDescent="0.25">
      <c r="A17952" t="str">
        <f>HYPERLINK("https://www.773grp.com/globalSearch/CD4014BF3A/page-1", "CD4014BF3A")</f>
        <v>CD4014BF3A</v>
      </c>
      <c r="B17952" s="3" t="s">
        <v>90</v>
      </c>
      <c r="C17952" s="5">
        <v>4</v>
      </c>
      <c r="D17952" s="6">
        <v>19.63</v>
      </c>
      <c r="E17952" t="s">
        <v>28</v>
      </c>
    </row>
    <row r="17953" spans="1:5" x14ac:dyDescent="0.25">
      <c r="A17953" t="str">
        <f>HYPERLINK("https://www.773grp.com/globalSearch/SN74LS598DW/page-1", "SN74LS598DW")</f>
        <v>SN74LS598DW</v>
      </c>
      <c r="B17953" s="3" t="s">
        <v>90</v>
      </c>
      <c r="C17953" s="5">
        <v>5150</v>
      </c>
      <c r="D17953" s="6">
        <v>19.66</v>
      </c>
      <c r="E17953" t="s">
        <v>28</v>
      </c>
    </row>
    <row r="17954" spans="1:5" x14ac:dyDescent="0.25">
      <c r="A17954" t="str">
        <f>HYPERLINK("https://www.773grp.com/globalSearch/SN74LS671DW/page-1", "SN74LS671DW")</f>
        <v>SN74LS671DW</v>
      </c>
      <c r="B17954" s="3" t="s">
        <v>90</v>
      </c>
      <c r="C17954" s="5">
        <v>1590</v>
      </c>
      <c r="D17954" s="6">
        <v>19.690000000000001</v>
      </c>
      <c r="E17954" t="s">
        <v>28</v>
      </c>
    </row>
    <row r="17955" spans="1:5" x14ac:dyDescent="0.25">
      <c r="A17955" t="str">
        <f>HYPERLINK("https://www.773grp.com/globalSearch/SNJ54S195W/page-1", "SNJ54S195W")</f>
        <v>SNJ54S195W</v>
      </c>
      <c r="B17955" s="3" t="s">
        <v>90</v>
      </c>
      <c r="C17955" s="5">
        <v>93</v>
      </c>
      <c r="D17955" s="6">
        <v>20.11</v>
      </c>
      <c r="E17955" t="s">
        <v>28</v>
      </c>
    </row>
    <row r="17956" spans="1:5" x14ac:dyDescent="0.25">
      <c r="A17956" t="str">
        <f>HYPERLINK("https://www.773grp.com/globalSearch/CD4021BF/page-1", "CD4021BF")</f>
        <v>CD4021BF</v>
      </c>
      <c r="B17956" s="3" t="s">
        <v>90</v>
      </c>
      <c r="C17956" s="5">
        <v>1632</v>
      </c>
      <c r="D17956" s="6">
        <v>20.2</v>
      </c>
      <c r="E17956" t="s">
        <v>28</v>
      </c>
    </row>
    <row r="17957" spans="1:5" x14ac:dyDescent="0.25">
      <c r="A17957" t="str">
        <f>HYPERLINK("https://www.773grp.com/globalSearch/SNJ54LS322AFK/page-1", "SNJ54LS322AFK")</f>
        <v>SNJ54LS322AFK</v>
      </c>
      <c r="B17957" s="3" t="s">
        <v>90</v>
      </c>
      <c r="C17957" s="5">
        <v>20</v>
      </c>
      <c r="D17957" s="6">
        <v>20.3</v>
      </c>
      <c r="E17957" t="s">
        <v>28</v>
      </c>
    </row>
    <row r="17958" spans="1:5" x14ac:dyDescent="0.25">
      <c r="A17958" t="str">
        <f>HYPERLINK("https://www.773grp.com/globalSearch/SNJ54LS91J/page-1", "SNJ54LS91J")</f>
        <v>SNJ54LS91J</v>
      </c>
      <c r="B17958" s="3" t="s">
        <v>90</v>
      </c>
      <c r="C17958" s="5">
        <v>170</v>
      </c>
      <c r="D17958" s="6">
        <v>20.88</v>
      </c>
      <c r="E17958" t="s">
        <v>28</v>
      </c>
    </row>
    <row r="17959" spans="1:5" x14ac:dyDescent="0.25">
      <c r="A17959" t="str">
        <f>HYPERLINK("https://www.773grp.com/globalSearch/SN74LS595D/page-1", "SN74LS595D")</f>
        <v>SN74LS595D</v>
      </c>
      <c r="B17959" s="3" t="s">
        <v>90</v>
      </c>
      <c r="C17959" s="5">
        <v>2554</v>
      </c>
      <c r="D17959" s="6">
        <v>20.89</v>
      </c>
      <c r="E17959" t="s">
        <v>28</v>
      </c>
    </row>
    <row r="17960" spans="1:5" x14ac:dyDescent="0.25">
      <c r="A17960" t="str">
        <f>HYPERLINK("https://www.773grp.com/globalSearch/SN54199J/page-1", "SN54199J")</f>
        <v>SN54199J</v>
      </c>
      <c r="B17960" s="3" t="s">
        <v>90</v>
      </c>
      <c r="C17960" s="5">
        <v>474</v>
      </c>
      <c r="D17960" s="6">
        <v>21.04</v>
      </c>
      <c r="E17960" t="s">
        <v>28</v>
      </c>
    </row>
    <row r="17961" spans="1:5" x14ac:dyDescent="0.25">
      <c r="A17961" t="str">
        <f>HYPERLINK("https://www.773grp.com/globalSearch/SN74LS597D/page-1", "SN74LS597D")</f>
        <v>SN74LS597D</v>
      </c>
      <c r="B17961" s="3" t="s">
        <v>90</v>
      </c>
      <c r="C17961" s="5">
        <v>14023</v>
      </c>
      <c r="D17961" s="6">
        <v>21.3</v>
      </c>
      <c r="E17961" t="s">
        <v>28</v>
      </c>
    </row>
    <row r="17962" spans="1:5" x14ac:dyDescent="0.25">
      <c r="A17962" t="str">
        <f>HYPERLINK("https://www.773grp.com/globalSearch/CD54ACT299F3A/page-1", "CD54ACT299F3A")</f>
        <v>CD54ACT299F3A</v>
      </c>
      <c r="B17962" s="3" t="s">
        <v>90</v>
      </c>
      <c r="C17962" s="5">
        <v>18</v>
      </c>
      <c r="D17962" s="6">
        <v>21.38</v>
      </c>
      <c r="E17962" t="s">
        <v>28</v>
      </c>
    </row>
    <row r="17963" spans="1:5" x14ac:dyDescent="0.25">
      <c r="A17963" t="str">
        <f>HYPERLINK("https://www.773grp.com/globalSearch/5962-8957401EA/page-1", "5962-8957401EA")</f>
        <v>5962-8957401EA</v>
      </c>
      <c r="B17963" s="3" t="s">
        <v>90</v>
      </c>
      <c r="C17963" s="5">
        <v>296</v>
      </c>
      <c r="D17963" s="6">
        <v>22.28</v>
      </c>
      <c r="E17963" t="s">
        <v>28</v>
      </c>
    </row>
    <row r="17964" spans="1:5" x14ac:dyDescent="0.25">
      <c r="A17964" t="str">
        <f>HYPERLINK("https://www.773grp.com/globalSearch/SNJ54ALS165J/page-1", "SNJ54ALS165J")</f>
        <v>SNJ54ALS165J</v>
      </c>
      <c r="B17964" s="3" t="s">
        <v>90</v>
      </c>
      <c r="C17964" s="5">
        <v>40</v>
      </c>
      <c r="D17964" s="6">
        <v>22.28</v>
      </c>
      <c r="E17964" t="s">
        <v>28</v>
      </c>
    </row>
    <row r="17965" spans="1:5" x14ac:dyDescent="0.25">
      <c r="A17965" t="str">
        <f>HYPERLINK("https://www.773grp.com/globalSearch/CD4035BF/page-1", "CD4035BF")</f>
        <v>CD4035BF</v>
      </c>
      <c r="B17965" s="3" t="s">
        <v>90</v>
      </c>
      <c r="C17965" s="5">
        <v>18526</v>
      </c>
      <c r="D17965" s="6">
        <v>22.36</v>
      </c>
      <c r="E17965" t="s">
        <v>28</v>
      </c>
    </row>
    <row r="17966" spans="1:5" x14ac:dyDescent="0.25">
      <c r="A17966" t="str">
        <f>HYPERLINK("https://www.773grp.com/globalSearch/JM38510-30602BEA/page-1", "JM38510-30602BEA")</f>
        <v>JM38510-30602BEA</v>
      </c>
      <c r="B17966" s="3" t="s">
        <v>90</v>
      </c>
      <c r="C17966" s="5">
        <v>263</v>
      </c>
      <c r="D17966" s="6">
        <v>23.15</v>
      </c>
      <c r="E17966" t="s">
        <v>28</v>
      </c>
    </row>
    <row r="17967" spans="1:5" x14ac:dyDescent="0.25">
      <c r="A17967" t="str">
        <f>HYPERLINK("https://www.773grp.com/globalSearch/SNJ54164W/page-1", "SNJ54164W")</f>
        <v>SNJ54164W</v>
      </c>
      <c r="B17967" s="3" t="s">
        <v>90</v>
      </c>
      <c r="C17967" s="5">
        <v>13</v>
      </c>
      <c r="D17967" s="6">
        <v>23.2</v>
      </c>
      <c r="E17967" t="s">
        <v>28</v>
      </c>
    </row>
    <row r="17968" spans="1:5" x14ac:dyDescent="0.25">
      <c r="A17968" t="str">
        <f>HYPERLINK("https://www.773grp.com/globalSearch/SNJ54HC166J/page-1", "SNJ54HC166J")</f>
        <v>SNJ54HC166J</v>
      </c>
      <c r="B17968" s="3" t="s">
        <v>90</v>
      </c>
      <c r="C17968" s="5">
        <v>106</v>
      </c>
      <c r="D17968" s="6">
        <v>23.46</v>
      </c>
      <c r="E17968" t="s">
        <v>28</v>
      </c>
    </row>
    <row r="17969" spans="1:5" x14ac:dyDescent="0.25">
      <c r="A17969" t="str">
        <f>HYPERLINK("https://www.773grp.com/globalSearch/CD54ACT164F3A/page-1", "CD54ACT164F3A")</f>
        <v>CD54ACT164F3A</v>
      </c>
      <c r="B17969" s="3" t="s">
        <v>90</v>
      </c>
      <c r="C17969" s="5">
        <v>58</v>
      </c>
      <c r="D17969" s="6">
        <v>23.88</v>
      </c>
      <c r="E17969" t="s">
        <v>28</v>
      </c>
    </row>
    <row r="17970" spans="1:5" x14ac:dyDescent="0.25">
      <c r="A17970" t="str">
        <f>HYPERLINK("https://www.773grp.com/globalSearch/SNJ54L95J/page-1", "SNJ54L95J")</f>
        <v>SNJ54L95J</v>
      </c>
      <c r="B17970" s="3" t="s">
        <v>90</v>
      </c>
      <c r="C17970" s="5">
        <v>315</v>
      </c>
      <c r="D17970" s="6">
        <v>23.91</v>
      </c>
      <c r="E17970" t="s">
        <v>28</v>
      </c>
    </row>
    <row r="17971" spans="1:5" x14ac:dyDescent="0.25">
      <c r="A17971" t="str">
        <f>HYPERLINK("https://www.773grp.com/globalSearch/SNJ54195W/page-1", "SNJ54195W")</f>
        <v>SNJ54195W</v>
      </c>
      <c r="B17971" s="3" t="s">
        <v>90</v>
      </c>
      <c r="C17971" s="5">
        <v>180</v>
      </c>
      <c r="D17971" s="6">
        <v>24.14</v>
      </c>
      <c r="E17971" t="s">
        <v>28</v>
      </c>
    </row>
    <row r="17972" spans="1:5" x14ac:dyDescent="0.25">
      <c r="A17972" t="str">
        <f>HYPERLINK("https://www.773grp.com/globalSearch/5962-8682601EA/page-1", "5962-8682601EA")</f>
        <v>5962-8682601EA</v>
      </c>
      <c r="B17972" s="3" t="s">
        <v>90</v>
      </c>
      <c r="C17972" s="5">
        <v>157</v>
      </c>
      <c r="D17972" s="6">
        <v>25.18</v>
      </c>
      <c r="E17972" t="s">
        <v>28</v>
      </c>
    </row>
    <row r="17973" spans="1:5" x14ac:dyDescent="0.25">
      <c r="A17973" t="str">
        <f>HYPERLINK("https://www.773grp.com/globalSearch/CD54HC194F3A/page-1", "CD54HC194F3A")</f>
        <v>CD54HC194F3A</v>
      </c>
      <c r="B17973" s="3" t="s">
        <v>90</v>
      </c>
      <c r="C17973" s="5">
        <v>127</v>
      </c>
      <c r="D17973" s="6">
        <v>25.18</v>
      </c>
      <c r="E17973" t="s">
        <v>28</v>
      </c>
    </row>
    <row r="17974" spans="1:5" x14ac:dyDescent="0.25">
      <c r="A17974" t="str">
        <f>HYPERLINK("https://www.773grp.com/globalSearch/SN74LS594D/page-1", "SN74LS594D")</f>
        <v>SN74LS594D</v>
      </c>
      <c r="B17974" s="3" t="s">
        <v>90</v>
      </c>
      <c r="C17974" s="5">
        <v>935</v>
      </c>
      <c r="D17974" s="6">
        <v>25.51</v>
      </c>
      <c r="E17974" t="s">
        <v>28</v>
      </c>
    </row>
    <row r="17975" spans="1:5" x14ac:dyDescent="0.25">
      <c r="A17975" t="str">
        <f>HYPERLINK("https://www.773grp.com/globalSearch/8101701EA/page-1", "8101701EA")</f>
        <v>8101701EA</v>
      </c>
      <c r="B17975" s="3" t="s">
        <v>90</v>
      </c>
      <c r="C17975" s="5">
        <v>200</v>
      </c>
      <c r="D17975" s="6">
        <v>26.1</v>
      </c>
      <c r="E17975" t="s">
        <v>28</v>
      </c>
    </row>
    <row r="17976" spans="1:5" x14ac:dyDescent="0.25">
      <c r="A17976" t="str">
        <f>HYPERLINK("https://www.773grp.com/globalSearch/CD4035BF3A/page-1", "CD4035BF3A")</f>
        <v>CD4035BF3A</v>
      </c>
      <c r="B17976" s="3" t="s">
        <v>90</v>
      </c>
      <c r="C17976" s="5">
        <v>33</v>
      </c>
      <c r="D17976" s="6">
        <v>26.1</v>
      </c>
      <c r="E17976" t="s">
        <v>28</v>
      </c>
    </row>
    <row r="17977" spans="1:5" x14ac:dyDescent="0.25">
      <c r="A17977" t="str">
        <f>HYPERLINK("https://www.773grp.com/globalSearch/CD4006BF3A/page-1", "CD4006BF3A")</f>
        <v>CD4006BF3A</v>
      </c>
      <c r="B17977" s="3" t="s">
        <v>90</v>
      </c>
      <c r="C17977" s="5">
        <v>197</v>
      </c>
      <c r="D17977" s="6">
        <v>26.46</v>
      </c>
      <c r="E17977" t="s">
        <v>28</v>
      </c>
    </row>
    <row r="17978" spans="1:5" x14ac:dyDescent="0.25">
      <c r="A17978" t="str">
        <f>HYPERLINK("https://www.773grp.com/globalSearch/SNJ54F299FK/page-1", "SNJ54F299FK")</f>
        <v>SNJ54F299FK</v>
      </c>
      <c r="B17978" s="3" t="s">
        <v>90</v>
      </c>
      <c r="C17978" s="5">
        <v>133</v>
      </c>
      <c r="D17978" s="6">
        <v>26.53</v>
      </c>
      <c r="E17978" t="s">
        <v>28</v>
      </c>
    </row>
    <row r="17979" spans="1:5" x14ac:dyDescent="0.25">
      <c r="A17979" t="str">
        <f>HYPERLINK("https://www.773grp.com/globalSearch/SNJ54LS598J/page-1", "SNJ54LS598J")</f>
        <v>SNJ54LS598J</v>
      </c>
      <c r="B17979" s="3" t="s">
        <v>90</v>
      </c>
      <c r="C17979" s="5">
        <v>252</v>
      </c>
      <c r="D17979" s="6">
        <v>27.05</v>
      </c>
      <c r="E17979" t="s">
        <v>28</v>
      </c>
    </row>
    <row r="17980" spans="1:5" x14ac:dyDescent="0.25">
      <c r="A17980" t="str">
        <f>HYPERLINK("https://www.773grp.com/globalSearch/SN54LS598J/page-1", "SN54LS598J")</f>
        <v>SN54LS598J</v>
      </c>
      <c r="B17980" s="3" t="str">
        <f>HYPERLINK("https://www.773grp.com/manufacturer/texas-instruments?pageNo=40", "Texas Instruments")</f>
        <v>Texas Instruments</v>
      </c>
      <c r="C17980" s="5">
        <v>50</v>
      </c>
      <c r="D17980" s="6">
        <v>27.59</v>
      </c>
      <c r="E17980" t="s">
        <v>28</v>
      </c>
    </row>
    <row r="17981" spans="1:5" x14ac:dyDescent="0.25">
      <c r="A17981" t="str">
        <f>HYPERLINK("https://www.773grp.com/globalSearch/5962-89574012A/page-1", "5962-89574012A")</f>
        <v>5962-89574012A</v>
      </c>
      <c r="B17981" s="3" t="str">
        <f>HYPERLINK("https://www.773grp.com/manufacturer/texas-instruments?pageNo=61", "Texas Instruments")</f>
        <v>Texas Instruments</v>
      </c>
      <c r="C17981" s="5">
        <v>20</v>
      </c>
      <c r="D17981" s="6">
        <v>27.76</v>
      </c>
      <c r="E17981" t="s">
        <v>28</v>
      </c>
    </row>
    <row r="17982" spans="1:5" x14ac:dyDescent="0.25">
      <c r="A17982" t="str">
        <f>HYPERLINK("https://www.773grp.com/globalSearch/SN74LS598N/page-1", "SN74LS598N")</f>
        <v>SN74LS598N</v>
      </c>
      <c r="B17982" s="3" t="str">
        <f>HYPERLINK("https://www.773grp.com/manufacturer/texas-instruments?pageNo=200", "Texas Instruments")</f>
        <v>Texas Instruments</v>
      </c>
      <c r="C17982" s="5">
        <v>550</v>
      </c>
      <c r="D17982" s="6">
        <v>28.3</v>
      </c>
      <c r="E17982" t="s">
        <v>28</v>
      </c>
    </row>
    <row r="17983" spans="1:5" x14ac:dyDescent="0.25">
      <c r="A17983" t="str">
        <f>HYPERLINK("https://www.773grp.com/globalSearch/JM38510-30609BEA/page-1", "JM38510-30609BEA")</f>
        <v>JM38510-30609BEA</v>
      </c>
      <c r="B17983" s="3" t="str">
        <f>HYPERLINK("https://www.773grp.com/manufacturer/texas-instruments?pageNo=254", "Texas Instruments")</f>
        <v>Texas Instruments</v>
      </c>
      <c r="C17983" s="5">
        <v>304</v>
      </c>
      <c r="D17983" s="6">
        <v>28.8</v>
      </c>
      <c r="E17983" t="s">
        <v>28</v>
      </c>
    </row>
    <row r="17984" spans="1:5" x14ac:dyDescent="0.25">
      <c r="A17984" t="str">
        <f>HYPERLINK("https://www.773grp.com/globalSearch/SNJ54S195FK/page-1", "SNJ54S195FK")</f>
        <v>SNJ54S195FK</v>
      </c>
      <c r="B17984" s="3" t="str">
        <f>HYPERLINK("https://www.773grp.com/manufacturer/texas-instruments?pageNo=312", "Texas Instruments")</f>
        <v>Texas Instruments</v>
      </c>
      <c r="C17984" s="5">
        <v>136</v>
      </c>
      <c r="D17984" s="6">
        <v>29.16</v>
      </c>
      <c r="E17984" t="s">
        <v>28</v>
      </c>
    </row>
    <row r="17985" spans="1:5" x14ac:dyDescent="0.25">
      <c r="A17985" t="str">
        <f>HYPERLINK("https://www.773grp.com/globalSearch/CD54HC4094F3A/page-1", "CD54HC4094F3A")</f>
        <v>CD54HC4094F3A</v>
      </c>
      <c r="B17985" s="3" t="str">
        <f>HYPERLINK("https://www.773grp.com/manufacturer/texas-instruments?pageNo=499", "Texas Instruments")</f>
        <v>Texas Instruments</v>
      </c>
      <c r="C17985" s="5">
        <v>27</v>
      </c>
      <c r="D17985" s="6">
        <v>30.43</v>
      </c>
      <c r="E17985" t="s">
        <v>28</v>
      </c>
    </row>
    <row r="17986" spans="1:5" x14ac:dyDescent="0.25">
      <c r="A17986" t="str">
        <f>HYPERLINK("https://www.773grp.com/globalSearch/CD4517BF3A/page-1", "CD4517BF3A")</f>
        <v>CD4517BF3A</v>
      </c>
      <c r="B17986" s="3" t="str">
        <f>HYPERLINK("https://www.773grp.com/manufacturer/texas-instruments?pageNo=664", "Texas Instruments")</f>
        <v>Texas Instruments</v>
      </c>
      <c r="C17986" s="5">
        <v>57</v>
      </c>
      <c r="D17986" s="6">
        <v>31.3</v>
      </c>
      <c r="E17986" t="s">
        <v>28</v>
      </c>
    </row>
    <row r="17987" spans="1:5" x14ac:dyDescent="0.25">
      <c r="A17987" t="str">
        <f>HYPERLINK("https://www.773grp.com/globalSearch/78024012A/page-1", "78024012A")</f>
        <v>78024012A</v>
      </c>
      <c r="B17987" s="3" t="str">
        <f>HYPERLINK("https://www.773grp.com/manufacturer/texas-instruments?pageNo=940", "Texas Instruments")</f>
        <v>Texas Instruments</v>
      </c>
      <c r="C17987" s="5">
        <v>26</v>
      </c>
      <c r="D17987" s="6">
        <v>33.299999999999997</v>
      </c>
      <c r="E17987" t="s">
        <v>28</v>
      </c>
    </row>
    <row r="17988" spans="1:5" x14ac:dyDescent="0.25">
      <c r="A17988" t="str">
        <f>HYPERLINK("https://www.773grp.com/globalSearch/SNJ54LS323J/page-1", "SNJ54LS323J")</f>
        <v>SNJ54LS323J</v>
      </c>
      <c r="B17988" s="3" t="s">
        <v>90</v>
      </c>
      <c r="C17988" s="5">
        <v>12</v>
      </c>
      <c r="D17988" s="6">
        <v>33.799999999999997</v>
      </c>
      <c r="E17988" t="s">
        <v>28</v>
      </c>
    </row>
    <row r="17989" spans="1:5" x14ac:dyDescent="0.25">
      <c r="A17989" t="str">
        <f>HYPERLINK("https://www.773grp.com/globalSearch/7802401SA/page-1", "7802401SA")</f>
        <v>7802401SA</v>
      </c>
      <c r="B17989" s="3" t="s">
        <v>90</v>
      </c>
      <c r="C17989" s="5">
        <v>120</v>
      </c>
      <c r="D17989" s="6">
        <v>39.11</v>
      </c>
      <c r="E17989" t="s">
        <v>28</v>
      </c>
    </row>
    <row r="17990" spans="1:5" x14ac:dyDescent="0.25">
      <c r="A17990" t="str">
        <f>HYPERLINK("https://www.773grp.com/globalSearch/CD54HCT166F3A/page-1", "CD54HCT166F3A")</f>
        <v>CD54HCT166F3A</v>
      </c>
      <c r="B17990" s="3" t="s">
        <v>90</v>
      </c>
      <c r="C17990" s="5">
        <v>368</v>
      </c>
      <c r="D17990" s="6">
        <v>41.89</v>
      </c>
      <c r="E17990" t="s">
        <v>28</v>
      </c>
    </row>
    <row r="17991" spans="1:5" x14ac:dyDescent="0.25">
      <c r="A17991" t="str">
        <f>HYPERLINK("https://www.773grp.com/globalSearch/5962-8685501EA/page-1", "5962-8685501EA")</f>
        <v>5962-8685501EA</v>
      </c>
      <c r="B17991" s="3" t="s">
        <v>90</v>
      </c>
      <c r="C17991" s="5">
        <v>17</v>
      </c>
      <c r="D17991" s="6">
        <v>42.14</v>
      </c>
      <c r="E17991" t="s">
        <v>28</v>
      </c>
    </row>
    <row r="17992" spans="1:5" x14ac:dyDescent="0.25">
      <c r="A17992" t="str">
        <f>HYPERLINK("https://www.773grp.com/globalSearch/CD54HCT165F3A/page-1", "CD54HCT165F3A")</f>
        <v>CD54HCT165F3A</v>
      </c>
      <c r="B17992" s="3" t="s">
        <v>90</v>
      </c>
      <c r="C17992" s="5">
        <v>106</v>
      </c>
      <c r="D17992" s="6">
        <v>42.14</v>
      </c>
      <c r="E17992" t="s">
        <v>28</v>
      </c>
    </row>
    <row r="17993" spans="1:5" x14ac:dyDescent="0.25">
      <c r="A17993" t="str">
        <f>HYPERLINK("https://www.773grp.com/globalSearch/SN54LS595J/page-1", "SN54LS595J")</f>
        <v>SN54LS595J</v>
      </c>
      <c r="B17993" s="3" t="s">
        <v>90</v>
      </c>
      <c r="C17993" s="5">
        <v>24</v>
      </c>
      <c r="D17993" s="6">
        <v>43.11</v>
      </c>
      <c r="E17993" t="s">
        <v>28</v>
      </c>
    </row>
    <row r="17994" spans="1:5" x14ac:dyDescent="0.25">
      <c r="A17994" t="str">
        <f>HYPERLINK("https://www.773grp.com/globalSearch/SNJ54LS194AW/page-1", "SNJ54LS194AW")</f>
        <v>SNJ54LS194AW</v>
      </c>
      <c r="B17994" s="3" t="s">
        <v>90</v>
      </c>
      <c r="C17994" s="5">
        <v>28</v>
      </c>
      <c r="D17994" s="6">
        <v>43.25</v>
      </c>
      <c r="E17994" t="s">
        <v>28</v>
      </c>
    </row>
    <row r="17995" spans="1:5" x14ac:dyDescent="0.25">
      <c r="A17995" t="str">
        <f>HYPERLINK("https://www.773grp.com/globalSearch/SN74LS594N/page-1", "SN74LS594N")</f>
        <v>SN74LS594N</v>
      </c>
      <c r="B17995" s="3" t="s">
        <v>90</v>
      </c>
      <c r="C17995" s="5">
        <v>3612</v>
      </c>
      <c r="D17995" s="6">
        <v>43.96</v>
      </c>
      <c r="E17995" t="s">
        <v>28</v>
      </c>
    </row>
    <row r="17996" spans="1:5" x14ac:dyDescent="0.25">
      <c r="A17996" t="str">
        <f>HYPERLINK("https://www.773grp.com/globalSearch/7604001FA/page-1", "7604001FA")</f>
        <v>7604001FA</v>
      </c>
      <c r="B17996" s="3" t="s">
        <v>90</v>
      </c>
      <c r="C17996" s="5">
        <v>136</v>
      </c>
      <c r="D17996" s="6">
        <v>43.99</v>
      </c>
      <c r="E17996" t="s">
        <v>28</v>
      </c>
    </row>
    <row r="17997" spans="1:5" x14ac:dyDescent="0.25">
      <c r="A17997" t="str">
        <f>HYPERLINK("https://www.773grp.com/globalSearch/SNJ54S194W/page-1", "SNJ54S194W")</f>
        <v>SNJ54S194W</v>
      </c>
      <c r="B17997" s="3" t="s">
        <v>90</v>
      </c>
      <c r="C17997" s="5">
        <v>5373</v>
      </c>
      <c r="D17997" s="6">
        <v>43.99</v>
      </c>
      <c r="E17997" t="s">
        <v>28</v>
      </c>
    </row>
    <row r="17998" spans="1:5" x14ac:dyDescent="0.25">
      <c r="A17998" t="str">
        <f>HYPERLINK("https://www.773grp.com/globalSearch/SNJ54LS323FK/page-1", "SNJ54LS323FK")</f>
        <v>SNJ54LS323FK</v>
      </c>
      <c r="B17998" s="3" t="s">
        <v>90</v>
      </c>
      <c r="C17998" s="5">
        <v>68</v>
      </c>
      <c r="D17998" s="6">
        <v>44.46</v>
      </c>
      <c r="E17998" t="s">
        <v>28</v>
      </c>
    </row>
    <row r="17999" spans="1:5" x14ac:dyDescent="0.25">
      <c r="A17999" t="str">
        <f>HYPERLINK("https://www.773grp.com/globalSearch/SN74LS596N/page-1", "SN74LS596N")</f>
        <v>SN74LS596N</v>
      </c>
      <c r="B17999" s="3" t="s">
        <v>90</v>
      </c>
      <c r="C17999" s="5">
        <v>2761</v>
      </c>
      <c r="D17999" s="6">
        <v>44.51</v>
      </c>
      <c r="E17999" t="s">
        <v>28</v>
      </c>
    </row>
    <row r="18000" spans="1:5" x14ac:dyDescent="0.25">
      <c r="A18000" t="str">
        <f>HYPERLINK("https://www.773grp.com/globalSearch/JM38510-30601BFA/page-1", "JM38510-30601BFA")</f>
        <v>JM38510-30601BFA</v>
      </c>
      <c r="B18000" s="3" t="s">
        <v>90</v>
      </c>
      <c r="C18000" s="5">
        <v>912</v>
      </c>
      <c r="D18000" s="6">
        <v>45.23</v>
      </c>
      <c r="E18000" t="s">
        <v>28</v>
      </c>
    </row>
    <row r="18001" spans="1:5" x14ac:dyDescent="0.25">
      <c r="A18001" t="str">
        <f>HYPERLINK("https://www.773grp.com/globalSearch/5962-8780601RA/page-1", "5962-8780601RA")</f>
        <v>5962-8780601RA</v>
      </c>
      <c r="B18001" s="3" t="s">
        <v>90</v>
      </c>
      <c r="C18001" s="5">
        <v>271</v>
      </c>
      <c r="D18001" s="6">
        <v>45.76</v>
      </c>
      <c r="E18001" t="s">
        <v>28</v>
      </c>
    </row>
    <row r="18002" spans="1:5" x14ac:dyDescent="0.25">
      <c r="A18002" t="str">
        <f>HYPERLINK("https://www.773grp.com/globalSearch/5962-86717012A/page-1", "5962-86717012A")</f>
        <v>5962-86717012A</v>
      </c>
      <c r="B18002" s="3" t="s">
        <v>90</v>
      </c>
      <c r="C18002" s="5">
        <v>74</v>
      </c>
      <c r="D18002" s="6">
        <v>46.58</v>
      </c>
      <c r="E18002" t="s">
        <v>28</v>
      </c>
    </row>
    <row r="18003" spans="1:5" x14ac:dyDescent="0.25">
      <c r="A18003" t="str">
        <f>HYPERLINK("https://www.773grp.com/globalSearch/JM38510-30602BFA/page-1", "JM38510-30602BFA")</f>
        <v>JM38510-30602BFA</v>
      </c>
      <c r="B18003" s="3" t="s">
        <v>90</v>
      </c>
      <c r="C18003" s="5">
        <v>1518</v>
      </c>
      <c r="D18003" s="6">
        <v>47</v>
      </c>
      <c r="E18003" t="s">
        <v>28</v>
      </c>
    </row>
    <row r="18004" spans="1:5" x14ac:dyDescent="0.25">
      <c r="A18004" t="str">
        <f>HYPERLINK("https://www.773grp.com/globalSearch/83021012A/page-1", "83021012A")</f>
        <v>83021012A</v>
      </c>
      <c r="B18004" s="3" t="s">
        <v>90</v>
      </c>
      <c r="C18004" s="5">
        <v>16</v>
      </c>
      <c r="D18004" s="6">
        <v>47.29</v>
      </c>
      <c r="E18004" t="s">
        <v>28</v>
      </c>
    </row>
    <row r="18005" spans="1:5" x14ac:dyDescent="0.25">
      <c r="A18005" t="str">
        <f>HYPERLINK("https://www.773grp.com/globalSearch/5962-8681601EA/page-1", "5962-8681601EA")</f>
        <v>5962-8681601EA</v>
      </c>
      <c r="B18005" s="3" t="s">
        <v>90</v>
      </c>
      <c r="C18005" s="5">
        <v>786</v>
      </c>
      <c r="D18005" s="6">
        <v>49.23</v>
      </c>
      <c r="E18005" t="s">
        <v>28</v>
      </c>
    </row>
    <row r="18006" spans="1:5" x14ac:dyDescent="0.25">
      <c r="A18006" t="str">
        <f>HYPERLINK("https://www.773grp.com/globalSearch/SNJ54HC595J/page-1", "SNJ54HC595J")</f>
        <v>SNJ54HC595J</v>
      </c>
      <c r="B18006" s="3" t="s">
        <v>90</v>
      </c>
      <c r="C18006" s="5">
        <v>65</v>
      </c>
      <c r="D18006" s="6">
        <v>49.23</v>
      </c>
      <c r="E18006" t="s">
        <v>28</v>
      </c>
    </row>
    <row r="18007" spans="1:5" x14ac:dyDescent="0.25">
      <c r="A18007" t="str">
        <f>HYPERLINK("https://www.773grp.com/globalSearch/JM38510-30609BFA/page-1", "JM38510-30609BFA")</f>
        <v>JM38510-30609BFA</v>
      </c>
      <c r="B18007" s="3" t="s">
        <v>90</v>
      </c>
      <c r="C18007" s="5">
        <v>96</v>
      </c>
      <c r="D18007" s="6">
        <v>49.24</v>
      </c>
      <c r="E18007" t="s">
        <v>28</v>
      </c>
    </row>
    <row r="18008" spans="1:5" x14ac:dyDescent="0.25">
      <c r="A18008" t="str">
        <f>HYPERLINK("https://www.773grp.com/globalSearch/SNJ54LS166AFK/page-1", "SNJ54LS166AFK")</f>
        <v>SNJ54LS166AFK</v>
      </c>
      <c r="B18008" s="3" t="s">
        <v>90</v>
      </c>
      <c r="C18008" s="5">
        <v>21</v>
      </c>
      <c r="D18008" s="6">
        <v>49.28</v>
      </c>
      <c r="E18008" t="s">
        <v>28</v>
      </c>
    </row>
    <row r="18009" spans="1:5" x14ac:dyDescent="0.25">
      <c r="A18009" t="str">
        <f>HYPERLINK("https://www.773grp.com/globalSearch/SNJ54LS165AW/page-1", "SNJ54LS165AW")</f>
        <v>SNJ54LS165AW</v>
      </c>
      <c r="B18009" s="3" t="s">
        <v>90</v>
      </c>
      <c r="C18009" s="5">
        <v>545</v>
      </c>
      <c r="D18009" s="6">
        <v>49.58</v>
      </c>
      <c r="E18009" t="s">
        <v>28</v>
      </c>
    </row>
    <row r="18010" spans="1:5" x14ac:dyDescent="0.25">
      <c r="A18010" t="str">
        <f>HYPERLINK("https://www.773grp.com/globalSearch/JM38510-30608BFA/page-1", "JM38510-30608BFA")</f>
        <v>JM38510-30608BFA</v>
      </c>
      <c r="B18010" s="3" t="s">
        <v>90</v>
      </c>
      <c r="C18010" s="5">
        <v>119</v>
      </c>
      <c r="D18010" s="6">
        <v>51.08</v>
      </c>
      <c r="E18010" t="s">
        <v>28</v>
      </c>
    </row>
    <row r="18011" spans="1:5" x14ac:dyDescent="0.25">
      <c r="A18011" t="str">
        <f>HYPERLINK("https://www.773grp.com/globalSearch/84162012A/page-1", "84162012A")</f>
        <v>84162012A</v>
      </c>
      <c r="B18011" s="3" t="s">
        <v>90</v>
      </c>
      <c r="C18011" s="5">
        <v>26</v>
      </c>
      <c r="D18011" s="6">
        <v>54.3</v>
      </c>
      <c r="E18011" t="s">
        <v>28</v>
      </c>
    </row>
    <row r="18012" spans="1:5" x14ac:dyDescent="0.25">
      <c r="A18012" t="str">
        <f>HYPERLINK("https://www.773grp.com/globalSearch/84095012A/page-1", "84095012A")</f>
        <v>84095012A</v>
      </c>
      <c r="B18012" s="3" t="s">
        <v>90</v>
      </c>
      <c r="C18012" s="5">
        <v>411</v>
      </c>
      <c r="D18012" s="6">
        <v>54.64</v>
      </c>
      <c r="E18012" t="s">
        <v>28</v>
      </c>
    </row>
    <row r="18013" spans="1:5" x14ac:dyDescent="0.25">
      <c r="A18013" t="str">
        <f>HYPERLINK("https://www.773grp.com/globalSearch/JM38510-07601BFA/page-1", "JM38510-07601BFA")</f>
        <v>JM38510-07601BFA</v>
      </c>
      <c r="B18013" s="3" t="s">
        <v>90</v>
      </c>
      <c r="C18013" s="5">
        <v>5</v>
      </c>
      <c r="D18013" s="6">
        <v>55.35</v>
      </c>
      <c r="E18013" t="s">
        <v>28</v>
      </c>
    </row>
    <row r="18014" spans="1:5" x14ac:dyDescent="0.25">
      <c r="A18014" t="str">
        <f>HYPERLINK("https://www.773grp.com/globalSearch/SN54LS674J/page-1", "SN54LS674J")</f>
        <v>SN54LS674J</v>
      </c>
      <c r="B18014" s="3" t="s">
        <v>90</v>
      </c>
      <c r="C18014" s="5">
        <v>276</v>
      </c>
      <c r="D18014" s="6">
        <v>55.83</v>
      </c>
      <c r="E18014" t="s">
        <v>28</v>
      </c>
    </row>
    <row r="18015" spans="1:5" x14ac:dyDescent="0.25">
      <c r="A18015" t="str">
        <f>HYPERLINK("https://www.773grp.com/globalSearch/SN74LS674DW/page-1", "SN74LS674DW")</f>
        <v>SN74LS674DW</v>
      </c>
      <c r="B18015" s="3" t="s">
        <v>90</v>
      </c>
      <c r="C18015" s="5">
        <v>7215</v>
      </c>
      <c r="D18015" s="6">
        <v>56.84</v>
      </c>
      <c r="E18015" t="s">
        <v>28</v>
      </c>
    </row>
    <row r="18016" spans="1:5" x14ac:dyDescent="0.25">
      <c r="A18016" t="str">
        <f>HYPERLINK("https://www.773grp.com/globalSearch/5962-86816012A/page-1", "5962-86816012A")</f>
        <v>5962-86816012A</v>
      </c>
      <c r="B18016" s="3" t="s">
        <v>90</v>
      </c>
      <c r="C18016" s="5">
        <v>57</v>
      </c>
      <c r="D18016" s="6">
        <v>60.64</v>
      </c>
      <c r="E18016" t="s">
        <v>28</v>
      </c>
    </row>
    <row r="18017" spans="1:5" x14ac:dyDescent="0.25">
      <c r="A18017" t="str">
        <f>HYPERLINK("https://www.773grp.com/globalSearch/SN74LS674N/page-1", "SN74LS674N")</f>
        <v>SN74LS674N</v>
      </c>
      <c r="B18017" s="3" t="s">
        <v>90</v>
      </c>
      <c r="C18017" s="5">
        <v>72</v>
      </c>
      <c r="D18017" s="6">
        <v>62.48</v>
      </c>
      <c r="E18017" t="s">
        <v>28</v>
      </c>
    </row>
    <row r="18018" spans="1:5" x14ac:dyDescent="0.25">
      <c r="A18018" t="str">
        <f>HYPERLINK("https://www.773grp.com/globalSearch/SNJ54ALS323J/page-1", "SNJ54ALS323J")</f>
        <v>SNJ54ALS323J</v>
      </c>
      <c r="B18018" s="3" t="s">
        <v>90</v>
      </c>
      <c r="C18018" s="5">
        <v>20</v>
      </c>
      <c r="D18018" s="6">
        <v>62.98</v>
      </c>
      <c r="E18018" t="s">
        <v>28</v>
      </c>
    </row>
    <row r="18019" spans="1:5" x14ac:dyDescent="0.25">
      <c r="A18019" t="str">
        <f>HYPERLINK("https://www.773grp.com/globalSearch/SNJ54LS597FK/page-1", "SNJ54LS597FK")</f>
        <v>SNJ54LS597FK</v>
      </c>
      <c r="B18019" s="3" t="s">
        <v>90</v>
      </c>
      <c r="C18019" s="5">
        <v>255</v>
      </c>
      <c r="D18019" s="6">
        <v>64.75</v>
      </c>
      <c r="E18019" t="s">
        <v>28</v>
      </c>
    </row>
    <row r="18020" spans="1:5" x14ac:dyDescent="0.25">
      <c r="A18020" t="str">
        <f>HYPERLINK("https://www.773grp.com/globalSearch/SNJ54LS597J/page-1", "SNJ54LS597J")</f>
        <v>SNJ54LS597J</v>
      </c>
      <c r="B18020" s="3" t="s">
        <v>90</v>
      </c>
      <c r="C18020" s="5">
        <v>14</v>
      </c>
      <c r="D18020" s="6">
        <v>67.7</v>
      </c>
      <c r="E18020" t="s">
        <v>28</v>
      </c>
    </row>
    <row r="18021" spans="1:5" x14ac:dyDescent="0.25">
      <c r="A18021" t="str">
        <f>HYPERLINK("https://www.773grp.com/globalSearch/5962-8860701JA/page-1", "5962-8860701JA")</f>
        <v>5962-8860701JA</v>
      </c>
      <c r="B18021" s="3" t="s">
        <v>90</v>
      </c>
      <c r="C18021" s="5">
        <v>14</v>
      </c>
      <c r="D18021" s="6">
        <v>67.84</v>
      </c>
      <c r="E18021" t="s">
        <v>28</v>
      </c>
    </row>
    <row r="18022" spans="1:5" x14ac:dyDescent="0.25">
      <c r="A18022" t="str">
        <f>HYPERLINK("https://www.773grp.com/globalSearch/SNJ54LS674J/page-1", "SNJ54LS674J")</f>
        <v>SNJ54LS674J</v>
      </c>
      <c r="B18022" s="3" t="s">
        <v>90</v>
      </c>
      <c r="C18022" s="5">
        <v>8</v>
      </c>
      <c r="D18022" s="6">
        <v>67.84</v>
      </c>
      <c r="E18022" t="s">
        <v>28</v>
      </c>
    </row>
    <row r="18023" spans="1:5" x14ac:dyDescent="0.25">
      <c r="A18023" t="str">
        <f>HYPERLINK("https://www.773grp.com/globalSearch/5962-8943601MRA/page-1", "5962-8943601MRA")</f>
        <v>5962-8943601MRA</v>
      </c>
      <c r="B18023" s="3" t="s">
        <v>90</v>
      </c>
      <c r="C18023" s="5">
        <v>108</v>
      </c>
      <c r="D18023" s="6">
        <v>75.739999999999995</v>
      </c>
      <c r="E18023" t="s">
        <v>28</v>
      </c>
    </row>
    <row r="18024" spans="1:5" x14ac:dyDescent="0.25">
      <c r="A18024" t="str">
        <f>HYPERLINK("https://www.773grp.com/globalSearch/5962-8671701EA/page-1", "5962-8671701EA")</f>
        <v>5962-8671701EA</v>
      </c>
      <c r="B18024" s="3" t="s">
        <v>90</v>
      </c>
      <c r="C18024" s="5">
        <v>128</v>
      </c>
      <c r="D18024" s="6">
        <v>76.7</v>
      </c>
      <c r="E18024" t="s">
        <v>28</v>
      </c>
    </row>
    <row r="18025" spans="1:5" x14ac:dyDescent="0.25">
      <c r="A18025" t="str">
        <f>HYPERLINK("https://www.773grp.com/globalSearch/SNJ54LS595J/page-1", "SNJ54LS595J")</f>
        <v>SNJ54LS595J</v>
      </c>
      <c r="B18025" s="3" t="s">
        <v>90</v>
      </c>
      <c r="C18025" s="5">
        <v>6</v>
      </c>
      <c r="D18025" s="6">
        <v>76.7</v>
      </c>
      <c r="E18025" t="s">
        <v>28</v>
      </c>
    </row>
    <row r="18026" spans="1:5" x14ac:dyDescent="0.25">
      <c r="A18026" t="str">
        <f>HYPERLINK("https://www.773grp.com/globalSearch/8302101RA/page-1", "8302101RA")</f>
        <v>8302101RA</v>
      </c>
      <c r="B18026" s="3" t="s">
        <v>90</v>
      </c>
      <c r="C18026" s="5">
        <v>10</v>
      </c>
      <c r="D18026" s="6">
        <v>82.13</v>
      </c>
      <c r="E18026" t="s">
        <v>28</v>
      </c>
    </row>
    <row r="18027" spans="1:5" x14ac:dyDescent="0.25">
      <c r="A18027" t="str">
        <f>HYPERLINK("https://www.773grp.com/globalSearch/5962-88607013A/page-1", "5962-88607013A")</f>
        <v>5962-88607013A</v>
      </c>
      <c r="B18027" s="3" t="s">
        <v>90</v>
      </c>
      <c r="C18027" s="5">
        <v>21</v>
      </c>
      <c r="D18027" s="6">
        <v>88.18</v>
      </c>
      <c r="E18027" t="s">
        <v>28</v>
      </c>
    </row>
    <row r="18028" spans="1:5" x14ac:dyDescent="0.25">
      <c r="A18028" t="str">
        <f>HYPERLINK("https://www.773grp.com/globalSearch/JM38510-07601BEA/page-1", "JM38510-07601BEA")</f>
        <v>JM38510-07601BEA</v>
      </c>
      <c r="B18028" s="3" t="s">
        <v>90</v>
      </c>
      <c r="C18028" s="5">
        <v>9</v>
      </c>
      <c r="D18028" s="6">
        <v>93.53</v>
      </c>
      <c r="E18028" t="s">
        <v>28</v>
      </c>
    </row>
    <row r="18029" spans="1:5" x14ac:dyDescent="0.25">
      <c r="A18029" t="str">
        <f>HYPERLINK("https://www.773grp.com/globalSearch/SN74LS673DW/page-1", "SN74LS673DW")</f>
        <v>SN74LS673DW</v>
      </c>
      <c r="B18029" s="3" t="s">
        <v>90</v>
      </c>
      <c r="C18029" s="5">
        <v>7406</v>
      </c>
      <c r="D18029" s="6">
        <v>99.45</v>
      </c>
      <c r="E18029" t="s">
        <v>28</v>
      </c>
    </row>
    <row r="18030" spans="1:5" x14ac:dyDescent="0.25">
      <c r="A18030" t="str">
        <f>HYPERLINK("https://www.773grp.com/globalSearch/SN74LS673N/page-1", "SN74LS673N")</f>
        <v>SN74LS673N</v>
      </c>
      <c r="B18030" s="3" t="s">
        <v>90</v>
      </c>
      <c r="C18030" s="5">
        <v>2069</v>
      </c>
      <c r="D18030" s="6">
        <v>109.3</v>
      </c>
      <c r="E18030" t="s">
        <v>28</v>
      </c>
    </row>
    <row r="18031" spans="1:5" x14ac:dyDescent="0.25">
      <c r="A18031" t="str">
        <f>HYPERLINK("https://www.773grp.com/globalSearch/JM38510-05754BEA/page-1", "JM38510-05754BEA")</f>
        <v>JM38510-05754BEA</v>
      </c>
      <c r="B18031" s="3" t="s">
        <v>90</v>
      </c>
      <c r="C18031" s="5">
        <v>192</v>
      </c>
      <c r="D18031" s="6">
        <v>120.33</v>
      </c>
      <c r="E18031" t="s">
        <v>28</v>
      </c>
    </row>
    <row r="18032" spans="1:5" x14ac:dyDescent="0.25">
      <c r="A18032" t="str">
        <f>HYPERLINK("https://www.773grp.com/globalSearch/5962-88602013A/page-1", "5962-88602013A")</f>
        <v>5962-88602013A</v>
      </c>
      <c r="B18032" s="3" t="s">
        <v>90</v>
      </c>
      <c r="C18032" s="5">
        <v>11</v>
      </c>
      <c r="D18032" s="6">
        <v>127.88</v>
      </c>
      <c r="E18032" t="s">
        <v>28</v>
      </c>
    </row>
    <row r="18033" spans="1:5" x14ac:dyDescent="0.25">
      <c r="A18033" t="str">
        <f>HYPERLINK("https://www.773grp.com/globalSearch/5962-8416201VCA/page-1", "5962-8416201VCA")</f>
        <v>5962-8416201VCA</v>
      </c>
      <c r="B18033" s="3" t="str">
        <f>HYPERLINK("https://www.773grp.com/manufacturer/texas-instruments?pageNo=295", "Texas Instruments")</f>
        <v>Texas Instruments</v>
      </c>
      <c r="C18033" s="5">
        <v>2</v>
      </c>
      <c r="D18033" s="6">
        <v>170.15</v>
      </c>
      <c r="E18033" t="s">
        <v>28</v>
      </c>
    </row>
    <row r="18034" spans="1:5" x14ac:dyDescent="0.25">
      <c r="A18034" t="str">
        <f>HYPERLINK("https://www.773grp.com/globalSearch/JM38510-30605SCA/page-1", "JM38510-30605SCA")</f>
        <v>JM38510-30605SCA</v>
      </c>
      <c r="B18034" s="3" t="str">
        <f>HYPERLINK("https://www.773grp.com/manufacturer/texas-instruments?pageNo=420", "Texas Instruments")</f>
        <v>Texas Instruments</v>
      </c>
      <c r="C18034" s="5">
        <v>58</v>
      </c>
      <c r="D18034" s="6">
        <v>194.35</v>
      </c>
      <c r="E18034" t="s">
        <v>28</v>
      </c>
    </row>
    <row r="18035" spans="1:5" x14ac:dyDescent="0.25">
      <c r="A18035" t="str">
        <f>HYPERLINK("https://www.773grp.com/globalSearch/JM38510-30605SDA/page-1", "JM38510-30605SDA")</f>
        <v>JM38510-30605SDA</v>
      </c>
      <c r="B18035" s="3" t="str">
        <f>HYPERLINK("https://www.773grp.com/manufacturer/texas-instruments?pageNo=685", "Texas Instruments")</f>
        <v>Texas Instruments</v>
      </c>
      <c r="C18035" s="5">
        <v>34</v>
      </c>
      <c r="D18035" s="6">
        <v>222.26</v>
      </c>
      <c r="E18035" t="s">
        <v>28</v>
      </c>
    </row>
    <row r="18036" spans="1:5" x14ac:dyDescent="0.25">
      <c r="A18036" t="str">
        <f>HYPERLINK("https://www.773grp.com/globalSearch/CD74HC670E/page-1", "CD74HC670E")</f>
        <v>CD74HC670E</v>
      </c>
      <c r="B18036" s="3" t="str">
        <f>HYPERLINK("https://www.773grp.com/manufacturer/texas-instruments?pageNo=982", "Texas Instruments")</f>
        <v>Texas Instruments</v>
      </c>
      <c r="C18036" s="5">
        <v>3290</v>
      </c>
      <c r="D18036" s="6">
        <v>4.16</v>
      </c>
      <c r="E18036" t="s">
        <v>64</v>
      </c>
    </row>
    <row r="18037" spans="1:5" x14ac:dyDescent="0.25">
      <c r="A18037" t="str">
        <f>HYPERLINK("https://www.773grp.com/globalSearch/CD74HC670M/page-1", "CD74HC670M")</f>
        <v>CD74HC670M</v>
      </c>
      <c r="B18037" s="3" t="s">
        <v>90</v>
      </c>
      <c r="C18037" s="5">
        <v>10360</v>
      </c>
      <c r="D18037" s="6">
        <v>4.54</v>
      </c>
      <c r="E18037" t="s">
        <v>64</v>
      </c>
    </row>
    <row r="18038" spans="1:5" x14ac:dyDescent="0.25">
      <c r="A18038" t="str">
        <f>HYPERLINK("https://www.773grp.com/globalSearch/SN74LS670DR/page-1", "SN74LS670DR")</f>
        <v>SN74LS670DR</v>
      </c>
      <c r="B18038" s="3" t="s">
        <v>90</v>
      </c>
      <c r="C18038" s="5">
        <v>10000</v>
      </c>
      <c r="D18038" s="6">
        <v>4.54</v>
      </c>
      <c r="E18038" t="s">
        <v>64</v>
      </c>
    </row>
    <row r="18039" spans="1:5" x14ac:dyDescent="0.25">
      <c r="A18039" t="str">
        <f>HYPERLINK("https://www.773grp.com/globalSearch/CD74HC670MT/page-1", "CD74HC670MT")</f>
        <v>CD74HC670MT</v>
      </c>
      <c r="B18039" s="3" t="str">
        <f>HYPERLINK("https://www.773grp.com/manufacturer/texas-instruments?pageNo=22", "Texas Instruments")</f>
        <v>Texas Instruments</v>
      </c>
      <c r="C18039" s="5">
        <v>1000</v>
      </c>
      <c r="D18039" s="6">
        <v>4.91</v>
      </c>
      <c r="E18039" t="s">
        <v>64</v>
      </c>
    </row>
    <row r="18040" spans="1:5" x14ac:dyDescent="0.25">
      <c r="A18040" t="str">
        <f>HYPERLINK("https://www.773grp.com/globalSearch/SNJ54LS170J/page-1", "SNJ54LS170J")</f>
        <v>SNJ54LS170J</v>
      </c>
      <c r="B18040" s="3" t="s">
        <v>90</v>
      </c>
      <c r="C18040" s="5">
        <v>388</v>
      </c>
      <c r="D18040" s="6">
        <v>5.2</v>
      </c>
      <c r="E18040" t="s">
        <v>64</v>
      </c>
    </row>
    <row r="18041" spans="1:5" x14ac:dyDescent="0.25">
      <c r="A18041" t="str">
        <f>HYPERLINK("https://www.773grp.com/globalSearch/SN74LS170N/page-1", "SN74LS170N")</f>
        <v>SN74LS170N</v>
      </c>
      <c r="B18041" s="3" t="s">
        <v>90</v>
      </c>
      <c r="C18041" s="5">
        <v>6280</v>
      </c>
      <c r="D18041" s="6">
        <v>5.24</v>
      </c>
      <c r="E18041" t="s">
        <v>64</v>
      </c>
    </row>
    <row r="18042" spans="1:5" x14ac:dyDescent="0.25">
      <c r="A18042" t="str">
        <f>HYPERLINK("https://www.773grp.com/globalSearch/SN54LS170J/page-1", "SN54LS170J")</f>
        <v>SN54LS170J</v>
      </c>
      <c r="B18042" s="3" t="s">
        <v>90</v>
      </c>
      <c r="C18042" s="5">
        <v>36</v>
      </c>
      <c r="D18042" s="6">
        <v>8.3000000000000007</v>
      </c>
      <c r="E18042" t="s">
        <v>64</v>
      </c>
    </row>
    <row r="18043" spans="1:5" x14ac:dyDescent="0.25">
      <c r="A18043" t="str">
        <f>HYPERLINK("https://www.773grp.com/globalSearch/CD74HCT670M96/page-1", "CD74HCT670M96")</f>
        <v>CD74HCT670M96</v>
      </c>
      <c r="B18043" s="3" t="s">
        <v>90</v>
      </c>
      <c r="C18043" s="5">
        <v>2500</v>
      </c>
      <c r="D18043" s="6">
        <v>8.44</v>
      </c>
      <c r="E18043" t="s">
        <v>64</v>
      </c>
    </row>
    <row r="18044" spans="1:5" x14ac:dyDescent="0.25">
      <c r="A18044" t="str">
        <f>HYPERLINK("https://www.773grp.com/globalSearch/CD74HCT670MT/page-1", "CD74HCT670MT")</f>
        <v>CD74HCT670MT</v>
      </c>
      <c r="B18044" s="3" t="s">
        <v>90</v>
      </c>
      <c r="C18044" s="5">
        <v>3250</v>
      </c>
      <c r="D18044" s="6">
        <v>9.8800000000000008</v>
      </c>
      <c r="E18044" t="s">
        <v>64</v>
      </c>
    </row>
    <row r="18045" spans="1:5" x14ac:dyDescent="0.25">
      <c r="A18045" t="str">
        <f>HYPERLINK("https://www.773grp.com/globalSearch/CD74HCT670E/page-1", "CD74HCT670E")</f>
        <v>CD74HCT670E</v>
      </c>
      <c r="B18045" s="3" t="s">
        <v>90</v>
      </c>
      <c r="C18045" s="5">
        <v>9220</v>
      </c>
      <c r="D18045" s="6">
        <v>11.25</v>
      </c>
      <c r="E18045" t="s">
        <v>64</v>
      </c>
    </row>
    <row r="18046" spans="1:5" x14ac:dyDescent="0.25">
      <c r="A18046" t="str">
        <f>HYPERLINK("https://www.773grp.com/globalSearch/CD74HCT670E/page-1", "CD74HCT670E")</f>
        <v>CD74HCT670E</v>
      </c>
      <c r="B18046" s="3" t="s">
        <v>90</v>
      </c>
      <c r="C18046" s="5">
        <v>5275</v>
      </c>
      <c r="D18046" s="6">
        <v>11.25</v>
      </c>
      <c r="E18046" t="s">
        <v>64</v>
      </c>
    </row>
    <row r="18047" spans="1:5" x14ac:dyDescent="0.25">
      <c r="A18047" t="str">
        <f>HYPERLINK("https://www.773grp.com/globalSearch/CD74HCT670M/page-1", "CD74HCT670M")</f>
        <v>CD74HCT670M</v>
      </c>
      <c r="B18047" s="3" t="str">
        <f>HYPERLINK("https://www.773grp.com/manufacturer/texas-instruments?pageNo=69", "Texas Instruments")</f>
        <v>Texas Instruments</v>
      </c>
      <c r="C18047" s="5">
        <v>9080</v>
      </c>
      <c r="D18047" s="6">
        <v>12.26</v>
      </c>
      <c r="E18047" t="s">
        <v>64</v>
      </c>
    </row>
    <row r="18048" spans="1:5" x14ac:dyDescent="0.25">
      <c r="A18048" t="str">
        <f>HYPERLINK("https://www.773grp.com/globalSearch/SN54170J/page-1", "SN54170J")</f>
        <v>SN54170J</v>
      </c>
      <c r="B18048" s="3" t="str">
        <f>HYPERLINK("https://www.773grp.com/manufacturer/texas-instruments?pageNo=70", "Texas Instruments")</f>
        <v>Texas Instruments</v>
      </c>
      <c r="C18048" s="5">
        <v>5</v>
      </c>
      <c r="D18048" s="6">
        <v>12.26</v>
      </c>
      <c r="E18048" t="s">
        <v>64</v>
      </c>
    </row>
    <row r="18049" spans="1:5" x14ac:dyDescent="0.25">
      <c r="A18049" t="str">
        <f>HYPERLINK("https://www.773grp.com/globalSearch/SN74172N/page-1", "SN74172N")</f>
        <v>SN74172N</v>
      </c>
      <c r="B18049" s="3" t="s">
        <v>90</v>
      </c>
      <c r="C18049" s="5">
        <v>3416</v>
      </c>
      <c r="D18049" s="6">
        <v>15.61</v>
      </c>
      <c r="E18049" t="s">
        <v>64</v>
      </c>
    </row>
    <row r="18050" spans="1:5" x14ac:dyDescent="0.25">
      <c r="A18050" t="str">
        <f>HYPERLINK("https://www.773grp.com/globalSearch/SNJ54ALS870JT/page-1", "SNJ54ALS870JT")</f>
        <v>SNJ54ALS870JT</v>
      </c>
      <c r="B18050" s="3" t="s">
        <v>90</v>
      </c>
      <c r="C18050" s="5">
        <v>885</v>
      </c>
      <c r="D18050" s="6">
        <v>20.64</v>
      </c>
      <c r="E18050" t="s">
        <v>64</v>
      </c>
    </row>
    <row r="18051" spans="1:5" x14ac:dyDescent="0.25">
      <c r="A18051" t="str">
        <f>HYPERLINK("https://www.773grp.com/globalSearch/BQ4011MA-200/page-1", "BQ4011MA-200")</f>
        <v>BQ4011MA-200</v>
      </c>
      <c r="B18051" s="3" t="s">
        <v>90</v>
      </c>
      <c r="C18051" s="5">
        <v>767</v>
      </c>
      <c r="D18051" s="6">
        <v>21.1</v>
      </c>
      <c r="E18051" t="s">
        <v>64</v>
      </c>
    </row>
    <row r="18052" spans="1:5" x14ac:dyDescent="0.25">
      <c r="A18052" t="str">
        <f>HYPERLINK("https://www.773grp.com/globalSearch/BQ4011YMA-150N/page-1", "BQ4011YMA-150N")</f>
        <v>BQ4011YMA-150N</v>
      </c>
      <c r="B18052" s="3" t="s">
        <v>90</v>
      </c>
      <c r="C18052" s="5">
        <v>95</v>
      </c>
      <c r="D18052" s="6">
        <v>22.65</v>
      </c>
      <c r="E18052" t="s">
        <v>64</v>
      </c>
    </row>
    <row r="18053" spans="1:5" x14ac:dyDescent="0.25">
      <c r="A18053" t="str">
        <f>HYPERLINK("https://www.773grp.com/globalSearch/BQ4011YMA-150N/page-1", "BQ4011YMA-150N")</f>
        <v>BQ4011YMA-150N</v>
      </c>
      <c r="B18053" s="3" t="s">
        <v>90</v>
      </c>
      <c r="C18053" s="5">
        <v>373</v>
      </c>
      <c r="D18053" s="6">
        <v>22.65</v>
      </c>
      <c r="E18053" t="s">
        <v>64</v>
      </c>
    </row>
    <row r="18054" spans="1:5" x14ac:dyDescent="0.25">
      <c r="A18054" t="str">
        <f>HYPERLINK("https://www.773grp.com/globalSearch/SN74AS870DW/page-1", "SN74AS870DW")</f>
        <v>SN74AS870DW</v>
      </c>
      <c r="B18054" s="3" t="s">
        <v>90</v>
      </c>
      <c r="C18054" s="5">
        <v>161</v>
      </c>
      <c r="D18054" s="6">
        <v>24.68</v>
      </c>
      <c r="E18054" t="s">
        <v>64</v>
      </c>
    </row>
    <row r="18055" spans="1:5" x14ac:dyDescent="0.25">
      <c r="A18055" t="str">
        <f>HYPERLINK("https://www.773grp.com/globalSearch/SN74AS870DWR/page-1", "SN74AS870DWR")</f>
        <v>SN74AS870DWR</v>
      </c>
      <c r="B18055" s="3" t="s">
        <v>90</v>
      </c>
      <c r="C18055" s="5">
        <v>1000</v>
      </c>
      <c r="D18055" s="6">
        <v>24.68</v>
      </c>
      <c r="E18055" t="s">
        <v>64</v>
      </c>
    </row>
    <row r="18056" spans="1:5" x14ac:dyDescent="0.25">
      <c r="A18056" t="str">
        <f>HYPERLINK("https://www.773grp.com/globalSearch/SN54LS670J/page-1", "SN54LS670J")</f>
        <v>SN54LS670J</v>
      </c>
      <c r="B18056" s="3" t="s">
        <v>90</v>
      </c>
      <c r="C18056" s="5">
        <v>29</v>
      </c>
      <c r="D18056" s="6">
        <v>24.98</v>
      </c>
      <c r="E18056" t="s">
        <v>64</v>
      </c>
    </row>
    <row r="18057" spans="1:5" x14ac:dyDescent="0.25">
      <c r="A18057" t="str">
        <f>HYPERLINK("https://www.773grp.com/globalSearch/SN74ALS870DW/page-1", "SN74ALS870DW")</f>
        <v>SN74ALS870DW</v>
      </c>
      <c r="B18057" s="3" t="str">
        <f>HYPERLINK("https://www.773grp.com/manufacturer/texas-instruments?pageNo=306", "Texas Instruments")</f>
        <v>Texas Instruments</v>
      </c>
      <c r="C18057" s="5">
        <v>1150</v>
      </c>
      <c r="D18057" s="6">
        <v>29.14</v>
      </c>
      <c r="E18057" t="s">
        <v>64</v>
      </c>
    </row>
    <row r="18058" spans="1:5" x14ac:dyDescent="0.25">
      <c r="A18058" t="str">
        <f>HYPERLINK("https://www.773grp.com/globalSearch/SN74ALS870DWR/page-1", "SN74ALS870DWR")</f>
        <v>SN74ALS870DWR</v>
      </c>
      <c r="B18058" s="3" t="str">
        <f>HYPERLINK("https://www.773grp.com/manufacturer/texas-instruments?pageNo=307", "Texas Instruments")</f>
        <v>Texas Instruments</v>
      </c>
      <c r="C18058" s="5">
        <v>3000</v>
      </c>
      <c r="D18058" s="6">
        <v>29.14</v>
      </c>
      <c r="E18058" t="s">
        <v>64</v>
      </c>
    </row>
    <row r="18059" spans="1:5" x14ac:dyDescent="0.25">
      <c r="A18059" t="str">
        <f>HYPERLINK("https://www.773grp.com/globalSearch/BQ4010LYMA-70N/page-1", "BQ4010LYMA-70N")</f>
        <v>BQ4010LYMA-70N</v>
      </c>
      <c r="B18059" s="3" t="s">
        <v>90</v>
      </c>
      <c r="C18059" s="5">
        <v>182</v>
      </c>
      <c r="D18059" s="6">
        <v>34.200000000000003</v>
      </c>
      <c r="E18059" t="s">
        <v>64</v>
      </c>
    </row>
    <row r="18060" spans="1:5" x14ac:dyDescent="0.25">
      <c r="A18060" t="str">
        <f>HYPERLINK("https://www.773grp.com/globalSearch/BQ4010MA-150/page-1", "BQ4010MA-150")</f>
        <v>BQ4010MA-150</v>
      </c>
      <c r="B18060" s="3" t="s">
        <v>90</v>
      </c>
      <c r="C18060" s="5">
        <v>241</v>
      </c>
      <c r="D18060" s="6">
        <v>34.200000000000003</v>
      </c>
      <c r="E18060" t="s">
        <v>64</v>
      </c>
    </row>
    <row r="18061" spans="1:5" x14ac:dyDescent="0.25">
      <c r="A18061" t="str">
        <f>HYPERLINK("https://www.773grp.com/globalSearch/BQ4010MA-200/page-1", "BQ4010MA-200")</f>
        <v>BQ4010MA-200</v>
      </c>
      <c r="B18061" s="3" t="s">
        <v>90</v>
      </c>
      <c r="C18061" s="5">
        <v>1744</v>
      </c>
      <c r="D18061" s="6">
        <v>34.200000000000003</v>
      </c>
      <c r="E18061" t="s">
        <v>64</v>
      </c>
    </row>
    <row r="18062" spans="1:5" x14ac:dyDescent="0.25">
      <c r="A18062" t="str">
        <f>HYPERLINK("https://www.773grp.com/globalSearch/BQ4010MA-200/page-1", "BQ4010MA-200")</f>
        <v>BQ4010MA-200</v>
      </c>
      <c r="B18062" s="3" t="s">
        <v>90</v>
      </c>
      <c r="C18062" s="5">
        <v>60</v>
      </c>
      <c r="D18062" s="6">
        <v>34.200000000000003</v>
      </c>
      <c r="E18062" t="s">
        <v>64</v>
      </c>
    </row>
    <row r="18063" spans="1:5" x14ac:dyDescent="0.25">
      <c r="A18063" t="str">
        <f>HYPERLINK("https://www.773grp.com/globalSearch/BQ4010MA-70/page-1", "BQ4010MA-70")</f>
        <v>BQ4010MA-70</v>
      </c>
      <c r="B18063" s="3" t="s">
        <v>90</v>
      </c>
      <c r="C18063" s="5">
        <v>3187</v>
      </c>
      <c r="D18063" s="6">
        <v>34.200000000000003</v>
      </c>
      <c r="E18063" t="s">
        <v>64</v>
      </c>
    </row>
    <row r="18064" spans="1:5" x14ac:dyDescent="0.25">
      <c r="A18064" t="str">
        <f>HYPERLINK("https://www.773grp.com/globalSearch/BQ4010MA-85/page-1", "BQ4010MA-85")</f>
        <v>BQ4010MA-85</v>
      </c>
      <c r="B18064" s="3" t="s">
        <v>90</v>
      </c>
      <c r="C18064" s="5">
        <v>238</v>
      </c>
      <c r="D18064" s="6">
        <v>34.200000000000003</v>
      </c>
      <c r="E18064" t="s">
        <v>64</v>
      </c>
    </row>
    <row r="18065" spans="1:5" x14ac:dyDescent="0.25">
      <c r="A18065" t="str">
        <f>HYPERLINK("https://www.773grp.com/globalSearch/BQ4010YMA-150/page-1", "BQ4010YMA-150")</f>
        <v>BQ4010YMA-150</v>
      </c>
      <c r="B18065" s="3" t="s">
        <v>90</v>
      </c>
      <c r="C18065" s="5">
        <v>10</v>
      </c>
      <c r="D18065" s="6">
        <v>34.200000000000003</v>
      </c>
      <c r="E18065" t="s">
        <v>64</v>
      </c>
    </row>
    <row r="18066" spans="1:5" x14ac:dyDescent="0.25">
      <c r="A18066" t="str">
        <f>HYPERLINK("https://www.773grp.com/globalSearch/BQ4010YMA-150N/page-1", "BQ4010YMA-150N")</f>
        <v>BQ4010YMA-150N</v>
      </c>
      <c r="B18066" s="3" t="s">
        <v>90</v>
      </c>
      <c r="C18066" s="5">
        <v>10</v>
      </c>
      <c r="D18066" s="6">
        <v>34.200000000000003</v>
      </c>
      <c r="E18066" t="s">
        <v>64</v>
      </c>
    </row>
    <row r="18067" spans="1:5" x14ac:dyDescent="0.25">
      <c r="A18067" t="str">
        <f>HYPERLINK("https://www.773grp.com/globalSearch/BQ4010YMA-200/page-1", "BQ4010YMA-200")</f>
        <v>BQ4010YMA-200</v>
      </c>
      <c r="B18067" s="3" t="s">
        <v>90</v>
      </c>
      <c r="C18067" s="5">
        <v>2309</v>
      </c>
      <c r="D18067" s="6">
        <v>34.200000000000003</v>
      </c>
      <c r="E18067" t="s">
        <v>64</v>
      </c>
    </row>
    <row r="18068" spans="1:5" x14ac:dyDescent="0.25">
      <c r="A18068" t="str">
        <f>HYPERLINK("https://www.773grp.com/globalSearch/BQ4010YMA-70N/page-1", "BQ4010YMA-70N")</f>
        <v>BQ4010YMA-70N</v>
      </c>
      <c r="B18068" s="3" t="s">
        <v>90</v>
      </c>
      <c r="C18068" s="5">
        <v>2459</v>
      </c>
      <c r="D18068" s="6">
        <v>34.200000000000003</v>
      </c>
      <c r="E18068" t="s">
        <v>64</v>
      </c>
    </row>
    <row r="18069" spans="1:5" x14ac:dyDescent="0.25">
      <c r="A18069" t="str">
        <f>HYPERLINK("https://www.773grp.com/globalSearch/BQ4010YMA-85/page-1", "BQ4010YMA-85")</f>
        <v>BQ4010YMA-85</v>
      </c>
      <c r="B18069" s="3" t="s">
        <v>90</v>
      </c>
      <c r="C18069" s="5">
        <v>398</v>
      </c>
      <c r="D18069" s="6">
        <v>34.200000000000003</v>
      </c>
      <c r="E18069" t="s">
        <v>64</v>
      </c>
    </row>
    <row r="18070" spans="1:5" x14ac:dyDescent="0.25">
      <c r="A18070" t="str">
        <f>HYPERLINK("https://www.773grp.com/globalSearch/BQ4010YMA-85N/page-1", "BQ4010YMA-85N")</f>
        <v>BQ4010YMA-85N</v>
      </c>
      <c r="B18070" s="3" t="s">
        <v>90</v>
      </c>
      <c r="C18070" s="5">
        <v>621</v>
      </c>
      <c r="D18070" s="6">
        <v>34.200000000000003</v>
      </c>
      <c r="E18070" t="s">
        <v>64</v>
      </c>
    </row>
    <row r="18071" spans="1:5" x14ac:dyDescent="0.25">
      <c r="A18071" t="str">
        <f>HYPERLINK("https://www.773grp.com/globalSearch/BQ4011LYMA-70N/page-1", "BQ4011LYMA-70N")</f>
        <v>BQ4011LYMA-70N</v>
      </c>
      <c r="B18071" s="3" t="s">
        <v>90</v>
      </c>
      <c r="C18071" s="5">
        <v>87</v>
      </c>
      <c r="D18071" s="6">
        <v>38.51</v>
      </c>
      <c r="E18071" t="s">
        <v>64</v>
      </c>
    </row>
    <row r="18072" spans="1:5" x14ac:dyDescent="0.25">
      <c r="A18072" t="str">
        <f>HYPERLINK("https://www.773grp.com/globalSearch/BQ4011MA-150/page-1", "BQ4011MA-150")</f>
        <v>BQ4011MA-150</v>
      </c>
      <c r="B18072" s="3" t="s">
        <v>90</v>
      </c>
      <c r="C18072" s="5">
        <v>763</v>
      </c>
      <c r="D18072" s="6">
        <v>38.51</v>
      </c>
      <c r="E18072" t="s">
        <v>64</v>
      </c>
    </row>
    <row r="18073" spans="1:5" x14ac:dyDescent="0.25">
      <c r="A18073" t="str">
        <f>HYPERLINK("https://www.773grp.com/globalSearch/BQ4011YMA-100/page-1", "BQ4011YMA-100")</f>
        <v>BQ4011YMA-100</v>
      </c>
      <c r="B18073" s="3" t="s">
        <v>90</v>
      </c>
      <c r="C18073" s="5">
        <v>54</v>
      </c>
      <c r="D18073" s="6">
        <v>38.51</v>
      </c>
      <c r="E18073" t="s">
        <v>64</v>
      </c>
    </row>
    <row r="18074" spans="1:5" x14ac:dyDescent="0.25">
      <c r="A18074" t="str">
        <f>HYPERLINK("https://www.773grp.com/globalSearch/BQ4011YMA-150/page-1", "BQ4011YMA-150")</f>
        <v>BQ4011YMA-150</v>
      </c>
      <c r="B18074" s="3" t="s">
        <v>90</v>
      </c>
      <c r="C18074" s="5">
        <v>3143</v>
      </c>
      <c r="D18074" s="6">
        <v>38.51</v>
      </c>
      <c r="E18074" t="s">
        <v>64</v>
      </c>
    </row>
    <row r="18075" spans="1:5" x14ac:dyDescent="0.25">
      <c r="A18075" t="str">
        <f>HYPERLINK("https://www.773grp.com/globalSearch/BQ4011YMA-200/page-1", "BQ4011YMA-200")</f>
        <v>BQ4011YMA-200</v>
      </c>
      <c r="B18075" s="3" t="s">
        <v>90</v>
      </c>
      <c r="C18075" s="5">
        <v>952</v>
      </c>
      <c r="D18075" s="6">
        <v>38.51</v>
      </c>
      <c r="E18075" t="s">
        <v>64</v>
      </c>
    </row>
    <row r="18076" spans="1:5" x14ac:dyDescent="0.25">
      <c r="A18076" t="str">
        <f>HYPERLINK("https://www.773grp.com/globalSearch/BQ4011YMA-70/page-1", "BQ4011YMA-70")</f>
        <v>BQ4011YMA-70</v>
      </c>
      <c r="B18076" s="3" t="s">
        <v>90</v>
      </c>
      <c r="C18076" s="5">
        <v>1515</v>
      </c>
      <c r="D18076" s="6">
        <v>38.51</v>
      </c>
      <c r="E18076" t="s">
        <v>64</v>
      </c>
    </row>
    <row r="18077" spans="1:5" x14ac:dyDescent="0.25">
      <c r="A18077" t="str">
        <f>HYPERLINK("https://www.773grp.com/globalSearch/SNJ54LS670FK/page-1", "SNJ54LS670FK")</f>
        <v>SNJ54LS670FK</v>
      </c>
      <c r="B18077" s="3" t="s">
        <v>90</v>
      </c>
      <c r="C18077" s="5">
        <v>25</v>
      </c>
      <c r="D18077" s="6">
        <v>43.68</v>
      </c>
      <c r="E18077" t="s">
        <v>64</v>
      </c>
    </row>
    <row r="18078" spans="1:5" x14ac:dyDescent="0.25">
      <c r="A18078" t="str">
        <f>HYPERLINK("https://www.773grp.com/globalSearch/7704201FA/page-1", "7704201FA")</f>
        <v>7704201FA</v>
      </c>
      <c r="B18078" s="3" t="s">
        <v>90</v>
      </c>
      <c r="C18078" s="5">
        <v>81</v>
      </c>
      <c r="D18078" s="6">
        <v>49.56</v>
      </c>
      <c r="E18078" t="s">
        <v>64</v>
      </c>
    </row>
    <row r="18079" spans="1:5" x14ac:dyDescent="0.25">
      <c r="A18079" t="str">
        <f>HYPERLINK("https://www.773grp.com/globalSearch/BQ4014YMB-120/page-1", "BQ4014YMB-120")</f>
        <v>BQ4014YMB-120</v>
      </c>
      <c r="B18079" s="3" t="s">
        <v>90</v>
      </c>
      <c r="C18079" s="5">
        <v>1484</v>
      </c>
      <c r="D18079" s="6">
        <v>56.25</v>
      </c>
      <c r="E18079" t="s">
        <v>64</v>
      </c>
    </row>
    <row r="18080" spans="1:5" x14ac:dyDescent="0.25">
      <c r="A18080" t="str">
        <f>HYPERLINK("https://www.773grp.com/globalSearch/BQ4013LYMA-70N/page-1", "BQ4013LYMA-70N")</f>
        <v>BQ4013LYMA-70N</v>
      </c>
      <c r="B18080" s="3" t="s">
        <v>90</v>
      </c>
      <c r="C18080" s="5">
        <v>514</v>
      </c>
      <c r="D18080" s="6">
        <v>57.38</v>
      </c>
      <c r="E18080" t="s">
        <v>64</v>
      </c>
    </row>
    <row r="18081" spans="1:5" x14ac:dyDescent="0.25">
      <c r="A18081" t="str">
        <f>HYPERLINK("https://www.773grp.com/globalSearch/BQ4013MA-120/page-1", "BQ4013MA-120")</f>
        <v>BQ4013MA-120</v>
      </c>
      <c r="B18081" s="3" t="s">
        <v>90</v>
      </c>
      <c r="C18081" s="5">
        <v>357</v>
      </c>
      <c r="D18081" s="6">
        <v>57.38</v>
      </c>
      <c r="E18081" t="s">
        <v>64</v>
      </c>
    </row>
    <row r="18082" spans="1:5" x14ac:dyDescent="0.25">
      <c r="A18082" t="str">
        <f>HYPERLINK("https://www.773grp.com/globalSearch/BQ4013MA-85/page-1", "BQ4013MA-85")</f>
        <v>BQ4013MA-85</v>
      </c>
      <c r="B18082" s="3" t="s">
        <v>90</v>
      </c>
      <c r="C18082" s="5">
        <v>713</v>
      </c>
      <c r="D18082" s="6">
        <v>57.38</v>
      </c>
      <c r="E18082" t="s">
        <v>64</v>
      </c>
    </row>
    <row r="18083" spans="1:5" x14ac:dyDescent="0.25">
      <c r="A18083" t="str">
        <f>HYPERLINK("https://www.773grp.com/globalSearch/BQ4013MA-85/page-1", "BQ4013MA-85")</f>
        <v>BQ4013MA-85</v>
      </c>
      <c r="B18083" s="3" t="s">
        <v>90</v>
      </c>
      <c r="C18083" s="5">
        <v>101</v>
      </c>
      <c r="D18083" s="6">
        <v>57.38</v>
      </c>
      <c r="E18083" t="s">
        <v>64</v>
      </c>
    </row>
    <row r="18084" spans="1:5" x14ac:dyDescent="0.25">
      <c r="A18084" t="str">
        <f>HYPERLINK("https://www.773grp.com/globalSearch/BQ4013YMA-120/page-1", "BQ4013YMA-120")</f>
        <v>BQ4013YMA-120</v>
      </c>
      <c r="B18084" s="3" t="s">
        <v>90</v>
      </c>
      <c r="C18084" s="5">
        <v>13</v>
      </c>
      <c r="D18084" s="6">
        <v>57.38</v>
      </c>
      <c r="E18084" t="s">
        <v>64</v>
      </c>
    </row>
    <row r="18085" spans="1:5" x14ac:dyDescent="0.25">
      <c r="A18085" t="str">
        <f>HYPERLINK("https://www.773grp.com/globalSearch/BQ4013YMA-85/page-1", "BQ4013YMA-85")</f>
        <v>BQ4013YMA-85</v>
      </c>
      <c r="B18085" s="3" t="s">
        <v>90</v>
      </c>
      <c r="C18085" s="5">
        <v>24</v>
      </c>
      <c r="D18085" s="6">
        <v>57.38</v>
      </c>
      <c r="E18085" t="s">
        <v>64</v>
      </c>
    </row>
    <row r="18086" spans="1:5" x14ac:dyDescent="0.25">
      <c r="A18086" t="str">
        <f>HYPERLINK("https://www.773grp.com/globalSearch/BQ4013YMA-85N/page-1", "BQ4013YMA-85N")</f>
        <v>BQ4013YMA-85N</v>
      </c>
      <c r="B18086" s="3" t="s">
        <v>90</v>
      </c>
      <c r="C18086" s="5">
        <v>135</v>
      </c>
      <c r="D18086" s="6">
        <v>57.38</v>
      </c>
      <c r="E18086" t="s">
        <v>64</v>
      </c>
    </row>
    <row r="18087" spans="1:5" x14ac:dyDescent="0.25">
      <c r="A18087" t="str">
        <f>HYPERLINK("https://www.773grp.com/globalSearch/SN74ACT2152A-20FN/page-1", "SN74ACT2152A-20FN")</f>
        <v>SN74ACT2152A-20FN</v>
      </c>
      <c r="B18087" s="3" t="s">
        <v>90</v>
      </c>
      <c r="C18087" s="5">
        <v>973</v>
      </c>
      <c r="D18087" s="6">
        <v>59.06</v>
      </c>
      <c r="E18087" t="s">
        <v>64</v>
      </c>
    </row>
    <row r="18088" spans="1:5" x14ac:dyDescent="0.25">
      <c r="A18088" t="str">
        <f>HYPERLINK("https://www.773grp.com/globalSearch/BQ4015MA-85/page-1", "BQ4015MA-85")</f>
        <v>BQ4015MA-85</v>
      </c>
      <c r="B18088" s="3" t="s">
        <v>90</v>
      </c>
      <c r="C18088" s="5">
        <v>47</v>
      </c>
      <c r="D18088" s="6">
        <v>61.88</v>
      </c>
      <c r="E18088" t="s">
        <v>64</v>
      </c>
    </row>
    <row r="18089" spans="1:5" x14ac:dyDescent="0.25">
      <c r="A18089" t="str">
        <f>HYPERLINK("https://www.773grp.com/globalSearch/BQ4014MB-120/page-1", "BQ4014MB-120")</f>
        <v>BQ4014MB-120</v>
      </c>
      <c r="B18089" s="3" t="s">
        <v>90</v>
      </c>
      <c r="C18089" s="5">
        <v>5713</v>
      </c>
      <c r="D18089" s="6">
        <v>62.15</v>
      </c>
      <c r="E18089" t="s">
        <v>64</v>
      </c>
    </row>
    <row r="18090" spans="1:5" x14ac:dyDescent="0.25">
      <c r="A18090" t="str">
        <f>HYPERLINK("https://www.773grp.com/globalSearch/BQ4014YMB-85/page-1", "BQ4014YMB-85")</f>
        <v>BQ4014YMB-85</v>
      </c>
      <c r="B18090" s="3" t="s">
        <v>90</v>
      </c>
      <c r="C18090" s="5">
        <v>1483</v>
      </c>
      <c r="D18090" s="6">
        <v>62.15</v>
      </c>
      <c r="E18090" t="s">
        <v>64</v>
      </c>
    </row>
    <row r="18091" spans="1:5" x14ac:dyDescent="0.25">
      <c r="A18091" t="str">
        <f>HYPERLINK("https://www.773grp.com/globalSearch/SN74ACT2150A-20NT/page-1", "SN74ACT2150A-20NT")</f>
        <v>SN74ACT2150A-20NT</v>
      </c>
      <c r="B18091" s="3" t="s">
        <v>90</v>
      </c>
      <c r="C18091" s="5">
        <v>2248</v>
      </c>
      <c r="D18091" s="6">
        <v>65.760000000000005</v>
      </c>
      <c r="E18091" t="s">
        <v>64</v>
      </c>
    </row>
    <row r="18092" spans="1:5" x14ac:dyDescent="0.25">
      <c r="A18092" t="str">
        <f>HYPERLINK("https://www.773grp.com/globalSearch/BQ4014MB-85/page-1", "BQ4014MB-85")</f>
        <v>BQ4014MB-85</v>
      </c>
      <c r="B18092" s="3" t="s">
        <v>90</v>
      </c>
      <c r="C18092" s="5">
        <v>967</v>
      </c>
      <c r="D18092" s="6">
        <v>73.13</v>
      </c>
      <c r="E18092" t="s">
        <v>64</v>
      </c>
    </row>
    <row r="18093" spans="1:5" x14ac:dyDescent="0.25">
      <c r="A18093" t="str">
        <f>HYPERLINK("https://www.773grp.com/globalSearch/SN74ALS870NT/page-1", "SN74ALS870NT")</f>
        <v>SN74ALS870NT</v>
      </c>
      <c r="B18093" s="3" t="s">
        <v>90</v>
      </c>
      <c r="C18093" s="5">
        <v>5487</v>
      </c>
      <c r="D18093" s="6">
        <v>82.86</v>
      </c>
      <c r="E18093" t="s">
        <v>64</v>
      </c>
    </row>
    <row r="18094" spans="1:5" x14ac:dyDescent="0.25">
      <c r="A18094" t="str">
        <f>HYPERLINK("https://www.773grp.com/globalSearch/SN74ACT2160-17FM/page-1", "SN74ACT2160-17FM")</f>
        <v>SN74ACT2160-17FM</v>
      </c>
      <c r="B18094" s="3" t="s">
        <v>90</v>
      </c>
      <c r="C18094" s="5">
        <v>49</v>
      </c>
      <c r="D18094" s="6">
        <v>84.38</v>
      </c>
      <c r="E18094" t="s">
        <v>64</v>
      </c>
    </row>
    <row r="18095" spans="1:5" x14ac:dyDescent="0.25">
      <c r="A18095" t="str">
        <f>HYPERLINK("https://www.773grp.com/globalSearch/BQ4016MC-70/page-1", "BQ4016MC-70")</f>
        <v>BQ4016MC-70</v>
      </c>
      <c r="B18095" s="3" t="s">
        <v>90</v>
      </c>
      <c r="C18095" s="5">
        <v>850</v>
      </c>
      <c r="D18095" s="6">
        <v>86.65</v>
      </c>
      <c r="E18095" t="s">
        <v>64</v>
      </c>
    </row>
    <row r="18096" spans="1:5" x14ac:dyDescent="0.25">
      <c r="A18096" t="str">
        <f>HYPERLINK("https://www.773grp.com/globalSearch/BQ4015YMA-70/page-1", "BQ4015YMA-70")</f>
        <v>BQ4015YMA-70</v>
      </c>
      <c r="B18096" s="3" t="s">
        <v>90</v>
      </c>
      <c r="C18096" s="5">
        <v>2044</v>
      </c>
      <c r="D18096" s="6">
        <v>112.73</v>
      </c>
      <c r="E18096" t="s">
        <v>64</v>
      </c>
    </row>
    <row r="18097" spans="1:5" x14ac:dyDescent="0.25">
      <c r="A18097" t="str">
        <f>HYPERLINK("https://www.773grp.com/globalSearch/BQ4015YMA-85/page-1", "BQ4015YMA-85")</f>
        <v>BQ4015YMA-85</v>
      </c>
      <c r="B18097" s="3" t="s">
        <v>90</v>
      </c>
      <c r="C18097" s="5">
        <v>227</v>
      </c>
      <c r="D18097" s="6">
        <v>112.73</v>
      </c>
      <c r="E18097" t="s">
        <v>64</v>
      </c>
    </row>
    <row r="18098" spans="1:5" x14ac:dyDescent="0.25">
      <c r="A18098" t="str">
        <f>HYPERLINK("https://www.773grp.com/globalSearch/BQ4015YMA-85/page-1", "BQ4015YMA-85")</f>
        <v>BQ4015YMA-85</v>
      </c>
      <c r="B18098" s="3" t="s">
        <v>90</v>
      </c>
      <c r="C18098" s="5">
        <v>59</v>
      </c>
      <c r="D18098" s="6">
        <v>112.73</v>
      </c>
      <c r="E18098" t="s">
        <v>64</v>
      </c>
    </row>
    <row r="18099" spans="1:5" x14ac:dyDescent="0.25">
      <c r="A18099" t="str">
        <f>HYPERLINK("https://www.773grp.com/globalSearch/BQ4015YMA-85/page-1", "BQ4015YMA-85")</f>
        <v>BQ4015YMA-85</v>
      </c>
      <c r="B18099" s="3" t="s">
        <v>90</v>
      </c>
      <c r="C18099" s="5">
        <v>3523</v>
      </c>
      <c r="D18099" s="6">
        <v>112.73</v>
      </c>
      <c r="E18099" t="s">
        <v>64</v>
      </c>
    </row>
    <row r="18100" spans="1:5" x14ac:dyDescent="0.25">
      <c r="A18100" t="str">
        <f>HYPERLINK("https://www.773grp.com/globalSearch/SMJ61CD16-45JDM/page-1", "SMJ61CD16-45JDM")</f>
        <v>SMJ61CD16-45JDM</v>
      </c>
      <c r="B18100" s="3" t="s">
        <v>90</v>
      </c>
      <c r="C18100" s="5">
        <v>50</v>
      </c>
      <c r="D18100" s="6">
        <v>113.83</v>
      </c>
      <c r="E18100" t="s">
        <v>64</v>
      </c>
    </row>
    <row r="18101" spans="1:5" x14ac:dyDescent="0.25">
      <c r="A18101" t="str">
        <f>HYPERLINK("https://www.773grp.com/globalSearch/SMJ5C1008-25JDCM/page-1", "SMJ5C1008-25JDCM")</f>
        <v>SMJ5C1008-25JDCM</v>
      </c>
      <c r="B18101" s="3" t="str">
        <f>HYPERLINK("https://www.773grp.com/manufacturer/texas-instruments?pageNo=298", "Texas Instruments")</f>
        <v>Texas Instruments</v>
      </c>
      <c r="C18101" s="5">
        <v>168</v>
      </c>
      <c r="D18101" s="6">
        <v>171.84</v>
      </c>
      <c r="E18101" t="s">
        <v>64</v>
      </c>
    </row>
    <row r="18102" spans="1:5" x14ac:dyDescent="0.25">
      <c r="A18102" t="str">
        <f>HYPERLINK("https://www.773grp.com/globalSearch/BQ4017YMC-70/page-1", "BQ4017YMC-70")</f>
        <v>BQ4017YMC-70</v>
      </c>
      <c r="B18102" s="3" t="str">
        <f>HYPERLINK("https://www.773grp.com/manufacturer/texas-instruments?pageNo=726", "Texas Instruments")</f>
        <v>Texas Instruments</v>
      </c>
      <c r="C18102" s="5">
        <v>420</v>
      </c>
      <c r="D18102" s="6">
        <v>262.95999999999998</v>
      </c>
      <c r="E18102" t="s">
        <v>64</v>
      </c>
    </row>
    <row r="18103" spans="1:5" x14ac:dyDescent="0.25">
      <c r="A18103" t="str">
        <f>HYPERLINK("https://www.773grp.com/globalSearch/BQ4017YMC-70/page-1", "BQ4017YMC-70")</f>
        <v>BQ4017YMC-70</v>
      </c>
      <c r="B18103" s="3" t="str">
        <f>HYPERLINK("https://www.773grp.com/manufacturer/texas-instruments?pageNo=727", "Texas Instruments")</f>
        <v>Texas Instruments</v>
      </c>
      <c r="C18103" s="5">
        <v>10</v>
      </c>
      <c r="D18103" s="6">
        <v>262.95999999999998</v>
      </c>
      <c r="E18103" t="s">
        <v>64</v>
      </c>
    </row>
    <row r="18104" spans="1:5" x14ac:dyDescent="0.25">
      <c r="A18104" t="str">
        <f>HYPERLINK("https://www.773grp.com/globalSearch/TMP105YZCR/page-1", "TMP105YZCR")</f>
        <v>TMP105YZCR</v>
      </c>
      <c r="B18104" s="3" t="str">
        <f>HYPERLINK("https://www.773grp.com/manufacturer/texas-instruments?pageNo=121", "Texas Instruments")</f>
        <v>Texas Instruments</v>
      </c>
      <c r="C18104" s="5">
        <v>366000</v>
      </c>
      <c r="D18104" s="6">
        <v>3.95</v>
      </c>
      <c r="E18104" t="s">
        <v>10</v>
      </c>
    </row>
    <row r="18105" spans="1:5" x14ac:dyDescent="0.25">
      <c r="A18105" t="str">
        <f>HYPERLINK("https://www.773grp.com/globalSearch/TMP141AIDBVT/page-1", "TMP141AIDBVT")</f>
        <v>TMP141AIDBVT</v>
      </c>
      <c r="B18105" s="3" t="str">
        <f>HYPERLINK("https://www.773grp.com/manufacturer/texas-instruments?pageNo=122", "Texas Instruments")</f>
        <v>Texas Instruments</v>
      </c>
      <c r="C18105" s="5">
        <v>8816</v>
      </c>
      <c r="D18105" s="6">
        <v>3.95</v>
      </c>
      <c r="E18105" t="s">
        <v>10</v>
      </c>
    </row>
    <row r="18106" spans="1:5" x14ac:dyDescent="0.25">
      <c r="A18106" t="str">
        <f>HYPERLINK("https://www.773grp.com/globalSearch/TMP141AIDGKT/page-1", "TMP141AIDGKT")</f>
        <v>TMP141AIDGKT</v>
      </c>
      <c r="B18106" s="3" t="str">
        <f>HYPERLINK("https://www.773grp.com/manufacturer/texas-instruments?pageNo=123", "Texas Instruments")</f>
        <v>Texas Instruments</v>
      </c>
      <c r="C18106" s="5">
        <v>28250</v>
      </c>
      <c r="D18106" s="6">
        <v>3.95</v>
      </c>
      <c r="E18106" t="s">
        <v>10</v>
      </c>
    </row>
    <row r="18107" spans="1:5" x14ac:dyDescent="0.25">
      <c r="A18107" t="str">
        <f>HYPERLINK("https://www.773grp.com/globalSearch/TMP175AIDGKR/page-1", "TMP175AIDGKR")</f>
        <v>TMP175AIDGKR</v>
      </c>
      <c r="B18107" s="3" t="str">
        <f>HYPERLINK("https://www.773grp.com/manufacturer/texas-instruments?pageNo=124", "Texas Instruments")</f>
        <v>Texas Instruments</v>
      </c>
      <c r="C18107" s="5">
        <v>67500</v>
      </c>
      <c r="D18107" s="6">
        <v>3.95</v>
      </c>
      <c r="E18107" t="s">
        <v>10</v>
      </c>
    </row>
    <row r="18108" spans="1:5" x14ac:dyDescent="0.25">
      <c r="A18108" t="str">
        <f>HYPERLINK("https://www.773grp.com/globalSearch/TMP175AIDR/page-1", "TMP175AIDR")</f>
        <v>TMP175AIDR</v>
      </c>
      <c r="B18108" s="3" t="str">
        <f>HYPERLINK("https://www.773grp.com/manufacturer/texas-instruments?pageNo=125", "Texas Instruments")</f>
        <v>Texas Instruments</v>
      </c>
      <c r="C18108" s="5">
        <v>3498</v>
      </c>
      <c r="D18108" s="6">
        <v>3.95</v>
      </c>
      <c r="E18108" t="s">
        <v>10</v>
      </c>
    </row>
    <row r="18109" spans="1:5" x14ac:dyDescent="0.25">
      <c r="A18109" t="str">
        <f>HYPERLINK("https://www.773grp.com/globalSearch/TMP422AIDCNT/page-1", "TMP422AIDCNT")</f>
        <v>TMP422AIDCNT</v>
      </c>
      <c r="B18109" s="3" t="str">
        <f>HYPERLINK("https://www.773grp.com/manufacturer/texas-instruments?pageNo=126", "Texas Instruments")</f>
        <v>Texas Instruments</v>
      </c>
      <c r="C18109" s="5">
        <v>657</v>
      </c>
      <c r="D18109" s="6">
        <v>3.95</v>
      </c>
      <c r="E18109" t="s">
        <v>10</v>
      </c>
    </row>
    <row r="18110" spans="1:5" x14ac:dyDescent="0.25">
      <c r="A18110" t="str">
        <f>HYPERLINK("https://www.773grp.com/globalSearch/TMP442ADCNT/page-1", "TMP442ADCNT")</f>
        <v>TMP442ADCNT</v>
      </c>
      <c r="B18110" s="3" t="str">
        <f>HYPERLINK("https://www.773grp.com/manufacturer/texas-instruments?pageNo=127", "Texas Instruments")</f>
        <v>Texas Instruments</v>
      </c>
      <c r="C18110" s="5">
        <v>3360</v>
      </c>
      <c r="D18110" s="6">
        <v>3.95</v>
      </c>
      <c r="E18110" t="s">
        <v>10</v>
      </c>
    </row>
    <row r="18111" spans="1:5" x14ac:dyDescent="0.25">
      <c r="A18111" t="str">
        <f>HYPERLINK("https://www.773grp.com/globalSearch/TMP442BDCNT/page-1", "TMP442BDCNT")</f>
        <v>TMP442BDCNT</v>
      </c>
      <c r="B18111" s="3" t="str">
        <f>HYPERLINK("https://www.773grp.com/manufacturer/texas-instruments?pageNo=128", "Texas Instruments")</f>
        <v>Texas Instruments</v>
      </c>
      <c r="C18111" s="5">
        <v>11480</v>
      </c>
      <c r="D18111" s="6">
        <v>3.95</v>
      </c>
      <c r="E18111" t="s">
        <v>10</v>
      </c>
    </row>
    <row r="18112" spans="1:5" x14ac:dyDescent="0.25">
      <c r="A18112" t="str">
        <f>HYPERLINK("https://www.773grp.com/globalSearch/TMP101NA-3K/page-1", "TMP101NA-3K")</f>
        <v>TMP101NA-3K</v>
      </c>
      <c r="B18112" s="3" t="str">
        <f>HYPERLINK("https://www.773grp.com/manufacturer/texas-instruments?pageNo=129", "Texas Instruments")</f>
        <v>Texas Instruments</v>
      </c>
      <c r="C18112" s="5">
        <v>9000</v>
      </c>
      <c r="D18112" s="6">
        <v>4.2300000000000004</v>
      </c>
      <c r="E18112" t="s">
        <v>10</v>
      </c>
    </row>
    <row r="18113" spans="1:5" x14ac:dyDescent="0.25">
      <c r="A18113" t="str">
        <f>HYPERLINK("https://www.773grp.com/globalSearch/TMP106YZCR/page-1", "TMP106YZCR")</f>
        <v>TMP106YZCR</v>
      </c>
      <c r="B18113" s="3" t="str">
        <f>HYPERLINK("https://www.773grp.com/manufacturer/texas-instruments?pageNo=130", "Texas Instruments")</f>
        <v>Texas Instruments</v>
      </c>
      <c r="C18113" s="5">
        <v>1404000</v>
      </c>
      <c r="D18113" s="6">
        <v>4.2300000000000004</v>
      </c>
      <c r="E18113" t="s">
        <v>10</v>
      </c>
    </row>
    <row r="18114" spans="1:5" x14ac:dyDescent="0.25">
      <c r="A18114" t="str">
        <f>HYPERLINK("https://www.773grp.com/globalSearch/TMP400AIDBQR/page-1", "TMP400AIDBQR")</f>
        <v>TMP400AIDBQR</v>
      </c>
      <c r="B18114" s="3" t="s">
        <v>90</v>
      </c>
      <c r="C18114" s="5">
        <v>45000</v>
      </c>
      <c r="D18114" s="6">
        <v>4.49</v>
      </c>
      <c r="E18114" t="s">
        <v>10</v>
      </c>
    </row>
    <row r="18115" spans="1:5" x14ac:dyDescent="0.25">
      <c r="A18115" t="str">
        <f>HYPERLINK("https://www.773grp.com/globalSearch/TMP401AIDGKR/page-1", "TMP401AIDGKR")</f>
        <v>TMP401AIDGKR</v>
      </c>
      <c r="B18115" s="3" t="s">
        <v>90</v>
      </c>
      <c r="C18115" s="5">
        <v>305000</v>
      </c>
      <c r="D18115" s="6">
        <v>4.49</v>
      </c>
      <c r="E18115" t="s">
        <v>10</v>
      </c>
    </row>
    <row r="18116" spans="1:5" x14ac:dyDescent="0.25">
      <c r="A18116" t="str">
        <f>HYPERLINK("https://www.773grp.com/globalSearch/TMP175AID/page-1", "TMP175AID")</f>
        <v>TMP175AID</v>
      </c>
      <c r="B18116" s="3" t="s">
        <v>90</v>
      </c>
      <c r="C18116" s="5">
        <v>12017</v>
      </c>
      <c r="D18116" s="6">
        <v>4.74</v>
      </c>
      <c r="E18116" t="s">
        <v>10</v>
      </c>
    </row>
    <row r="18117" spans="1:5" x14ac:dyDescent="0.25">
      <c r="A18117" t="str">
        <f>HYPERLINK("https://www.773grp.com/globalSearch/TMP175AIDGKT/page-1", "TMP175AIDGKT")</f>
        <v>TMP175AIDGKT</v>
      </c>
      <c r="B18117" s="3" t="s">
        <v>90</v>
      </c>
      <c r="C18117" s="5">
        <v>25750</v>
      </c>
      <c r="D18117" s="6">
        <v>4.74</v>
      </c>
      <c r="E18117" t="s">
        <v>10</v>
      </c>
    </row>
    <row r="18118" spans="1:5" x14ac:dyDescent="0.25">
      <c r="A18118" t="str">
        <f>HYPERLINK("https://www.773grp.com/globalSearch/TMP423AIDCNT/page-1", "TMP423AIDCNT")</f>
        <v>TMP423AIDCNT</v>
      </c>
      <c r="B18118" s="3" t="s">
        <v>90</v>
      </c>
      <c r="C18118" s="5">
        <v>1450</v>
      </c>
      <c r="D18118" s="6">
        <v>4.74</v>
      </c>
      <c r="E18118" t="s">
        <v>10</v>
      </c>
    </row>
    <row r="18119" spans="1:5" x14ac:dyDescent="0.25">
      <c r="A18119" t="str">
        <f>HYPERLINK("https://www.773grp.com/globalSearch/TMP101NA-250/page-1", "TMP101NA-250")</f>
        <v>TMP101NA-250</v>
      </c>
      <c r="B18119" s="3" t="str">
        <f>HYPERLINK("https://www.773grp.com/manufacturer/texas-instruments?pageNo=646", "Texas Instruments")</f>
        <v>Texas Instruments</v>
      </c>
      <c r="C18119" s="5">
        <v>3250</v>
      </c>
      <c r="D18119" s="6">
        <v>5.01</v>
      </c>
      <c r="E18119" t="s">
        <v>10</v>
      </c>
    </row>
    <row r="18120" spans="1:5" x14ac:dyDescent="0.25">
      <c r="A18120" t="str">
        <f>HYPERLINK("https://www.773grp.com/globalSearch/TMP106YZCT/page-1", "TMP106YZCT")</f>
        <v>TMP106YZCT</v>
      </c>
      <c r="B18120" s="3" t="str">
        <f>HYPERLINK("https://www.773grp.com/manufacturer/texas-instruments?pageNo=648", "Texas Instruments")</f>
        <v>Texas Instruments</v>
      </c>
      <c r="C18120" s="5">
        <v>11000</v>
      </c>
      <c r="D18120" s="6">
        <v>5.01</v>
      </c>
      <c r="E18120" t="s">
        <v>10</v>
      </c>
    </row>
    <row r="18121" spans="1:5" x14ac:dyDescent="0.25">
      <c r="A18121" t="str">
        <f>HYPERLINK("https://www.773grp.com/globalSearch/TMP275AIDGKR/page-1", "TMP275AIDGKR")</f>
        <v>TMP275AIDGKR</v>
      </c>
      <c r="B18121" s="3" t="str">
        <f>HYPERLINK("https://www.773grp.com/manufacturer/texas-instruments?pageNo=650", "Texas Instruments")</f>
        <v>Texas Instruments</v>
      </c>
      <c r="C18121" s="5">
        <v>2500</v>
      </c>
      <c r="D18121" s="6">
        <v>5.01</v>
      </c>
      <c r="E18121" t="s">
        <v>10</v>
      </c>
    </row>
    <row r="18122" spans="1:5" x14ac:dyDescent="0.25">
      <c r="A18122" t="str">
        <f>HYPERLINK("https://www.773grp.com/globalSearch/TMP122AIDBVR/page-1", "TMP122AIDBVR")</f>
        <v>TMP122AIDBVR</v>
      </c>
      <c r="B18122" s="3" t="s">
        <v>90</v>
      </c>
      <c r="C18122" s="5">
        <v>12000</v>
      </c>
      <c r="D18122" s="6">
        <v>5.21</v>
      </c>
      <c r="E18122" t="s">
        <v>10</v>
      </c>
    </row>
    <row r="18123" spans="1:5" x14ac:dyDescent="0.25">
      <c r="A18123" t="str">
        <f>HYPERLINK("https://www.773grp.com/globalSearch/THMC50DBQR/page-1", "THMC50DBQR")</f>
        <v>THMC50DBQR</v>
      </c>
      <c r="B18123" s="3" t="s">
        <v>90</v>
      </c>
      <c r="C18123" s="5">
        <v>451638</v>
      </c>
      <c r="D18123" s="6">
        <v>5.69</v>
      </c>
      <c r="E18123" t="s">
        <v>10</v>
      </c>
    </row>
    <row r="18124" spans="1:5" x14ac:dyDescent="0.25">
      <c r="A18124" t="str">
        <f>HYPERLINK("https://www.773grp.com/globalSearch/TMP300AIDBVR/page-1", "TMP300AIDBVR")</f>
        <v>TMP300AIDBVR</v>
      </c>
      <c r="B18124" s="3" t="s">
        <v>90</v>
      </c>
      <c r="C18124" s="5">
        <v>99000</v>
      </c>
      <c r="D18124" s="6">
        <v>9.56</v>
      </c>
      <c r="E18124" t="s">
        <v>10</v>
      </c>
    </row>
    <row r="18125" spans="1:5" x14ac:dyDescent="0.25">
      <c r="A18125" t="str">
        <f>HYPERLINK("https://www.773grp.com/globalSearch/TMP300AIDBVT/page-1", "TMP300AIDBVT")</f>
        <v>TMP300AIDBVT</v>
      </c>
      <c r="B18125" s="3" t="s">
        <v>90</v>
      </c>
      <c r="C18125" s="5">
        <v>2000</v>
      </c>
      <c r="D18125" s="6">
        <v>11.1</v>
      </c>
      <c r="E18125" t="s">
        <v>10</v>
      </c>
    </row>
    <row r="18126" spans="1:5" x14ac:dyDescent="0.25">
      <c r="A18126" t="str">
        <f>HYPERLINK("https://www.773grp.com/globalSearch/X96011V14IZ/page-1", "X96011V14IZ")</f>
        <v>X96011V14IZ</v>
      </c>
      <c r="B18126" s="3" t="str">
        <f>HYPERLINK("https://www.773grp.com/manufacturer/amd?pageNo=62", "Xilinx")</f>
        <v>Xilinx</v>
      </c>
      <c r="C18126" s="5">
        <v>11</v>
      </c>
      <c r="D18126" s="6">
        <v>10.6</v>
      </c>
      <c r="E18126" t="s">
        <v>10</v>
      </c>
    </row>
    <row r="18127" spans="1:5" x14ac:dyDescent="0.25">
      <c r="A18127" t="str">
        <f>HYPERLINK("https://www.773grp.com/globalSearch/TL5001ACP/page-1", "TL5001ACP")</f>
        <v>TL5001ACP</v>
      </c>
      <c r="B18127" s="3" t="str">
        <f>HYPERLINK("https://www.773grp.com/manufacturer/texas-instruments?pageNo=25", "Texas Instruments")</f>
        <v>Texas Instruments</v>
      </c>
      <c r="C18127" s="5">
        <v>6649</v>
      </c>
      <c r="D18127" s="6">
        <v>3.95</v>
      </c>
      <c r="E18127" t="s">
        <v>6</v>
      </c>
    </row>
    <row r="18128" spans="1:5" x14ac:dyDescent="0.25">
      <c r="A18128" t="str">
        <f>HYPERLINK("https://www.773grp.com/globalSearch/TL5001AQD/page-1", "TL5001AQD")</f>
        <v>TL5001AQD</v>
      </c>
      <c r="B18128" s="3" t="str">
        <f>HYPERLINK("https://www.773grp.com/manufacturer/texas-instruments?pageNo=26", "Texas Instruments")</f>
        <v>Texas Instruments</v>
      </c>
      <c r="C18128" s="5">
        <v>4350</v>
      </c>
      <c r="D18128" s="6">
        <v>3.95</v>
      </c>
      <c r="E18128" t="s">
        <v>6</v>
      </c>
    </row>
    <row r="18129" spans="1:5" x14ac:dyDescent="0.25">
      <c r="A18129" t="str">
        <f>HYPERLINK("https://www.773grp.com/globalSearch/TPS54328DDAR/page-1", "TPS54328DDAR")</f>
        <v>TPS54328DDAR</v>
      </c>
      <c r="B18129" s="3" t="str">
        <f>HYPERLINK("https://www.773grp.com/manufacturer/texas-instruments?pageNo=158", "Texas Instruments")</f>
        <v>Texas Instruments</v>
      </c>
      <c r="C18129" s="5">
        <v>1665</v>
      </c>
      <c r="D18129" s="6">
        <v>3.95</v>
      </c>
      <c r="E18129" t="s">
        <v>6</v>
      </c>
    </row>
    <row r="18130" spans="1:5" x14ac:dyDescent="0.25">
      <c r="A18130" t="str">
        <f>HYPERLINK("https://www.773grp.com/globalSearch/TPS61028DRCR/page-1", "TPS61028DRCR")</f>
        <v>TPS61028DRCR</v>
      </c>
      <c r="B18130" s="3" t="str">
        <f>HYPERLINK("https://www.773grp.com/manufacturer/texas-instruments?pageNo=159", "Texas Instruments")</f>
        <v>Texas Instruments</v>
      </c>
      <c r="C18130" s="5">
        <v>18000</v>
      </c>
      <c r="D18130" s="6">
        <v>3.95</v>
      </c>
      <c r="E18130" t="s">
        <v>6</v>
      </c>
    </row>
    <row r="18131" spans="1:5" x14ac:dyDescent="0.25">
      <c r="A18131" t="str">
        <f>HYPERLINK("https://www.773grp.com/globalSearch/TPS61028DRCR/page-1", "TPS61028DRCR")</f>
        <v>TPS61028DRCR</v>
      </c>
      <c r="B18131" s="3" t="str">
        <f>HYPERLINK("https://www.773grp.com/manufacturer/texas-instruments?pageNo=160", "Texas Instruments")</f>
        <v>Texas Instruments</v>
      </c>
      <c r="C18131" s="5">
        <v>6000</v>
      </c>
      <c r="D18131" s="6">
        <v>3.95</v>
      </c>
      <c r="E18131" t="s">
        <v>6</v>
      </c>
    </row>
    <row r="18132" spans="1:5" x14ac:dyDescent="0.25">
      <c r="A18132" t="str">
        <f>HYPERLINK("https://www.773grp.com/globalSearch/TPS61045DRBT/page-1", "TPS61045DRBT")</f>
        <v>TPS61045DRBT</v>
      </c>
      <c r="B18132" s="3" t="str">
        <f>HYPERLINK("https://www.773grp.com/manufacturer/texas-instruments?pageNo=162", "Texas Instruments")</f>
        <v>Texas Instruments</v>
      </c>
      <c r="C18132" s="5">
        <v>506</v>
      </c>
      <c r="D18132" s="6">
        <v>3.95</v>
      </c>
      <c r="E18132" t="s">
        <v>6</v>
      </c>
    </row>
    <row r="18133" spans="1:5" x14ac:dyDescent="0.25">
      <c r="A18133" t="str">
        <f>HYPERLINK("https://www.773grp.com/globalSearch/TPS62122DRVT/page-1", "TPS62122DRVT")</f>
        <v>TPS62122DRVT</v>
      </c>
      <c r="B18133" s="3" t="str">
        <f>HYPERLINK("https://www.773grp.com/manufacturer/texas-instruments?pageNo=165", "Texas Instruments")</f>
        <v>Texas Instruments</v>
      </c>
      <c r="C18133" s="5">
        <v>650</v>
      </c>
      <c r="D18133" s="6">
        <v>3.95</v>
      </c>
      <c r="E18133" t="s">
        <v>6</v>
      </c>
    </row>
    <row r="18134" spans="1:5" x14ac:dyDescent="0.25">
      <c r="A18134" t="str">
        <f>HYPERLINK("https://www.773grp.com/globalSearch/TPS62260DDCT/page-1", "TPS62260DDCT")</f>
        <v>TPS62260DDCT</v>
      </c>
      <c r="B18134" s="3" t="str">
        <f>HYPERLINK("https://www.773grp.com/manufacturer/texas-instruments?pageNo=166", "Texas Instruments")</f>
        <v>Texas Instruments</v>
      </c>
      <c r="C18134" s="5">
        <v>500</v>
      </c>
      <c r="D18134" s="6">
        <v>3.95</v>
      </c>
      <c r="E18134" t="s">
        <v>6</v>
      </c>
    </row>
    <row r="18135" spans="1:5" x14ac:dyDescent="0.25">
      <c r="A18135" t="str">
        <f>HYPERLINK("https://www.773grp.com/globalSearch/TPS62261DRVT/page-1", "TPS62261DRVT")</f>
        <v>TPS62261DRVT</v>
      </c>
      <c r="B18135" s="3" t="str">
        <f>HYPERLINK("https://www.773grp.com/manufacturer/texas-instruments?pageNo=168", "Texas Instruments")</f>
        <v>Texas Instruments</v>
      </c>
      <c r="C18135" s="5">
        <v>280</v>
      </c>
      <c r="D18135" s="6">
        <v>3.95</v>
      </c>
      <c r="E18135" t="s">
        <v>6</v>
      </c>
    </row>
    <row r="18136" spans="1:5" x14ac:dyDescent="0.25">
      <c r="A18136" t="str">
        <f>HYPERLINK("https://www.773grp.com/globalSearch/TPS62262DRVT/page-1", "TPS62262DRVT")</f>
        <v>TPS62262DRVT</v>
      </c>
      <c r="B18136" s="3" t="str">
        <f>HYPERLINK("https://www.773grp.com/manufacturer/texas-instruments?pageNo=169", "Texas Instruments")</f>
        <v>Texas Instruments</v>
      </c>
      <c r="C18136" s="5">
        <v>1000</v>
      </c>
      <c r="D18136" s="6">
        <v>3.95</v>
      </c>
      <c r="E18136" t="s">
        <v>6</v>
      </c>
    </row>
    <row r="18137" spans="1:5" x14ac:dyDescent="0.25">
      <c r="A18137" t="str">
        <f>HYPERLINK("https://www.773grp.com/globalSearch/TPS62263DRVT/page-1", "TPS62263DRVT")</f>
        <v>TPS62263DRVT</v>
      </c>
      <c r="B18137" s="3" t="str">
        <f>HYPERLINK("https://www.773grp.com/manufacturer/texas-instruments?pageNo=170", "Texas Instruments")</f>
        <v>Texas Instruments</v>
      </c>
      <c r="C18137" s="5">
        <v>1500</v>
      </c>
      <c r="D18137" s="6">
        <v>3.95</v>
      </c>
      <c r="E18137" t="s">
        <v>6</v>
      </c>
    </row>
    <row r="18138" spans="1:5" x14ac:dyDescent="0.25">
      <c r="A18138" t="str">
        <f>HYPERLINK("https://www.773grp.com/globalSearch/TPS62620YFDT/page-1", "TPS62620YFDT")</f>
        <v>TPS62620YFDT</v>
      </c>
      <c r="B18138" s="3" t="str">
        <f>HYPERLINK("https://www.773grp.com/manufacturer/texas-instruments?pageNo=171", "Texas Instruments")</f>
        <v>Texas Instruments</v>
      </c>
      <c r="C18138" s="5">
        <v>5500</v>
      </c>
      <c r="D18138" s="6">
        <v>3.95</v>
      </c>
      <c r="E18138" t="s">
        <v>6</v>
      </c>
    </row>
    <row r="18139" spans="1:5" x14ac:dyDescent="0.25">
      <c r="A18139" t="str">
        <f>HYPERLINK("https://www.773grp.com/globalSearch/TPS62621YFFT/page-1", "TPS62621YFFT")</f>
        <v>TPS62621YFFT</v>
      </c>
      <c r="B18139" s="3" t="str">
        <f>HYPERLINK("https://www.773grp.com/manufacturer/texas-instruments?pageNo=172", "Texas Instruments")</f>
        <v>Texas Instruments</v>
      </c>
      <c r="C18139" s="5">
        <v>2153</v>
      </c>
      <c r="D18139" s="6">
        <v>3.95</v>
      </c>
      <c r="E18139" t="s">
        <v>6</v>
      </c>
    </row>
    <row r="18140" spans="1:5" x14ac:dyDescent="0.25">
      <c r="A18140" t="str">
        <f>HYPERLINK("https://www.773grp.com/globalSearch/TPS62622YFFT/page-1", "TPS62622YFFT")</f>
        <v>TPS62622YFFT</v>
      </c>
      <c r="B18140" s="3" t="str">
        <f>HYPERLINK("https://www.773grp.com/manufacturer/texas-instruments?pageNo=173", "Texas Instruments")</f>
        <v>Texas Instruments</v>
      </c>
      <c r="C18140" s="5">
        <v>250</v>
      </c>
      <c r="D18140" s="6">
        <v>3.95</v>
      </c>
      <c r="E18140" t="s">
        <v>6</v>
      </c>
    </row>
    <row r="18141" spans="1:5" x14ac:dyDescent="0.25">
      <c r="A18141" t="str">
        <f>HYPERLINK("https://www.773grp.com/globalSearch/TPS62623YFDT/page-1", "TPS62623YFDT")</f>
        <v>TPS62623YFDT</v>
      </c>
      <c r="B18141" s="3" t="str">
        <f>HYPERLINK("https://www.773grp.com/manufacturer/texas-instruments?pageNo=174", "Texas Instruments")</f>
        <v>Texas Instruments</v>
      </c>
      <c r="C18141" s="5">
        <v>17500</v>
      </c>
      <c r="D18141" s="6">
        <v>3.95</v>
      </c>
      <c r="E18141" t="s">
        <v>6</v>
      </c>
    </row>
    <row r="18142" spans="1:5" x14ac:dyDescent="0.25">
      <c r="A18142" t="str">
        <f>HYPERLINK("https://www.773grp.com/globalSearch/TPS62623YFFT/page-1", "TPS62623YFFT")</f>
        <v>TPS62623YFFT</v>
      </c>
      <c r="B18142" s="3" t="str">
        <f>HYPERLINK("https://www.773grp.com/manufacturer/texas-instruments?pageNo=175", "Texas Instruments")</f>
        <v>Texas Instruments</v>
      </c>
      <c r="C18142" s="5">
        <v>250</v>
      </c>
      <c r="D18142" s="6">
        <v>3.95</v>
      </c>
      <c r="E18142" t="s">
        <v>6</v>
      </c>
    </row>
    <row r="18143" spans="1:5" x14ac:dyDescent="0.25">
      <c r="A18143" t="str">
        <f>HYPERLINK("https://www.773grp.com/globalSearch/TPS62700YZFR/page-1", "TPS62700YZFR")</f>
        <v>TPS62700YZFR</v>
      </c>
      <c r="B18143" s="3" t="str">
        <f>HYPERLINK("https://www.773grp.com/manufacturer/texas-instruments?pageNo=180", "Texas Instruments")</f>
        <v>Texas Instruments</v>
      </c>
      <c r="C18143" s="5">
        <v>429000</v>
      </c>
      <c r="D18143" s="6">
        <v>3.95</v>
      </c>
      <c r="E18143" t="s">
        <v>6</v>
      </c>
    </row>
    <row r="18144" spans="1:5" x14ac:dyDescent="0.25">
      <c r="A18144" t="str">
        <f>HYPERLINK("https://www.773grp.com/globalSearch/UCC28019DR/page-1", "UCC28019DR")</f>
        <v>UCC28019DR</v>
      </c>
      <c r="B18144" s="3" t="str">
        <f>HYPERLINK("https://www.773grp.com/manufacturer/texas-instruments?pageNo=229", "Texas Instruments")</f>
        <v>Texas Instruments</v>
      </c>
      <c r="C18144" s="5">
        <v>292500</v>
      </c>
      <c r="D18144" s="6">
        <v>3.95</v>
      </c>
      <c r="E18144" t="s">
        <v>6</v>
      </c>
    </row>
    <row r="18145" spans="1:5" x14ac:dyDescent="0.25">
      <c r="A18145" t="str">
        <f>HYPERLINK("https://www.773grp.com/globalSearch/UCC28C40DGKR/page-1", "UCC28C40DGKR")</f>
        <v>UCC28C40DGKR</v>
      </c>
      <c r="B18145" s="3" t="str">
        <f>HYPERLINK("https://www.773grp.com/manufacturer/texas-instruments?pageNo=230", "Texas Instruments")</f>
        <v>Texas Instruments</v>
      </c>
      <c r="C18145" s="5">
        <v>1988</v>
      </c>
      <c r="D18145" s="6">
        <v>3.95</v>
      </c>
      <c r="E18145" t="s">
        <v>6</v>
      </c>
    </row>
    <row r="18146" spans="1:5" x14ac:dyDescent="0.25">
      <c r="A18146" t="str">
        <f>HYPERLINK("https://www.773grp.com/globalSearch/UCC28C41DGKR/page-1", "UCC28C41DGKR")</f>
        <v>UCC28C41DGKR</v>
      </c>
      <c r="B18146" s="3" t="str">
        <f>HYPERLINK("https://www.773grp.com/manufacturer/texas-instruments?pageNo=231", "Texas Instruments")</f>
        <v>Texas Instruments</v>
      </c>
      <c r="C18146" s="5">
        <v>20000</v>
      </c>
      <c r="D18146" s="6">
        <v>3.95</v>
      </c>
      <c r="E18146" t="s">
        <v>6</v>
      </c>
    </row>
    <row r="18147" spans="1:5" x14ac:dyDescent="0.25">
      <c r="A18147" t="str">
        <f>HYPERLINK("https://www.773grp.com/globalSearch/UCC28C41DR/page-1", "UCC28C41DR")</f>
        <v>UCC28C41DR</v>
      </c>
      <c r="B18147" s="3" t="str">
        <f>HYPERLINK("https://www.773grp.com/manufacturer/texas-instruments?pageNo=232", "Texas Instruments")</f>
        <v>Texas Instruments</v>
      </c>
      <c r="C18147" s="5">
        <v>3472</v>
      </c>
      <c r="D18147" s="6">
        <v>3.95</v>
      </c>
      <c r="E18147" t="s">
        <v>6</v>
      </c>
    </row>
    <row r="18148" spans="1:5" x14ac:dyDescent="0.25">
      <c r="A18148" t="str">
        <f>HYPERLINK("https://www.773grp.com/globalSearch/UCC35705DGKTR/page-1", "UCC35705DGKTR")</f>
        <v>UCC35705DGKTR</v>
      </c>
      <c r="B18148" s="3" t="str">
        <f>HYPERLINK("https://www.773grp.com/manufacturer/texas-instruments?pageNo=233", "Texas Instruments")</f>
        <v>Texas Instruments</v>
      </c>
      <c r="C18148" s="5">
        <v>10000</v>
      </c>
      <c r="D18148" s="6">
        <v>3.95</v>
      </c>
      <c r="E18148" t="s">
        <v>6</v>
      </c>
    </row>
    <row r="18149" spans="1:5" x14ac:dyDescent="0.25">
      <c r="A18149" t="str">
        <f>HYPERLINK("https://www.773grp.com/globalSearch/UCC35705DTR/page-1", "UCC35705DTR")</f>
        <v>UCC35705DTR</v>
      </c>
      <c r="B18149" s="3" t="str">
        <f>HYPERLINK("https://www.773grp.com/manufacturer/texas-instruments?pageNo=234", "Texas Instruments")</f>
        <v>Texas Instruments</v>
      </c>
      <c r="C18149" s="5">
        <v>10000</v>
      </c>
      <c r="D18149" s="6">
        <v>3.95</v>
      </c>
      <c r="E18149" t="s">
        <v>6</v>
      </c>
    </row>
    <row r="18150" spans="1:5" x14ac:dyDescent="0.25">
      <c r="A18150" t="str">
        <f>HYPERLINK("https://www.773grp.com/globalSearch/UCC38050DR/page-1", "UCC38050DR")</f>
        <v>UCC38050DR</v>
      </c>
      <c r="B18150" s="3" t="str">
        <f>HYPERLINK("https://www.773grp.com/manufacturer/texas-instruments?pageNo=239", "Texas Instruments")</f>
        <v>Texas Instruments</v>
      </c>
      <c r="C18150" s="5">
        <v>7500</v>
      </c>
      <c r="D18150" s="6">
        <v>3.95</v>
      </c>
      <c r="E18150" t="s">
        <v>6</v>
      </c>
    </row>
    <row r="18151" spans="1:5" x14ac:dyDescent="0.25">
      <c r="A18151" t="str">
        <f>HYPERLINK("https://www.773grp.com/globalSearch/UCC38051D/page-1", "UCC38051D")</f>
        <v>UCC38051D</v>
      </c>
      <c r="B18151" s="3" t="str">
        <f>HYPERLINK("https://www.773grp.com/manufacturer/texas-instruments?pageNo=240", "Texas Instruments")</f>
        <v>Texas Instruments</v>
      </c>
      <c r="C18151" s="5">
        <v>13675</v>
      </c>
      <c r="D18151" s="6">
        <v>3.95</v>
      </c>
      <c r="E18151" t="s">
        <v>6</v>
      </c>
    </row>
    <row r="18152" spans="1:5" x14ac:dyDescent="0.25">
      <c r="A18152" t="str">
        <f>HYPERLINK("https://www.773grp.com/globalSearch/UCC3889DTR/page-1", "UCC3889DTR")</f>
        <v>UCC3889DTR</v>
      </c>
      <c r="B18152" s="3" t="str">
        <f>HYPERLINK("https://www.773grp.com/manufacturer/texas-instruments?pageNo=241", "Texas Instruments")</f>
        <v>Texas Instruments</v>
      </c>
      <c r="C18152" s="5">
        <v>9600</v>
      </c>
      <c r="D18152" s="6">
        <v>3.95</v>
      </c>
      <c r="E18152" t="s">
        <v>6</v>
      </c>
    </row>
    <row r="18153" spans="1:5" x14ac:dyDescent="0.25">
      <c r="A18153" t="str">
        <f>HYPERLINK("https://www.773grp.com/globalSearch/TPS62005QDGSRQ1/page-1", "TPS62005QDGSRQ1")</f>
        <v>TPS62005QDGSRQ1</v>
      </c>
      <c r="B18153" s="3" t="str">
        <f>HYPERLINK("https://www.773grp.com/manufacturer/texas-instruments?pageNo=254", "Texas Instruments")</f>
        <v>Texas Instruments</v>
      </c>
      <c r="C18153" s="5">
        <v>6130</v>
      </c>
      <c r="D18153" s="6">
        <v>3.6</v>
      </c>
      <c r="E18153" t="s">
        <v>6</v>
      </c>
    </row>
    <row r="18154" spans="1:5" x14ac:dyDescent="0.25">
      <c r="A18154" t="str">
        <f>HYPERLINK("https://www.773grp.com/globalSearch/TPS62007QDGSRQ1/page-1", "TPS62007QDGSRQ1")</f>
        <v>TPS62007QDGSRQ1</v>
      </c>
      <c r="B18154" s="3" t="str">
        <f>HYPERLINK("https://www.773grp.com/manufacturer/texas-instruments?pageNo=255", "Texas Instruments")</f>
        <v>Texas Instruments</v>
      </c>
      <c r="C18154" s="5">
        <v>2497</v>
      </c>
      <c r="D18154" s="6">
        <v>3.6</v>
      </c>
      <c r="E18154" t="s">
        <v>6</v>
      </c>
    </row>
    <row r="18155" spans="1:5" x14ac:dyDescent="0.25">
      <c r="A18155" t="str">
        <f>HYPERLINK("https://www.773grp.com/globalSearch/LT1054CP/page-1", "LT1054CP")</f>
        <v>LT1054CP</v>
      </c>
      <c r="B18155" s="3" t="str">
        <f>HYPERLINK("https://www.773grp.com/manufacturer/texas-instruments?pageNo=498", "Texas Instruments")</f>
        <v>Texas Instruments</v>
      </c>
      <c r="C18155" s="5">
        <v>976</v>
      </c>
      <c r="D18155" s="6">
        <v>3.66</v>
      </c>
      <c r="E18155" t="s">
        <v>6</v>
      </c>
    </row>
    <row r="18156" spans="1:5" x14ac:dyDescent="0.25">
      <c r="A18156" t="str">
        <f>HYPERLINK("https://www.773grp.com/globalSearch/TPS40004DGQR/page-1", "TPS40004DGQR")</f>
        <v>TPS40004DGQR</v>
      </c>
      <c r="B18156" s="3" t="str">
        <f>HYPERLINK("https://www.773grp.com/manufacturer/texas-instruments?pageNo=633", "Texas Instruments")</f>
        <v>Texas Instruments</v>
      </c>
      <c r="C18156" s="5">
        <v>40000</v>
      </c>
      <c r="D18156" s="6">
        <v>3.66</v>
      </c>
      <c r="E18156" t="s">
        <v>6</v>
      </c>
    </row>
    <row r="18157" spans="1:5" x14ac:dyDescent="0.25">
      <c r="A18157" t="str">
        <f>HYPERLINK("https://www.773grp.com/globalSearch/TPS51727RHAR/page-1", "TPS51727RHAR")</f>
        <v>TPS51727RHAR</v>
      </c>
      <c r="B18157" s="3" t="str">
        <f>HYPERLINK("https://www.773grp.com/manufacturer/texas-instruments?pageNo=634", "Texas Instruments")</f>
        <v>Texas Instruments</v>
      </c>
      <c r="C18157" s="5">
        <v>117290</v>
      </c>
      <c r="D18157" s="6">
        <v>3.66</v>
      </c>
      <c r="E18157" t="s">
        <v>6</v>
      </c>
    </row>
    <row r="18158" spans="1:5" x14ac:dyDescent="0.25">
      <c r="A18158" t="str">
        <f>HYPERLINK("https://www.773grp.com/globalSearch/TPS62112RSAR/page-1", "TPS62112RSAR")</f>
        <v>TPS62112RSAR</v>
      </c>
      <c r="B18158" s="3" t="str">
        <f>HYPERLINK("https://www.773grp.com/manufacturer/texas-instruments?pageNo=641", "Texas Instruments")</f>
        <v>Texas Instruments</v>
      </c>
      <c r="C18158" s="5">
        <v>39000</v>
      </c>
      <c r="D18158" s="6">
        <v>3.66</v>
      </c>
      <c r="E18158" t="s">
        <v>6</v>
      </c>
    </row>
    <row r="18159" spans="1:5" x14ac:dyDescent="0.25">
      <c r="A18159" t="str">
        <f>HYPERLINK("https://www.773grp.com/globalSearch/TPS65110RGER/page-1", "TPS65110RGER")</f>
        <v>TPS65110RGER</v>
      </c>
      <c r="B18159" s="3" t="str">
        <f>HYPERLINK("https://www.773grp.com/manufacturer/texas-instruments?pageNo=646", "Texas Instruments")</f>
        <v>Texas Instruments</v>
      </c>
      <c r="C18159" s="5">
        <v>24000</v>
      </c>
      <c r="D18159" s="6">
        <v>3.66</v>
      </c>
      <c r="E18159" t="s">
        <v>6</v>
      </c>
    </row>
    <row r="18160" spans="1:5" x14ac:dyDescent="0.25">
      <c r="A18160" t="str">
        <f>HYPERLINK("https://www.773grp.com/globalSearch/UC3526ADW/page-1", "UC3526ADW")</f>
        <v>UC3526ADW</v>
      </c>
      <c r="B18160" s="3" t="str">
        <f>HYPERLINK("https://www.773grp.com/manufacturer/texas-instruments?pageNo=665", "Texas Instruments")</f>
        <v>Texas Instruments</v>
      </c>
      <c r="C18160" s="5">
        <v>506</v>
      </c>
      <c r="D18160" s="6">
        <v>3.66</v>
      </c>
      <c r="E18160" t="s">
        <v>6</v>
      </c>
    </row>
    <row r="18161" spans="1:5" x14ac:dyDescent="0.25">
      <c r="A18161" t="str">
        <f>HYPERLINK("https://www.773grp.com/globalSearch/UC3526DW/page-1", "UC3526DW")</f>
        <v>UC3526DW</v>
      </c>
      <c r="B18161" s="3" t="str">
        <f>HYPERLINK("https://www.773grp.com/manufacturer/texas-instruments?pageNo=666", "Texas Instruments")</f>
        <v>Texas Instruments</v>
      </c>
      <c r="C18161" s="5">
        <v>26623</v>
      </c>
      <c r="D18161" s="6">
        <v>3.66</v>
      </c>
      <c r="E18161" t="s">
        <v>6</v>
      </c>
    </row>
    <row r="18162" spans="1:5" x14ac:dyDescent="0.25">
      <c r="A18162" t="str">
        <f>HYPERLINK("https://www.773grp.com/globalSearch/UCC2801QDRQ1/page-1", "UCC2801QDRQ1")</f>
        <v>UCC2801QDRQ1</v>
      </c>
      <c r="B18162" s="3" t="str">
        <f>HYPERLINK("https://www.773grp.com/manufacturer/texas-instruments?pageNo=676", "Texas Instruments")</f>
        <v>Texas Instruments</v>
      </c>
      <c r="C18162" s="5">
        <v>14108</v>
      </c>
      <c r="D18162" s="6">
        <v>3.66</v>
      </c>
      <c r="E18162" t="s">
        <v>6</v>
      </c>
    </row>
    <row r="18163" spans="1:5" x14ac:dyDescent="0.25">
      <c r="A18163" t="str">
        <f>HYPERLINK("https://www.773grp.com/globalSearch/UCC2804QDRQ1/page-1", "UCC2804QDRQ1")</f>
        <v>UCC2804QDRQ1</v>
      </c>
      <c r="B18163" s="3" t="str">
        <f>HYPERLINK("https://www.773grp.com/manufacturer/texas-instruments?pageNo=678", "Texas Instruments")</f>
        <v>Texas Instruments</v>
      </c>
      <c r="C18163" s="5">
        <v>11925</v>
      </c>
      <c r="D18163" s="6">
        <v>3.66</v>
      </c>
      <c r="E18163" t="s">
        <v>6</v>
      </c>
    </row>
    <row r="18164" spans="1:5" x14ac:dyDescent="0.25">
      <c r="A18164" t="str">
        <f>HYPERLINK("https://www.773grp.com/globalSearch/UCC2813PW/page-1", "UCC2813PW")</f>
        <v>UCC2813PW</v>
      </c>
      <c r="B18164" s="3" t="str">
        <f>HYPERLINK("https://www.773grp.com/manufacturer/texas-instruments?pageNo=680", "Texas Instruments")</f>
        <v>Texas Instruments</v>
      </c>
      <c r="C18164" s="5">
        <v>101</v>
      </c>
      <c r="D18164" s="6">
        <v>3.66</v>
      </c>
      <c r="E18164" t="s">
        <v>6</v>
      </c>
    </row>
    <row r="18165" spans="1:5" x14ac:dyDescent="0.25">
      <c r="A18165" t="str">
        <f>HYPERLINK("https://www.773grp.com/globalSearch/UCC3808ADTR-2/page-1", "UCC3808ADTR-2")</f>
        <v>UCC3808ADTR-2</v>
      </c>
      <c r="B18165" s="3" t="str">
        <f>HYPERLINK("https://www.773grp.com/manufacturer/texas-instruments?pageNo=684", "Texas Instruments")</f>
        <v>Texas Instruments</v>
      </c>
      <c r="C18165" s="5">
        <v>5000</v>
      </c>
      <c r="D18165" s="6">
        <v>3.66</v>
      </c>
      <c r="E18165" t="s">
        <v>6</v>
      </c>
    </row>
    <row r="18166" spans="1:5" x14ac:dyDescent="0.25">
      <c r="A18166" t="str">
        <f>HYPERLINK("https://www.773grp.com/globalSearch/TL5002IDR/page-1", "TL5002IDR")</f>
        <v>TL5002IDR</v>
      </c>
      <c r="B18166" s="3" t="str">
        <f>HYPERLINK("https://www.773grp.com/manufacturer/texas-instruments?pageNo=704", "Texas Instruments")</f>
        <v>Texas Instruments</v>
      </c>
      <c r="C18166" s="5">
        <v>7500</v>
      </c>
      <c r="D18166" s="6">
        <v>4.0599999999999996</v>
      </c>
      <c r="E18166" t="s">
        <v>6</v>
      </c>
    </row>
    <row r="18167" spans="1:5" x14ac:dyDescent="0.25">
      <c r="A18167" t="str">
        <f>HYPERLINK("https://www.773grp.com/globalSearch/TPS62000DGS/page-1", "TPS62000DGS")</f>
        <v>TPS62000DGS</v>
      </c>
      <c r="B18167" s="3" t="str">
        <f>HYPERLINK("https://www.773grp.com/manufacturer/texas-instruments?pageNo=763", "Texas Instruments")</f>
        <v>Texas Instruments</v>
      </c>
      <c r="C18167" s="5">
        <v>31761</v>
      </c>
      <c r="D18167" s="6">
        <v>3.68</v>
      </c>
      <c r="E18167" t="s">
        <v>6</v>
      </c>
    </row>
    <row r="18168" spans="1:5" x14ac:dyDescent="0.25">
      <c r="A18168" t="str">
        <f>HYPERLINK("https://www.773grp.com/globalSearch/TPS62002DGS/page-1", "TPS62002DGS")</f>
        <v>TPS62002DGS</v>
      </c>
      <c r="B18168" s="3" t="str">
        <f>HYPERLINK("https://www.773grp.com/manufacturer/texas-instruments?pageNo=764", "Texas Instruments")</f>
        <v>Texas Instruments</v>
      </c>
      <c r="C18168" s="5">
        <v>24808</v>
      </c>
      <c r="D18168" s="6">
        <v>3.68</v>
      </c>
      <c r="E18168" t="s">
        <v>6</v>
      </c>
    </row>
    <row r="18169" spans="1:5" x14ac:dyDescent="0.25">
      <c r="A18169" t="str">
        <f>HYPERLINK("https://www.773grp.com/globalSearch/TPS62003DGS/page-1", "TPS62003DGS")</f>
        <v>TPS62003DGS</v>
      </c>
      <c r="B18169" s="3" t="str">
        <f>HYPERLINK("https://www.773grp.com/manufacturer/texas-instruments?pageNo=765", "Texas Instruments")</f>
        <v>Texas Instruments</v>
      </c>
      <c r="C18169" s="5">
        <v>3899</v>
      </c>
      <c r="D18169" s="6">
        <v>3.68</v>
      </c>
      <c r="E18169" t="s">
        <v>6</v>
      </c>
    </row>
    <row r="18170" spans="1:5" x14ac:dyDescent="0.25">
      <c r="A18170" t="str">
        <f>HYPERLINK("https://www.773grp.com/globalSearch/TPS62003DGSG4/page-1", "TPS62003DGSG4")</f>
        <v>TPS62003DGSG4</v>
      </c>
      <c r="B18170" s="3" t="str">
        <f>HYPERLINK("https://www.773grp.com/manufacturer/texas-instruments?pageNo=766", "Texas Instruments")</f>
        <v>Texas Instruments</v>
      </c>
      <c r="C18170" s="5">
        <v>7</v>
      </c>
      <c r="D18170" s="6">
        <v>3.68</v>
      </c>
      <c r="E18170" t="s">
        <v>6</v>
      </c>
    </row>
    <row r="18171" spans="1:5" x14ac:dyDescent="0.25">
      <c r="A18171" t="str">
        <f>HYPERLINK("https://www.773grp.com/globalSearch/TPS62004DGS/page-1", "TPS62004DGS")</f>
        <v>TPS62004DGS</v>
      </c>
      <c r="B18171" s="3" t="str">
        <f>HYPERLINK("https://www.773grp.com/manufacturer/texas-instruments?pageNo=767", "Texas Instruments")</f>
        <v>Texas Instruments</v>
      </c>
      <c r="C18171" s="5">
        <v>4224</v>
      </c>
      <c r="D18171" s="6">
        <v>3.68</v>
      </c>
      <c r="E18171" t="s">
        <v>6</v>
      </c>
    </row>
    <row r="18172" spans="1:5" x14ac:dyDescent="0.25">
      <c r="A18172" t="str">
        <f>HYPERLINK("https://www.773grp.com/globalSearch/TPS62005DGS/page-1", "TPS62005DGS")</f>
        <v>TPS62005DGS</v>
      </c>
      <c r="B18172" s="3" t="str">
        <f>HYPERLINK("https://www.773grp.com/manufacturer/texas-instruments?pageNo=768", "Texas Instruments")</f>
        <v>Texas Instruments</v>
      </c>
      <c r="C18172" s="5">
        <v>4703</v>
      </c>
      <c r="D18172" s="6">
        <v>3.68</v>
      </c>
      <c r="E18172" t="s">
        <v>6</v>
      </c>
    </row>
    <row r="18173" spans="1:5" x14ac:dyDescent="0.25">
      <c r="A18173" t="str">
        <f>HYPERLINK("https://www.773grp.com/globalSearch/TPS62006DGS/page-1", "TPS62006DGS")</f>
        <v>TPS62006DGS</v>
      </c>
      <c r="B18173" s="3" t="str">
        <f>HYPERLINK("https://www.773grp.com/manufacturer/texas-instruments?pageNo=769", "Texas Instruments")</f>
        <v>Texas Instruments</v>
      </c>
      <c r="C18173" s="5">
        <v>6129</v>
      </c>
      <c r="D18173" s="6">
        <v>3.68</v>
      </c>
      <c r="E18173" t="s">
        <v>6</v>
      </c>
    </row>
    <row r="18174" spans="1:5" x14ac:dyDescent="0.25">
      <c r="A18174" t="str">
        <f>HYPERLINK("https://www.773grp.com/globalSearch/TPS62007DGS/page-1", "TPS62007DGS")</f>
        <v>TPS62007DGS</v>
      </c>
      <c r="B18174" s="3" t="str">
        <f>HYPERLINK("https://www.773grp.com/manufacturer/texas-instruments?pageNo=770", "Texas Instruments")</f>
        <v>Texas Instruments</v>
      </c>
      <c r="C18174" s="5">
        <v>640</v>
      </c>
      <c r="D18174" s="6">
        <v>3.68</v>
      </c>
      <c r="E18174" t="s">
        <v>6</v>
      </c>
    </row>
    <row r="18175" spans="1:5" x14ac:dyDescent="0.25">
      <c r="A18175" t="str">
        <f>HYPERLINK("https://www.773grp.com/globalSearch/TPS62008DGS/page-1", "TPS62008DGS")</f>
        <v>TPS62008DGS</v>
      </c>
      <c r="B18175" s="3" t="str">
        <f>HYPERLINK("https://www.773grp.com/manufacturer/texas-instruments?pageNo=771", "Texas Instruments")</f>
        <v>Texas Instruments</v>
      </c>
      <c r="C18175" s="5">
        <v>18538</v>
      </c>
      <c r="D18175" s="6">
        <v>3.68</v>
      </c>
      <c r="E18175" t="s">
        <v>6</v>
      </c>
    </row>
    <row r="18176" spans="1:5" x14ac:dyDescent="0.25">
      <c r="A18176" t="str">
        <f>HYPERLINK("https://www.773grp.com/globalSearch/TPS62042DGQ/page-1", "TPS62042DGQ")</f>
        <v>TPS62042DGQ</v>
      </c>
      <c r="B18176" s="3" t="str">
        <f>HYPERLINK("https://www.773grp.com/manufacturer/texas-instruments?pageNo=773", "Texas Instruments")</f>
        <v>Texas Instruments</v>
      </c>
      <c r="C18176" s="5">
        <v>75</v>
      </c>
      <c r="D18176" s="6">
        <v>3.68</v>
      </c>
      <c r="E18176" t="s">
        <v>6</v>
      </c>
    </row>
    <row r="18177" spans="1:5" x14ac:dyDescent="0.25">
      <c r="A18177" t="str">
        <f>HYPERLINK("https://www.773grp.com/globalSearch/TPS62043DGQ/page-1", "TPS62043DGQ")</f>
        <v>TPS62043DGQ</v>
      </c>
      <c r="B18177" s="3" t="str">
        <f>HYPERLINK("https://www.773grp.com/manufacturer/texas-instruments?pageNo=774", "Texas Instruments")</f>
        <v>Texas Instruments</v>
      </c>
      <c r="C18177" s="5">
        <v>17809</v>
      </c>
      <c r="D18177" s="6">
        <v>3.68</v>
      </c>
      <c r="E18177" t="s">
        <v>6</v>
      </c>
    </row>
    <row r="18178" spans="1:5" x14ac:dyDescent="0.25">
      <c r="A18178" t="str">
        <f>HYPERLINK("https://www.773grp.com/globalSearch/TPS62044DGQ/page-1", "TPS62044DGQ")</f>
        <v>TPS62044DGQ</v>
      </c>
      <c r="B18178" s="3" t="str">
        <f>HYPERLINK("https://www.773grp.com/manufacturer/texas-instruments?pageNo=775", "Texas Instruments")</f>
        <v>Texas Instruments</v>
      </c>
      <c r="C18178" s="5">
        <v>1829</v>
      </c>
      <c r="D18178" s="6">
        <v>3.68</v>
      </c>
      <c r="E18178" t="s">
        <v>6</v>
      </c>
    </row>
    <row r="18179" spans="1:5" x14ac:dyDescent="0.25">
      <c r="A18179" t="str">
        <f>HYPERLINK("https://www.773grp.com/globalSearch/TPS62046DGQ/page-1", "TPS62046DGQ")</f>
        <v>TPS62046DGQ</v>
      </c>
      <c r="B18179" s="3" t="str">
        <f>HYPERLINK("https://www.773grp.com/manufacturer/texas-instruments?pageNo=776", "Texas Instruments")</f>
        <v>Texas Instruments</v>
      </c>
      <c r="C18179" s="5">
        <v>80</v>
      </c>
      <c r="D18179" s="6">
        <v>3.68</v>
      </c>
      <c r="E18179" t="s">
        <v>6</v>
      </c>
    </row>
    <row r="18180" spans="1:5" x14ac:dyDescent="0.25">
      <c r="A18180" t="str">
        <f>HYPERLINK("https://www.773grp.com/globalSearch/UC2524N/page-1", "UC2524N")</f>
        <v>UC2524N</v>
      </c>
      <c r="B18180" s="3" t="str">
        <f>HYPERLINK("https://www.773grp.com/manufacturer/texas-instruments?pageNo=803", "Texas Instruments")</f>
        <v>Texas Instruments</v>
      </c>
      <c r="C18180" s="5">
        <v>4880</v>
      </c>
      <c r="D18180" s="6">
        <v>3.68</v>
      </c>
      <c r="E18180" t="s">
        <v>6</v>
      </c>
    </row>
    <row r="18181" spans="1:5" x14ac:dyDescent="0.25">
      <c r="A18181" t="str">
        <f>HYPERLINK("https://www.773grp.com/globalSearch/UC2524N/page-1", "UC2524N")</f>
        <v>UC2524N</v>
      </c>
      <c r="B18181" s="3" t="str">
        <f>HYPERLINK("https://www.773grp.com/manufacturer/texas-instruments?pageNo=804", "Texas Instruments")</f>
        <v>Texas Instruments</v>
      </c>
      <c r="C18181" s="5">
        <v>796</v>
      </c>
      <c r="D18181" s="6">
        <v>3.68</v>
      </c>
      <c r="E18181" t="s">
        <v>6</v>
      </c>
    </row>
    <row r="18182" spans="1:5" x14ac:dyDescent="0.25">
      <c r="A18182" t="str">
        <f>HYPERLINK("https://www.773grp.com/globalSearch/UC3572D/page-1", "UC3572D")</f>
        <v>UC3572D</v>
      </c>
      <c r="B18182" s="3" t="str">
        <f>HYPERLINK("https://www.773grp.com/manufacturer/texas-instruments?pageNo=805", "Texas Instruments")</f>
        <v>Texas Instruments</v>
      </c>
      <c r="C18182" s="5">
        <v>2000</v>
      </c>
      <c r="D18182" s="6">
        <v>3.68</v>
      </c>
      <c r="E18182" t="s">
        <v>6</v>
      </c>
    </row>
    <row r="18183" spans="1:5" x14ac:dyDescent="0.25">
      <c r="A18183" t="str">
        <f>HYPERLINK("https://www.773grp.com/globalSearch/UC3572DG4/page-1", "UC3572DG4")</f>
        <v>UC3572DG4</v>
      </c>
      <c r="B18183" s="3" t="str">
        <f>HYPERLINK("https://www.773grp.com/manufacturer/texas-instruments?pageNo=806", "Texas Instruments")</f>
        <v>Texas Instruments</v>
      </c>
      <c r="C18183" s="5">
        <v>215</v>
      </c>
      <c r="D18183" s="6">
        <v>3.68</v>
      </c>
      <c r="E18183" t="s">
        <v>6</v>
      </c>
    </row>
    <row r="18184" spans="1:5" x14ac:dyDescent="0.25">
      <c r="A18184" t="str">
        <f>HYPERLINK("https://www.773grp.com/globalSearch/UC3572N/page-1", "UC3572N")</f>
        <v>UC3572N</v>
      </c>
      <c r="B18184" s="3" t="str">
        <f>HYPERLINK("https://www.773grp.com/manufacturer/texas-instruments?pageNo=807", "Texas Instruments")</f>
        <v>Texas Instruments</v>
      </c>
      <c r="C18184" s="5">
        <v>5607</v>
      </c>
      <c r="D18184" s="6">
        <v>3.68</v>
      </c>
      <c r="E18184" t="s">
        <v>6</v>
      </c>
    </row>
    <row r="18185" spans="1:5" x14ac:dyDescent="0.25">
      <c r="A18185" t="str">
        <f>HYPERLINK("https://www.773grp.com/globalSearch/UC3572N/page-1", "UC3572N")</f>
        <v>UC3572N</v>
      </c>
      <c r="B18185" s="3" t="str">
        <f>HYPERLINK("https://www.773grp.com/manufacturer/texas-instruments?pageNo=808", "Texas Instruments")</f>
        <v>Texas Instruments</v>
      </c>
      <c r="C18185" s="5">
        <v>450</v>
      </c>
      <c r="D18185" s="6">
        <v>3.68</v>
      </c>
      <c r="E18185" t="s">
        <v>6</v>
      </c>
    </row>
    <row r="18186" spans="1:5" x14ac:dyDescent="0.25">
      <c r="A18186" t="str">
        <f>HYPERLINK("https://www.773grp.com/globalSearch/UC3572N/page-1", "UC3572N")</f>
        <v>UC3572N</v>
      </c>
      <c r="B18186" s="3" t="str">
        <f>HYPERLINK("https://www.773grp.com/manufacturer/texas-instruments?pageNo=809", "Texas Instruments")</f>
        <v>Texas Instruments</v>
      </c>
      <c r="C18186" s="5">
        <v>4992</v>
      </c>
      <c r="D18186" s="6">
        <v>3.68</v>
      </c>
      <c r="E18186" t="s">
        <v>6</v>
      </c>
    </row>
    <row r="18187" spans="1:5" x14ac:dyDescent="0.25">
      <c r="A18187" t="str">
        <f>HYPERLINK("https://www.773grp.com/globalSearch/UC3573D/page-1", "UC3573D")</f>
        <v>UC3573D</v>
      </c>
      <c r="B18187" s="3" t="str">
        <f>HYPERLINK("https://www.773grp.com/manufacturer/texas-instruments?pageNo=810", "Texas Instruments")</f>
        <v>Texas Instruments</v>
      </c>
      <c r="C18187" s="5">
        <v>78210</v>
      </c>
      <c r="D18187" s="6">
        <v>3.68</v>
      </c>
      <c r="E18187" t="s">
        <v>6</v>
      </c>
    </row>
    <row r="18188" spans="1:5" x14ac:dyDescent="0.25">
      <c r="A18188" t="str">
        <f>HYPERLINK("https://www.773grp.com/globalSearch/UC3573N/page-1", "UC3573N")</f>
        <v>UC3573N</v>
      </c>
      <c r="B18188" s="3" t="str">
        <f>HYPERLINK("https://www.773grp.com/manufacturer/texas-instruments?pageNo=811", "Texas Instruments")</f>
        <v>Texas Instruments</v>
      </c>
      <c r="C18188" s="5">
        <v>12800</v>
      </c>
      <c r="D18188" s="6">
        <v>3.68</v>
      </c>
      <c r="E18188" t="s">
        <v>6</v>
      </c>
    </row>
    <row r="18189" spans="1:5" x14ac:dyDescent="0.25">
      <c r="A18189" t="str">
        <f>HYPERLINK("https://www.773grp.com/globalSearch/TPS40195PW/page-1", "TPS40195PW")</f>
        <v>TPS40195PW</v>
      </c>
      <c r="B18189" s="3" t="str">
        <f>HYPERLINK("https://www.773grp.com/manufacturer/texas-instruments?pageNo=840", "Texas Instruments")</f>
        <v>Texas Instruments</v>
      </c>
      <c r="C18189" s="5">
        <v>1320</v>
      </c>
      <c r="D18189" s="6">
        <v>3.71</v>
      </c>
      <c r="E18189" t="s">
        <v>6</v>
      </c>
    </row>
    <row r="18190" spans="1:5" x14ac:dyDescent="0.25">
      <c r="A18190" t="str">
        <f>HYPERLINK("https://www.773grp.com/globalSearch/TPS82675SipexT/page-1", "TPS82675SipexT")</f>
        <v>TPS82675SipexT</v>
      </c>
      <c r="B18190" s="3" t="str">
        <f>HYPERLINK("https://www.773grp.com/manufacturer/texas-instruments?pageNo=856", "Texas Instruments")</f>
        <v>Texas Instruments</v>
      </c>
      <c r="C18190" s="5">
        <v>3228</v>
      </c>
      <c r="D18190" s="6">
        <v>3.71</v>
      </c>
      <c r="E18190" t="s">
        <v>6</v>
      </c>
    </row>
    <row r="18191" spans="1:5" x14ac:dyDescent="0.25">
      <c r="A18191" t="str">
        <f>HYPERLINK("https://www.773grp.com/globalSearch/TL5001AID/page-1", "TL5001AID")</f>
        <v>TL5001AID</v>
      </c>
      <c r="B18191" s="3" t="str">
        <f>HYPERLINK("https://www.773grp.com/manufacturer/texas-instruments?pageNo=904", "Texas Instruments")</f>
        <v>Texas Instruments</v>
      </c>
      <c r="C18191" s="5">
        <v>540</v>
      </c>
      <c r="D18191" s="6">
        <v>4.1100000000000003</v>
      </c>
      <c r="E18191" t="s">
        <v>6</v>
      </c>
    </row>
    <row r="18192" spans="1:5" x14ac:dyDescent="0.25">
      <c r="A18192" t="str">
        <f>HYPERLINK("https://www.773grp.com/globalSearch/TL5001AIDG4/page-1", "TL5001AIDG4")</f>
        <v>TL5001AIDG4</v>
      </c>
      <c r="B18192" s="3" t="str">
        <f>HYPERLINK("https://www.773grp.com/manufacturer/texas-instruments?pageNo=905", "Texas Instruments")</f>
        <v>Texas Instruments</v>
      </c>
      <c r="C18192" s="5">
        <v>50</v>
      </c>
      <c r="D18192" s="6">
        <v>4.1100000000000003</v>
      </c>
      <c r="E18192" t="s">
        <v>6</v>
      </c>
    </row>
    <row r="18193" spans="1:5" x14ac:dyDescent="0.25">
      <c r="A18193" t="str">
        <f>HYPERLINK("https://www.773grp.com/globalSearch/TL5001AIP/page-1", "TL5001AIP")</f>
        <v>TL5001AIP</v>
      </c>
      <c r="B18193" s="3" t="str">
        <f>HYPERLINK("https://www.773grp.com/manufacturer/texas-instruments?pageNo=906", "Texas Instruments")</f>
        <v>Texas Instruments</v>
      </c>
      <c r="C18193" s="5">
        <v>74050</v>
      </c>
      <c r="D18193" s="6">
        <v>4.1100000000000003</v>
      </c>
      <c r="E18193" t="s">
        <v>6</v>
      </c>
    </row>
    <row r="18194" spans="1:5" x14ac:dyDescent="0.25">
      <c r="A18194" t="str">
        <f>HYPERLINK("https://www.773grp.com/globalSearch/TPS60123PWP/page-1", "TPS60123PWP")</f>
        <v>TPS60123PWP</v>
      </c>
      <c r="B18194" s="3" t="str">
        <f>HYPERLINK("https://www.773grp.com/manufacturer/texas-instruments?pageNo=928", "Texas Instruments")</f>
        <v>Texas Instruments</v>
      </c>
      <c r="C18194" s="5">
        <v>6651</v>
      </c>
      <c r="D18194" s="6">
        <v>4.1100000000000003</v>
      </c>
      <c r="E18194" t="s">
        <v>6</v>
      </c>
    </row>
    <row r="18195" spans="1:5" x14ac:dyDescent="0.25">
      <c r="A18195" t="str">
        <f>HYPERLINK("https://www.773grp.com/globalSearch/TPS60141PWP/page-1", "TPS60141PWP")</f>
        <v>TPS60141PWP</v>
      </c>
      <c r="B18195" s="3" t="str">
        <f>HYPERLINK("https://www.773grp.com/manufacturer/texas-instruments?pageNo=930", "Texas Instruments")</f>
        <v>Texas Instruments</v>
      </c>
      <c r="C18195" s="5">
        <v>16127</v>
      </c>
      <c r="D18195" s="6">
        <v>4.1100000000000003</v>
      </c>
      <c r="E18195" t="s">
        <v>6</v>
      </c>
    </row>
    <row r="18196" spans="1:5" x14ac:dyDescent="0.25">
      <c r="A18196" t="str">
        <f>HYPERLINK("https://www.773grp.com/globalSearch/TPS60200DGS/page-1", "TPS60200DGS")</f>
        <v>TPS60200DGS</v>
      </c>
      <c r="B18196" s="3" t="str">
        <f>HYPERLINK("https://www.773grp.com/manufacturer/texas-instruments?pageNo=931", "Texas Instruments")</f>
        <v>Texas Instruments</v>
      </c>
      <c r="C18196" s="5">
        <v>18428</v>
      </c>
      <c r="D18196" s="6">
        <v>4.1100000000000003</v>
      </c>
      <c r="E18196" t="s">
        <v>6</v>
      </c>
    </row>
    <row r="18197" spans="1:5" x14ac:dyDescent="0.25">
      <c r="A18197" t="str">
        <f>HYPERLINK("https://www.773grp.com/globalSearch/TPS60204DGS/page-1", "TPS60204DGS")</f>
        <v>TPS60204DGS</v>
      </c>
      <c r="B18197" s="3" t="str">
        <f>HYPERLINK("https://www.773grp.com/manufacturer/texas-instruments?pageNo=932", "Texas Instruments")</f>
        <v>Texas Instruments</v>
      </c>
      <c r="C18197" s="5">
        <v>57</v>
      </c>
      <c r="D18197" s="6">
        <v>4.1100000000000003</v>
      </c>
      <c r="E18197" t="s">
        <v>6</v>
      </c>
    </row>
    <row r="18198" spans="1:5" x14ac:dyDescent="0.25">
      <c r="A18198" t="str">
        <f>HYPERLINK("https://www.773grp.com/globalSearch/TPS60205DGS/page-1", "TPS60205DGS")</f>
        <v>TPS60205DGS</v>
      </c>
      <c r="B18198" s="3" t="str">
        <f>HYPERLINK("https://www.773grp.com/manufacturer/texas-instruments?pageNo=933", "Texas Instruments")</f>
        <v>Texas Instruments</v>
      </c>
      <c r="C18198" s="5">
        <v>3569</v>
      </c>
      <c r="D18198" s="6">
        <v>4.1100000000000003</v>
      </c>
      <c r="E18198" t="s">
        <v>6</v>
      </c>
    </row>
    <row r="18199" spans="1:5" x14ac:dyDescent="0.25">
      <c r="A18199" t="str">
        <f>HYPERLINK("https://www.773grp.com/globalSearch/TPS60310DGS/page-1", "TPS60310DGS")</f>
        <v>TPS60310DGS</v>
      </c>
      <c r="B18199" s="3" t="str">
        <f>HYPERLINK("https://www.773grp.com/manufacturer/texas-instruments?pageNo=935", "Texas Instruments")</f>
        <v>Texas Instruments</v>
      </c>
      <c r="C18199" s="5">
        <v>765</v>
      </c>
      <c r="D18199" s="6">
        <v>4.1100000000000003</v>
      </c>
      <c r="E18199" t="s">
        <v>6</v>
      </c>
    </row>
    <row r="18200" spans="1:5" x14ac:dyDescent="0.25">
      <c r="A18200" t="str">
        <f>HYPERLINK("https://www.773grp.com/globalSearch/TPS60311DGS/page-1", "TPS60311DGS")</f>
        <v>TPS60311DGS</v>
      </c>
      <c r="B18200" s="3" t="str">
        <f>HYPERLINK("https://www.773grp.com/manufacturer/texas-instruments?pageNo=936", "Texas Instruments")</f>
        <v>Texas Instruments</v>
      </c>
      <c r="C18200" s="5">
        <v>38900</v>
      </c>
      <c r="D18200" s="6">
        <v>4.1100000000000003</v>
      </c>
      <c r="E18200" t="s">
        <v>6</v>
      </c>
    </row>
    <row r="18201" spans="1:5" x14ac:dyDescent="0.25">
      <c r="A18201" t="str">
        <f>HYPERLINK("https://www.773grp.com/globalSearch/TPS60312DGS/page-1", "TPS60312DGS")</f>
        <v>TPS60312DGS</v>
      </c>
      <c r="B18201" s="3" t="str">
        <f>HYPERLINK("https://www.773grp.com/manufacturer/texas-instruments?pageNo=937", "Texas Instruments")</f>
        <v>Texas Instruments</v>
      </c>
      <c r="C18201" s="5">
        <v>559</v>
      </c>
      <c r="D18201" s="6">
        <v>4.1100000000000003</v>
      </c>
      <c r="E18201" t="s">
        <v>6</v>
      </c>
    </row>
    <row r="18202" spans="1:5" x14ac:dyDescent="0.25">
      <c r="A18202" t="str">
        <f>HYPERLINK("https://www.773grp.com/globalSearch/TPS60313DGS/page-1", "TPS60313DGS")</f>
        <v>TPS60313DGS</v>
      </c>
      <c r="B18202" s="3" t="str">
        <f>HYPERLINK("https://www.773grp.com/manufacturer/texas-instruments?pageNo=938", "Texas Instruments")</f>
        <v>Texas Instruments</v>
      </c>
      <c r="C18202" s="5">
        <v>10842</v>
      </c>
      <c r="D18202" s="6">
        <v>4.1100000000000003</v>
      </c>
      <c r="E18202" t="s">
        <v>6</v>
      </c>
    </row>
    <row r="18203" spans="1:5" x14ac:dyDescent="0.25">
      <c r="A18203" t="str">
        <f>HYPERLINK("https://www.773grp.com/globalSearch/TL598CN/page-1", "TL598CN")</f>
        <v>TL598CN</v>
      </c>
      <c r="B18203" s="3" t="s">
        <v>90</v>
      </c>
      <c r="C18203" s="5">
        <v>16</v>
      </c>
      <c r="D18203" s="6">
        <v>4.16</v>
      </c>
      <c r="E18203" t="s">
        <v>6</v>
      </c>
    </row>
    <row r="18204" spans="1:5" x14ac:dyDescent="0.25">
      <c r="A18204" t="str">
        <f>HYPERLINK("https://www.773grp.com/globalSearch/TL7660ID/page-1", "TL7660ID")</f>
        <v>TL7660ID</v>
      </c>
      <c r="B18204" s="3" t="s">
        <v>90</v>
      </c>
      <c r="C18204" s="5">
        <v>13800</v>
      </c>
      <c r="D18204" s="6">
        <v>4.16</v>
      </c>
      <c r="E18204" t="s">
        <v>6</v>
      </c>
    </row>
    <row r="18205" spans="1:5" x14ac:dyDescent="0.25">
      <c r="A18205" t="str">
        <f>HYPERLINK("https://www.773grp.com/globalSearch/UCC3808AN-1/page-1", "UCC3808AN-1")</f>
        <v>UCC3808AN-1</v>
      </c>
      <c r="B18205" s="3" t="s">
        <v>90</v>
      </c>
      <c r="C18205" s="5">
        <v>13150</v>
      </c>
      <c r="D18205" s="6">
        <v>3.76</v>
      </c>
      <c r="E18205" t="s">
        <v>6</v>
      </c>
    </row>
    <row r="18206" spans="1:5" x14ac:dyDescent="0.25">
      <c r="A18206" t="str">
        <f>HYPERLINK("https://www.773grp.com/globalSearch/UCC3808N-1/page-1", "UCC3808N-1")</f>
        <v>UCC3808N-1</v>
      </c>
      <c r="B18206" s="3" t="s">
        <v>90</v>
      </c>
      <c r="C18206" s="5">
        <v>47</v>
      </c>
      <c r="D18206" s="6">
        <v>3.76</v>
      </c>
      <c r="E18206" t="s">
        <v>6</v>
      </c>
    </row>
    <row r="18207" spans="1:5" x14ac:dyDescent="0.25">
      <c r="A18207" t="str">
        <f>HYPERLINK("https://www.773grp.com/globalSearch/UCC3808N-2/page-1", "UCC3808N-2")</f>
        <v>UCC3808N-2</v>
      </c>
      <c r="B18207" s="3" t="s">
        <v>90</v>
      </c>
      <c r="C18207" s="5">
        <v>300</v>
      </c>
      <c r="D18207" s="6">
        <v>3.76</v>
      </c>
      <c r="E18207" t="s">
        <v>6</v>
      </c>
    </row>
    <row r="18208" spans="1:5" x14ac:dyDescent="0.25">
      <c r="A18208" t="str">
        <f>HYPERLINK("https://www.773grp.com/globalSearch/UCC3813N-0/page-1", "UCC3813N-0")</f>
        <v>UCC3813N-0</v>
      </c>
      <c r="B18208" s="3" t="s">
        <v>90</v>
      </c>
      <c r="C18208" s="5">
        <v>1377</v>
      </c>
      <c r="D18208" s="6">
        <v>3.76</v>
      </c>
      <c r="E18208" t="s">
        <v>6</v>
      </c>
    </row>
    <row r="18209" spans="1:5" x14ac:dyDescent="0.25">
      <c r="A18209" t="str">
        <f>HYPERLINK("https://www.773grp.com/globalSearch/UCC3813N-1/page-1", "UCC3813N-1")</f>
        <v>UCC3813N-1</v>
      </c>
      <c r="B18209" s="3" t="s">
        <v>90</v>
      </c>
      <c r="C18209" s="5">
        <v>950</v>
      </c>
      <c r="D18209" s="6">
        <v>3.76</v>
      </c>
      <c r="E18209" t="s">
        <v>6</v>
      </c>
    </row>
    <row r="18210" spans="1:5" x14ac:dyDescent="0.25">
      <c r="A18210" t="str">
        <f>HYPERLINK("https://www.773grp.com/globalSearch/UCC3813N-1/page-1", "UCC3813N-1")</f>
        <v>UCC3813N-1</v>
      </c>
      <c r="B18210" s="3" t="s">
        <v>90</v>
      </c>
      <c r="C18210" s="5">
        <v>500</v>
      </c>
      <c r="D18210" s="6">
        <v>3.76</v>
      </c>
      <c r="E18210" t="s">
        <v>6</v>
      </c>
    </row>
    <row r="18211" spans="1:5" x14ac:dyDescent="0.25">
      <c r="A18211" t="str">
        <f>HYPERLINK("https://www.773grp.com/globalSearch/UCC3813N-2/page-1", "UCC3813N-2")</f>
        <v>UCC3813N-2</v>
      </c>
      <c r="B18211" s="3" t="s">
        <v>90</v>
      </c>
      <c r="C18211" s="5">
        <v>1000</v>
      </c>
      <c r="D18211" s="6">
        <v>3.76</v>
      </c>
      <c r="E18211" t="s">
        <v>6</v>
      </c>
    </row>
    <row r="18212" spans="1:5" x14ac:dyDescent="0.25">
      <c r="A18212" t="str">
        <f>HYPERLINK("https://www.773grp.com/globalSearch/UCC3813N-3/page-1", "UCC3813N-3")</f>
        <v>UCC3813N-3</v>
      </c>
      <c r="B18212" s="3" t="s">
        <v>90</v>
      </c>
      <c r="C18212" s="5">
        <v>6350</v>
      </c>
      <c r="D18212" s="6">
        <v>3.76</v>
      </c>
      <c r="E18212" t="s">
        <v>6</v>
      </c>
    </row>
    <row r="18213" spans="1:5" x14ac:dyDescent="0.25">
      <c r="A18213" t="str">
        <f>HYPERLINK("https://www.773grp.com/globalSearch/UCC3813N-4/page-1", "UCC3813N-4")</f>
        <v>UCC3813N-4</v>
      </c>
      <c r="B18213" s="3" t="s">
        <v>90</v>
      </c>
      <c r="C18213" s="5">
        <v>1250</v>
      </c>
      <c r="D18213" s="6">
        <v>3.76</v>
      </c>
      <c r="E18213" t="s">
        <v>6</v>
      </c>
    </row>
    <row r="18214" spans="1:5" x14ac:dyDescent="0.25">
      <c r="A18214" t="str">
        <f>HYPERLINK("https://www.773grp.com/globalSearch/UCC3813N-5/page-1", "UCC3813N-5")</f>
        <v>UCC3813N-5</v>
      </c>
      <c r="B18214" s="3" t="s">
        <v>90</v>
      </c>
      <c r="C18214" s="5">
        <v>4225</v>
      </c>
      <c r="D18214" s="6">
        <v>3.76</v>
      </c>
      <c r="E18214" t="s">
        <v>6</v>
      </c>
    </row>
    <row r="18215" spans="1:5" x14ac:dyDescent="0.25">
      <c r="A18215" t="str">
        <f>HYPERLINK("https://www.773grp.com/globalSearch/UCC3813N-5/page-1", "UCC3813N-5")</f>
        <v>UCC3813N-5</v>
      </c>
      <c r="B18215" s="3" t="s">
        <v>90</v>
      </c>
      <c r="C18215" s="5">
        <v>1500</v>
      </c>
      <c r="D18215" s="6">
        <v>3.76</v>
      </c>
      <c r="E18215" t="s">
        <v>6</v>
      </c>
    </row>
    <row r="18216" spans="1:5" x14ac:dyDescent="0.25">
      <c r="A18216" t="str">
        <f>HYPERLINK("https://www.773grp.com/globalSearch/TPS40074RHLR/page-1", "TPS40074RHLR")</f>
        <v>TPS40074RHLR</v>
      </c>
      <c r="B18216" s="3" t="s">
        <v>90</v>
      </c>
      <c r="C18216" s="5">
        <v>149365</v>
      </c>
      <c r="D18216" s="6">
        <v>3.8</v>
      </c>
      <c r="E18216" t="s">
        <v>6</v>
      </c>
    </row>
    <row r="18217" spans="1:5" x14ac:dyDescent="0.25">
      <c r="A18217" t="str">
        <f>HYPERLINK("https://www.773grp.com/globalSearch/TPS40075RHLR/page-1", "TPS40075RHLR")</f>
        <v>TPS40075RHLR</v>
      </c>
      <c r="B18217" s="3" t="s">
        <v>90</v>
      </c>
      <c r="C18217" s="5">
        <v>26546</v>
      </c>
      <c r="D18217" s="6">
        <v>3.8</v>
      </c>
      <c r="E18217" t="s">
        <v>6</v>
      </c>
    </row>
    <row r="18218" spans="1:5" x14ac:dyDescent="0.25">
      <c r="A18218" t="str">
        <f>HYPERLINK("https://www.773grp.com/globalSearch/TPS40077PWPR/page-1", "TPS40077PWPR")</f>
        <v>TPS40077PWPR</v>
      </c>
      <c r="B18218" s="3" t="s">
        <v>90</v>
      </c>
      <c r="C18218" s="5">
        <v>775</v>
      </c>
      <c r="D18218" s="6">
        <v>3.8</v>
      </c>
      <c r="E18218" t="s">
        <v>6</v>
      </c>
    </row>
    <row r="18219" spans="1:5" x14ac:dyDescent="0.25">
      <c r="A18219" t="str">
        <f>HYPERLINK("https://www.773grp.com/globalSearch/TPS5100IPWR/page-1", "TPS5100IPWR")</f>
        <v>TPS5100IPWR</v>
      </c>
      <c r="B18219" s="3" t="s">
        <v>90</v>
      </c>
      <c r="C18219" s="5">
        <v>18000</v>
      </c>
      <c r="D18219" s="6">
        <v>3.8</v>
      </c>
      <c r="E18219" t="s">
        <v>6</v>
      </c>
    </row>
    <row r="18220" spans="1:5" x14ac:dyDescent="0.25">
      <c r="A18220" t="str">
        <f>HYPERLINK("https://www.773grp.com/globalSearch/TPS53219RGTR/page-1", "TPS53219RGTR")</f>
        <v>TPS53219RGTR</v>
      </c>
      <c r="B18220" s="3" t="s">
        <v>90</v>
      </c>
      <c r="C18220" s="5">
        <v>27822</v>
      </c>
      <c r="D18220" s="6">
        <v>3.8</v>
      </c>
      <c r="E18220" t="s">
        <v>6</v>
      </c>
    </row>
    <row r="18221" spans="1:5" x14ac:dyDescent="0.25">
      <c r="A18221" t="str">
        <f>HYPERLINK("https://www.773grp.com/globalSearch/TPS62320YEDT/page-1", "TPS62320YEDT")</f>
        <v>TPS62320YEDT</v>
      </c>
      <c r="B18221" s="3" t="s">
        <v>90</v>
      </c>
      <c r="C18221" s="5">
        <v>750</v>
      </c>
      <c r="D18221" s="6">
        <v>3.8</v>
      </c>
      <c r="E18221" t="s">
        <v>6</v>
      </c>
    </row>
    <row r="18222" spans="1:5" x14ac:dyDescent="0.25">
      <c r="A18222" t="str">
        <f>HYPERLINK("https://www.773grp.com/globalSearch/TPS62321YEDT/page-1", "TPS62321YEDT")</f>
        <v>TPS62321YEDT</v>
      </c>
      <c r="B18222" s="3" t="s">
        <v>90</v>
      </c>
      <c r="C18222" s="5">
        <v>2500</v>
      </c>
      <c r="D18222" s="6">
        <v>3.8</v>
      </c>
      <c r="E18222" t="s">
        <v>6</v>
      </c>
    </row>
    <row r="18223" spans="1:5" x14ac:dyDescent="0.25">
      <c r="A18223" t="str">
        <f>HYPERLINK("https://www.773grp.com/globalSearch/TPS65100RGER/page-1", "TPS65100RGER")</f>
        <v>TPS65100RGER</v>
      </c>
      <c r="B18223" s="3" t="s">
        <v>90</v>
      </c>
      <c r="C18223" s="5">
        <v>13060</v>
      </c>
      <c r="D18223" s="6">
        <v>3.8</v>
      </c>
      <c r="E18223" t="s">
        <v>6</v>
      </c>
    </row>
    <row r="18224" spans="1:5" x14ac:dyDescent="0.25">
      <c r="A18224" t="str">
        <f>HYPERLINK("https://www.773grp.com/globalSearch/TPS65141PWP/page-1", "TPS65141PWP")</f>
        <v>TPS65141PWP</v>
      </c>
      <c r="B18224" s="3" t="s">
        <v>90</v>
      </c>
      <c r="C18224" s="5">
        <v>1320</v>
      </c>
      <c r="D18224" s="6">
        <v>3.8</v>
      </c>
      <c r="E18224" t="s">
        <v>6</v>
      </c>
    </row>
    <row r="18225" spans="1:5" x14ac:dyDescent="0.25">
      <c r="A18225" t="str">
        <f>HYPERLINK("https://www.773grp.com/globalSearch/UC2526ADW/page-1", "UC2526ADW")</f>
        <v>UC2526ADW</v>
      </c>
      <c r="B18225" s="3" t="s">
        <v>90</v>
      </c>
      <c r="C18225" s="5">
        <v>18682</v>
      </c>
      <c r="D18225" s="6">
        <v>3.8</v>
      </c>
      <c r="E18225" t="s">
        <v>6</v>
      </c>
    </row>
    <row r="18226" spans="1:5" x14ac:dyDescent="0.25">
      <c r="A18226" t="str">
        <f>HYPERLINK("https://www.773grp.com/globalSearch/UC2526AQ/page-1", "UC2526AQ")</f>
        <v>UC2526AQ</v>
      </c>
      <c r="B18226" s="3" t="s">
        <v>90</v>
      </c>
      <c r="C18226" s="5">
        <v>9597</v>
      </c>
      <c r="D18226" s="6">
        <v>3.8</v>
      </c>
      <c r="E18226" t="s">
        <v>6</v>
      </c>
    </row>
    <row r="18227" spans="1:5" x14ac:dyDescent="0.25">
      <c r="A18227" t="str">
        <f>HYPERLINK("https://www.773grp.com/globalSearch/UC28025DWR/page-1", "UC28025DWR")</f>
        <v>UC28025DWR</v>
      </c>
      <c r="B18227" s="3" t="s">
        <v>90</v>
      </c>
      <c r="C18227" s="5">
        <v>16000</v>
      </c>
      <c r="D18227" s="6">
        <v>3.8</v>
      </c>
      <c r="E18227" t="s">
        <v>6</v>
      </c>
    </row>
    <row r="18228" spans="1:5" x14ac:dyDescent="0.25">
      <c r="A18228" t="str">
        <f>HYPERLINK("https://www.773grp.com/globalSearch/UCC28060D/page-1", "UCC28060D")</f>
        <v>UCC28060D</v>
      </c>
      <c r="B18228" s="3" t="s">
        <v>90</v>
      </c>
      <c r="C18228" s="5">
        <v>634</v>
      </c>
      <c r="D18228" s="6">
        <v>3.8</v>
      </c>
      <c r="E18228" t="s">
        <v>6</v>
      </c>
    </row>
    <row r="18229" spans="1:5" x14ac:dyDescent="0.25">
      <c r="A18229" t="str">
        <f>HYPERLINK("https://www.773grp.com/globalSearch/UCC28061D/page-1", "UCC28061D")</f>
        <v>UCC28061D</v>
      </c>
      <c r="B18229" s="3" t="s">
        <v>90</v>
      </c>
      <c r="C18229" s="5">
        <v>200</v>
      </c>
      <c r="D18229" s="6">
        <v>3.8</v>
      </c>
      <c r="E18229" t="s">
        <v>6</v>
      </c>
    </row>
    <row r="18230" spans="1:5" x14ac:dyDescent="0.25">
      <c r="A18230" t="str">
        <f>HYPERLINK("https://www.773grp.com/globalSearch/UCC2891D/page-1", "UCC2891D")</f>
        <v>UCC2891D</v>
      </c>
      <c r="B18230" s="3" t="s">
        <v>90</v>
      </c>
      <c r="C18230" s="5">
        <v>120</v>
      </c>
      <c r="D18230" s="6">
        <v>3.8</v>
      </c>
      <c r="E18230" t="s">
        <v>6</v>
      </c>
    </row>
    <row r="18231" spans="1:5" x14ac:dyDescent="0.25">
      <c r="A18231" t="str">
        <f>HYPERLINK("https://www.773grp.com/globalSearch/UCC3800D/page-1", "UCC3800D")</f>
        <v>UCC3800D</v>
      </c>
      <c r="B18231" s="3" t="s">
        <v>90</v>
      </c>
      <c r="C18231" s="5">
        <v>352</v>
      </c>
      <c r="D18231" s="6">
        <v>3.8</v>
      </c>
      <c r="E18231" t="s">
        <v>6</v>
      </c>
    </row>
    <row r="18232" spans="1:5" x14ac:dyDescent="0.25">
      <c r="A18232" t="str">
        <f>HYPERLINK("https://www.773grp.com/globalSearch/UCC3800PW/page-1", "UCC3800PW")</f>
        <v>UCC3800PW</v>
      </c>
      <c r="B18232" s="3" t="s">
        <v>90</v>
      </c>
      <c r="C18232" s="5">
        <v>8850</v>
      </c>
      <c r="D18232" s="6">
        <v>3.8</v>
      </c>
      <c r="E18232" t="s">
        <v>6</v>
      </c>
    </row>
    <row r="18233" spans="1:5" x14ac:dyDescent="0.25">
      <c r="A18233" t="str">
        <f>HYPERLINK("https://www.773grp.com/globalSearch/UCC3800PWG4/page-1", "UCC3800PWG4")</f>
        <v>UCC3800PWG4</v>
      </c>
      <c r="B18233" s="3" t="s">
        <v>90</v>
      </c>
      <c r="C18233" s="5">
        <v>347</v>
      </c>
      <c r="D18233" s="6">
        <v>3.8</v>
      </c>
      <c r="E18233" t="s">
        <v>6</v>
      </c>
    </row>
    <row r="18234" spans="1:5" x14ac:dyDescent="0.25">
      <c r="A18234" t="str">
        <f>HYPERLINK("https://www.773grp.com/globalSearch/UCC3801D/page-1", "UCC3801D")</f>
        <v>UCC3801D</v>
      </c>
      <c r="B18234" s="3" t="s">
        <v>90</v>
      </c>
      <c r="C18234" s="5">
        <v>7583</v>
      </c>
      <c r="D18234" s="6">
        <v>3.8</v>
      </c>
      <c r="E18234" t="s">
        <v>6</v>
      </c>
    </row>
    <row r="18235" spans="1:5" x14ac:dyDescent="0.25">
      <c r="A18235" t="str">
        <f>HYPERLINK("https://www.773grp.com/globalSearch/UCC3801PW/page-1", "UCC3801PW")</f>
        <v>UCC3801PW</v>
      </c>
      <c r="B18235" s="3" t="s">
        <v>90</v>
      </c>
      <c r="C18235" s="5">
        <v>3000</v>
      </c>
      <c r="D18235" s="6">
        <v>3.8</v>
      </c>
      <c r="E18235" t="s">
        <v>6</v>
      </c>
    </row>
    <row r="18236" spans="1:5" x14ac:dyDescent="0.25">
      <c r="A18236" t="str">
        <f>HYPERLINK("https://www.773grp.com/globalSearch/UCC3802D/page-1", "UCC3802D")</f>
        <v>UCC3802D</v>
      </c>
      <c r="B18236" s="3" t="s">
        <v>90</v>
      </c>
      <c r="C18236" s="5">
        <v>825</v>
      </c>
      <c r="D18236" s="6">
        <v>3.8</v>
      </c>
      <c r="E18236" t="s">
        <v>6</v>
      </c>
    </row>
    <row r="18237" spans="1:5" x14ac:dyDescent="0.25">
      <c r="A18237" t="str">
        <f>HYPERLINK("https://www.773grp.com/globalSearch/UCC3802D/page-1", "UCC3802D")</f>
        <v>UCC3802D</v>
      </c>
      <c r="B18237" s="3" t="s">
        <v>90</v>
      </c>
      <c r="C18237" s="5">
        <v>800</v>
      </c>
      <c r="D18237" s="6">
        <v>3.8</v>
      </c>
      <c r="E18237" t="s">
        <v>6</v>
      </c>
    </row>
    <row r="18238" spans="1:5" x14ac:dyDescent="0.25">
      <c r="A18238" t="str">
        <f>HYPERLINK("https://www.773grp.com/globalSearch/UCC3802PW/page-1", "UCC3802PW")</f>
        <v>UCC3802PW</v>
      </c>
      <c r="B18238" s="3" t="s">
        <v>90</v>
      </c>
      <c r="C18238" s="5">
        <v>19690</v>
      </c>
      <c r="D18238" s="6">
        <v>3.8</v>
      </c>
      <c r="E18238" t="s">
        <v>6</v>
      </c>
    </row>
    <row r="18239" spans="1:5" x14ac:dyDescent="0.25">
      <c r="A18239" t="str">
        <f>HYPERLINK("https://www.773grp.com/globalSearch/UCC3803D/page-1", "UCC3803D")</f>
        <v>UCC3803D</v>
      </c>
      <c r="B18239" s="3" t="s">
        <v>90</v>
      </c>
      <c r="C18239" s="5">
        <v>2061</v>
      </c>
      <c r="D18239" s="6">
        <v>3.8</v>
      </c>
      <c r="E18239" t="s">
        <v>6</v>
      </c>
    </row>
    <row r="18240" spans="1:5" x14ac:dyDescent="0.25">
      <c r="A18240" t="str">
        <f>HYPERLINK("https://www.773grp.com/globalSearch/UCC3803DG4/page-1", "UCC3803DG4")</f>
        <v>UCC3803DG4</v>
      </c>
      <c r="B18240" s="3" t="s">
        <v>90</v>
      </c>
      <c r="C18240" s="5">
        <v>100</v>
      </c>
      <c r="D18240" s="6">
        <v>3.8</v>
      </c>
      <c r="E18240" t="s">
        <v>6</v>
      </c>
    </row>
    <row r="18241" spans="1:5" x14ac:dyDescent="0.25">
      <c r="A18241" t="str">
        <f>HYPERLINK("https://www.773grp.com/globalSearch/UCC3803PW/page-1", "UCC3803PW")</f>
        <v>UCC3803PW</v>
      </c>
      <c r="B18241" s="3" t="s">
        <v>90</v>
      </c>
      <c r="C18241" s="5">
        <v>2423</v>
      </c>
      <c r="D18241" s="6">
        <v>3.8</v>
      </c>
      <c r="E18241" t="s">
        <v>6</v>
      </c>
    </row>
    <row r="18242" spans="1:5" x14ac:dyDescent="0.25">
      <c r="A18242" t="str">
        <f>HYPERLINK("https://www.773grp.com/globalSearch/UCC3804D/page-1", "UCC3804D")</f>
        <v>UCC3804D</v>
      </c>
      <c r="B18242" s="3" t="s">
        <v>90</v>
      </c>
      <c r="C18242" s="5">
        <v>435</v>
      </c>
      <c r="D18242" s="6">
        <v>3.8</v>
      </c>
      <c r="E18242" t="s">
        <v>6</v>
      </c>
    </row>
    <row r="18243" spans="1:5" x14ac:dyDescent="0.25">
      <c r="A18243" t="str">
        <f>HYPERLINK("https://www.773grp.com/globalSearch/UCC3804D/page-1", "UCC3804D")</f>
        <v>UCC3804D</v>
      </c>
      <c r="B18243" s="3" t="s">
        <v>90</v>
      </c>
      <c r="C18243" s="5">
        <v>60</v>
      </c>
      <c r="D18243" s="6">
        <v>3.8</v>
      </c>
      <c r="E18243" t="s">
        <v>6</v>
      </c>
    </row>
    <row r="18244" spans="1:5" x14ac:dyDescent="0.25">
      <c r="A18244" t="str">
        <f>HYPERLINK("https://www.773grp.com/globalSearch/UCC3804PW/page-1", "UCC3804PW")</f>
        <v>UCC3804PW</v>
      </c>
      <c r="B18244" s="3" t="s">
        <v>90</v>
      </c>
      <c r="C18244" s="5">
        <v>6360</v>
      </c>
      <c r="D18244" s="6">
        <v>3.8</v>
      </c>
      <c r="E18244" t="s">
        <v>6</v>
      </c>
    </row>
    <row r="18245" spans="1:5" x14ac:dyDescent="0.25">
      <c r="A18245" t="str">
        <f>HYPERLINK("https://www.773grp.com/globalSearch/UCC3805PW/page-1", "UCC3805PW")</f>
        <v>UCC3805PW</v>
      </c>
      <c r="B18245" s="3" t="s">
        <v>90</v>
      </c>
      <c r="C18245" s="5">
        <v>19409</v>
      </c>
      <c r="D18245" s="6">
        <v>3.8</v>
      </c>
      <c r="E18245" t="s">
        <v>6</v>
      </c>
    </row>
    <row r="18246" spans="1:5" x14ac:dyDescent="0.25">
      <c r="A18246" t="str">
        <f>HYPERLINK("https://www.773grp.com/globalSearch/UCC3805PW/page-1", "UCC3805PW")</f>
        <v>UCC3805PW</v>
      </c>
      <c r="B18246" s="3" t="s">
        <v>90</v>
      </c>
      <c r="C18246" s="5">
        <v>3750</v>
      </c>
      <c r="D18246" s="6">
        <v>3.8</v>
      </c>
      <c r="E18246" t="s">
        <v>6</v>
      </c>
    </row>
    <row r="18247" spans="1:5" x14ac:dyDescent="0.25">
      <c r="A18247" t="str">
        <f>HYPERLINK("https://www.773grp.com/globalSearch/UCC38083D/page-1", "UCC38083D")</f>
        <v>UCC38083D</v>
      </c>
      <c r="B18247" s="3" t="s">
        <v>90</v>
      </c>
      <c r="C18247" s="5">
        <v>4205</v>
      </c>
      <c r="D18247" s="6">
        <v>3.8</v>
      </c>
      <c r="E18247" t="s">
        <v>6</v>
      </c>
    </row>
    <row r="18248" spans="1:5" x14ac:dyDescent="0.25">
      <c r="A18248" t="str">
        <f>HYPERLINK("https://www.773grp.com/globalSearch/UCC38083PW/page-1", "UCC38083PW")</f>
        <v>UCC38083PW</v>
      </c>
      <c r="B18248" s="3" t="s">
        <v>90</v>
      </c>
      <c r="C18248" s="5">
        <v>13426</v>
      </c>
      <c r="D18248" s="6">
        <v>3.8</v>
      </c>
      <c r="E18248" t="s">
        <v>6</v>
      </c>
    </row>
    <row r="18249" spans="1:5" x14ac:dyDescent="0.25">
      <c r="A18249" t="str">
        <f>HYPERLINK("https://www.773grp.com/globalSearch/UCC38084D/page-1", "UCC38084D")</f>
        <v>UCC38084D</v>
      </c>
      <c r="B18249" s="3" t="s">
        <v>90</v>
      </c>
      <c r="C18249" s="5">
        <v>95</v>
      </c>
      <c r="D18249" s="6">
        <v>3.8</v>
      </c>
      <c r="E18249" t="s">
        <v>6</v>
      </c>
    </row>
    <row r="18250" spans="1:5" x14ac:dyDescent="0.25">
      <c r="A18250" t="str">
        <f>HYPERLINK("https://www.773grp.com/globalSearch/UCC38084PW/page-1", "UCC38084PW")</f>
        <v>UCC38084PW</v>
      </c>
      <c r="B18250" s="3" t="s">
        <v>90</v>
      </c>
      <c r="C18250" s="5">
        <v>11506</v>
      </c>
      <c r="D18250" s="6">
        <v>3.8</v>
      </c>
      <c r="E18250" t="s">
        <v>6</v>
      </c>
    </row>
    <row r="18251" spans="1:5" x14ac:dyDescent="0.25">
      <c r="A18251" t="str">
        <f>HYPERLINK("https://www.773grp.com/globalSearch/UCC3817D/page-1", "UCC3817D")</f>
        <v>UCC3817D</v>
      </c>
      <c r="B18251" s="3" t="s">
        <v>90</v>
      </c>
      <c r="C18251" s="5">
        <v>11230</v>
      </c>
      <c r="D18251" s="6">
        <v>3.8</v>
      </c>
      <c r="E18251" t="s">
        <v>6</v>
      </c>
    </row>
    <row r="18252" spans="1:5" x14ac:dyDescent="0.25">
      <c r="A18252" t="str">
        <f>HYPERLINK("https://www.773grp.com/globalSearch/UCC3817DW/page-1", "UCC3817DW")</f>
        <v>UCC3817DW</v>
      </c>
      <c r="B18252" s="3" t="s">
        <v>90</v>
      </c>
      <c r="C18252" s="5">
        <v>15280</v>
      </c>
      <c r="D18252" s="6">
        <v>3.8</v>
      </c>
      <c r="E18252" t="s">
        <v>6</v>
      </c>
    </row>
    <row r="18253" spans="1:5" x14ac:dyDescent="0.25">
      <c r="A18253" t="str">
        <f>HYPERLINK("https://www.773grp.com/globalSearch/TPD12S015YFFR/page-1", "TPD12S015YFFR")</f>
        <v>TPD12S015YFFR</v>
      </c>
      <c r="B18253" s="3" t="str">
        <f>HYPERLINK("https://www.773grp.com/manufacturer/texas-instruments?pageNo=137", "Texas Instruments")</f>
        <v>Texas Instruments</v>
      </c>
      <c r="C18253" s="5">
        <v>1000</v>
      </c>
      <c r="D18253" s="6">
        <v>4.2300000000000004</v>
      </c>
      <c r="E18253" t="s">
        <v>6</v>
      </c>
    </row>
    <row r="18254" spans="1:5" x14ac:dyDescent="0.25">
      <c r="A18254" t="str">
        <f>HYPERLINK("https://www.773grp.com/globalSearch/TPS54319RTER/page-1", "TPS54319RTER")</f>
        <v>TPS54319RTER</v>
      </c>
      <c r="B18254" s="3" t="str">
        <f>HYPERLINK("https://www.773grp.com/manufacturer/texas-instruments?pageNo=166", "Texas Instruments")</f>
        <v>Texas Instruments</v>
      </c>
      <c r="C18254" s="5">
        <v>16610</v>
      </c>
      <c r="D18254" s="6">
        <v>4.2300000000000004</v>
      </c>
      <c r="E18254" t="s">
        <v>6</v>
      </c>
    </row>
    <row r="18255" spans="1:5" x14ac:dyDescent="0.25">
      <c r="A18255" t="str">
        <f>HYPERLINK("https://www.773grp.com/globalSearch/TPS60100PWPR/page-1", "TPS60100PWPR")</f>
        <v>TPS60100PWPR</v>
      </c>
      <c r="B18255" s="3" t="str">
        <f>HYPERLINK("https://www.773grp.com/manufacturer/texas-instruments?pageNo=167", "Texas Instruments")</f>
        <v>Texas Instruments</v>
      </c>
      <c r="C18255" s="5">
        <v>2004</v>
      </c>
      <c r="D18255" s="6">
        <v>4.2300000000000004</v>
      </c>
      <c r="E18255" t="s">
        <v>6</v>
      </c>
    </row>
    <row r="18256" spans="1:5" x14ac:dyDescent="0.25">
      <c r="A18256" t="str">
        <f>HYPERLINK("https://www.773grp.com/globalSearch/TPS60120PWPR/page-1", "TPS60120PWPR")</f>
        <v>TPS60120PWPR</v>
      </c>
      <c r="B18256" s="3" t="str">
        <f>HYPERLINK("https://www.773grp.com/manufacturer/texas-instruments?pageNo=168", "Texas Instruments")</f>
        <v>Texas Instruments</v>
      </c>
      <c r="C18256" s="5">
        <v>15920</v>
      </c>
      <c r="D18256" s="6">
        <v>4.2300000000000004</v>
      </c>
      <c r="E18256" t="s">
        <v>6</v>
      </c>
    </row>
    <row r="18257" spans="1:5" x14ac:dyDescent="0.25">
      <c r="A18257" t="str">
        <f>HYPERLINK("https://www.773grp.com/globalSearch/TPS60121PWPR/page-1", "TPS60121PWPR")</f>
        <v>TPS60121PWPR</v>
      </c>
      <c r="B18257" s="3" t="str">
        <f>HYPERLINK("https://www.773grp.com/manufacturer/texas-instruments?pageNo=169", "Texas Instruments")</f>
        <v>Texas Instruments</v>
      </c>
      <c r="C18257" s="5">
        <v>10000</v>
      </c>
      <c r="D18257" s="6">
        <v>4.2300000000000004</v>
      </c>
      <c r="E18257" t="s">
        <v>6</v>
      </c>
    </row>
    <row r="18258" spans="1:5" x14ac:dyDescent="0.25">
      <c r="A18258" t="str">
        <f>HYPERLINK("https://www.773grp.com/globalSearch/TPS60130PWPR/page-1", "TPS60130PWPR")</f>
        <v>TPS60130PWPR</v>
      </c>
      <c r="B18258" s="3" t="str">
        <f>HYPERLINK("https://www.773grp.com/manufacturer/texas-instruments?pageNo=172", "Texas Instruments")</f>
        <v>Texas Instruments</v>
      </c>
      <c r="C18258" s="5">
        <v>418</v>
      </c>
      <c r="D18258" s="6">
        <v>4.2300000000000004</v>
      </c>
      <c r="E18258" t="s">
        <v>6</v>
      </c>
    </row>
    <row r="18259" spans="1:5" x14ac:dyDescent="0.25">
      <c r="A18259" t="str">
        <f>HYPERLINK("https://www.773grp.com/globalSearch/TPS60202DGS/page-1", "TPS60202DGS")</f>
        <v>TPS60202DGS</v>
      </c>
      <c r="B18259" s="3" t="str">
        <f>HYPERLINK("https://www.773grp.com/manufacturer/texas-instruments?pageNo=173", "Texas Instruments")</f>
        <v>Texas Instruments</v>
      </c>
      <c r="C18259" s="5">
        <v>1883</v>
      </c>
      <c r="D18259" s="6">
        <v>4.2300000000000004</v>
      </c>
      <c r="E18259" t="s">
        <v>6</v>
      </c>
    </row>
    <row r="18260" spans="1:5" x14ac:dyDescent="0.25">
      <c r="A18260" t="str">
        <f>HYPERLINK("https://www.773grp.com/globalSearch/TPS60203DGS/page-1", "TPS60203DGS")</f>
        <v>TPS60203DGS</v>
      </c>
      <c r="B18260" s="3" t="str">
        <f>HYPERLINK("https://www.773grp.com/manufacturer/texas-instruments?pageNo=174", "Texas Instruments")</f>
        <v>Texas Instruments</v>
      </c>
      <c r="C18260" s="5">
        <v>12355</v>
      </c>
      <c r="D18260" s="6">
        <v>4.2300000000000004</v>
      </c>
      <c r="E18260" t="s">
        <v>6</v>
      </c>
    </row>
    <row r="18261" spans="1:5" x14ac:dyDescent="0.25">
      <c r="A18261" t="str">
        <f>HYPERLINK("https://www.773grp.com/globalSearch/TPS60212DGS/page-1", "TPS60212DGS")</f>
        <v>TPS60212DGS</v>
      </c>
      <c r="B18261" s="3" t="str">
        <f>HYPERLINK("https://www.773grp.com/manufacturer/texas-instruments?pageNo=175", "Texas Instruments")</f>
        <v>Texas Instruments</v>
      </c>
      <c r="C18261" s="5">
        <v>1829</v>
      </c>
      <c r="D18261" s="6">
        <v>4.2300000000000004</v>
      </c>
      <c r="E18261" t="s">
        <v>6</v>
      </c>
    </row>
    <row r="18262" spans="1:5" x14ac:dyDescent="0.25">
      <c r="A18262" t="str">
        <f>HYPERLINK("https://www.773grp.com/globalSearch/TPS60213DGS/page-1", "TPS60213DGS")</f>
        <v>TPS60213DGS</v>
      </c>
      <c r="B18262" s="3" t="str">
        <f>HYPERLINK("https://www.773grp.com/manufacturer/texas-instruments?pageNo=176", "Texas Instruments")</f>
        <v>Texas Instruments</v>
      </c>
      <c r="C18262" s="5">
        <v>7868</v>
      </c>
      <c r="D18262" s="6">
        <v>4.2300000000000004</v>
      </c>
      <c r="E18262" t="s">
        <v>6</v>
      </c>
    </row>
    <row r="18263" spans="1:5" x14ac:dyDescent="0.25">
      <c r="A18263" t="str">
        <f>HYPERLINK("https://www.773grp.com/globalSearch/TPS60213DGS/page-1", "TPS60213DGS")</f>
        <v>TPS60213DGS</v>
      </c>
      <c r="B18263" s="3" t="str">
        <f>HYPERLINK("https://www.773grp.com/manufacturer/texas-instruments?pageNo=177", "Texas Instruments")</f>
        <v>Texas Instruments</v>
      </c>
      <c r="C18263" s="5">
        <v>740</v>
      </c>
      <c r="D18263" s="6">
        <v>4.2300000000000004</v>
      </c>
      <c r="E18263" t="s">
        <v>6</v>
      </c>
    </row>
    <row r="18264" spans="1:5" x14ac:dyDescent="0.25">
      <c r="A18264" t="str">
        <f>HYPERLINK("https://www.773grp.com/globalSearch/TPS60250RTER/page-1", "TPS60250RTER")</f>
        <v>TPS60250RTER</v>
      </c>
      <c r="B18264" s="3" t="str">
        <f>HYPERLINK("https://www.773grp.com/manufacturer/texas-instruments?pageNo=178", "Texas Instruments")</f>
        <v>Texas Instruments</v>
      </c>
      <c r="C18264" s="5">
        <v>198000</v>
      </c>
      <c r="D18264" s="6">
        <v>4.2300000000000004</v>
      </c>
      <c r="E18264" t="s">
        <v>6</v>
      </c>
    </row>
    <row r="18265" spans="1:5" x14ac:dyDescent="0.25">
      <c r="A18265" t="str">
        <f>HYPERLINK("https://www.773grp.com/globalSearch/TPS60251RTWR/page-1", "TPS60251RTWR")</f>
        <v>TPS60251RTWR</v>
      </c>
      <c r="B18265" s="3" t="str">
        <f>HYPERLINK("https://www.773grp.com/manufacturer/texas-instruments?pageNo=179", "Texas Instruments")</f>
        <v>Texas Instruments</v>
      </c>
      <c r="C18265" s="5">
        <v>52165</v>
      </c>
      <c r="D18265" s="6">
        <v>4.2300000000000004</v>
      </c>
      <c r="E18265" t="s">
        <v>6</v>
      </c>
    </row>
    <row r="18266" spans="1:5" x14ac:dyDescent="0.25">
      <c r="A18266" t="str">
        <f>HYPERLINK("https://www.773grp.com/globalSearch/TPS60252RTER/page-1", "TPS60252RTER")</f>
        <v>TPS60252RTER</v>
      </c>
      <c r="B18266" s="3" t="str">
        <f>HYPERLINK("https://www.773grp.com/manufacturer/texas-instruments?pageNo=180", "Texas Instruments")</f>
        <v>Texas Instruments</v>
      </c>
      <c r="C18266" s="5">
        <v>528000</v>
      </c>
      <c r="D18266" s="6">
        <v>4.2300000000000004</v>
      </c>
      <c r="E18266" t="s">
        <v>6</v>
      </c>
    </row>
    <row r="18267" spans="1:5" x14ac:dyDescent="0.25">
      <c r="A18267" t="str">
        <f>HYPERLINK("https://www.773grp.com/globalSearch/TPS60255RTER/page-1", "TPS60255RTER")</f>
        <v>TPS60255RTER</v>
      </c>
      <c r="B18267" s="3" t="str">
        <f>HYPERLINK("https://www.773grp.com/manufacturer/texas-instruments?pageNo=181", "Texas Instruments")</f>
        <v>Texas Instruments</v>
      </c>
      <c r="C18267" s="5">
        <v>6000</v>
      </c>
      <c r="D18267" s="6">
        <v>4.2300000000000004</v>
      </c>
      <c r="E18267" t="s">
        <v>6</v>
      </c>
    </row>
    <row r="18268" spans="1:5" x14ac:dyDescent="0.25">
      <c r="A18268" t="str">
        <f>HYPERLINK("https://www.773grp.com/globalSearch/TPS61024DRCR/page-1", "TPS61024DRCR")</f>
        <v>TPS61024DRCR</v>
      </c>
      <c r="B18268" s="3" t="str">
        <f>HYPERLINK("https://www.773grp.com/manufacturer/texas-instruments?pageNo=183", "Texas Instruments")</f>
        <v>Texas Instruments</v>
      </c>
      <c r="C18268" s="5">
        <v>2451</v>
      </c>
      <c r="D18268" s="6">
        <v>4.2300000000000004</v>
      </c>
      <c r="E18268" t="s">
        <v>6</v>
      </c>
    </row>
    <row r="18269" spans="1:5" x14ac:dyDescent="0.25">
      <c r="A18269" t="str">
        <f>HYPERLINK("https://www.773grp.com/globalSearch/TPS61025DRCR/page-1", "TPS61025DRCR")</f>
        <v>TPS61025DRCR</v>
      </c>
      <c r="B18269" s="3" t="str">
        <f>HYPERLINK("https://www.773grp.com/manufacturer/texas-instruments?pageNo=184", "Texas Instruments")</f>
        <v>Texas Instruments</v>
      </c>
      <c r="C18269" s="5">
        <v>33000</v>
      </c>
      <c r="D18269" s="6">
        <v>4.2300000000000004</v>
      </c>
      <c r="E18269" t="s">
        <v>6</v>
      </c>
    </row>
    <row r="18270" spans="1:5" x14ac:dyDescent="0.25">
      <c r="A18270" t="str">
        <f>HYPERLINK("https://www.773grp.com/globalSearch/TPS61027DRCR/page-1", "TPS61027DRCR")</f>
        <v>TPS61027DRCR</v>
      </c>
      <c r="B18270" s="3" t="str">
        <f>HYPERLINK("https://www.773grp.com/manufacturer/texas-instruments?pageNo=185", "Texas Instruments")</f>
        <v>Texas Instruments</v>
      </c>
      <c r="C18270" s="5">
        <v>73995</v>
      </c>
      <c r="D18270" s="6">
        <v>4.2300000000000004</v>
      </c>
      <c r="E18270" t="s">
        <v>6</v>
      </c>
    </row>
    <row r="18271" spans="1:5" x14ac:dyDescent="0.25">
      <c r="A18271" t="str">
        <f>HYPERLINK("https://www.773grp.com/globalSearch/TPS61027DRCRSY/page-1", "TPS61027DRCRSY")</f>
        <v>TPS61027DRCRSY</v>
      </c>
      <c r="B18271" s="3" t="str">
        <f>HYPERLINK("https://www.773grp.com/manufacturer/texas-instruments?pageNo=186", "Texas Instruments")</f>
        <v>Texas Instruments</v>
      </c>
      <c r="C18271" s="5">
        <v>674</v>
      </c>
      <c r="D18271" s="6">
        <v>4.2300000000000004</v>
      </c>
      <c r="E18271" t="s">
        <v>6</v>
      </c>
    </row>
    <row r="18272" spans="1:5" x14ac:dyDescent="0.25">
      <c r="A18272" t="str">
        <f>HYPERLINK("https://www.773grp.com/globalSearch/TPS62291DRVR/page-1", "TPS62291DRVR")</f>
        <v>TPS62291DRVR</v>
      </c>
      <c r="B18272" s="3" t="str">
        <f>HYPERLINK("https://www.773grp.com/manufacturer/texas-instruments?pageNo=192", "Texas Instruments")</f>
        <v>Texas Instruments</v>
      </c>
      <c r="C18272" s="5">
        <v>11270</v>
      </c>
      <c r="D18272" s="6">
        <v>4.2300000000000004</v>
      </c>
      <c r="E18272" t="s">
        <v>6</v>
      </c>
    </row>
    <row r="18273" spans="1:5" x14ac:dyDescent="0.25">
      <c r="A18273" t="str">
        <f>HYPERLINK("https://www.773grp.com/globalSearch/UC2524ADW/page-1", "UC2524ADW")</f>
        <v>UC2524ADW</v>
      </c>
      <c r="B18273" s="3" t="str">
        <f>HYPERLINK("https://www.773grp.com/manufacturer/texas-instruments?pageNo=227", "Texas Instruments")</f>
        <v>Texas Instruments</v>
      </c>
      <c r="C18273" s="5">
        <v>10180</v>
      </c>
      <c r="D18273" s="6">
        <v>4.2300000000000004</v>
      </c>
      <c r="E18273" t="s">
        <v>6</v>
      </c>
    </row>
    <row r="18274" spans="1:5" x14ac:dyDescent="0.25">
      <c r="A18274" t="str">
        <f>HYPERLINK("https://www.773grp.com/globalSearch/UC2525ADW/page-1", "UC2525ADW")</f>
        <v>UC2525ADW</v>
      </c>
      <c r="B18274" s="3" t="str">
        <f>HYPERLINK("https://www.773grp.com/manufacturer/texas-instruments?pageNo=229", "Texas Instruments")</f>
        <v>Texas Instruments</v>
      </c>
      <c r="C18274" s="5">
        <v>792</v>
      </c>
      <c r="D18274" s="6">
        <v>4.2300000000000004</v>
      </c>
      <c r="E18274" t="s">
        <v>6</v>
      </c>
    </row>
    <row r="18275" spans="1:5" x14ac:dyDescent="0.25">
      <c r="A18275" t="str">
        <f>HYPERLINK("https://www.773grp.com/globalSearch/UC3524ADW/page-1", "UC3524ADW")</f>
        <v>UC3524ADW</v>
      </c>
      <c r="B18275" s="3" t="str">
        <f>HYPERLINK("https://www.773grp.com/manufacturer/texas-instruments?pageNo=230", "Texas Instruments")</f>
        <v>Texas Instruments</v>
      </c>
      <c r="C18275" s="5">
        <v>5002</v>
      </c>
      <c r="D18275" s="6">
        <v>4.2300000000000004</v>
      </c>
      <c r="E18275" t="s">
        <v>6</v>
      </c>
    </row>
    <row r="18276" spans="1:5" x14ac:dyDescent="0.25">
      <c r="A18276" t="str">
        <f>HYPERLINK("https://www.773grp.com/globalSearch/UC3525AQ/page-1", "UC3525AQ")</f>
        <v>UC3525AQ</v>
      </c>
      <c r="B18276" s="3" t="str">
        <f>HYPERLINK("https://www.773grp.com/manufacturer/texas-instruments?pageNo=232", "Texas Instruments")</f>
        <v>Texas Instruments</v>
      </c>
      <c r="C18276" s="5">
        <v>3128</v>
      </c>
      <c r="D18276" s="6">
        <v>4.2300000000000004</v>
      </c>
      <c r="E18276" t="s">
        <v>6</v>
      </c>
    </row>
    <row r="18277" spans="1:5" x14ac:dyDescent="0.25">
      <c r="A18277" t="str">
        <f>HYPERLINK("https://www.773grp.com/globalSearch/UC3525AQ/page-1", "UC3525AQ")</f>
        <v>UC3525AQ</v>
      </c>
      <c r="B18277" s="3" t="str">
        <f>HYPERLINK("https://www.773grp.com/manufacturer/texas-instruments?pageNo=233", "Texas Instruments")</f>
        <v>Texas Instruments</v>
      </c>
      <c r="C18277" s="5">
        <v>220</v>
      </c>
      <c r="D18277" s="6">
        <v>4.2300000000000004</v>
      </c>
      <c r="E18277" t="s">
        <v>6</v>
      </c>
    </row>
    <row r="18278" spans="1:5" x14ac:dyDescent="0.25">
      <c r="A18278" t="str">
        <f>HYPERLINK("https://www.773grp.com/globalSearch/UC3525AQ/page-1", "UC3525AQ")</f>
        <v>UC3525AQ</v>
      </c>
      <c r="B18278" s="3" t="str">
        <f>HYPERLINK("https://www.773grp.com/manufacturer/texas-instruments?pageNo=234", "Texas Instruments")</f>
        <v>Texas Instruments</v>
      </c>
      <c r="C18278" s="5">
        <v>1114</v>
      </c>
      <c r="D18278" s="6">
        <v>4.2300000000000004</v>
      </c>
      <c r="E18278" t="s">
        <v>6</v>
      </c>
    </row>
    <row r="18279" spans="1:5" x14ac:dyDescent="0.25">
      <c r="A18279" t="str">
        <f>HYPERLINK("https://www.773grp.com/globalSearch/UC3525AQG3/page-1", "UC3525AQG3")</f>
        <v>UC3525AQG3</v>
      </c>
      <c r="B18279" s="3" t="str">
        <f>HYPERLINK("https://www.773grp.com/manufacturer/texas-instruments?pageNo=235", "Texas Instruments")</f>
        <v>Texas Instruments</v>
      </c>
      <c r="C18279" s="5">
        <v>246</v>
      </c>
      <c r="D18279" s="6">
        <v>4.2300000000000004</v>
      </c>
      <c r="E18279" t="s">
        <v>6</v>
      </c>
    </row>
    <row r="18280" spans="1:5" x14ac:dyDescent="0.25">
      <c r="A18280" t="str">
        <f>HYPERLINK("https://www.773grp.com/globalSearch/UCC38051P/page-1", "UCC38051P")</f>
        <v>UCC38051P</v>
      </c>
      <c r="B18280" s="3" t="str">
        <f>HYPERLINK("https://www.773grp.com/manufacturer/texas-instruments?pageNo=237", "Texas Instruments")</f>
        <v>Texas Instruments</v>
      </c>
      <c r="C18280" s="5">
        <v>894</v>
      </c>
      <c r="D18280" s="6">
        <v>4.2300000000000004</v>
      </c>
      <c r="E18280" t="s">
        <v>6</v>
      </c>
    </row>
    <row r="18281" spans="1:5" x14ac:dyDescent="0.25">
      <c r="A18281" t="str">
        <f>HYPERLINK("https://www.773grp.com/globalSearch/UCC38051P/page-1", "UCC38051P")</f>
        <v>UCC38051P</v>
      </c>
      <c r="B18281" s="3" t="str">
        <f>HYPERLINK("https://www.773grp.com/manufacturer/texas-instruments?pageNo=238", "Texas Instruments")</f>
        <v>Texas Instruments</v>
      </c>
      <c r="C18281" s="5">
        <v>13650</v>
      </c>
      <c r="D18281" s="6">
        <v>4.2300000000000004</v>
      </c>
      <c r="E18281" t="s">
        <v>6</v>
      </c>
    </row>
    <row r="18282" spans="1:5" x14ac:dyDescent="0.25">
      <c r="A18282" t="str">
        <f>HYPERLINK("https://www.773grp.com/globalSearch/TPS40222DRPR/page-1", "TPS40222DRPR")</f>
        <v>TPS40222DRPR</v>
      </c>
      <c r="B18282" s="3" t="str">
        <f>HYPERLINK("https://www.773grp.com/manufacturer/texas-instruments?pageNo=383", "Texas Instruments")</f>
        <v>Texas Instruments</v>
      </c>
      <c r="C18282" s="5">
        <v>12000</v>
      </c>
      <c r="D18282" s="6">
        <v>4.28</v>
      </c>
      <c r="E18282" t="s">
        <v>6</v>
      </c>
    </row>
    <row r="18283" spans="1:5" x14ac:dyDescent="0.25">
      <c r="A18283" t="str">
        <f>HYPERLINK("https://www.773grp.com/globalSearch/UCC28C42P/page-1", "UCC28C42P")</f>
        <v>UCC28C42P</v>
      </c>
      <c r="B18283" s="3" t="str">
        <f>HYPERLINK("https://www.773grp.com/manufacturer/texas-instruments?pageNo=392", "Texas Instruments")</f>
        <v>Texas Instruments</v>
      </c>
      <c r="C18283" s="5">
        <v>2195</v>
      </c>
      <c r="D18283" s="6">
        <v>4.28</v>
      </c>
      <c r="E18283" t="s">
        <v>6</v>
      </c>
    </row>
    <row r="18284" spans="1:5" x14ac:dyDescent="0.25">
      <c r="A18284" t="str">
        <f>HYPERLINK("https://www.773grp.com/globalSearch/UCC28C42P/page-1", "UCC28C42P")</f>
        <v>UCC28C42P</v>
      </c>
      <c r="B18284" s="3" t="str">
        <f>HYPERLINK("https://www.773grp.com/manufacturer/texas-instruments?pageNo=393", "Texas Instruments")</f>
        <v>Texas Instruments</v>
      </c>
      <c r="C18284" s="5">
        <v>2410</v>
      </c>
      <c r="D18284" s="6">
        <v>4.28</v>
      </c>
      <c r="E18284" t="s">
        <v>6</v>
      </c>
    </row>
    <row r="18285" spans="1:5" x14ac:dyDescent="0.25">
      <c r="A18285" t="str">
        <f>HYPERLINK("https://www.773grp.com/globalSearch/UCC28C44P/page-1", "UCC28C44P")</f>
        <v>UCC28C44P</v>
      </c>
      <c r="B18285" s="3" t="str">
        <f>HYPERLINK("https://www.773grp.com/manufacturer/texas-instruments?pageNo=395", "Texas Instruments")</f>
        <v>Texas Instruments</v>
      </c>
      <c r="C18285" s="5">
        <v>356</v>
      </c>
      <c r="D18285" s="6">
        <v>4.28</v>
      </c>
      <c r="E18285" t="s">
        <v>6</v>
      </c>
    </row>
    <row r="18286" spans="1:5" x14ac:dyDescent="0.25">
      <c r="A18286" t="str">
        <f>HYPERLINK("https://www.773grp.com/globalSearch/UCC28C45P/page-1", "UCC28C45P")</f>
        <v>UCC28C45P</v>
      </c>
      <c r="B18286" s="3" t="str">
        <f>HYPERLINK("https://www.773grp.com/manufacturer/texas-instruments?pageNo=396", "Texas Instruments")</f>
        <v>Texas Instruments</v>
      </c>
      <c r="C18286" s="5">
        <v>2950</v>
      </c>
      <c r="D18286" s="6">
        <v>4.28</v>
      </c>
      <c r="E18286" t="s">
        <v>6</v>
      </c>
    </row>
    <row r="18287" spans="1:5" x14ac:dyDescent="0.25">
      <c r="A18287" t="str">
        <f>HYPERLINK("https://www.773grp.com/globalSearch/UCC28C45P/page-1", "UCC28C45P")</f>
        <v>UCC28C45P</v>
      </c>
      <c r="B18287" s="3" t="str">
        <f>HYPERLINK("https://www.773grp.com/manufacturer/texas-instruments?pageNo=397", "Texas Instruments")</f>
        <v>Texas Instruments</v>
      </c>
      <c r="C18287" s="5">
        <v>1950</v>
      </c>
      <c r="D18287" s="6">
        <v>4.28</v>
      </c>
      <c r="E18287" t="s">
        <v>6</v>
      </c>
    </row>
    <row r="18288" spans="1:5" x14ac:dyDescent="0.25">
      <c r="A18288" t="str">
        <f>HYPERLINK("https://www.773grp.com/globalSearch/UCC38C42P/page-1", "UCC38C42P")</f>
        <v>UCC38C42P</v>
      </c>
      <c r="B18288" s="3" t="str">
        <f>HYPERLINK("https://www.773grp.com/manufacturer/texas-instruments?pageNo=398", "Texas Instruments")</f>
        <v>Texas Instruments</v>
      </c>
      <c r="C18288" s="5">
        <v>94</v>
      </c>
      <c r="D18288" s="6">
        <v>4.28</v>
      </c>
      <c r="E18288" t="s">
        <v>6</v>
      </c>
    </row>
    <row r="18289" spans="1:5" x14ac:dyDescent="0.25">
      <c r="A18289" t="str">
        <f>HYPERLINK("https://www.773grp.com/globalSearch/UCC38C43P/page-1", "UCC38C43P")</f>
        <v>UCC38C43P</v>
      </c>
      <c r="B18289" s="3" t="str">
        <f>HYPERLINK("https://www.773grp.com/manufacturer/texas-instruments?pageNo=399", "Texas Instruments")</f>
        <v>Texas Instruments</v>
      </c>
      <c r="C18289" s="5">
        <v>6100</v>
      </c>
      <c r="D18289" s="6">
        <v>4.28</v>
      </c>
      <c r="E18289" t="s">
        <v>6</v>
      </c>
    </row>
    <row r="18290" spans="1:5" x14ac:dyDescent="0.25">
      <c r="A18290" t="str">
        <f>HYPERLINK("https://www.773grp.com/globalSearch/UCC38C44P/page-1", "UCC38C44P")</f>
        <v>UCC38C44P</v>
      </c>
      <c r="B18290" s="3" t="str">
        <f>HYPERLINK("https://www.773grp.com/manufacturer/texas-instruments?pageNo=401", "Texas Instruments")</f>
        <v>Texas Instruments</v>
      </c>
      <c r="C18290" s="5">
        <v>6150</v>
      </c>
      <c r="D18290" s="6">
        <v>4.28</v>
      </c>
      <c r="E18290" t="s">
        <v>6</v>
      </c>
    </row>
    <row r="18291" spans="1:5" x14ac:dyDescent="0.25">
      <c r="A18291" t="str">
        <f>HYPERLINK("https://www.773grp.com/globalSearch/UCC38C45P/page-1", "UCC38C45P")</f>
        <v>UCC38C45P</v>
      </c>
      <c r="B18291" s="3" t="str">
        <f>HYPERLINK("https://www.773grp.com/manufacturer/texas-instruments?pageNo=402", "Texas Instruments")</f>
        <v>Texas Instruments</v>
      </c>
      <c r="C18291" s="5">
        <v>6968</v>
      </c>
      <c r="D18291" s="6">
        <v>4.28</v>
      </c>
      <c r="E18291" t="s">
        <v>6</v>
      </c>
    </row>
    <row r="18292" spans="1:5" x14ac:dyDescent="0.25">
      <c r="A18292" t="str">
        <f>HYPERLINK("https://www.773grp.com/globalSearch/UCC38C45P/page-1", "UCC38C45P")</f>
        <v>UCC38C45P</v>
      </c>
      <c r="B18292" s="3" t="str">
        <f>HYPERLINK("https://www.773grp.com/manufacturer/texas-instruments?pageNo=403", "Texas Instruments")</f>
        <v>Texas Instruments</v>
      </c>
      <c r="C18292" s="5">
        <v>5040</v>
      </c>
      <c r="D18292" s="6">
        <v>4.28</v>
      </c>
      <c r="E18292" t="s">
        <v>6</v>
      </c>
    </row>
    <row r="18293" spans="1:5" x14ac:dyDescent="0.25">
      <c r="A18293" t="str">
        <f>HYPERLINK("https://www.773grp.com/globalSearch/TL1454ACDR/page-1", "TL1454ACDR")</f>
        <v>TL1454ACDR</v>
      </c>
      <c r="B18293" s="3" t="str">
        <f>HYPERLINK("https://www.773grp.com/manufacturer/texas-instruments?pageNo=432", "Texas Instruments")</f>
        <v>Texas Instruments</v>
      </c>
      <c r="C18293" s="5">
        <v>10000</v>
      </c>
      <c r="D18293" s="6">
        <v>3.89</v>
      </c>
      <c r="E18293" t="s">
        <v>6</v>
      </c>
    </row>
    <row r="18294" spans="1:5" x14ac:dyDescent="0.25">
      <c r="A18294" t="str">
        <f>HYPERLINK("https://www.773grp.com/globalSearch/TL1454ACPWR/page-1", "TL1454ACPWR")</f>
        <v>TL1454ACPWR</v>
      </c>
      <c r="B18294" s="3" t="str">
        <f>HYPERLINK("https://www.773grp.com/manufacturer/texas-instruments?pageNo=434", "Texas Instruments")</f>
        <v>Texas Instruments</v>
      </c>
      <c r="C18294" s="5">
        <v>70000</v>
      </c>
      <c r="D18294" s="6">
        <v>3.89</v>
      </c>
      <c r="E18294" t="s">
        <v>6</v>
      </c>
    </row>
    <row r="18295" spans="1:5" x14ac:dyDescent="0.25">
      <c r="A18295" t="str">
        <f>HYPERLINK("https://www.773grp.com/globalSearch/TPS51163DRCT/page-1", "TPS51163DRCT")</f>
        <v>TPS51163DRCT</v>
      </c>
      <c r="B18295" s="3" t="str">
        <f>HYPERLINK("https://www.773grp.com/manufacturer/texas-instruments?pageNo=441", "Texas Instruments")</f>
        <v>Texas Instruments</v>
      </c>
      <c r="C18295" s="5">
        <v>29000</v>
      </c>
      <c r="D18295" s="6">
        <v>3.89</v>
      </c>
      <c r="E18295" t="s">
        <v>6</v>
      </c>
    </row>
    <row r="18296" spans="1:5" x14ac:dyDescent="0.25">
      <c r="A18296" t="str">
        <f>HYPERLINK("https://www.773grp.com/globalSearch/TPS54040DGQ/page-1", "TPS54040DGQ")</f>
        <v>TPS54040DGQ</v>
      </c>
      <c r="B18296" s="3" t="str">
        <f>HYPERLINK("https://www.773grp.com/manufacturer/texas-instruments?pageNo=443", "Texas Instruments")</f>
        <v>Texas Instruments</v>
      </c>
      <c r="C18296" s="5">
        <v>12133</v>
      </c>
      <c r="D18296" s="6">
        <v>3.89</v>
      </c>
      <c r="E18296" t="s">
        <v>6</v>
      </c>
    </row>
    <row r="18297" spans="1:5" x14ac:dyDescent="0.25">
      <c r="A18297" t="str">
        <f>HYPERLINK("https://www.773grp.com/globalSearch/TPS61000DGS/page-1", "TPS61000DGS")</f>
        <v>TPS61000DGS</v>
      </c>
      <c r="B18297" s="3" t="str">
        <f>HYPERLINK("https://www.773grp.com/manufacturer/texas-instruments?pageNo=445", "Texas Instruments")</f>
        <v>Texas Instruments</v>
      </c>
      <c r="C18297" s="5">
        <v>6933</v>
      </c>
      <c r="D18297" s="6">
        <v>3.89</v>
      </c>
      <c r="E18297" t="s">
        <v>6</v>
      </c>
    </row>
    <row r="18298" spans="1:5" x14ac:dyDescent="0.25">
      <c r="A18298" t="str">
        <f>HYPERLINK("https://www.773grp.com/globalSearch/TPS61005DGS/page-1", "TPS61005DGS")</f>
        <v>TPS61005DGS</v>
      </c>
      <c r="B18298" s="3" t="str">
        <f>HYPERLINK("https://www.773grp.com/manufacturer/texas-instruments?pageNo=446", "Texas Instruments")</f>
        <v>Texas Instruments</v>
      </c>
      <c r="C18298" s="5">
        <v>2810</v>
      </c>
      <c r="D18298" s="6">
        <v>3.89</v>
      </c>
      <c r="E18298" t="s">
        <v>6</v>
      </c>
    </row>
    <row r="18299" spans="1:5" x14ac:dyDescent="0.25">
      <c r="A18299" t="str">
        <f>HYPERLINK("https://www.773grp.com/globalSearch/TPS61006DGS/page-1", "TPS61006DGS")</f>
        <v>TPS61006DGS</v>
      </c>
      <c r="B18299" s="3" t="str">
        <f>HYPERLINK("https://www.773grp.com/manufacturer/texas-instruments?pageNo=447", "Texas Instruments")</f>
        <v>Texas Instruments</v>
      </c>
      <c r="C18299" s="5">
        <v>117</v>
      </c>
      <c r="D18299" s="6">
        <v>3.89</v>
      </c>
      <c r="E18299" t="s">
        <v>6</v>
      </c>
    </row>
    <row r="18300" spans="1:5" x14ac:dyDescent="0.25">
      <c r="A18300" t="str">
        <f>HYPERLINK("https://www.773grp.com/globalSearch/TPS61006DGSG4/page-1", "TPS61006DGSG4")</f>
        <v>TPS61006DGSG4</v>
      </c>
      <c r="B18300" s="3" t="str">
        <f>HYPERLINK("https://www.773grp.com/manufacturer/texas-instruments?pageNo=448", "Texas Instruments")</f>
        <v>Texas Instruments</v>
      </c>
      <c r="C18300" s="5">
        <v>20</v>
      </c>
      <c r="D18300" s="6">
        <v>3.89</v>
      </c>
      <c r="E18300" t="s">
        <v>6</v>
      </c>
    </row>
    <row r="18301" spans="1:5" x14ac:dyDescent="0.25">
      <c r="A18301" t="str">
        <f>HYPERLINK("https://www.773grp.com/globalSearch/TPS61010DGS/page-1", "TPS61010DGS")</f>
        <v>TPS61010DGS</v>
      </c>
      <c r="B18301" s="3" t="str">
        <f>HYPERLINK("https://www.773grp.com/manufacturer/texas-instruments?pageNo=449", "Texas Instruments")</f>
        <v>Texas Instruments</v>
      </c>
      <c r="C18301" s="5">
        <v>21573</v>
      </c>
      <c r="D18301" s="6">
        <v>3.89</v>
      </c>
      <c r="E18301" t="s">
        <v>6</v>
      </c>
    </row>
    <row r="18302" spans="1:5" x14ac:dyDescent="0.25">
      <c r="A18302" t="str">
        <f>HYPERLINK("https://www.773grp.com/globalSearch/TPS61012DGS/page-1", "TPS61012DGS")</f>
        <v>TPS61012DGS</v>
      </c>
      <c r="B18302" s="3" t="str">
        <f>HYPERLINK("https://www.773grp.com/manufacturer/texas-instruments?pageNo=450", "Texas Instruments")</f>
        <v>Texas Instruments</v>
      </c>
      <c r="C18302" s="5">
        <v>46007</v>
      </c>
      <c r="D18302" s="6">
        <v>3.89</v>
      </c>
      <c r="E18302" t="s">
        <v>6</v>
      </c>
    </row>
    <row r="18303" spans="1:5" x14ac:dyDescent="0.25">
      <c r="A18303" t="str">
        <f>HYPERLINK("https://www.773grp.com/globalSearch/TPS61170DRVT/page-1", "TPS61170DRVT")</f>
        <v>TPS61170DRVT</v>
      </c>
      <c r="B18303" s="3" t="str">
        <f>HYPERLINK("https://www.773grp.com/manufacturer/texas-instruments?pageNo=451", "Texas Instruments")</f>
        <v>Texas Instruments</v>
      </c>
      <c r="C18303" s="5">
        <v>1467</v>
      </c>
      <c r="D18303" s="6">
        <v>3.89</v>
      </c>
      <c r="E18303" t="s">
        <v>6</v>
      </c>
    </row>
    <row r="18304" spans="1:5" x14ac:dyDescent="0.25">
      <c r="A18304" t="str">
        <f>HYPERLINK("https://www.773grp.com/globalSearch/UCC2808AN-1/page-1", "UCC2808AN-1")</f>
        <v>UCC2808AN-1</v>
      </c>
      <c r="B18304" s="3" t="str">
        <f>HYPERLINK("https://www.773grp.com/manufacturer/texas-instruments?pageNo=519", "Texas Instruments")</f>
        <v>Texas Instruments</v>
      </c>
      <c r="C18304" s="5">
        <v>457</v>
      </c>
      <c r="D18304" s="6">
        <v>3.91</v>
      </c>
      <c r="E18304" t="s">
        <v>6</v>
      </c>
    </row>
    <row r="18305" spans="1:5" x14ac:dyDescent="0.25">
      <c r="A18305" t="str">
        <f>HYPERLINK("https://www.773grp.com/globalSearch/UCC2808N-1/page-1", "UCC2808N-1")</f>
        <v>UCC2808N-1</v>
      </c>
      <c r="B18305" s="3" t="str">
        <f>HYPERLINK("https://www.773grp.com/manufacturer/texas-instruments?pageNo=520", "Texas Instruments")</f>
        <v>Texas Instruments</v>
      </c>
      <c r="C18305" s="5">
        <v>8136</v>
      </c>
      <c r="D18305" s="6">
        <v>3.91</v>
      </c>
      <c r="E18305" t="s">
        <v>6</v>
      </c>
    </row>
    <row r="18306" spans="1:5" x14ac:dyDescent="0.25">
      <c r="A18306" t="str">
        <f>HYPERLINK("https://www.773grp.com/globalSearch/UCC2808N-2/page-1", "UCC2808N-2")</f>
        <v>UCC2808N-2</v>
      </c>
      <c r="B18306" s="3" t="str">
        <f>HYPERLINK("https://www.773grp.com/manufacturer/texas-instruments?pageNo=521", "Texas Instruments")</f>
        <v>Texas Instruments</v>
      </c>
      <c r="C18306" s="5">
        <v>18090</v>
      </c>
      <c r="D18306" s="6">
        <v>3.91</v>
      </c>
      <c r="E18306" t="s">
        <v>6</v>
      </c>
    </row>
    <row r="18307" spans="1:5" x14ac:dyDescent="0.25">
      <c r="A18307" t="str">
        <f>HYPERLINK("https://www.773grp.com/globalSearch/UCC2813N-0/page-1", "UCC2813N-0")</f>
        <v>UCC2813N-0</v>
      </c>
      <c r="B18307" s="3" t="str">
        <f>HYPERLINK("https://www.773grp.com/manufacturer/texas-instruments?pageNo=522", "Texas Instruments")</f>
        <v>Texas Instruments</v>
      </c>
      <c r="C18307" s="5">
        <v>11550</v>
      </c>
      <c r="D18307" s="6">
        <v>3.91</v>
      </c>
      <c r="E18307" t="s">
        <v>6</v>
      </c>
    </row>
    <row r="18308" spans="1:5" x14ac:dyDescent="0.25">
      <c r="A18308" t="str">
        <f>HYPERLINK("https://www.773grp.com/globalSearch/UCC2813N-1/page-1", "UCC2813N-1")</f>
        <v>UCC2813N-1</v>
      </c>
      <c r="B18308" s="3" t="str">
        <f>HYPERLINK("https://www.773grp.com/manufacturer/texas-instruments?pageNo=523", "Texas Instruments")</f>
        <v>Texas Instruments</v>
      </c>
      <c r="C18308" s="5">
        <v>8550</v>
      </c>
      <c r="D18308" s="6">
        <v>3.91</v>
      </c>
      <c r="E18308" t="s">
        <v>6</v>
      </c>
    </row>
    <row r="18309" spans="1:5" x14ac:dyDescent="0.25">
      <c r="A18309" t="str">
        <f>HYPERLINK("https://www.773grp.com/globalSearch/UCC2813N-2/page-1", "UCC2813N-2")</f>
        <v>UCC2813N-2</v>
      </c>
      <c r="B18309" s="3" t="str">
        <f>HYPERLINK("https://www.773grp.com/manufacturer/texas-instruments?pageNo=524", "Texas Instruments")</f>
        <v>Texas Instruments</v>
      </c>
      <c r="C18309" s="5">
        <v>412</v>
      </c>
      <c r="D18309" s="6">
        <v>3.91</v>
      </c>
      <c r="E18309" t="s">
        <v>6</v>
      </c>
    </row>
    <row r="18310" spans="1:5" x14ac:dyDescent="0.25">
      <c r="A18310" t="str">
        <f>HYPERLINK("https://www.773grp.com/globalSearch/UCC2813N-4/page-1", "UCC2813N-4")</f>
        <v>UCC2813N-4</v>
      </c>
      <c r="B18310" s="3" t="str">
        <f>HYPERLINK("https://www.773grp.com/manufacturer/texas-instruments?pageNo=525", "Texas Instruments")</f>
        <v>Texas Instruments</v>
      </c>
      <c r="C18310" s="5">
        <v>8650</v>
      </c>
      <c r="D18310" s="6">
        <v>3.91</v>
      </c>
      <c r="E18310" t="s">
        <v>6</v>
      </c>
    </row>
    <row r="18311" spans="1:5" x14ac:dyDescent="0.25">
      <c r="A18311" t="str">
        <f>HYPERLINK("https://www.773grp.com/globalSearch/UCC2813N-5/page-1", "UCC2813N-5")</f>
        <v>UCC2813N-5</v>
      </c>
      <c r="B18311" s="3" t="str">
        <f>HYPERLINK("https://www.773grp.com/manufacturer/texas-instruments?pageNo=526", "Texas Instruments")</f>
        <v>Texas Instruments</v>
      </c>
      <c r="C18311" s="5">
        <v>7850</v>
      </c>
      <c r="D18311" s="6">
        <v>3.91</v>
      </c>
      <c r="E18311" t="s">
        <v>6</v>
      </c>
    </row>
    <row r="18312" spans="1:5" x14ac:dyDescent="0.25">
      <c r="A18312" t="str">
        <f>HYPERLINK("https://www.773grp.com/globalSearch/UCC2813N-5/page-1", "UCC2813N-5")</f>
        <v>UCC2813N-5</v>
      </c>
      <c r="B18312" s="3" t="str">
        <f>HYPERLINK("https://www.773grp.com/manufacturer/texas-instruments?pageNo=527", "Texas Instruments")</f>
        <v>Texas Instruments</v>
      </c>
      <c r="C18312" s="5">
        <v>3595</v>
      </c>
      <c r="D18312" s="6">
        <v>3.91</v>
      </c>
      <c r="E18312" t="s">
        <v>6</v>
      </c>
    </row>
    <row r="18313" spans="1:5" x14ac:dyDescent="0.25">
      <c r="A18313" t="str">
        <f>HYPERLINK("https://www.773grp.com/globalSearch/TPS40000DGQ/page-1", "TPS40000DGQ")</f>
        <v>TPS40000DGQ</v>
      </c>
      <c r="B18313" s="3" t="str">
        <f>HYPERLINK("https://www.773grp.com/manufacturer/texas-instruments?pageNo=654", "Texas Instruments")</f>
        <v>Texas Instruments</v>
      </c>
      <c r="C18313" s="5">
        <v>902</v>
      </c>
      <c r="D18313" s="6">
        <v>3.94</v>
      </c>
      <c r="E18313" t="s">
        <v>6</v>
      </c>
    </row>
    <row r="18314" spans="1:5" x14ac:dyDescent="0.25">
      <c r="A18314" t="str">
        <f>HYPERLINK("https://www.773grp.com/globalSearch/TPS40001DGQ/page-1", "TPS40001DGQ")</f>
        <v>TPS40001DGQ</v>
      </c>
      <c r="B18314" s="3" t="str">
        <f>HYPERLINK("https://www.773grp.com/manufacturer/texas-instruments?pageNo=655", "Texas Instruments")</f>
        <v>Texas Instruments</v>
      </c>
      <c r="C18314" s="5">
        <v>262</v>
      </c>
      <c r="D18314" s="6">
        <v>3.94</v>
      </c>
      <c r="E18314" t="s">
        <v>6</v>
      </c>
    </row>
    <row r="18315" spans="1:5" x14ac:dyDescent="0.25">
      <c r="A18315" t="str">
        <f>HYPERLINK("https://www.773grp.com/globalSearch/TPS40002DGQ/page-1", "TPS40002DGQ")</f>
        <v>TPS40002DGQ</v>
      </c>
      <c r="B18315" s="3" t="str">
        <f>HYPERLINK("https://www.773grp.com/manufacturer/texas-instruments?pageNo=656", "Texas Instruments")</f>
        <v>Texas Instruments</v>
      </c>
      <c r="C18315" s="5">
        <v>337</v>
      </c>
      <c r="D18315" s="6">
        <v>3.94</v>
      </c>
      <c r="E18315" t="s">
        <v>6</v>
      </c>
    </row>
    <row r="18316" spans="1:5" x14ac:dyDescent="0.25">
      <c r="A18316" t="str">
        <f>HYPERLINK("https://www.773grp.com/globalSearch/TPS40002DGQG4/page-1", "TPS40002DGQG4")</f>
        <v>TPS40002DGQG4</v>
      </c>
      <c r="B18316" s="3" t="str">
        <f>HYPERLINK("https://www.773grp.com/manufacturer/texas-instruments?pageNo=657", "Texas Instruments")</f>
        <v>Texas Instruments</v>
      </c>
      <c r="C18316" s="5">
        <v>78</v>
      </c>
      <c r="D18316" s="6">
        <v>3.94</v>
      </c>
      <c r="E18316" t="s">
        <v>6</v>
      </c>
    </row>
    <row r="18317" spans="1:5" x14ac:dyDescent="0.25">
      <c r="A18317" t="str">
        <f>HYPERLINK("https://www.773grp.com/globalSearch/TPS40003DGQ/page-1", "TPS40003DGQ")</f>
        <v>TPS40003DGQ</v>
      </c>
      <c r="B18317" s="3" t="str">
        <f>HYPERLINK("https://www.773grp.com/manufacturer/texas-instruments?pageNo=658", "Texas Instruments")</f>
        <v>Texas Instruments</v>
      </c>
      <c r="C18317" s="5">
        <v>752</v>
      </c>
      <c r="D18317" s="6">
        <v>3.94</v>
      </c>
      <c r="E18317" t="s">
        <v>6</v>
      </c>
    </row>
    <row r="18318" spans="1:5" x14ac:dyDescent="0.25">
      <c r="A18318" t="str">
        <f>HYPERLINK("https://www.773grp.com/globalSearch/TPS40005DGQ/page-1", "TPS40005DGQ")</f>
        <v>TPS40005DGQ</v>
      </c>
      <c r="B18318" s="3" t="str">
        <f>HYPERLINK("https://www.773grp.com/manufacturer/texas-instruments?pageNo=659", "Texas Instruments")</f>
        <v>Texas Instruments</v>
      </c>
      <c r="C18318" s="5">
        <v>1820</v>
      </c>
      <c r="D18318" s="6">
        <v>3.94</v>
      </c>
      <c r="E18318" t="s">
        <v>6</v>
      </c>
    </row>
    <row r="18319" spans="1:5" x14ac:dyDescent="0.25">
      <c r="A18319" t="str">
        <f>HYPERLINK("https://www.773grp.com/globalSearch/TPS53124RGER/page-1", "TPS53124RGER")</f>
        <v>TPS53124RGER</v>
      </c>
      <c r="B18319" s="3" t="str">
        <f>HYPERLINK("https://www.773grp.com/manufacturer/texas-instruments?pageNo=660", "Texas Instruments")</f>
        <v>Texas Instruments</v>
      </c>
      <c r="C18319" s="5">
        <v>381000</v>
      </c>
      <c r="D18319" s="6">
        <v>3.94</v>
      </c>
      <c r="E18319" t="s">
        <v>6</v>
      </c>
    </row>
    <row r="18320" spans="1:5" x14ac:dyDescent="0.25">
      <c r="A18320" t="str">
        <f>HYPERLINK("https://www.773grp.com/globalSearch/TPS54140DGQR/page-1", "TPS54140DGQR")</f>
        <v>TPS54140DGQR</v>
      </c>
      <c r="B18320" s="3" t="str">
        <f>HYPERLINK("https://www.773grp.com/manufacturer/texas-instruments?pageNo=661", "Texas Instruments")</f>
        <v>Texas Instruments</v>
      </c>
      <c r="C18320" s="5">
        <v>3752</v>
      </c>
      <c r="D18320" s="6">
        <v>3.94</v>
      </c>
      <c r="E18320" t="s">
        <v>6</v>
      </c>
    </row>
    <row r="18321" spans="1:5" x14ac:dyDescent="0.25">
      <c r="A18321" t="str">
        <f>HYPERLINK("https://www.773grp.com/globalSearch/TPS54218RTER/page-1", "TPS54218RTER")</f>
        <v>TPS54218RTER</v>
      </c>
      <c r="B18321" s="3" t="str">
        <f>HYPERLINK("https://www.773grp.com/manufacturer/texas-instruments?pageNo=662", "Texas Instruments")</f>
        <v>Texas Instruments</v>
      </c>
      <c r="C18321" s="5">
        <v>6000</v>
      </c>
      <c r="D18321" s="6">
        <v>3.94</v>
      </c>
      <c r="E18321" t="s">
        <v>6</v>
      </c>
    </row>
    <row r="18322" spans="1:5" x14ac:dyDescent="0.25">
      <c r="A18322" t="str">
        <f>HYPERLINK("https://www.773grp.com/globalSearch/TPS60242DGKR/page-1", "TPS60242DGKR")</f>
        <v>TPS60242DGKR</v>
      </c>
      <c r="B18322" s="3" t="str">
        <f>HYPERLINK("https://www.773grp.com/manufacturer/texas-instruments?pageNo=663", "Texas Instruments")</f>
        <v>Texas Instruments</v>
      </c>
      <c r="C18322" s="5">
        <v>7500</v>
      </c>
      <c r="D18322" s="6">
        <v>3.94</v>
      </c>
      <c r="E18322" t="s">
        <v>6</v>
      </c>
    </row>
    <row r="18323" spans="1:5" x14ac:dyDescent="0.25">
      <c r="A18323" t="str">
        <f>HYPERLINK("https://www.773grp.com/globalSearch/TPS62229DDCR/page-1", "TPS62229DDCR")</f>
        <v>TPS62229DDCR</v>
      </c>
      <c r="B18323" s="3" t="str">
        <f>HYPERLINK("https://www.773grp.com/manufacturer/texas-instruments?pageNo=665", "Texas Instruments")</f>
        <v>Texas Instruments</v>
      </c>
      <c r="C18323" s="5">
        <v>22300</v>
      </c>
      <c r="D18323" s="6">
        <v>3.94</v>
      </c>
      <c r="E18323" t="s">
        <v>6</v>
      </c>
    </row>
    <row r="18324" spans="1:5" x14ac:dyDescent="0.25">
      <c r="A18324" t="str">
        <f>HYPERLINK("https://www.773grp.com/globalSearch/TPS65140PWPRG4/page-1", "TPS65140PWPRG4")</f>
        <v>TPS65140PWPRG4</v>
      </c>
      <c r="B18324" s="3" t="str">
        <f>HYPERLINK("https://www.773grp.com/manufacturer/texas-instruments?pageNo=669", "Texas Instruments")</f>
        <v>Texas Instruments</v>
      </c>
      <c r="C18324" s="5">
        <v>40000</v>
      </c>
      <c r="D18324" s="6">
        <v>3.94</v>
      </c>
      <c r="E18324" t="s">
        <v>6</v>
      </c>
    </row>
    <row r="18325" spans="1:5" x14ac:dyDescent="0.25">
      <c r="A18325" t="str">
        <f>HYPERLINK("https://www.773grp.com/globalSearch/TPS65161PWPR/page-1", "TPS65161PWPR")</f>
        <v>TPS65161PWPR</v>
      </c>
      <c r="B18325" s="3" t="str">
        <f>HYPERLINK("https://www.773grp.com/manufacturer/texas-instruments?pageNo=670", "Texas Instruments")</f>
        <v>Texas Instruments</v>
      </c>
      <c r="C18325" s="5">
        <v>270</v>
      </c>
      <c r="D18325" s="6">
        <v>3.94</v>
      </c>
      <c r="E18325" t="s">
        <v>6</v>
      </c>
    </row>
    <row r="18326" spans="1:5" x14ac:dyDescent="0.25">
      <c r="A18326" t="str">
        <f>HYPERLINK("https://www.773grp.com/globalSearch/UCC2800D/page-1", "UCC2800D")</f>
        <v>UCC2800D</v>
      </c>
      <c r="B18326" s="3" t="str">
        <f>HYPERLINK("https://www.773grp.com/manufacturer/texas-instruments?pageNo=688", "Texas Instruments")</f>
        <v>Texas Instruments</v>
      </c>
      <c r="C18326" s="5">
        <v>175</v>
      </c>
      <c r="D18326" s="6">
        <v>3.94</v>
      </c>
      <c r="E18326" t="s">
        <v>6</v>
      </c>
    </row>
    <row r="18327" spans="1:5" x14ac:dyDescent="0.25">
      <c r="A18327" t="str">
        <f>HYPERLINK("https://www.773grp.com/globalSearch/UCC2800PW/page-1", "UCC2800PW")</f>
        <v>UCC2800PW</v>
      </c>
      <c r="B18327" s="3" t="str">
        <f>HYPERLINK("https://www.773grp.com/manufacturer/texas-instruments?pageNo=689", "Texas Instruments")</f>
        <v>Texas Instruments</v>
      </c>
      <c r="C18327" s="5">
        <v>5449</v>
      </c>
      <c r="D18327" s="6">
        <v>3.94</v>
      </c>
      <c r="E18327" t="s">
        <v>6</v>
      </c>
    </row>
    <row r="18328" spans="1:5" x14ac:dyDescent="0.25">
      <c r="A18328" t="str">
        <f>HYPERLINK("https://www.773grp.com/globalSearch/UCC2801D/page-1", "UCC2801D")</f>
        <v>UCC2801D</v>
      </c>
      <c r="B18328" s="3" t="str">
        <f>HYPERLINK("https://www.773grp.com/manufacturer/texas-instruments?pageNo=690", "Texas Instruments")</f>
        <v>Texas Instruments</v>
      </c>
      <c r="C18328" s="5">
        <v>68</v>
      </c>
      <c r="D18328" s="6">
        <v>3.94</v>
      </c>
      <c r="E18328" t="s">
        <v>6</v>
      </c>
    </row>
    <row r="18329" spans="1:5" x14ac:dyDescent="0.25">
      <c r="A18329" t="str">
        <f>HYPERLINK("https://www.773grp.com/globalSearch/UCC2801PW/page-1", "UCC2801PW")</f>
        <v>UCC2801PW</v>
      </c>
      <c r="B18329" s="3" t="str">
        <f>HYPERLINK("https://www.773grp.com/manufacturer/texas-instruments?pageNo=691", "Texas Instruments")</f>
        <v>Texas Instruments</v>
      </c>
      <c r="C18329" s="5">
        <v>7373</v>
      </c>
      <c r="D18329" s="6">
        <v>3.94</v>
      </c>
      <c r="E18329" t="s">
        <v>6</v>
      </c>
    </row>
    <row r="18330" spans="1:5" x14ac:dyDescent="0.25">
      <c r="A18330" t="str">
        <f>HYPERLINK("https://www.773grp.com/globalSearch/UCC2802PW/page-1", "UCC2802PW")</f>
        <v>UCC2802PW</v>
      </c>
      <c r="B18330" s="3" t="str">
        <f>HYPERLINK("https://www.773grp.com/manufacturer/texas-instruments?pageNo=692", "Texas Instruments")</f>
        <v>Texas Instruments</v>
      </c>
      <c r="C18330" s="5">
        <v>6000</v>
      </c>
      <c r="D18330" s="6">
        <v>3.94</v>
      </c>
      <c r="E18330" t="s">
        <v>6</v>
      </c>
    </row>
    <row r="18331" spans="1:5" x14ac:dyDescent="0.25">
      <c r="A18331" t="str">
        <f>HYPERLINK("https://www.773grp.com/globalSearch/UCC2803D/page-1", "UCC2803D")</f>
        <v>UCC2803D</v>
      </c>
      <c r="B18331" s="3" t="str">
        <f>HYPERLINK("https://www.773grp.com/manufacturer/texas-instruments?pageNo=693", "Texas Instruments")</f>
        <v>Texas Instruments</v>
      </c>
      <c r="C18331" s="5">
        <v>279</v>
      </c>
      <c r="D18331" s="6">
        <v>3.94</v>
      </c>
      <c r="E18331" t="s">
        <v>6</v>
      </c>
    </row>
    <row r="18332" spans="1:5" x14ac:dyDescent="0.25">
      <c r="A18332" t="str">
        <f>HYPERLINK("https://www.773grp.com/globalSearch/UCC2803DG4/page-1", "UCC2803DG4")</f>
        <v>UCC2803DG4</v>
      </c>
      <c r="B18332" s="3" t="str">
        <f>HYPERLINK("https://www.773grp.com/manufacturer/texas-instruments?pageNo=694", "Texas Instruments")</f>
        <v>Texas Instruments</v>
      </c>
      <c r="C18332" s="5">
        <v>24</v>
      </c>
      <c r="D18332" s="6">
        <v>3.94</v>
      </c>
      <c r="E18332" t="s">
        <v>6</v>
      </c>
    </row>
    <row r="18333" spans="1:5" x14ac:dyDescent="0.25">
      <c r="A18333" t="str">
        <f>HYPERLINK("https://www.773grp.com/globalSearch/UCC2803PW/page-1", "UCC2803PW")</f>
        <v>UCC2803PW</v>
      </c>
      <c r="B18333" s="3" t="str">
        <f>HYPERLINK("https://www.773grp.com/manufacturer/texas-instruments?pageNo=695", "Texas Instruments")</f>
        <v>Texas Instruments</v>
      </c>
      <c r="C18333" s="5">
        <v>2675</v>
      </c>
      <c r="D18333" s="6">
        <v>3.94</v>
      </c>
      <c r="E18333" t="s">
        <v>6</v>
      </c>
    </row>
    <row r="18334" spans="1:5" x14ac:dyDescent="0.25">
      <c r="A18334" t="str">
        <f>HYPERLINK("https://www.773grp.com/globalSearch/UCC2804PW/page-1", "UCC2804PW")</f>
        <v>UCC2804PW</v>
      </c>
      <c r="B18334" s="3" t="str">
        <f>HYPERLINK("https://www.773grp.com/manufacturer/texas-instruments?pageNo=696", "Texas Instruments")</f>
        <v>Texas Instruments</v>
      </c>
      <c r="C18334" s="5">
        <v>71</v>
      </c>
      <c r="D18334" s="6">
        <v>3.94</v>
      </c>
      <c r="E18334" t="s">
        <v>6</v>
      </c>
    </row>
    <row r="18335" spans="1:5" x14ac:dyDescent="0.25">
      <c r="A18335" t="str">
        <f>HYPERLINK("https://www.773grp.com/globalSearch/UCC2805PW/page-1", "UCC2805PW")</f>
        <v>UCC2805PW</v>
      </c>
      <c r="B18335" s="3" t="str">
        <f>HYPERLINK("https://www.773grp.com/manufacturer/texas-instruments?pageNo=697", "Texas Instruments")</f>
        <v>Texas Instruments</v>
      </c>
      <c r="C18335" s="5">
        <v>6139</v>
      </c>
      <c r="D18335" s="6">
        <v>3.94</v>
      </c>
      <c r="E18335" t="s">
        <v>6</v>
      </c>
    </row>
    <row r="18336" spans="1:5" x14ac:dyDescent="0.25">
      <c r="A18336" t="str">
        <f>HYPERLINK("https://www.773grp.com/globalSearch/UCC28083PW/page-1", "UCC28083PW")</f>
        <v>UCC28083PW</v>
      </c>
      <c r="B18336" s="3" t="str">
        <f>HYPERLINK("https://www.773grp.com/manufacturer/texas-instruments?pageNo=699", "Texas Instruments")</f>
        <v>Texas Instruments</v>
      </c>
      <c r="C18336" s="5">
        <v>12111</v>
      </c>
      <c r="D18336" s="6">
        <v>3.94</v>
      </c>
      <c r="E18336" t="s">
        <v>6</v>
      </c>
    </row>
    <row r="18337" spans="1:5" x14ac:dyDescent="0.25">
      <c r="A18337" t="str">
        <f>HYPERLINK("https://www.773grp.com/globalSearch/UCC28084D/page-1", "UCC28084D")</f>
        <v>UCC28084D</v>
      </c>
      <c r="B18337" s="3" t="str">
        <f>HYPERLINK("https://www.773grp.com/manufacturer/texas-instruments?pageNo=700", "Texas Instruments")</f>
        <v>Texas Instruments</v>
      </c>
      <c r="C18337" s="5">
        <v>690</v>
      </c>
      <c r="D18337" s="6">
        <v>3.94</v>
      </c>
      <c r="E18337" t="s">
        <v>6</v>
      </c>
    </row>
    <row r="18338" spans="1:5" x14ac:dyDescent="0.25">
      <c r="A18338" t="str">
        <f>HYPERLINK("https://www.773grp.com/globalSearch/UCC28086D/page-1", "UCC28086D")</f>
        <v>UCC28086D</v>
      </c>
      <c r="B18338" s="3" t="str">
        <f>HYPERLINK("https://www.773grp.com/manufacturer/texas-instruments?pageNo=702", "Texas Instruments")</f>
        <v>Texas Instruments</v>
      </c>
      <c r="C18338" s="5">
        <v>290</v>
      </c>
      <c r="D18338" s="6">
        <v>3.94</v>
      </c>
      <c r="E18338" t="s">
        <v>6</v>
      </c>
    </row>
    <row r="18339" spans="1:5" x14ac:dyDescent="0.25">
      <c r="A18339" t="str">
        <f>HYPERLINK("https://www.773grp.com/globalSearch/UCC28086PW/page-1", "UCC28086PW")</f>
        <v>UCC28086PW</v>
      </c>
      <c r="B18339" s="3" t="str">
        <f>HYPERLINK("https://www.773grp.com/manufacturer/texas-instruments?pageNo=703", "Texas Instruments")</f>
        <v>Texas Instruments</v>
      </c>
      <c r="C18339" s="5">
        <v>13950</v>
      </c>
      <c r="D18339" s="6">
        <v>3.94</v>
      </c>
      <c r="E18339" t="s">
        <v>6</v>
      </c>
    </row>
    <row r="18340" spans="1:5" x14ac:dyDescent="0.25">
      <c r="A18340" t="str">
        <f>HYPERLINK("https://www.773grp.com/globalSearch/UCC28230DRNT/page-1", "UCC28230DRNT")</f>
        <v>UCC28230DRNT</v>
      </c>
      <c r="B18340" s="3" t="str">
        <f>HYPERLINK("https://www.773grp.com/manufacturer/texas-instruments?pageNo=704", "Texas Instruments")</f>
        <v>Texas Instruments</v>
      </c>
      <c r="C18340" s="5">
        <v>39245</v>
      </c>
      <c r="D18340" s="6">
        <v>3.94</v>
      </c>
      <c r="E18340" t="s">
        <v>6</v>
      </c>
    </row>
    <row r="18341" spans="1:5" x14ac:dyDescent="0.25">
      <c r="A18341" t="str">
        <f>HYPERLINK("https://www.773grp.com/globalSearch/UCC28231DRNT/page-1", "UCC28231DRNT")</f>
        <v>UCC28231DRNT</v>
      </c>
      <c r="B18341" s="3" t="str">
        <f>HYPERLINK("https://www.773grp.com/manufacturer/texas-instruments?pageNo=705", "Texas Instruments")</f>
        <v>Texas Instruments</v>
      </c>
      <c r="C18341" s="5">
        <v>3740</v>
      </c>
      <c r="D18341" s="6">
        <v>3.94</v>
      </c>
      <c r="E18341" t="s">
        <v>6</v>
      </c>
    </row>
    <row r="18342" spans="1:5" x14ac:dyDescent="0.25">
      <c r="A18342" t="str">
        <f>HYPERLINK("https://www.773grp.com/globalSearch/UCC2839D/page-1", "UCC2839D")</f>
        <v>UCC2839D</v>
      </c>
      <c r="B18342" s="3" t="str">
        <f>HYPERLINK("https://www.773grp.com/manufacturer/texas-instruments?pageNo=706", "Texas Instruments")</f>
        <v>Texas Instruments</v>
      </c>
      <c r="C18342" s="5">
        <v>13565</v>
      </c>
      <c r="D18342" s="6">
        <v>3.94</v>
      </c>
      <c r="E18342" t="s">
        <v>6</v>
      </c>
    </row>
    <row r="18343" spans="1:5" x14ac:dyDescent="0.25">
      <c r="A18343" t="str">
        <f>HYPERLINK("https://www.773grp.com/globalSearch/UCC2897ARGPT/page-1", "UCC2897ARGPT")</f>
        <v>UCC2897ARGPT</v>
      </c>
      <c r="B18343" s="3" t="str">
        <f>HYPERLINK("https://www.773grp.com/manufacturer/texas-instruments?pageNo=707", "Texas Instruments")</f>
        <v>Texas Instruments</v>
      </c>
      <c r="C18343" s="5">
        <v>65500</v>
      </c>
      <c r="D18343" s="6">
        <v>3.94</v>
      </c>
      <c r="E18343" t="s">
        <v>6</v>
      </c>
    </row>
    <row r="18344" spans="1:5" x14ac:dyDescent="0.25">
      <c r="A18344" t="str">
        <f>HYPERLINK("https://www.773grp.com/globalSearch/UCC38085DR/page-1", "UCC38085DR")</f>
        <v>UCC38085DR</v>
      </c>
      <c r="B18344" s="3" t="str">
        <f>HYPERLINK("https://www.773grp.com/manufacturer/texas-instruments?pageNo=708", "Texas Instruments")</f>
        <v>Texas Instruments</v>
      </c>
      <c r="C18344" s="5">
        <v>7500</v>
      </c>
      <c r="D18344" s="6">
        <v>3.94</v>
      </c>
      <c r="E18344" t="s">
        <v>6</v>
      </c>
    </row>
    <row r="18345" spans="1:5" x14ac:dyDescent="0.25">
      <c r="A18345" t="str">
        <f>HYPERLINK("https://www.773grp.com/globalSearch/UCC3817AD/page-1", "UCC3817AD")</f>
        <v>UCC3817AD</v>
      </c>
      <c r="B18345" s="3" t="str">
        <f>HYPERLINK("https://www.773grp.com/manufacturer/texas-instruments?pageNo=709", "Texas Instruments")</f>
        <v>Texas Instruments</v>
      </c>
      <c r="C18345" s="5">
        <v>9607</v>
      </c>
      <c r="D18345" s="6">
        <v>3.94</v>
      </c>
      <c r="E18345" t="s">
        <v>6</v>
      </c>
    </row>
    <row r="18346" spans="1:5" x14ac:dyDescent="0.25">
      <c r="A18346" t="str">
        <f>HYPERLINK("https://www.773grp.com/globalSearch/UCC3817APW/page-1", "UCC3817APW")</f>
        <v>UCC3817APW</v>
      </c>
      <c r="B18346" s="3" t="str">
        <f>HYPERLINK("https://www.773grp.com/manufacturer/texas-instruments?pageNo=710", "Texas Instruments")</f>
        <v>Texas Instruments</v>
      </c>
      <c r="C18346" s="5">
        <v>7390</v>
      </c>
      <c r="D18346" s="6">
        <v>3.94</v>
      </c>
      <c r="E18346" t="s">
        <v>6</v>
      </c>
    </row>
    <row r="18347" spans="1:5" x14ac:dyDescent="0.25">
      <c r="A18347" t="str">
        <f>HYPERLINK("https://www.773grp.com/globalSearch/UCC3818APW/page-1", "UCC3818APW")</f>
        <v>UCC3818APW</v>
      </c>
      <c r="B18347" s="3" t="str">
        <f>HYPERLINK("https://www.773grp.com/manufacturer/texas-instruments?pageNo=711", "Texas Instruments")</f>
        <v>Texas Instruments</v>
      </c>
      <c r="C18347" s="5">
        <v>7624</v>
      </c>
      <c r="D18347" s="6">
        <v>3.94</v>
      </c>
      <c r="E18347" t="s">
        <v>6</v>
      </c>
    </row>
    <row r="18348" spans="1:5" x14ac:dyDescent="0.25">
      <c r="A18348" t="str">
        <f>HYPERLINK("https://www.773grp.com/globalSearch/UCC3818D/page-1", "UCC3818D")</f>
        <v>UCC3818D</v>
      </c>
      <c r="B18348" s="3" t="str">
        <f>HYPERLINK("https://www.773grp.com/manufacturer/texas-instruments?pageNo=712", "Texas Instruments")</f>
        <v>Texas Instruments</v>
      </c>
      <c r="C18348" s="5">
        <v>18472</v>
      </c>
      <c r="D18348" s="6">
        <v>3.94</v>
      </c>
      <c r="E18348" t="s">
        <v>6</v>
      </c>
    </row>
    <row r="18349" spans="1:5" x14ac:dyDescent="0.25">
      <c r="A18349" t="str">
        <f>HYPERLINK("https://www.773grp.com/globalSearch/UCC3818DW/page-1", "UCC3818DW")</f>
        <v>UCC3818DW</v>
      </c>
      <c r="B18349" s="3" t="str">
        <f>HYPERLINK("https://www.773grp.com/manufacturer/texas-instruments?pageNo=713", "Texas Instruments")</f>
        <v>Texas Instruments</v>
      </c>
      <c r="C18349" s="5">
        <v>260</v>
      </c>
      <c r="D18349" s="6">
        <v>3.94</v>
      </c>
      <c r="E18349" t="s">
        <v>6</v>
      </c>
    </row>
    <row r="18350" spans="1:5" x14ac:dyDescent="0.25">
      <c r="A18350" t="str">
        <f>HYPERLINK("https://www.773grp.com/globalSearch/UCC3818DW/page-1", "UCC3818DW")</f>
        <v>UCC3818DW</v>
      </c>
      <c r="B18350" s="3" t="str">
        <f>HYPERLINK("https://www.773grp.com/manufacturer/texas-instruments?pageNo=714", "Texas Instruments")</f>
        <v>Texas Instruments</v>
      </c>
      <c r="C18350" s="5">
        <v>30871</v>
      </c>
      <c r="D18350" s="6">
        <v>3.94</v>
      </c>
      <c r="E18350" t="s">
        <v>6</v>
      </c>
    </row>
    <row r="18351" spans="1:5" x14ac:dyDescent="0.25">
      <c r="A18351" t="str">
        <f>HYPERLINK("https://www.773grp.com/globalSearch/UCC3818PW/page-1", "UCC3818PW")</f>
        <v>UCC3818PW</v>
      </c>
      <c r="B18351" s="3" t="str">
        <f>HYPERLINK("https://www.773grp.com/manufacturer/texas-instruments?pageNo=715", "Texas Instruments")</f>
        <v>Texas Instruments</v>
      </c>
      <c r="C18351" s="5">
        <v>2610</v>
      </c>
      <c r="D18351" s="6">
        <v>3.94</v>
      </c>
      <c r="E18351" t="s">
        <v>6</v>
      </c>
    </row>
    <row r="18352" spans="1:5" x14ac:dyDescent="0.25">
      <c r="A18352" t="str">
        <f>HYPERLINK("https://www.773grp.com/globalSearch/UCC3819AD/page-1", "UCC3819AD")</f>
        <v>UCC3819AD</v>
      </c>
      <c r="B18352" s="3" t="str">
        <f>HYPERLINK("https://www.773grp.com/manufacturer/texas-instruments?pageNo=716", "Texas Instruments")</f>
        <v>Texas Instruments</v>
      </c>
      <c r="C18352" s="5">
        <v>24640</v>
      </c>
      <c r="D18352" s="6">
        <v>3.94</v>
      </c>
      <c r="E18352" t="s">
        <v>6</v>
      </c>
    </row>
    <row r="18353" spans="1:5" x14ac:dyDescent="0.25">
      <c r="A18353" t="str">
        <f>HYPERLINK("https://www.773grp.com/globalSearch/UCC3960D/page-1", "UCC3960D")</f>
        <v>UCC3960D</v>
      </c>
      <c r="B18353" s="3" t="str">
        <f>HYPERLINK("https://www.773grp.com/manufacturer/texas-instruments?pageNo=717", "Texas Instruments")</f>
        <v>Texas Instruments</v>
      </c>
      <c r="C18353" s="5">
        <v>9322</v>
      </c>
      <c r="D18353" s="6">
        <v>3.94</v>
      </c>
      <c r="E18353" t="s">
        <v>6</v>
      </c>
    </row>
    <row r="18354" spans="1:5" x14ac:dyDescent="0.25">
      <c r="A18354" t="str">
        <f>HYPERLINK("https://www.773grp.com/globalSearch/UC3844P/page-1", "UC3844P")</f>
        <v>UC3844P</v>
      </c>
      <c r="B18354" s="3" t="str">
        <f>HYPERLINK("https://www.773grp.com/manufacturer/texas-instruments?pageNo=816", "Texas Instruments")</f>
        <v>Texas Instruments</v>
      </c>
      <c r="C18354" s="5">
        <v>11</v>
      </c>
      <c r="D18354" s="6">
        <v>4.38</v>
      </c>
      <c r="E18354" t="s">
        <v>6</v>
      </c>
    </row>
    <row r="18355" spans="1:5" x14ac:dyDescent="0.25">
      <c r="A18355" t="str">
        <f>HYPERLINK("https://www.773grp.com/globalSearch/UC2572DG4/page-1", "UC2572DG4")</f>
        <v>UC2572DG4</v>
      </c>
      <c r="B18355" s="3" t="str">
        <f>HYPERLINK("https://www.773grp.com/manufacturer/texas-instruments?pageNo=834", "Texas Instruments")</f>
        <v>Texas Instruments</v>
      </c>
      <c r="C18355" s="5">
        <v>50</v>
      </c>
      <c r="D18355" s="6">
        <v>4</v>
      </c>
      <c r="E18355" t="s">
        <v>6</v>
      </c>
    </row>
    <row r="18356" spans="1:5" x14ac:dyDescent="0.25">
      <c r="A18356" t="str">
        <f>HYPERLINK("https://www.773grp.com/globalSearch/UC2572N/page-1", "UC2572N")</f>
        <v>UC2572N</v>
      </c>
      <c r="B18356" s="3" t="str">
        <f>HYPERLINK("https://www.773grp.com/manufacturer/texas-instruments?pageNo=835", "Texas Instruments")</f>
        <v>Texas Instruments</v>
      </c>
      <c r="C18356" s="5">
        <v>1750</v>
      </c>
      <c r="D18356" s="6">
        <v>4</v>
      </c>
      <c r="E18356" t="s">
        <v>6</v>
      </c>
    </row>
    <row r="18357" spans="1:5" x14ac:dyDescent="0.25">
      <c r="A18357" t="str">
        <f>HYPERLINK("https://www.773grp.com/globalSearch/UC2573D/page-1", "UC2573D")</f>
        <v>UC2573D</v>
      </c>
      <c r="B18357" s="3" t="str">
        <f>HYPERLINK("https://www.773grp.com/manufacturer/texas-instruments?pageNo=836", "Texas Instruments")</f>
        <v>Texas Instruments</v>
      </c>
      <c r="C18357" s="5">
        <v>20</v>
      </c>
      <c r="D18357" s="6">
        <v>4</v>
      </c>
      <c r="E18357" t="s">
        <v>6</v>
      </c>
    </row>
    <row r="18358" spans="1:5" x14ac:dyDescent="0.25">
      <c r="A18358" t="str">
        <f>HYPERLINK("https://www.773grp.com/globalSearch/UC2573N/page-1", "UC2573N")</f>
        <v>UC2573N</v>
      </c>
      <c r="B18358" s="3" t="str">
        <f>HYPERLINK("https://www.773grp.com/manufacturer/texas-instruments?pageNo=837", "Texas Instruments")</f>
        <v>Texas Instruments</v>
      </c>
      <c r="C18358" s="5">
        <v>5103</v>
      </c>
      <c r="D18358" s="6">
        <v>4</v>
      </c>
      <c r="E18358" t="s">
        <v>6</v>
      </c>
    </row>
    <row r="18359" spans="1:5" x14ac:dyDescent="0.25">
      <c r="A18359" t="str">
        <f>HYPERLINK("https://www.773grp.com/globalSearch/UC2573N/page-1", "UC2573N")</f>
        <v>UC2573N</v>
      </c>
      <c r="B18359" s="3" t="str">
        <f>HYPERLINK("https://www.773grp.com/manufacturer/texas-instruments?pageNo=838", "Texas Instruments")</f>
        <v>Texas Instruments</v>
      </c>
      <c r="C18359" s="5">
        <v>4600</v>
      </c>
      <c r="D18359" s="6">
        <v>4</v>
      </c>
      <c r="E18359" t="s">
        <v>6</v>
      </c>
    </row>
    <row r="18360" spans="1:5" x14ac:dyDescent="0.25">
      <c r="A18360" t="str">
        <f>HYPERLINK("https://www.773grp.com/globalSearch/TPS40200DRBT/page-1", "TPS40200DRBT")</f>
        <v>TPS40200DRBT</v>
      </c>
      <c r="B18360" s="3" t="str">
        <f>HYPERLINK("https://www.773grp.com/manufacturer/texas-instruments?pageNo=879", "Texas Instruments")</f>
        <v>Texas Instruments</v>
      </c>
      <c r="C18360" s="5">
        <v>28353</v>
      </c>
      <c r="D18360" s="6">
        <v>4.4400000000000004</v>
      </c>
      <c r="E18360" t="s">
        <v>6</v>
      </c>
    </row>
    <row r="18361" spans="1:5" x14ac:dyDescent="0.25">
      <c r="A18361" t="str">
        <f>HYPERLINK("https://www.773grp.com/globalSearch/TPS60111PWP/page-1", "TPS60111PWP")</f>
        <v>TPS60111PWP</v>
      </c>
      <c r="B18361" s="3" t="str">
        <f>HYPERLINK("https://www.773grp.com/manufacturer/texas-instruments?pageNo=880", "Texas Instruments")</f>
        <v>Texas Instruments</v>
      </c>
      <c r="C18361" s="5">
        <v>13594</v>
      </c>
      <c r="D18361" s="6">
        <v>4.4400000000000004</v>
      </c>
      <c r="E18361" t="s">
        <v>6</v>
      </c>
    </row>
    <row r="18362" spans="1:5" x14ac:dyDescent="0.25">
      <c r="A18362" t="str">
        <f>HYPERLINK("https://www.773grp.com/globalSearch/TPS60133PWP/page-1", "TPS60133PWP")</f>
        <v>TPS60133PWP</v>
      </c>
      <c r="B18362" s="3" t="str">
        <f>HYPERLINK("https://www.773grp.com/manufacturer/texas-instruments?pageNo=881", "Texas Instruments")</f>
        <v>Texas Instruments</v>
      </c>
      <c r="C18362" s="5">
        <v>4470</v>
      </c>
      <c r="D18362" s="6">
        <v>4.4400000000000004</v>
      </c>
      <c r="E18362" t="s">
        <v>6</v>
      </c>
    </row>
    <row r="18363" spans="1:5" x14ac:dyDescent="0.25">
      <c r="A18363" t="str">
        <f>HYPERLINK("https://www.773grp.com/globalSearch/TPS60300DGS/page-1", "TPS60300DGS")</f>
        <v>TPS60300DGS</v>
      </c>
      <c r="B18363" s="3" t="str">
        <f>HYPERLINK("https://www.773grp.com/manufacturer/texas-instruments?pageNo=882", "Texas Instruments")</f>
        <v>Texas Instruments</v>
      </c>
      <c r="C18363" s="5">
        <v>7618</v>
      </c>
      <c r="D18363" s="6">
        <v>4.4400000000000004</v>
      </c>
      <c r="E18363" t="s">
        <v>6</v>
      </c>
    </row>
    <row r="18364" spans="1:5" x14ac:dyDescent="0.25">
      <c r="A18364" t="str">
        <f>HYPERLINK("https://www.773grp.com/globalSearch/TPS60301DGS/page-1", "TPS60301DGS")</f>
        <v>TPS60301DGS</v>
      </c>
      <c r="B18364" s="3" t="str">
        <f>HYPERLINK("https://www.773grp.com/manufacturer/texas-instruments?pageNo=883", "Texas Instruments")</f>
        <v>Texas Instruments</v>
      </c>
      <c r="C18364" s="5">
        <v>22720</v>
      </c>
      <c r="D18364" s="6">
        <v>4.4400000000000004</v>
      </c>
      <c r="E18364" t="s">
        <v>6</v>
      </c>
    </row>
    <row r="18365" spans="1:5" x14ac:dyDescent="0.25">
      <c r="A18365" t="str">
        <f>HYPERLINK("https://www.773grp.com/globalSearch/TPS60302DGS/page-1", "TPS60302DGS")</f>
        <v>TPS60302DGS</v>
      </c>
      <c r="B18365" s="3" t="str">
        <f>HYPERLINK("https://www.773grp.com/manufacturer/texas-instruments?pageNo=884", "Texas Instruments")</f>
        <v>Texas Instruments</v>
      </c>
      <c r="C18365" s="5">
        <v>8497</v>
      </c>
      <c r="D18365" s="6">
        <v>4.4400000000000004</v>
      </c>
      <c r="E18365" t="s">
        <v>6</v>
      </c>
    </row>
    <row r="18366" spans="1:5" x14ac:dyDescent="0.25">
      <c r="A18366" t="str">
        <f>HYPERLINK("https://www.773grp.com/globalSearch/TPS62220DDCT/page-1", "TPS62220DDCT")</f>
        <v>TPS62220DDCT</v>
      </c>
      <c r="B18366" s="3" t="str">
        <f>HYPERLINK("https://www.773grp.com/manufacturer/texas-instruments?pageNo=885", "Texas Instruments")</f>
        <v>Texas Instruments</v>
      </c>
      <c r="C18366" s="5">
        <v>8500</v>
      </c>
      <c r="D18366" s="6">
        <v>4.4400000000000004</v>
      </c>
      <c r="E18366" t="s">
        <v>6</v>
      </c>
    </row>
    <row r="18367" spans="1:5" x14ac:dyDescent="0.25">
      <c r="A18367" t="str">
        <f>HYPERLINK("https://www.773grp.com/globalSearch/TPS62221DDCT/page-1", "TPS62221DDCT")</f>
        <v>TPS62221DDCT</v>
      </c>
      <c r="B18367" s="3" t="str">
        <f>HYPERLINK("https://www.773grp.com/manufacturer/texas-instruments?pageNo=886", "Texas Instruments")</f>
        <v>Texas Instruments</v>
      </c>
      <c r="C18367" s="5">
        <v>27475</v>
      </c>
      <c r="D18367" s="6">
        <v>4.4400000000000004</v>
      </c>
      <c r="E18367" t="s">
        <v>6</v>
      </c>
    </row>
    <row r="18368" spans="1:5" x14ac:dyDescent="0.25">
      <c r="A18368" t="str">
        <f>HYPERLINK("https://www.773grp.com/globalSearch/TPS62223DDCT/page-1", "TPS62223DDCT")</f>
        <v>TPS62223DDCT</v>
      </c>
      <c r="B18368" s="3" t="str">
        <f>HYPERLINK("https://www.773grp.com/manufacturer/texas-instruments?pageNo=888", "Texas Instruments")</f>
        <v>Texas Instruments</v>
      </c>
      <c r="C18368" s="5">
        <v>10000</v>
      </c>
      <c r="D18368" s="6">
        <v>4.4400000000000004</v>
      </c>
      <c r="E18368" t="s">
        <v>6</v>
      </c>
    </row>
    <row r="18369" spans="1:5" x14ac:dyDescent="0.25">
      <c r="A18369" t="str">
        <f>HYPERLINK("https://www.773grp.com/globalSearch/TPS62224DDCT/page-1", "TPS62224DDCT")</f>
        <v>TPS62224DDCT</v>
      </c>
      <c r="B18369" s="3" t="str">
        <f>HYPERLINK("https://www.773grp.com/manufacturer/texas-instruments?pageNo=889", "Texas Instruments")</f>
        <v>Texas Instruments</v>
      </c>
      <c r="C18369" s="5">
        <v>8500</v>
      </c>
      <c r="D18369" s="6">
        <v>4.4400000000000004</v>
      </c>
      <c r="E18369" t="s">
        <v>6</v>
      </c>
    </row>
    <row r="18370" spans="1:5" x14ac:dyDescent="0.25">
      <c r="A18370" t="str">
        <f>HYPERLINK("https://www.773grp.com/globalSearch/TPS62225DDCT/page-1", "TPS62225DDCT")</f>
        <v>TPS62225DDCT</v>
      </c>
      <c r="B18370" s="3" t="str">
        <f>HYPERLINK("https://www.773grp.com/manufacturer/texas-instruments?pageNo=890", "Texas Instruments")</f>
        <v>Texas Instruments</v>
      </c>
      <c r="C18370" s="5">
        <v>1750</v>
      </c>
      <c r="D18370" s="6">
        <v>4.4400000000000004</v>
      </c>
      <c r="E18370" t="s">
        <v>6</v>
      </c>
    </row>
    <row r="18371" spans="1:5" x14ac:dyDescent="0.25">
      <c r="A18371" t="str">
        <f>HYPERLINK("https://www.773grp.com/globalSearch/TPS62227DDCT/page-1", "TPS62227DDCT")</f>
        <v>TPS62227DDCT</v>
      </c>
      <c r="B18371" s="3" t="str">
        <f>HYPERLINK("https://www.773grp.com/manufacturer/texas-instruments?pageNo=891", "Texas Instruments")</f>
        <v>Texas Instruments</v>
      </c>
      <c r="C18371" s="5">
        <v>2750</v>
      </c>
      <c r="D18371" s="6">
        <v>4.4400000000000004</v>
      </c>
      <c r="E18371" t="s">
        <v>6</v>
      </c>
    </row>
    <row r="18372" spans="1:5" x14ac:dyDescent="0.25">
      <c r="A18372" t="str">
        <f>HYPERLINK("https://www.773grp.com/globalSearch/TPS62229DDCT/page-1", "TPS62229DDCT")</f>
        <v>TPS62229DDCT</v>
      </c>
      <c r="B18372" s="3" t="str">
        <f>HYPERLINK("https://www.773grp.com/manufacturer/texas-instruments?pageNo=893", "Texas Instruments")</f>
        <v>Texas Instruments</v>
      </c>
      <c r="C18372" s="5">
        <v>11750</v>
      </c>
      <c r="D18372" s="6">
        <v>4.4400000000000004</v>
      </c>
      <c r="E18372" t="s">
        <v>6</v>
      </c>
    </row>
    <row r="18373" spans="1:5" x14ac:dyDescent="0.25">
      <c r="A18373" t="str">
        <f>HYPERLINK("https://www.773grp.com/globalSearch/TL1453CD/page-1", "TL1453CD")</f>
        <v>TL1453CD</v>
      </c>
      <c r="B18373" s="3" t="s">
        <v>90</v>
      </c>
      <c r="C18373" s="5">
        <v>21840</v>
      </c>
      <c r="D18373" s="6">
        <v>4.01</v>
      </c>
      <c r="E18373" t="s">
        <v>6</v>
      </c>
    </row>
    <row r="18374" spans="1:5" x14ac:dyDescent="0.25">
      <c r="A18374" t="str">
        <f>HYPERLINK("https://www.773grp.com/globalSearch/TL1453CN/page-1", "TL1453CN")</f>
        <v>TL1453CN</v>
      </c>
      <c r="B18374" s="3" t="s">
        <v>90</v>
      </c>
      <c r="C18374" s="5">
        <v>15154</v>
      </c>
      <c r="D18374" s="6">
        <v>4.01</v>
      </c>
      <c r="E18374" t="s">
        <v>6</v>
      </c>
    </row>
    <row r="18375" spans="1:5" x14ac:dyDescent="0.25">
      <c r="A18375" t="str">
        <f>HYPERLINK("https://www.773grp.com/globalSearch/TPS51117RGYT/page-1", "TPS51117RGYT")</f>
        <v>TPS51117RGYT</v>
      </c>
      <c r="B18375" s="3" t="s">
        <v>90</v>
      </c>
      <c r="C18375" s="5">
        <v>19050</v>
      </c>
      <c r="D18375" s="6">
        <v>4.05</v>
      </c>
      <c r="E18375" t="s">
        <v>6</v>
      </c>
    </row>
    <row r="18376" spans="1:5" x14ac:dyDescent="0.25">
      <c r="A18376" t="str">
        <f>HYPERLINK("https://www.773grp.com/globalSearch/TPS61081DRCT/page-1", "TPS61081DRCT")</f>
        <v>TPS61081DRCT</v>
      </c>
      <c r="B18376" s="3" t="s">
        <v>90</v>
      </c>
      <c r="C18376" s="5">
        <v>7582</v>
      </c>
      <c r="D18376" s="6">
        <v>4.05</v>
      </c>
      <c r="E18376" t="s">
        <v>6</v>
      </c>
    </row>
    <row r="18377" spans="1:5" x14ac:dyDescent="0.25">
      <c r="A18377" t="str">
        <f>HYPERLINK("https://www.773grp.com/globalSearch/TPS61500PWP/page-1", "TPS61500PWP")</f>
        <v>TPS61500PWP</v>
      </c>
      <c r="B18377" s="3" t="s">
        <v>90</v>
      </c>
      <c r="C18377" s="5">
        <v>8112</v>
      </c>
      <c r="D18377" s="6">
        <v>4.05</v>
      </c>
      <c r="E18377" t="s">
        <v>6</v>
      </c>
    </row>
    <row r="18378" spans="1:5" x14ac:dyDescent="0.25">
      <c r="A18378" t="str">
        <f>HYPERLINK("https://www.773grp.com/globalSearch/TPS62101D/page-1", "TPS62101D")</f>
        <v>TPS62101D</v>
      </c>
      <c r="B18378" s="3" t="s">
        <v>90</v>
      </c>
      <c r="C18378" s="5">
        <v>12332</v>
      </c>
      <c r="D18378" s="6">
        <v>4.05</v>
      </c>
      <c r="E18378" t="s">
        <v>6</v>
      </c>
    </row>
    <row r="18379" spans="1:5" x14ac:dyDescent="0.25">
      <c r="A18379" t="str">
        <f>HYPERLINK("https://www.773grp.com/globalSearch/TPS63001DRCT/page-1", "TPS63001DRCT")</f>
        <v>TPS63001DRCT</v>
      </c>
      <c r="B18379" s="3" t="s">
        <v>90</v>
      </c>
      <c r="C18379" s="5">
        <v>250</v>
      </c>
      <c r="D18379" s="6">
        <v>4.05</v>
      </c>
      <c r="E18379" t="s">
        <v>6</v>
      </c>
    </row>
    <row r="18380" spans="1:5" x14ac:dyDescent="0.25">
      <c r="A18380" t="str">
        <f>HYPERLINK("https://www.773grp.com/globalSearch/UC2854DWTR/page-1", "UC2854DWTR")</f>
        <v>UC2854DWTR</v>
      </c>
      <c r="B18380" s="3" t="s">
        <v>90</v>
      </c>
      <c r="C18380" s="5">
        <v>4000</v>
      </c>
      <c r="D18380" s="6">
        <v>4.05</v>
      </c>
      <c r="E18380" t="s">
        <v>6</v>
      </c>
    </row>
    <row r="18381" spans="1:5" x14ac:dyDescent="0.25">
      <c r="A18381" t="str">
        <f>HYPERLINK("https://www.773grp.com/globalSearch/UC3854DW/page-1", "UC3854DW")</f>
        <v>UC3854DW</v>
      </c>
      <c r="B18381" s="3" t="s">
        <v>90</v>
      </c>
      <c r="C18381" s="5">
        <v>2560</v>
      </c>
      <c r="D18381" s="6">
        <v>4.05</v>
      </c>
      <c r="E18381" t="s">
        <v>6</v>
      </c>
    </row>
    <row r="18382" spans="1:5" x14ac:dyDescent="0.25">
      <c r="A18382" t="str">
        <f>HYPERLINK("https://www.773grp.com/globalSearch/UC3854Q/page-1", "UC3854Q")</f>
        <v>UC3854Q</v>
      </c>
      <c r="B18382" s="3" t="s">
        <v>90</v>
      </c>
      <c r="C18382" s="5">
        <v>5919</v>
      </c>
      <c r="D18382" s="6">
        <v>4.05</v>
      </c>
      <c r="E18382" t="s">
        <v>6</v>
      </c>
    </row>
    <row r="18383" spans="1:5" x14ac:dyDescent="0.25">
      <c r="A18383" t="str">
        <f>HYPERLINK("https://www.773grp.com/globalSearch/BQ24080DRCR/page-1", "BQ24080DRCR")</f>
        <v>BQ24080DRCR</v>
      </c>
      <c r="B18383" s="3" t="s">
        <v>90</v>
      </c>
      <c r="C18383" s="5">
        <v>9000</v>
      </c>
      <c r="D18383" s="6">
        <v>4.49</v>
      </c>
      <c r="E18383" t="s">
        <v>6</v>
      </c>
    </row>
    <row r="18384" spans="1:5" x14ac:dyDescent="0.25">
      <c r="A18384" t="str">
        <f>HYPERLINK("https://www.773grp.com/globalSearch/BQ24081DRCR/page-1", "BQ24081DRCR")</f>
        <v>BQ24081DRCR</v>
      </c>
      <c r="B18384" s="3" t="s">
        <v>90</v>
      </c>
      <c r="C18384" s="5">
        <v>9000</v>
      </c>
      <c r="D18384" s="6">
        <v>4.49</v>
      </c>
      <c r="E18384" t="s">
        <v>6</v>
      </c>
    </row>
    <row r="18385" spans="1:5" x14ac:dyDescent="0.25">
      <c r="A18385" t="str">
        <f>HYPERLINK("https://www.773grp.com/globalSearch/TPS40040DRBR/page-1", "TPS40040DRBR")</f>
        <v>TPS40040DRBR</v>
      </c>
      <c r="B18385" s="3" t="s">
        <v>90</v>
      </c>
      <c r="C18385" s="5">
        <v>5400</v>
      </c>
      <c r="D18385" s="6">
        <v>4.49</v>
      </c>
      <c r="E18385" t="s">
        <v>6</v>
      </c>
    </row>
    <row r="18386" spans="1:5" x14ac:dyDescent="0.25">
      <c r="A18386" t="str">
        <f>HYPERLINK("https://www.773grp.com/globalSearch/TPS40042DRCR/page-1", "TPS40042DRCR")</f>
        <v>TPS40042DRCR</v>
      </c>
      <c r="B18386" s="3" t="s">
        <v>90</v>
      </c>
      <c r="C18386" s="5">
        <v>12000</v>
      </c>
      <c r="D18386" s="6">
        <v>4.49</v>
      </c>
      <c r="E18386" t="s">
        <v>6</v>
      </c>
    </row>
    <row r="18387" spans="1:5" x14ac:dyDescent="0.25">
      <c r="A18387" t="str">
        <f>HYPERLINK("https://www.773grp.com/globalSearch/TPS40200QDRQ1/page-1", "TPS40200QDRQ1")</f>
        <v>TPS40200QDRQ1</v>
      </c>
      <c r="B18387" s="3" t="s">
        <v>90</v>
      </c>
      <c r="C18387" s="5">
        <v>18700</v>
      </c>
      <c r="D18387" s="6">
        <v>4.49</v>
      </c>
      <c r="E18387" t="s">
        <v>6</v>
      </c>
    </row>
    <row r="18388" spans="1:5" x14ac:dyDescent="0.25">
      <c r="A18388" t="str">
        <f>HYPERLINK("https://www.773grp.com/globalSearch/TPS61026DRCR/page-1", "TPS61026DRCR")</f>
        <v>TPS61026DRCR</v>
      </c>
      <c r="B18388" s="3" t="s">
        <v>90</v>
      </c>
      <c r="C18388" s="5">
        <v>12000</v>
      </c>
      <c r="D18388" s="6">
        <v>4.49</v>
      </c>
      <c r="E18388" t="s">
        <v>6</v>
      </c>
    </row>
    <row r="18389" spans="1:5" x14ac:dyDescent="0.25">
      <c r="A18389" t="str">
        <f>HYPERLINK("https://www.773grp.com/globalSearch/TPS61029DRCR/page-1", "TPS61029DRCR")</f>
        <v>TPS61029DRCR</v>
      </c>
      <c r="B18389" s="3" t="s">
        <v>90</v>
      </c>
      <c r="C18389" s="5">
        <v>65770</v>
      </c>
      <c r="D18389" s="6">
        <v>4.49</v>
      </c>
      <c r="E18389" t="s">
        <v>6</v>
      </c>
    </row>
    <row r="18390" spans="1:5" x14ac:dyDescent="0.25">
      <c r="A18390" t="str">
        <f>HYPERLINK("https://www.773grp.com/globalSearch/TPS62401DRCR/page-1", "TPS62401DRCR")</f>
        <v>TPS62401DRCR</v>
      </c>
      <c r="B18390" s="3" t="s">
        <v>90</v>
      </c>
      <c r="C18390" s="5">
        <v>14701</v>
      </c>
      <c r="D18390" s="6">
        <v>4.49</v>
      </c>
      <c r="E18390" t="s">
        <v>6</v>
      </c>
    </row>
    <row r="18391" spans="1:5" x14ac:dyDescent="0.25">
      <c r="A18391" t="str">
        <f>HYPERLINK("https://www.773grp.com/globalSearch/TPS62402DRCR/page-1", "TPS62402DRCR")</f>
        <v>TPS62402DRCR</v>
      </c>
      <c r="B18391" s="3" t="s">
        <v>90</v>
      </c>
      <c r="C18391" s="5">
        <v>6000</v>
      </c>
      <c r="D18391" s="6">
        <v>4.49</v>
      </c>
      <c r="E18391" t="s">
        <v>6</v>
      </c>
    </row>
    <row r="18392" spans="1:5" x14ac:dyDescent="0.25">
      <c r="A18392" t="str">
        <f>HYPERLINK("https://www.773grp.com/globalSearch/TPS62403DRCR/page-1", "TPS62403DRCR")</f>
        <v>TPS62403DRCR</v>
      </c>
      <c r="B18392" s="3" t="s">
        <v>90</v>
      </c>
      <c r="C18392" s="5">
        <v>90000</v>
      </c>
      <c r="D18392" s="6">
        <v>4.49</v>
      </c>
      <c r="E18392" t="s">
        <v>6</v>
      </c>
    </row>
    <row r="18393" spans="1:5" x14ac:dyDescent="0.25">
      <c r="A18393" t="str">
        <f>HYPERLINK("https://www.773grp.com/globalSearch/TPS62665YFFR/page-1", "TPS62665YFFR")</f>
        <v>TPS62665YFFR</v>
      </c>
      <c r="B18393" s="3" t="s">
        <v>90</v>
      </c>
      <c r="C18393" s="5">
        <v>951000</v>
      </c>
      <c r="D18393" s="6">
        <v>4.49</v>
      </c>
      <c r="E18393" t="s">
        <v>6</v>
      </c>
    </row>
    <row r="18394" spans="1:5" x14ac:dyDescent="0.25">
      <c r="A18394" t="str">
        <f>HYPERLINK("https://www.773grp.com/globalSearch/UC2844AQD/page-1", "UC2844AQD")</f>
        <v>UC2844AQD</v>
      </c>
      <c r="B18394" s="3" t="s">
        <v>90</v>
      </c>
      <c r="C18394" s="5">
        <v>1150</v>
      </c>
      <c r="D18394" s="6">
        <v>4.49</v>
      </c>
      <c r="E18394" t="s">
        <v>6</v>
      </c>
    </row>
    <row r="18395" spans="1:5" x14ac:dyDescent="0.25">
      <c r="A18395" t="str">
        <f>HYPERLINK("https://www.773grp.com/globalSearch/UC3843DR-8/page-1", "UC3843DR-8")</f>
        <v>UC3843DR-8</v>
      </c>
      <c r="B18395" s="3" t="s">
        <v>90</v>
      </c>
      <c r="C18395" s="5">
        <v>22500</v>
      </c>
      <c r="D18395" s="6">
        <v>4.49</v>
      </c>
      <c r="E18395" t="s">
        <v>6</v>
      </c>
    </row>
    <row r="18396" spans="1:5" x14ac:dyDescent="0.25">
      <c r="A18396" t="str">
        <f>HYPERLINK("https://www.773grp.com/globalSearch/UCC25600D/page-1", "UCC25600D")</f>
        <v>UCC25600D</v>
      </c>
      <c r="B18396" s="3" t="s">
        <v>90</v>
      </c>
      <c r="C18396" s="5">
        <v>550</v>
      </c>
      <c r="D18396" s="6">
        <v>4.49</v>
      </c>
      <c r="E18396" t="s">
        <v>6</v>
      </c>
    </row>
    <row r="18397" spans="1:5" x14ac:dyDescent="0.25">
      <c r="A18397" t="str">
        <f>HYPERLINK("https://www.773grp.com/globalSearch/UCC2889DTR/page-1", "UCC2889DTR")</f>
        <v>UCC2889DTR</v>
      </c>
      <c r="B18397" s="3" t="s">
        <v>90</v>
      </c>
      <c r="C18397" s="5">
        <v>24520</v>
      </c>
      <c r="D18397" s="6">
        <v>4.49</v>
      </c>
      <c r="E18397" t="s">
        <v>6</v>
      </c>
    </row>
    <row r="18398" spans="1:5" x14ac:dyDescent="0.25">
      <c r="A18398" t="str">
        <f>HYPERLINK("https://www.773grp.com/globalSearch/UCC28C40D/page-1", "UCC28C40D")</f>
        <v>UCC28C40D</v>
      </c>
      <c r="B18398" s="3" t="s">
        <v>90</v>
      </c>
      <c r="C18398" s="5">
        <v>210</v>
      </c>
      <c r="D18398" s="6">
        <v>4.49</v>
      </c>
      <c r="E18398" t="s">
        <v>6</v>
      </c>
    </row>
    <row r="18399" spans="1:5" x14ac:dyDescent="0.25">
      <c r="A18399" t="str">
        <f>HYPERLINK("https://www.773grp.com/globalSearch/UCC28C40DGK/page-1", "UCC28C40DGK")</f>
        <v>UCC28C40DGK</v>
      </c>
      <c r="B18399" s="3" t="s">
        <v>90</v>
      </c>
      <c r="C18399" s="5">
        <v>160</v>
      </c>
      <c r="D18399" s="6">
        <v>4.49</v>
      </c>
      <c r="E18399" t="s">
        <v>6</v>
      </c>
    </row>
    <row r="18400" spans="1:5" x14ac:dyDescent="0.25">
      <c r="A18400" t="str">
        <f>HYPERLINK("https://www.773grp.com/globalSearch/UCC3809DTR-2/page-1", "UCC3809DTR-2")</f>
        <v>UCC3809DTR-2</v>
      </c>
      <c r="B18400" s="3" t="s">
        <v>90</v>
      </c>
      <c r="C18400" s="5">
        <v>10000</v>
      </c>
      <c r="D18400" s="6">
        <v>4.49</v>
      </c>
      <c r="E18400" t="s">
        <v>6</v>
      </c>
    </row>
    <row r="18401" spans="1:5" x14ac:dyDescent="0.25">
      <c r="A18401" t="str">
        <f>HYPERLINK("https://www.773grp.com/globalSearch/UCC3809PTR-1/page-1", "UCC3809PTR-1")</f>
        <v>UCC3809PTR-1</v>
      </c>
      <c r="B18401" s="3" t="s">
        <v>90</v>
      </c>
      <c r="C18401" s="5">
        <v>53356</v>
      </c>
      <c r="D18401" s="6">
        <v>4.49</v>
      </c>
      <c r="E18401" t="s">
        <v>6</v>
      </c>
    </row>
    <row r="18402" spans="1:5" x14ac:dyDescent="0.25">
      <c r="A18402" t="str">
        <f>HYPERLINK("https://www.773grp.com/globalSearch/UCC3809PWTR-1/page-1", "UCC3809PWTR-1")</f>
        <v>UCC3809PWTR-1</v>
      </c>
      <c r="B18402" s="3" t="s">
        <v>90</v>
      </c>
      <c r="C18402" s="5">
        <v>2000</v>
      </c>
      <c r="D18402" s="6">
        <v>4.49</v>
      </c>
      <c r="E18402" t="s">
        <v>6</v>
      </c>
    </row>
    <row r="18403" spans="1:5" x14ac:dyDescent="0.25">
      <c r="A18403" t="str">
        <f>HYPERLINK("https://www.773grp.com/globalSearch/UCC3888D/page-1", "UCC3888D")</f>
        <v>UCC3888D</v>
      </c>
      <c r="B18403" s="3" t="s">
        <v>90</v>
      </c>
      <c r="C18403" s="5">
        <v>6125</v>
      </c>
      <c r="D18403" s="6">
        <v>4.49</v>
      </c>
      <c r="E18403" t="s">
        <v>6</v>
      </c>
    </row>
    <row r="18404" spans="1:5" x14ac:dyDescent="0.25">
      <c r="A18404" t="str">
        <f>HYPERLINK("https://www.773grp.com/globalSearch/UCC3888N/page-1", "UCC3888N")</f>
        <v>UCC3888N</v>
      </c>
      <c r="B18404" s="3" t="s">
        <v>90</v>
      </c>
      <c r="C18404" s="5">
        <v>10900</v>
      </c>
      <c r="D18404" s="6">
        <v>4.49</v>
      </c>
      <c r="E18404" t="s">
        <v>6</v>
      </c>
    </row>
    <row r="18405" spans="1:5" x14ac:dyDescent="0.25">
      <c r="A18405" t="str">
        <f>HYPERLINK("https://www.773grp.com/globalSearch/UCC3889D/page-1", "UCC3889D")</f>
        <v>UCC3889D</v>
      </c>
      <c r="B18405" s="3" t="s">
        <v>90</v>
      </c>
      <c r="C18405" s="5">
        <v>21403</v>
      </c>
      <c r="D18405" s="6">
        <v>4.49</v>
      </c>
      <c r="E18405" t="s">
        <v>6</v>
      </c>
    </row>
    <row r="18406" spans="1:5" x14ac:dyDescent="0.25">
      <c r="A18406" t="str">
        <f>HYPERLINK("https://www.773grp.com/globalSearch/UCC38C40D/page-1", "UCC38C40D")</f>
        <v>UCC38C40D</v>
      </c>
      <c r="B18406" s="3" t="s">
        <v>90</v>
      </c>
      <c r="C18406" s="5">
        <v>15</v>
      </c>
      <c r="D18406" s="6">
        <v>4.49</v>
      </c>
      <c r="E18406" t="s">
        <v>6</v>
      </c>
    </row>
    <row r="18407" spans="1:5" x14ac:dyDescent="0.25">
      <c r="A18407" t="str">
        <f>HYPERLINK("https://www.773grp.com/globalSearch/UCC38C40DGK/page-1", "UCC38C40DGK")</f>
        <v>UCC38C40DGK</v>
      </c>
      <c r="B18407" s="3" t="s">
        <v>90</v>
      </c>
      <c r="C18407" s="5">
        <v>20056</v>
      </c>
      <c r="D18407" s="6">
        <v>4.49</v>
      </c>
      <c r="E18407" t="s">
        <v>6</v>
      </c>
    </row>
    <row r="18408" spans="1:5" x14ac:dyDescent="0.25">
      <c r="A18408" t="str">
        <f>HYPERLINK("https://www.773grp.com/globalSearch/UCC38C41D/page-1", "UCC38C41D")</f>
        <v>UCC38C41D</v>
      </c>
      <c r="B18408" s="3" t="s">
        <v>90</v>
      </c>
      <c r="C18408" s="5">
        <v>355</v>
      </c>
      <c r="D18408" s="6">
        <v>4.49</v>
      </c>
      <c r="E18408" t="s">
        <v>6</v>
      </c>
    </row>
    <row r="18409" spans="1:5" x14ac:dyDescent="0.25">
      <c r="A18409" t="str">
        <f>HYPERLINK("https://www.773grp.com/globalSearch/UCC38C41D/page-1", "UCC38C41D")</f>
        <v>UCC38C41D</v>
      </c>
      <c r="B18409" s="3" t="s">
        <v>90</v>
      </c>
      <c r="C18409" s="5">
        <v>2665</v>
      </c>
      <c r="D18409" s="6">
        <v>4.49</v>
      </c>
      <c r="E18409" t="s">
        <v>6</v>
      </c>
    </row>
    <row r="18410" spans="1:5" x14ac:dyDescent="0.25">
      <c r="A18410" t="str">
        <f>HYPERLINK("https://www.773grp.com/globalSearch/UCC38C41DGK/page-1", "UCC38C41DGK")</f>
        <v>UCC38C41DGK</v>
      </c>
      <c r="B18410" s="3" t="s">
        <v>90</v>
      </c>
      <c r="C18410" s="5">
        <v>17220</v>
      </c>
      <c r="D18410" s="6">
        <v>4.49</v>
      </c>
      <c r="E18410" t="s">
        <v>6</v>
      </c>
    </row>
    <row r="18411" spans="1:5" x14ac:dyDescent="0.25">
      <c r="A18411" t="str">
        <f>HYPERLINK("https://www.773grp.com/globalSearch/TPS40070PWPR/page-1", "TPS40070PWPR")</f>
        <v>TPS40070PWPR</v>
      </c>
      <c r="B18411" s="3" t="s">
        <v>90</v>
      </c>
      <c r="C18411" s="5">
        <v>6570</v>
      </c>
      <c r="D18411" s="6">
        <v>4.09</v>
      </c>
      <c r="E18411" t="s">
        <v>6</v>
      </c>
    </row>
    <row r="18412" spans="1:5" x14ac:dyDescent="0.25">
      <c r="A18412" t="str">
        <f>HYPERLINK("https://www.773grp.com/globalSearch/TPS61011DGS/page-1", "TPS61011DGS")</f>
        <v>TPS61011DGS</v>
      </c>
      <c r="B18412" s="3" t="s">
        <v>90</v>
      </c>
      <c r="C18412" s="5">
        <v>28824</v>
      </c>
      <c r="D18412" s="6">
        <v>4.09</v>
      </c>
      <c r="E18412" t="s">
        <v>6</v>
      </c>
    </row>
    <row r="18413" spans="1:5" x14ac:dyDescent="0.25">
      <c r="A18413" t="str">
        <f>HYPERLINK("https://www.773grp.com/globalSearch/TPS62321YEDR/page-1", "TPS62321YEDR")</f>
        <v>TPS62321YEDR</v>
      </c>
      <c r="B18413" s="3" t="s">
        <v>90</v>
      </c>
      <c r="C18413" s="5">
        <v>75000</v>
      </c>
      <c r="D18413" s="6">
        <v>4.09</v>
      </c>
      <c r="E18413" t="s">
        <v>6</v>
      </c>
    </row>
    <row r="18414" spans="1:5" x14ac:dyDescent="0.25">
      <c r="A18414" t="str">
        <f>HYPERLINK("https://www.773grp.com/globalSearch/TPS65101PWP/page-1", "TPS65101PWP")</f>
        <v>TPS65101PWP</v>
      </c>
      <c r="B18414" s="3" t="s">
        <v>90</v>
      </c>
      <c r="C18414" s="5">
        <v>11820</v>
      </c>
      <c r="D18414" s="6">
        <v>4.09</v>
      </c>
      <c r="E18414" t="s">
        <v>6</v>
      </c>
    </row>
    <row r="18415" spans="1:5" x14ac:dyDescent="0.25">
      <c r="A18415" t="str">
        <f>HYPERLINK("https://www.773grp.com/globalSearch/UC3853D/page-1", "UC3853D")</f>
        <v>UC3853D</v>
      </c>
      <c r="B18415" s="3" t="s">
        <v>90</v>
      </c>
      <c r="C18415" s="5">
        <v>400</v>
      </c>
      <c r="D18415" s="6">
        <v>4.09</v>
      </c>
      <c r="E18415" t="s">
        <v>6</v>
      </c>
    </row>
    <row r="18416" spans="1:5" x14ac:dyDescent="0.25">
      <c r="A18416" t="str">
        <f>HYPERLINK("https://www.773grp.com/globalSearch/UC3853D/page-1", "UC3853D")</f>
        <v>UC3853D</v>
      </c>
      <c r="B18416" s="3" t="s">
        <v>90</v>
      </c>
      <c r="C18416" s="5">
        <v>4</v>
      </c>
      <c r="D18416" s="6">
        <v>4.09</v>
      </c>
      <c r="E18416" t="s">
        <v>6</v>
      </c>
    </row>
    <row r="18417" spans="1:5" x14ac:dyDescent="0.25">
      <c r="A18417" t="str">
        <f>HYPERLINK("https://www.773grp.com/globalSearch/UCC2817AD/page-1", "UCC2817AD")</f>
        <v>UCC2817AD</v>
      </c>
      <c r="B18417" s="3" t="s">
        <v>90</v>
      </c>
      <c r="C18417" s="5">
        <v>120</v>
      </c>
      <c r="D18417" s="6">
        <v>4.09</v>
      </c>
      <c r="E18417" t="s">
        <v>6</v>
      </c>
    </row>
    <row r="18418" spans="1:5" x14ac:dyDescent="0.25">
      <c r="A18418" t="str">
        <f>HYPERLINK("https://www.773grp.com/globalSearch/UCC2817AD/page-1", "UCC2817AD")</f>
        <v>UCC2817AD</v>
      </c>
      <c r="B18418" s="3" t="s">
        <v>90</v>
      </c>
      <c r="C18418" s="5">
        <v>1360</v>
      </c>
      <c r="D18418" s="6">
        <v>4.09</v>
      </c>
      <c r="E18418" t="s">
        <v>6</v>
      </c>
    </row>
    <row r="18419" spans="1:5" x14ac:dyDescent="0.25">
      <c r="A18419" t="str">
        <f>HYPERLINK("https://www.773grp.com/globalSearch/UCC2817APW/page-1", "UCC2817APW")</f>
        <v>UCC2817APW</v>
      </c>
      <c r="B18419" s="3" t="s">
        <v>90</v>
      </c>
      <c r="C18419" s="5">
        <v>16380</v>
      </c>
      <c r="D18419" s="6">
        <v>4.09</v>
      </c>
      <c r="E18419" t="s">
        <v>6</v>
      </c>
    </row>
    <row r="18420" spans="1:5" x14ac:dyDescent="0.25">
      <c r="A18420" t="str">
        <f>HYPERLINK("https://www.773grp.com/globalSearch/UCC2818AD/page-1", "UCC2818AD")</f>
        <v>UCC2818AD</v>
      </c>
      <c r="B18420" s="3" t="s">
        <v>90</v>
      </c>
      <c r="C18420" s="5">
        <v>2435</v>
      </c>
      <c r="D18420" s="6">
        <v>4.09</v>
      </c>
      <c r="E18420" t="s">
        <v>6</v>
      </c>
    </row>
    <row r="18421" spans="1:5" x14ac:dyDescent="0.25">
      <c r="A18421" t="str">
        <f>HYPERLINK("https://www.773grp.com/globalSearch/UCC2818APW/page-1", "UCC2818APW")</f>
        <v>UCC2818APW</v>
      </c>
      <c r="B18421" s="3" t="s">
        <v>90</v>
      </c>
      <c r="C18421" s="5">
        <v>328</v>
      </c>
      <c r="D18421" s="6">
        <v>4.09</v>
      </c>
      <c r="E18421" t="s">
        <v>6</v>
      </c>
    </row>
    <row r="18422" spans="1:5" x14ac:dyDescent="0.25">
      <c r="A18422" t="str">
        <f>HYPERLINK("https://www.773grp.com/globalSearch/UCC2818D/page-1", "UCC2818D")</f>
        <v>UCC2818D</v>
      </c>
      <c r="B18422" s="3" t="s">
        <v>90</v>
      </c>
      <c r="C18422" s="5">
        <v>18960</v>
      </c>
      <c r="D18422" s="6">
        <v>4.09</v>
      </c>
      <c r="E18422" t="s">
        <v>6</v>
      </c>
    </row>
    <row r="18423" spans="1:5" x14ac:dyDescent="0.25">
      <c r="A18423" t="str">
        <f>HYPERLINK("https://www.773grp.com/globalSearch/UCC2818D/page-1", "UCC2818D")</f>
        <v>UCC2818D</v>
      </c>
      <c r="B18423" s="3" t="s">
        <v>90</v>
      </c>
      <c r="C18423" s="5">
        <v>570</v>
      </c>
      <c r="D18423" s="6">
        <v>4.09</v>
      </c>
      <c r="E18423" t="s">
        <v>6</v>
      </c>
    </row>
    <row r="18424" spans="1:5" x14ac:dyDescent="0.25">
      <c r="A18424" t="str">
        <f>HYPERLINK("https://www.773grp.com/globalSearch/UCC2818DW/page-1", "UCC2818DW")</f>
        <v>UCC2818DW</v>
      </c>
      <c r="B18424" s="3" t="s">
        <v>90</v>
      </c>
      <c r="C18424" s="5">
        <v>60292</v>
      </c>
      <c r="D18424" s="6">
        <v>4.09</v>
      </c>
      <c r="E18424" t="s">
        <v>6</v>
      </c>
    </row>
    <row r="18425" spans="1:5" x14ac:dyDescent="0.25">
      <c r="A18425" t="str">
        <f>HYPERLINK("https://www.773grp.com/globalSearch/UCC2818PW/page-1", "UCC2818PW")</f>
        <v>UCC2818PW</v>
      </c>
      <c r="B18425" s="3" t="s">
        <v>90</v>
      </c>
      <c r="C18425" s="5">
        <v>2370</v>
      </c>
      <c r="D18425" s="6">
        <v>4.09</v>
      </c>
      <c r="E18425" t="s">
        <v>6</v>
      </c>
    </row>
    <row r="18426" spans="1:5" x14ac:dyDescent="0.25">
      <c r="A18426" t="str">
        <f>HYPERLINK("https://www.773grp.com/globalSearch/UCC2818PW/page-1", "UCC2818PW")</f>
        <v>UCC2818PW</v>
      </c>
      <c r="B18426" s="3" t="s">
        <v>90</v>
      </c>
      <c r="C18426" s="5">
        <v>140</v>
      </c>
      <c r="D18426" s="6">
        <v>4.09</v>
      </c>
      <c r="E18426" t="s">
        <v>6</v>
      </c>
    </row>
    <row r="18427" spans="1:5" x14ac:dyDescent="0.25">
      <c r="A18427" t="str">
        <f>HYPERLINK("https://www.773grp.com/globalSearch/UCC2819AD/page-1", "UCC2819AD")</f>
        <v>UCC2819AD</v>
      </c>
      <c r="B18427" s="3" t="s">
        <v>90</v>
      </c>
      <c r="C18427" s="5">
        <v>3788</v>
      </c>
      <c r="D18427" s="6">
        <v>4.09</v>
      </c>
      <c r="E18427" t="s">
        <v>6</v>
      </c>
    </row>
    <row r="18428" spans="1:5" x14ac:dyDescent="0.25">
      <c r="A18428" t="str">
        <f>HYPERLINK("https://www.773grp.com/globalSearch/UCC2819APW/page-1", "UCC2819APW")</f>
        <v>UCC2819APW</v>
      </c>
      <c r="B18428" s="3" t="s">
        <v>90</v>
      </c>
      <c r="C18428" s="5">
        <v>2610</v>
      </c>
      <c r="D18428" s="6">
        <v>4.09</v>
      </c>
      <c r="E18428" t="s">
        <v>6</v>
      </c>
    </row>
    <row r="18429" spans="1:5" x14ac:dyDescent="0.25">
      <c r="A18429" t="str">
        <f>HYPERLINK("https://www.773grp.com/globalSearch/UCC28230PW/page-1", "UCC28230PW")</f>
        <v>UCC28230PW</v>
      </c>
      <c r="B18429" s="3" t="s">
        <v>90</v>
      </c>
      <c r="C18429" s="5">
        <v>17810</v>
      </c>
      <c r="D18429" s="6">
        <v>4.09</v>
      </c>
      <c r="E18429" t="s">
        <v>6</v>
      </c>
    </row>
    <row r="18430" spans="1:5" x14ac:dyDescent="0.25">
      <c r="A18430" t="str">
        <f>HYPERLINK("https://www.773grp.com/globalSearch/UCC28231PW/page-1", "UCC28231PW")</f>
        <v>UCC28231PW</v>
      </c>
      <c r="B18430" s="3" t="s">
        <v>90</v>
      </c>
      <c r="C18430" s="5">
        <v>16650</v>
      </c>
      <c r="D18430" s="6">
        <v>4.09</v>
      </c>
      <c r="E18430" t="s">
        <v>6</v>
      </c>
    </row>
    <row r="18431" spans="1:5" x14ac:dyDescent="0.25">
      <c r="A18431" t="str">
        <f>HYPERLINK("https://www.773grp.com/globalSearch/UCC38086PW/page-1", "UCC38086PW")</f>
        <v>UCC38086PW</v>
      </c>
      <c r="B18431" s="3" t="s">
        <v>90</v>
      </c>
      <c r="C18431" s="5">
        <v>14265</v>
      </c>
      <c r="D18431" s="6">
        <v>4.09</v>
      </c>
      <c r="E18431" t="s">
        <v>6</v>
      </c>
    </row>
    <row r="18432" spans="1:5" x14ac:dyDescent="0.25">
      <c r="A18432" t="str">
        <f>HYPERLINK("https://www.773grp.com/globalSearch/TL497ACD/page-1", "TL497ACD")</f>
        <v>TL497ACD</v>
      </c>
      <c r="B18432" s="3" t="s">
        <v>90</v>
      </c>
      <c r="C18432" s="5">
        <v>10497</v>
      </c>
      <c r="D18432" s="6">
        <v>4.54</v>
      </c>
      <c r="E18432" t="s">
        <v>6</v>
      </c>
    </row>
    <row r="18433" spans="1:5" x14ac:dyDescent="0.25">
      <c r="A18433" t="str">
        <f>HYPERLINK("https://www.773grp.com/globalSearch/TL497AID/page-1", "TL497AID")</f>
        <v>TL497AID</v>
      </c>
      <c r="B18433" s="3" t="s">
        <v>90</v>
      </c>
      <c r="C18433" s="5">
        <v>550</v>
      </c>
      <c r="D18433" s="6">
        <v>4.54</v>
      </c>
      <c r="E18433" t="s">
        <v>6</v>
      </c>
    </row>
    <row r="18434" spans="1:5" x14ac:dyDescent="0.25">
      <c r="A18434" t="str">
        <f>HYPERLINK("https://www.773grp.com/globalSearch/TL598CD/page-1", "TL598CD")</f>
        <v>TL598CD</v>
      </c>
      <c r="B18434" s="3" t="s">
        <v>90</v>
      </c>
      <c r="C18434" s="5">
        <v>225</v>
      </c>
      <c r="D18434" s="6">
        <v>4.54</v>
      </c>
      <c r="E18434" t="s">
        <v>6</v>
      </c>
    </row>
    <row r="18435" spans="1:5" x14ac:dyDescent="0.25">
      <c r="A18435" t="str">
        <f>HYPERLINK("https://www.773grp.com/globalSearch/TL7660CDGKT/page-1", "TL7660CDGKT")</f>
        <v>TL7660CDGKT</v>
      </c>
      <c r="B18435" s="3" t="s">
        <v>90</v>
      </c>
      <c r="C18435" s="5">
        <v>38000</v>
      </c>
      <c r="D18435" s="6">
        <v>4.54</v>
      </c>
      <c r="E18435" t="s">
        <v>6</v>
      </c>
    </row>
    <row r="18436" spans="1:5" x14ac:dyDescent="0.25">
      <c r="A18436" t="str">
        <f>HYPERLINK("https://www.773grp.com/globalSearch/TL7660IDGKT/page-1", "TL7660IDGKT")</f>
        <v>TL7660IDGKT</v>
      </c>
      <c r="B18436" s="3" t="s">
        <v>90</v>
      </c>
      <c r="C18436" s="5">
        <v>17250</v>
      </c>
      <c r="D18436" s="6">
        <v>4.54</v>
      </c>
      <c r="E18436" t="s">
        <v>6</v>
      </c>
    </row>
    <row r="18437" spans="1:5" x14ac:dyDescent="0.25">
      <c r="A18437" t="str">
        <f>HYPERLINK("https://www.773grp.com/globalSearch/TPS61251DSGT/page-1", "TPS61251DSGT")</f>
        <v>TPS61251DSGT</v>
      </c>
      <c r="B18437" s="3" t="s">
        <v>90</v>
      </c>
      <c r="C18437" s="5">
        <v>20250</v>
      </c>
      <c r="D18437" s="6">
        <v>4.54</v>
      </c>
      <c r="E18437" t="s">
        <v>6</v>
      </c>
    </row>
    <row r="18438" spans="1:5" x14ac:dyDescent="0.25">
      <c r="A18438" t="str">
        <f>HYPERLINK("https://www.773grp.com/globalSearch/TPS61252DSGT/page-1", "TPS61252DSGT")</f>
        <v>TPS61252DSGT</v>
      </c>
      <c r="B18438" s="3" t="s">
        <v>90</v>
      </c>
      <c r="C18438" s="5">
        <v>150</v>
      </c>
      <c r="D18438" s="6">
        <v>4.54</v>
      </c>
      <c r="E18438" t="s">
        <v>6</v>
      </c>
    </row>
    <row r="18439" spans="1:5" x14ac:dyDescent="0.25">
      <c r="A18439" t="str">
        <f>HYPERLINK("https://www.773grp.com/globalSearch/UC2842DR/page-1", "UC2842DR")</f>
        <v>UC2842DR</v>
      </c>
      <c r="B18439" s="3" t="s">
        <v>90</v>
      </c>
      <c r="C18439" s="5">
        <v>2500</v>
      </c>
      <c r="D18439" s="6">
        <v>4.54</v>
      </c>
      <c r="E18439" t="s">
        <v>6</v>
      </c>
    </row>
    <row r="18440" spans="1:5" x14ac:dyDescent="0.25">
      <c r="A18440" t="str">
        <f>HYPERLINK("https://www.773grp.com/globalSearch/UC2842P/page-1", "UC2842P")</f>
        <v>UC2842P</v>
      </c>
      <c r="B18440" s="3" t="s">
        <v>90</v>
      </c>
      <c r="C18440" s="5">
        <v>595</v>
      </c>
      <c r="D18440" s="6">
        <v>4.54</v>
      </c>
      <c r="E18440" t="s">
        <v>6</v>
      </c>
    </row>
    <row r="18441" spans="1:5" x14ac:dyDescent="0.25">
      <c r="A18441" t="str">
        <f>HYPERLINK("https://www.773grp.com/globalSearch/UC2843P/page-1", "UC2843P")</f>
        <v>UC2843P</v>
      </c>
      <c r="B18441" s="3" t="s">
        <v>90</v>
      </c>
      <c r="C18441" s="5">
        <v>21191</v>
      </c>
      <c r="D18441" s="6">
        <v>4.54</v>
      </c>
      <c r="E18441" t="s">
        <v>6</v>
      </c>
    </row>
    <row r="18442" spans="1:5" x14ac:dyDescent="0.25">
      <c r="A18442" t="str">
        <f>HYPERLINK("https://www.773grp.com/globalSearch/UC2844P/page-1", "UC2844P")</f>
        <v>UC2844P</v>
      </c>
      <c r="B18442" s="3" t="s">
        <v>90</v>
      </c>
      <c r="C18442" s="5">
        <v>859</v>
      </c>
      <c r="D18442" s="6">
        <v>4.54</v>
      </c>
      <c r="E18442" t="s">
        <v>6</v>
      </c>
    </row>
    <row r="18443" spans="1:5" x14ac:dyDescent="0.25">
      <c r="A18443" t="str">
        <f>HYPERLINK("https://www.773grp.com/globalSearch/UC2845P/page-1", "UC2845P")</f>
        <v>UC2845P</v>
      </c>
      <c r="B18443" s="3" t="s">
        <v>90</v>
      </c>
      <c r="C18443" s="5">
        <v>594</v>
      </c>
      <c r="D18443" s="6">
        <v>4.54</v>
      </c>
      <c r="E18443" t="s">
        <v>6</v>
      </c>
    </row>
    <row r="18444" spans="1:5" x14ac:dyDescent="0.25">
      <c r="A18444" t="str">
        <f>HYPERLINK("https://www.773grp.com/globalSearch/UCC28051P/page-1", "UCC28051P")</f>
        <v>UCC28051P</v>
      </c>
      <c r="B18444" s="3" t="s">
        <v>90</v>
      </c>
      <c r="C18444" s="5">
        <v>150</v>
      </c>
      <c r="D18444" s="6">
        <v>4.54</v>
      </c>
      <c r="E18444" t="s">
        <v>6</v>
      </c>
    </row>
    <row r="18445" spans="1:5" x14ac:dyDescent="0.25">
      <c r="A18445" t="str">
        <f>HYPERLINK("https://www.773grp.com/globalSearch/UCC28051P/page-1", "UCC28051P")</f>
        <v>UCC28051P</v>
      </c>
      <c r="B18445" s="3" t="s">
        <v>90</v>
      </c>
      <c r="C18445" s="5">
        <v>3565</v>
      </c>
      <c r="D18445" s="6">
        <v>4.54</v>
      </c>
      <c r="E18445" t="s">
        <v>6</v>
      </c>
    </row>
    <row r="18446" spans="1:5" x14ac:dyDescent="0.25">
      <c r="A18446" t="str">
        <f>HYPERLINK("https://www.773grp.com/globalSearch/UC3526AN/page-1", "UC3526AN")</f>
        <v>UC3526AN</v>
      </c>
      <c r="B18446" s="3" t="s">
        <v>90</v>
      </c>
      <c r="C18446" s="5">
        <v>2007</v>
      </c>
      <c r="D18446" s="6">
        <v>4.0999999999999996</v>
      </c>
      <c r="E18446" t="s">
        <v>6</v>
      </c>
    </row>
    <row r="18447" spans="1:5" x14ac:dyDescent="0.25">
      <c r="A18447" t="str">
        <f>HYPERLINK("https://www.773grp.com/globalSearch/UC3526N/page-1", "UC3526N")</f>
        <v>UC3526N</v>
      </c>
      <c r="B18447" s="3" t="s">
        <v>90</v>
      </c>
      <c r="C18447" s="5">
        <v>25063</v>
      </c>
      <c r="D18447" s="6">
        <v>4.0999999999999996</v>
      </c>
      <c r="E18447" t="s">
        <v>6</v>
      </c>
    </row>
    <row r="18448" spans="1:5" x14ac:dyDescent="0.25">
      <c r="A18448" t="str">
        <f>HYPERLINK("https://www.773grp.com/globalSearch/UC3526N/page-1", "UC3526N")</f>
        <v>UC3526N</v>
      </c>
      <c r="B18448" s="3" t="s">
        <v>90</v>
      </c>
      <c r="C18448" s="5">
        <v>1800</v>
      </c>
      <c r="D18448" s="6">
        <v>4.0999999999999996</v>
      </c>
      <c r="E18448" t="s">
        <v>6</v>
      </c>
    </row>
    <row r="18449" spans="1:5" x14ac:dyDescent="0.25">
      <c r="A18449" t="str">
        <f>HYPERLINK("https://www.773grp.com/globalSearch/TPS65140PWPR/page-1", "TPS65140PWPR")</f>
        <v>TPS65140PWPR</v>
      </c>
      <c r="B18449" s="3" t="s">
        <v>90</v>
      </c>
      <c r="C18449" s="5">
        <v>475389</v>
      </c>
      <c r="D18449" s="6">
        <v>4.1399999999999997</v>
      </c>
      <c r="E18449" t="s">
        <v>6</v>
      </c>
    </row>
    <row r="18450" spans="1:5" x14ac:dyDescent="0.25">
      <c r="A18450" t="str">
        <f>HYPERLINK("https://www.773grp.com/globalSearch/TPS65140RGER/page-1", "TPS65140RGER")</f>
        <v>TPS65140RGER</v>
      </c>
      <c r="B18450" s="3" t="s">
        <v>90</v>
      </c>
      <c r="C18450" s="5">
        <v>6000</v>
      </c>
      <c r="D18450" s="6">
        <v>4.1399999999999997</v>
      </c>
      <c r="E18450" t="s">
        <v>6</v>
      </c>
    </row>
    <row r="18451" spans="1:5" x14ac:dyDescent="0.25">
      <c r="A18451" t="str">
        <f>HYPERLINK("https://www.773grp.com/globalSearch/TPS6734IP/page-1", "TPS6734IP")</f>
        <v>TPS6734IP</v>
      </c>
      <c r="B18451" s="3" t="s">
        <v>90</v>
      </c>
      <c r="C18451" s="5">
        <v>2589</v>
      </c>
      <c r="D18451" s="6">
        <v>4.1399999999999997</v>
      </c>
      <c r="E18451" t="s">
        <v>6</v>
      </c>
    </row>
    <row r="18452" spans="1:5" x14ac:dyDescent="0.25">
      <c r="A18452" t="str">
        <f>HYPERLINK("https://www.773grp.com/globalSearch/CSD87351Q5D/page-1", "CSD87351Q5D")</f>
        <v>CSD87351Q5D</v>
      </c>
      <c r="B18452" s="3" t="s">
        <v>90</v>
      </c>
      <c r="C18452" s="5">
        <v>9705</v>
      </c>
      <c r="D18452" s="6">
        <v>4.59</v>
      </c>
      <c r="E18452" t="s">
        <v>6</v>
      </c>
    </row>
    <row r="18453" spans="1:5" x14ac:dyDescent="0.25">
      <c r="A18453" t="str">
        <f>HYPERLINK("https://www.773grp.com/globalSearch/UCC3800N/page-1", "UCC3800N")</f>
        <v>UCC3800N</v>
      </c>
      <c r="B18453" s="3" t="s">
        <v>90</v>
      </c>
      <c r="C18453" s="5">
        <v>25568</v>
      </c>
      <c r="D18453" s="6">
        <v>4.1900000000000004</v>
      </c>
      <c r="E18453" t="s">
        <v>6</v>
      </c>
    </row>
    <row r="18454" spans="1:5" x14ac:dyDescent="0.25">
      <c r="A18454" t="str">
        <f>HYPERLINK("https://www.773grp.com/globalSearch/UCC3801N/page-1", "UCC3801N")</f>
        <v>UCC3801N</v>
      </c>
      <c r="B18454" s="3" t="s">
        <v>90</v>
      </c>
      <c r="C18454" s="5">
        <v>863</v>
      </c>
      <c r="D18454" s="6">
        <v>4.1900000000000004</v>
      </c>
      <c r="E18454" t="s">
        <v>6</v>
      </c>
    </row>
    <row r="18455" spans="1:5" x14ac:dyDescent="0.25">
      <c r="A18455" t="str">
        <f>HYPERLINK("https://www.773grp.com/globalSearch/UCC3802N/page-1", "UCC3802N")</f>
        <v>UCC3802N</v>
      </c>
      <c r="B18455" s="3" t="s">
        <v>90</v>
      </c>
      <c r="C18455" s="5">
        <v>2060</v>
      </c>
      <c r="D18455" s="6">
        <v>4.1900000000000004</v>
      </c>
      <c r="E18455" t="s">
        <v>6</v>
      </c>
    </row>
    <row r="18456" spans="1:5" x14ac:dyDescent="0.25">
      <c r="A18456" t="str">
        <f>HYPERLINK("https://www.773grp.com/globalSearch/UCC3803N/page-1", "UCC3803N")</f>
        <v>UCC3803N</v>
      </c>
      <c r="B18456" s="3" t="s">
        <v>90</v>
      </c>
      <c r="C18456" s="5">
        <v>999</v>
      </c>
      <c r="D18456" s="6">
        <v>4.1900000000000004</v>
      </c>
      <c r="E18456" t="s">
        <v>6</v>
      </c>
    </row>
    <row r="18457" spans="1:5" x14ac:dyDescent="0.25">
      <c r="A18457" t="str">
        <f>HYPERLINK("https://www.773grp.com/globalSearch/UCC3805N/page-1", "UCC3805N")</f>
        <v>UCC3805N</v>
      </c>
      <c r="B18457" s="3" t="s">
        <v>90</v>
      </c>
      <c r="C18457" s="5">
        <v>4025</v>
      </c>
      <c r="D18457" s="6">
        <v>4.1900000000000004</v>
      </c>
      <c r="E18457" t="s">
        <v>6</v>
      </c>
    </row>
    <row r="18458" spans="1:5" x14ac:dyDescent="0.25">
      <c r="A18458" t="str">
        <f>HYPERLINK("https://www.773grp.com/globalSearch/UCC38083P/page-1", "UCC38083P")</f>
        <v>UCC38083P</v>
      </c>
      <c r="B18458" s="3" t="s">
        <v>90</v>
      </c>
      <c r="C18458" s="5">
        <v>7400</v>
      </c>
      <c r="D18458" s="6">
        <v>4.1900000000000004</v>
      </c>
      <c r="E18458" t="s">
        <v>6</v>
      </c>
    </row>
    <row r="18459" spans="1:5" x14ac:dyDescent="0.25">
      <c r="A18459" t="str">
        <f>HYPERLINK("https://www.773grp.com/globalSearch/UCC38086P/page-1", "UCC38086P")</f>
        <v>UCC38086P</v>
      </c>
      <c r="B18459" s="3" t="s">
        <v>90</v>
      </c>
      <c r="C18459" s="5">
        <v>2400</v>
      </c>
      <c r="D18459" s="6">
        <v>4.1900000000000004</v>
      </c>
      <c r="E18459" t="s">
        <v>6</v>
      </c>
    </row>
    <row r="18460" spans="1:5" x14ac:dyDescent="0.25">
      <c r="A18460" t="str">
        <f>HYPERLINK("https://www.773grp.com/globalSearch/TPS40200D/page-1", "TPS40200D")</f>
        <v>TPS40200D</v>
      </c>
      <c r="B18460" s="3" t="s">
        <v>90</v>
      </c>
      <c r="C18460" s="5">
        <v>2085</v>
      </c>
      <c r="D18460" s="6">
        <v>4.6399999999999997</v>
      </c>
      <c r="E18460" t="s">
        <v>6</v>
      </c>
    </row>
    <row r="18461" spans="1:5" x14ac:dyDescent="0.25">
      <c r="A18461" t="str">
        <f>HYPERLINK("https://www.773grp.com/globalSearch/TPS54225PWP/page-1", "TPS54225PWP")</f>
        <v>TPS54225PWP</v>
      </c>
      <c r="B18461" s="3" t="s">
        <v>90</v>
      </c>
      <c r="C18461" s="5">
        <v>2250</v>
      </c>
      <c r="D18461" s="6">
        <v>4.6399999999999997</v>
      </c>
      <c r="E18461" t="s">
        <v>6</v>
      </c>
    </row>
    <row r="18462" spans="1:5" x14ac:dyDescent="0.25">
      <c r="A18462" t="str">
        <f>HYPERLINK("https://www.773grp.com/globalSearch/TPS54327DDA/page-1", "TPS54327DDA")</f>
        <v>TPS54327DDA</v>
      </c>
      <c r="B18462" s="3" t="s">
        <v>90</v>
      </c>
      <c r="C18462" s="5">
        <v>2135</v>
      </c>
      <c r="D18462" s="6">
        <v>4.6399999999999997</v>
      </c>
      <c r="E18462" t="s">
        <v>6</v>
      </c>
    </row>
    <row r="18463" spans="1:5" x14ac:dyDescent="0.25">
      <c r="A18463" t="str">
        <f>HYPERLINK("https://www.773grp.com/globalSearch/TPS54332DDA/page-1", "TPS54332DDA")</f>
        <v>TPS54332DDA</v>
      </c>
      <c r="B18463" s="3" t="s">
        <v>90</v>
      </c>
      <c r="C18463" s="5">
        <v>1099</v>
      </c>
      <c r="D18463" s="6">
        <v>4.6399999999999997</v>
      </c>
      <c r="E18463" t="s">
        <v>6</v>
      </c>
    </row>
    <row r="18464" spans="1:5" x14ac:dyDescent="0.25">
      <c r="A18464" t="str">
        <f>HYPERLINK("https://www.773grp.com/globalSearch/BQ25010RHLR/page-1", "BQ25010RHLR")</f>
        <v>BQ25010RHLR</v>
      </c>
      <c r="B18464" s="3" t="s">
        <v>90</v>
      </c>
      <c r="C18464" s="5">
        <v>3730</v>
      </c>
      <c r="D18464" s="6">
        <v>4.2300000000000004</v>
      </c>
      <c r="E18464" t="s">
        <v>6</v>
      </c>
    </row>
    <row r="18465" spans="1:5" x14ac:dyDescent="0.25">
      <c r="A18465" t="str">
        <f>HYPERLINK("https://www.773grp.com/globalSearch/BQ25012RHLR/page-1", "BQ25012RHLR")</f>
        <v>BQ25012RHLR</v>
      </c>
      <c r="B18465" s="3" t="s">
        <v>90</v>
      </c>
      <c r="C18465" s="5">
        <v>173944</v>
      </c>
      <c r="D18465" s="6">
        <v>4.2300000000000004</v>
      </c>
      <c r="E18465" t="s">
        <v>6</v>
      </c>
    </row>
    <row r="18466" spans="1:5" x14ac:dyDescent="0.25">
      <c r="A18466" t="str">
        <f>HYPERLINK("https://www.773grp.com/globalSearch/TL2575HV-05IKTTR/page-1", "TL2575HV-05IKTTR")</f>
        <v>TL2575HV-05IKTTR</v>
      </c>
      <c r="B18466" s="3" t="s">
        <v>90</v>
      </c>
      <c r="C18466" s="5">
        <v>5500</v>
      </c>
      <c r="D18466" s="6">
        <v>4.2300000000000004</v>
      </c>
      <c r="E18466" t="s">
        <v>6</v>
      </c>
    </row>
    <row r="18467" spans="1:5" x14ac:dyDescent="0.25">
      <c r="A18467" t="str">
        <f>HYPERLINK("https://www.773grp.com/globalSearch/TL2575HV-05IKV/page-1", "TL2575HV-05IKV")</f>
        <v>TL2575HV-05IKV</v>
      </c>
      <c r="B18467" s="3" t="s">
        <v>90</v>
      </c>
      <c r="C18467" s="5">
        <v>800</v>
      </c>
      <c r="D18467" s="6">
        <v>4.2300000000000004</v>
      </c>
      <c r="E18467" t="s">
        <v>6</v>
      </c>
    </row>
    <row r="18468" spans="1:5" x14ac:dyDescent="0.25">
      <c r="A18468" t="str">
        <f>HYPERLINK("https://www.773grp.com/globalSearch/TL2575HV-12IKTTR/page-1", "TL2575HV-12IKTTR")</f>
        <v>TL2575HV-12IKTTR</v>
      </c>
      <c r="B18468" s="3" t="s">
        <v>90</v>
      </c>
      <c r="C18468" s="5">
        <v>500</v>
      </c>
      <c r="D18468" s="6">
        <v>4.2300000000000004</v>
      </c>
      <c r="E18468" t="s">
        <v>6</v>
      </c>
    </row>
    <row r="18469" spans="1:5" x14ac:dyDescent="0.25">
      <c r="A18469" t="str">
        <f>HYPERLINK("https://www.773grp.com/globalSearch/TL2575HV-12IKV/page-1", "TL2575HV-12IKV")</f>
        <v>TL2575HV-12IKV</v>
      </c>
      <c r="B18469" s="3" t="s">
        <v>90</v>
      </c>
      <c r="C18469" s="5">
        <v>3976</v>
      </c>
      <c r="D18469" s="6">
        <v>4.2300000000000004</v>
      </c>
      <c r="E18469" t="s">
        <v>6</v>
      </c>
    </row>
    <row r="18470" spans="1:5" x14ac:dyDescent="0.25">
      <c r="A18470" t="str">
        <f>HYPERLINK("https://www.773grp.com/globalSearch/TL2575HV-15IKV/page-1", "TL2575HV-15IKV")</f>
        <v>TL2575HV-15IKV</v>
      </c>
      <c r="B18470" s="3" t="s">
        <v>90</v>
      </c>
      <c r="C18470" s="5">
        <v>2546</v>
      </c>
      <c r="D18470" s="6">
        <v>4.2300000000000004</v>
      </c>
      <c r="E18470" t="s">
        <v>6</v>
      </c>
    </row>
    <row r="18471" spans="1:5" x14ac:dyDescent="0.25">
      <c r="A18471" t="str">
        <f>HYPERLINK("https://www.773grp.com/globalSearch/TL2575HV-33IKTTR/page-1", "TL2575HV-33IKTTR")</f>
        <v>TL2575HV-33IKTTR</v>
      </c>
      <c r="B18471" s="3" t="s">
        <v>90</v>
      </c>
      <c r="C18471" s="5">
        <v>3000</v>
      </c>
      <c r="D18471" s="6">
        <v>4.2300000000000004</v>
      </c>
      <c r="E18471" t="s">
        <v>6</v>
      </c>
    </row>
    <row r="18472" spans="1:5" x14ac:dyDescent="0.25">
      <c r="A18472" t="str">
        <f>HYPERLINK("https://www.773grp.com/globalSearch/TL2575HV-33IKV/page-1", "TL2575HV-33IKV")</f>
        <v>TL2575HV-33IKV</v>
      </c>
      <c r="B18472" s="3" t="s">
        <v>90</v>
      </c>
      <c r="C18472" s="5">
        <v>3700</v>
      </c>
      <c r="D18472" s="6">
        <v>4.2300000000000004</v>
      </c>
      <c r="E18472" t="s">
        <v>6</v>
      </c>
    </row>
    <row r="18473" spans="1:5" x14ac:dyDescent="0.25">
      <c r="A18473" t="str">
        <f>HYPERLINK("https://www.773grp.com/globalSearch/TL2575HV-ADJIKTTR/page-1", "TL2575HV-ADJIKTTR")</f>
        <v>TL2575HV-ADJIKTTR</v>
      </c>
      <c r="B18473" s="3" t="s">
        <v>90</v>
      </c>
      <c r="C18473" s="5">
        <v>4833</v>
      </c>
      <c r="D18473" s="6">
        <v>4.2300000000000004</v>
      </c>
      <c r="E18473" t="s">
        <v>6</v>
      </c>
    </row>
    <row r="18474" spans="1:5" x14ac:dyDescent="0.25">
      <c r="A18474" t="str">
        <f>HYPERLINK("https://www.773grp.com/globalSearch/TL2575HV-ADJIKV/page-1", "TL2575HV-ADJIKV")</f>
        <v>TL2575HV-ADJIKV</v>
      </c>
      <c r="B18474" s="3" t="s">
        <v>90</v>
      </c>
      <c r="C18474" s="5">
        <v>2050</v>
      </c>
      <c r="D18474" s="6">
        <v>4.2300000000000004</v>
      </c>
      <c r="E18474" t="s">
        <v>6</v>
      </c>
    </row>
    <row r="18475" spans="1:5" x14ac:dyDescent="0.25">
      <c r="A18475" t="str">
        <f>HYPERLINK("https://www.773grp.com/globalSearch/TL2575HV-ADJIKV/page-1", "TL2575HV-ADJIKV")</f>
        <v>TL2575HV-ADJIKV</v>
      </c>
      <c r="B18475" s="3" t="s">
        <v>90</v>
      </c>
      <c r="C18475" s="5">
        <v>1199</v>
      </c>
      <c r="D18475" s="6">
        <v>4.2300000000000004</v>
      </c>
      <c r="E18475" t="s">
        <v>6</v>
      </c>
    </row>
    <row r="18476" spans="1:5" x14ac:dyDescent="0.25">
      <c r="A18476" t="str">
        <f>HYPERLINK("https://www.773grp.com/globalSearch/TPS23750PWP/page-1", "TPS23750PWP")</f>
        <v>TPS23750PWP</v>
      </c>
      <c r="B18476" s="3" t="s">
        <v>90</v>
      </c>
      <c r="C18476" s="5">
        <v>1250</v>
      </c>
      <c r="D18476" s="6">
        <v>4.2300000000000004</v>
      </c>
      <c r="E18476" t="s">
        <v>6</v>
      </c>
    </row>
    <row r="18477" spans="1:5" x14ac:dyDescent="0.25">
      <c r="A18477" t="str">
        <f>HYPERLINK("https://www.773grp.com/globalSearch/TPS51117PW/page-1", "TPS51117PW")</f>
        <v>TPS51117PW</v>
      </c>
      <c r="B18477" s="3" t="s">
        <v>90</v>
      </c>
      <c r="C18477" s="5">
        <v>2409</v>
      </c>
      <c r="D18477" s="6">
        <v>4.2300000000000004</v>
      </c>
      <c r="E18477" t="s">
        <v>6</v>
      </c>
    </row>
    <row r="18478" spans="1:5" x14ac:dyDescent="0.25">
      <c r="A18478" t="str">
        <f>HYPERLINK("https://www.773grp.com/globalSearch/TPS51117PWG4/page-1", "TPS51117PWG4")</f>
        <v>TPS51117PWG4</v>
      </c>
      <c r="B18478" s="3" t="s">
        <v>90</v>
      </c>
      <c r="C18478" s="5">
        <v>70</v>
      </c>
      <c r="D18478" s="6">
        <v>4.2300000000000004</v>
      </c>
      <c r="E18478" t="s">
        <v>6</v>
      </c>
    </row>
    <row r="18479" spans="1:5" x14ac:dyDescent="0.25">
      <c r="A18479" t="str">
        <f>HYPERLINK("https://www.773grp.com/globalSearch/TPS51218DSCT/page-1", "TPS51218DSCT")</f>
        <v>TPS51218DSCT</v>
      </c>
      <c r="B18479" s="3" t="s">
        <v>90</v>
      </c>
      <c r="C18479" s="5">
        <v>8701</v>
      </c>
      <c r="D18479" s="6">
        <v>4.2300000000000004</v>
      </c>
      <c r="E18479" t="s">
        <v>6</v>
      </c>
    </row>
    <row r="18480" spans="1:5" x14ac:dyDescent="0.25">
      <c r="A18480" t="str">
        <f>HYPERLINK("https://www.773grp.com/globalSearch/TPS51513RHBT/page-1", "TPS51513RHBT")</f>
        <v>TPS51513RHBT</v>
      </c>
      <c r="B18480" s="3" t="s">
        <v>90</v>
      </c>
      <c r="C18480" s="5">
        <v>1995</v>
      </c>
      <c r="D18480" s="6">
        <v>4.2300000000000004</v>
      </c>
      <c r="E18480" t="s">
        <v>6</v>
      </c>
    </row>
    <row r="18481" spans="1:5" x14ac:dyDescent="0.25">
      <c r="A18481" t="str">
        <f>HYPERLINK("https://www.773grp.com/globalSearch/TPS61014DGS/page-1", "TPS61014DGS")</f>
        <v>TPS61014DGS</v>
      </c>
      <c r="B18481" s="3" t="s">
        <v>90</v>
      </c>
      <c r="C18481" s="5">
        <v>82155</v>
      </c>
      <c r="D18481" s="6">
        <v>4.2300000000000004</v>
      </c>
      <c r="E18481" t="s">
        <v>6</v>
      </c>
    </row>
    <row r="18482" spans="1:5" x14ac:dyDescent="0.25">
      <c r="A18482" t="str">
        <f>HYPERLINK("https://www.773grp.com/globalSearch/TPS61015DGS/page-1", "TPS61015DGS")</f>
        <v>TPS61015DGS</v>
      </c>
      <c r="B18482" s="3" t="s">
        <v>90</v>
      </c>
      <c r="C18482" s="5">
        <v>66481</v>
      </c>
      <c r="D18482" s="6">
        <v>4.2300000000000004</v>
      </c>
      <c r="E18482" t="s">
        <v>6</v>
      </c>
    </row>
    <row r="18483" spans="1:5" x14ac:dyDescent="0.25">
      <c r="A18483" t="str">
        <f>HYPERLINK("https://www.773grp.com/globalSearch/TPS61016DGS/page-1", "TPS61016DGS")</f>
        <v>TPS61016DGS</v>
      </c>
      <c r="B18483" s="3" t="s">
        <v>90</v>
      </c>
      <c r="C18483" s="5">
        <v>4522</v>
      </c>
      <c r="D18483" s="6">
        <v>4.2300000000000004</v>
      </c>
      <c r="E18483" t="s">
        <v>6</v>
      </c>
    </row>
    <row r="18484" spans="1:5" x14ac:dyDescent="0.25">
      <c r="A18484" t="str">
        <f>HYPERLINK("https://www.773grp.com/globalSearch/TPS61031PWP/page-1", "TPS61031PWP")</f>
        <v>TPS61031PWP</v>
      </c>
      <c r="B18484" s="3" t="s">
        <v>90</v>
      </c>
      <c r="C18484" s="5">
        <v>13598</v>
      </c>
      <c r="D18484" s="6">
        <v>4.2300000000000004</v>
      </c>
      <c r="E18484" t="s">
        <v>6</v>
      </c>
    </row>
    <row r="18485" spans="1:5" x14ac:dyDescent="0.25">
      <c r="A18485" t="str">
        <f>HYPERLINK("https://www.773grp.com/globalSearch/TPS61032PWP/page-1", "TPS61032PWP")</f>
        <v>TPS61032PWP</v>
      </c>
      <c r="B18485" s="3" t="s">
        <v>90</v>
      </c>
      <c r="C18485" s="5">
        <v>540</v>
      </c>
      <c r="D18485" s="6">
        <v>4.2300000000000004</v>
      </c>
      <c r="E18485" t="s">
        <v>6</v>
      </c>
    </row>
    <row r="18486" spans="1:5" x14ac:dyDescent="0.25">
      <c r="A18486" t="str">
        <f>HYPERLINK("https://www.773grp.com/globalSearch/TPS62001DGS/page-1", "TPS62001DGS")</f>
        <v>TPS62001DGS</v>
      </c>
      <c r="B18486" s="3" t="s">
        <v>90</v>
      </c>
      <c r="C18486" s="5">
        <v>10748</v>
      </c>
      <c r="D18486" s="6">
        <v>4.2300000000000004</v>
      </c>
      <c r="E18486" t="s">
        <v>6</v>
      </c>
    </row>
    <row r="18487" spans="1:5" x14ac:dyDescent="0.25">
      <c r="A18487" t="str">
        <f>HYPERLINK("https://www.773grp.com/globalSearch/TPS62006QDGSRQ1/page-1", "TPS62006QDGSRQ1")</f>
        <v>TPS62006QDGSRQ1</v>
      </c>
      <c r="B18487" s="3" t="s">
        <v>90</v>
      </c>
      <c r="C18487" s="5">
        <v>5000</v>
      </c>
      <c r="D18487" s="6">
        <v>4.2300000000000004</v>
      </c>
      <c r="E18487" t="s">
        <v>6</v>
      </c>
    </row>
    <row r="18488" spans="1:5" x14ac:dyDescent="0.25">
      <c r="A18488" t="str">
        <f>HYPERLINK("https://www.773grp.com/globalSearch/TPS62112RSAT/page-1", "TPS62112RSAT")</f>
        <v>TPS62112RSAT</v>
      </c>
      <c r="B18488" s="3" t="s">
        <v>90</v>
      </c>
      <c r="C18488" s="5">
        <v>3688</v>
      </c>
      <c r="D18488" s="6">
        <v>4.2300000000000004</v>
      </c>
      <c r="E18488" t="s">
        <v>6</v>
      </c>
    </row>
    <row r="18489" spans="1:5" x14ac:dyDescent="0.25">
      <c r="A18489" t="str">
        <f>HYPERLINK("https://www.773grp.com/globalSearch/TPS62113RSAT/page-1", "TPS62113RSAT")</f>
        <v>TPS62113RSAT</v>
      </c>
      <c r="B18489" s="3" t="s">
        <v>90</v>
      </c>
      <c r="C18489" s="5">
        <v>500</v>
      </c>
      <c r="D18489" s="6">
        <v>4.2300000000000004</v>
      </c>
      <c r="E18489" t="s">
        <v>6</v>
      </c>
    </row>
    <row r="18490" spans="1:5" x14ac:dyDescent="0.25">
      <c r="A18490" t="str">
        <f>HYPERLINK("https://www.773grp.com/globalSearch/TPS6735IDR/page-1", "TPS6735IDR")</f>
        <v>TPS6735IDR</v>
      </c>
      <c r="B18490" s="3" t="s">
        <v>90</v>
      </c>
      <c r="C18490" s="5">
        <v>7500</v>
      </c>
      <c r="D18490" s="6">
        <v>4.2300000000000004</v>
      </c>
      <c r="E18490" t="s">
        <v>6</v>
      </c>
    </row>
    <row r="18491" spans="1:5" x14ac:dyDescent="0.25">
      <c r="A18491" t="str">
        <f>HYPERLINK("https://www.773grp.com/globalSearch/UCC2808AQDR-2G4Q1/page-1", "UCC2808AQDR-2G4Q1")</f>
        <v>UCC2808AQDR-2G4Q1</v>
      </c>
      <c r="B18491" s="3" t="s">
        <v>90</v>
      </c>
      <c r="C18491" s="5">
        <v>32500</v>
      </c>
      <c r="D18491" s="6">
        <v>4.2300000000000004</v>
      </c>
      <c r="E18491" t="s">
        <v>6</v>
      </c>
    </row>
    <row r="18492" spans="1:5" x14ac:dyDescent="0.25">
      <c r="A18492" t="str">
        <f>HYPERLINK("https://www.773grp.com/globalSearch/UCC2808AQDR-2Q1/page-1", "UCC2808AQDR-2Q1")</f>
        <v>UCC2808AQDR-2Q1</v>
      </c>
      <c r="B18492" s="3" t="s">
        <v>90</v>
      </c>
      <c r="C18492" s="5">
        <v>10000</v>
      </c>
      <c r="D18492" s="6">
        <v>4.2300000000000004</v>
      </c>
      <c r="E18492" t="s">
        <v>6</v>
      </c>
    </row>
    <row r="18493" spans="1:5" x14ac:dyDescent="0.25">
      <c r="A18493" t="str">
        <f>HYPERLINK("https://www.773grp.com/globalSearch/UCC2817D/page-1", "UCC2817D")</f>
        <v>UCC2817D</v>
      </c>
      <c r="B18493" s="3" t="s">
        <v>90</v>
      </c>
      <c r="C18493" s="5">
        <v>6250</v>
      </c>
      <c r="D18493" s="6">
        <v>4.2300000000000004</v>
      </c>
      <c r="E18493" t="s">
        <v>6</v>
      </c>
    </row>
    <row r="18494" spans="1:5" x14ac:dyDescent="0.25">
      <c r="A18494" t="str">
        <f>HYPERLINK("https://www.773grp.com/globalSearch/UCC2817DW/page-1", "UCC2817DW")</f>
        <v>UCC2817DW</v>
      </c>
      <c r="B18494" s="3" t="s">
        <v>90</v>
      </c>
      <c r="C18494" s="5">
        <v>15461</v>
      </c>
      <c r="D18494" s="6">
        <v>4.2300000000000004</v>
      </c>
      <c r="E18494" t="s">
        <v>6</v>
      </c>
    </row>
    <row r="18495" spans="1:5" x14ac:dyDescent="0.25">
      <c r="A18495" t="str">
        <f>HYPERLINK("https://www.773grp.com/globalSearch/UCC2817DWG4/page-1", "UCC2817DWG4")</f>
        <v>UCC2817DWG4</v>
      </c>
      <c r="B18495" s="3" t="s">
        <v>90</v>
      </c>
      <c r="C18495" s="5">
        <v>4</v>
      </c>
      <c r="D18495" s="6">
        <v>4.2300000000000004</v>
      </c>
      <c r="E18495" t="s">
        <v>6</v>
      </c>
    </row>
    <row r="18496" spans="1:5" x14ac:dyDescent="0.25">
      <c r="A18496" t="str">
        <f>HYPERLINK("https://www.773grp.com/globalSearch/UCC2817PW/page-1", "UCC2817PW")</f>
        <v>UCC2817PW</v>
      </c>
      <c r="B18496" s="3" t="s">
        <v>90</v>
      </c>
      <c r="C18496" s="5">
        <v>5040</v>
      </c>
      <c r="D18496" s="6">
        <v>4.2300000000000004</v>
      </c>
      <c r="E18496" t="s">
        <v>6</v>
      </c>
    </row>
    <row r="18497" spans="1:5" x14ac:dyDescent="0.25">
      <c r="A18497" t="str">
        <f>HYPERLINK("https://www.773grp.com/globalSearch/UCC2819D/page-1", "UCC2819D")</f>
        <v>UCC2819D</v>
      </c>
      <c r="B18497" s="3" t="s">
        <v>90</v>
      </c>
      <c r="C18497" s="5">
        <v>21640</v>
      </c>
      <c r="D18497" s="6">
        <v>4.2300000000000004</v>
      </c>
      <c r="E18497" t="s">
        <v>6</v>
      </c>
    </row>
    <row r="18498" spans="1:5" x14ac:dyDescent="0.25">
      <c r="A18498" t="str">
        <f>HYPERLINK("https://www.773grp.com/globalSearch/UCC2819D/page-1", "UCC2819D")</f>
        <v>UCC2819D</v>
      </c>
      <c r="B18498" s="3" t="s">
        <v>90</v>
      </c>
      <c r="C18498" s="5">
        <v>3240</v>
      </c>
      <c r="D18498" s="6">
        <v>4.2300000000000004</v>
      </c>
      <c r="E18498" t="s">
        <v>6</v>
      </c>
    </row>
    <row r="18499" spans="1:5" x14ac:dyDescent="0.25">
      <c r="A18499" t="str">
        <f>HYPERLINK("https://www.773grp.com/globalSearch/UCC29411PW/page-1", "UCC29411PW")</f>
        <v>UCC29411PW</v>
      </c>
      <c r="B18499" s="3" t="s">
        <v>90</v>
      </c>
      <c r="C18499" s="5">
        <v>6300</v>
      </c>
      <c r="D18499" s="6">
        <v>4.2300000000000004</v>
      </c>
      <c r="E18499" t="s">
        <v>6</v>
      </c>
    </row>
    <row r="18500" spans="1:5" x14ac:dyDescent="0.25">
      <c r="A18500" t="str">
        <f>HYPERLINK("https://www.773grp.com/globalSearch/UCC2960D/page-1", "UCC2960D")</f>
        <v>UCC2960D</v>
      </c>
      <c r="B18500" s="3" t="s">
        <v>90</v>
      </c>
      <c r="C18500" s="5">
        <v>2405</v>
      </c>
      <c r="D18500" s="6">
        <v>4.2300000000000004</v>
      </c>
      <c r="E18500" t="s">
        <v>6</v>
      </c>
    </row>
    <row r="18501" spans="1:5" x14ac:dyDescent="0.25">
      <c r="A18501" t="str">
        <f>HYPERLINK("https://www.773grp.com/globalSearch/UCC2960P/page-1", "UCC2960P")</f>
        <v>UCC2960P</v>
      </c>
      <c r="B18501" s="3" t="s">
        <v>90</v>
      </c>
      <c r="C18501" s="5">
        <v>6250</v>
      </c>
      <c r="D18501" s="6">
        <v>4.2300000000000004</v>
      </c>
      <c r="E18501" t="s">
        <v>6</v>
      </c>
    </row>
    <row r="18502" spans="1:5" x14ac:dyDescent="0.25">
      <c r="A18502" t="str">
        <f>HYPERLINK("https://www.773grp.com/globalSearch/UCC2960P/page-1", "UCC2960P")</f>
        <v>UCC2960P</v>
      </c>
      <c r="B18502" s="3" t="s">
        <v>90</v>
      </c>
      <c r="C18502" s="5">
        <v>6950</v>
      </c>
      <c r="D18502" s="6">
        <v>4.2300000000000004</v>
      </c>
      <c r="E18502" t="s">
        <v>6</v>
      </c>
    </row>
    <row r="18503" spans="1:5" x14ac:dyDescent="0.25">
      <c r="A18503" t="str">
        <f>HYPERLINK("https://www.773grp.com/globalSearch/UCC3807DTR-1/page-1", "UCC3807DTR-1")</f>
        <v>UCC3807DTR-1</v>
      </c>
      <c r="B18503" s="3" t="s">
        <v>90</v>
      </c>
      <c r="C18503" s="5">
        <v>10000</v>
      </c>
      <c r="D18503" s="6">
        <v>4.2300000000000004</v>
      </c>
      <c r="E18503" t="s">
        <v>6</v>
      </c>
    </row>
    <row r="18504" spans="1:5" x14ac:dyDescent="0.25">
      <c r="A18504" t="str">
        <f>HYPERLINK("https://www.773grp.com/globalSearch/UCC3807DTR-3/page-1", "UCC3807DTR-3")</f>
        <v>UCC3807DTR-3</v>
      </c>
      <c r="B18504" s="3" t="s">
        <v>90</v>
      </c>
      <c r="C18504" s="5">
        <v>12500</v>
      </c>
      <c r="D18504" s="6">
        <v>4.2300000000000004</v>
      </c>
      <c r="E18504" t="s">
        <v>6</v>
      </c>
    </row>
    <row r="18505" spans="1:5" x14ac:dyDescent="0.25">
      <c r="A18505" t="str">
        <f>HYPERLINK("https://www.773grp.com/globalSearch/UCC3819AN/page-1", "UCC3819AN")</f>
        <v>UCC3819AN</v>
      </c>
      <c r="B18505" s="3" t="s">
        <v>90</v>
      </c>
      <c r="C18505" s="5">
        <v>8703</v>
      </c>
      <c r="D18505" s="6">
        <v>4.2300000000000004</v>
      </c>
      <c r="E18505" t="s">
        <v>6</v>
      </c>
    </row>
    <row r="18506" spans="1:5" x14ac:dyDescent="0.25">
      <c r="A18506" t="str">
        <f>HYPERLINK("https://www.773grp.com/globalSearch/UCC3819APW/page-1", "UCC3819APW")</f>
        <v>UCC3819APW</v>
      </c>
      <c r="B18506" s="3" t="s">
        <v>90</v>
      </c>
      <c r="C18506" s="5">
        <v>9048</v>
      </c>
      <c r="D18506" s="6">
        <v>4.2300000000000004</v>
      </c>
      <c r="E18506" t="s">
        <v>6</v>
      </c>
    </row>
    <row r="18507" spans="1:5" x14ac:dyDescent="0.25">
      <c r="A18507" t="str">
        <f>HYPERLINK("https://www.773grp.com/globalSearch/UCC39411PWTR/page-1", "UCC39411PWTR")</f>
        <v>UCC39411PWTR</v>
      </c>
      <c r="B18507" s="3" t="s">
        <v>90</v>
      </c>
      <c r="C18507" s="5">
        <v>6000</v>
      </c>
      <c r="D18507" s="6">
        <v>4.2300000000000004</v>
      </c>
      <c r="E18507" t="s">
        <v>6</v>
      </c>
    </row>
    <row r="18508" spans="1:5" x14ac:dyDescent="0.25">
      <c r="A18508" t="str">
        <f>HYPERLINK("https://www.773grp.com/globalSearch/UCC39413PW/page-1", "UCC39413PW")</f>
        <v>UCC39413PW</v>
      </c>
      <c r="B18508" s="3" t="s">
        <v>90</v>
      </c>
      <c r="C18508" s="5">
        <v>6300</v>
      </c>
      <c r="D18508" s="6">
        <v>4.2300000000000004</v>
      </c>
      <c r="E18508" t="s">
        <v>6</v>
      </c>
    </row>
    <row r="18509" spans="1:5" x14ac:dyDescent="0.25">
      <c r="A18509" t="str">
        <f>HYPERLINK("https://www.773grp.com/globalSearch/UCC3941D-3/page-1", "UCC3941D-3")</f>
        <v>UCC3941D-3</v>
      </c>
      <c r="B18509" s="3" t="s">
        <v>90</v>
      </c>
      <c r="C18509" s="5">
        <v>184</v>
      </c>
      <c r="D18509" s="6">
        <v>4.2300000000000004</v>
      </c>
      <c r="E18509" t="s">
        <v>6</v>
      </c>
    </row>
    <row r="18510" spans="1:5" x14ac:dyDescent="0.25">
      <c r="A18510" t="str">
        <f>HYPERLINK("https://www.773grp.com/globalSearch/UCC3941DTR-3/page-1", "UCC3941DTR-3")</f>
        <v>UCC3941DTR-3</v>
      </c>
      <c r="B18510" s="3" t="s">
        <v>90</v>
      </c>
      <c r="C18510" s="5">
        <v>2500</v>
      </c>
      <c r="D18510" s="6">
        <v>4.2300000000000004</v>
      </c>
      <c r="E18510" t="s">
        <v>6</v>
      </c>
    </row>
    <row r="18511" spans="1:5" x14ac:dyDescent="0.25">
      <c r="A18511" t="str">
        <f>HYPERLINK("https://www.773grp.com/globalSearch/UCC3941N-3/page-1", "UCC3941N-3")</f>
        <v>UCC3941N-3</v>
      </c>
      <c r="B18511" s="3" t="s">
        <v>90</v>
      </c>
      <c r="C18511" s="5">
        <v>249</v>
      </c>
      <c r="D18511" s="6">
        <v>4.2300000000000004</v>
      </c>
      <c r="E18511" t="s">
        <v>6</v>
      </c>
    </row>
    <row r="18512" spans="1:5" x14ac:dyDescent="0.25">
      <c r="A18512" t="str">
        <f>HYPERLINK("https://www.773grp.com/globalSearch/UCC3941N-5/page-1", "UCC3941N-5")</f>
        <v>UCC3941N-5</v>
      </c>
      <c r="B18512" s="3" t="s">
        <v>90</v>
      </c>
      <c r="C18512" s="5">
        <v>385</v>
      </c>
      <c r="D18512" s="6">
        <v>4.2300000000000004</v>
      </c>
      <c r="E18512" t="s">
        <v>6</v>
      </c>
    </row>
    <row r="18513" spans="1:5" x14ac:dyDescent="0.25">
      <c r="A18513" t="str">
        <f>HYPERLINK("https://www.773grp.com/globalSearch/UCC3941N-ADJ/page-1", "UCC3941N-ADJ")</f>
        <v>UCC3941N-ADJ</v>
      </c>
      <c r="B18513" s="3" t="s">
        <v>90</v>
      </c>
      <c r="C18513" s="5">
        <v>300</v>
      </c>
      <c r="D18513" s="6">
        <v>4.2300000000000004</v>
      </c>
      <c r="E18513" t="s">
        <v>6</v>
      </c>
    </row>
    <row r="18514" spans="1:5" x14ac:dyDescent="0.25">
      <c r="A18514" t="str">
        <f>HYPERLINK("https://www.773grp.com/globalSearch/UC2526AN/page-1", "UC2526AN")</f>
        <v>UC2526AN</v>
      </c>
      <c r="B18514" s="3" t="s">
        <v>90</v>
      </c>
      <c r="C18514" s="5">
        <v>310</v>
      </c>
      <c r="D18514" s="6">
        <v>4.25</v>
      </c>
      <c r="E18514" t="s">
        <v>6</v>
      </c>
    </row>
    <row r="18515" spans="1:5" x14ac:dyDescent="0.25">
      <c r="A18515" t="str">
        <f>HYPERLINK("https://www.773grp.com/globalSearch/UC2526ANG4/page-1", "UC2526ANG4")</f>
        <v>UC2526ANG4</v>
      </c>
      <c r="B18515" s="3" t="s">
        <v>90</v>
      </c>
      <c r="C18515" s="5">
        <v>160</v>
      </c>
      <c r="D18515" s="6">
        <v>4.25</v>
      </c>
      <c r="E18515" t="s">
        <v>6</v>
      </c>
    </row>
    <row r="18516" spans="1:5" x14ac:dyDescent="0.25">
      <c r="A18516" t="str">
        <f>HYPERLINK("https://www.773grp.com/globalSearch/UCC3817N/page-1", "UCC3817N")</f>
        <v>UCC3817N</v>
      </c>
      <c r="B18516" s="3" t="s">
        <v>90</v>
      </c>
      <c r="C18516" s="5">
        <v>11470</v>
      </c>
      <c r="D18516" s="6">
        <v>4.25</v>
      </c>
      <c r="E18516" t="s">
        <v>6</v>
      </c>
    </row>
    <row r="18517" spans="1:5" x14ac:dyDescent="0.25">
      <c r="A18517" t="str">
        <f>HYPERLINK("https://www.773grp.com/globalSearch/UCC3817N/page-1", "UCC3817N")</f>
        <v>UCC3817N</v>
      </c>
      <c r="B18517" s="3" t="s">
        <v>90</v>
      </c>
      <c r="C18517" s="5">
        <v>128076</v>
      </c>
      <c r="D18517" s="6">
        <v>4.25</v>
      </c>
      <c r="E18517" t="s">
        <v>6</v>
      </c>
    </row>
    <row r="18518" spans="1:5" x14ac:dyDescent="0.25">
      <c r="A18518" t="str">
        <f>HYPERLINK("https://www.773grp.com/globalSearch/UCC3819N/page-1", "UCC3819N")</f>
        <v>UCC3819N</v>
      </c>
      <c r="B18518" s="3" t="s">
        <v>90</v>
      </c>
      <c r="C18518" s="5">
        <v>13025</v>
      </c>
      <c r="D18518" s="6">
        <v>4.25</v>
      </c>
      <c r="E18518" t="s">
        <v>6</v>
      </c>
    </row>
    <row r="18519" spans="1:5" x14ac:dyDescent="0.25">
      <c r="A18519" t="str">
        <f>HYPERLINK("https://www.773grp.com/globalSearch/TPS5103IDBR/page-1", "TPS5103IDBR")</f>
        <v>TPS5103IDBR</v>
      </c>
      <c r="B18519" s="3" t="s">
        <v>90</v>
      </c>
      <c r="C18519" s="5">
        <v>78000</v>
      </c>
      <c r="D18519" s="6">
        <v>4.28</v>
      </c>
      <c r="E18519" t="s">
        <v>6</v>
      </c>
    </row>
    <row r="18520" spans="1:5" x14ac:dyDescent="0.25">
      <c r="A18520" t="str">
        <f>HYPERLINK("https://www.773grp.com/globalSearch/TPS65145RGER/page-1", "TPS65145RGER")</f>
        <v>TPS65145RGER</v>
      </c>
      <c r="B18520" s="3" t="s">
        <v>90</v>
      </c>
      <c r="C18520" s="5">
        <v>9000</v>
      </c>
      <c r="D18520" s="6">
        <v>4.28</v>
      </c>
      <c r="E18520" t="s">
        <v>6</v>
      </c>
    </row>
    <row r="18521" spans="1:5" x14ac:dyDescent="0.25">
      <c r="A18521" t="str">
        <f>HYPERLINK("https://www.773grp.com/globalSearch/TPS40190DRCR/page-1", "TPS40190DRCR")</f>
        <v>TPS40190DRCR</v>
      </c>
      <c r="B18521" s="3" t="s">
        <v>90</v>
      </c>
      <c r="C18521" s="5">
        <v>36392</v>
      </c>
      <c r="D18521" s="6">
        <v>4.74</v>
      </c>
      <c r="E18521" t="s">
        <v>6</v>
      </c>
    </row>
    <row r="18522" spans="1:5" x14ac:dyDescent="0.25">
      <c r="A18522" t="str">
        <f>HYPERLINK("https://www.773grp.com/globalSearch/TPS60303DGS/page-1", "TPS60303DGS")</f>
        <v>TPS60303DGS</v>
      </c>
      <c r="B18522" s="3" t="s">
        <v>90</v>
      </c>
      <c r="C18522" s="5">
        <v>11964</v>
      </c>
      <c r="D18522" s="6">
        <v>4.74</v>
      </c>
      <c r="E18522" t="s">
        <v>6</v>
      </c>
    </row>
    <row r="18523" spans="1:5" x14ac:dyDescent="0.25">
      <c r="A18523" t="str">
        <f>HYPERLINK("https://www.773grp.com/globalSearch/TPS61140DRCR/page-1", "TPS61140DRCR")</f>
        <v>TPS61140DRCR</v>
      </c>
      <c r="B18523" s="3" t="s">
        <v>90</v>
      </c>
      <c r="C18523" s="5">
        <v>50985</v>
      </c>
      <c r="D18523" s="6">
        <v>4.74</v>
      </c>
      <c r="E18523" t="s">
        <v>6</v>
      </c>
    </row>
    <row r="18524" spans="1:5" x14ac:dyDescent="0.25">
      <c r="A18524" t="str">
        <f>HYPERLINK("https://www.773grp.com/globalSearch/TPS61141DRCR/page-1", "TPS61141DRCR")</f>
        <v>TPS61141DRCR</v>
      </c>
      <c r="B18524" s="3" t="s">
        <v>90</v>
      </c>
      <c r="C18524" s="5">
        <v>71870</v>
      </c>
      <c r="D18524" s="6">
        <v>4.74</v>
      </c>
      <c r="E18524" t="s">
        <v>6</v>
      </c>
    </row>
    <row r="18525" spans="1:5" x14ac:dyDescent="0.25">
      <c r="A18525" t="str">
        <f>HYPERLINK("https://www.773grp.com/globalSearch/UC2524AN/page-1", "UC2524AN")</f>
        <v>UC2524AN</v>
      </c>
      <c r="B18525" s="3" t="s">
        <v>90</v>
      </c>
      <c r="C18525" s="5">
        <v>278</v>
      </c>
      <c r="D18525" s="6">
        <v>4.74</v>
      </c>
      <c r="E18525" t="s">
        <v>6</v>
      </c>
    </row>
    <row r="18526" spans="1:5" x14ac:dyDescent="0.25">
      <c r="A18526" t="str">
        <f>HYPERLINK("https://www.773grp.com/globalSearch/UC2524AN/page-1", "UC2524AN")</f>
        <v>UC2524AN</v>
      </c>
      <c r="B18526" s="3" t="s">
        <v>90</v>
      </c>
      <c r="C18526" s="5">
        <v>1745</v>
      </c>
      <c r="D18526" s="6">
        <v>4.74</v>
      </c>
      <c r="E18526" t="s">
        <v>6</v>
      </c>
    </row>
    <row r="18527" spans="1:5" x14ac:dyDescent="0.25">
      <c r="A18527" t="str">
        <f>HYPERLINK("https://www.773grp.com/globalSearch/UC2843ADW/page-1", "UC2843ADW")</f>
        <v>UC2843ADW</v>
      </c>
      <c r="B18527" s="3" t="s">
        <v>90</v>
      </c>
      <c r="C18527" s="5">
        <v>49778</v>
      </c>
      <c r="D18527" s="6">
        <v>4.74</v>
      </c>
      <c r="E18527" t="s">
        <v>6</v>
      </c>
    </row>
    <row r="18528" spans="1:5" x14ac:dyDescent="0.25">
      <c r="A18528" t="str">
        <f>HYPERLINK("https://www.773grp.com/globalSearch/UC2843AQD8/page-1", "UC2843AQD8")</f>
        <v>UC2843AQD8</v>
      </c>
      <c r="B18528" s="3" t="s">
        <v>90</v>
      </c>
      <c r="C18528" s="5">
        <v>450</v>
      </c>
      <c r="D18528" s="6">
        <v>4.74</v>
      </c>
      <c r="E18528" t="s">
        <v>6</v>
      </c>
    </row>
    <row r="18529" spans="1:5" x14ac:dyDescent="0.25">
      <c r="A18529" t="str">
        <f>HYPERLINK("https://www.773grp.com/globalSearch/UC3524AN/page-1", "UC3524AN")</f>
        <v>UC3524AN</v>
      </c>
      <c r="B18529" s="3" t="s">
        <v>90</v>
      </c>
      <c r="C18529" s="5">
        <v>2443</v>
      </c>
      <c r="D18529" s="6">
        <v>4.74</v>
      </c>
      <c r="E18529" t="s">
        <v>6</v>
      </c>
    </row>
    <row r="18530" spans="1:5" x14ac:dyDescent="0.25">
      <c r="A18530" t="str">
        <f>HYPERLINK("https://www.773grp.com/globalSearch/UC3525AN/page-1", "UC3525AN")</f>
        <v>UC3525AN</v>
      </c>
      <c r="B18530" s="3" t="s">
        <v>90</v>
      </c>
      <c r="C18530" s="5">
        <v>8674</v>
      </c>
      <c r="D18530" s="6">
        <v>4.74</v>
      </c>
      <c r="E18530" t="s">
        <v>6</v>
      </c>
    </row>
    <row r="18531" spans="1:5" x14ac:dyDescent="0.25">
      <c r="A18531" t="str">
        <f>HYPERLINK("https://www.773grp.com/globalSearch/UC3845ADWTR/page-1", "UC3845ADWTR")</f>
        <v>UC3845ADWTR</v>
      </c>
      <c r="B18531" s="3" t="s">
        <v>90</v>
      </c>
      <c r="C18531" s="5">
        <v>3539</v>
      </c>
      <c r="D18531" s="6">
        <v>4.74</v>
      </c>
      <c r="E18531" t="s">
        <v>6</v>
      </c>
    </row>
    <row r="18532" spans="1:5" x14ac:dyDescent="0.25">
      <c r="A18532" t="str">
        <f>HYPERLINK("https://www.773grp.com/globalSearch/UCC24610D/page-1", "UCC24610D")</f>
        <v>UCC24610D</v>
      </c>
      <c r="B18532" s="3" t="s">
        <v>90</v>
      </c>
      <c r="C18532" s="5">
        <v>450</v>
      </c>
      <c r="D18532" s="6">
        <v>4.74</v>
      </c>
      <c r="E18532" t="s">
        <v>6</v>
      </c>
    </row>
    <row r="18533" spans="1:5" x14ac:dyDescent="0.25">
      <c r="A18533" t="str">
        <f>HYPERLINK("https://www.773grp.com/globalSearch/UCC24610DRBT/page-1", "UCC24610DRBT")</f>
        <v>UCC24610DRBT</v>
      </c>
      <c r="B18533" s="3" t="s">
        <v>90</v>
      </c>
      <c r="C18533" s="5">
        <v>1250</v>
      </c>
      <c r="D18533" s="6">
        <v>4.74</v>
      </c>
      <c r="E18533" t="s">
        <v>6</v>
      </c>
    </row>
    <row r="18534" spans="1:5" x14ac:dyDescent="0.25">
      <c r="A18534" t="str">
        <f>HYPERLINK("https://www.773grp.com/globalSearch/UCC25705DGKTR/page-1", "UCC25705DGKTR")</f>
        <v>UCC25705DGKTR</v>
      </c>
      <c r="B18534" s="3" t="s">
        <v>90</v>
      </c>
      <c r="C18534" s="5">
        <v>137500</v>
      </c>
      <c r="D18534" s="6">
        <v>4.74</v>
      </c>
      <c r="E18534" t="s">
        <v>6</v>
      </c>
    </row>
    <row r="18535" spans="1:5" x14ac:dyDescent="0.25">
      <c r="A18535" t="str">
        <f>HYPERLINK("https://www.773grp.com/globalSearch/UCC28019AD/page-1", "UCC28019AD")</f>
        <v>UCC28019AD</v>
      </c>
      <c r="B18535" s="3" t="s">
        <v>90</v>
      </c>
      <c r="C18535" s="5">
        <v>975</v>
      </c>
      <c r="D18535" s="6">
        <v>4.74</v>
      </c>
      <c r="E18535" t="s">
        <v>6</v>
      </c>
    </row>
    <row r="18536" spans="1:5" x14ac:dyDescent="0.25">
      <c r="A18536" t="str">
        <f>HYPERLINK("https://www.773grp.com/globalSearch/UCC2888D/page-1", "UCC2888D")</f>
        <v>UCC2888D</v>
      </c>
      <c r="B18536" s="3" t="s">
        <v>90</v>
      </c>
      <c r="C18536" s="5">
        <v>17010</v>
      </c>
      <c r="D18536" s="6">
        <v>4.74</v>
      </c>
      <c r="E18536" t="s">
        <v>6</v>
      </c>
    </row>
    <row r="18537" spans="1:5" x14ac:dyDescent="0.25">
      <c r="A18537" t="str">
        <f>HYPERLINK("https://www.773grp.com/globalSearch/UCC28C41D/page-1", "UCC28C41D")</f>
        <v>UCC28C41D</v>
      </c>
      <c r="B18537" s="3" t="s">
        <v>90</v>
      </c>
      <c r="C18537" s="5">
        <v>1430</v>
      </c>
      <c r="D18537" s="6">
        <v>4.74</v>
      </c>
      <c r="E18537" t="s">
        <v>6</v>
      </c>
    </row>
    <row r="18538" spans="1:5" x14ac:dyDescent="0.25">
      <c r="A18538" t="str">
        <f>HYPERLINK("https://www.773grp.com/globalSearch/UCC28C41DGK/page-1", "UCC28C41DGK")</f>
        <v>UCC28C41DGK</v>
      </c>
      <c r="B18538" s="3" t="s">
        <v>90</v>
      </c>
      <c r="C18538" s="5">
        <v>1800</v>
      </c>
      <c r="D18538" s="6">
        <v>4.74</v>
      </c>
      <c r="E18538" t="s">
        <v>6</v>
      </c>
    </row>
    <row r="18539" spans="1:5" x14ac:dyDescent="0.25">
      <c r="A18539" t="str">
        <f>HYPERLINK("https://www.773grp.com/globalSearch/UCC28C41P/page-1", "UCC28C41P")</f>
        <v>UCC28C41P</v>
      </c>
      <c r="B18539" s="3" t="s">
        <v>90</v>
      </c>
      <c r="C18539" s="5">
        <v>18230</v>
      </c>
      <c r="D18539" s="6">
        <v>4.74</v>
      </c>
      <c r="E18539" t="s">
        <v>6</v>
      </c>
    </row>
    <row r="18540" spans="1:5" x14ac:dyDescent="0.25">
      <c r="A18540" t="str">
        <f>HYPERLINK("https://www.773grp.com/globalSearch/UCC35705D/page-1", "UCC35705D")</f>
        <v>UCC35705D</v>
      </c>
      <c r="B18540" s="3" t="s">
        <v>90</v>
      </c>
      <c r="C18540" s="5">
        <v>41468</v>
      </c>
      <c r="D18540" s="6">
        <v>4.74</v>
      </c>
      <c r="E18540" t="s">
        <v>6</v>
      </c>
    </row>
    <row r="18541" spans="1:5" x14ac:dyDescent="0.25">
      <c r="A18541" t="str">
        <f>HYPERLINK("https://www.773grp.com/globalSearch/UCC35705DGK/page-1", "UCC35705DGK")</f>
        <v>UCC35705DGK</v>
      </c>
      <c r="B18541" s="3" t="s">
        <v>90</v>
      </c>
      <c r="C18541" s="5">
        <v>3898</v>
      </c>
      <c r="D18541" s="6">
        <v>4.74</v>
      </c>
      <c r="E18541" t="s">
        <v>6</v>
      </c>
    </row>
    <row r="18542" spans="1:5" x14ac:dyDescent="0.25">
      <c r="A18542" t="str">
        <f>HYPERLINK("https://www.773grp.com/globalSearch/UCC35706D/page-1", "UCC35706D")</f>
        <v>UCC35706D</v>
      </c>
      <c r="B18542" s="3" t="s">
        <v>90</v>
      </c>
      <c r="C18542" s="5">
        <v>75</v>
      </c>
      <c r="D18542" s="6">
        <v>4.74</v>
      </c>
      <c r="E18542" t="s">
        <v>6</v>
      </c>
    </row>
    <row r="18543" spans="1:5" x14ac:dyDescent="0.25">
      <c r="A18543" t="str">
        <f>HYPERLINK("https://www.773grp.com/globalSearch/UCC35706DGK/page-1", "UCC35706DGK")</f>
        <v>UCC35706DGK</v>
      </c>
      <c r="B18543" s="3" t="s">
        <v>90</v>
      </c>
      <c r="C18543" s="5">
        <v>18450</v>
      </c>
      <c r="D18543" s="6">
        <v>4.74</v>
      </c>
      <c r="E18543" t="s">
        <v>6</v>
      </c>
    </row>
    <row r="18544" spans="1:5" x14ac:dyDescent="0.25">
      <c r="A18544" t="str">
        <f>HYPERLINK("https://www.773grp.com/globalSearch/UCC35706DGK/page-1", "UCC35706DGK")</f>
        <v>UCC35706DGK</v>
      </c>
      <c r="B18544" s="3" t="s">
        <v>90</v>
      </c>
      <c r="C18544" s="5">
        <v>2600</v>
      </c>
      <c r="D18544" s="6">
        <v>4.74</v>
      </c>
      <c r="E18544" t="s">
        <v>6</v>
      </c>
    </row>
    <row r="18545" spans="1:5" x14ac:dyDescent="0.25">
      <c r="A18545" t="str">
        <f>HYPERLINK("https://www.773grp.com/globalSearch/UCC38050D/page-1", "UCC38050D")</f>
        <v>UCC38050D</v>
      </c>
      <c r="B18545" s="3" t="s">
        <v>90</v>
      </c>
      <c r="C18545" s="5">
        <v>220606</v>
      </c>
      <c r="D18545" s="6">
        <v>4.74</v>
      </c>
      <c r="E18545" t="s">
        <v>6</v>
      </c>
    </row>
    <row r="18546" spans="1:5" x14ac:dyDescent="0.25">
      <c r="A18546" t="str">
        <f>HYPERLINK("https://www.773grp.com/globalSearch/UCC2800N/page-1", "UCC2800N")</f>
        <v>UCC2800N</v>
      </c>
      <c r="B18546" s="3" t="s">
        <v>90</v>
      </c>
      <c r="C18546" s="5">
        <v>74</v>
      </c>
      <c r="D18546" s="6">
        <v>4.34</v>
      </c>
      <c r="E18546" t="s">
        <v>6</v>
      </c>
    </row>
    <row r="18547" spans="1:5" x14ac:dyDescent="0.25">
      <c r="A18547" t="str">
        <f>HYPERLINK("https://www.773grp.com/globalSearch/UCC2801N/page-1", "UCC2801N")</f>
        <v>UCC2801N</v>
      </c>
      <c r="B18547" s="3" t="s">
        <v>90</v>
      </c>
      <c r="C18547" s="5">
        <v>10814</v>
      </c>
      <c r="D18547" s="6">
        <v>4.34</v>
      </c>
      <c r="E18547" t="s">
        <v>6</v>
      </c>
    </row>
    <row r="18548" spans="1:5" x14ac:dyDescent="0.25">
      <c r="A18548" t="str">
        <f>HYPERLINK("https://www.773grp.com/globalSearch/UCC2802N/page-1", "UCC2802N")</f>
        <v>UCC2802N</v>
      </c>
      <c r="B18548" s="3" t="s">
        <v>90</v>
      </c>
      <c r="C18548" s="5">
        <v>82</v>
      </c>
      <c r="D18548" s="6">
        <v>4.34</v>
      </c>
      <c r="E18548" t="s">
        <v>6</v>
      </c>
    </row>
    <row r="18549" spans="1:5" x14ac:dyDescent="0.25">
      <c r="A18549" t="str">
        <f>HYPERLINK("https://www.773grp.com/globalSearch/UCC2803N/page-1", "UCC2803N")</f>
        <v>UCC2803N</v>
      </c>
      <c r="B18549" s="3" t="s">
        <v>90</v>
      </c>
      <c r="C18549" s="5">
        <v>9270</v>
      </c>
      <c r="D18549" s="6">
        <v>4.34</v>
      </c>
      <c r="E18549" t="s">
        <v>6</v>
      </c>
    </row>
    <row r="18550" spans="1:5" x14ac:dyDescent="0.25">
      <c r="A18550" t="str">
        <f>HYPERLINK("https://www.773grp.com/globalSearch/UCC2804N/page-1", "UCC2804N")</f>
        <v>UCC2804N</v>
      </c>
      <c r="B18550" s="3" t="s">
        <v>90</v>
      </c>
      <c r="C18550" s="5">
        <v>2437</v>
      </c>
      <c r="D18550" s="6">
        <v>4.34</v>
      </c>
      <c r="E18550" t="s">
        <v>6</v>
      </c>
    </row>
    <row r="18551" spans="1:5" x14ac:dyDescent="0.25">
      <c r="A18551" t="str">
        <f>HYPERLINK("https://www.773grp.com/globalSearch/UCC28083P/page-1", "UCC28083P")</f>
        <v>UCC28083P</v>
      </c>
      <c r="B18551" s="3" t="s">
        <v>90</v>
      </c>
      <c r="C18551" s="5">
        <v>5410</v>
      </c>
      <c r="D18551" s="6">
        <v>4.34</v>
      </c>
      <c r="E18551" t="s">
        <v>6</v>
      </c>
    </row>
    <row r="18552" spans="1:5" x14ac:dyDescent="0.25">
      <c r="A18552" t="str">
        <f>HYPERLINK("https://www.773grp.com/globalSearch/UCC28084P/page-1", "UCC28084P")</f>
        <v>UCC28084P</v>
      </c>
      <c r="B18552" s="3" t="s">
        <v>90</v>
      </c>
      <c r="C18552" s="5">
        <v>1450</v>
      </c>
      <c r="D18552" s="6">
        <v>4.34</v>
      </c>
      <c r="E18552" t="s">
        <v>6</v>
      </c>
    </row>
    <row r="18553" spans="1:5" x14ac:dyDescent="0.25">
      <c r="A18553" t="str">
        <f>HYPERLINK("https://www.773grp.com/globalSearch/UCC28086P/page-1", "UCC28086P")</f>
        <v>UCC28086P</v>
      </c>
      <c r="B18553" s="3" t="s">
        <v>90</v>
      </c>
      <c r="C18553" s="5">
        <v>5158</v>
      </c>
      <c r="D18553" s="6">
        <v>4.34</v>
      </c>
      <c r="E18553" t="s">
        <v>6</v>
      </c>
    </row>
    <row r="18554" spans="1:5" x14ac:dyDescent="0.25">
      <c r="A18554" t="str">
        <f>HYPERLINK("https://www.773grp.com/globalSearch/UCC3960P/page-1", "UCC3960P")</f>
        <v>UCC3960P</v>
      </c>
      <c r="B18554" s="3" t="s">
        <v>90</v>
      </c>
      <c r="C18554" s="5">
        <v>9000</v>
      </c>
      <c r="D18554" s="6">
        <v>4.34</v>
      </c>
      <c r="E18554" t="s">
        <v>6</v>
      </c>
    </row>
    <row r="18555" spans="1:5" x14ac:dyDescent="0.25">
      <c r="A18555" t="str">
        <f>HYPERLINK("https://www.773grp.com/globalSearch/UCC3960P/page-1", "UCC3960P")</f>
        <v>UCC3960P</v>
      </c>
      <c r="B18555" s="3" t="s">
        <v>90</v>
      </c>
      <c r="C18555" s="5">
        <v>3950</v>
      </c>
      <c r="D18555" s="6">
        <v>4.34</v>
      </c>
      <c r="E18555" t="s">
        <v>6</v>
      </c>
    </row>
    <row r="18556" spans="1:5" x14ac:dyDescent="0.25">
      <c r="A18556" t="str">
        <f>HYPERLINK("https://www.773grp.com/globalSearch/TL5002CD/page-1", "TL5002CD")</f>
        <v>TL5002CD</v>
      </c>
      <c r="B18556" s="3" t="s">
        <v>90</v>
      </c>
      <c r="C18556" s="5">
        <v>2190</v>
      </c>
      <c r="D18556" s="6">
        <v>4.79</v>
      </c>
      <c r="E18556" t="s">
        <v>6</v>
      </c>
    </row>
    <row r="18557" spans="1:5" x14ac:dyDescent="0.25">
      <c r="A18557" t="str">
        <f>HYPERLINK("https://www.773grp.com/globalSearch/TL5002ID/page-1", "TL5002ID")</f>
        <v>TL5002ID</v>
      </c>
      <c r="B18557" s="3" t="s">
        <v>90</v>
      </c>
      <c r="C18557" s="5">
        <v>11722</v>
      </c>
      <c r="D18557" s="6">
        <v>4.79</v>
      </c>
      <c r="E18557" t="s">
        <v>6</v>
      </c>
    </row>
    <row r="18558" spans="1:5" x14ac:dyDescent="0.25">
      <c r="A18558" t="str">
        <f>HYPERLINK("https://www.773grp.com/globalSearch/TPS40222DRPT/page-1", "TPS40222DRPT")</f>
        <v>TPS40222DRPT</v>
      </c>
      <c r="B18558" s="3" t="s">
        <v>90</v>
      </c>
      <c r="C18558" s="5">
        <v>42436</v>
      </c>
      <c r="D18558" s="6">
        <v>4.79</v>
      </c>
      <c r="E18558" t="s">
        <v>6</v>
      </c>
    </row>
    <row r="18559" spans="1:5" x14ac:dyDescent="0.25">
      <c r="A18559" t="str">
        <f>HYPERLINK("https://www.773grp.com/globalSearch/UC2844DR/page-1", "UC2844DR")</f>
        <v>UC2844DR</v>
      </c>
      <c r="B18559" s="3" t="s">
        <v>90</v>
      </c>
      <c r="C18559" s="5">
        <v>15000</v>
      </c>
      <c r="D18559" s="6">
        <v>4.79</v>
      </c>
      <c r="E18559" t="s">
        <v>6</v>
      </c>
    </row>
    <row r="18560" spans="1:5" x14ac:dyDescent="0.25">
      <c r="A18560" t="str">
        <f>HYPERLINK("https://www.773grp.com/globalSearch/TPS40004DGQ/page-1", "TPS40004DGQ")</f>
        <v>TPS40004DGQ</v>
      </c>
      <c r="B18560" s="3" t="s">
        <v>90</v>
      </c>
      <c r="C18560" s="5">
        <v>11136</v>
      </c>
      <c r="D18560" s="6">
        <v>4.3499999999999996</v>
      </c>
      <c r="E18560" t="s">
        <v>6</v>
      </c>
    </row>
    <row r="18561" spans="1:5" x14ac:dyDescent="0.25">
      <c r="A18561" t="str">
        <f>HYPERLINK("https://www.773grp.com/globalSearch/TPS40021PWPR/page-1", "TPS40021PWPR")</f>
        <v>TPS40021PWPR</v>
      </c>
      <c r="B18561" s="3" t="s">
        <v>90</v>
      </c>
      <c r="C18561" s="5">
        <v>9950</v>
      </c>
      <c r="D18561" s="6">
        <v>4.3499999999999996</v>
      </c>
      <c r="E18561" t="s">
        <v>6</v>
      </c>
    </row>
    <row r="18562" spans="1:5" x14ac:dyDescent="0.25">
      <c r="A18562" t="str">
        <f>HYPERLINK("https://www.773grp.com/globalSearch/TPS40054PWPR/page-1", "TPS40054PWPR")</f>
        <v>TPS40054PWPR</v>
      </c>
      <c r="B18562" s="3" t="s">
        <v>90</v>
      </c>
      <c r="C18562" s="5">
        <v>4000</v>
      </c>
      <c r="D18562" s="6">
        <v>4.3499999999999996</v>
      </c>
      <c r="E18562" t="s">
        <v>6</v>
      </c>
    </row>
    <row r="18563" spans="1:5" x14ac:dyDescent="0.25">
      <c r="A18563" t="str">
        <f>HYPERLINK("https://www.773grp.com/globalSearch/TPS40055PWPR/page-1", "TPS40055PWPR")</f>
        <v>TPS40055PWPR</v>
      </c>
      <c r="B18563" s="3" t="s">
        <v>90</v>
      </c>
      <c r="C18563" s="5">
        <v>2520</v>
      </c>
      <c r="D18563" s="6">
        <v>4.3499999999999996</v>
      </c>
      <c r="E18563" t="s">
        <v>6</v>
      </c>
    </row>
    <row r="18564" spans="1:5" x14ac:dyDescent="0.25">
      <c r="A18564" t="str">
        <f>HYPERLINK("https://www.773grp.com/globalSearch/TPS40057PWPR/page-1", "TPS40057PWPR")</f>
        <v>TPS40057PWPR</v>
      </c>
      <c r="B18564" s="3" t="s">
        <v>90</v>
      </c>
      <c r="C18564" s="5">
        <v>8000</v>
      </c>
      <c r="D18564" s="6">
        <v>4.3499999999999996</v>
      </c>
      <c r="E18564" t="s">
        <v>6</v>
      </c>
    </row>
    <row r="18565" spans="1:5" x14ac:dyDescent="0.25">
      <c r="A18565" t="str">
        <f>HYPERLINK("https://www.773grp.com/globalSearch/TPS40074RHLT/page-1", "TPS40074RHLT")</f>
        <v>TPS40074RHLT</v>
      </c>
      <c r="B18565" s="3" t="s">
        <v>90</v>
      </c>
      <c r="C18565" s="5">
        <v>15500</v>
      </c>
      <c r="D18565" s="6">
        <v>4.3499999999999996</v>
      </c>
      <c r="E18565" t="s">
        <v>6</v>
      </c>
    </row>
    <row r="18566" spans="1:5" x14ac:dyDescent="0.25">
      <c r="A18566" t="str">
        <f>HYPERLINK("https://www.773grp.com/globalSearch/TPS40075RHLT/page-1", "TPS40075RHLT")</f>
        <v>TPS40075RHLT</v>
      </c>
      <c r="B18566" s="3" t="s">
        <v>90</v>
      </c>
      <c r="C18566" s="5">
        <v>2161</v>
      </c>
      <c r="D18566" s="6">
        <v>4.3499999999999996</v>
      </c>
      <c r="E18566" t="s">
        <v>6</v>
      </c>
    </row>
    <row r="18567" spans="1:5" x14ac:dyDescent="0.25">
      <c r="A18567" t="str">
        <f>HYPERLINK("https://www.773grp.com/globalSearch/TPS51217DSCT/page-1", "TPS51217DSCT")</f>
        <v>TPS51217DSCT</v>
      </c>
      <c r="B18567" s="3" t="s">
        <v>90</v>
      </c>
      <c r="C18567" s="5">
        <v>1785</v>
      </c>
      <c r="D18567" s="6">
        <v>4.3499999999999996</v>
      </c>
      <c r="E18567" t="s">
        <v>6</v>
      </c>
    </row>
    <row r="18568" spans="1:5" x14ac:dyDescent="0.25">
      <c r="A18568" t="str">
        <f>HYPERLINK("https://www.773grp.com/globalSearch/TPS61130PWR/page-1", "TPS61130PWR")</f>
        <v>TPS61130PWR</v>
      </c>
      <c r="B18568" s="3" t="s">
        <v>90</v>
      </c>
      <c r="C18568" s="5">
        <v>7975</v>
      </c>
      <c r="D18568" s="6">
        <v>4.3499999999999996</v>
      </c>
      <c r="E18568" t="s">
        <v>6</v>
      </c>
    </row>
    <row r="18569" spans="1:5" x14ac:dyDescent="0.25">
      <c r="A18569" t="str">
        <f>HYPERLINK("https://www.773grp.com/globalSearch/TPS61130RSAR/page-1", "TPS61130RSAR")</f>
        <v>TPS61130RSAR</v>
      </c>
      <c r="B18569" s="3" t="s">
        <v>90</v>
      </c>
      <c r="C18569" s="5">
        <v>14289</v>
      </c>
      <c r="D18569" s="6">
        <v>4.3499999999999996</v>
      </c>
      <c r="E18569" t="s">
        <v>6</v>
      </c>
    </row>
    <row r="18570" spans="1:5" x14ac:dyDescent="0.25">
      <c r="A18570" t="str">
        <f>HYPERLINK("https://www.773grp.com/globalSearch/TPS61132RSAR/page-1", "TPS61132RSAR")</f>
        <v>TPS61132RSAR</v>
      </c>
      <c r="B18570" s="3" t="s">
        <v>90</v>
      </c>
      <c r="C18570" s="5">
        <v>2030</v>
      </c>
      <c r="D18570" s="6">
        <v>4.3499999999999996</v>
      </c>
      <c r="E18570" t="s">
        <v>6</v>
      </c>
    </row>
    <row r="18571" spans="1:5" x14ac:dyDescent="0.25">
      <c r="A18571" t="str">
        <f>HYPERLINK("https://www.773grp.com/globalSearch/TPS63010YFFT/page-1", "TPS63010YFFT")</f>
        <v>TPS63010YFFT</v>
      </c>
      <c r="B18571" s="3" t="s">
        <v>90</v>
      </c>
      <c r="C18571" s="5">
        <v>553</v>
      </c>
      <c r="D18571" s="6">
        <v>4.3499999999999996</v>
      </c>
      <c r="E18571" t="s">
        <v>6</v>
      </c>
    </row>
    <row r="18572" spans="1:5" x14ac:dyDescent="0.25">
      <c r="A18572" t="str">
        <f>HYPERLINK("https://www.773grp.com/globalSearch/TPS63011YFFT/page-1", "TPS63011YFFT")</f>
        <v>TPS63011YFFT</v>
      </c>
      <c r="B18572" s="3" t="s">
        <v>90</v>
      </c>
      <c r="C18572" s="5">
        <v>1500</v>
      </c>
      <c r="D18572" s="6">
        <v>4.3499999999999996</v>
      </c>
      <c r="E18572" t="s">
        <v>6</v>
      </c>
    </row>
    <row r="18573" spans="1:5" x14ac:dyDescent="0.25">
      <c r="A18573" t="str">
        <f>HYPERLINK("https://www.773grp.com/globalSearch/TPS63012YFFT/page-1", "TPS63012YFFT")</f>
        <v>TPS63012YFFT</v>
      </c>
      <c r="B18573" s="3" t="s">
        <v>90</v>
      </c>
      <c r="C18573" s="5">
        <v>481</v>
      </c>
      <c r="D18573" s="6">
        <v>4.3499999999999996</v>
      </c>
      <c r="E18573" t="s">
        <v>6</v>
      </c>
    </row>
    <row r="18574" spans="1:5" x14ac:dyDescent="0.25">
      <c r="A18574" t="str">
        <f>HYPERLINK("https://www.773grp.com/globalSearch/UC2854BDWTR/page-1", "UC2854BDWTR")</f>
        <v>UC2854BDWTR</v>
      </c>
      <c r="B18574" s="3" t="s">
        <v>90</v>
      </c>
      <c r="C18574" s="5">
        <v>3350</v>
      </c>
      <c r="D18574" s="6">
        <v>4.3499999999999996</v>
      </c>
      <c r="E18574" t="s">
        <v>6</v>
      </c>
    </row>
    <row r="18575" spans="1:5" x14ac:dyDescent="0.25">
      <c r="A18575" t="str">
        <f>HYPERLINK("https://www.773grp.com/globalSearch/UCC3808AD-2/page-1", "UCC3808AD-2")</f>
        <v>UCC3808AD-2</v>
      </c>
      <c r="B18575" s="3" t="s">
        <v>90</v>
      </c>
      <c r="C18575" s="5">
        <v>10</v>
      </c>
      <c r="D18575" s="6">
        <v>4.3499999999999996</v>
      </c>
      <c r="E18575" t="s">
        <v>6</v>
      </c>
    </row>
    <row r="18576" spans="1:5" x14ac:dyDescent="0.25">
      <c r="A18576" t="str">
        <f>HYPERLINK("https://www.773grp.com/globalSearch/UCC3808APW-2/page-1", "UCC3808APW-2")</f>
        <v>UCC3808APW-2</v>
      </c>
      <c r="B18576" s="3" t="s">
        <v>90</v>
      </c>
      <c r="C18576" s="5">
        <v>181</v>
      </c>
      <c r="D18576" s="6">
        <v>4.3499999999999996</v>
      </c>
      <c r="E18576" t="s">
        <v>6</v>
      </c>
    </row>
    <row r="18577" spans="1:5" x14ac:dyDescent="0.25">
      <c r="A18577" t="str">
        <f>HYPERLINK("https://www.773grp.com/globalSearch/UCC3808APW-2/page-1", "UCC3808APW-2")</f>
        <v>UCC3808APW-2</v>
      </c>
      <c r="B18577" s="3" t="s">
        <v>90</v>
      </c>
      <c r="C18577" s="5">
        <v>6941</v>
      </c>
      <c r="D18577" s="6">
        <v>4.3499999999999996</v>
      </c>
      <c r="E18577" t="s">
        <v>6</v>
      </c>
    </row>
    <row r="18578" spans="1:5" x14ac:dyDescent="0.25">
      <c r="A18578" t="str">
        <f>HYPERLINK("https://www.773grp.com/globalSearch/UCC3808APW-2G4/page-1", "UCC3808APW-2G4")</f>
        <v>UCC3808APW-2G4</v>
      </c>
      <c r="B18578" s="3" t="s">
        <v>90</v>
      </c>
      <c r="C18578" s="5">
        <v>2200</v>
      </c>
      <c r="D18578" s="6">
        <v>4.3499999999999996</v>
      </c>
      <c r="E18578" t="s">
        <v>6</v>
      </c>
    </row>
    <row r="18579" spans="1:5" x14ac:dyDescent="0.25">
      <c r="A18579" t="str">
        <f>HYPERLINK("https://www.773grp.com/globalSearch/UCC3817AN/page-1", "UCC3817AN")</f>
        <v>UCC3817AN</v>
      </c>
      <c r="B18579" s="3" t="s">
        <v>90</v>
      </c>
      <c r="C18579" s="5">
        <v>12546</v>
      </c>
      <c r="D18579" s="6">
        <v>4.3499999999999996</v>
      </c>
      <c r="E18579" t="s">
        <v>6</v>
      </c>
    </row>
    <row r="18580" spans="1:5" x14ac:dyDescent="0.25">
      <c r="A18580" t="str">
        <f>HYPERLINK("https://www.773grp.com/globalSearch/UCC3818AN/page-1", "UCC3818AN")</f>
        <v>UCC3818AN</v>
      </c>
      <c r="B18580" s="3" t="s">
        <v>90</v>
      </c>
      <c r="C18580" s="5">
        <v>1139</v>
      </c>
      <c r="D18580" s="6">
        <v>4.3499999999999996</v>
      </c>
      <c r="E18580" t="s">
        <v>6</v>
      </c>
    </row>
    <row r="18581" spans="1:5" x14ac:dyDescent="0.25">
      <c r="A18581" t="str">
        <f>HYPERLINK("https://www.773grp.com/globalSearch/UCC3818N/page-1", "UCC3818N")</f>
        <v>UCC3818N</v>
      </c>
      <c r="B18581" s="3" t="s">
        <v>90</v>
      </c>
      <c r="C18581" s="5">
        <v>84145</v>
      </c>
      <c r="D18581" s="6">
        <v>4.3499999999999996</v>
      </c>
      <c r="E18581" t="s">
        <v>6</v>
      </c>
    </row>
    <row r="18582" spans="1:5" x14ac:dyDescent="0.25">
      <c r="A18582" t="str">
        <f>HYPERLINK("https://www.773grp.com/globalSearch/UCC3818NG4/page-1", "UCC3818NG4")</f>
        <v>UCC3818NG4</v>
      </c>
      <c r="B18582" s="3" t="s">
        <v>90</v>
      </c>
      <c r="C18582" s="5">
        <v>86200</v>
      </c>
      <c r="D18582" s="6">
        <v>4.3499999999999996</v>
      </c>
      <c r="E18582" t="s">
        <v>6</v>
      </c>
    </row>
    <row r="18583" spans="1:5" x14ac:dyDescent="0.25">
      <c r="A18583" t="str">
        <f>HYPERLINK("https://www.773grp.com/globalSearch/TPS65100PWP/page-1", "TPS65100PWP")</f>
        <v>TPS65100PWP</v>
      </c>
      <c r="B18583" s="3" t="s">
        <v>90</v>
      </c>
      <c r="C18583" s="5">
        <v>870</v>
      </c>
      <c r="D18583" s="6">
        <v>4.3899999999999997</v>
      </c>
      <c r="E18583" t="s">
        <v>6</v>
      </c>
    </row>
    <row r="18584" spans="1:5" x14ac:dyDescent="0.25">
      <c r="A18584" t="str">
        <f>HYPERLINK("https://www.773grp.com/globalSearch/TPS40210DRCT/page-1", "TPS40210DRCT")</f>
        <v>TPS40210DRCT</v>
      </c>
      <c r="B18584" s="3" t="s">
        <v>90</v>
      </c>
      <c r="C18584" s="5">
        <v>4250</v>
      </c>
      <c r="D18584" s="6">
        <v>4.8600000000000003</v>
      </c>
      <c r="E18584" t="s">
        <v>6</v>
      </c>
    </row>
    <row r="18585" spans="1:5" x14ac:dyDescent="0.25">
      <c r="A18585" t="str">
        <f>HYPERLINK("https://www.773grp.com/globalSearch/TPS40211DRCT/page-1", "TPS40211DRCT")</f>
        <v>TPS40211DRCT</v>
      </c>
      <c r="B18585" s="3" t="s">
        <v>90</v>
      </c>
      <c r="C18585" s="5">
        <v>18500</v>
      </c>
      <c r="D18585" s="6">
        <v>4.8600000000000003</v>
      </c>
      <c r="E18585" t="s">
        <v>6</v>
      </c>
    </row>
    <row r="18586" spans="1:5" x14ac:dyDescent="0.25">
      <c r="A18586" t="str">
        <f>HYPERLINK("https://www.773grp.com/globalSearch/TPS60251RTWT/page-1", "TPS60251RTWT")</f>
        <v>TPS60251RTWT</v>
      </c>
      <c r="B18586" s="3" t="s">
        <v>90</v>
      </c>
      <c r="C18586" s="5">
        <v>10968</v>
      </c>
      <c r="D18586" s="6">
        <v>4.8600000000000003</v>
      </c>
      <c r="E18586" t="s">
        <v>6</v>
      </c>
    </row>
    <row r="18587" spans="1:5" x14ac:dyDescent="0.25">
      <c r="A18587" t="str">
        <f>HYPERLINK("https://www.773grp.com/globalSearch/TPS60252RTET/page-1", "TPS60252RTET")</f>
        <v>TPS60252RTET</v>
      </c>
      <c r="B18587" s="3" t="s">
        <v>90</v>
      </c>
      <c r="C18587" s="5">
        <v>254</v>
      </c>
      <c r="D18587" s="6">
        <v>4.8600000000000003</v>
      </c>
      <c r="E18587" t="s">
        <v>6</v>
      </c>
    </row>
    <row r="18588" spans="1:5" x14ac:dyDescent="0.25">
      <c r="A18588" t="str">
        <f>HYPERLINK("https://www.773grp.com/globalSearch/TPS60255RTET/page-1", "TPS60255RTET")</f>
        <v>TPS60255RTET</v>
      </c>
      <c r="B18588" s="3" t="s">
        <v>90</v>
      </c>
      <c r="C18588" s="5">
        <v>12500</v>
      </c>
      <c r="D18588" s="6">
        <v>4.8600000000000003</v>
      </c>
      <c r="E18588" t="s">
        <v>6</v>
      </c>
    </row>
    <row r="18589" spans="1:5" x14ac:dyDescent="0.25">
      <c r="A18589" t="str">
        <f>HYPERLINK("https://www.773grp.com/globalSearch/TPS62250DRVT/page-1", "TPS62250DRVT")</f>
        <v>TPS62250DRVT</v>
      </c>
      <c r="B18589" s="3" t="s">
        <v>90</v>
      </c>
      <c r="C18589" s="5">
        <v>1709</v>
      </c>
      <c r="D18589" s="6">
        <v>4.8600000000000003</v>
      </c>
      <c r="E18589" t="s">
        <v>6</v>
      </c>
    </row>
    <row r="18590" spans="1:5" x14ac:dyDescent="0.25">
      <c r="A18590" t="str">
        <f>HYPERLINK("https://www.773grp.com/globalSearch/TPS62293DRVT/page-1", "TPS62293DRVT")</f>
        <v>TPS62293DRVT</v>
      </c>
      <c r="B18590" s="3" t="s">
        <v>90</v>
      </c>
      <c r="C18590" s="5">
        <v>4500</v>
      </c>
      <c r="D18590" s="6">
        <v>4.8600000000000003</v>
      </c>
      <c r="E18590" t="s">
        <v>6</v>
      </c>
    </row>
    <row r="18591" spans="1:5" x14ac:dyDescent="0.25">
      <c r="A18591" t="str">
        <f>HYPERLINK("https://www.773grp.com/globalSearch/UCC38C40P/page-1", "UCC38C40P")</f>
        <v>UCC38C40P</v>
      </c>
      <c r="B18591" s="3" t="s">
        <v>90</v>
      </c>
      <c r="C18591" s="5">
        <v>16850</v>
      </c>
      <c r="D18591" s="6">
        <v>4.8600000000000003</v>
      </c>
      <c r="E18591" t="s">
        <v>6</v>
      </c>
    </row>
    <row r="18592" spans="1:5" x14ac:dyDescent="0.25">
      <c r="A18592" t="str">
        <f>HYPERLINK("https://www.773grp.com/globalSearch/UCC38C41P/page-1", "UCC38C41P")</f>
        <v>UCC38C41P</v>
      </c>
      <c r="B18592" s="3" t="s">
        <v>90</v>
      </c>
      <c r="C18592" s="5">
        <v>18700</v>
      </c>
      <c r="D18592" s="6">
        <v>4.8600000000000003</v>
      </c>
      <c r="E18592" t="s">
        <v>6</v>
      </c>
    </row>
    <row r="18593" spans="1:5" x14ac:dyDescent="0.25">
      <c r="A18593" t="str">
        <f>HYPERLINK("https://www.773grp.com/globalSearch/TL497ACN/page-1", "TL497ACN")</f>
        <v>TL497ACN</v>
      </c>
      <c r="B18593" s="3" t="str">
        <f>HYPERLINK("https://www.773grp.com/manufacturer/texas-instruments?pageNo=186", "Texas Instruments")</f>
        <v>Texas Instruments</v>
      </c>
      <c r="C18593" s="5">
        <v>13460</v>
      </c>
      <c r="D18593" s="6">
        <v>4.91</v>
      </c>
      <c r="E18593" t="s">
        <v>6</v>
      </c>
    </row>
    <row r="18594" spans="1:5" x14ac:dyDescent="0.25">
      <c r="A18594" t="str">
        <f>HYPERLINK("https://www.773grp.com/globalSearch/TL497AIN/page-1", "TL497AIN")</f>
        <v>TL497AIN</v>
      </c>
      <c r="B18594" s="3" t="str">
        <f>HYPERLINK("https://www.773grp.com/manufacturer/texas-instruments?pageNo=187", "Texas Instruments")</f>
        <v>Texas Instruments</v>
      </c>
      <c r="C18594" s="5">
        <v>975</v>
      </c>
      <c r="D18594" s="6">
        <v>4.91</v>
      </c>
      <c r="E18594" t="s">
        <v>6</v>
      </c>
    </row>
    <row r="18595" spans="1:5" x14ac:dyDescent="0.25">
      <c r="A18595" t="str">
        <f>HYPERLINK("https://www.773grp.com/globalSearch/TPS65105PWPR/page-1", "TPS65105PWPR")</f>
        <v>TPS65105PWPR</v>
      </c>
      <c r="B18595" s="3" t="str">
        <f>HYPERLINK("https://www.773grp.com/manufacturer/texas-instruments?pageNo=242", "Texas Instruments")</f>
        <v>Texas Instruments</v>
      </c>
      <c r="C18595" s="5">
        <v>52000</v>
      </c>
      <c r="D18595" s="6">
        <v>4.4400000000000004</v>
      </c>
      <c r="E18595" t="s">
        <v>6</v>
      </c>
    </row>
    <row r="18596" spans="1:5" x14ac:dyDescent="0.25">
      <c r="A18596" t="str">
        <f>HYPERLINK("https://www.773grp.com/globalSearch/TPS6734IDR/page-1", "TPS6734IDR")</f>
        <v>TPS6734IDR</v>
      </c>
      <c r="B18596" s="3" t="str">
        <f>HYPERLINK("https://www.773grp.com/manufacturer/texas-instruments?pageNo=243", "Texas Instruments")</f>
        <v>Texas Instruments</v>
      </c>
      <c r="C18596" s="5">
        <v>100000</v>
      </c>
      <c r="D18596" s="6">
        <v>4.4400000000000004</v>
      </c>
      <c r="E18596" t="s">
        <v>6</v>
      </c>
    </row>
    <row r="18597" spans="1:5" x14ac:dyDescent="0.25">
      <c r="A18597" t="str">
        <f>HYPERLINK("https://www.773grp.com/globalSearch/LM2575IN/page-1", "LM2575IN")</f>
        <v>LM2575IN</v>
      </c>
      <c r="B18597" s="3" t="str">
        <f>HYPERLINK("https://www.773grp.com/manufacturer/texas-instruments?pageNo=264", "Texas Instruments")</f>
        <v>Texas Instruments</v>
      </c>
      <c r="C18597" s="5">
        <v>695</v>
      </c>
      <c r="D18597" s="6">
        <v>4.96</v>
      </c>
      <c r="E18597" t="s">
        <v>6</v>
      </c>
    </row>
    <row r="18598" spans="1:5" x14ac:dyDescent="0.25">
      <c r="A18598" t="str">
        <f>HYPERLINK("https://www.773grp.com/globalSearch/TL2575-05IN/page-1", "TL2575-05IN")</f>
        <v>TL2575-05IN</v>
      </c>
      <c r="B18598" s="3" t="str">
        <f>HYPERLINK("https://www.773grp.com/manufacturer/texas-instruments?pageNo=282", "Texas Instruments")</f>
        <v>Texas Instruments</v>
      </c>
      <c r="C18598" s="5">
        <v>3371</v>
      </c>
      <c r="D18598" s="6">
        <v>4.96</v>
      </c>
      <c r="E18598" t="s">
        <v>6</v>
      </c>
    </row>
    <row r="18599" spans="1:5" x14ac:dyDescent="0.25">
      <c r="A18599" t="str">
        <f>HYPERLINK("https://www.773grp.com/globalSearch/TL2575-12IN/page-1", "TL2575-12IN")</f>
        <v>TL2575-12IN</v>
      </c>
      <c r="B18599" s="3" t="str">
        <f>HYPERLINK("https://www.773grp.com/manufacturer/texas-instruments?pageNo=283", "Texas Instruments")</f>
        <v>Texas Instruments</v>
      </c>
      <c r="C18599" s="5">
        <v>4222</v>
      </c>
      <c r="D18599" s="6">
        <v>4.96</v>
      </c>
      <c r="E18599" t="s">
        <v>6</v>
      </c>
    </row>
    <row r="18600" spans="1:5" x14ac:dyDescent="0.25">
      <c r="A18600" t="str">
        <f>HYPERLINK("https://www.773grp.com/globalSearch/TL2575-15IN/page-1", "TL2575-15IN")</f>
        <v>TL2575-15IN</v>
      </c>
      <c r="B18600" s="3" t="str">
        <f>HYPERLINK("https://www.773grp.com/manufacturer/texas-instruments?pageNo=284", "Texas Instruments")</f>
        <v>Texas Instruments</v>
      </c>
      <c r="C18600" s="5">
        <v>5667</v>
      </c>
      <c r="D18600" s="6">
        <v>4.96</v>
      </c>
      <c r="E18600" t="s">
        <v>6</v>
      </c>
    </row>
    <row r="18601" spans="1:5" x14ac:dyDescent="0.25">
      <c r="A18601" t="str">
        <f>HYPERLINK("https://www.773grp.com/globalSearch/TL2575-33IN/page-1", "TL2575-33IN")</f>
        <v>TL2575-33IN</v>
      </c>
      <c r="B18601" s="3" t="str">
        <f>HYPERLINK("https://www.773grp.com/manufacturer/texas-instruments?pageNo=285", "Texas Instruments")</f>
        <v>Texas Instruments</v>
      </c>
      <c r="C18601" s="5">
        <v>2436</v>
      </c>
      <c r="D18601" s="6">
        <v>4.96</v>
      </c>
      <c r="E18601" t="s">
        <v>6</v>
      </c>
    </row>
    <row r="18602" spans="1:5" x14ac:dyDescent="0.25">
      <c r="A18602" t="str">
        <f>HYPERLINK("https://www.773grp.com/globalSearch/TL2575-ADJIN/page-1", "TL2575-ADJIN")</f>
        <v>TL2575-ADJIN</v>
      </c>
      <c r="B18602" s="3" t="str">
        <f>HYPERLINK("https://www.773grp.com/manufacturer/texas-instruments?pageNo=286", "Texas Instruments")</f>
        <v>Texas Instruments</v>
      </c>
      <c r="C18602" s="5">
        <v>2026</v>
      </c>
      <c r="D18602" s="6">
        <v>4.96</v>
      </c>
      <c r="E18602" t="s">
        <v>6</v>
      </c>
    </row>
    <row r="18603" spans="1:5" x14ac:dyDescent="0.25">
      <c r="A18603" t="str">
        <f>HYPERLINK("https://www.773grp.com/globalSearch/TPS40210QDGQRQ1/page-1", "TPS40210QDGQRQ1")</f>
        <v>TPS40210QDGQRQ1</v>
      </c>
      <c r="B18603" s="3" t="str">
        <f>HYPERLINK("https://www.773grp.com/manufacturer/texas-instruments?pageNo=290", "Texas Instruments")</f>
        <v>Texas Instruments</v>
      </c>
      <c r="C18603" s="5">
        <v>37500</v>
      </c>
      <c r="D18603" s="6">
        <v>4.96</v>
      </c>
      <c r="E18603" t="s">
        <v>6</v>
      </c>
    </row>
    <row r="18604" spans="1:5" x14ac:dyDescent="0.25">
      <c r="A18604" t="str">
        <f>HYPERLINK("https://www.773grp.com/globalSearch/BQ25015RHLR/page-1", "BQ25015RHLR")</f>
        <v>BQ25015RHLR</v>
      </c>
      <c r="B18604" s="3" t="str">
        <f>HYPERLINK("https://www.773grp.com/manufacturer/texas-instruments?pageNo=296", "Texas Instruments")</f>
        <v>Texas Instruments</v>
      </c>
      <c r="C18604" s="5">
        <v>64200</v>
      </c>
      <c r="D18604" s="6">
        <v>4.5</v>
      </c>
      <c r="E18604" t="s">
        <v>6</v>
      </c>
    </row>
    <row r="18605" spans="1:5" x14ac:dyDescent="0.25">
      <c r="A18605" t="str">
        <f>HYPERLINK("https://www.773grp.com/globalSearch/BQ25017RHLR/page-1", "BQ25017RHLR")</f>
        <v>BQ25017RHLR</v>
      </c>
      <c r="B18605" s="3" t="str">
        <f>HYPERLINK("https://www.773grp.com/manufacturer/texas-instruments?pageNo=297", "Texas Instruments")</f>
        <v>Texas Instruments</v>
      </c>
      <c r="C18605" s="5">
        <v>75000</v>
      </c>
      <c r="D18605" s="6">
        <v>4.5</v>
      </c>
      <c r="E18605" t="s">
        <v>6</v>
      </c>
    </row>
    <row r="18606" spans="1:5" x14ac:dyDescent="0.25">
      <c r="A18606" t="str">
        <f>HYPERLINK("https://www.773grp.com/globalSearch/TPS23756PWP/page-1", "TPS23756PWP")</f>
        <v>TPS23756PWP</v>
      </c>
      <c r="B18606" s="3" t="str">
        <f>HYPERLINK("https://www.773grp.com/manufacturer/texas-instruments?pageNo=395", "Texas Instruments")</f>
        <v>Texas Instruments</v>
      </c>
      <c r="C18606" s="5">
        <v>730</v>
      </c>
      <c r="D18606" s="6">
        <v>4.5</v>
      </c>
      <c r="E18606" t="s">
        <v>6</v>
      </c>
    </row>
    <row r="18607" spans="1:5" x14ac:dyDescent="0.25">
      <c r="A18607" t="str">
        <f>HYPERLINK("https://www.773grp.com/globalSearch/TPS40100RGER/page-1", "TPS40100RGER")</f>
        <v>TPS40100RGER</v>
      </c>
      <c r="B18607" s="3" t="str">
        <f>HYPERLINK("https://www.773grp.com/manufacturer/texas-instruments?pageNo=397", "Texas Instruments")</f>
        <v>Texas Instruments</v>
      </c>
      <c r="C18607" s="5">
        <v>33000</v>
      </c>
      <c r="D18607" s="6">
        <v>4.5</v>
      </c>
      <c r="E18607" t="s">
        <v>6</v>
      </c>
    </row>
    <row r="18608" spans="1:5" x14ac:dyDescent="0.25">
      <c r="A18608" t="str">
        <f>HYPERLINK("https://www.773grp.com/globalSearch/TPS40200MDREP/page-1", "TPS40200MDREP")</f>
        <v>TPS40200MDREP</v>
      </c>
      <c r="B18608" s="3" t="str">
        <f>HYPERLINK("https://www.773grp.com/manufacturer/texas-instruments?pageNo=398", "Texas Instruments")</f>
        <v>Texas Instruments</v>
      </c>
      <c r="C18608" s="5">
        <v>1093</v>
      </c>
      <c r="D18608" s="6">
        <v>4.5</v>
      </c>
      <c r="E18608" t="s">
        <v>6</v>
      </c>
    </row>
    <row r="18609" spans="1:5" x14ac:dyDescent="0.25">
      <c r="A18609" t="str">
        <f>HYPERLINK("https://www.773grp.com/globalSearch/TPS5410DR/page-1", "TPS5410DR")</f>
        <v>TPS5410DR</v>
      </c>
      <c r="B18609" s="3" t="str">
        <f>HYPERLINK("https://www.773grp.com/manufacturer/texas-instruments?pageNo=399", "Texas Instruments")</f>
        <v>Texas Instruments</v>
      </c>
      <c r="C18609" s="5">
        <v>2500</v>
      </c>
      <c r="D18609" s="6">
        <v>4.5</v>
      </c>
      <c r="E18609" t="s">
        <v>6</v>
      </c>
    </row>
    <row r="18610" spans="1:5" x14ac:dyDescent="0.25">
      <c r="A18610" t="str">
        <f>HYPERLINK("https://www.773grp.com/globalSearch/TPS61087DSCR/page-1", "TPS61087DSCR")</f>
        <v>TPS61087DSCR</v>
      </c>
      <c r="B18610" s="3" t="str">
        <f>HYPERLINK("https://www.773grp.com/manufacturer/texas-instruments?pageNo=401", "Texas Instruments")</f>
        <v>Texas Instruments</v>
      </c>
      <c r="C18610" s="5">
        <v>21000</v>
      </c>
      <c r="D18610" s="6">
        <v>4.5</v>
      </c>
      <c r="E18610" t="s">
        <v>6</v>
      </c>
    </row>
    <row r="18611" spans="1:5" x14ac:dyDescent="0.25">
      <c r="A18611" t="str">
        <f>HYPERLINK("https://www.773grp.com/globalSearch/TPS61175PWPR/page-1", "TPS61175PWPR")</f>
        <v>TPS61175PWPR</v>
      </c>
      <c r="B18611" s="3" t="str">
        <f>HYPERLINK("https://www.773grp.com/manufacturer/texas-instruments?pageNo=402", "Texas Instruments")</f>
        <v>Texas Instruments</v>
      </c>
      <c r="C18611" s="5">
        <v>2000</v>
      </c>
      <c r="D18611" s="6">
        <v>4.5</v>
      </c>
      <c r="E18611" t="s">
        <v>6</v>
      </c>
    </row>
    <row r="18612" spans="1:5" x14ac:dyDescent="0.25">
      <c r="A18612" t="str">
        <f>HYPERLINK("https://www.773grp.com/globalSearch/TPS62000YEGT/page-1", "TPS62000YEGT")</f>
        <v>TPS62000YEGT</v>
      </c>
      <c r="B18612" s="3" t="str">
        <f>HYPERLINK("https://www.773grp.com/manufacturer/texas-instruments?pageNo=403", "Texas Instruments")</f>
        <v>Texas Instruments</v>
      </c>
      <c r="C18612" s="5">
        <v>1500</v>
      </c>
      <c r="D18612" s="6">
        <v>4.5</v>
      </c>
      <c r="E18612" t="s">
        <v>6</v>
      </c>
    </row>
    <row r="18613" spans="1:5" x14ac:dyDescent="0.25">
      <c r="A18613" t="str">
        <f>HYPERLINK("https://www.773grp.com/globalSearch/TPS65110RGE/page-1", "TPS65110RGE")</f>
        <v>TPS65110RGE</v>
      </c>
      <c r="B18613" s="3" t="str">
        <f>HYPERLINK("https://www.773grp.com/manufacturer/texas-instruments?pageNo=404", "Texas Instruments")</f>
        <v>Texas Instruments</v>
      </c>
      <c r="C18613" s="5">
        <v>954</v>
      </c>
      <c r="D18613" s="6">
        <v>4.5</v>
      </c>
      <c r="E18613" t="s">
        <v>6</v>
      </c>
    </row>
    <row r="18614" spans="1:5" x14ac:dyDescent="0.25">
      <c r="A18614" t="str">
        <f>HYPERLINK("https://www.773grp.com/globalSearch/TPS65160APWPR/page-1", "TPS65160APWPR")</f>
        <v>TPS65160APWPR</v>
      </c>
      <c r="B18614" s="3" t="str">
        <f>HYPERLINK("https://www.773grp.com/manufacturer/texas-instruments?pageNo=405", "Texas Instruments")</f>
        <v>Texas Instruments</v>
      </c>
      <c r="C18614" s="5">
        <v>5900</v>
      </c>
      <c r="D18614" s="6">
        <v>4.5</v>
      </c>
      <c r="E18614" t="s">
        <v>6</v>
      </c>
    </row>
    <row r="18615" spans="1:5" x14ac:dyDescent="0.25">
      <c r="A18615" t="str">
        <f>HYPERLINK("https://www.773grp.com/globalSearch/TPS65161BPWPR/page-1", "TPS65161BPWPR")</f>
        <v>TPS65161BPWPR</v>
      </c>
      <c r="B18615" s="3" t="str">
        <f>HYPERLINK("https://www.773grp.com/manufacturer/texas-instruments?pageNo=407", "Texas Instruments")</f>
        <v>Texas Instruments</v>
      </c>
      <c r="C18615" s="5">
        <v>28000</v>
      </c>
      <c r="D18615" s="6">
        <v>4.5</v>
      </c>
      <c r="E18615" t="s">
        <v>6</v>
      </c>
    </row>
    <row r="18616" spans="1:5" x14ac:dyDescent="0.25">
      <c r="A18616" t="str">
        <f>HYPERLINK("https://www.773grp.com/globalSearch/UC3823QTR/page-1", "UC3823QTR")</f>
        <v>UC3823QTR</v>
      </c>
      <c r="B18616" s="3" t="str">
        <f>HYPERLINK("https://www.773grp.com/manufacturer/texas-instruments?pageNo=414", "Texas Instruments")</f>
        <v>Texas Instruments</v>
      </c>
      <c r="C18616" s="5">
        <v>72000</v>
      </c>
      <c r="D18616" s="6">
        <v>4.5</v>
      </c>
      <c r="E18616" t="s">
        <v>6</v>
      </c>
    </row>
    <row r="18617" spans="1:5" x14ac:dyDescent="0.25">
      <c r="A18617" t="str">
        <f>HYPERLINK("https://www.773grp.com/globalSearch/UC3846DWTR/page-1", "UC3846DWTR")</f>
        <v>UC3846DWTR</v>
      </c>
      <c r="B18617" s="3" t="str">
        <f>HYPERLINK("https://www.773grp.com/manufacturer/texas-instruments?pageNo=415", "Texas Instruments")</f>
        <v>Texas Instruments</v>
      </c>
      <c r="C18617" s="5">
        <v>2000</v>
      </c>
      <c r="D18617" s="6">
        <v>4.5</v>
      </c>
      <c r="E18617" t="s">
        <v>6</v>
      </c>
    </row>
    <row r="18618" spans="1:5" x14ac:dyDescent="0.25">
      <c r="A18618" t="str">
        <f>HYPERLINK("https://www.773grp.com/globalSearch/UC3846QTR/page-1", "UC3846QTR")</f>
        <v>UC3846QTR</v>
      </c>
      <c r="B18618" s="3" t="str">
        <f>HYPERLINK("https://www.773grp.com/manufacturer/texas-instruments?pageNo=416", "Texas Instruments")</f>
        <v>Texas Instruments</v>
      </c>
      <c r="C18618" s="5">
        <v>7000</v>
      </c>
      <c r="D18618" s="6">
        <v>4.5</v>
      </c>
      <c r="E18618" t="s">
        <v>6</v>
      </c>
    </row>
    <row r="18619" spans="1:5" x14ac:dyDescent="0.25">
      <c r="A18619" t="str">
        <f>HYPERLINK("https://www.773grp.com/globalSearch/UCC2585M/page-1", "UCC2585M")</f>
        <v>UCC2585M</v>
      </c>
      <c r="B18619" s="3" t="str">
        <f>HYPERLINK("https://www.773grp.com/manufacturer/texas-instruments?pageNo=417", "Texas Instruments")</f>
        <v>Texas Instruments</v>
      </c>
      <c r="C18619" s="5">
        <v>5140</v>
      </c>
      <c r="D18619" s="6">
        <v>4.5</v>
      </c>
      <c r="E18619" t="s">
        <v>6</v>
      </c>
    </row>
    <row r="18620" spans="1:5" x14ac:dyDescent="0.25">
      <c r="A18620" t="str">
        <f>HYPERLINK("https://www.773grp.com/globalSearch/UCC2808AD-2/page-1", "UCC2808AD-2")</f>
        <v>UCC2808AD-2</v>
      </c>
      <c r="B18620" s="3" t="str">
        <f>HYPERLINK("https://www.773grp.com/manufacturer/texas-instruments?pageNo=420", "Texas Instruments")</f>
        <v>Texas Instruments</v>
      </c>
      <c r="C18620" s="5">
        <v>75</v>
      </c>
      <c r="D18620" s="6">
        <v>4.5</v>
      </c>
      <c r="E18620" t="s">
        <v>6</v>
      </c>
    </row>
    <row r="18621" spans="1:5" x14ac:dyDescent="0.25">
      <c r="A18621" t="str">
        <f>HYPERLINK("https://www.773grp.com/globalSearch/UCC2808AD-2/page-1", "UCC2808AD-2")</f>
        <v>UCC2808AD-2</v>
      </c>
      <c r="B18621" s="3" t="str">
        <f>HYPERLINK("https://www.773grp.com/manufacturer/texas-instruments?pageNo=421", "Texas Instruments")</f>
        <v>Texas Instruments</v>
      </c>
      <c r="C18621" s="5">
        <v>135</v>
      </c>
      <c r="D18621" s="6">
        <v>4.5</v>
      </c>
      <c r="E18621" t="s">
        <v>6</v>
      </c>
    </row>
    <row r="18622" spans="1:5" x14ac:dyDescent="0.25">
      <c r="A18622" t="str">
        <f>HYPERLINK("https://www.773grp.com/globalSearch/UCC2808APW-2/page-1", "UCC2808APW-2")</f>
        <v>UCC2808APW-2</v>
      </c>
      <c r="B18622" s="3" t="str">
        <f>HYPERLINK("https://www.773grp.com/manufacturer/texas-instruments?pageNo=422", "Texas Instruments")</f>
        <v>Texas Instruments</v>
      </c>
      <c r="C18622" s="5">
        <v>11650</v>
      </c>
      <c r="D18622" s="6">
        <v>4.5</v>
      </c>
      <c r="E18622" t="s">
        <v>6</v>
      </c>
    </row>
    <row r="18623" spans="1:5" x14ac:dyDescent="0.25">
      <c r="A18623" t="str">
        <f>HYPERLINK("https://www.773grp.com/globalSearch/UCC3961DTR/page-1", "UCC3961DTR")</f>
        <v>UCC3961DTR</v>
      </c>
      <c r="B18623" s="3" t="str">
        <f>HYPERLINK("https://www.773grp.com/manufacturer/texas-instruments?pageNo=424", "Texas Instruments")</f>
        <v>Texas Instruments</v>
      </c>
      <c r="C18623" s="5">
        <v>10000</v>
      </c>
      <c r="D18623" s="6">
        <v>4.5</v>
      </c>
      <c r="E18623" t="s">
        <v>6</v>
      </c>
    </row>
    <row r="18624" spans="1:5" x14ac:dyDescent="0.25">
      <c r="A18624" t="str">
        <f>HYPERLINK("https://www.773grp.com/globalSearch/TPS40056PWPR/page-1", "TPS40056PWPR")</f>
        <v>TPS40056PWPR</v>
      </c>
      <c r="B18624" s="3" t="str">
        <f>HYPERLINK("https://www.773grp.com/manufacturer/texas-instruments?pageNo=449", "Texas Instruments")</f>
        <v>Texas Instruments</v>
      </c>
      <c r="C18624" s="5">
        <v>6000</v>
      </c>
      <c r="D18624" s="6">
        <v>4.53</v>
      </c>
      <c r="E18624" t="s">
        <v>6</v>
      </c>
    </row>
    <row r="18625" spans="1:5" x14ac:dyDescent="0.25">
      <c r="A18625" t="str">
        <f>HYPERLINK("https://www.773grp.com/globalSearch/TPS5100IPW/page-1", "TPS5100IPW")</f>
        <v>TPS5100IPW</v>
      </c>
      <c r="B18625" s="3" t="str">
        <f>HYPERLINK("https://www.773grp.com/manufacturer/texas-instruments?pageNo=450", "Texas Instruments")</f>
        <v>Texas Instruments</v>
      </c>
      <c r="C18625" s="5">
        <v>1271</v>
      </c>
      <c r="D18625" s="6">
        <v>4.53</v>
      </c>
      <c r="E18625" t="s">
        <v>6</v>
      </c>
    </row>
    <row r="18626" spans="1:5" x14ac:dyDescent="0.25">
      <c r="A18626" t="str">
        <f>HYPERLINK("https://www.773grp.com/globalSearch/TPS54218RTET/page-1", "TPS54218RTET")</f>
        <v>TPS54218RTET</v>
      </c>
      <c r="B18626" s="3" t="str">
        <f>HYPERLINK("https://www.773grp.com/manufacturer/texas-instruments?pageNo=451", "Texas Instruments")</f>
        <v>Texas Instruments</v>
      </c>
      <c r="C18626" s="5">
        <v>2750</v>
      </c>
      <c r="D18626" s="6">
        <v>4.53</v>
      </c>
      <c r="E18626" t="s">
        <v>6</v>
      </c>
    </row>
    <row r="18627" spans="1:5" x14ac:dyDescent="0.25">
      <c r="A18627" t="str">
        <f>HYPERLINK("https://www.773grp.com/globalSearch/UC3853N/page-1", "UC3853N")</f>
        <v>UC3853N</v>
      </c>
      <c r="B18627" s="3" t="str">
        <f>HYPERLINK("https://www.773grp.com/manufacturer/texas-instruments?pageNo=455", "Texas Instruments")</f>
        <v>Texas Instruments</v>
      </c>
      <c r="C18627" s="5">
        <v>50</v>
      </c>
      <c r="D18627" s="6">
        <v>4.53</v>
      </c>
      <c r="E18627" t="s">
        <v>6</v>
      </c>
    </row>
    <row r="18628" spans="1:5" x14ac:dyDescent="0.25">
      <c r="A18628" t="str">
        <f>HYPERLINK("https://www.773grp.com/globalSearch/UC3853N/page-1", "UC3853N")</f>
        <v>UC3853N</v>
      </c>
      <c r="B18628" s="3" t="str">
        <f>HYPERLINK("https://www.773grp.com/manufacturer/texas-instruments?pageNo=456", "Texas Instruments")</f>
        <v>Texas Instruments</v>
      </c>
      <c r="C18628" s="5">
        <v>2333</v>
      </c>
      <c r="D18628" s="6">
        <v>4.53</v>
      </c>
      <c r="E18628" t="s">
        <v>6</v>
      </c>
    </row>
    <row r="18629" spans="1:5" x14ac:dyDescent="0.25">
      <c r="A18629" t="str">
        <f>HYPERLINK("https://www.773grp.com/globalSearch/UC3854N/page-1", "UC3854N")</f>
        <v>UC3854N</v>
      </c>
      <c r="B18629" s="3" t="str">
        <f>HYPERLINK("https://www.773grp.com/manufacturer/texas-instruments?pageNo=457", "Texas Instruments")</f>
        <v>Texas Instruments</v>
      </c>
      <c r="C18629" s="5">
        <v>1476</v>
      </c>
      <c r="D18629" s="6">
        <v>4.53</v>
      </c>
      <c r="E18629" t="s">
        <v>6</v>
      </c>
    </row>
    <row r="18630" spans="1:5" x14ac:dyDescent="0.25">
      <c r="A18630" t="str">
        <f>HYPERLINK("https://www.773grp.com/globalSearch/UC3854NG4/page-1", "UC3854NG4")</f>
        <v>UC3854NG4</v>
      </c>
      <c r="B18630" s="3" t="str">
        <f>HYPERLINK("https://www.773grp.com/manufacturer/texas-instruments?pageNo=459", "Texas Instruments")</f>
        <v>Texas Instruments</v>
      </c>
      <c r="C18630" s="5">
        <v>57</v>
      </c>
      <c r="D18630" s="6">
        <v>4.53</v>
      </c>
      <c r="E18630" t="s">
        <v>6</v>
      </c>
    </row>
    <row r="18631" spans="1:5" x14ac:dyDescent="0.25">
      <c r="A18631" t="str">
        <f>HYPERLINK("https://www.773grp.com/globalSearch/UCC2817AN/page-1", "UCC2817AN")</f>
        <v>UCC2817AN</v>
      </c>
      <c r="B18631" s="3" t="str">
        <f>HYPERLINK("https://www.773grp.com/manufacturer/texas-instruments?pageNo=460", "Texas Instruments")</f>
        <v>Texas Instruments</v>
      </c>
      <c r="C18631" s="5">
        <v>44175</v>
      </c>
      <c r="D18631" s="6">
        <v>4.53</v>
      </c>
      <c r="E18631" t="s">
        <v>6</v>
      </c>
    </row>
    <row r="18632" spans="1:5" x14ac:dyDescent="0.25">
      <c r="A18632" t="str">
        <f>HYPERLINK("https://www.773grp.com/globalSearch/UCC2818AN/page-1", "UCC2818AN")</f>
        <v>UCC2818AN</v>
      </c>
      <c r="B18632" s="3" t="str">
        <f>HYPERLINK("https://www.773grp.com/manufacturer/texas-instruments?pageNo=461", "Texas Instruments")</f>
        <v>Texas Instruments</v>
      </c>
      <c r="C18632" s="5">
        <v>56075</v>
      </c>
      <c r="D18632" s="6">
        <v>4.53</v>
      </c>
      <c r="E18632" t="s">
        <v>6</v>
      </c>
    </row>
    <row r="18633" spans="1:5" x14ac:dyDescent="0.25">
      <c r="A18633" t="str">
        <f>HYPERLINK("https://www.773grp.com/globalSearch/UCC2818ANG4/page-1", "UCC2818ANG4")</f>
        <v>UCC2818ANG4</v>
      </c>
      <c r="B18633" s="3" t="str">
        <f>HYPERLINK("https://www.773grp.com/manufacturer/texas-instruments?pageNo=462", "Texas Instruments")</f>
        <v>Texas Instruments</v>
      </c>
      <c r="C18633" s="5">
        <v>31000</v>
      </c>
      <c r="D18633" s="6">
        <v>4.53</v>
      </c>
      <c r="E18633" t="s">
        <v>6</v>
      </c>
    </row>
    <row r="18634" spans="1:5" x14ac:dyDescent="0.25">
      <c r="A18634" t="str">
        <f>HYPERLINK("https://www.773grp.com/globalSearch/UCC2818N/page-1", "UCC2818N")</f>
        <v>UCC2818N</v>
      </c>
      <c r="B18634" s="3" t="str">
        <f>HYPERLINK("https://www.773grp.com/manufacturer/texas-instruments?pageNo=463", "Texas Instruments")</f>
        <v>Texas Instruments</v>
      </c>
      <c r="C18634" s="5">
        <v>1477</v>
      </c>
      <c r="D18634" s="6">
        <v>4.53</v>
      </c>
      <c r="E18634" t="s">
        <v>6</v>
      </c>
    </row>
    <row r="18635" spans="1:5" x14ac:dyDescent="0.25">
      <c r="A18635" t="str">
        <f>HYPERLINK("https://www.773grp.com/globalSearch/SN0304078DBVT/page-1", "SN0304078DBVT")</f>
        <v>SN0304078DBVT</v>
      </c>
      <c r="B18635" s="3" t="str">
        <f>HYPERLINK("https://www.773grp.com/manufacturer/texas-instruments?pageNo=558", "Texas Instruments")</f>
        <v>Texas Instruments</v>
      </c>
      <c r="C18635" s="5">
        <v>2750</v>
      </c>
      <c r="D18635" s="6">
        <v>5.01</v>
      </c>
      <c r="E18635" t="s">
        <v>6</v>
      </c>
    </row>
    <row r="18636" spans="1:5" x14ac:dyDescent="0.25">
      <c r="A18636" t="str">
        <f>HYPERLINK("https://www.773grp.com/globalSearch/TL1453CDR/page-1", "TL1453CDR")</f>
        <v>TL1453CDR</v>
      </c>
      <c r="B18636" s="3" t="str">
        <f>HYPERLINK("https://www.773grp.com/manufacturer/texas-instruments?pageNo=571", "Texas Instruments")</f>
        <v>Texas Instruments</v>
      </c>
      <c r="C18636" s="5">
        <v>15000</v>
      </c>
      <c r="D18636" s="6">
        <v>5.01</v>
      </c>
      <c r="E18636" t="s">
        <v>6</v>
      </c>
    </row>
    <row r="18637" spans="1:5" x14ac:dyDescent="0.25">
      <c r="A18637" t="str">
        <f>HYPERLINK("https://www.773grp.com/globalSearch/TPS60250RTET/page-1", "TPS60250RTET")</f>
        <v>TPS60250RTET</v>
      </c>
      <c r="B18637" s="3" t="str">
        <f>HYPERLINK("https://www.773grp.com/manufacturer/texas-instruments?pageNo=697", "Texas Instruments")</f>
        <v>Texas Instruments</v>
      </c>
      <c r="C18637" s="5">
        <v>1438</v>
      </c>
      <c r="D18637" s="6">
        <v>5.01</v>
      </c>
      <c r="E18637" t="s">
        <v>6</v>
      </c>
    </row>
    <row r="18638" spans="1:5" x14ac:dyDescent="0.25">
      <c r="A18638" t="str">
        <f>HYPERLINK("https://www.773grp.com/globalSearch/TPS61001DGSR/page-1", "TPS61001DGSR")</f>
        <v>TPS61001DGSR</v>
      </c>
      <c r="B18638" s="3" t="str">
        <f>HYPERLINK("https://www.773grp.com/manufacturer/texas-instruments?pageNo=698", "Texas Instruments")</f>
        <v>Texas Instruments</v>
      </c>
      <c r="C18638" s="5">
        <v>2500</v>
      </c>
      <c r="D18638" s="6">
        <v>5.01</v>
      </c>
      <c r="E18638" t="s">
        <v>6</v>
      </c>
    </row>
    <row r="18639" spans="1:5" x14ac:dyDescent="0.25">
      <c r="A18639" t="str">
        <f>HYPERLINK("https://www.773grp.com/globalSearch/TPS61003DGSR/page-1", "TPS61003DGSR")</f>
        <v>TPS61003DGSR</v>
      </c>
      <c r="B18639" s="3" t="str">
        <f>HYPERLINK("https://www.773grp.com/manufacturer/texas-instruments?pageNo=699", "Texas Instruments")</f>
        <v>Texas Instruments</v>
      </c>
      <c r="C18639" s="5">
        <v>30000</v>
      </c>
      <c r="D18639" s="6">
        <v>5.01</v>
      </c>
      <c r="E18639" t="s">
        <v>6</v>
      </c>
    </row>
    <row r="18640" spans="1:5" x14ac:dyDescent="0.25">
      <c r="A18640" t="str">
        <f>HYPERLINK("https://www.773grp.com/globalSearch/TPS61004DGSR/page-1", "TPS61004DGSR")</f>
        <v>TPS61004DGSR</v>
      </c>
      <c r="B18640" s="3" t="str">
        <f>HYPERLINK("https://www.773grp.com/manufacturer/texas-instruments?pageNo=700", "Texas Instruments")</f>
        <v>Texas Instruments</v>
      </c>
      <c r="C18640" s="5">
        <v>5000</v>
      </c>
      <c r="D18640" s="6">
        <v>5.01</v>
      </c>
      <c r="E18640" t="s">
        <v>6</v>
      </c>
    </row>
    <row r="18641" spans="1:5" x14ac:dyDescent="0.25">
      <c r="A18641" t="str">
        <f>HYPERLINK("https://www.773grp.com/globalSearch/TPS61007DGSR/page-1", "TPS61007DGSR")</f>
        <v>TPS61007DGSR</v>
      </c>
      <c r="B18641" s="3" t="str">
        <f>HYPERLINK("https://www.773grp.com/manufacturer/texas-instruments?pageNo=701", "Texas Instruments")</f>
        <v>Texas Instruments</v>
      </c>
      <c r="C18641" s="5">
        <v>4470</v>
      </c>
      <c r="D18641" s="6">
        <v>5.01</v>
      </c>
      <c r="E18641" t="s">
        <v>6</v>
      </c>
    </row>
    <row r="18642" spans="1:5" x14ac:dyDescent="0.25">
      <c r="A18642" t="str">
        <f>HYPERLINK("https://www.773grp.com/globalSearch/TPS61090RSAR/page-1", "TPS61090RSAR")</f>
        <v>TPS61090RSAR</v>
      </c>
      <c r="B18642" s="3" t="str">
        <f>HYPERLINK("https://www.773grp.com/manufacturer/texas-instruments?pageNo=704", "Texas Instruments")</f>
        <v>Texas Instruments</v>
      </c>
      <c r="C18642" s="5">
        <v>47495</v>
      </c>
      <c r="D18642" s="6">
        <v>5.01</v>
      </c>
      <c r="E18642" t="s">
        <v>6</v>
      </c>
    </row>
    <row r="18643" spans="1:5" x14ac:dyDescent="0.25">
      <c r="A18643" t="str">
        <f>HYPERLINK("https://www.773grp.com/globalSearch/TPS61091RSAR/page-1", "TPS61091RSAR")</f>
        <v>TPS61091RSAR</v>
      </c>
      <c r="B18643" s="3" t="str">
        <f>HYPERLINK("https://www.773grp.com/manufacturer/texas-instruments?pageNo=705", "Texas Instruments")</f>
        <v>Texas Instruments</v>
      </c>
      <c r="C18643" s="5">
        <v>11335</v>
      </c>
      <c r="D18643" s="6">
        <v>5.01</v>
      </c>
      <c r="E18643" t="s">
        <v>6</v>
      </c>
    </row>
    <row r="18644" spans="1:5" x14ac:dyDescent="0.25">
      <c r="A18644" t="str">
        <f>HYPERLINK("https://www.773grp.com/globalSearch/TPS61092RSAR/page-1", "TPS61092RSAR")</f>
        <v>TPS61092RSAR</v>
      </c>
      <c r="B18644" s="3" t="str">
        <f>HYPERLINK("https://www.773grp.com/manufacturer/texas-instruments?pageNo=706", "Texas Instruments")</f>
        <v>Texas Instruments</v>
      </c>
      <c r="C18644" s="5">
        <v>9170</v>
      </c>
      <c r="D18644" s="6">
        <v>5.01</v>
      </c>
      <c r="E18644" t="s">
        <v>6</v>
      </c>
    </row>
    <row r="18645" spans="1:5" x14ac:dyDescent="0.25">
      <c r="A18645" t="str">
        <f>HYPERLINK("https://www.773grp.com/globalSearch/TPS62353YZGR/page-1", "TPS62353YZGR")</f>
        <v>TPS62353YZGR</v>
      </c>
      <c r="B18645" s="3" t="str">
        <f>HYPERLINK("https://www.773grp.com/manufacturer/texas-instruments?pageNo=709", "Texas Instruments")</f>
        <v>Texas Instruments</v>
      </c>
      <c r="C18645" s="5">
        <v>75000</v>
      </c>
      <c r="D18645" s="6">
        <v>5.01</v>
      </c>
      <c r="E18645" t="s">
        <v>6</v>
      </c>
    </row>
    <row r="18646" spans="1:5" x14ac:dyDescent="0.25">
      <c r="A18646" t="str">
        <f>HYPERLINK("https://www.773grp.com/globalSearch/TPS62354YZGR/page-1", "TPS62354YZGR")</f>
        <v>TPS62354YZGR</v>
      </c>
      <c r="B18646" s="3" t="str">
        <f>HYPERLINK("https://www.773grp.com/manufacturer/texas-instruments?pageNo=710", "Texas Instruments")</f>
        <v>Texas Instruments</v>
      </c>
      <c r="C18646" s="5">
        <v>75000</v>
      </c>
      <c r="D18646" s="6">
        <v>5.01</v>
      </c>
      <c r="E18646" t="s">
        <v>6</v>
      </c>
    </row>
    <row r="18647" spans="1:5" x14ac:dyDescent="0.25">
      <c r="A18647" t="str">
        <f>HYPERLINK("https://www.773grp.com/globalSearch/TPS62355DRCR/page-1", "TPS62355DRCR")</f>
        <v>TPS62355DRCR</v>
      </c>
      <c r="B18647" s="3" t="str">
        <f>HYPERLINK("https://www.773grp.com/manufacturer/texas-instruments?pageNo=711", "Texas Instruments")</f>
        <v>Texas Instruments</v>
      </c>
      <c r="C18647" s="5">
        <v>17058</v>
      </c>
      <c r="D18647" s="6">
        <v>5.01</v>
      </c>
      <c r="E18647" t="s">
        <v>6</v>
      </c>
    </row>
    <row r="18648" spans="1:5" x14ac:dyDescent="0.25">
      <c r="A18648" t="str">
        <f>HYPERLINK("https://www.773grp.com/globalSearch/TPS62750DSKR/page-1", "TPS62750DSKR")</f>
        <v>TPS62750DSKR</v>
      </c>
      <c r="B18648" s="3" t="str">
        <f>HYPERLINK("https://www.773grp.com/manufacturer/texas-instruments?pageNo=712", "Texas Instruments")</f>
        <v>Texas Instruments</v>
      </c>
      <c r="C18648" s="5">
        <v>132000</v>
      </c>
      <c r="D18648" s="6">
        <v>5.01</v>
      </c>
      <c r="E18648" t="s">
        <v>6</v>
      </c>
    </row>
    <row r="18649" spans="1:5" x14ac:dyDescent="0.25">
      <c r="A18649" t="str">
        <f>HYPERLINK("https://www.773grp.com/globalSearch/UC2842DW/page-1", "UC2842DW")</f>
        <v>UC2842DW</v>
      </c>
      <c r="B18649" s="3" t="str">
        <f>HYPERLINK("https://www.773grp.com/manufacturer/texas-instruments?pageNo=747", "Texas Instruments")</f>
        <v>Texas Instruments</v>
      </c>
      <c r="C18649" s="5">
        <v>3160</v>
      </c>
      <c r="D18649" s="6">
        <v>5.01</v>
      </c>
      <c r="E18649" t="s">
        <v>6</v>
      </c>
    </row>
    <row r="18650" spans="1:5" x14ac:dyDescent="0.25">
      <c r="A18650" t="str">
        <f>HYPERLINK("https://www.773grp.com/globalSearch/UC3524DTR/page-1", "UC3524DTR")</f>
        <v>UC3524DTR</v>
      </c>
      <c r="B18650" s="3" t="str">
        <f>HYPERLINK("https://www.773grp.com/manufacturer/texas-instruments?pageNo=748", "Texas Instruments")</f>
        <v>Texas Instruments</v>
      </c>
      <c r="C18650" s="5">
        <v>5000</v>
      </c>
      <c r="D18650" s="6">
        <v>5.01</v>
      </c>
      <c r="E18650" t="s">
        <v>6</v>
      </c>
    </row>
    <row r="18651" spans="1:5" x14ac:dyDescent="0.25">
      <c r="A18651" t="str">
        <f>HYPERLINK("https://www.773grp.com/globalSearch/UC3524DWTR/page-1", "UC3524DWTR")</f>
        <v>UC3524DWTR</v>
      </c>
      <c r="B18651" s="3" t="str">
        <f>HYPERLINK("https://www.773grp.com/manufacturer/texas-instruments?pageNo=749", "Texas Instruments")</f>
        <v>Texas Instruments</v>
      </c>
      <c r="C18651" s="5">
        <v>20000</v>
      </c>
      <c r="D18651" s="6">
        <v>5.01</v>
      </c>
      <c r="E18651" t="s">
        <v>6</v>
      </c>
    </row>
    <row r="18652" spans="1:5" x14ac:dyDescent="0.25">
      <c r="A18652" t="str">
        <f>HYPERLINK("https://www.773grp.com/globalSearch/UCC2809DTR-2/page-1", "UCC2809DTR-2")</f>
        <v>UCC2809DTR-2</v>
      </c>
      <c r="B18652" s="3" t="str">
        <f>HYPERLINK("https://www.773grp.com/manufacturer/texas-instruments?pageNo=752", "Texas Instruments")</f>
        <v>Texas Instruments</v>
      </c>
      <c r="C18652" s="5">
        <v>37500</v>
      </c>
      <c r="D18652" s="6">
        <v>5.01</v>
      </c>
      <c r="E18652" t="s">
        <v>6</v>
      </c>
    </row>
    <row r="18653" spans="1:5" x14ac:dyDescent="0.25">
      <c r="A18653" t="str">
        <f>HYPERLINK("https://www.773grp.com/globalSearch/UCC2809PTR-2/page-1", "UCC2809PTR-2")</f>
        <v>UCC2809PTR-2</v>
      </c>
      <c r="B18653" s="3" t="str">
        <f>HYPERLINK("https://www.773grp.com/manufacturer/texas-instruments?pageNo=753", "Texas Instruments")</f>
        <v>Texas Instruments</v>
      </c>
      <c r="C18653" s="5">
        <v>16940</v>
      </c>
      <c r="D18653" s="6">
        <v>5.01</v>
      </c>
      <c r="E18653" t="s">
        <v>6</v>
      </c>
    </row>
    <row r="18654" spans="1:5" x14ac:dyDescent="0.25">
      <c r="A18654" t="str">
        <f>HYPERLINK("https://www.773grp.com/globalSearch/UCC28C40P/page-1", "UCC28C40P")</f>
        <v>UCC28C40P</v>
      </c>
      <c r="B18654" s="3" t="str">
        <f>HYPERLINK("https://www.773grp.com/manufacturer/texas-instruments?pageNo=754", "Texas Instruments")</f>
        <v>Texas Instruments</v>
      </c>
      <c r="C18654" s="5">
        <v>13907</v>
      </c>
      <c r="D18654" s="6">
        <v>5.01</v>
      </c>
      <c r="E18654" t="s">
        <v>6</v>
      </c>
    </row>
    <row r="18655" spans="1:5" x14ac:dyDescent="0.25">
      <c r="A18655" t="str">
        <f>HYPERLINK("https://www.773grp.com/globalSearch/UCC3839D/page-1", "UCC3839D")</f>
        <v>UCC3839D</v>
      </c>
      <c r="B18655" s="3" t="str">
        <f>HYPERLINK("https://www.773grp.com/manufacturer/texas-instruments?pageNo=755", "Texas Instruments")</f>
        <v>Texas Instruments</v>
      </c>
      <c r="C18655" s="5">
        <v>2164</v>
      </c>
      <c r="D18655" s="6">
        <v>5.01</v>
      </c>
      <c r="E18655" t="s">
        <v>6</v>
      </c>
    </row>
    <row r="18656" spans="1:5" x14ac:dyDescent="0.25">
      <c r="A18656" t="str">
        <f>HYPERLINK("https://www.773grp.com/globalSearch/UCC3839D/page-1", "UCC3839D")</f>
        <v>UCC3839D</v>
      </c>
      <c r="B18656" s="3" t="str">
        <f>HYPERLINK("https://www.773grp.com/manufacturer/texas-instruments?pageNo=756", "Texas Instruments")</f>
        <v>Texas Instruments</v>
      </c>
      <c r="C18656" s="5">
        <v>17200</v>
      </c>
      <c r="D18656" s="6">
        <v>5.01</v>
      </c>
      <c r="E18656" t="s">
        <v>6</v>
      </c>
    </row>
    <row r="18657" spans="1:5" x14ac:dyDescent="0.25">
      <c r="A18657" t="str">
        <f>HYPERLINK("https://www.773grp.com/globalSearch/UC28023DW/page-1", "UC28023DW")</f>
        <v>UC28023DW</v>
      </c>
      <c r="B18657" s="3" t="str">
        <f>HYPERLINK("https://www.773grp.com/manufacturer/texas-instruments?pageNo=776", "Texas Instruments")</f>
        <v>Texas Instruments</v>
      </c>
      <c r="C18657" s="5">
        <v>10875</v>
      </c>
      <c r="D18657" s="6">
        <v>4.5599999999999996</v>
      </c>
      <c r="E18657" t="s">
        <v>6</v>
      </c>
    </row>
    <row r="18658" spans="1:5" x14ac:dyDescent="0.25">
      <c r="A18658" t="str">
        <f>HYPERLINK("https://www.773grp.com/globalSearch/UC28025DW/page-1", "UC28025DW")</f>
        <v>UC28025DW</v>
      </c>
      <c r="B18658" s="3" t="str">
        <f>HYPERLINK("https://www.773grp.com/manufacturer/texas-instruments?pageNo=777", "Texas Instruments")</f>
        <v>Texas Instruments</v>
      </c>
      <c r="C18658" s="5">
        <v>15</v>
      </c>
      <c r="D18658" s="6">
        <v>4.5599999999999996</v>
      </c>
      <c r="E18658" t="s">
        <v>6</v>
      </c>
    </row>
    <row r="18659" spans="1:5" x14ac:dyDescent="0.25">
      <c r="A18659" t="str">
        <f>HYPERLINK("https://www.773grp.com/globalSearch/UCC2819N/page-1", "UCC2819N")</f>
        <v>UCC2819N</v>
      </c>
      <c r="B18659" s="3" t="str">
        <f>HYPERLINK("https://www.773grp.com/manufacturer/texas-instruments?pageNo=778", "Texas Instruments")</f>
        <v>Texas Instruments</v>
      </c>
      <c r="C18659" s="5">
        <v>11900</v>
      </c>
      <c r="D18659" s="6">
        <v>4.5599999999999996</v>
      </c>
      <c r="E18659" t="s">
        <v>6</v>
      </c>
    </row>
    <row r="18660" spans="1:5" x14ac:dyDescent="0.25">
      <c r="A18660" t="str">
        <f>HYPERLINK("https://www.773grp.com/globalSearch/TPS40211DGQ/page-1", "TPS40211DGQ")</f>
        <v>TPS40211DGQ</v>
      </c>
      <c r="B18660" s="3" t="str">
        <f>HYPERLINK("https://www.773grp.com/manufacturer/texas-instruments?pageNo=811", "Texas Instruments")</f>
        <v>Texas Instruments</v>
      </c>
      <c r="C18660" s="5">
        <v>235</v>
      </c>
      <c r="D18660" s="6">
        <v>5.0599999999999996</v>
      </c>
      <c r="E18660" t="s">
        <v>6</v>
      </c>
    </row>
    <row r="18661" spans="1:5" x14ac:dyDescent="0.25">
      <c r="A18661" t="str">
        <f>HYPERLINK("https://www.773grp.com/globalSearch/TPS60100PWP/page-1", "TPS60100PWP")</f>
        <v>TPS60100PWP</v>
      </c>
      <c r="B18661" s="3" t="str">
        <f>HYPERLINK("https://www.773grp.com/manufacturer/texas-instruments?pageNo=812", "Texas Instruments")</f>
        <v>Texas Instruments</v>
      </c>
      <c r="C18661" s="5">
        <v>2708</v>
      </c>
      <c r="D18661" s="6">
        <v>5.0599999999999996</v>
      </c>
      <c r="E18661" t="s">
        <v>6</v>
      </c>
    </row>
    <row r="18662" spans="1:5" x14ac:dyDescent="0.25">
      <c r="A18662" t="str">
        <f>HYPERLINK("https://www.773grp.com/globalSearch/TPS60120PWP/page-1", "TPS60120PWP")</f>
        <v>TPS60120PWP</v>
      </c>
      <c r="B18662" s="3" t="str">
        <f>HYPERLINK("https://www.773grp.com/manufacturer/texas-instruments?pageNo=815", "Texas Instruments")</f>
        <v>Texas Instruments</v>
      </c>
      <c r="C18662" s="5">
        <v>1314</v>
      </c>
      <c r="D18662" s="6">
        <v>5.0599999999999996</v>
      </c>
      <c r="E18662" t="s">
        <v>6</v>
      </c>
    </row>
    <row r="18663" spans="1:5" x14ac:dyDescent="0.25">
      <c r="A18663" t="str">
        <f>HYPERLINK("https://www.773grp.com/globalSearch/TPS60121PWP/page-1", "TPS60121PWP")</f>
        <v>TPS60121PWP</v>
      </c>
      <c r="B18663" s="3" t="str">
        <f>HYPERLINK("https://www.773grp.com/manufacturer/texas-instruments?pageNo=816", "Texas Instruments")</f>
        <v>Texas Instruments</v>
      </c>
      <c r="C18663" s="5">
        <v>12622</v>
      </c>
      <c r="D18663" s="6">
        <v>5.0599999999999996</v>
      </c>
      <c r="E18663" t="s">
        <v>6</v>
      </c>
    </row>
    <row r="18664" spans="1:5" x14ac:dyDescent="0.25">
      <c r="A18664" t="str">
        <f>HYPERLINK("https://www.773grp.com/globalSearch/TPS60124PWP/page-1", "TPS60124PWP")</f>
        <v>TPS60124PWP</v>
      </c>
      <c r="B18664" s="3" t="str">
        <f>HYPERLINK("https://www.773grp.com/manufacturer/texas-instruments?pageNo=817", "Texas Instruments")</f>
        <v>Texas Instruments</v>
      </c>
      <c r="C18664" s="5">
        <v>52737</v>
      </c>
      <c r="D18664" s="6">
        <v>5.0599999999999996</v>
      </c>
      <c r="E18664" t="s">
        <v>6</v>
      </c>
    </row>
    <row r="18665" spans="1:5" x14ac:dyDescent="0.25">
      <c r="A18665" t="str">
        <f>HYPERLINK("https://www.773grp.com/globalSearch/TPS60130PWP/page-1", "TPS60130PWP")</f>
        <v>TPS60130PWP</v>
      </c>
      <c r="B18665" s="3" t="str">
        <f>HYPERLINK("https://www.773grp.com/manufacturer/texas-instruments?pageNo=818", "Texas Instruments")</f>
        <v>Texas Instruments</v>
      </c>
      <c r="C18665" s="5">
        <v>6235</v>
      </c>
      <c r="D18665" s="6">
        <v>5.0599999999999996</v>
      </c>
      <c r="E18665" t="s">
        <v>6</v>
      </c>
    </row>
    <row r="18666" spans="1:5" x14ac:dyDescent="0.25">
      <c r="A18666" t="str">
        <f>HYPERLINK("https://www.773grp.com/globalSearch/TPS60131PWP/page-1", "TPS60131PWP")</f>
        <v>TPS60131PWP</v>
      </c>
      <c r="B18666" s="3" t="str">
        <f>HYPERLINK("https://www.773grp.com/manufacturer/texas-instruments?pageNo=819", "Texas Instruments")</f>
        <v>Texas Instruments</v>
      </c>
      <c r="C18666" s="5">
        <v>5</v>
      </c>
      <c r="D18666" s="6">
        <v>5.0599999999999996</v>
      </c>
      <c r="E18666" t="s">
        <v>6</v>
      </c>
    </row>
    <row r="18667" spans="1:5" x14ac:dyDescent="0.25">
      <c r="A18667" t="str">
        <f>HYPERLINK("https://www.773grp.com/globalSearch/TPS60131PWP/page-1", "TPS60131PWP")</f>
        <v>TPS60131PWP</v>
      </c>
      <c r="B18667" s="3" t="str">
        <f>HYPERLINK("https://www.773grp.com/manufacturer/texas-instruments?pageNo=820", "Texas Instruments")</f>
        <v>Texas Instruments</v>
      </c>
      <c r="C18667" s="5">
        <v>4527</v>
      </c>
      <c r="D18667" s="6">
        <v>5.0599999999999996</v>
      </c>
      <c r="E18667" t="s">
        <v>6</v>
      </c>
    </row>
    <row r="18668" spans="1:5" x14ac:dyDescent="0.25">
      <c r="A18668" t="str">
        <f>HYPERLINK("https://www.773grp.com/globalSearch/TPS61058DRCR/page-1", "TPS61058DRCR")</f>
        <v>TPS61058DRCR</v>
      </c>
      <c r="B18668" s="3" t="str">
        <f>HYPERLINK("https://www.773grp.com/manufacturer/texas-instruments?pageNo=822", "Texas Instruments")</f>
        <v>Texas Instruments</v>
      </c>
      <c r="C18668" s="5">
        <v>63258</v>
      </c>
      <c r="D18668" s="6">
        <v>5.0599999999999996</v>
      </c>
      <c r="E18668" t="s">
        <v>6</v>
      </c>
    </row>
    <row r="18669" spans="1:5" x14ac:dyDescent="0.25">
      <c r="A18669" t="str">
        <f>HYPERLINK("https://www.773grp.com/globalSearch/UCC3889N/page-1", "UCC3889N")</f>
        <v>UCC3889N</v>
      </c>
      <c r="B18669" s="3" t="str">
        <f>HYPERLINK("https://www.773grp.com/manufacturer/texas-instruments?pageNo=825", "Texas Instruments")</f>
        <v>Texas Instruments</v>
      </c>
      <c r="C18669" s="5">
        <v>6600</v>
      </c>
      <c r="D18669" s="6">
        <v>5.0599999999999996</v>
      </c>
      <c r="E18669" t="s">
        <v>6</v>
      </c>
    </row>
    <row r="18670" spans="1:5" x14ac:dyDescent="0.25">
      <c r="A18670" t="str">
        <f>HYPERLINK("https://www.773grp.com/globalSearch/TL1454ACD/page-1", "TL1454ACD")</f>
        <v>TL1454ACD</v>
      </c>
      <c r="B18670" s="3" t="str">
        <f>HYPERLINK("https://www.773grp.com/manufacturer/texas-instruments?pageNo=840", "Texas Instruments")</f>
        <v>Texas Instruments</v>
      </c>
      <c r="C18670" s="5">
        <v>101</v>
      </c>
      <c r="D18670" s="6">
        <v>4.59</v>
      </c>
      <c r="E18670" t="s">
        <v>6</v>
      </c>
    </row>
    <row r="18671" spans="1:5" x14ac:dyDescent="0.25">
      <c r="A18671" t="str">
        <f>HYPERLINK("https://www.773grp.com/globalSearch/TL1454ACDB/page-1", "TL1454ACDB")</f>
        <v>TL1454ACDB</v>
      </c>
      <c r="B18671" s="3" t="str">
        <f>HYPERLINK("https://www.773grp.com/manufacturer/texas-instruments?pageNo=841", "Texas Instruments")</f>
        <v>Texas Instruments</v>
      </c>
      <c r="C18671" s="5">
        <v>6995</v>
      </c>
      <c r="D18671" s="6">
        <v>4.59</v>
      </c>
      <c r="E18671" t="s">
        <v>6</v>
      </c>
    </row>
    <row r="18672" spans="1:5" x14ac:dyDescent="0.25">
      <c r="A18672" t="str">
        <f>HYPERLINK("https://www.773grp.com/globalSearch/TL1454ACN/page-1", "TL1454ACN")</f>
        <v>TL1454ACN</v>
      </c>
      <c r="B18672" s="3" t="str">
        <f>HYPERLINK("https://www.773grp.com/manufacturer/texas-instruments?pageNo=842", "Texas Instruments")</f>
        <v>Texas Instruments</v>
      </c>
      <c r="C18672" s="5">
        <v>2025</v>
      </c>
      <c r="D18672" s="6">
        <v>4.59</v>
      </c>
      <c r="E18672" t="s">
        <v>6</v>
      </c>
    </row>
    <row r="18673" spans="1:5" x14ac:dyDescent="0.25">
      <c r="A18673" t="str">
        <f>HYPERLINK("https://www.773grp.com/globalSearch/TL2575HV-05IN/page-1", "TL2575HV-05IN")</f>
        <v>TL2575HV-05IN</v>
      </c>
      <c r="B18673" s="3" t="str">
        <f>HYPERLINK("https://www.773grp.com/manufacturer/texas-instruments?pageNo=942", "Texas Instruments")</f>
        <v>Texas Instruments</v>
      </c>
      <c r="C18673" s="5">
        <v>875</v>
      </c>
      <c r="D18673" s="6">
        <v>4.6100000000000003</v>
      </c>
      <c r="E18673" t="s">
        <v>6</v>
      </c>
    </row>
    <row r="18674" spans="1:5" x14ac:dyDescent="0.25">
      <c r="A18674" t="str">
        <f>HYPERLINK("https://www.773grp.com/globalSearch/TL2575HV-12IN/page-1", "TL2575HV-12IN")</f>
        <v>TL2575HV-12IN</v>
      </c>
      <c r="B18674" s="3" t="str">
        <f>HYPERLINK("https://www.773grp.com/manufacturer/texas-instruments?pageNo=943", "Texas Instruments")</f>
        <v>Texas Instruments</v>
      </c>
      <c r="C18674" s="5">
        <v>6615</v>
      </c>
      <c r="D18674" s="6">
        <v>4.6100000000000003</v>
      </c>
      <c r="E18674" t="s">
        <v>6</v>
      </c>
    </row>
    <row r="18675" spans="1:5" x14ac:dyDescent="0.25">
      <c r="A18675" t="str">
        <f>HYPERLINK("https://www.773grp.com/globalSearch/TL2575HV-15IN/page-1", "TL2575HV-15IN")</f>
        <v>TL2575HV-15IN</v>
      </c>
      <c r="B18675" s="3" t="str">
        <f>HYPERLINK("https://www.773grp.com/manufacturer/texas-instruments?pageNo=944", "Texas Instruments")</f>
        <v>Texas Instruments</v>
      </c>
      <c r="C18675" s="5">
        <v>3340</v>
      </c>
      <c r="D18675" s="6">
        <v>4.6100000000000003</v>
      </c>
      <c r="E18675" t="s">
        <v>6</v>
      </c>
    </row>
    <row r="18676" spans="1:5" x14ac:dyDescent="0.25">
      <c r="A18676" t="str">
        <f>HYPERLINK("https://www.773grp.com/globalSearch/TL2575HV-33IN/page-1", "TL2575HV-33IN")</f>
        <v>TL2575HV-33IN</v>
      </c>
      <c r="B18676" s="3" t="str">
        <f>HYPERLINK("https://www.773grp.com/manufacturer/texas-instruments?pageNo=945", "Texas Instruments")</f>
        <v>Texas Instruments</v>
      </c>
      <c r="C18676" s="5">
        <v>3575</v>
      </c>
      <c r="D18676" s="6">
        <v>4.6100000000000003</v>
      </c>
      <c r="E18676" t="s">
        <v>6</v>
      </c>
    </row>
    <row r="18677" spans="1:5" x14ac:dyDescent="0.25">
      <c r="A18677" t="str">
        <f>HYPERLINK("https://www.773grp.com/globalSearch/TL2575HV-ADJIN/page-1", "TL2575HV-ADJIN")</f>
        <v>TL2575HV-ADJIN</v>
      </c>
      <c r="B18677" s="3" t="str">
        <f>HYPERLINK("https://www.773grp.com/manufacturer/texas-instruments?pageNo=946", "Texas Instruments")</f>
        <v>Texas Instruments</v>
      </c>
      <c r="C18677" s="5">
        <v>5362</v>
      </c>
      <c r="D18677" s="6">
        <v>4.6100000000000003</v>
      </c>
      <c r="E18677" t="s">
        <v>6</v>
      </c>
    </row>
    <row r="18678" spans="1:5" x14ac:dyDescent="0.25">
      <c r="A18678" t="str">
        <f>HYPERLINK("https://www.773grp.com/globalSearch/TL1451ACNSLE/page-1", "TL1451ACNSLE")</f>
        <v>TL1451ACNSLE</v>
      </c>
      <c r="B18678" s="3" t="str">
        <f>HYPERLINK("https://www.773grp.com/manufacturer/texas-instruments?pageNo=982", "Texas Instruments")</f>
        <v>Texas Instruments</v>
      </c>
      <c r="C18678" s="5">
        <v>1000</v>
      </c>
      <c r="D18678" s="6">
        <v>5.1100000000000003</v>
      </c>
      <c r="E18678" t="s">
        <v>6</v>
      </c>
    </row>
    <row r="18679" spans="1:5" x14ac:dyDescent="0.25">
      <c r="A18679" t="str">
        <f>HYPERLINK("https://www.773grp.com/globalSearch/TPS40052PWPR/page-1", "TPS40052PWPR")</f>
        <v>TPS40052PWPR</v>
      </c>
      <c r="B18679" s="3" t="s">
        <v>90</v>
      </c>
      <c r="C18679" s="5">
        <v>5855</v>
      </c>
      <c r="D18679" s="6">
        <v>4.6399999999999997</v>
      </c>
      <c r="E18679" t="s">
        <v>6</v>
      </c>
    </row>
    <row r="18680" spans="1:5" x14ac:dyDescent="0.25">
      <c r="A18680" t="str">
        <f>HYPERLINK("https://www.773grp.com/globalSearch/TPS40077PWP/page-1", "TPS40077PWP")</f>
        <v>TPS40077PWP</v>
      </c>
      <c r="B18680" s="3" t="s">
        <v>90</v>
      </c>
      <c r="C18680" s="5">
        <v>48668</v>
      </c>
      <c r="D18680" s="6">
        <v>4.6399999999999997</v>
      </c>
      <c r="E18680" t="s">
        <v>6</v>
      </c>
    </row>
    <row r="18681" spans="1:5" x14ac:dyDescent="0.25">
      <c r="A18681" t="str">
        <f>HYPERLINK("https://www.773grp.com/globalSearch/TPS40077PWPG4/page-1", "TPS40077PWPG4")</f>
        <v>TPS40077PWPG4</v>
      </c>
      <c r="B18681" s="3" t="s">
        <v>90</v>
      </c>
      <c r="C18681" s="5">
        <v>180</v>
      </c>
      <c r="D18681" s="6">
        <v>4.6399999999999997</v>
      </c>
      <c r="E18681" t="s">
        <v>6</v>
      </c>
    </row>
    <row r="18682" spans="1:5" x14ac:dyDescent="0.25">
      <c r="A18682" t="str">
        <f>HYPERLINK("https://www.773grp.com/globalSearch/TPS40101RGER/page-1", "TPS40101RGER")</f>
        <v>TPS40101RGER</v>
      </c>
      <c r="B18682" s="3" t="s">
        <v>90</v>
      </c>
      <c r="C18682" s="5">
        <v>6734</v>
      </c>
      <c r="D18682" s="6">
        <v>4.6399999999999997</v>
      </c>
      <c r="E18682" t="s">
        <v>6</v>
      </c>
    </row>
    <row r="18683" spans="1:5" x14ac:dyDescent="0.25">
      <c r="A18683" t="str">
        <f>HYPERLINK("https://www.773grp.com/globalSearch/TPS61120PWR/page-1", "TPS61120PWR")</f>
        <v>TPS61120PWR</v>
      </c>
      <c r="B18683" s="3" t="s">
        <v>90</v>
      </c>
      <c r="C18683" s="5">
        <v>2000</v>
      </c>
      <c r="D18683" s="6">
        <v>4.6399999999999997</v>
      </c>
      <c r="E18683" t="s">
        <v>6</v>
      </c>
    </row>
    <row r="18684" spans="1:5" x14ac:dyDescent="0.25">
      <c r="A18684" t="str">
        <f>HYPERLINK("https://www.773grp.com/globalSearch/TPS61120RSAR/page-1", "TPS61120RSAR")</f>
        <v>TPS61120RSAR</v>
      </c>
      <c r="B18684" s="3" t="s">
        <v>90</v>
      </c>
      <c r="C18684" s="5">
        <v>14970</v>
      </c>
      <c r="D18684" s="6">
        <v>4.6399999999999997</v>
      </c>
      <c r="E18684" t="s">
        <v>6</v>
      </c>
    </row>
    <row r="18685" spans="1:5" x14ac:dyDescent="0.25">
      <c r="A18685" t="str">
        <f>HYPERLINK("https://www.773grp.com/globalSearch/TPS61122PW/page-1", "TPS61122PW")</f>
        <v>TPS61122PW</v>
      </c>
      <c r="B18685" s="3" t="s">
        <v>90</v>
      </c>
      <c r="C18685" s="5">
        <v>29042</v>
      </c>
      <c r="D18685" s="6">
        <v>4.6399999999999997</v>
      </c>
      <c r="E18685" t="s">
        <v>6</v>
      </c>
    </row>
    <row r="18686" spans="1:5" x14ac:dyDescent="0.25">
      <c r="A18686" t="str">
        <f>HYPERLINK("https://www.773grp.com/globalSearch/TPS65000RTET/page-1", "TPS65000RTET")</f>
        <v>TPS65000RTET</v>
      </c>
      <c r="B18686" s="3" t="s">
        <v>90</v>
      </c>
      <c r="C18686" s="5">
        <v>500</v>
      </c>
      <c r="D18686" s="6">
        <v>4.6399999999999997</v>
      </c>
      <c r="E18686" t="s">
        <v>6</v>
      </c>
    </row>
    <row r="18687" spans="1:5" x14ac:dyDescent="0.25">
      <c r="A18687" t="str">
        <f>HYPERLINK("https://www.773grp.com/globalSearch/TPS65111RGER/page-1", "TPS65111RGER")</f>
        <v>TPS65111RGER</v>
      </c>
      <c r="B18687" s="3" t="s">
        <v>90</v>
      </c>
      <c r="C18687" s="5">
        <v>1894</v>
      </c>
      <c r="D18687" s="6">
        <v>4.6399999999999997</v>
      </c>
      <c r="E18687" t="s">
        <v>6</v>
      </c>
    </row>
    <row r="18688" spans="1:5" x14ac:dyDescent="0.25">
      <c r="A18688" t="str">
        <f>HYPERLINK("https://www.773grp.com/globalSearch/TPS65170RHDT/page-1", "TPS65170RHDT")</f>
        <v>TPS65170RHDT</v>
      </c>
      <c r="B18688" s="3" t="s">
        <v>90</v>
      </c>
      <c r="C18688" s="5">
        <v>9000</v>
      </c>
      <c r="D18688" s="6">
        <v>4.6399999999999997</v>
      </c>
      <c r="E18688" t="s">
        <v>6</v>
      </c>
    </row>
    <row r="18689" spans="1:5" x14ac:dyDescent="0.25">
      <c r="A18689" t="str">
        <f>HYPERLINK("https://www.773grp.com/globalSearch/UC3854ADW/page-1", "UC3854ADW")</f>
        <v>UC3854ADW</v>
      </c>
      <c r="B18689" s="3" t="s">
        <v>90</v>
      </c>
      <c r="C18689" s="5">
        <v>19573</v>
      </c>
      <c r="D18689" s="6">
        <v>4.6399999999999997</v>
      </c>
      <c r="E18689" t="s">
        <v>6</v>
      </c>
    </row>
    <row r="18690" spans="1:5" x14ac:dyDescent="0.25">
      <c r="A18690" t="str">
        <f>HYPERLINK("https://www.773grp.com/globalSearch/UC3854BDW/page-1", "UC3854BDW")</f>
        <v>UC3854BDW</v>
      </c>
      <c r="B18690" s="3" t="s">
        <v>90</v>
      </c>
      <c r="C18690" s="5">
        <v>6010</v>
      </c>
      <c r="D18690" s="6">
        <v>4.6399999999999997</v>
      </c>
      <c r="E18690" t="s">
        <v>6</v>
      </c>
    </row>
    <row r="18691" spans="1:5" x14ac:dyDescent="0.25">
      <c r="A18691" t="str">
        <f>HYPERLINK("https://www.773grp.com/globalSearch/UCC2807PW-3/page-1", "UCC2807PW-3")</f>
        <v>UCC2807PW-3</v>
      </c>
      <c r="B18691" s="3" t="s">
        <v>90</v>
      </c>
      <c r="C18691" s="5">
        <v>2934</v>
      </c>
      <c r="D18691" s="6">
        <v>4.6399999999999997</v>
      </c>
      <c r="E18691" t="s">
        <v>6</v>
      </c>
    </row>
    <row r="18692" spans="1:5" x14ac:dyDescent="0.25">
      <c r="A18692" t="str">
        <f>HYPERLINK("https://www.773grp.com/globalSearch/UC2526N/page-1", "UC2526N")</f>
        <v>UC2526N</v>
      </c>
      <c r="B18692" s="3" t="s">
        <v>90</v>
      </c>
      <c r="C18692" s="5">
        <v>6170</v>
      </c>
      <c r="D18692" s="6">
        <v>4.68</v>
      </c>
      <c r="E18692" t="s">
        <v>6</v>
      </c>
    </row>
    <row r="18693" spans="1:5" x14ac:dyDescent="0.25">
      <c r="A18693" t="str">
        <f>HYPERLINK("https://www.773grp.com/globalSearch/TL1454CD/page-1", "TL1454CD")</f>
        <v>TL1454CD</v>
      </c>
      <c r="B18693" s="3" t="s">
        <v>90</v>
      </c>
      <c r="C18693" s="5">
        <v>15694</v>
      </c>
      <c r="D18693" s="6">
        <v>5.16</v>
      </c>
      <c r="E18693" t="s">
        <v>6</v>
      </c>
    </row>
    <row r="18694" spans="1:5" x14ac:dyDescent="0.25">
      <c r="A18694" t="str">
        <f>HYPERLINK("https://www.773grp.com/globalSearch/TL1454CDR/page-1", "TL1454CDR")</f>
        <v>TL1454CDR</v>
      </c>
      <c r="B18694" s="3" t="s">
        <v>90</v>
      </c>
      <c r="C18694" s="5">
        <v>2500</v>
      </c>
      <c r="D18694" s="6">
        <v>5.16</v>
      </c>
      <c r="E18694" t="s">
        <v>6</v>
      </c>
    </row>
    <row r="18695" spans="1:5" x14ac:dyDescent="0.25">
      <c r="A18695" t="str">
        <f>HYPERLINK("https://www.773grp.com/globalSearch/TL1454CN/page-1", "TL1454CN")</f>
        <v>TL1454CN</v>
      </c>
      <c r="B18695" s="3" t="s">
        <v>90</v>
      </c>
      <c r="C18695" s="5">
        <v>29692</v>
      </c>
      <c r="D18695" s="6">
        <v>5.16</v>
      </c>
      <c r="E18695" t="s">
        <v>6</v>
      </c>
    </row>
    <row r="18696" spans="1:5" x14ac:dyDescent="0.25">
      <c r="A18696" t="str">
        <f>HYPERLINK("https://www.773grp.com/globalSearch/TL1454CNSR/page-1", "TL1454CNSR")</f>
        <v>TL1454CNSR</v>
      </c>
      <c r="B18696" s="3" t="s">
        <v>90</v>
      </c>
      <c r="C18696" s="5">
        <v>270</v>
      </c>
      <c r="D18696" s="6">
        <v>5.16</v>
      </c>
      <c r="E18696" t="s">
        <v>6</v>
      </c>
    </row>
    <row r="18697" spans="1:5" x14ac:dyDescent="0.25">
      <c r="A18697" t="str">
        <f>HYPERLINK("https://www.773grp.com/globalSearch/TPS40040DRBT/page-1", "TPS40040DRBT")</f>
        <v>TPS40040DRBT</v>
      </c>
      <c r="B18697" s="3" t="s">
        <v>90</v>
      </c>
      <c r="C18697" s="5">
        <v>7250</v>
      </c>
      <c r="D18697" s="6">
        <v>5.16</v>
      </c>
      <c r="E18697" t="s">
        <v>6</v>
      </c>
    </row>
    <row r="18698" spans="1:5" x14ac:dyDescent="0.25">
      <c r="A18698" t="str">
        <f>HYPERLINK("https://www.773grp.com/globalSearch/TPS40041DRBT/page-1", "TPS40041DRBT")</f>
        <v>TPS40041DRBT</v>
      </c>
      <c r="B18698" s="3" t="s">
        <v>90</v>
      </c>
      <c r="C18698" s="5">
        <v>16022</v>
      </c>
      <c r="D18698" s="6">
        <v>5.16</v>
      </c>
      <c r="E18698" t="s">
        <v>6</v>
      </c>
    </row>
    <row r="18699" spans="1:5" x14ac:dyDescent="0.25">
      <c r="A18699" t="str">
        <f>HYPERLINK("https://www.773grp.com/globalSearch/TPS40042DRCT/page-1", "TPS40042DRCT")</f>
        <v>TPS40042DRCT</v>
      </c>
      <c r="B18699" s="3" t="s">
        <v>90</v>
      </c>
      <c r="C18699" s="5">
        <v>3952</v>
      </c>
      <c r="D18699" s="6">
        <v>5.16</v>
      </c>
      <c r="E18699" t="s">
        <v>6</v>
      </c>
    </row>
    <row r="18700" spans="1:5" x14ac:dyDescent="0.25">
      <c r="A18700" t="str">
        <f>HYPERLINK("https://www.773grp.com/globalSearch/TPS61026DRCT/page-1", "TPS61026DRCT")</f>
        <v>TPS61026DRCT</v>
      </c>
      <c r="B18700" s="3" t="s">
        <v>90</v>
      </c>
      <c r="C18700" s="5">
        <v>300</v>
      </c>
      <c r="D18700" s="6">
        <v>5.16</v>
      </c>
      <c r="E18700" t="s">
        <v>6</v>
      </c>
    </row>
    <row r="18701" spans="1:5" x14ac:dyDescent="0.25">
      <c r="A18701" t="str">
        <f>HYPERLINK("https://www.773grp.com/globalSearch/TPS62401DRCT/page-1", "TPS62401DRCT")</f>
        <v>TPS62401DRCT</v>
      </c>
      <c r="B18701" s="3" t="s">
        <v>90</v>
      </c>
      <c r="C18701" s="5">
        <v>1140</v>
      </c>
      <c r="D18701" s="6">
        <v>5.16</v>
      </c>
      <c r="E18701" t="s">
        <v>6</v>
      </c>
    </row>
    <row r="18702" spans="1:5" x14ac:dyDescent="0.25">
      <c r="A18702" t="str">
        <f>HYPERLINK("https://www.773grp.com/globalSearch/TPS62402DRCT/page-1", "TPS62402DRCT")</f>
        <v>TPS62402DRCT</v>
      </c>
      <c r="B18702" s="3" t="s">
        <v>90</v>
      </c>
      <c r="C18702" s="5">
        <v>3818</v>
      </c>
      <c r="D18702" s="6">
        <v>5.16</v>
      </c>
      <c r="E18702" t="s">
        <v>6</v>
      </c>
    </row>
    <row r="18703" spans="1:5" x14ac:dyDescent="0.25">
      <c r="A18703" t="str">
        <f>HYPERLINK("https://www.773grp.com/globalSearch/TPS62403DRCT/page-1", "TPS62403DRCT")</f>
        <v>TPS62403DRCT</v>
      </c>
      <c r="B18703" s="3" t="s">
        <v>90</v>
      </c>
      <c r="C18703" s="5">
        <v>26989</v>
      </c>
      <c r="D18703" s="6">
        <v>5.16</v>
      </c>
      <c r="E18703" t="s">
        <v>6</v>
      </c>
    </row>
    <row r="18704" spans="1:5" x14ac:dyDescent="0.25">
      <c r="A18704" t="str">
        <f>HYPERLINK("https://www.773grp.com/globalSearch/UC2854DW/page-1", "UC2854DW")</f>
        <v>UC2854DW</v>
      </c>
      <c r="B18704" s="3" t="s">
        <v>90</v>
      </c>
      <c r="C18704" s="5">
        <v>18325</v>
      </c>
      <c r="D18704" s="6">
        <v>4.6900000000000004</v>
      </c>
      <c r="E18704" t="s">
        <v>6</v>
      </c>
    </row>
    <row r="18705" spans="1:5" x14ac:dyDescent="0.25">
      <c r="A18705" t="str">
        <f>HYPERLINK("https://www.773grp.com/globalSearch/UC2854DW/page-1", "UC2854DW")</f>
        <v>UC2854DW</v>
      </c>
      <c r="B18705" s="3" t="s">
        <v>90</v>
      </c>
      <c r="C18705" s="5">
        <v>505</v>
      </c>
      <c r="D18705" s="6">
        <v>4.6900000000000004</v>
      </c>
      <c r="E18705" t="s">
        <v>6</v>
      </c>
    </row>
    <row r="18706" spans="1:5" x14ac:dyDescent="0.25">
      <c r="A18706" t="str">
        <f>HYPERLINK("https://www.773grp.com/globalSearch/TPPM0115DR/page-1", "TPPM0115DR")</f>
        <v>TPPM0115DR</v>
      </c>
      <c r="B18706" s="3" t="s">
        <v>90</v>
      </c>
      <c r="C18706" s="5">
        <v>5000</v>
      </c>
      <c r="D18706" s="6">
        <v>4.7300000000000004</v>
      </c>
      <c r="E18706" t="s">
        <v>6</v>
      </c>
    </row>
    <row r="18707" spans="1:5" x14ac:dyDescent="0.25">
      <c r="A18707" t="str">
        <f>HYPERLINK("https://www.773grp.com/globalSearch/TPS5110PWR/page-1", "TPS5110PWR")</f>
        <v>TPS5110PWR</v>
      </c>
      <c r="B18707" s="3" t="s">
        <v>90</v>
      </c>
      <c r="C18707" s="5">
        <v>74000</v>
      </c>
      <c r="D18707" s="6">
        <v>4.7300000000000004</v>
      </c>
      <c r="E18707" t="s">
        <v>6</v>
      </c>
    </row>
    <row r="18708" spans="1:5" x14ac:dyDescent="0.25">
      <c r="A18708" t="str">
        <f>HYPERLINK("https://www.773grp.com/globalSearch/TPS54140DGQ/page-1", "TPS54140DGQ")</f>
        <v>TPS54140DGQ</v>
      </c>
      <c r="B18708" s="3" t="s">
        <v>90</v>
      </c>
      <c r="C18708" s="5">
        <v>2</v>
      </c>
      <c r="D18708" s="6">
        <v>4.7300000000000004</v>
      </c>
      <c r="E18708" t="s">
        <v>6</v>
      </c>
    </row>
    <row r="18709" spans="1:5" x14ac:dyDescent="0.25">
      <c r="A18709" t="str">
        <f>HYPERLINK("https://www.773grp.com/globalSearch/UC3823DWTR/page-1", "UC3823DWTR")</f>
        <v>UC3823DWTR</v>
      </c>
      <c r="B18709" s="3" t="s">
        <v>90</v>
      </c>
      <c r="C18709" s="5">
        <v>34000</v>
      </c>
      <c r="D18709" s="6">
        <v>4.7300000000000004</v>
      </c>
      <c r="E18709" t="s">
        <v>6</v>
      </c>
    </row>
    <row r="18710" spans="1:5" x14ac:dyDescent="0.25">
      <c r="A18710" t="str">
        <f>HYPERLINK("https://www.773grp.com/globalSearch/UC3825DWTR/page-1", "UC3825DWTR")</f>
        <v>UC3825DWTR</v>
      </c>
      <c r="B18710" s="3" t="s">
        <v>90</v>
      </c>
      <c r="C18710" s="5">
        <v>13199</v>
      </c>
      <c r="D18710" s="6">
        <v>4.7300000000000004</v>
      </c>
      <c r="E18710" t="s">
        <v>6</v>
      </c>
    </row>
    <row r="18711" spans="1:5" x14ac:dyDescent="0.25">
      <c r="A18711" t="str">
        <f>HYPERLINK("https://www.773grp.com/globalSearch/UC3825QTR/page-1", "UC3825QTR")</f>
        <v>UC3825QTR</v>
      </c>
      <c r="B18711" s="3" t="s">
        <v>90</v>
      </c>
      <c r="C18711" s="5">
        <v>13000</v>
      </c>
      <c r="D18711" s="6">
        <v>4.7300000000000004</v>
      </c>
      <c r="E18711" t="s">
        <v>6</v>
      </c>
    </row>
    <row r="18712" spans="1:5" x14ac:dyDescent="0.25">
      <c r="A18712" t="str">
        <f>HYPERLINK("https://www.773grp.com/globalSearch/UCC3808APWTR-1/page-1", "UCC3808APWTR-1")</f>
        <v>UCC3808APWTR-1</v>
      </c>
      <c r="B18712" s="3" t="s">
        <v>90</v>
      </c>
      <c r="C18712" s="5">
        <v>6000</v>
      </c>
      <c r="D18712" s="6">
        <v>5.21</v>
      </c>
      <c r="E18712" t="s">
        <v>6</v>
      </c>
    </row>
    <row r="18713" spans="1:5" x14ac:dyDescent="0.25">
      <c r="A18713" t="str">
        <f>HYPERLINK("https://www.773grp.com/globalSearch/UCC3813DTR-0/page-1", "UCC3813DTR-0")</f>
        <v>UCC3813DTR-0</v>
      </c>
      <c r="B18713" s="3" t="s">
        <v>90</v>
      </c>
      <c r="C18713" s="5">
        <v>2500</v>
      </c>
      <c r="D18713" s="6">
        <v>5.21</v>
      </c>
      <c r="E18713" t="s">
        <v>6</v>
      </c>
    </row>
    <row r="18714" spans="1:5" x14ac:dyDescent="0.25">
      <c r="A18714" t="str">
        <f>HYPERLINK("https://www.773grp.com/globalSearch/UCC3813DTR-2/page-1", "UCC3813DTR-2")</f>
        <v>UCC3813DTR-2</v>
      </c>
      <c r="B18714" s="3" t="s">
        <v>90</v>
      </c>
      <c r="C18714" s="5">
        <v>27500</v>
      </c>
      <c r="D18714" s="6">
        <v>5.21</v>
      </c>
      <c r="E18714" t="s">
        <v>6</v>
      </c>
    </row>
    <row r="18715" spans="1:5" x14ac:dyDescent="0.25">
      <c r="A18715" t="str">
        <f>HYPERLINK("https://www.773grp.com/globalSearch/UCC3813DTR-4/page-1", "UCC3813DTR-4")</f>
        <v>UCC3813DTR-4</v>
      </c>
      <c r="B18715" s="3" t="s">
        <v>90</v>
      </c>
      <c r="C18715" s="5">
        <v>38000</v>
      </c>
      <c r="D18715" s="6">
        <v>5.21</v>
      </c>
      <c r="E18715" t="s">
        <v>6</v>
      </c>
    </row>
    <row r="18716" spans="1:5" x14ac:dyDescent="0.25">
      <c r="A18716" t="str">
        <f>HYPERLINK("https://www.773grp.com/globalSearch/UCC3813PWTR-1/page-1", "UCC3813PWTR-1")</f>
        <v>UCC3813PWTR-1</v>
      </c>
      <c r="B18716" s="3" t="s">
        <v>90</v>
      </c>
      <c r="C18716" s="5">
        <v>24000</v>
      </c>
      <c r="D18716" s="6">
        <v>5.21</v>
      </c>
      <c r="E18716" t="s">
        <v>6</v>
      </c>
    </row>
    <row r="18717" spans="1:5" x14ac:dyDescent="0.25">
      <c r="A18717" t="str">
        <f>HYPERLINK("https://www.773grp.com/globalSearch/UCC3813PWTR-5/page-1", "UCC3813PWTR-5")</f>
        <v>UCC3813PWTR-5</v>
      </c>
      <c r="B18717" s="3" t="s">
        <v>90</v>
      </c>
      <c r="C18717" s="5">
        <v>34000</v>
      </c>
      <c r="D18717" s="6">
        <v>5.21</v>
      </c>
      <c r="E18717" t="s">
        <v>6</v>
      </c>
    </row>
    <row r="18718" spans="1:5" x14ac:dyDescent="0.25">
      <c r="A18718" t="str">
        <f>HYPERLINK("https://www.773grp.com/globalSearch/TPIC74100QPWPRQ1/page-1", "TPIC74100QPWPRQ1")</f>
        <v>TPIC74100QPWPRQ1</v>
      </c>
      <c r="B18718" s="3" t="s">
        <v>90</v>
      </c>
      <c r="C18718" s="5">
        <v>2000</v>
      </c>
      <c r="D18718" s="6">
        <v>4.78</v>
      </c>
      <c r="E18718" t="s">
        <v>6</v>
      </c>
    </row>
    <row r="18719" spans="1:5" x14ac:dyDescent="0.25">
      <c r="A18719" t="str">
        <f>HYPERLINK("https://www.773grp.com/globalSearch/TPS62001DGSR/page-1", "TPS62001DGSR")</f>
        <v>TPS62001DGSR</v>
      </c>
      <c r="B18719" s="3" t="s">
        <v>90</v>
      </c>
      <c r="C18719" s="5">
        <v>94865</v>
      </c>
      <c r="D18719" s="6">
        <v>4.78</v>
      </c>
      <c r="E18719" t="s">
        <v>6</v>
      </c>
    </row>
    <row r="18720" spans="1:5" x14ac:dyDescent="0.25">
      <c r="A18720" t="str">
        <f>HYPERLINK("https://www.773grp.com/globalSearch/TPS65130RGER/page-1", "TPS65130RGER")</f>
        <v>TPS65130RGER</v>
      </c>
      <c r="B18720" s="3" t="s">
        <v>90</v>
      </c>
      <c r="C18720" s="5">
        <v>4075</v>
      </c>
      <c r="D18720" s="6">
        <v>4.78</v>
      </c>
      <c r="E18720" t="s">
        <v>6</v>
      </c>
    </row>
    <row r="18721" spans="1:5" x14ac:dyDescent="0.25">
      <c r="A18721" t="str">
        <f>HYPERLINK("https://www.773grp.com/globalSearch/UC2823QTR/page-1", "UC2823QTR")</f>
        <v>UC2823QTR</v>
      </c>
      <c r="B18721" s="3" t="s">
        <v>90</v>
      </c>
      <c r="C18721" s="5">
        <v>11000</v>
      </c>
      <c r="D18721" s="6">
        <v>4.78</v>
      </c>
      <c r="E18721" t="s">
        <v>6</v>
      </c>
    </row>
    <row r="18722" spans="1:5" x14ac:dyDescent="0.25">
      <c r="A18722" t="str">
        <f>HYPERLINK("https://www.773grp.com/globalSearch/UC2825QTR/page-1", "UC2825QTR")</f>
        <v>UC2825QTR</v>
      </c>
      <c r="B18722" s="3" t="s">
        <v>90</v>
      </c>
      <c r="C18722" s="5">
        <v>3000</v>
      </c>
      <c r="D18722" s="6">
        <v>4.78</v>
      </c>
      <c r="E18722" t="s">
        <v>6</v>
      </c>
    </row>
    <row r="18723" spans="1:5" x14ac:dyDescent="0.25">
      <c r="A18723" t="str">
        <f>HYPERLINK("https://www.773grp.com/globalSearch/UC2846Q/page-1", "UC2846Q")</f>
        <v>UC2846Q</v>
      </c>
      <c r="B18723" s="3" t="s">
        <v>90</v>
      </c>
      <c r="C18723" s="5">
        <v>1610</v>
      </c>
      <c r="D18723" s="6">
        <v>4.78</v>
      </c>
      <c r="E18723" t="s">
        <v>6</v>
      </c>
    </row>
    <row r="18724" spans="1:5" x14ac:dyDescent="0.25">
      <c r="A18724" t="str">
        <f>HYPERLINK("https://www.773grp.com/globalSearch/UC2846Q/page-1", "UC2846Q")</f>
        <v>UC2846Q</v>
      </c>
      <c r="B18724" s="3" t="s">
        <v>90</v>
      </c>
      <c r="C18724" s="5">
        <v>602</v>
      </c>
      <c r="D18724" s="6">
        <v>4.78</v>
      </c>
      <c r="E18724" t="s">
        <v>6</v>
      </c>
    </row>
    <row r="18725" spans="1:5" x14ac:dyDescent="0.25">
      <c r="A18725" t="str">
        <f>HYPERLINK("https://www.773grp.com/globalSearch/UC2846QTR/page-1", "UC2846QTR")</f>
        <v>UC2846QTR</v>
      </c>
      <c r="B18725" s="3" t="s">
        <v>90</v>
      </c>
      <c r="C18725" s="5">
        <v>28000</v>
      </c>
      <c r="D18725" s="6">
        <v>4.78</v>
      </c>
      <c r="E18725" t="s">
        <v>6</v>
      </c>
    </row>
    <row r="18726" spans="1:5" x14ac:dyDescent="0.25">
      <c r="A18726" t="str">
        <f>HYPERLINK("https://www.773grp.com/globalSearch/UCC2819AN/page-1", "UCC2819AN")</f>
        <v>UCC2819AN</v>
      </c>
      <c r="B18726" s="3" t="s">
        <v>90</v>
      </c>
      <c r="C18726" s="5">
        <v>6425</v>
      </c>
      <c r="D18726" s="6">
        <v>4.78</v>
      </c>
      <c r="E18726" t="s">
        <v>6</v>
      </c>
    </row>
    <row r="18727" spans="1:5" x14ac:dyDescent="0.25">
      <c r="A18727" t="str">
        <f>HYPERLINK("https://www.773grp.com/globalSearch/UCC3808AN-2/page-1", "UCC3808AN-2")</f>
        <v>UCC3808AN-2</v>
      </c>
      <c r="B18727" s="3" t="s">
        <v>90</v>
      </c>
      <c r="C18727" s="5">
        <v>13000</v>
      </c>
      <c r="D18727" s="6">
        <v>4.78</v>
      </c>
      <c r="E18727" t="s">
        <v>6</v>
      </c>
    </row>
    <row r="18728" spans="1:5" x14ac:dyDescent="0.25">
      <c r="A18728" t="str">
        <f>HYPERLINK("https://www.773grp.com/globalSearch/TPS65140IPWPRQ1/page-1", "TPS65140IPWPRQ1")</f>
        <v>TPS65140IPWPRQ1</v>
      </c>
      <c r="B18728" s="3" t="s">
        <v>90</v>
      </c>
      <c r="C18728" s="5">
        <v>2000</v>
      </c>
      <c r="D18728" s="6">
        <v>4.8099999999999996</v>
      </c>
      <c r="E18728" t="s">
        <v>6</v>
      </c>
    </row>
    <row r="18729" spans="1:5" x14ac:dyDescent="0.25">
      <c r="A18729" t="str">
        <f>HYPERLINK("https://www.773grp.com/globalSearch/TPS54140QDGQRQ1/page-1", "TPS54140QDGQRQ1")</f>
        <v>TPS54140QDGQRQ1</v>
      </c>
      <c r="B18729" s="3" t="s">
        <v>90</v>
      </c>
      <c r="C18729" s="5">
        <v>19418</v>
      </c>
      <c r="D18729" s="6">
        <v>4.84</v>
      </c>
      <c r="E18729" t="s">
        <v>6</v>
      </c>
    </row>
    <row r="18730" spans="1:5" x14ac:dyDescent="0.25">
      <c r="A18730" t="str">
        <f>HYPERLINK("https://www.773grp.com/globalSearch/TPS54060DGQ/page-1", "TPS54060DGQ")</f>
        <v>TPS54060DGQ</v>
      </c>
      <c r="B18730" s="3" t="s">
        <v>90</v>
      </c>
      <c r="C18730" s="5">
        <v>932</v>
      </c>
      <c r="D18730" s="6">
        <v>4.9000000000000004</v>
      </c>
      <c r="E18730" t="s">
        <v>6</v>
      </c>
    </row>
    <row r="18731" spans="1:5" x14ac:dyDescent="0.25">
      <c r="A18731" t="str">
        <f>HYPERLINK("https://www.773grp.com/globalSearch/TPS40070PWP/page-1", "TPS40070PWP")</f>
        <v>TPS40070PWP</v>
      </c>
      <c r="B18731" s="3" t="s">
        <v>90</v>
      </c>
      <c r="C18731" s="5">
        <v>15552</v>
      </c>
      <c r="D18731" s="6">
        <v>4.93</v>
      </c>
      <c r="E18731" t="s">
        <v>6</v>
      </c>
    </row>
    <row r="18732" spans="1:5" x14ac:dyDescent="0.25">
      <c r="A18732" t="str">
        <f>HYPERLINK("https://www.773grp.com/globalSearch/TPS54160DGQR/page-1", "TPS54160DGQR")</f>
        <v>TPS54160DGQR</v>
      </c>
      <c r="B18732" s="3" t="s">
        <v>90</v>
      </c>
      <c r="C18732" s="5">
        <v>641</v>
      </c>
      <c r="D18732" s="6">
        <v>4.93</v>
      </c>
      <c r="E18732" t="s">
        <v>6</v>
      </c>
    </row>
    <row r="18733" spans="1:5" x14ac:dyDescent="0.25">
      <c r="A18733" t="str">
        <f>HYPERLINK("https://www.773grp.com/globalSearch/TPS5431DDAR/page-1", "TPS5431DDAR")</f>
        <v>TPS5431DDAR</v>
      </c>
      <c r="B18733" s="3" t="s">
        <v>90</v>
      </c>
      <c r="C18733" s="5">
        <v>2734</v>
      </c>
      <c r="D18733" s="6">
        <v>4.93</v>
      </c>
      <c r="E18733" t="s">
        <v>6</v>
      </c>
    </row>
    <row r="18734" spans="1:5" x14ac:dyDescent="0.25">
      <c r="A18734" t="str">
        <f>HYPERLINK("https://www.773grp.com/globalSearch/TPS65058RGER/page-1", "TPS65058RGER")</f>
        <v>TPS65058RGER</v>
      </c>
      <c r="B18734" s="3" t="s">
        <v>90</v>
      </c>
      <c r="C18734" s="5">
        <v>39000</v>
      </c>
      <c r="D18734" s="6">
        <v>4.93</v>
      </c>
      <c r="E18734" t="s">
        <v>6</v>
      </c>
    </row>
    <row r="18735" spans="1:5" x14ac:dyDescent="0.25">
      <c r="A18735" t="str">
        <f>HYPERLINK("https://www.773grp.com/globalSearch/TPS65140PWP/page-1", "TPS65140PWP")</f>
        <v>TPS65140PWP</v>
      </c>
      <c r="B18735" s="3" t="s">
        <v>90</v>
      </c>
      <c r="C18735" s="5">
        <v>21665</v>
      </c>
      <c r="D18735" s="6">
        <v>4.93</v>
      </c>
      <c r="E18735" t="s">
        <v>6</v>
      </c>
    </row>
    <row r="18736" spans="1:5" x14ac:dyDescent="0.25">
      <c r="A18736" t="str">
        <f>HYPERLINK("https://www.773grp.com/globalSearch/UCC2581DTR/page-1", "UCC2581DTR")</f>
        <v>UCC2581DTR</v>
      </c>
      <c r="B18736" s="3" t="s">
        <v>90</v>
      </c>
      <c r="C18736" s="5">
        <v>5000</v>
      </c>
      <c r="D18736" s="6">
        <v>4.93</v>
      </c>
      <c r="E18736" t="s">
        <v>6</v>
      </c>
    </row>
    <row r="18737" spans="1:5" x14ac:dyDescent="0.25">
      <c r="A18737" t="str">
        <f>HYPERLINK("https://www.773grp.com/globalSearch/UCC2585D/page-1", "UCC2585D")</f>
        <v>UCC2585D</v>
      </c>
      <c r="B18737" s="3" t="s">
        <v>90</v>
      </c>
      <c r="C18737" s="5">
        <v>5200</v>
      </c>
      <c r="D18737" s="6">
        <v>4.95</v>
      </c>
      <c r="E18737" t="s">
        <v>6</v>
      </c>
    </row>
    <row r="18738" spans="1:5" x14ac:dyDescent="0.25">
      <c r="A18738" t="str">
        <f>HYPERLINK("https://www.773grp.com/globalSearch/UCC2585D/page-1", "UCC2585D")</f>
        <v>UCC2585D</v>
      </c>
      <c r="B18738" s="3" t="s">
        <v>90</v>
      </c>
      <c r="C18738" s="5">
        <v>1760</v>
      </c>
      <c r="D18738" s="6">
        <v>4.95</v>
      </c>
      <c r="E18738" t="s">
        <v>6</v>
      </c>
    </row>
    <row r="18739" spans="1:5" x14ac:dyDescent="0.25">
      <c r="A18739" t="str">
        <f>HYPERLINK("https://www.773grp.com/globalSearch/UCC2585D/page-1", "UCC2585D")</f>
        <v>UCC2585D</v>
      </c>
      <c r="B18739" s="3" t="s">
        <v>90</v>
      </c>
      <c r="C18739" s="5">
        <v>9134</v>
      </c>
      <c r="D18739" s="6">
        <v>4.95</v>
      </c>
      <c r="E18739" t="s">
        <v>6</v>
      </c>
    </row>
    <row r="18740" spans="1:5" x14ac:dyDescent="0.25">
      <c r="A18740" t="str">
        <f>HYPERLINK("https://www.773grp.com/globalSearch/UCC2808AN-2/page-1", "UCC2808AN-2")</f>
        <v>UCC2808AN-2</v>
      </c>
      <c r="B18740" s="3" t="s">
        <v>90</v>
      </c>
      <c r="C18740" s="5">
        <v>6850</v>
      </c>
      <c r="D18740" s="6">
        <v>4.95</v>
      </c>
      <c r="E18740" t="s">
        <v>6</v>
      </c>
    </row>
    <row r="18741" spans="1:5" x14ac:dyDescent="0.25">
      <c r="A18741" t="str">
        <f>HYPERLINK("https://www.773grp.com/globalSearch/UCC2808AN-2/page-1", "UCC2808AN-2")</f>
        <v>UCC2808AN-2</v>
      </c>
      <c r="B18741" s="3" t="s">
        <v>90</v>
      </c>
      <c r="C18741" s="5">
        <v>6725</v>
      </c>
      <c r="D18741" s="6">
        <v>4.95</v>
      </c>
      <c r="E18741" t="s">
        <v>6</v>
      </c>
    </row>
    <row r="18742" spans="1:5" x14ac:dyDescent="0.25">
      <c r="A18742" t="str">
        <f>HYPERLINK("https://www.773grp.com/globalSearch/UC3844J/page-1", "UC3844J")</f>
        <v>UC3844J</v>
      </c>
      <c r="B18742" s="3" t="s">
        <v>90</v>
      </c>
      <c r="C18742" s="5">
        <v>141</v>
      </c>
      <c r="D18742" s="6">
        <v>5.01</v>
      </c>
      <c r="E18742" t="s">
        <v>6</v>
      </c>
    </row>
    <row r="18743" spans="1:5" x14ac:dyDescent="0.25">
      <c r="A18743" t="str">
        <f>HYPERLINK("https://www.773grp.com/globalSearch/TPS40050PWPR/page-1", "TPS40050PWPR")</f>
        <v>TPS40050PWPR</v>
      </c>
      <c r="B18743" s="3" t="s">
        <v>90</v>
      </c>
      <c r="C18743" s="5">
        <v>5</v>
      </c>
      <c r="D18743" s="6">
        <v>5.0599999999999996</v>
      </c>
      <c r="E18743" t="s">
        <v>6</v>
      </c>
    </row>
    <row r="18744" spans="1:5" x14ac:dyDescent="0.25">
      <c r="A18744" t="str">
        <f>HYPERLINK("https://www.773grp.com/globalSearch/TPS40053PWPR/page-1", "TPS40053PWPR")</f>
        <v>TPS40053PWPR</v>
      </c>
      <c r="B18744" s="3" t="s">
        <v>90</v>
      </c>
      <c r="C18744" s="5">
        <v>8000</v>
      </c>
      <c r="D18744" s="6">
        <v>5.0599999999999996</v>
      </c>
      <c r="E18744" t="s">
        <v>6</v>
      </c>
    </row>
    <row r="18745" spans="1:5" x14ac:dyDescent="0.25">
      <c r="A18745" t="str">
        <f>HYPERLINK("https://www.773grp.com/globalSearch/TPS40180RGER/page-1", "TPS40180RGER")</f>
        <v>TPS40180RGER</v>
      </c>
      <c r="B18745" s="3" t="s">
        <v>90</v>
      </c>
      <c r="C18745" s="5">
        <v>197797</v>
      </c>
      <c r="D18745" s="6">
        <v>5.0599999999999996</v>
      </c>
      <c r="E18745" t="s">
        <v>6</v>
      </c>
    </row>
    <row r="18746" spans="1:5" x14ac:dyDescent="0.25">
      <c r="A18746" t="str">
        <f>HYPERLINK("https://www.773grp.com/globalSearch/TPS54310PWPR/page-1", "TPS54310PWPR")</f>
        <v>TPS54310PWPR</v>
      </c>
      <c r="B18746" s="3" t="s">
        <v>90</v>
      </c>
      <c r="C18746" s="5">
        <v>9500</v>
      </c>
      <c r="D18746" s="6">
        <v>5.0599999999999996</v>
      </c>
      <c r="E18746" t="s">
        <v>6</v>
      </c>
    </row>
    <row r="18747" spans="1:5" x14ac:dyDescent="0.25">
      <c r="A18747" t="str">
        <f>HYPERLINK("https://www.773grp.com/globalSearch/TPS54317RHFR/page-1", "TPS54317RHFR")</f>
        <v>TPS54317RHFR</v>
      </c>
      <c r="B18747" s="3" t="s">
        <v>90</v>
      </c>
      <c r="C18747" s="5">
        <v>3000</v>
      </c>
      <c r="D18747" s="6">
        <v>5.0599999999999996</v>
      </c>
      <c r="E18747" t="s">
        <v>6</v>
      </c>
    </row>
    <row r="18748" spans="1:5" x14ac:dyDescent="0.25">
      <c r="A18748" t="str">
        <f>HYPERLINK("https://www.773grp.com/globalSearch/TPS65165RSBR/page-1", "TPS65165RSBR")</f>
        <v>TPS65165RSBR</v>
      </c>
      <c r="B18748" s="3" t="s">
        <v>90</v>
      </c>
      <c r="C18748" s="5">
        <v>32729</v>
      </c>
      <c r="D18748" s="6">
        <v>5.0599999999999996</v>
      </c>
      <c r="E18748" t="s">
        <v>6</v>
      </c>
    </row>
    <row r="18749" spans="1:5" x14ac:dyDescent="0.25">
      <c r="A18749" t="str">
        <f>HYPERLINK("https://www.773grp.com/globalSearch/TPS6735ID/page-1", "TPS6735ID")</f>
        <v>TPS6735ID</v>
      </c>
      <c r="B18749" s="3" t="s">
        <v>90</v>
      </c>
      <c r="C18749" s="5">
        <v>2324</v>
      </c>
      <c r="D18749" s="6">
        <v>5.0599999999999996</v>
      </c>
      <c r="E18749" t="s">
        <v>6</v>
      </c>
    </row>
    <row r="18750" spans="1:5" x14ac:dyDescent="0.25">
      <c r="A18750" t="str">
        <f>HYPERLINK("https://www.773grp.com/globalSearch/TPS6735IDG4/page-1", "TPS6735IDG4")</f>
        <v>TPS6735IDG4</v>
      </c>
      <c r="B18750" s="3" t="s">
        <v>90</v>
      </c>
      <c r="C18750" s="5">
        <v>325</v>
      </c>
      <c r="D18750" s="6">
        <v>5.0599999999999996</v>
      </c>
      <c r="E18750" t="s">
        <v>6</v>
      </c>
    </row>
    <row r="18751" spans="1:5" x14ac:dyDescent="0.25">
      <c r="A18751" t="str">
        <f>HYPERLINK("https://www.773grp.com/globalSearch/TPS6735IP/page-1", "TPS6735IP")</f>
        <v>TPS6735IP</v>
      </c>
      <c r="B18751" s="3" t="s">
        <v>90</v>
      </c>
      <c r="C18751" s="5">
        <v>9584</v>
      </c>
      <c r="D18751" s="6">
        <v>5.0599999999999996</v>
      </c>
      <c r="E18751" t="s">
        <v>6</v>
      </c>
    </row>
    <row r="18752" spans="1:5" x14ac:dyDescent="0.25">
      <c r="A18752" t="str">
        <f>HYPERLINK("https://www.773grp.com/globalSearch/UCC2803DTR-81400/page-1", "UCC2803DTR-81400")</f>
        <v>UCC2803DTR-81400</v>
      </c>
      <c r="B18752" s="3" t="s">
        <v>90</v>
      </c>
      <c r="C18752" s="5">
        <v>20000</v>
      </c>
      <c r="D18752" s="6">
        <v>5.0599999999999996</v>
      </c>
      <c r="E18752" t="s">
        <v>6</v>
      </c>
    </row>
    <row r="18753" spans="1:5" x14ac:dyDescent="0.25">
      <c r="A18753" t="str">
        <f>HYPERLINK("https://www.773grp.com/globalSearch/UCC28511DWR/page-1", "UCC28511DWR")</f>
        <v>UCC28511DWR</v>
      </c>
      <c r="B18753" s="3" t="s">
        <v>90</v>
      </c>
      <c r="C18753" s="5">
        <v>2000</v>
      </c>
      <c r="D18753" s="6">
        <v>5.0599999999999996</v>
      </c>
      <c r="E18753" t="s">
        <v>6</v>
      </c>
    </row>
    <row r="18754" spans="1:5" x14ac:dyDescent="0.25">
      <c r="A18754" t="str">
        <f>HYPERLINK("https://www.773grp.com/globalSearch/UCC28513DWR/page-1", "UCC28513DWR")</f>
        <v>UCC28513DWR</v>
      </c>
      <c r="B18754" s="3" t="s">
        <v>90</v>
      </c>
      <c r="C18754" s="5">
        <v>100625</v>
      </c>
      <c r="D18754" s="6">
        <v>5.0599999999999996</v>
      </c>
      <c r="E18754" t="s">
        <v>6</v>
      </c>
    </row>
    <row r="18755" spans="1:5" x14ac:dyDescent="0.25">
      <c r="A18755" t="str">
        <f>HYPERLINK("https://www.773grp.com/globalSearch/UCC3581D/page-1", "UCC3581D")</f>
        <v>UCC3581D</v>
      </c>
      <c r="B18755" s="3" t="s">
        <v>90</v>
      </c>
      <c r="C18755" s="5">
        <v>9573</v>
      </c>
      <c r="D18755" s="6">
        <v>5.0599999999999996</v>
      </c>
      <c r="E18755" t="s">
        <v>6</v>
      </c>
    </row>
    <row r="18756" spans="1:5" x14ac:dyDescent="0.25">
      <c r="A18756" t="str">
        <f>HYPERLINK("https://www.773grp.com/globalSearch/UCC3807D-1/page-1", "UCC3807D-1")</f>
        <v>UCC3807D-1</v>
      </c>
      <c r="B18756" s="3" t="s">
        <v>90</v>
      </c>
      <c r="C18756" s="5">
        <v>3215</v>
      </c>
      <c r="D18756" s="6">
        <v>5.0599999999999996</v>
      </c>
      <c r="E18756" t="s">
        <v>6</v>
      </c>
    </row>
    <row r="18757" spans="1:5" x14ac:dyDescent="0.25">
      <c r="A18757" t="str">
        <f>HYPERLINK("https://www.773grp.com/globalSearch/UCC3807D-1/page-1", "UCC3807D-1")</f>
        <v>UCC3807D-1</v>
      </c>
      <c r="B18757" s="3" t="s">
        <v>90</v>
      </c>
      <c r="C18757" s="5">
        <v>1125</v>
      </c>
      <c r="D18757" s="6">
        <v>5.0599999999999996</v>
      </c>
      <c r="E18757" t="s">
        <v>6</v>
      </c>
    </row>
    <row r="18758" spans="1:5" x14ac:dyDescent="0.25">
      <c r="A18758" t="str">
        <f>HYPERLINK("https://www.773grp.com/globalSearch/UCC3807D-2/page-1", "UCC3807D-2")</f>
        <v>UCC3807D-2</v>
      </c>
      <c r="B18758" s="3" t="s">
        <v>90</v>
      </c>
      <c r="C18758" s="5">
        <v>13733</v>
      </c>
      <c r="D18758" s="6">
        <v>5.0599999999999996</v>
      </c>
      <c r="E18758" t="s">
        <v>6</v>
      </c>
    </row>
    <row r="18759" spans="1:5" x14ac:dyDescent="0.25">
      <c r="A18759" t="str">
        <f>HYPERLINK("https://www.773grp.com/globalSearch/UCC3807D-2/page-1", "UCC3807D-2")</f>
        <v>UCC3807D-2</v>
      </c>
      <c r="B18759" s="3" t="s">
        <v>90</v>
      </c>
      <c r="C18759" s="5">
        <v>732</v>
      </c>
      <c r="D18759" s="6">
        <v>5.0599999999999996</v>
      </c>
      <c r="E18759" t="s">
        <v>6</v>
      </c>
    </row>
    <row r="18760" spans="1:5" x14ac:dyDescent="0.25">
      <c r="A18760" t="str">
        <f>HYPERLINK("https://www.773grp.com/globalSearch/UCC3807D-3/page-1", "UCC3807D-3")</f>
        <v>UCC3807D-3</v>
      </c>
      <c r="B18760" s="3" t="s">
        <v>90</v>
      </c>
      <c r="C18760" s="5">
        <v>4740</v>
      </c>
      <c r="D18760" s="6">
        <v>5.0599999999999996</v>
      </c>
      <c r="E18760" t="s">
        <v>6</v>
      </c>
    </row>
    <row r="18761" spans="1:5" x14ac:dyDescent="0.25">
      <c r="A18761" t="str">
        <f>HYPERLINK("https://www.773grp.com/globalSearch/UCC3807D-3G4/page-1", "UCC3807D-3G4")</f>
        <v>UCC3807D-3G4</v>
      </c>
      <c r="B18761" s="3" t="s">
        <v>90</v>
      </c>
      <c r="C18761" s="5">
        <v>500</v>
      </c>
      <c r="D18761" s="6">
        <v>5.0599999999999996</v>
      </c>
      <c r="E18761" t="s">
        <v>6</v>
      </c>
    </row>
    <row r="18762" spans="1:5" x14ac:dyDescent="0.25">
      <c r="A18762" t="str">
        <f>HYPERLINK("https://www.773grp.com/globalSearch/UCC3807N-1/page-1", "UCC3807N-1")</f>
        <v>UCC3807N-1</v>
      </c>
      <c r="B18762" s="3" t="s">
        <v>90</v>
      </c>
      <c r="C18762" s="5">
        <v>2050</v>
      </c>
      <c r="D18762" s="6">
        <v>5.0599999999999996</v>
      </c>
      <c r="E18762" t="s">
        <v>6</v>
      </c>
    </row>
    <row r="18763" spans="1:5" x14ac:dyDescent="0.25">
      <c r="A18763" t="str">
        <f>HYPERLINK("https://www.773grp.com/globalSearch/TPS5103IDB/page-1", "TPS5103IDB")</f>
        <v>TPS5103IDB</v>
      </c>
      <c r="B18763" s="3" t="s">
        <v>90</v>
      </c>
      <c r="C18763" s="5">
        <v>9271</v>
      </c>
      <c r="D18763" s="6">
        <v>5.0999999999999996</v>
      </c>
      <c r="E18763" t="s">
        <v>6</v>
      </c>
    </row>
    <row r="18764" spans="1:5" x14ac:dyDescent="0.25">
      <c r="A18764" t="str">
        <f>HYPERLINK("https://www.773grp.com/globalSearch/UC28023N/page-1", "UC28023N")</f>
        <v>UC28023N</v>
      </c>
      <c r="B18764" s="3" t="s">
        <v>90</v>
      </c>
      <c r="C18764" s="5">
        <v>9200</v>
      </c>
      <c r="D18764" s="6">
        <v>5.1100000000000003</v>
      </c>
      <c r="E18764" t="s">
        <v>6</v>
      </c>
    </row>
    <row r="18765" spans="1:5" x14ac:dyDescent="0.25">
      <c r="A18765" t="str">
        <f>HYPERLINK("https://www.773grp.com/globalSearch/UC28025N/page-1", "UC28025N")</f>
        <v>UC28025N</v>
      </c>
      <c r="B18765" s="3" t="s">
        <v>90</v>
      </c>
      <c r="C18765" s="5">
        <v>6299</v>
      </c>
      <c r="D18765" s="6">
        <v>5.1100000000000003</v>
      </c>
      <c r="E18765" t="s">
        <v>6</v>
      </c>
    </row>
    <row r="18766" spans="1:5" x14ac:dyDescent="0.25">
      <c r="A18766" t="str">
        <f>HYPERLINK("https://www.773grp.com/globalSearch/UC3854AN/page-1", "UC3854AN")</f>
        <v>UC3854AN</v>
      </c>
      <c r="B18766" s="3" t="s">
        <v>90</v>
      </c>
      <c r="C18766" s="5">
        <v>2569</v>
      </c>
      <c r="D18766" s="6">
        <v>5.1100000000000003</v>
      </c>
      <c r="E18766" t="s">
        <v>6</v>
      </c>
    </row>
    <row r="18767" spans="1:5" x14ac:dyDescent="0.25">
      <c r="A18767" t="str">
        <f>HYPERLINK("https://www.773grp.com/globalSearch/TPS6755IP/page-1", "TPS6755IP")</f>
        <v>TPS6755IP</v>
      </c>
      <c r="B18767" s="3" t="s">
        <v>90</v>
      </c>
      <c r="C18767" s="5">
        <v>16860</v>
      </c>
      <c r="D18767" s="6">
        <v>5.15</v>
      </c>
      <c r="E18767" t="s">
        <v>6</v>
      </c>
    </row>
    <row r="18768" spans="1:5" x14ac:dyDescent="0.25">
      <c r="A18768" t="str">
        <f>HYPERLINK("https://www.773grp.com/globalSearch/TPS40100RGET/page-1", "TPS40100RGET")</f>
        <v>TPS40100RGET</v>
      </c>
      <c r="B18768" s="3" t="s">
        <v>90</v>
      </c>
      <c r="C18768" s="5">
        <v>30660</v>
      </c>
      <c r="D18768" s="6">
        <v>5.18</v>
      </c>
      <c r="E18768" t="s">
        <v>6</v>
      </c>
    </row>
    <row r="18769" spans="1:5" x14ac:dyDescent="0.25">
      <c r="A18769" t="str">
        <f>HYPERLINK("https://www.773grp.com/globalSearch/TPS53127RGET/page-1", "TPS53127RGET")</f>
        <v>TPS53127RGET</v>
      </c>
      <c r="B18769" s="3" t="s">
        <v>90</v>
      </c>
      <c r="C18769" s="5">
        <v>250</v>
      </c>
      <c r="D18769" s="6">
        <v>5.18</v>
      </c>
      <c r="E18769" t="s">
        <v>6</v>
      </c>
    </row>
    <row r="18770" spans="1:5" x14ac:dyDescent="0.25">
      <c r="A18770" t="str">
        <f>HYPERLINK("https://www.773grp.com/globalSearch/TPS61087DRCT/page-1", "TPS61087DRCT")</f>
        <v>TPS61087DRCT</v>
      </c>
      <c r="B18770" s="3" t="s">
        <v>90</v>
      </c>
      <c r="C18770" s="5">
        <v>6000</v>
      </c>
      <c r="D18770" s="6">
        <v>5.18</v>
      </c>
      <c r="E18770" t="s">
        <v>6</v>
      </c>
    </row>
    <row r="18771" spans="1:5" x14ac:dyDescent="0.25">
      <c r="A18771" t="str">
        <f>HYPERLINK("https://www.773grp.com/globalSearch/UC2853N/page-1", "UC2853N")</f>
        <v>UC2853N</v>
      </c>
      <c r="B18771" s="3" t="s">
        <v>90</v>
      </c>
      <c r="C18771" s="5">
        <v>3800</v>
      </c>
      <c r="D18771" s="6">
        <v>5.18</v>
      </c>
      <c r="E18771" t="s">
        <v>6</v>
      </c>
    </row>
    <row r="18772" spans="1:5" x14ac:dyDescent="0.25">
      <c r="A18772" t="str">
        <f>HYPERLINK("https://www.773grp.com/globalSearch/UC2854N/page-1", "UC2854N")</f>
        <v>UC2854N</v>
      </c>
      <c r="B18772" s="3" t="s">
        <v>90</v>
      </c>
      <c r="C18772" s="5">
        <v>713</v>
      </c>
      <c r="D18772" s="6">
        <v>5.18</v>
      </c>
      <c r="E18772" t="s">
        <v>6</v>
      </c>
    </row>
    <row r="18773" spans="1:5" x14ac:dyDescent="0.25">
      <c r="A18773" t="str">
        <f>HYPERLINK("https://www.773grp.com/globalSearch/UC2854N/page-1", "UC2854N")</f>
        <v>UC2854N</v>
      </c>
      <c r="B18773" s="3" t="s">
        <v>90</v>
      </c>
      <c r="C18773" s="5">
        <v>45</v>
      </c>
      <c r="D18773" s="6">
        <v>5.18</v>
      </c>
      <c r="E18773" t="s">
        <v>6</v>
      </c>
    </row>
    <row r="18774" spans="1:5" x14ac:dyDescent="0.25">
      <c r="A18774" t="str">
        <f>HYPERLINK("https://www.773grp.com/globalSearch/BQ25015RHLT/page-1", "BQ25015RHLT")</f>
        <v>BQ25015RHLT</v>
      </c>
      <c r="B18774" s="3" t="s">
        <v>90</v>
      </c>
      <c r="C18774" s="5">
        <v>5750</v>
      </c>
      <c r="D18774" s="6">
        <v>5.2</v>
      </c>
      <c r="E18774" t="s">
        <v>6</v>
      </c>
    </row>
    <row r="18775" spans="1:5" x14ac:dyDescent="0.25">
      <c r="A18775" t="str">
        <f>HYPERLINK("https://www.773grp.com/globalSearch/BQ25017RHLT/page-1", "BQ25017RHLT")</f>
        <v>BQ25017RHLT</v>
      </c>
      <c r="B18775" s="3" t="s">
        <v>90</v>
      </c>
      <c r="C18775" s="5">
        <v>750</v>
      </c>
      <c r="D18775" s="6">
        <v>5.2</v>
      </c>
      <c r="E18775" t="s">
        <v>6</v>
      </c>
    </row>
    <row r="18776" spans="1:5" x14ac:dyDescent="0.25">
      <c r="A18776" t="str">
        <f>HYPERLINK("https://www.773grp.com/globalSearch/TPS54352PWPR/page-1", "TPS54352PWPR")</f>
        <v>TPS54352PWPR</v>
      </c>
      <c r="B18776" s="3" t="s">
        <v>90</v>
      </c>
      <c r="C18776" s="5">
        <v>28829</v>
      </c>
      <c r="D18776" s="6">
        <v>5.2</v>
      </c>
      <c r="E18776" t="s">
        <v>6</v>
      </c>
    </row>
    <row r="18777" spans="1:5" x14ac:dyDescent="0.25">
      <c r="A18777" t="str">
        <f>HYPERLINK("https://www.773grp.com/globalSearch/TPS54353PWPR/page-1", "TPS54353PWPR")</f>
        <v>TPS54353PWPR</v>
      </c>
      <c r="B18777" s="3" t="s">
        <v>90</v>
      </c>
      <c r="C18777" s="5">
        <v>16000</v>
      </c>
      <c r="D18777" s="6">
        <v>5.2</v>
      </c>
      <c r="E18777" t="s">
        <v>6</v>
      </c>
    </row>
    <row r="18778" spans="1:5" x14ac:dyDescent="0.25">
      <c r="A18778" t="str">
        <f>HYPERLINK("https://www.773grp.com/globalSearch/TPS54356PWPR/page-1", "TPS54356PWPR")</f>
        <v>TPS54356PWPR</v>
      </c>
      <c r="B18778" s="3" t="s">
        <v>90</v>
      </c>
      <c r="C18778" s="5">
        <v>31410</v>
      </c>
      <c r="D18778" s="6">
        <v>5.2</v>
      </c>
      <c r="E18778" t="s">
        <v>6</v>
      </c>
    </row>
    <row r="18779" spans="1:5" x14ac:dyDescent="0.25">
      <c r="A18779" t="str">
        <f>HYPERLINK("https://www.773grp.com/globalSearch/TPS6755IDR/page-1", "TPS6755IDR")</f>
        <v>TPS6755IDR</v>
      </c>
      <c r="B18779" s="3" t="s">
        <v>90</v>
      </c>
      <c r="C18779" s="5">
        <v>22500</v>
      </c>
      <c r="D18779" s="6">
        <v>5.2</v>
      </c>
      <c r="E18779" t="s">
        <v>6</v>
      </c>
    </row>
    <row r="18780" spans="1:5" x14ac:dyDescent="0.25">
      <c r="A18780" t="str">
        <f>HYPERLINK("https://www.773grp.com/globalSearch/UC2854BDWG4/page-1", "UC2854BDWG4")</f>
        <v>UC2854BDWG4</v>
      </c>
      <c r="B18780" s="3" t="s">
        <v>90</v>
      </c>
      <c r="C18780" s="5">
        <v>90</v>
      </c>
      <c r="D18780" s="6">
        <v>5.2</v>
      </c>
      <c r="E18780" t="s">
        <v>6</v>
      </c>
    </row>
    <row r="18781" spans="1:5" x14ac:dyDescent="0.25">
      <c r="A18781" t="str">
        <f>HYPERLINK("https://www.773grp.com/globalSearch/UC2854BQ/page-1", "UC2854BQ")</f>
        <v>UC2854BQ</v>
      </c>
      <c r="B18781" s="3" t="s">
        <v>90</v>
      </c>
      <c r="C18781" s="5">
        <v>1007</v>
      </c>
      <c r="D18781" s="6">
        <v>5.2</v>
      </c>
      <c r="E18781" t="s">
        <v>6</v>
      </c>
    </row>
    <row r="18782" spans="1:5" x14ac:dyDescent="0.25">
      <c r="A18782" t="str">
        <f>HYPERLINK("https://www.773grp.com/globalSearch/UC2854BQ/page-1", "UC2854BQ")</f>
        <v>UC2854BQ</v>
      </c>
      <c r="B18782" s="3" t="s">
        <v>90</v>
      </c>
      <c r="C18782" s="5">
        <v>541</v>
      </c>
      <c r="D18782" s="6">
        <v>5.2</v>
      </c>
      <c r="E18782" t="s">
        <v>6</v>
      </c>
    </row>
    <row r="18783" spans="1:5" x14ac:dyDescent="0.25">
      <c r="A18783" t="str">
        <f>HYPERLINK("https://www.773grp.com/globalSearch/UC2854BQ/page-1", "UC2854BQ")</f>
        <v>UC2854BQ</v>
      </c>
      <c r="B18783" s="3" t="s">
        <v>90</v>
      </c>
      <c r="C18783" s="5">
        <v>992</v>
      </c>
      <c r="D18783" s="6">
        <v>5.2</v>
      </c>
      <c r="E18783" t="s">
        <v>6</v>
      </c>
    </row>
    <row r="18784" spans="1:5" x14ac:dyDescent="0.25">
      <c r="A18784" t="str">
        <f>HYPERLINK("https://www.773grp.com/globalSearch/TPS40021PWP/page-1", "TPS40021PWP")</f>
        <v>TPS40021PWP</v>
      </c>
      <c r="B18784" s="3" t="s">
        <v>90</v>
      </c>
      <c r="C18784" s="5">
        <v>5560</v>
      </c>
      <c r="D18784" s="6">
        <v>5.24</v>
      </c>
      <c r="E18784" t="s">
        <v>6</v>
      </c>
    </row>
    <row r="18785" spans="1:5" x14ac:dyDescent="0.25">
      <c r="A18785" t="str">
        <f>HYPERLINK("https://www.773grp.com/globalSearch/TPS40054PWP/page-1", "TPS40054PWP")</f>
        <v>TPS40054PWP</v>
      </c>
      <c r="B18785" s="3" t="s">
        <v>90</v>
      </c>
      <c r="C18785" s="5">
        <v>17730</v>
      </c>
      <c r="D18785" s="6">
        <v>5.24</v>
      </c>
      <c r="E18785" t="s">
        <v>6</v>
      </c>
    </row>
    <row r="18786" spans="1:5" x14ac:dyDescent="0.25">
      <c r="A18786" t="str">
        <f>HYPERLINK("https://www.773grp.com/globalSearch/TPS40055PWP/page-1", "TPS40055PWP")</f>
        <v>TPS40055PWP</v>
      </c>
      <c r="B18786" s="3" t="s">
        <v>90</v>
      </c>
      <c r="C18786" s="5">
        <v>270</v>
      </c>
      <c r="D18786" s="6">
        <v>5.24</v>
      </c>
      <c r="E18786" t="s">
        <v>6</v>
      </c>
    </row>
    <row r="18787" spans="1:5" x14ac:dyDescent="0.25">
      <c r="A18787" t="str">
        <f>HYPERLINK("https://www.773grp.com/globalSearch/TPS40057PWP/page-1", "TPS40057PWP")</f>
        <v>TPS40057PWP</v>
      </c>
      <c r="B18787" s="3" t="s">
        <v>90</v>
      </c>
      <c r="C18787" s="5">
        <v>5005</v>
      </c>
      <c r="D18787" s="6">
        <v>5.24</v>
      </c>
      <c r="E18787" t="s">
        <v>6</v>
      </c>
    </row>
    <row r="18788" spans="1:5" x14ac:dyDescent="0.25">
      <c r="A18788" t="str">
        <f>HYPERLINK("https://www.773grp.com/globalSearch/UC2852DTR/page-1", "UC2852DTR")</f>
        <v>UC2852DTR</v>
      </c>
      <c r="B18788" s="3" t="s">
        <v>90</v>
      </c>
      <c r="C18788" s="5">
        <v>10000</v>
      </c>
      <c r="D18788" s="6">
        <v>5.26</v>
      </c>
      <c r="E18788" t="s">
        <v>6</v>
      </c>
    </row>
    <row r="18789" spans="1:5" x14ac:dyDescent="0.25">
      <c r="A18789" t="str">
        <f>HYPERLINK("https://www.773grp.com/globalSearch/UC2852DTR/page-1", "UC2852DTR")</f>
        <v>UC2852DTR</v>
      </c>
      <c r="B18789" s="3" t="s">
        <v>90</v>
      </c>
      <c r="C18789" s="5">
        <v>5000</v>
      </c>
      <c r="D18789" s="6">
        <v>5.26</v>
      </c>
      <c r="E18789" t="s">
        <v>6</v>
      </c>
    </row>
    <row r="18790" spans="1:5" x14ac:dyDescent="0.25">
      <c r="A18790" t="str">
        <f>HYPERLINK("https://www.773grp.com/globalSearch/UC2856DWTR/page-1", "UC2856DWTR")</f>
        <v>UC2856DWTR</v>
      </c>
      <c r="B18790" s="3" t="s">
        <v>90</v>
      </c>
      <c r="C18790" s="5">
        <v>2000</v>
      </c>
      <c r="D18790" s="6">
        <v>5.26</v>
      </c>
      <c r="E18790" t="s">
        <v>6</v>
      </c>
    </row>
    <row r="18791" spans="1:5" x14ac:dyDescent="0.25">
      <c r="A18791" t="str">
        <f>HYPERLINK("https://www.773grp.com/globalSearch/TPS65105PWP/page-1", "TPS65105PWP")</f>
        <v>TPS65105PWP</v>
      </c>
      <c r="B18791" s="3" t="s">
        <v>90</v>
      </c>
      <c r="C18791" s="5">
        <v>130</v>
      </c>
      <c r="D18791" s="6">
        <v>5.29</v>
      </c>
      <c r="E18791" t="s">
        <v>6</v>
      </c>
    </row>
    <row r="18792" spans="1:5" x14ac:dyDescent="0.25">
      <c r="A18792" t="str">
        <f>HYPERLINK("https://www.773grp.com/globalSearch/TPS6734ID/page-1", "TPS6734ID")</f>
        <v>TPS6734ID</v>
      </c>
      <c r="B18792" s="3" t="s">
        <v>90</v>
      </c>
      <c r="C18792" s="5">
        <v>113047</v>
      </c>
      <c r="D18792" s="6">
        <v>5.29</v>
      </c>
      <c r="E18792" t="s">
        <v>6</v>
      </c>
    </row>
    <row r="18793" spans="1:5" x14ac:dyDescent="0.25">
      <c r="A18793" t="str">
        <f>HYPERLINK("https://www.773grp.com/globalSearch/TPS61100PWR/page-1", "TPS61100PWR")</f>
        <v>TPS61100PWR</v>
      </c>
      <c r="B18793" s="3" t="s">
        <v>90</v>
      </c>
      <c r="C18793" s="5">
        <v>73650</v>
      </c>
      <c r="D18793" s="6">
        <v>5.31</v>
      </c>
      <c r="E18793" t="s">
        <v>6</v>
      </c>
    </row>
    <row r="18794" spans="1:5" x14ac:dyDescent="0.25">
      <c r="A18794" t="str">
        <f>HYPERLINK("https://www.773grp.com/globalSearch/TPS61100RGER/page-1", "TPS61100RGER")</f>
        <v>TPS61100RGER</v>
      </c>
      <c r="B18794" s="3" t="s">
        <v>90</v>
      </c>
      <c r="C18794" s="5">
        <v>132239</v>
      </c>
      <c r="D18794" s="6">
        <v>5.31</v>
      </c>
      <c r="E18794" t="s">
        <v>6</v>
      </c>
    </row>
    <row r="18795" spans="1:5" x14ac:dyDescent="0.25">
      <c r="A18795" t="str">
        <f>HYPERLINK("https://www.773grp.com/globalSearch/TPS61107PWR/page-1", "TPS61107PWR")</f>
        <v>TPS61107PWR</v>
      </c>
      <c r="B18795" s="3" t="s">
        <v>90</v>
      </c>
      <c r="C18795" s="5">
        <v>32000</v>
      </c>
      <c r="D18795" s="6">
        <v>5.31</v>
      </c>
      <c r="E18795" t="s">
        <v>6</v>
      </c>
    </row>
    <row r="18796" spans="1:5" x14ac:dyDescent="0.25">
      <c r="A18796" t="str">
        <f>HYPERLINK("https://www.773grp.com/globalSearch/TPS65160APWP/page-1", "TPS65160APWP")</f>
        <v>TPS65160APWP</v>
      </c>
      <c r="B18796" s="3" t="s">
        <v>90</v>
      </c>
      <c r="C18796" s="5">
        <v>12850</v>
      </c>
      <c r="D18796" s="6">
        <v>5.31</v>
      </c>
      <c r="E18796" t="s">
        <v>6</v>
      </c>
    </row>
    <row r="18797" spans="1:5" x14ac:dyDescent="0.25">
      <c r="A18797" t="str">
        <f>HYPERLINK("https://www.773grp.com/globalSearch/UCC3585D/page-1", "UCC3585D")</f>
        <v>UCC3585D</v>
      </c>
      <c r="B18797" s="3" t="s">
        <v>90</v>
      </c>
      <c r="C18797" s="5">
        <v>6095</v>
      </c>
      <c r="D18797" s="6">
        <v>5.31</v>
      </c>
      <c r="E18797" t="s">
        <v>6</v>
      </c>
    </row>
    <row r="18798" spans="1:5" x14ac:dyDescent="0.25">
      <c r="A18798" t="str">
        <f>HYPERLINK("https://www.773grp.com/globalSearch/UCC3585D/page-1", "UCC3585D")</f>
        <v>UCC3585D</v>
      </c>
      <c r="B18798" s="3" t="s">
        <v>90</v>
      </c>
      <c r="C18798" s="5">
        <v>3040</v>
      </c>
      <c r="D18798" s="6">
        <v>5.31</v>
      </c>
      <c r="E18798" t="s">
        <v>6</v>
      </c>
    </row>
    <row r="18799" spans="1:5" x14ac:dyDescent="0.25">
      <c r="A18799" t="str">
        <f>HYPERLINK("https://www.773grp.com/globalSearch/UCC3585M/page-1", "UCC3585M")</f>
        <v>UCC3585M</v>
      </c>
      <c r="B18799" s="3" t="s">
        <v>90</v>
      </c>
      <c r="C18799" s="5">
        <v>6525</v>
      </c>
      <c r="D18799" s="6">
        <v>5.31</v>
      </c>
      <c r="E18799" t="s">
        <v>6</v>
      </c>
    </row>
    <row r="18800" spans="1:5" x14ac:dyDescent="0.25">
      <c r="A18800" t="str">
        <f>HYPERLINK("https://www.773grp.com/globalSearch/UCC3585N/page-1", "UCC3585N")</f>
        <v>UCC3585N</v>
      </c>
      <c r="B18800" s="3" t="s">
        <v>90</v>
      </c>
      <c r="C18800" s="5">
        <v>11575</v>
      </c>
      <c r="D18800" s="6">
        <v>5.31</v>
      </c>
      <c r="E18800" t="s">
        <v>6</v>
      </c>
    </row>
    <row r="18801" spans="1:5" x14ac:dyDescent="0.25">
      <c r="A18801" t="str">
        <f>HYPERLINK("https://www.773grp.com/globalSearch/TPS40020PWPR/page-1", "TPS40020PWPR")</f>
        <v>TPS40020PWPR</v>
      </c>
      <c r="B18801" s="3" t="s">
        <v>90</v>
      </c>
      <c r="C18801" s="5">
        <v>10000</v>
      </c>
      <c r="D18801" s="6">
        <v>5.35</v>
      </c>
      <c r="E18801" t="s">
        <v>6</v>
      </c>
    </row>
    <row r="18802" spans="1:5" x14ac:dyDescent="0.25">
      <c r="A18802" t="str">
        <f>HYPERLINK("https://www.773grp.com/globalSearch/TPS40090PWR/page-1", "TPS40090PWR")</f>
        <v>TPS40090PWR</v>
      </c>
      <c r="B18802" s="3" t="s">
        <v>90</v>
      </c>
      <c r="C18802" s="5">
        <v>1800</v>
      </c>
      <c r="D18802" s="6">
        <v>5.35</v>
      </c>
      <c r="E18802" t="s">
        <v>6</v>
      </c>
    </row>
    <row r="18803" spans="1:5" x14ac:dyDescent="0.25">
      <c r="A18803" t="str">
        <f>HYPERLINK("https://www.773grp.com/globalSearch/TPS40091PWR/page-1", "TPS40091PWR")</f>
        <v>TPS40091PWR</v>
      </c>
      <c r="B18803" s="3" t="s">
        <v>90</v>
      </c>
      <c r="C18803" s="5">
        <v>6000</v>
      </c>
      <c r="D18803" s="6">
        <v>5.35</v>
      </c>
      <c r="E18803" t="s">
        <v>6</v>
      </c>
    </row>
    <row r="18804" spans="1:5" x14ac:dyDescent="0.25">
      <c r="A18804" t="str">
        <f>HYPERLINK("https://www.773grp.com/globalSearch/TPS40091RHDR/page-1", "TPS40091RHDR")</f>
        <v>TPS40091RHDR</v>
      </c>
      <c r="B18804" s="3" t="s">
        <v>90</v>
      </c>
      <c r="C18804" s="5">
        <v>3000</v>
      </c>
      <c r="D18804" s="6">
        <v>5.35</v>
      </c>
      <c r="E18804" t="s">
        <v>6</v>
      </c>
    </row>
    <row r="18805" spans="1:5" x14ac:dyDescent="0.25">
      <c r="A18805" t="str">
        <f>HYPERLINK("https://www.773grp.com/globalSearch/TPS40101RGET/page-1", "TPS40101RGET")</f>
        <v>TPS40101RGET</v>
      </c>
      <c r="B18805" s="3" t="s">
        <v>90</v>
      </c>
      <c r="C18805" s="5">
        <v>6000</v>
      </c>
      <c r="D18805" s="6">
        <v>5.35</v>
      </c>
      <c r="E18805" t="s">
        <v>6</v>
      </c>
    </row>
    <row r="18806" spans="1:5" x14ac:dyDescent="0.25">
      <c r="A18806" t="str">
        <f>HYPERLINK("https://www.773grp.com/globalSearch/TPS43000PWR/page-1", "TPS43000PWR")</f>
        <v>TPS43000PWR</v>
      </c>
      <c r="B18806" s="3" t="s">
        <v>90</v>
      </c>
      <c r="C18806" s="5">
        <v>4000</v>
      </c>
      <c r="D18806" s="6">
        <v>5.35</v>
      </c>
      <c r="E18806" t="s">
        <v>6</v>
      </c>
    </row>
    <row r="18807" spans="1:5" x14ac:dyDescent="0.25">
      <c r="A18807" t="str">
        <f>HYPERLINK("https://www.773grp.com/globalSearch/TPS5410QDRQ1/page-1", "TPS5410QDRQ1")</f>
        <v>TPS5410QDRQ1</v>
      </c>
      <c r="B18807" s="3" t="s">
        <v>90</v>
      </c>
      <c r="C18807" s="5">
        <v>19022</v>
      </c>
      <c r="D18807" s="6">
        <v>5.35</v>
      </c>
      <c r="E18807" t="s">
        <v>6</v>
      </c>
    </row>
    <row r="18808" spans="1:5" x14ac:dyDescent="0.25">
      <c r="A18808" t="str">
        <f>HYPERLINK("https://www.773grp.com/globalSearch/TPS61130PW/page-1", "TPS61130PW")</f>
        <v>TPS61130PW</v>
      </c>
      <c r="B18808" s="3" t="s">
        <v>90</v>
      </c>
      <c r="C18808" s="5">
        <v>5343</v>
      </c>
      <c r="D18808" s="6">
        <v>5.35</v>
      </c>
      <c r="E18808" t="s">
        <v>6</v>
      </c>
    </row>
    <row r="18809" spans="1:5" x14ac:dyDescent="0.25">
      <c r="A18809" t="str">
        <f>HYPERLINK("https://www.773grp.com/globalSearch/TPS61131PW/page-1", "TPS61131PW")</f>
        <v>TPS61131PW</v>
      </c>
      <c r="B18809" s="3" t="s">
        <v>90</v>
      </c>
      <c r="C18809" s="5">
        <v>4362</v>
      </c>
      <c r="D18809" s="6">
        <v>5.35</v>
      </c>
      <c r="E18809" t="s">
        <v>6</v>
      </c>
    </row>
    <row r="18810" spans="1:5" x14ac:dyDescent="0.25">
      <c r="A18810" t="str">
        <f>HYPERLINK("https://www.773grp.com/globalSearch/TPS61132PW/page-1", "TPS61132PW")</f>
        <v>TPS61132PW</v>
      </c>
      <c r="B18810" s="3" t="s">
        <v>90</v>
      </c>
      <c r="C18810" s="5">
        <v>10350</v>
      </c>
      <c r="D18810" s="6">
        <v>5.35</v>
      </c>
      <c r="E18810" t="s">
        <v>6</v>
      </c>
    </row>
    <row r="18811" spans="1:5" x14ac:dyDescent="0.25">
      <c r="A18811" t="str">
        <f>HYPERLINK("https://www.773grp.com/globalSearch/TPS62000YEGR/page-1", "TPS62000YEGR")</f>
        <v>TPS62000YEGR</v>
      </c>
      <c r="B18811" s="3" t="s">
        <v>90</v>
      </c>
      <c r="C18811" s="5">
        <v>78000</v>
      </c>
      <c r="D18811" s="6">
        <v>5.35</v>
      </c>
      <c r="E18811" t="s">
        <v>6</v>
      </c>
    </row>
    <row r="18812" spans="1:5" x14ac:dyDescent="0.25">
      <c r="A18812" t="str">
        <f>HYPERLINK("https://www.773grp.com/globalSearch/TPS62103DR/page-1", "TPS62103DR")</f>
        <v>TPS62103DR</v>
      </c>
      <c r="B18812" s="3" t="s">
        <v>90</v>
      </c>
      <c r="C18812" s="5">
        <v>5000</v>
      </c>
      <c r="D18812" s="6">
        <v>5.35</v>
      </c>
      <c r="E18812" t="s">
        <v>6</v>
      </c>
    </row>
    <row r="18813" spans="1:5" x14ac:dyDescent="0.25">
      <c r="A18813" t="str">
        <f>HYPERLINK("https://www.773grp.com/globalSearch/UC3846DW/page-1", "UC3846DW")</f>
        <v>UC3846DW</v>
      </c>
      <c r="B18813" s="3" t="s">
        <v>90</v>
      </c>
      <c r="C18813" s="5">
        <v>265</v>
      </c>
      <c r="D18813" s="6">
        <v>5.35</v>
      </c>
      <c r="E18813" t="s">
        <v>6</v>
      </c>
    </row>
    <row r="18814" spans="1:5" x14ac:dyDescent="0.25">
      <c r="A18814" t="str">
        <f>HYPERLINK("https://www.773grp.com/globalSearch/UC3846DW/page-1", "UC3846DW")</f>
        <v>UC3846DW</v>
      </c>
      <c r="B18814" s="3" t="s">
        <v>90</v>
      </c>
      <c r="C18814" s="5">
        <v>5004</v>
      </c>
      <c r="D18814" s="6">
        <v>5.35</v>
      </c>
      <c r="E18814" t="s">
        <v>6</v>
      </c>
    </row>
    <row r="18815" spans="1:5" x14ac:dyDescent="0.25">
      <c r="A18815" t="str">
        <f>HYPERLINK("https://www.773grp.com/globalSearch/UC3846Q/page-1", "UC3846Q")</f>
        <v>UC3846Q</v>
      </c>
      <c r="B18815" s="3" t="s">
        <v>90</v>
      </c>
      <c r="C18815" s="5">
        <v>3446</v>
      </c>
      <c r="D18815" s="6">
        <v>5.35</v>
      </c>
      <c r="E18815" t="s">
        <v>6</v>
      </c>
    </row>
    <row r="18816" spans="1:5" x14ac:dyDescent="0.25">
      <c r="A18816" t="str">
        <f>HYPERLINK("https://www.773grp.com/globalSearch/UCC27223PWP/page-1", "UCC27223PWP")</f>
        <v>UCC27223PWP</v>
      </c>
      <c r="B18816" s="3" t="s">
        <v>90</v>
      </c>
      <c r="C18816" s="5">
        <v>1623</v>
      </c>
      <c r="D18816" s="6">
        <v>5.35</v>
      </c>
      <c r="E18816" t="s">
        <v>6</v>
      </c>
    </row>
    <row r="18817" spans="1:5" x14ac:dyDescent="0.25">
      <c r="A18817" t="str">
        <f>HYPERLINK("https://www.773grp.com/globalSearch/UCC2810DWTR/page-1", "UCC2810DWTR")</f>
        <v>UCC2810DWTR</v>
      </c>
      <c r="B18817" s="3" t="s">
        <v>90</v>
      </c>
      <c r="C18817" s="5">
        <v>3559</v>
      </c>
      <c r="D18817" s="6">
        <v>5.35</v>
      </c>
      <c r="E18817" t="s">
        <v>6</v>
      </c>
    </row>
    <row r="18818" spans="1:5" x14ac:dyDescent="0.25">
      <c r="A18818" t="str">
        <f>HYPERLINK("https://www.773grp.com/globalSearch/UCC28250PW/page-1", "UCC28250PW")</f>
        <v>UCC28250PW</v>
      </c>
      <c r="B18818" s="3" t="s">
        <v>90</v>
      </c>
      <c r="C18818" s="5">
        <v>7570</v>
      </c>
      <c r="D18818" s="6">
        <v>5.35</v>
      </c>
      <c r="E18818" t="s">
        <v>6</v>
      </c>
    </row>
    <row r="18819" spans="1:5" x14ac:dyDescent="0.25">
      <c r="A18819" t="str">
        <f>HYPERLINK("https://www.773grp.com/globalSearch/UCC29411D/page-1", "UCC29411D")</f>
        <v>UCC29411D</v>
      </c>
      <c r="B18819" s="3" t="s">
        <v>90</v>
      </c>
      <c r="C18819" s="5">
        <v>2250</v>
      </c>
      <c r="D18819" s="6">
        <v>5.35</v>
      </c>
      <c r="E18819" t="s">
        <v>6</v>
      </c>
    </row>
    <row r="18820" spans="1:5" x14ac:dyDescent="0.25">
      <c r="A18820" t="str">
        <f>HYPERLINK("https://www.773grp.com/globalSearch/UCC3580DTR-3/page-1", "UCC3580DTR-3")</f>
        <v>UCC3580DTR-3</v>
      </c>
      <c r="B18820" s="3" t="s">
        <v>90</v>
      </c>
      <c r="C18820" s="5">
        <v>2500</v>
      </c>
      <c r="D18820" s="6">
        <v>5.35</v>
      </c>
      <c r="E18820" t="s">
        <v>6</v>
      </c>
    </row>
    <row r="18821" spans="1:5" x14ac:dyDescent="0.25">
      <c r="A18821" t="str">
        <f>HYPERLINK("https://www.773grp.com/globalSearch/UCC39413D/page-1", "UCC39413D")</f>
        <v>UCC39413D</v>
      </c>
      <c r="B18821" s="3" t="s">
        <v>90</v>
      </c>
      <c r="C18821" s="5">
        <v>3252</v>
      </c>
      <c r="D18821" s="6">
        <v>5.35</v>
      </c>
      <c r="E18821" t="s">
        <v>6</v>
      </c>
    </row>
    <row r="18822" spans="1:5" x14ac:dyDescent="0.25">
      <c r="A18822" t="str">
        <f>HYPERLINK("https://www.773grp.com/globalSearch/UCC3961D/page-1", "UCC3961D")</f>
        <v>UCC3961D</v>
      </c>
      <c r="B18822" s="3" t="s">
        <v>90</v>
      </c>
      <c r="C18822" s="5">
        <v>18150</v>
      </c>
      <c r="D18822" s="6">
        <v>5.35</v>
      </c>
      <c r="E18822" t="s">
        <v>6</v>
      </c>
    </row>
    <row r="18823" spans="1:5" x14ac:dyDescent="0.25">
      <c r="A18823" t="str">
        <f>HYPERLINK("https://www.773grp.com/globalSearch/UCC3961N/page-1", "UCC3961N")</f>
        <v>UCC3961N</v>
      </c>
      <c r="B18823" s="3" t="s">
        <v>90</v>
      </c>
      <c r="C18823" s="5">
        <v>2050</v>
      </c>
      <c r="D18823" s="6">
        <v>5.35</v>
      </c>
      <c r="E18823" t="s">
        <v>6</v>
      </c>
    </row>
    <row r="18824" spans="1:5" x14ac:dyDescent="0.25">
      <c r="A18824" t="str">
        <f>HYPERLINK("https://www.773grp.com/globalSearch/TPS40060PWP/page-1", "TPS40060PWP")</f>
        <v>TPS40060PWP</v>
      </c>
      <c r="B18824" s="3" t="s">
        <v>90</v>
      </c>
      <c r="C18824" s="5">
        <v>136330</v>
      </c>
      <c r="D18824" s="6">
        <v>5.4</v>
      </c>
      <c r="E18824" t="s">
        <v>6</v>
      </c>
    </row>
    <row r="18825" spans="1:5" x14ac:dyDescent="0.25">
      <c r="A18825" t="str">
        <f>HYPERLINK("https://www.773grp.com/globalSearch/TPS40061PWP/page-1", "TPS40061PWP")</f>
        <v>TPS40061PWP</v>
      </c>
      <c r="B18825" s="3" t="s">
        <v>90</v>
      </c>
      <c r="C18825" s="5">
        <v>1712</v>
      </c>
      <c r="D18825" s="6">
        <v>5.4</v>
      </c>
      <c r="E18825" t="s">
        <v>6</v>
      </c>
    </row>
    <row r="18826" spans="1:5" x14ac:dyDescent="0.25">
      <c r="A18826" t="str">
        <f>HYPERLINK("https://www.773grp.com/globalSearch/TPS53126PW/page-1", "TPS53126PW")</f>
        <v>TPS53126PW</v>
      </c>
      <c r="B18826" s="3" t="s">
        <v>90</v>
      </c>
      <c r="C18826" s="5">
        <v>2937</v>
      </c>
      <c r="D18826" s="6">
        <v>5.4</v>
      </c>
      <c r="E18826" t="s">
        <v>6</v>
      </c>
    </row>
    <row r="18827" spans="1:5" x14ac:dyDescent="0.25">
      <c r="A18827" t="str">
        <f>HYPERLINK("https://www.773grp.com/globalSearch/TPS53127PW/page-1", "TPS53127PW")</f>
        <v>TPS53127PW</v>
      </c>
      <c r="B18827" s="3" t="s">
        <v>90</v>
      </c>
      <c r="C18827" s="5">
        <v>360</v>
      </c>
      <c r="D18827" s="6">
        <v>5.4</v>
      </c>
      <c r="E18827" t="s">
        <v>6</v>
      </c>
    </row>
    <row r="18828" spans="1:5" x14ac:dyDescent="0.25">
      <c r="A18828" t="str">
        <f>HYPERLINK("https://www.773grp.com/globalSearch/TPS61175PWP/page-1", "TPS61175PWP")</f>
        <v>TPS61175PWP</v>
      </c>
      <c r="B18828" s="3" t="s">
        <v>90</v>
      </c>
      <c r="C18828" s="5">
        <v>9180</v>
      </c>
      <c r="D18828" s="6">
        <v>5.4</v>
      </c>
      <c r="E18828" t="s">
        <v>6</v>
      </c>
    </row>
    <row r="18829" spans="1:5" x14ac:dyDescent="0.25">
      <c r="A18829" t="str">
        <f>HYPERLINK("https://www.773grp.com/globalSearch/TPS40056PWP/page-1", "TPS40056PWP")</f>
        <v>TPS40056PWP</v>
      </c>
      <c r="B18829" s="3" t="s">
        <v>90</v>
      </c>
      <c r="C18829" s="5">
        <v>8763</v>
      </c>
      <c r="D18829" s="6">
        <v>5.44</v>
      </c>
      <c r="E18829" t="s">
        <v>6</v>
      </c>
    </row>
    <row r="18830" spans="1:5" x14ac:dyDescent="0.25">
      <c r="A18830" t="str">
        <f>HYPERLINK("https://www.773grp.com/globalSearch/TPS65160PWPR/page-1", "TPS65160PWPR")</f>
        <v>TPS65160PWPR</v>
      </c>
      <c r="B18830" s="3" t="s">
        <v>90</v>
      </c>
      <c r="C18830" s="5">
        <v>23060</v>
      </c>
      <c r="D18830" s="6">
        <v>5.44</v>
      </c>
      <c r="E18830" t="s">
        <v>6</v>
      </c>
    </row>
    <row r="18831" spans="1:5" x14ac:dyDescent="0.25">
      <c r="A18831" t="str">
        <f>HYPERLINK("https://www.773grp.com/globalSearch/TPS51124RGER/page-1", "TPS51124RGER")</f>
        <v>TPS51124RGER</v>
      </c>
      <c r="B18831" s="3" t="s">
        <v>90</v>
      </c>
      <c r="C18831" s="5">
        <v>162000</v>
      </c>
      <c r="D18831" s="6">
        <v>5.45</v>
      </c>
      <c r="E18831" t="s">
        <v>6</v>
      </c>
    </row>
    <row r="18832" spans="1:5" x14ac:dyDescent="0.25">
      <c r="A18832" t="str">
        <f>HYPERLINK("https://www.773grp.com/globalSearch/TPS40050QPWPRQ1/page-1", "TPS40050QPWPRQ1")</f>
        <v>TPS40050QPWPRQ1</v>
      </c>
      <c r="B18832" s="3" t="s">
        <v>90</v>
      </c>
      <c r="C18832" s="5">
        <v>5974</v>
      </c>
      <c r="D18832" s="6">
        <v>5.49</v>
      </c>
      <c r="E18832" t="s">
        <v>6</v>
      </c>
    </row>
    <row r="18833" spans="1:5" x14ac:dyDescent="0.25">
      <c r="A18833" t="str">
        <f>HYPERLINK("https://www.773grp.com/globalSearch/TPS51123RGER/page-1", "TPS51123RGER")</f>
        <v>TPS51123RGER</v>
      </c>
      <c r="B18833" s="3" t="s">
        <v>90</v>
      </c>
      <c r="C18833" s="5">
        <v>203450</v>
      </c>
      <c r="D18833" s="6">
        <v>5.49</v>
      </c>
      <c r="E18833" t="s">
        <v>6</v>
      </c>
    </row>
    <row r="18834" spans="1:5" x14ac:dyDescent="0.25">
      <c r="A18834" t="str">
        <f>HYPERLINK("https://www.773grp.com/globalSearch/TPS5410DG4/page-1", "TPS5410DG4")</f>
        <v>TPS5410DG4</v>
      </c>
      <c r="B18834" s="3" t="s">
        <v>90</v>
      </c>
      <c r="C18834" s="5">
        <v>28</v>
      </c>
      <c r="D18834" s="6">
        <v>5.49</v>
      </c>
      <c r="E18834" t="s">
        <v>6</v>
      </c>
    </row>
    <row r="18835" spans="1:5" x14ac:dyDescent="0.25">
      <c r="A18835" t="str">
        <f>HYPERLINK("https://www.773grp.com/globalSearch/TPS61103PWR/page-1", "TPS61103PWR")</f>
        <v>TPS61103PWR</v>
      </c>
      <c r="B18835" s="3" t="s">
        <v>90</v>
      </c>
      <c r="C18835" s="5">
        <v>4000</v>
      </c>
      <c r="D18835" s="6">
        <v>5.49</v>
      </c>
      <c r="E18835" t="s">
        <v>6</v>
      </c>
    </row>
    <row r="18836" spans="1:5" x14ac:dyDescent="0.25">
      <c r="A18836" t="str">
        <f>HYPERLINK("https://www.773grp.com/globalSearch/UCC2800PWTR/page-1", "UCC2800PWTR")</f>
        <v>UCC2800PWTR</v>
      </c>
      <c r="B18836" s="3" t="s">
        <v>90</v>
      </c>
      <c r="C18836" s="5">
        <v>2000</v>
      </c>
      <c r="D18836" s="6">
        <v>5.49</v>
      </c>
      <c r="E18836" t="s">
        <v>6</v>
      </c>
    </row>
    <row r="18837" spans="1:5" x14ac:dyDescent="0.25">
      <c r="A18837" t="str">
        <f>HYPERLINK("https://www.773grp.com/globalSearch/UCC28070PWR/page-1", "UCC28070PWR")</f>
        <v>UCC28070PWR</v>
      </c>
      <c r="B18837" s="3" t="s">
        <v>90</v>
      </c>
      <c r="C18837" s="5">
        <v>5753</v>
      </c>
      <c r="D18837" s="6">
        <v>5.49</v>
      </c>
      <c r="E18837" t="s">
        <v>6</v>
      </c>
    </row>
    <row r="18838" spans="1:5" x14ac:dyDescent="0.25">
      <c r="A18838" t="str">
        <f>HYPERLINK("https://www.773grp.com/globalSearch/UCC2807D-1/page-1", "UCC2807D-1")</f>
        <v>UCC2807D-1</v>
      </c>
      <c r="B18838" s="3" t="s">
        <v>90</v>
      </c>
      <c r="C18838" s="5">
        <v>205</v>
      </c>
      <c r="D18838" s="6">
        <v>5.49</v>
      </c>
      <c r="E18838" t="s">
        <v>6</v>
      </c>
    </row>
    <row r="18839" spans="1:5" x14ac:dyDescent="0.25">
      <c r="A18839" t="str">
        <f>HYPERLINK("https://www.773grp.com/globalSearch/UCC2807D-1/page-1", "UCC2807D-1")</f>
        <v>UCC2807D-1</v>
      </c>
      <c r="B18839" s="3" t="s">
        <v>90</v>
      </c>
      <c r="C18839" s="5">
        <v>1200</v>
      </c>
      <c r="D18839" s="6">
        <v>5.49</v>
      </c>
      <c r="E18839" t="s">
        <v>6</v>
      </c>
    </row>
    <row r="18840" spans="1:5" x14ac:dyDescent="0.25">
      <c r="A18840" t="str">
        <f>HYPERLINK("https://www.773grp.com/globalSearch/UCC2807D-1G4/page-1", "UCC2807D-1G4")</f>
        <v>UCC2807D-1G4</v>
      </c>
      <c r="B18840" s="3" t="s">
        <v>90</v>
      </c>
      <c r="C18840" s="5">
        <v>2</v>
      </c>
      <c r="D18840" s="6">
        <v>5.49</v>
      </c>
      <c r="E18840" t="s">
        <v>6</v>
      </c>
    </row>
    <row r="18841" spans="1:5" x14ac:dyDescent="0.25">
      <c r="A18841" t="str">
        <f>HYPERLINK("https://www.773grp.com/globalSearch/UCC2807D-2/page-1", "UCC2807D-2")</f>
        <v>UCC2807D-2</v>
      </c>
      <c r="B18841" s="3" t="s">
        <v>90</v>
      </c>
      <c r="C18841" s="5">
        <v>3118</v>
      </c>
      <c r="D18841" s="6">
        <v>5.49</v>
      </c>
      <c r="E18841" t="s">
        <v>6</v>
      </c>
    </row>
    <row r="18842" spans="1:5" x14ac:dyDescent="0.25">
      <c r="A18842" t="str">
        <f>HYPERLINK("https://www.773grp.com/globalSearch/UCC2807D-2G4/page-1", "UCC2807D-2G4")</f>
        <v>UCC2807D-2G4</v>
      </c>
      <c r="B18842" s="3" t="s">
        <v>90</v>
      </c>
      <c r="C18842" s="5">
        <v>50</v>
      </c>
      <c r="D18842" s="6">
        <v>5.49</v>
      </c>
      <c r="E18842" t="s">
        <v>6</v>
      </c>
    </row>
    <row r="18843" spans="1:5" x14ac:dyDescent="0.25">
      <c r="A18843" t="str">
        <f>HYPERLINK("https://www.773grp.com/globalSearch/UCC2807D-3/page-1", "UCC2807D-3")</f>
        <v>UCC2807D-3</v>
      </c>
      <c r="B18843" s="3" t="s">
        <v>90</v>
      </c>
      <c r="C18843" s="5">
        <v>3161</v>
      </c>
      <c r="D18843" s="6">
        <v>5.49</v>
      </c>
      <c r="E18843" t="s">
        <v>6</v>
      </c>
    </row>
    <row r="18844" spans="1:5" x14ac:dyDescent="0.25">
      <c r="A18844" t="str">
        <f>HYPERLINK("https://www.773grp.com/globalSearch/UCC3882DWTR-1/page-1", "UCC3882DWTR-1")</f>
        <v>UCC3882DWTR-1</v>
      </c>
      <c r="B18844" s="3" t="s">
        <v>90</v>
      </c>
      <c r="C18844" s="5">
        <v>1000</v>
      </c>
      <c r="D18844" s="6">
        <v>5.49</v>
      </c>
      <c r="E18844" t="s">
        <v>6</v>
      </c>
    </row>
    <row r="18845" spans="1:5" x14ac:dyDescent="0.25">
      <c r="A18845" t="str">
        <f>HYPERLINK("https://www.773grp.com/globalSearch/UCD8220PWP/page-1", "UCD8220PWP")</f>
        <v>UCD8220PWP</v>
      </c>
      <c r="B18845" s="3" t="s">
        <v>90</v>
      </c>
      <c r="C18845" s="5">
        <v>11777</v>
      </c>
      <c r="D18845" s="6">
        <v>5.49</v>
      </c>
      <c r="E18845" t="s">
        <v>6</v>
      </c>
    </row>
    <row r="18846" spans="1:5" x14ac:dyDescent="0.25">
      <c r="A18846" t="str">
        <f>HYPERLINK("https://www.773grp.com/globalSearch/TPS40197RGYT/page-1", "TPS40197RGYT")</f>
        <v>TPS40197RGYT</v>
      </c>
      <c r="B18846" s="3" t="s">
        <v>90</v>
      </c>
      <c r="C18846" s="5">
        <v>11915</v>
      </c>
      <c r="D18846" s="6">
        <v>5.51</v>
      </c>
      <c r="E18846" t="s">
        <v>6</v>
      </c>
    </row>
    <row r="18847" spans="1:5" x14ac:dyDescent="0.25">
      <c r="A18847" t="str">
        <f>HYPERLINK("https://www.773grp.com/globalSearch/TPS53129RGET/page-1", "TPS53129RGET")</f>
        <v>TPS53129RGET</v>
      </c>
      <c r="B18847" s="3" t="s">
        <v>90</v>
      </c>
      <c r="C18847" s="5">
        <v>250</v>
      </c>
      <c r="D18847" s="6">
        <v>5.51</v>
      </c>
      <c r="E18847" t="s">
        <v>6</v>
      </c>
    </row>
    <row r="18848" spans="1:5" x14ac:dyDescent="0.25">
      <c r="A18848" t="str">
        <f>HYPERLINK("https://www.773grp.com/globalSearch/TPS65001RUKT/page-1", "TPS65001RUKT")</f>
        <v>TPS65001RUKT</v>
      </c>
      <c r="B18848" s="3" t="s">
        <v>90</v>
      </c>
      <c r="C18848" s="5">
        <v>475</v>
      </c>
      <c r="D18848" s="6">
        <v>5.51</v>
      </c>
      <c r="E18848" t="s">
        <v>6</v>
      </c>
    </row>
    <row r="18849" spans="1:5" x14ac:dyDescent="0.25">
      <c r="A18849" t="str">
        <f>HYPERLINK("https://www.773grp.com/globalSearch/TPS40052PWP/page-1", "TPS40052PWP")</f>
        <v>TPS40052PWP</v>
      </c>
      <c r="B18849" s="3" t="s">
        <v>90</v>
      </c>
      <c r="C18849" s="5">
        <v>4241</v>
      </c>
      <c r="D18849" s="6">
        <v>5.58</v>
      </c>
      <c r="E18849" t="s">
        <v>6</v>
      </c>
    </row>
    <row r="18850" spans="1:5" x14ac:dyDescent="0.25">
      <c r="A18850" t="str">
        <f>HYPERLINK("https://www.773grp.com/globalSearch/TPS40052PWPG4/page-1", "TPS40052PWPG4")</f>
        <v>TPS40052PWPG4</v>
      </c>
      <c r="B18850" s="3" t="s">
        <v>90</v>
      </c>
      <c r="C18850" s="5">
        <v>2862</v>
      </c>
      <c r="D18850" s="6">
        <v>5.58</v>
      </c>
      <c r="E18850" t="s">
        <v>6</v>
      </c>
    </row>
    <row r="18851" spans="1:5" x14ac:dyDescent="0.25">
      <c r="A18851" t="str">
        <f>HYPERLINK("https://www.773grp.com/globalSearch/BQ24100RHLR/page-1", "BQ24100RHLR")</f>
        <v>BQ24100RHLR</v>
      </c>
      <c r="B18851" s="3" t="s">
        <v>90</v>
      </c>
      <c r="C18851" s="5">
        <v>8710</v>
      </c>
      <c r="D18851" s="6">
        <v>5.63</v>
      </c>
      <c r="E18851" t="s">
        <v>6</v>
      </c>
    </row>
    <row r="18852" spans="1:5" x14ac:dyDescent="0.25">
      <c r="A18852" t="str">
        <f>HYPERLINK("https://www.773grp.com/globalSearch/BQ24103ARHLR/page-1", "BQ24103ARHLR")</f>
        <v>BQ24103ARHLR</v>
      </c>
      <c r="B18852" s="3" t="s">
        <v>90</v>
      </c>
      <c r="C18852" s="5">
        <v>3000</v>
      </c>
      <c r="D18852" s="6">
        <v>5.63</v>
      </c>
      <c r="E18852" t="s">
        <v>6</v>
      </c>
    </row>
    <row r="18853" spans="1:5" x14ac:dyDescent="0.25">
      <c r="A18853" t="str">
        <f>HYPERLINK("https://www.773grp.com/globalSearch/BQ24103RHLR/page-1", "BQ24103RHLR")</f>
        <v>BQ24103RHLR</v>
      </c>
      <c r="B18853" s="3" t="s">
        <v>90</v>
      </c>
      <c r="C18853" s="5">
        <v>3000</v>
      </c>
      <c r="D18853" s="6">
        <v>5.63</v>
      </c>
      <c r="E18853" t="s">
        <v>6</v>
      </c>
    </row>
    <row r="18854" spans="1:5" x14ac:dyDescent="0.25">
      <c r="A18854" t="str">
        <f>HYPERLINK("https://www.773grp.com/globalSearch/BQ24109RHLR/page-1", "BQ24109RHLR")</f>
        <v>BQ24109RHLR</v>
      </c>
      <c r="B18854" s="3" t="s">
        <v>90</v>
      </c>
      <c r="C18854" s="5">
        <v>60747</v>
      </c>
      <c r="D18854" s="6">
        <v>5.63</v>
      </c>
      <c r="E18854" t="s">
        <v>6</v>
      </c>
    </row>
    <row r="18855" spans="1:5" x14ac:dyDescent="0.25">
      <c r="A18855" t="str">
        <f>HYPERLINK("https://www.773grp.com/globalSearch/BQ24630RGER/page-1", "BQ24630RGER")</f>
        <v>BQ24630RGER</v>
      </c>
      <c r="B18855" s="3" t="s">
        <v>90</v>
      </c>
      <c r="C18855" s="5">
        <v>14343</v>
      </c>
      <c r="D18855" s="6">
        <v>5.63</v>
      </c>
      <c r="E18855" t="s">
        <v>6</v>
      </c>
    </row>
    <row r="18856" spans="1:5" x14ac:dyDescent="0.25">
      <c r="A18856" t="str">
        <f>HYPERLINK("https://www.773grp.com/globalSearch/TPPM0115D/page-1", "TPPM0115D")</f>
        <v>TPPM0115D</v>
      </c>
      <c r="B18856" s="3" t="s">
        <v>90</v>
      </c>
      <c r="C18856" s="5">
        <v>282</v>
      </c>
      <c r="D18856" s="6">
        <v>5.63</v>
      </c>
      <c r="E18856" t="s">
        <v>6</v>
      </c>
    </row>
    <row r="18857" spans="1:5" x14ac:dyDescent="0.25">
      <c r="A18857" t="str">
        <f>HYPERLINK("https://www.773grp.com/globalSearch/TPS40071PWP/page-1", "TPS40071PWP")</f>
        <v>TPS40071PWP</v>
      </c>
      <c r="B18857" s="3" t="s">
        <v>90</v>
      </c>
      <c r="C18857" s="5">
        <v>1871</v>
      </c>
      <c r="D18857" s="6">
        <v>5.63</v>
      </c>
      <c r="E18857" t="s">
        <v>6</v>
      </c>
    </row>
    <row r="18858" spans="1:5" x14ac:dyDescent="0.25">
      <c r="A18858" t="str">
        <f>HYPERLINK("https://www.773grp.com/globalSearch/TPS5110PW/page-1", "TPS5110PW")</f>
        <v>TPS5110PW</v>
      </c>
      <c r="B18858" s="3" t="s">
        <v>90</v>
      </c>
      <c r="C18858" s="5">
        <v>11723</v>
      </c>
      <c r="D18858" s="6">
        <v>5.63</v>
      </c>
      <c r="E18858" t="s">
        <v>6</v>
      </c>
    </row>
    <row r="18859" spans="1:5" x14ac:dyDescent="0.25">
      <c r="A18859" t="str">
        <f>HYPERLINK("https://www.773grp.com/globalSearch/TPS61120PW/page-1", "TPS61120PW")</f>
        <v>TPS61120PW</v>
      </c>
      <c r="B18859" s="3" t="s">
        <v>90</v>
      </c>
      <c r="C18859" s="5">
        <v>14672</v>
      </c>
      <c r="D18859" s="6">
        <v>5.63</v>
      </c>
      <c r="E18859" t="s">
        <v>6</v>
      </c>
    </row>
    <row r="18860" spans="1:5" x14ac:dyDescent="0.25">
      <c r="A18860" t="str">
        <f>HYPERLINK("https://www.773grp.com/globalSearch/TPS61120PWG4/page-1", "TPS61120PWG4")</f>
        <v>TPS61120PWG4</v>
      </c>
      <c r="B18860" s="3" t="s">
        <v>90</v>
      </c>
      <c r="C18860" s="5">
        <v>15</v>
      </c>
      <c r="D18860" s="6">
        <v>5.63</v>
      </c>
      <c r="E18860" t="s">
        <v>6</v>
      </c>
    </row>
    <row r="18861" spans="1:5" x14ac:dyDescent="0.25">
      <c r="A18861" t="str">
        <f>HYPERLINK("https://www.773grp.com/globalSearch/TPS61121PW/page-1", "TPS61121PW")</f>
        <v>TPS61121PW</v>
      </c>
      <c r="B18861" s="3" t="s">
        <v>90</v>
      </c>
      <c r="C18861" s="5">
        <v>22763</v>
      </c>
      <c r="D18861" s="6">
        <v>5.63</v>
      </c>
      <c r="E18861" t="s">
        <v>6</v>
      </c>
    </row>
    <row r="18862" spans="1:5" x14ac:dyDescent="0.25">
      <c r="A18862" t="str">
        <f>HYPERLINK("https://www.773grp.com/globalSearch/TPS65111RGE/page-1", "TPS65111RGE")</f>
        <v>TPS65111RGE</v>
      </c>
      <c r="B18862" s="3" t="s">
        <v>90</v>
      </c>
      <c r="C18862" s="5">
        <v>484</v>
      </c>
      <c r="D18862" s="6">
        <v>5.63</v>
      </c>
      <c r="E18862" t="s">
        <v>6</v>
      </c>
    </row>
    <row r="18863" spans="1:5" x14ac:dyDescent="0.25">
      <c r="A18863" t="str">
        <f>HYPERLINK("https://www.773grp.com/globalSearch/TPS65130RGET/page-1", "TPS65130RGET")</f>
        <v>TPS65130RGET</v>
      </c>
      <c r="B18863" s="3" t="s">
        <v>90</v>
      </c>
      <c r="C18863" s="5">
        <v>2000</v>
      </c>
      <c r="D18863" s="6">
        <v>5.63</v>
      </c>
      <c r="E18863" t="s">
        <v>6</v>
      </c>
    </row>
    <row r="18864" spans="1:5" x14ac:dyDescent="0.25">
      <c r="A18864" t="str">
        <f>HYPERLINK("https://www.773grp.com/globalSearch/UC2846DW/page-1", "UC2846DW")</f>
        <v>UC2846DW</v>
      </c>
      <c r="B18864" s="3" t="s">
        <v>90</v>
      </c>
      <c r="C18864" s="5">
        <v>5520</v>
      </c>
      <c r="D18864" s="6">
        <v>5.63</v>
      </c>
      <c r="E18864" t="s">
        <v>6</v>
      </c>
    </row>
    <row r="18865" spans="1:5" x14ac:dyDescent="0.25">
      <c r="A18865" t="str">
        <f>HYPERLINK("https://www.773grp.com/globalSearch/UC2846DW/page-1", "UC2846DW")</f>
        <v>UC2846DW</v>
      </c>
      <c r="B18865" s="3" t="s">
        <v>90</v>
      </c>
      <c r="C18865" s="5">
        <v>2733</v>
      </c>
      <c r="D18865" s="6">
        <v>5.63</v>
      </c>
      <c r="E18865" t="s">
        <v>6</v>
      </c>
    </row>
    <row r="18866" spans="1:5" x14ac:dyDescent="0.25">
      <c r="A18866" t="str">
        <f>HYPERLINK("https://www.773grp.com/globalSearch/UC3823DW/page-1", "UC3823DW")</f>
        <v>UC3823DW</v>
      </c>
      <c r="B18866" s="3" t="s">
        <v>90</v>
      </c>
      <c r="C18866" s="5">
        <v>24510</v>
      </c>
      <c r="D18866" s="6">
        <v>5.63</v>
      </c>
      <c r="E18866" t="s">
        <v>6</v>
      </c>
    </row>
    <row r="18867" spans="1:5" x14ac:dyDescent="0.25">
      <c r="A18867" t="str">
        <f>HYPERLINK("https://www.773grp.com/globalSearch/UC3823DWG4/page-1", "UC3823DWG4")</f>
        <v>UC3823DWG4</v>
      </c>
      <c r="B18867" s="3" t="s">
        <v>90</v>
      </c>
      <c r="C18867" s="5">
        <v>680</v>
      </c>
      <c r="D18867" s="6">
        <v>5.63</v>
      </c>
      <c r="E18867" t="s">
        <v>6</v>
      </c>
    </row>
    <row r="18868" spans="1:5" x14ac:dyDescent="0.25">
      <c r="A18868" t="str">
        <f>HYPERLINK("https://www.773grp.com/globalSearch/UC3823Q/page-1", "UC3823Q")</f>
        <v>UC3823Q</v>
      </c>
      <c r="B18868" s="3" t="s">
        <v>90</v>
      </c>
      <c r="C18868" s="5">
        <v>10580</v>
      </c>
      <c r="D18868" s="6">
        <v>5.63</v>
      </c>
      <c r="E18868" t="s">
        <v>6</v>
      </c>
    </row>
    <row r="18869" spans="1:5" x14ac:dyDescent="0.25">
      <c r="A18869" t="str">
        <f>HYPERLINK("https://www.773grp.com/globalSearch/UC3825DW/page-1", "UC3825DW")</f>
        <v>UC3825DW</v>
      </c>
      <c r="B18869" s="3" t="s">
        <v>90</v>
      </c>
      <c r="C18869" s="5">
        <v>208</v>
      </c>
      <c r="D18869" s="6">
        <v>5.63</v>
      </c>
      <c r="E18869" t="s">
        <v>6</v>
      </c>
    </row>
    <row r="18870" spans="1:5" x14ac:dyDescent="0.25">
      <c r="A18870" t="str">
        <f>HYPERLINK("https://www.773grp.com/globalSearch/UC3825Q/page-1", "UC3825Q")</f>
        <v>UC3825Q</v>
      </c>
      <c r="B18870" s="3" t="s">
        <v>90</v>
      </c>
      <c r="C18870" s="5">
        <v>34013</v>
      </c>
      <c r="D18870" s="6">
        <v>5.63</v>
      </c>
      <c r="E18870" t="s">
        <v>6</v>
      </c>
    </row>
    <row r="18871" spans="1:5" x14ac:dyDescent="0.25">
      <c r="A18871" t="str">
        <f>HYPERLINK("https://www.773grp.com/globalSearch/TPS65055RSMT/page-1", "TPS65055RSMT")</f>
        <v>TPS65055RSMT</v>
      </c>
      <c r="B18871" s="3" t="s">
        <v>90</v>
      </c>
      <c r="C18871" s="5">
        <v>2250</v>
      </c>
      <c r="D18871" s="6">
        <v>5.65</v>
      </c>
      <c r="E18871" t="s">
        <v>6</v>
      </c>
    </row>
    <row r="18872" spans="1:5" x14ac:dyDescent="0.25">
      <c r="A18872" t="str">
        <f>HYPERLINK("https://www.773grp.com/globalSearch/TPS65058RGET/page-1", "TPS65058RGET")</f>
        <v>TPS65058RGET</v>
      </c>
      <c r="B18872" s="3" t="s">
        <v>90</v>
      </c>
      <c r="C18872" s="5">
        <v>5250</v>
      </c>
      <c r="D18872" s="6">
        <v>5.65</v>
      </c>
      <c r="E18872" t="s">
        <v>6</v>
      </c>
    </row>
    <row r="18873" spans="1:5" x14ac:dyDescent="0.25">
      <c r="A18873" t="str">
        <f>HYPERLINK("https://www.773grp.com/globalSearch/UC2854AN/page-1", "UC2854AN")</f>
        <v>UC2854AN</v>
      </c>
      <c r="B18873" s="3" t="s">
        <v>90</v>
      </c>
      <c r="C18873" s="5">
        <v>57</v>
      </c>
      <c r="D18873" s="6">
        <v>5.7</v>
      </c>
      <c r="E18873" t="s">
        <v>6</v>
      </c>
    </row>
    <row r="18874" spans="1:5" x14ac:dyDescent="0.25">
      <c r="A18874" t="str">
        <f>HYPERLINK("https://www.773grp.com/globalSearch/UC2854BN/page-1", "UC2854BN")</f>
        <v>UC2854BN</v>
      </c>
      <c r="B18874" s="3" t="s">
        <v>90</v>
      </c>
      <c r="C18874" s="5">
        <v>2185</v>
      </c>
      <c r="D18874" s="6">
        <v>5.7</v>
      </c>
      <c r="E18874" t="s">
        <v>6</v>
      </c>
    </row>
    <row r="18875" spans="1:5" x14ac:dyDescent="0.25">
      <c r="A18875" t="str">
        <f>HYPERLINK("https://www.773grp.com/globalSearch/UCC3581N/page-1", "UCC3581N")</f>
        <v>UCC3581N</v>
      </c>
      <c r="B18875" s="3" t="s">
        <v>90</v>
      </c>
      <c r="C18875" s="5">
        <v>7515</v>
      </c>
      <c r="D18875" s="6">
        <v>5.7</v>
      </c>
      <c r="E18875" t="s">
        <v>6</v>
      </c>
    </row>
    <row r="18876" spans="1:5" x14ac:dyDescent="0.25">
      <c r="A18876" t="str">
        <f>HYPERLINK("https://www.773grp.com/globalSearch/UCC3807N-2/page-1", "UCC3807N-2")</f>
        <v>UCC3807N-2</v>
      </c>
      <c r="B18876" s="3" t="s">
        <v>90</v>
      </c>
      <c r="C18876" s="5">
        <v>5496</v>
      </c>
      <c r="D18876" s="6">
        <v>5.7</v>
      </c>
      <c r="E18876" t="s">
        <v>6</v>
      </c>
    </row>
    <row r="18877" spans="1:5" x14ac:dyDescent="0.25">
      <c r="A18877" t="str">
        <f>HYPERLINK("https://www.773grp.com/globalSearch/UCC3807N-2/page-1", "UCC3807N-2")</f>
        <v>UCC3807N-2</v>
      </c>
      <c r="B18877" s="3" t="s">
        <v>90</v>
      </c>
      <c r="C18877" s="5">
        <v>961</v>
      </c>
      <c r="D18877" s="6">
        <v>5.7</v>
      </c>
      <c r="E18877" t="s">
        <v>6</v>
      </c>
    </row>
    <row r="18878" spans="1:5" x14ac:dyDescent="0.25">
      <c r="A18878" t="str">
        <f>HYPERLINK("https://www.773grp.com/globalSearch/UCC3807N-3/page-1", "UCC3807N-3")</f>
        <v>UCC3807N-3</v>
      </c>
      <c r="B18878" s="3" t="s">
        <v>90</v>
      </c>
      <c r="C18878" s="5">
        <v>3800</v>
      </c>
      <c r="D18878" s="6">
        <v>5.7</v>
      </c>
      <c r="E18878" t="s">
        <v>6</v>
      </c>
    </row>
    <row r="18879" spans="1:5" x14ac:dyDescent="0.25">
      <c r="A18879" t="str">
        <f>HYPERLINK("https://www.773grp.com/globalSearch/UC3862DW/page-1", "UC3862DW")</f>
        <v>UC3862DW</v>
      </c>
      <c r="B18879" s="3" t="s">
        <v>90</v>
      </c>
      <c r="C18879" s="5">
        <v>6040</v>
      </c>
      <c r="D18879" s="6">
        <v>5.78</v>
      </c>
      <c r="E18879" t="s">
        <v>6</v>
      </c>
    </row>
    <row r="18880" spans="1:5" x14ac:dyDescent="0.25">
      <c r="A18880" t="str">
        <f>HYPERLINK("https://www.773grp.com/globalSearch/UC3863DWTR/page-1", "UC3863DWTR")</f>
        <v>UC3863DWTR</v>
      </c>
      <c r="B18880" s="3" t="s">
        <v>90</v>
      </c>
      <c r="C18880" s="5">
        <v>20000</v>
      </c>
      <c r="D18880" s="6">
        <v>5.78</v>
      </c>
      <c r="E18880" t="s">
        <v>6</v>
      </c>
    </row>
    <row r="18881" spans="1:5" x14ac:dyDescent="0.25">
      <c r="A18881" t="str">
        <f>HYPERLINK("https://www.773grp.com/globalSearch/UC3866N/page-1", "UC3866N")</f>
        <v>UC3866N</v>
      </c>
      <c r="B18881" s="3" t="s">
        <v>90</v>
      </c>
      <c r="C18881" s="5">
        <v>475</v>
      </c>
      <c r="D18881" s="6">
        <v>5.78</v>
      </c>
      <c r="E18881" t="s">
        <v>6</v>
      </c>
    </row>
    <row r="18882" spans="1:5" x14ac:dyDescent="0.25">
      <c r="A18882" t="str">
        <f>HYPERLINK("https://www.773grp.com/globalSearch/UC3886DTR/page-1", "UC3886DTR")</f>
        <v>UC3886DTR</v>
      </c>
      <c r="B18882" s="3" t="s">
        <v>90</v>
      </c>
      <c r="C18882" s="5">
        <v>2500</v>
      </c>
      <c r="D18882" s="6">
        <v>5.78</v>
      </c>
      <c r="E18882" t="s">
        <v>6</v>
      </c>
    </row>
    <row r="18883" spans="1:5" x14ac:dyDescent="0.25">
      <c r="A18883" t="str">
        <f>HYPERLINK("https://www.773grp.com/globalSearch/UCC2581D/page-1", "UCC2581D")</f>
        <v>UCC2581D</v>
      </c>
      <c r="B18883" s="3" t="s">
        <v>90</v>
      </c>
      <c r="C18883" s="5">
        <v>18</v>
      </c>
      <c r="D18883" s="6">
        <v>5.78</v>
      </c>
      <c r="E18883" t="s">
        <v>6</v>
      </c>
    </row>
    <row r="18884" spans="1:5" x14ac:dyDescent="0.25">
      <c r="A18884" t="str">
        <f>HYPERLINK("https://www.773grp.com/globalSearch/UCC2581D/page-1", "UCC2581D")</f>
        <v>UCC2581D</v>
      </c>
      <c r="B18884" s="3" t="s">
        <v>90</v>
      </c>
      <c r="C18884" s="5">
        <v>3142</v>
      </c>
      <c r="D18884" s="6">
        <v>5.78</v>
      </c>
      <c r="E18884" t="s">
        <v>6</v>
      </c>
    </row>
    <row r="18885" spans="1:5" x14ac:dyDescent="0.25">
      <c r="A18885" t="str">
        <f>HYPERLINK("https://www.773grp.com/globalSearch/UCC2583Q/page-1", "UCC2583Q")</f>
        <v>UCC2583Q</v>
      </c>
      <c r="B18885" s="3" t="s">
        <v>90</v>
      </c>
      <c r="C18885" s="5">
        <v>1453</v>
      </c>
      <c r="D18885" s="6">
        <v>5.78</v>
      </c>
      <c r="E18885" t="s">
        <v>6</v>
      </c>
    </row>
    <row r="18886" spans="1:5" x14ac:dyDescent="0.25">
      <c r="A18886" t="str">
        <f>HYPERLINK("https://www.773grp.com/globalSearch/UCC2808AQDR-1EP/page-1", "UCC2808AQDR-1EP")</f>
        <v>UCC2808AQDR-1EP</v>
      </c>
      <c r="B18886" s="3" t="s">
        <v>90</v>
      </c>
      <c r="C18886" s="5">
        <v>1247</v>
      </c>
      <c r="D18886" s="6">
        <v>5.78</v>
      </c>
      <c r="E18886" t="s">
        <v>6</v>
      </c>
    </row>
    <row r="18887" spans="1:5" x14ac:dyDescent="0.25">
      <c r="A18887" t="str">
        <f>HYPERLINK("https://www.773grp.com/globalSearch/UCC2961D/page-1", "UCC2961D")</f>
        <v>UCC2961D</v>
      </c>
      <c r="B18887" s="3" t="s">
        <v>90</v>
      </c>
      <c r="C18887" s="5">
        <v>11950</v>
      </c>
      <c r="D18887" s="6">
        <v>5.78</v>
      </c>
      <c r="E18887" t="s">
        <v>6</v>
      </c>
    </row>
    <row r="18888" spans="1:5" x14ac:dyDescent="0.25">
      <c r="A18888" t="str">
        <f>HYPERLINK("https://www.773grp.com/globalSearch/TPS40180RGET/page-1", "TPS40180RGET")</f>
        <v>TPS40180RGET</v>
      </c>
      <c r="B18888" s="3" t="s">
        <v>90</v>
      </c>
      <c r="C18888" s="5">
        <v>11500</v>
      </c>
      <c r="D18888" s="6">
        <v>5.83</v>
      </c>
      <c r="E18888" t="s">
        <v>6</v>
      </c>
    </row>
    <row r="18889" spans="1:5" x14ac:dyDescent="0.25">
      <c r="A18889" t="str">
        <f>HYPERLINK("https://www.773grp.com/globalSearch/UC2823DW/page-1", "UC2823DW")</f>
        <v>UC2823DW</v>
      </c>
      <c r="B18889" s="3" t="s">
        <v>90</v>
      </c>
      <c r="C18889" s="5">
        <v>19298</v>
      </c>
      <c r="D18889" s="6">
        <v>5.85</v>
      </c>
      <c r="E18889" t="s">
        <v>6</v>
      </c>
    </row>
    <row r="18890" spans="1:5" x14ac:dyDescent="0.25">
      <c r="A18890" t="str">
        <f>HYPERLINK("https://www.773grp.com/globalSearch/UC2825DW/page-1", "UC2825DW")</f>
        <v>UC2825DW</v>
      </c>
      <c r="B18890" s="3" t="s">
        <v>90</v>
      </c>
      <c r="C18890" s="5">
        <v>525</v>
      </c>
      <c r="D18890" s="6">
        <v>5.85</v>
      </c>
      <c r="E18890" t="s">
        <v>6</v>
      </c>
    </row>
    <row r="18891" spans="1:5" x14ac:dyDescent="0.25">
      <c r="A18891" t="str">
        <f>HYPERLINK("https://www.773grp.com/globalSearch/UC2825DW/page-1", "UC2825DW")</f>
        <v>UC2825DW</v>
      </c>
      <c r="B18891" s="3" t="s">
        <v>90</v>
      </c>
      <c r="C18891" s="5">
        <v>25</v>
      </c>
      <c r="D18891" s="6">
        <v>5.85</v>
      </c>
      <c r="E18891" t="s">
        <v>6</v>
      </c>
    </row>
    <row r="18892" spans="1:5" x14ac:dyDescent="0.25">
      <c r="A18892" t="str">
        <f>HYPERLINK("https://www.773grp.com/globalSearch/UC2825Q/page-1", "UC2825Q")</f>
        <v>UC2825Q</v>
      </c>
      <c r="B18892" s="3" t="s">
        <v>90</v>
      </c>
      <c r="C18892" s="5">
        <v>7912</v>
      </c>
      <c r="D18892" s="6">
        <v>5.85</v>
      </c>
      <c r="E18892" t="s">
        <v>6</v>
      </c>
    </row>
    <row r="18893" spans="1:5" x14ac:dyDescent="0.25">
      <c r="A18893" t="str">
        <f>HYPERLINK("https://www.773grp.com/globalSearch/UC2825Q/page-1", "UC2825Q")</f>
        <v>UC2825Q</v>
      </c>
      <c r="B18893" s="3" t="s">
        <v>90</v>
      </c>
      <c r="C18893" s="5">
        <v>1309</v>
      </c>
      <c r="D18893" s="6">
        <v>5.85</v>
      </c>
      <c r="E18893" t="s">
        <v>6</v>
      </c>
    </row>
    <row r="18894" spans="1:5" x14ac:dyDescent="0.25">
      <c r="A18894" t="str">
        <f>HYPERLINK("https://www.773grp.com/globalSearch/UCC39411D/page-1", "UCC39411D")</f>
        <v>UCC39411D</v>
      </c>
      <c r="B18894" s="3" t="s">
        <v>90</v>
      </c>
      <c r="C18894" s="5">
        <v>14075</v>
      </c>
      <c r="D18894" s="6">
        <v>5.88</v>
      </c>
      <c r="E18894" t="s">
        <v>6</v>
      </c>
    </row>
    <row r="18895" spans="1:5" x14ac:dyDescent="0.25">
      <c r="A18895" t="str">
        <f>HYPERLINK("https://www.773grp.com/globalSearch/UCC39411PW/page-1", "UCC39411PW")</f>
        <v>UCC39411PW</v>
      </c>
      <c r="B18895" s="3" t="s">
        <v>90</v>
      </c>
      <c r="C18895" s="5">
        <v>8560</v>
      </c>
      <c r="D18895" s="6">
        <v>5.88</v>
      </c>
      <c r="E18895" t="s">
        <v>6</v>
      </c>
    </row>
    <row r="18896" spans="1:5" x14ac:dyDescent="0.25">
      <c r="A18896" t="str">
        <f>HYPERLINK("https://www.773grp.com/globalSearch/UCC39412PWTR/page-1", "UCC39412PWTR")</f>
        <v>UCC39412PWTR</v>
      </c>
      <c r="B18896" s="3" t="s">
        <v>90</v>
      </c>
      <c r="C18896" s="5">
        <v>15092</v>
      </c>
      <c r="D18896" s="6">
        <v>5.88</v>
      </c>
      <c r="E18896" t="s">
        <v>6</v>
      </c>
    </row>
    <row r="18897" spans="1:5" x14ac:dyDescent="0.25">
      <c r="A18897" t="str">
        <f>HYPERLINK("https://www.773grp.com/globalSearch/BQ2954PN/page-1", "BQ2954PN")</f>
        <v>BQ2954PN</v>
      </c>
      <c r="B18897" s="3" t="s">
        <v>90</v>
      </c>
      <c r="C18897" s="5">
        <v>17750</v>
      </c>
      <c r="D18897" s="6">
        <v>5.91</v>
      </c>
      <c r="E18897" t="s">
        <v>6</v>
      </c>
    </row>
    <row r="18898" spans="1:5" x14ac:dyDescent="0.25">
      <c r="A18898" t="str">
        <f>HYPERLINK("https://www.773grp.com/globalSearch/TPS2015P/page-1", "TPS2015P")</f>
        <v>TPS2015P</v>
      </c>
      <c r="B18898" s="3" t="s">
        <v>90</v>
      </c>
      <c r="C18898" s="5">
        <v>19129</v>
      </c>
      <c r="D18898" s="6">
        <v>5.91</v>
      </c>
      <c r="E18898" t="s">
        <v>6</v>
      </c>
    </row>
    <row r="18899" spans="1:5" x14ac:dyDescent="0.25">
      <c r="A18899" t="str">
        <f>HYPERLINK("https://www.773grp.com/globalSearch/TPS5124DBTR/page-1", "TPS5124DBTR")</f>
        <v>TPS5124DBTR</v>
      </c>
      <c r="B18899" s="3" t="s">
        <v>90</v>
      </c>
      <c r="C18899" s="5">
        <v>4000</v>
      </c>
      <c r="D18899" s="6">
        <v>5.91</v>
      </c>
      <c r="E18899" t="s">
        <v>6</v>
      </c>
    </row>
    <row r="18900" spans="1:5" x14ac:dyDescent="0.25">
      <c r="A18900" t="str">
        <f>HYPERLINK("https://www.773grp.com/globalSearch/TPS51511RHLT/page-1", "TPS51511RHLT")</f>
        <v>TPS51511RHLT</v>
      </c>
      <c r="B18900" s="3" t="s">
        <v>90</v>
      </c>
      <c r="C18900" s="5">
        <v>3822</v>
      </c>
      <c r="D18900" s="6">
        <v>5.91</v>
      </c>
      <c r="E18900" t="s">
        <v>6</v>
      </c>
    </row>
    <row r="18901" spans="1:5" x14ac:dyDescent="0.25">
      <c r="A18901" t="str">
        <f>HYPERLINK("https://www.773grp.com/globalSearch/TPS5431DDA/page-1", "TPS5431DDA")</f>
        <v>TPS5431DDA</v>
      </c>
      <c r="B18901" s="3" t="s">
        <v>90</v>
      </c>
      <c r="C18901" s="5">
        <v>974</v>
      </c>
      <c r="D18901" s="6">
        <v>5.91</v>
      </c>
      <c r="E18901" t="s">
        <v>6</v>
      </c>
    </row>
    <row r="18902" spans="1:5" x14ac:dyDescent="0.25">
      <c r="A18902" t="str">
        <f>HYPERLINK("https://www.773grp.com/globalSearch/TPS65167RHAR/page-1", "TPS65167RHAR")</f>
        <v>TPS65167RHAR</v>
      </c>
      <c r="B18902" s="3" t="s">
        <v>90</v>
      </c>
      <c r="C18902" s="5">
        <v>102440</v>
      </c>
      <c r="D18902" s="6">
        <v>5.91</v>
      </c>
      <c r="E18902" t="s">
        <v>6</v>
      </c>
    </row>
    <row r="18903" spans="1:5" x14ac:dyDescent="0.25">
      <c r="A18903" t="str">
        <f>HYPERLINK("https://www.773grp.com/globalSearch/UCC2897PW/page-1", "UCC2897PW")</f>
        <v>UCC2897PW</v>
      </c>
      <c r="B18903" s="3" t="s">
        <v>90</v>
      </c>
      <c r="C18903" s="5">
        <v>673</v>
      </c>
      <c r="D18903" s="6">
        <v>5.91</v>
      </c>
      <c r="E18903" t="s">
        <v>6</v>
      </c>
    </row>
    <row r="18904" spans="1:5" x14ac:dyDescent="0.25">
      <c r="A18904" t="str">
        <f>HYPERLINK("https://www.773grp.com/globalSearch/UCC3588PWTR/page-1", "UCC3588PWTR")</f>
        <v>UCC3588PWTR</v>
      </c>
      <c r="B18904" s="3" t="s">
        <v>90</v>
      </c>
      <c r="C18904" s="5">
        <v>6000</v>
      </c>
      <c r="D18904" s="6">
        <v>5.91</v>
      </c>
      <c r="E18904" t="s">
        <v>6</v>
      </c>
    </row>
    <row r="18905" spans="1:5" x14ac:dyDescent="0.25">
      <c r="A18905" t="str">
        <f>HYPERLINK("https://www.773grp.com/globalSearch/UCC39412D/page-1", "UCC39412D")</f>
        <v>UCC39412D</v>
      </c>
      <c r="B18905" s="3" t="s">
        <v>90</v>
      </c>
      <c r="C18905" s="5">
        <v>13050</v>
      </c>
      <c r="D18905" s="6">
        <v>5.91</v>
      </c>
      <c r="E18905" t="s">
        <v>6</v>
      </c>
    </row>
    <row r="18906" spans="1:5" x14ac:dyDescent="0.25">
      <c r="A18906" t="str">
        <f>HYPERLINK("https://www.773grp.com/globalSearch/UCC39412D/page-1", "UCC39412D")</f>
        <v>UCC39412D</v>
      </c>
      <c r="B18906" s="3" t="s">
        <v>90</v>
      </c>
      <c r="C18906" s="5">
        <v>2216</v>
      </c>
      <c r="D18906" s="6">
        <v>5.91</v>
      </c>
      <c r="E18906" t="s">
        <v>6</v>
      </c>
    </row>
    <row r="18907" spans="1:5" x14ac:dyDescent="0.25">
      <c r="A18907" t="str">
        <f>HYPERLINK("https://www.773grp.com/globalSearch/UC3846N/page-1", "UC3846N")</f>
        <v>UC3846N</v>
      </c>
      <c r="B18907" s="3" t="s">
        <v>90</v>
      </c>
      <c r="C18907" s="5">
        <v>5582</v>
      </c>
      <c r="D18907" s="6">
        <v>5.99</v>
      </c>
      <c r="E18907" t="s">
        <v>6</v>
      </c>
    </row>
    <row r="18908" spans="1:5" x14ac:dyDescent="0.25">
      <c r="A18908" t="str">
        <f>HYPERLINK("https://www.773grp.com/globalSearch/UC3852D/page-1", "UC3852D")</f>
        <v>UC3852D</v>
      </c>
      <c r="B18908" s="3" t="s">
        <v>90</v>
      </c>
      <c r="C18908" s="5">
        <v>8065</v>
      </c>
      <c r="D18908" s="6">
        <v>5.99</v>
      </c>
      <c r="E18908" t="s">
        <v>6</v>
      </c>
    </row>
    <row r="18909" spans="1:5" x14ac:dyDescent="0.25">
      <c r="A18909" t="str">
        <f>HYPERLINK("https://www.773grp.com/globalSearch/UC3856DW/page-1", "UC3856DW")</f>
        <v>UC3856DW</v>
      </c>
      <c r="B18909" s="3" t="s">
        <v>90</v>
      </c>
      <c r="C18909" s="5">
        <v>22015</v>
      </c>
      <c r="D18909" s="6">
        <v>5.99</v>
      </c>
      <c r="E18909" t="s">
        <v>6</v>
      </c>
    </row>
    <row r="18910" spans="1:5" x14ac:dyDescent="0.25">
      <c r="A18910" t="str">
        <f>HYPERLINK("https://www.773grp.com/globalSearch/UC3856Q/page-1", "UC3856Q")</f>
        <v>UC3856Q</v>
      </c>
      <c r="B18910" s="3" t="s">
        <v>90</v>
      </c>
      <c r="C18910" s="5">
        <v>3752</v>
      </c>
      <c r="D18910" s="6">
        <v>5.99</v>
      </c>
      <c r="E18910" t="s">
        <v>6</v>
      </c>
    </row>
    <row r="18911" spans="1:5" x14ac:dyDescent="0.25">
      <c r="A18911" t="str">
        <f>HYPERLINK("https://www.773grp.com/globalSearch/TPS40050PWP/page-1", "TPS40050PWP")</f>
        <v>TPS40050PWP</v>
      </c>
      <c r="B18911" s="3" t="s">
        <v>90</v>
      </c>
      <c r="C18911" s="5">
        <v>10654</v>
      </c>
      <c r="D18911" s="6">
        <v>6.04</v>
      </c>
      <c r="E18911" t="s">
        <v>6</v>
      </c>
    </row>
    <row r="18912" spans="1:5" x14ac:dyDescent="0.25">
      <c r="A18912" t="str">
        <f>HYPERLINK("https://www.773grp.com/globalSearch/TPS40051PWP/page-1", "TPS40051PWP")</f>
        <v>TPS40051PWP</v>
      </c>
      <c r="B18912" s="3" t="s">
        <v>90</v>
      </c>
      <c r="C18912" s="5">
        <v>46010</v>
      </c>
      <c r="D18912" s="6">
        <v>6.04</v>
      </c>
      <c r="E18912" t="s">
        <v>6</v>
      </c>
    </row>
    <row r="18913" spans="1:5" x14ac:dyDescent="0.25">
      <c r="A18913" t="str">
        <f>HYPERLINK("https://www.773grp.com/globalSearch/TPS40053PWP/page-1", "TPS40053PWP")</f>
        <v>TPS40053PWP</v>
      </c>
      <c r="B18913" s="3" t="s">
        <v>90</v>
      </c>
      <c r="C18913" s="5">
        <v>1216</v>
      </c>
      <c r="D18913" s="6">
        <v>6.04</v>
      </c>
      <c r="E18913" t="s">
        <v>6</v>
      </c>
    </row>
    <row r="18914" spans="1:5" x14ac:dyDescent="0.25">
      <c r="A18914" t="str">
        <f>HYPERLINK("https://www.773grp.com/globalSearch/UC2823Q/page-1", "UC2823Q")</f>
        <v>UC2823Q</v>
      </c>
      <c r="B18914" s="3" t="s">
        <v>90</v>
      </c>
      <c r="C18914" s="5">
        <v>368</v>
      </c>
      <c r="D18914" s="6">
        <v>6.04</v>
      </c>
      <c r="E18914" t="s">
        <v>6</v>
      </c>
    </row>
    <row r="18915" spans="1:5" x14ac:dyDescent="0.25">
      <c r="A18915" t="str">
        <f>HYPERLINK("https://www.773grp.com/globalSearch/UCC28510DW/page-1", "UCC28510DW")</f>
        <v>UCC28510DW</v>
      </c>
      <c r="B18915" s="3" t="s">
        <v>90</v>
      </c>
      <c r="C18915" s="5">
        <v>2370</v>
      </c>
      <c r="D18915" s="6">
        <v>6.04</v>
      </c>
      <c r="E18915" t="s">
        <v>6</v>
      </c>
    </row>
    <row r="18916" spans="1:5" x14ac:dyDescent="0.25">
      <c r="A18916" t="str">
        <f>HYPERLINK("https://www.773grp.com/globalSearch/UCC28511DW/page-1", "UCC28511DW")</f>
        <v>UCC28511DW</v>
      </c>
      <c r="B18916" s="3" t="s">
        <v>90</v>
      </c>
      <c r="C18916" s="5">
        <v>1345</v>
      </c>
      <c r="D18916" s="6">
        <v>6.04</v>
      </c>
      <c r="E18916" t="s">
        <v>6</v>
      </c>
    </row>
    <row r="18917" spans="1:5" x14ac:dyDescent="0.25">
      <c r="A18917" t="str">
        <f>HYPERLINK("https://www.773grp.com/globalSearch/UCC28512DW/page-1", "UCC28512DW")</f>
        <v>UCC28512DW</v>
      </c>
      <c r="B18917" s="3" t="s">
        <v>90</v>
      </c>
      <c r="C18917" s="5">
        <v>3000</v>
      </c>
      <c r="D18917" s="6">
        <v>6.04</v>
      </c>
      <c r="E18917" t="s">
        <v>6</v>
      </c>
    </row>
    <row r="18918" spans="1:5" x14ac:dyDescent="0.25">
      <c r="A18918" t="str">
        <f>HYPERLINK("https://www.773grp.com/globalSearch/UCC28512DW/page-1", "UCC28512DW")</f>
        <v>UCC28512DW</v>
      </c>
      <c r="B18918" s="3" t="s">
        <v>90</v>
      </c>
      <c r="C18918" s="5">
        <v>8760</v>
      </c>
      <c r="D18918" s="6">
        <v>6.04</v>
      </c>
      <c r="E18918" t="s">
        <v>6</v>
      </c>
    </row>
    <row r="18919" spans="1:5" x14ac:dyDescent="0.25">
      <c r="A18919" t="str">
        <f>HYPERLINK("https://www.773grp.com/globalSearch/UCC28513DW/page-1", "UCC28513DW")</f>
        <v>UCC28513DW</v>
      </c>
      <c r="B18919" s="3" t="s">
        <v>90</v>
      </c>
      <c r="C18919" s="5">
        <v>1429</v>
      </c>
      <c r="D18919" s="6">
        <v>6.04</v>
      </c>
      <c r="E18919" t="s">
        <v>6</v>
      </c>
    </row>
    <row r="18920" spans="1:5" x14ac:dyDescent="0.25">
      <c r="A18920" t="str">
        <f>HYPERLINK("https://www.773grp.com/globalSearch/UCC28514DW/page-1", "UCC28514DW")</f>
        <v>UCC28514DW</v>
      </c>
      <c r="B18920" s="3" t="s">
        <v>90</v>
      </c>
      <c r="C18920" s="5">
        <v>1665</v>
      </c>
      <c r="D18920" s="6">
        <v>6.04</v>
      </c>
      <c r="E18920" t="s">
        <v>6</v>
      </c>
    </row>
    <row r="18921" spans="1:5" x14ac:dyDescent="0.25">
      <c r="A18921" t="str">
        <f>HYPERLINK("https://www.773grp.com/globalSearch/UCC28514DW/page-1", "UCC28514DW")</f>
        <v>UCC28514DW</v>
      </c>
      <c r="B18921" s="3" t="s">
        <v>90</v>
      </c>
      <c r="C18921" s="5">
        <v>15</v>
      </c>
      <c r="D18921" s="6">
        <v>6.04</v>
      </c>
      <c r="E18921" t="s">
        <v>6</v>
      </c>
    </row>
    <row r="18922" spans="1:5" x14ac:dyDescent="0.25">
      <c r="A18922" t="str">
        <f>HYPERLINK("https://www.773grp.com/globalSearch/UCC28516DW/page-1", "UCC28516DW")</f>
        <v>UCC28516DW</v>
      </c>
      <c r="B18922" s="3" t="s">
        <v>90</v>
      </c>
      <c r="C18922" s="5">
        <v>9325</v>
      </c>
      <c r="D18922" s="6">
        <v>6.04</v>
      </c>
      <c r="E18922" t="s">
        <v>6</v>
      </c>
    </row>
    <row r="18923" spans="1:5" x14ac:dyDescent="0.25">
      <c r="A18923" t="str">
        <f>HYPERLINK("https://www.773grp.com/globalSearch/UCC28516DW/page-1", "UCC28516DW")</f>
        <v>UCC28516DW</v>
      </c>
      <c r="B18923" s="3" t="s">
        <v>90</v>
      </c>
      <c r="C18923" s="5">
        <v>3750</v>
      </c>
      <c r="D18923" s="6">
        <v>6.04</v>
      </c>
      <c r="E18923" t="s">
        <v>6</v>
      </c>
    </row>
    <row r="18924" spans="1:5" x14ac:dyDescent="0.25">
      <c r="A18924" t="str">
        <f>HYPERLINK("https://www.773grp.com/globalSearch/UCC28517DW/page-1", "UCC28517DW")</f>
        <v>UCC28517DW</v>
      </c>
      <c r="B18924" s="3" t="s">
        <v>90</v>
      </c>
      <c r="C18924" s="5">
        <v>7209</v>
      </c>
      <c r="D18924" s="6">
        <v>6.04</v>
      </c>
      <c r="E18924" t="s">
        <v>6</v>
      </c>
    </row>
    <row r="18925" spans="1:5" x14ac:dyDescent="0.25">
      <c r="A18925" t="str">
        <f>HYPERLINK("https://www.773grp.com/globalSearch/UCC28521DW/page-1", "UCC28521DW")</f>
        <v>UCC28521DW</v>
      </c>
      <c r="B18925" s="3" t="s">
        <v>90</v>
      </c>
      <c r="C18925" s="5">
        <v>200</v>
      </c>
      <c r="D18925" s="6">
        <v>6.04</v>
      </c>
      <c r="E18925" t="s">
        <v>6</v>
      </c>
    </row>
    <row r="18926" spans="1:5" x14ac:dyDescent="0.25">
      <c r="A18926" t="str">
        <f>HYPERLINK("https://www.773grp.com/globalSearch/UCC28528DW/page-1", "UCC28528DW")</f>
        <v>UCC28528DW</v>
      </c>
      <c r="B18926" s="3" t="s">
        <v>90</v>
      </c>
      <c r="C18926" s="5">
        <v>449</v>
      </c>
      <c r="D18926" s="6">
        <v>6.04</v>
      </c>
      <c r="E18926" t="s">
        <v>6</v>
      </c>
    </row>
    <row r="18927" spans="1:5" x14ac:dyDescent="0.25">
      <c r="A18927" t="str">
        <f>HYPERLINK("https://www.773grp.com/globalSearch/TPS54310PWP/page-1", "TPS54310PWP")</f>
        <v>TPS54310PWP</v>
      </c>
      <c r="B18927" s="3" t="s">
        <v>90</v>
      </c>
      <c r="C18927" s="5">
        <v>3634</v>
      </c>
      <c r="D18927" s="6">
        <v>6.08</v>
      </c>
      <c r="E18927" t="s">
        <v>6</v>
      </c>
    </row>
    <row r="18928" spans="1:5" x14ac:dyDescent="0.25">
      <c r="A18928" t="str">
        <f>HYPERLINK("https://www.773grp.com/globalSearch/TPS54310PWPG4/page-1", "TPS54310PWPG4")</f>
        <v>TPS54310PWPG4</v>
      </c>
      <c r="B18928" s="3" t="s">
        <v>90</v>
      </c>
      <c r="C18928" s="5">
        <v>1</v>
      </c>
      <c r="D18928" s="6">
        <v>6.08</v>
      </c>
      <c r="E18928" t="s">
        <v>6</v>
      </c>
    </row>
    <row r="18929" spans="1:5" x14ac:dyDescent="0.25">
      <c r="A18929" t="str">
        <f>HYPERLINK("https://www.773grp.com/globalSearch/UC2842J/page-1", "UC2842J")</f>
        <v>UC2842J</v>
      </c>
      <c r="B18929" s="3" t="s">
        <v>90</v>
      </c>
      <c r="C18929" s="5">
        <v>2964</v>
      </c>
      <c r="D18929" s="6">
        <v>6.11</v>
      </c>
      <c r="E18929" t="s">
        <v>6</v>
      </c>
    </row>
    <row r="18930" spans="1:5" x14ac:dyDescent="0.25">
      <c r="A18930" t="str">
        <f>HYPERLINK("https://www.773grp.com/globalSearch/UCC2807N-1/page-1", "UCC2807N-1")</f>
        <v>UCC2807N-1</v>
      </c>
      <c r="B18930" s="3" t="s">
        <v>90</v>
      </c>
      <c r="C18930" s="5">
        <v>20357</v>
      </c>
      <c r="D18930" s="6">
        <v>6.13</v>
      </c>
      <c r="E18930" t="s">
        <v>6</v>
      </c>
    </row>
    <row r="18931" spans="1:5" x14ac:dyDescent="0.25">
      <c r="A18931" t="str">
        <f>HYPERLINK("https://www.773grp.com/globalSearch/UCC2807N-2/page-1", "UCC2807N-2")</f>
        <v>UCC2807N-2</v>
      </c>
      <c r="B18931" s="3" t="s">
        <v>90</v>
      </c>
      <c r="C18931" s="5">
        <v>8650</v>
      </c>
      <c r="D18931" s="6">
        <v>6.13</v>
      </c>
      <c r="E18931" t="s">
        <v>6</v>
      </c>
    </row>
    <row r="18932" spans="1:5" x14ac:dyDescent="0.25">
      <c r="A18932" t="str">
        <f>HYPERLINK("https://www.773grp.com/globalSearch/UCC2807N-2/page-1", "UCC2807N-2")</f>
        <v>UCC2807N-2</v>
      </c>
      <c r="B18932" s="3" t="s">
        <v>90</v>
      </c>
      <c r="C18932" s="5">
        <v>5500</v>
      </c>
      <c r="D18932" s="6">
        <v>6.13</v>
      </c>
      <c r="E18932" t="s">
        <v>6</v>
      </c>
    </row>
    <row r="18933" spans="1:5" x14ac:dyDescent="0.25">
      <c r="A18933" t="str">
        <f>HYPERLINK("https://www.773grp.com/globalSearch/TPS54312PWPR/page-1", "TPS54312PWPR")</f>
        <v>TPS54312PWPR</v>
      </c>
      <c r="B18933" s="3" t="s">
        <v>90</v>
      </c>
      <c r="C18933" s="5">
        <v>34483</v>
      </c>
      <c r="D18933" s="6">
        <v>6.19</v>
      </c>
      <c r="E18933" t="s">
        <v>6</v>
      </c>
    </row>
    <row r="18934" spans="1:5" x14ac:dyDescent="0.25">
      <c r="A18934" t="str">
        <f>HYPERLINK("https://www.773grp.com/globalSearch/TPS54314PWPR/page-1", "TPS54314PWPR")</f>
        <v>TPS54314PWPR</v>
      </c>
      <c r="B18934" s="3" t="s">
        <v>90</v>
      </c>
      <c r="C18934" s="5">
        <v>27690</v>
      </c>
      <c r="D18934" s="6">
        <v>6.19</v>
      </c>
      <c r="E18934" t="s">
        <v>6</v>
      </c>
    </row>
    <row r="18935" spans="1:5" x14ac:dyDescent="0.25">
      <c r="A18935" t="str">
        <f>HYPERLINK("https://www.773grp.com/globalSearch/TPS54315PWPR/page-1", "TPS54315PWPR")</f>
        <v>TPS54315PWPR</v>
      </c>
      <c r="B18935" s="3" t="s">
        <v>90</v>
      </c>
      <c r="C18935" s="5">
        <v>2600</v>
      </c>
      <c r="D18935" s="6">
        <v>6.19</v>
      </c>
      <c r="E18935" t="s">
        <v>6</v>
      </c>
    </row>
    <row r="18936" spans="1:5" x14ac:dyDescent="0.25">
      <c r="A18936" t="str">
        <f>HYPERLINK("https://www.773grp.com/globalSearch/TPS54316PWPR/page-1", "TPS54316PWPR")</f>
        <v>TPS54316PWPR</v>
      </c>
      <c r="B18936" s="3" t="s">
        <v>90</v>
      </c>
      <c r="C18936" s="5">
        <v>4755</v>
      </c>
      <c r="D18936" s="6">
        <v>6.19</v>
      </c>
      <c r="E18936" t="s">
        <v>6</v>
      </c>
    </row>
    <row r="18937" spans="1:5" x14ac:dyDescent="0.25">
      <c r="A18937" t="str">
        <f>HYPERLINK("https://www.773grp.com/globalSearch/TPS54372PWPR/page-1", "TPS54372PWPR")</f>
        <v>TPS54372PWPR</v>
      </c>
      <c r="B18937" s="3" t="s">
        <v>90</v>
      </c>
      <c r="C18937" s="5">
        <v>15550</v>
      </c>
      <c r="D18937" s="6">
        <v>6.19</v>
      </c>
      <c r="E18937" t="s">
        <v>6</v>
      </c>
    </row>
    <row r="18938" spans="1:5" x14ac:dyDescent="0.25">
      <c r="A18938" t="str">
        <f>HYPERLINK("https://www.773grp.com/globalSearch/TPS65131RGER/page-1", "TPS65131RGER")</f>
        <v>TPS65131RGER</v>
      </c>
      <c r="B18938" s="3" t="s">
        <v>90</v>
      </c>
      <c r="C18938" s="5">
        <v>6800</v>
      </c>
      <c r="D18938" s="6">
        <v>6.19</v>
      </c>
      <c r="E18938" t="s">
        <v>6</v>
      </c>
    </row>
    <row r="18939" spans="1:5" x14ac:dyDescent="0.25">
      <c r="A18939" t="str">
        <f>HYPERLINK("https://www.773grp.com/globalSearch/TPS6755ID/page-1", "TPS6755ID")</f>
        <v>TPS6755ID</v>
      </c>
      <c r="B18939" s="3" t="s">
        <v>90</v>
      </c>
      <c r="C18939" s="5">
        <v>14323</v>
      </c>
      <c r="D18939" s="6">
        <v>6.19</v>
      </c>
      <c r="E18939" t="s">
        <v>6</v>
      </c>
    </row>
    <row r="18940" spans="1:5" x14ac:dyDescent="0.25">
      <c r="A18940" t="str">
        <f>HYPERLINK("https://www.773grp.com/globalSearch/UCC2541PWPR/page-1", "UCC2541PWPR")</f>
        <v>UCC2541PWPR</v>
      </c>
      <c r="B18940" s="3" t="s">
        <v>90</v>
      </c>
      <c r="C18940" s="5">
        <v>2000</v>
      </c>
      <c r="D18940" s="6">
        <v>6.19</v>
      </c>
      <c r="E18940" t="s">
        <v>6</v>
      </c>
    </row>
    <row r="18941" spans="1:5" x14ac:dyDescent="0.25">
      <c r="A18941" t="str">
        <f>HYPERLINK("https://www.773grp.com/globalSearch/UCC2541RHBR/page-1", "UCC2541RHBR")</f>
        <v>UCC2541RHBR</v>
      </c>
      <c r="B18941" s="3" t="s">
        <v>90</v>
      </c>
      <c r="C18941" s="5">
        <v>6000</v>
      </c>
      <c r="D18941" s="6">
        <v>6.19</v>
      </c>
      <c r="E18941" t="s">
        <v>6</v>
      </c>
    </row>
    <row r="18942" spans="1:5" x14ac:dyDescent="0.25">
      <c r="A18942" t="str">
        <f>HYPERLINK("https://www.773grp.com/globalSearch/UCC3588D/page-1", "UCC3588D")</f>
        <v>UCC3588D</v>
      </c>
      <c r="B18942" s="3" t="s">
        <v>90</v>
      </c>
      <c r="C18942" s="5">
        <v>247</v>
      </c>
      <c r="D18942" s="6">
        <v>6.19</v>
      </c>
      <c r="E18942" t="s">
        <v>6</v>
      </c>
    </row>
    <row r="18943" spans="1:5" x14ac:dyDescent="0.25">
      <c r="A18943" t="str">
        <f>HYPERLINK("https://www.773grp.com/globalSearch/UCC3588D/page-1", "UCC3588D")</f>
        <v>UCC3588D</v>
      </c>
      <c r="B18943" s="3" t="s">
        <v>90</v>
      </c>
      <c r="C18943" s="5">
        <v>8760</v>
      </c>
      <c r="D18943" s="6">
        <v>6.19</v>
      </c>
      <c r="E18943" t="s">
        <v>6</v>
      </c>
    </row>
    <row r="18944" spans="1:5" x14ac:dyDescent="0.25">
      <c r="A18944" t="str">
        <f>HYPERLINK("https://www.773grp.com/globalSearch/UCC3588PW/page-1", "UCC3588PW")</f>
        <v>UCC3588PW</v>
      </c>
      <c r="B18944" s="3" t="s">
        <v>90</v>
      </c>
      <c r="C18944" s="5">
        <v>5310</v>
      </c>
      <c r="D18944" s="6">
        <v>6.19</v>
      </c>
      <c r="E18944" t="s">
        <v>6</v>
      </c>
    </row>
    <row r="18945" spans="1:5" x14ac:dyDescent="0.25">
      <c r="A18945" t="str">
        <f>HYPERLINK("https://www.773grp.com/globalSearch/UCC3810DW/page-1", "UCC3810DW")</f>
        <v>UCC3810DW</v>
      </c>
      <c r="B18945" s="3" t="s">
        <v>90</v>
      </c>
      <c r="C18945" s="5">
        <v>27007</v>
      </c>
      <c r="D18945" s="6">
        <v>6.19</v>
      </c>
      <c r="E18945" t="s">
        <v>6</v>
      </c>
    </row>
    <row r="18946" spans="1:5" x14ac:dyDescent="0.25">
      <c r="A18946" t="str">
        <f>HYPERLINK("https://www.773grp.com/globalSearch/TPS2014DR/page-1", "TPS2014DR")</f>
        <v>TPS2014DR</v>
      </c>
      <c r="B18946" s="3" t="s">
        <v>90</v>
      </c>
      <c r="C18946" s="5">
        <v>4000</v>
      </c>
      <c r="D18946" s="6">
        <v>6.21</v>
      </c>
      <c r="E18946" t="s">
        <v>6</v>
      </c>
    </row>
    <row r="18947" spans="1:5" x14ac:dyDescent="0.25">
      <c r="A18947" t="str">
        <f>HYPERLINK("https://www.773grp.com/globalSearch/TPS2014P/page-1", "TPS2014P")</f>
        <v>TPS2014P</v>
      </c>
      <c r="B18947" s="3" t="s">
        <v>90</v>
      </c>
      <c r="C18947" s="5">
        <v>21215</v>
      </c>
      <c r="D18947" s="6">
        <v>6.21</v>
      </c>
      <c r="E18947" t="s">
        <v>6</v>
      </c>
    </row>
    <row r="18948" spans="1:5" x14ac:dyDescent="0.25">
      <c r="A18948" t="str">
        <f>HYPERLINK("https://www.773grp.com/globalSearch/TPS2015DR/page-1", "TPS2015DR")</f>
        <v>TPS2015DR</v>
      </c>
      <c r="B18948" s="3" t="s">
        <v>90</v>
      </c>
      <c r="C18948" s="5">
        <v>2500</v>
      </c>
      <c r="D18948" s="6">
        <v>6.21</v>
      </c>
      <c r="E18948" t="s">
        <v>6</v>
      </c>
    </row>
    <row r="18949" spans="1:5" x14ac:dyDescent="0.25">
      <c r="A18949" t="str">
        <f>HYPERLINK("https://www.773grp.com/globalSearch/TPS51020DBTR/page-1", "TPS51020DBTR")</f>
        <v>TPS51020DBTR</v>
      </c>
      <c r="B18949" s="3" t="s">
        <v>90</v>
      </c>
      <c r="C18949" s="5">
        <v>44027</v>
      </c>
      <c r="D18949" s="6">
        <v>6.21</v>
      </c>
      <c r="E18949" t="s">
        <v>6</v>
      </c>
    </row>
    <row r="18950" spans="1:5" x14ac:dyDescent="0.25">
      <c r="A18950" t="str">
        <f>HYPERLINK("https://www.773grp.com/globalSearch/UC2846N/page-1", "UC2846N")</f>
        <v>UC2846N</v>
      </c>
      <c r="B18950" s="3" t="s">
        <v>90</v>
      </c>
      <c r="C18950" s="5">
        <v>4400</v>
      </c>
      <c r="D18950" s="6">
        <v>6.21</v>
      </c>
      <c r="E18950" t="s">
        <v>6</v>
      </c>
    </row>
    <row r="18951" spans="1:5" x14ac:dyDescent="0.25">
      <c r="A18951" t="str">
        <f>HYPERLINK("https://www.773grp.com/globalSearch/UC2846N/page-1", "UC2846N")</f>
        <v>UC2846N</v>
      </c>
      <c r="B18951" s="3" t="s">
        <v>90</v>
      </c>
      <c r="C18951" s="5">
        <v>5988</v>
      </c>
      <c r="D18951" s="6">
        <v>6.21</v>
      </c>
      <c r="E18951" t="s">
        <v>6</v>
      </c>
    </row>
    <row r="18952" spans="1:5" x14ac:dyDescent="0.25">
      <c r="A18952" t="str">
        <f>HYPERLINK("https://www.773grp.com/globalSearch/UC2852D/page-1", "UC2852D")</f>
        <v>UC2852D</v>
      </c>
      <c r="B18952" s="3" t="s">
        <v>90</v>
      </c>
      <c r="C18952" s="5">
        <v>2735</v>
      </c>
      <c r="D18952" s="6">
        <v>6.21</v>
      </c>
      <c r="E18952" t="s">
        <v>6</v>
      </c>
    </row>
    <row r="18953" spans="1:5" x14ac:dyDescent="0.25">
      <c r="A18953" t="str">
        <f>HYPERLINK("https://www.773grp.com/globalSearch/UC2852D/page-1", "UC2852D")</f>
        <v>UC2852D</v>
      </c>
      <c r="B18953" s="3" t="s">
        <v>90</v>
      </c>
      <c r="C18953" s="5">
        <v>1675</v>
      </c>
      <c r="D18953" s="6">
        <v>6.21</v>
      </c>
      <c r="E18953" t="s">
        <v>6</v>
      </c>
    </row>
    <row r="18954" spans="1:5" x14ac:dyDescent="0.25">
      <c r="A18954" t="str">
        <f>HYPERLINK("https://www.773grp.com/globalSearch/UC2856DW/page-1", "UC2856DW")</f>
        <v>UC2856DW</v>
      </c>
      <c r="B18954" s="3" t="s">
        <v>90</v>
      </c>
      <c r="C18954" s="5">
        <v>494</v>
      </c>
      <c r="D18954" s="6">
        <v>6.21</v>
      </c>
      <c r="E18954" t="s">
        <v>6</v>
      </c>
    </row>
    <row r="18955" spans="1:5" x14ac:dyDescent="0.25">
      <c r="A18955" t="str">
        <f>HYPERLINK("https://www.773grp.com/globalSearch/UC2856DWG4/page-1", "UC2856DWG4")</f>
        <v>UC2856DWG4</v>
      </c>
      <c r="B18955" s="3" t="s">
        <v>90</v>
      </c>
      <c r="C18955" s="5">
        <v>234</v>
      </c>
      <c r="D18955" s="6">
        <v>6.21</v>
      </c>
      <c r="E18955" t="s">
        <v>6</v>
      </c>
    </row>
    <row r="18956" spans="1:5" x14ac:dyDescent="0.25">
      <c r="A18956" t="str">
        <f>HYPERLINK("https://www.773grp.com/globalSearch/TPS51124RGET/page-1", "TPS51124RGET")</f>
        <v>TPS51124RGET</v>
      </c>
      <c r="B18956" s="3" t="s">
        <v>90</v>
      </c>
      <c r="C18956" s="5">
        <v>857</v>
      </c>
      <c r="D18956" s="6">
        <v>6.25</v>
      </c>
      <c r="E18956" t="s">
        <v>6</v>
      </c>
    </row>
    <row r="18957" spans="1:5" x14ac:dyDescent="0.25">
      <c r="A18957" t="str">
        <f>HYPERLINK("https://www.773grp.com/globalSearch/TPS54110PWP/page-1", "TPS54110PWP")</f>
        <v>TPS54110PWP</v>
      </c>
      <c r="B18957" s="3" t="s">
        <v>90</v>
      </c>
      <c r="C18957" s="5">
        <v>69</v>
      </c>
      <c r="D18957" s="6">
        <v>6.25</v>
      </c>
      <c r="E18957" t="s">
        <v>6</v>
      </c>
    </row>
    <row r="18958" spans="1:5" x14ac:dyDescent="0.25">
      <c r="A18958" t="str">
        <f>HYPERLINK("https://www.773grp.com/globalSearch/UC3823N/page-1", "UC3823N")</f>
        <v>UC3823N</v>
      </c>
      <c r="B18958" s="3" t="s">
        <v>90</v>
      </c>
      <c r="C18958" s="5">
        <v>580</v>
      </c>
      <c r="D18958" s="6">
        <v>6.3</v>
      </c>
      <c r="E18958" t="s">
        <v>6</v>
      </c>
    </row>
    <row r="18959" spans="1:5" x14ac:dyDescent="0.25">
      <c r="A18959" t="str">
        <f>HYPERLINK("https://www.773grp.com/globalSearch/UC3825N/page-1", "UC3825N")</f>
        <v>UC3825N</v>
      </c>
      <c r="B18959" s="3" t="s">
        <v>90</v>
      </c>
      <c r="C18959" s="5">
        <v>1475</v>
      </c>
      <c r="D18959" s="6">
        <v>6.3</v>
      </c>
      <c r="E18959" t="s">
        <v>6</v>
      </c>
    </row>
    <row r="18960" spans="1:5" x14ac:dyDescent="0.25">
      <c r="A18960" t="str">
        <f>HYPERLINK("https://www.773grp.com/globalSearch/TPS51123RGET/page-1", "TPS51123RGET")</f>
        <v>TPS51123RGET</v>
      </c>
      <c r="B18960" s="3" t="s">
        <v>90</v>
      </c>
      <c r="C18960" s="5">
        <v>23944</v>
      </c>
      <c r="D18960" s="6">
        <v>6.33</v>
      </c>
      <c r="E18960" t="s">
        <v>6</v>
      </c>
    </row>
    <row r="18961" spans="1:5" x14ac:dyDescent="0.25">
      <c r="A18961" t="str">
        <f>HYPERLINK("https://www.773grp.com/globalSearch/TPS51125RGET/page-1", "TPS51125RGET")</f>
        <v>TPS51125RGET</v>
      </c>
      <c r="B18961" s="3" t="s">
        <v>90</v>
      </c>
      <c r="C18961" s="5">
        <v>15724</v>
      </c>
      <c r="D18961" s="6">
        <v>6.33</v>
      </c>
      <c r="E18961" t="s">
        <v>6</v>
      </c>
    </row>
    <row r="18962" spans="1:5" x14ac:dyDescent="0.25">
      <c r="A18962" t="str">
        <f>HYPERLINK("https://www.773grp.com/globalSearch/TPS51220ARTVR/page-1", "TPS51220ARTVR")</f>
        <v>TPS51220ARTVR</v>
      </c>
      <c r="B18962" s="3" t="s">
        <v>90</v>
      </c>
      <c r="C18962" s="5">
        <v>75</v>
      </c>
      <c r="D18962" s="6">
        <v>6.33</v>
      </c>
      <c r="E18962" t="s">
        <v>6</v>
      </c>
    </row>
    <row r="18963" spans="1:5" x14ac:dyDescent="0.25">
      <c r="A18963" t="str">
        <f>HYPERLINK("https://www.773grp.com/globalSearch/TPS51220RHBR/page-1", "TPS51220RHBR")</f>
        <v>TPS51220RHBR</v>
      </c>
      <c r="B18963" s="3" t="s">
        <v>90</v>
      </c>
      <c r="C18963" s="5">
        <v>3800</v>
      </c>
      <c r="D18963" s="6">
        <v>6.33</v>
      </c>
      <c r="E18963" t="s">
        <v>6</v>
      </c>
    </row>
    <row r="18964" spans="1:5" x14ac:dyDescent="0.25">
      <c r="A18964" t="str">
        <f>HYPERLINK("https://www.773grp.com/globalSearch/TPS54283PWPR/page-1", "TPS54283PWPR")</f>
        <v>TPS54283PWPR</v>
      </c>
      <c r="B18964" s="3" t="s">
        <v>90</v>
      </c>
      <c r="C18964" s="5">
        <v>88377</v>
      </c>
      <c r="D18964" s="6">
        <v>6.33</v>
      </c>
      <c r="E18964" t="s">
        <v>6</v>
      </c>
    </row>
    <row r="18965" spans="1:5" x14ac:dyDescent="0.25">
      <c r="A18965" t="str">
        <f>HYPERLINK("https://www.773grp.com/globalSearch/TPS54286PWPR/page-1", "TPS54286PWPR")</f>
        <v>TPS54286PWPR</v>
      </c>
      <c r="B18965" s="3" t="s">
        <v>90</v>
      </c>
      <c r="C18965" s="5">
        <v>11176</v>
      </c>
      <c r="D18965" s="6">
        <v>6.33</v>
      </c>
      <c r="E18965" t="s">
        <v>6</v>
      </c>
    </row>
    <row r="18966" spans="1:5" x14ac:dyDescent="0.25">
      <c r="A18966" t="str">
        <f>HYPERLINK("https://www.773grp.com/globalSearch/TPS54350PWP/page-1", "TPS54350PWP")</f>
        <v>TPS54350PWP</v>
      </c>
      <c r="B18966" s="3" t="s">
        <v>90</v>
      </c>
      <c r="C18966" s="5">
        <v>19786</v>
      </c>
      <c r="D18966" s="6">
        <v>6.33</v>
      </c>
      <c r="E18966" t="s">
        <v>6</v>
      </c>
    </row>
    <row r="18967" spans="1:5" x14ac:dyDescent="0.25">
      <c r="A18967" t="str">
        <f>HYPERLINK("https://www.773grp.com/globalSearch/TPS54352PWP/page-1", "TPS54352PWP")</f>
        <v>TPS54352PWP</v>
      </c>
      <c r="B18967" s="3" t="s">
        <v>90</v>
      </c>
      <c r="C18967" s="5">
        <v>294</v>
      </c>
      <c r="D18967" s="6">
        <v>6.33</v>
      </c>
      <c r="E18967" t="s">
        <v>6</v>
      </c>
    </row>
    <row r="18968" spans="1:5" x14ac:dyDescent="0.25">
      <c r="A18968" t="str">
        <f>HYPERLINK("https://www.773grp.com/globalSearch/TPS54352PWPG4/page-1", "TPS54352PWPG4")</f>
        <v>TPS54352PWPG4</v>
      </c>
      <c r="B18968" s="3" t="s">
        <v>90</v>
      </c>
      <c r="C18968" s="5">
        <v>87</v>
      </c>
      <c r="D18968" s="6">
        <v>6.33</v>
      </c>
      <c r="E18968" t="s">
        <v>6</v>
      </c>
    </row>
    <row r="18969" spans="1:5" x14ac:dyDescent="0.25">
      <c r="A18969" t="str">
        <f>HYPERLINK("https://www.773grp.com/globalSearch/TPS54353PWP/page-1", "TPS54353PWP")</f>
        <v>TPS54353PWP</v>
      </c>
      <c r="B18969" s="3" t="s">
        <v>90</v>
      </c>
      <c r="C18969" s="5">
        <v>19208</v>
      </c>
      <c r="D18969" s="6">
        <v>6.33</v>
      </c>
      <c r="E18969" t="s">
        <v>6</v>
      </c>
    </row>
    <row r="18970" spans="1:5" x14ac:dyDescent="0.25">
      <c r="A18970" t="str">
        <f>HYPERLINK("https://www.773grp.com/globalSearch/TPS54354PWPR/page-1", "TPS54354PWPR")</f>
        <v>TPS54354PWPR</v>
      </c>
      <c r="B18970" s="3" t="s">
        <v>90</v>
      </c>
      <c r="C18970" s="5">
        <v>2000</v>
      </c>
      <c r="D18970" s="6">
        <v>6.33</v>
      </c>
      <c r="E18970" t="s">
        <v>6</v>
      </c>
    </row>
    <row r="18971" spans="1:5" x14ac:dyDescent="0.25">
      <c r="A18971" t="str">
        <f>HYPERLINK("https://www.773grp.com/globalSearch/TPS54356PWP/page-1", "TPS54356PWP")</f>
        <v>TPS54356PWP</v>
      </c>
      <c r="B18971" s="3" t="s">
        <v>90</v>
      </c>
      <c r="C18971" s="5">
        <v>14583</v>
      </c>
      <c r="D18971" s="6">
        <v>6.33</v>
      </c>
      <c r="E18971" t="s">
        <v>6</v>
      </c>
    </row>
    <row r="18972" spans="1:5" x14ac:dyDescent="0.25">
      <c r="A18972" t="str">
        <f>HYPERLINK("https://www.773grp.com/globalSearch/TPS54373PWPR/page-1", "TPS54373PWPR")</f>
        <v>TPS54373PWPR</v>
      </c>
      <c r="B18972" s="3" t="s">
        <v>90</v>
      </c>
      <c r="C18972" s="5">
        <v>8000</v>
      </c>
      <c r="D18972" s="6">
        <v>6.33</v>
      </c>
      <c r="E18972" t="s">
        <v>6</v>
      </c>
    </row>
    <row r="18973" spans="1:5" x14ac:dyDescent="0.25">
      <c r="A18973" t="str">
        <f>HYPERLINK("https://www.773grp.com/globalSearch/TPS54380PWPR/page-1", "TPS54380PWPR")</f>
        <v>TPS54380PWPR</v>
      </c>
      <c r="B18973" s="3" t="s">
        <v>90</v>
      </c>
      <c r="C18973" s="5">
        <v>3761</v>
      </c>
      <c r="D18973" s="6">
        <v>6.33</v>
      </c>
      <c r="E18973" t="s">
        <v>6</v>
      </c>
    </row>
    <row r="18974" spans="1:5" x14ac:dyDescent="0.25">
      <c r="A18974" t="str">
        <f>HYPERLINK("https://www.773grp.com/globalSearch/TPS5450DDAR/page-1", "TPS5450DDAR")</f>
        <v>TPS5450DDAR</v>
      </c>
      <c r="B18974" s="3" t="s">
        <v>90</v>
      </c>
      <c r="C18974" s="5">
        <v>8469</v>
      </c>
      <c r="D18974" s="6">
        <v>6.33</v>
      </c>
      <c r="E18974" t="s">
        <v>6</v>
      </c>
    </row>
    <row r="18975" spans="1:5" x14ac:dyDescent="0.25">
      <c r="A18975" t="str">
        <f>HYPERLINK("https://www.773grp.com/globalSearch/TPS61100PW/page-1", "TPS61100PW")</f>
        <v>TPS61100PW</v>
      </c>
      <c r="B18975" s="3" t="s">
        <v>90</v>
      </c>
      <c r="C18975" s="5">
        <v>9801</v>
      </c>
      <c r="D18975" s="6">
        <v>6.33</v>
      </c>
      <c r="E18975" t="s">
        <v>6</v>
      </c>
    </row>
    <row r="18976" spans="1:5" x14ac:dyDescent="0.25">
      <c r="A18976" t="str">
        <f>HYPERLINK("https://www.773grp.com/globalSearch/TPS61103PW/page-1", "TPS61103PW")</f>
        <v>TPS61103PW</v>
      </c>
      <c r="B18976" s="3" t="s">
        <v>90</v>
      </c>
      <c r="C18976" s="5">
        <v>11008</v>
      </c>
      <c r="D18976" s="6">
        <v>6.33</v>
      </c>
      <c r="E18976" t="s">
        <v>6</v>
      </c>
    </row>
    <row r="18977" spans="1:5" x14ac:dyDescent="0.25">
      <c r="A18977" t="str">
        <f>HYPERLINK("https://www.773grp.com/globalSearch/TPS61106PW/page-1", "TPS61106PW")</f>
        <v>TPS61106PW</v>
      </c>
      <c r="B18977" s="3" t="s">
        <v>90</v>
      </c>
      <c r="C18977" s="5">
        <v>17776</v>
      </c>
      <c r="D18977" s="6">
        <v>6.33</v>
      </c>
      <c r="E18977" t="s">
        <v>6</v>
      </c>
    </row>
    <row r="18978" spans="1:5" x14ac:dyDescent="0.25">
      <c r="A18978" t="str">
        <f>HYPERLINK("https://www.773grp.com/globalSearch/TPS61107PW/page-1", "TPS61107PW")</f>
        <v>TPS61107PW</v>
      </c>
      <c r="B18978" s="3" t="s">
        <v>90</v>
      </c>
      <c r="C18978" s="5">
        <v>12110</v>
      </c>
      <c r="D18978" s="6">
        <v>6.33</v>
      </c>
      <c r="E18978" t="s">
        <v>6</v>
      </c>
    </row>
    <row r="18979" spans="1:5" x14ac:dyDescent="0.25">
      <c r="A18979" t="str">
        <f>HYPERLINK("https://www.773grp.com/globalSearch/UCC28220PW/page-1", "UCC28220PW")</f>
        <v>UCC28220PW</v>
      </c>
      <c r="B18979" s="3" t="s">
        <v>90</v>
      </c>
      <c r="C18979" s="5">
        <v>565</v>
      </c>
      <c r="D18979" s="6">
        <v>6.33</v>
      </c>
      <c r="E18979" t="s">
        <v>6</v>
      </c>
    </row>
    <row r="18980" spans="1:5" x14ac:dyDescent="0.25">
      <c r="A18980" t="str">
        <f>HYPERLINK("https://www.773grp.com/globalSearch/UCC28220PW/page-1", "UCC28220PW")</f>
        <v>UCC28220PW</v>
      </c>
      <c r="B18980" s="3" t="s">
        <v>90</v>
      </c>
      <c r="C18980" s="5">
        <v>2613</v>
      </c>
      <c r="D18980" s="6">
        <v>6.33</v>
      </c>
      <c r="E18980" t="s">
        <v>6</v>
      </c>
    </row>
    <row r="18981" spans="1:5" x14ac:dyDescent="0.25">
      <c r="A18981" t="str">
        <f>HYPERLINK("https://www.773grp.com/globalSearch/UCC28C45MDREP/page-1", "UCC28C45MDREP")</f>
        <v>UCC28C45MDREP</v>
      </c>
      <c r="B18981" s="3" t="s">
        <v>90</v>
      </c>
      <c r="C18981" s="5">
        <v>1500</v>
      </c>
      <c r="D18981" s="6">
        <v>6.33</v>
      </c>
      <c r="E18981" t="s">
        <v>6</v>
      </c>
    </row>
    <row r="18982" spans="1:5" x14ac:dyDescent="0.25">
      <c r="A18982" t="str">
        <f>HYPERLINK("https://www.773grp.com/globalSearch/BQ2004EPN/page-1", "BQ2004EPN")</f>
        <v>BQ2004EPN</v>
      </c>
      <c r="B18982" s="3" t="s">
        <v>90</v>
      </c>
      <c r="C18982" s="5">
        <v>28691</v>
      </c>
      <c r="D18982" s="6">
        <v>6.36</v>
      </c>
      <c r="E18982" t="s">
        <v>6</v>
      </c>
    </row>
    <row r="18983" spans="1:5" x14ac:dyDescent="0.25">
      <c r="A18983" t="str">
        <f>HYPERLINK("https://www.773grp.com/globalSearch/BQ2004EPNG4/page-1", "BQ2004EPNG4")</f>
        <v>BQ2004EPNG4</v>
      </c>
      <c r="B18983" s="3" t="s">
        <v>90</v>
      </c>
      <c r="C18983" s="5">
        <v>4050</v>
      </c>
      <c r="D18983" s="6">
        <v>6.36</v>
      </c>
      <c r="E18983" t="s">
        <v>6</v>
      </c>
    </row>
    <row r="18984" spans="1:5" x14ac:dyDescent="0.25">
      <c r="A18984" t="str">
        <f>HYPERLINK("https://www.773grp.com/globalSearch/BQ2004HPN/page-1", "BQ2004HPN")</f>
        <v>BQ2004HPN</v>
      </c>
      <c r="B18984" s="3" t="s">
        <v>90</v>
      </c>
      <c r="C18984" s="5">
        <v>150</v>
      </c>
      <c r="D18984" s="6">
        <v>6.36</v>
      </c>
      <c r="E18984" t="s">
        <v>6</v>
      </c>
    </row>
    <row r="18985" spans="1:5" x14ac:dyDescent="0.25">
      <c r="A18985" t="str">
        <f>HYPERLINK("https://www.773grp.com/globalSearch/BQ2004HSNTR/page-1", "BQ2004HSNTR")</f>
        <v>BQ2004HSNTR</v>
      </c>
      <c r="B18985" s="3" t="s">
        <v>90</v>
      </c>
      <c r="C18985" s="5">
        <v>10000</v>
      </c>
      <c r="D18985" s="6">
        <v>6.36</v>
      </c>
      <c r="E18985" t="s">
        <v>6</v>
      </c>
    </row>
    <row r="18986" spans="1:5" x14ac:dyDescent="0.25">
      <c r="A18986" t="str">
        <f>HYPERLINK("https://www.773grp.com/globalSearch/BQ2004SNTR/page-1", "BQ2004SNTR")</f>
        <v>BQ2004SNTR</v>
      </c>
      <c r="B18986" s="3" t="s">
        <v>90</v>
      </c>
      <c r="C18986" s="5">
        <v>125000</v>
      </c>
      <c r="D18986" s="6">
        <v>6.36</v>
      </c>
      <c r="E18986" t="s">
        <v>6</v>
      </c>
    </row>
    <row r="18987" spans="1:5" x14ac:dyDescent="0.25">
      <c r="A18987" t="str">
        <f>HYPERLINK("https://www.773grp.com/globalSearch/TPS40020PWP/page-1", "TPS40020PWP")</f>
        <v>TPS40020PWP</v>
      </c>
      <c r="B18987" s="3" t="s">
        <v>90</v>
      </c>
      <c r="C18987" s="5">
        <v>4535</v>
      </c>
      <c r="D18987" s="6">
        <v>6.41</v>
      </c>
      <c r="E18987" t="s">
        <v>6</v>
      </c>
    </row>
    <row r="18988" spans="1:5" x14ac:dyDescent="0.25">
      <c r="A18988" t="str">
        <f>HYPERLINK("https://www.773grp.com/globalSearch/TPS43000PW/page-1", "TPS43000PW")</f>
        <v>TPS43000PW</v>
      </c>
      <c r="B18988" s="3" t="s">
        <v>90</v>
      </c>
      <c r="C18988" s="5">
        <v>4655</v>
      </c>
      <c r="D18988" s="6">
        <v>6.41</v>
      </c>
      <c r="E18988" t="s">
        <v>6</v>
      </c>
    </row>
    <row r="18989" spans="1:5" x14ac:dyDescent="0.25">
      <c r="A18989" t="str">
        <f>HYPERLINK("https://www.773grp.com/globalSearch/TPS59124RGET/page-1", "TPS59124RGET")</f>
        <v>TPS59124RGET</v>
      </c>
      <c r="B18989" s="3" t="s">
        <v>90</v>
      </c>
      <c r="C18989" s="5">
        <v>3500</v>
      </c>
      <c r="D18989" s="6">
        <v>6.41</v>
      </c>
      <c r="E18989" t="s">
        <v>6</v>
      </c>
    </row>
    <row r="18990" spans="1:5" x14ac:dyDescent="0.25">
      <c r="A18990" t="str">
        <f>HYPERLINK("https://www.773grp.com/globalSearch/TPS65160PWP/page-1", "TPS65160PWP")</f>
        <v>TPS65160PWP</v>
      </c>
      <c r="B18990" s="3" t="s">
        <v>90</v>
      </c>
      <c r="C18990" s="5">
        <v>6350</v>
      </c>
      <c r="D18990" s="6">
        <v>6.41</v>
      </c>
      <c r="E18990" t="s">
        <v>6</v>
      </c>
    </row>
    <row r="18991" spans="1:5" x14ac:dyDescent="0.25">
      <c r="A18991" t="str">
        <f>HYPERLINK("https://www.773grp.com/globalSearch/BQ24103ARHLT/page-1", "BQ24103ARHLT")</f>
        <v>BQ24103ARHLT</v>
      </c>
      <c r="B18991" s="3" t="str">
        <f>HYPERLINK("https://www.773grp.com/manufacturer/texas-instruments?pageNo=51", "Texas Instruments")</f>
        <v>Texas Instruments</v>
      </c>
      <c r="C18991" s="5">
        <v>500</v>
      </c>
      <c r="D18991" s="6">
        <v>6.46</v>
      </c>
      <c r="E18991" t="s">
        <v>6</v>
      </c>
    </row>
    <row r="18992" spans="1:5" x14ac:dyDescent="0.25">
      <c r="A18992" t="str">
        <f>HYPERLINK("https://www.773grp.com/globalSearch/BQ24109RHLT/page-1", "BQ24109RHLT")</f>
        <v>BQ24109RHLT</v>
      </c>
      <c r="B18992" s="3" t="str">
        <f>HYPERLINK("https://www.773grp.com/manufacturer/texas-instruments?pageNo=53", "Texas Instruments")</f>
        <v>Texas Instruments</v>
      </c>
      <c r="C18992" s="5">
        <v>2550</v>
      </c>
      <c r="D18992" s="6">
        <v>6.46</v>
      </c>
      <c r="E18992" t="s">
        <v>6</v>
      </c>
    </row>
    <row r="18993" spans="1:5" x14ac:dyDescent="0.25">
      <c r="A18993" t="str">
        <f>HYPERLINK("https://www.773grp.com/globalSearch/BQ24113ARHLT/page-1", "BQ24113ARHLT")</f>
        <v>BQ24113ARHLT</v>
      </c>
      <c r="B18993" s="3" t="str">
        <f>HYPERLINK("https://www.773grp.com/manufacturer/texas-instruments?pageNo=54", "Texas Instruments")</f>
        <v>Texas Instruments</v>
      </c>
      <c r="C18993" s="5">
        <v>2250</v>
      </c>
      <c r="D18993" s="6">
        <v>6.46</v>
      </c>
      <c r="E18993" t="s">
        <v>6</v>
      </c>
    </row>
    <row r="18994" spans="1:5" x14ac:dyDescent="0.25">
      <c r="A18994" t="str">
        <f>HYPERLINK("https://www.773grp.com/globalSearch/BQ24630RGET/page-1", "BQ24630RGET")</f>
        <v>BQ24630RGET</v>
      </c>
      <c r="B18994" s="3" t="str">
        <f>HYPERLINK("https://www.773grp.com/manufacturer/texas-instruments?pageNo=58", "Texas Instruments")</f>
        <v>Texas Instruments</v>
      </c>
      <c r="C18994" s="5">
        <v>250</v>
      </c>
      <c r="D18994" s="6">
        <v>6.46</v>
      </c>
      <c r="E18994" t="s">
        <v>6</v>
      </c>
    </row>
    <row r="18995" spans="1:5" x14ac:dyDescent="0.25">
      <c r="A18995" t="str">
        <f>HYPERLINK("https://www.773grp.com/globalSearch/TPS40090PW/page-1", "TPS40090PW")</f>
        <v>TPS40090PW</v>
      </c>
      <c r="B18995" s="3" t="str">
        <f>HYPERLINK("https://www.773grp.com/manufacturer/texas-instruments?pageNo=136", "Texas Instruments")</f>
        <v>Texas Instruments</v>
      </c>
      <c r="C18995" s="5">
        <v>9401</v>
      </c>
      <c r="D18995" s="6">
        <v>6.46</v>
      </c>
      <c r="E18995" t="s">
        <v>6</v>
      </c>
    </row>
    <row r="18996" spans="1:5" x14ac:dyDescent="0.25">
      <c r="A18996" t="str">
        <f>HYPERLINK("https://www.773grp.com/globalSearch/TPS40091PW/page-1", "TPS40091PW")</f>
        <v>TPS40091PW</v>
      </c>
      <c r="B18996" s="3" t="str">
        <f>HYPERLINK("https://www.773grp.com/manufacturer/texas-instruments?pageNo=137", "Texas Instruments")</f>
        <v>Texas Instruments</v>
      </c>
      <c r="C18996" s="5">
        <v>12170</v>
      </c>
      <c r="D18996" s="6">
        <v>6.46</v>
      </c>
      <c r="E18996" t="s">
        <v>6</v>
      </c>
    </row>
    <row r="18997" spans="1:5" x14ac:dyDescent="0.25">
      <c r="A18997" t="str">
        <f>HYPERLINK("https://www.773grp.com/globalSearch/UC3527AN/page-1", "UC3527AN")</f>
        <v>UC3527AN</v>
      </c>
      <c r="B18997" s="3" t="str">
        <f>HYPERLINK("https://www.773grp.com/manufacturer/texas-instruments?pageNo=146", "Texas Instruments")</f>
        <v>Texas Instruments</v>
      </c>
      <c r="C18997" s="5">
        <v>11180</v>
      </c>
      <c r="D18997" s="6">
        <v>6.46</v>
      </c>
      <c r="E18997" t="s">
        <v>6</v>
      </c>
    </row>
    <row r="18998" spans="1:5" x14ac:dyDescent="0.25">
      <c r="A18998" t="str">
        <f>HYPERLINK("https://www.773grp.com/globalSearch/UC3527AN/page-1", "UC3527AN")</f>
        <v>UC3527AN</v>
      </c>
      <c r="B18998" s="3" t="str">
        <f>HYPERLINK("https://www.773grp.com/manufacturer/texas-instruments?pageNo=147", "Texas Instruments")</f>
        <v>Texas Instruments</v>
      </c>
      <c r="C18998" s="5">
        <v>116</v>
      </c>
      <c r="D18998" s="6">
        <v>6.46</v>
      </c>
      <c r="E18998" t="s">
        <v>6</v>
      </c>
    </row>
    <row r="18999" spans="1:5" x14ac:dyDescent="0.25">
      <c r="A18999" t="str">
        <f>HYPERLINK("https://www.773grp.com/globalSearch/UCC2810DW/page-1", "UCC2810DW")</f>
        <v>UCC2810DW</v>
      </c>
      <c r="B18999" s="3" t="str">
        <f>HYPERLINK("https://www.773grp.com/manufacturer/texas-instruments?pageNo=148", "Texas Instruments")</f>
        <v>Texas Instruments</v>
      </c>
      <c r="C18999" s="5">
        <v>17580</v>
      </c>
      <c r="D18999" s="6">
        <v>6.46</v>
      </c>
      <c r="E18999" t="s">
        <v>6</v>
      </c>
    </row>
    <row r="19000" spans="1:5" x14ac:dyDescent="0.25">
      <c r="A19000" t="str">
        <f>HYPERLINK("https://www.773grp.com/globalSearch/UCC28516N/page-1", "UCC28516N")</f>
        <v>UCC28516N</v>
      </c>
      <c r="B19000" s="3" t="str">
        <f>HYPERLINK("https://www.773grp.com/manufacturer/texas-instruments?pageNo=149", "Texas Instruments")</f>
        <v>Texas Instruments</v>
      </c>
      <c r="C19000" s="5">
        <v>1940</v>
      </c>
      <c r="D19000" s="6">
        <v>6.46</v>
      </c>
      <c r="E19000" t="s">
        <v>6</v>
      </c>
    </row>
    <row r="19001" spans="1:5" x14ac:dyDescent="0.25">
      <c r="A19001" t="str">
        <f>HYPERLINK("https://www.773grp.com/globalSearch/UCC28516N/page-1", "UCC28516N")</f>
        <v>UCC28516N</v>
      </c>
      <c r="B19001" s="3" t="str">
        <f>HYPERLINK("https://www.773grp.com/manufacturer/texas-instruments?pageNo=150", "Texas Instruments")</f>
        <v>Texas Instruments</v>
      </c>
      <c r="C19001" s="5">
        <v>1240</v>
      </c>
      <c r="D19001" s="6">
        <v>6.46</v>
      </c>
      <c r="E19001" t="s">
        <v>6</v>
      </c>
    </row>
    <row r="19002" spans="1:5" x14ac:dyDescent="0.25">
      <c r="A19002" t="str">
        <f>HYPERLINK("https://www.773grp.com/globalSearch/UCC28517N/page-1", "UCC28517N")</f>
        <v>UCC28517N</v>
      </c>
      <c r="B19002" s="3" t="str">
        <f>HYPERLINK("https://www.773grp.com/manufacturer/texas-instruments?pageNo=151", "Texas Instruments")</f>
        <v>Texas Instruments</v>
      </c>
      <c r="C19002" s="5">
        <v>2340</v>
      </c>
      <c r="D19002" s="6">
        <v>6.46</v>
      </c>
      <c r="E19002" t="s">
        <v>6</v>
      </c>
    </row>
    <row r="19003" spans="1:5" x14ac:dyDescent="0.25">
      <c r="A19003" t="str">
        <f>HYPERLINK("https://www.773grp.com/globalSearch/UCC28517N/page-1", "UCC28517N")</f>
        <v>UCC28517N</v>
      </c>
      <c r="B19003" s="3" t="str">
        <f>HYPERLINK("https://www.773grp.com/manufacturer/texas-instruments?pageNo=152", "Texas Instruments")</f>
        <v>Texas Instruments</v>
      </c>
      <c r="C19003" s="5">
        <v>95720</v>
      </c>
      <c r="D19003" s="6">
        <v>6.46</v>
      </c>
      <c r="E19003" t="s">
        <v>6</v>
      </c>
    </row>
    <row r="19004" spans="1:5" x14ac:dyDescent="0.25">
      <c r="A19004" t="str">
        <f>HYPERLINK("https://www.773grp.com/globalSearch/UCC29412PW/page-1", "UCC29412PW")</f>
        <v>UCC29412PW</v>
      </c>
      <c r="B19004" s="3" t="str">
        <f>HYPERLINK("https://www.773grp.com/manufacturer/texas-instruments?pageNo=153", "Texas Instruments")</f>
        <v>Texas Instruments</v>
      </c>
      <c r="C19004" s="5">
        <v>5441</v>
      </c>
      <c r="D19004" s="6">
        <v>6.46</v>
      </c>
      <c r="E19004" t="s">
        <v>6</v>
      </c>
    </row>
    <row r="19005" spans="1:5" x14ac:dyDescent="0.25">
      <c r="A19005" t="str">
        <f>HYPERLINK("https://www.773grp.com/globalSearch/UCC3580D-1/page-1", "UCC3580D-1")</f>
        <v>UCC3580D-1</v>
      </c>
      <c r="B19005" s="3" t="str">
        <f>HYPERLINK("https://www.773grp.com/manufacturer/texas-instruments?pageNo=154", "Texas Instruments")</f>
        <v>Texas Instruments</v>
      </c>
      <c r="C19005" s="5">
        <v>10031</v>
      </c>
      <c r="D19005" s="6">
        <v>6.46</v>
      </c>
      <c r="E19005" t="s">
        <v>6</v>
      </c>
    </row>
    <row r="19006" spans="1:5" x14ac:dyDescent="0.25">
      <c r="A19006" t="str">
        <f>HYPERLINK("https://www.773grp.com/globalSearch/UCC3580D-1/page-1", "UCC3580D-1")</f>
        <v>UCC3580D-1</v>
      </c>
      <c r="B19006" s="3" t="str">
        <f>HYPERLINK("https://www.773grp.com/manufacturer/texas-instruments?pageNo=155", "Texas Instruments")</f>
        <v>Texas Instruments</v>
      </c>
      <c r="C19006" s="5">
        <v>750</v>
      </c>
      <c r="D19006" s="6">
        <v>6.46</v>
      </c>
      <c r="E19006" t="s">
        <v>6</v>
      </c>
    </row>
    <row r="19007" spans="1:5" x14ac:dyDescent="0.25">
      <c r="A19007" t="str">
        <f>HYPERLINK("https://www.773grp.com/globalSearch/UCC3580D-1/page-1", "UCC3580D-1")</f>
        <v>UCC3580D-1</v>
      </c>
      <c r="B19007" s="3" t="str">
        <f>HYPERLINK("https://www.773grp.com/manufacturer/texas-instruments?pageNo=156", "Texas Instruments")</f>
        <v>Texas Instruments</v>
      </c>
      <c r="C19007" s="5">
        <v>160</v>
      </c>
      <c r="D19007" s="6">
        <v>6.46</v>
      </c>
      <c r="E19007" t="s">
        <v>6</v>
      </c>
    </row>
    <row r="19008" spans="1:5" x14ac:dyDescent="0.25">
      <c r="A19008" t="str">
        <f>HYPERLINK("https://www.773grp.com/globalSearch/UCC3580D-2/page-1", "UCC3580D-2")</f>
        <v>UCC3580D-2</v>
      </c>
      <c r="B19008" s="3" t="str">
        <f>HYPERLINK("https://www.773grp.com/manufacturer/texas-instruments?pageNo=157", "Texas Instruments")</f>
        <v>Texas Instruments</v>
      </c>
      <c r="C19008" s="5">
        <v>540</v>
      </c>
      <c r="D19008" s="6">
        <v>6.46</v>
      </c>
      <c r="E19008" t="s">
        <v>6</v>
      </c>
    </row>
    <row r="19009" spans="1:5" x14ac:dyDescent="0.25">
      <c r="A19009" t="str">
        <f>HYPERLINK("https://www.773grp.com/globalSearch/UCC3580D-3/page-1", "UCC3580D-3")</f>
        <v>UCC3580D-3</v>
      </c>
      <c r="B19009" s="3" t="str">
        <f>HYPERLINK("https://www.773grp.com/manufacturer/texas-instruments?pageNo=158", "Texas Instruments")</f>
        <v>Texas Instruments</v>
      </c>
      <c r="C19009" s="5">
        <v>8560</v>
      </c>
      <c r="D19009" s="6">
        <v>6.46</v>
      </c>
      <c r="E19009" t="s">
        <v>6</v>
      </c>
    </row>
    <row r="19010" spans="1:5" x14ac:dyDescent="0.25">
      <c r="A19010" t="str">
        <f>HYPERLINK("https://www.773grp.com/globalSearch/UCC3884D/page-1", "UCC3884D")</f>
        <v>UCC3884D</v>
      </c>
      <c r="B19010" s="3" t="str">
        <f>HYPERLINK("https://www.773grp.com/manufacturer/texas-instruments?pageNo=159", "Texas Instruments")</f>
        <v>Texas Instruments</v>
      </c>
      <c r="C19010" s="5">
        <v>25144</v>
      </c>
      <c r="D19010" s="6">
        <v>6.46</v>
      </c>
      <c r="E19010" t="s">
        <v>6</v>
      </c>
    </row>
    <row r="19011" spans="1:5" x14ac:dyDescent="0.25">
      <c r="A19011" t="str">
        <f>HYPERLINK("https://www.773grp.com/globalSearch/UCC3884D/page-1", "UCC3884D")</f>
        <v>UCC3884D</v>
      </c>
      <c r="B19011" s="3" t="str">
        <f>HYPERLINK("https://www.773grp.com/manufacturer/texas-instruments?pageNo=160", "Texas Instruments")</f>
        <v>Texas Instruments</v>
      </c>
      <c r="C19011" s="5">
        <v>2665</v>
      </c>
      <c r="D19011" s="6">
        <v>6.46</v>
      </c>
      <c r="E19011" t="s">
        <v>6</v>
      </c>
    </row>
    <row r="19012" spans="1:5" x14ac:dyDescent="0.25">
      <c r="A19012" t="str">
        <f>HYPERLINK("https://www.773grp.com/globalSearch/BQ2003PN/page-1", "BQ2003PN")</f>
        <v>BQ2003PN</v>
      </c>
      <c r="B19012" s="3" t="str">
        <f>HYPERLINK("https://www.773grp.com/manufacturer/texas-instruments?pageNo=166", "Texas Instruments")</f>
        <v>Texas Instruments</v>
      </c>
      <c r="C19012" s="5">
        <v>38</v>
      </c>
      <c r="D19012" s="6">
        <v>6.5</v>
      </c>
      <c r="E19012" t="s">
        <v>6</v>
      </c>
    </row>
    <row r="19013" spans="1:5" x14ac:dyDescent="0.25">
      <c r="A19013" t="str">
        <f>HYPERLINK("https://www.773grp.com/globalSearch/BQ2003PN/page-1", "BQ2003PN")</f>
        <v>BQ2003PN</v>
      </c>
      <c r="B19013" s="3" t="str">
        <f>HYPERLINK("https://www.773grp.com/manufacturer/texas-instruments?pageNo=167", "Texas Instruments")</f>
        <v>Texas Instruments</v>
      </c>
      <c r="C19013" s="5">
        <v>5</v>
      </c>
      <c r="D19013" s="6">
        <v>6.5</v>
      </c>
      <c r="E19013" t="s">
        <v>6</v>
      </c>
    </row>
    <row r="19014" spans="1:5" x14ac:dyDescent="0.25">
      <c r="A19014" t="str">
        <f>HYPERLINK("https://www.773grp.com/globalSearch/BQ2003PN-N/page-1", "BQ2003PN-N")</f>
        <v>BQ2003PN-N</v>
      </c>
      <c r="B19014" s="3" t="str">
        <f>HYPERLINK("https://www.773grp.com/manufacturer/texas-instruments?pageNo=168", "Texas Instruments")</f>
        <v>Texas Instruments</v>
      </c>
      <c r="C19014" s="5">
        <v>9025</v>
      </c>
      <c r="D19014" s="6">
        <v>6.5</v>
      </c>
      <c r="E19014" t="s">
        <v>6</v>
      </c>
    </row>
    <row r="19015" spans="1:5" x14ac:dyDescent="0.25">
      <c r="A19015" t="str">
        <f>HYPERLINK("https://www.773grp.com/globalSearch/BQ2003S-NTR/page-1", "BQ2003S-NTR")</f>
        <v>BQ2003S-NTR</v>
      </c>
      <c r="B19015" s="3" t="str">
        <f>HYPERLINK("https://www.773grp.com/manufacturer/texas-instruments?pageNo=169", "Texas Instruments")</f>
        <v>Texas Instruments</v>
      </c>
      <c r="C19015" s="5">
        <v>11450</v>
      </c>
      <c r="D19015" s="6">
        <v>6.5</v>
      </c>
      <c r="E19015" t="s">
        <v>6</v>
      </c>
    </row>
    <row r="19016" spans="1:5" x14ac:dyDescent="0.25">
      <c r="A19016" t="str">
        <f>HYPERLINK("https://www.773grp.com/globalSearch/BQ2003STR/page-1", "BQ2003STR")</f>
        <v>BQ2003STR</v>
      </c>
      <c r="B19016" s="3" t="str">
        <f>HYPERLINK("https://www.773grp.com/manufacturer/texas-instruments?pageNo=170", "Texas Instruments")</f>
        <v>Texas Instruments</v>
      </c>
      <c r="C19016" s="5">
        <v>14930</v>
      </c>
      <c r="D19016" s="6">
        <v>6.5</v>
      </c>
      <c r="E19016" t="s">
        <v>6</v>
      </c>
    </row>
    <row r="19017" spans="1:5" x14ac:dyDescent="0.25">
      <c r="A19017" t="str">
        <f>HYPERLINK("https://www.773grp.com/globalSearch/BQ2003STRG4/page-1", "BQ2003STRG4")</f>
        <v>BQ2003STRG4</v>
      </c>
      <c r="B19017" s="3" t="str">
        <f>HYPERLINK("https://www.773grp.com/manufacturer/texas-instruments?pageNo=171", "Texas Instruments")</f>
        <v>Texas Instruments</v>
      </c>
      <c r="C19017" s="5">
        <v>2000</v>
      </c>
      <c r="D19017" s="6">
        <v>6.5</v>
      </c>
      <c r="E19017" t="s">
        <v>6</v>
      </c>
    </row>
    <row r="19018" spans="1:5" x14ac:dyDescent="0.25">
      <c r="A19018" t="str">
        <f>HYPERLINK("https://www.773grp.com/globalSearch/TPS51120RHBR/page-1", "TPS51120RHBR")</f>
        <v>TPS51120RHBR</v>
      </c>
      <c r="B19018" s="3" t="str">
        <f>HYPERLINK("https://www.773grp.com/manufacturer/texas-instruments?pageNo=191", "Texas Instruments")</f>
        <v>Texas Instruments</v>
      </c>
      <c r="C19018" s="5">
        <v>6893</v>
      </c>
      <c r="D19018" s="6">
        <v>6.5</v>
      </c>
      <c r="E19018" t="s">
        <v>6</v>
      </c>
    </row>
    <row r="19019" spans="1:5" x14ac:dyDescent="0.25">
      <c r="A19019" t="str">
        <f>HYPERLINK("https://www.773grp.com/globalSearch/UC2823N/page-1", "UC2823N")</f>
        <v>UC2823N</v>
      </c>
      <c r="B19019" s="3" t="str">
        <f>HYPERLINK("https://www.773grp.com/manufacturer/texas-instruments?pageNo=221", "Texas Instruments")</f>
        <v>Texas Instruments</v>
      </c>
      <c r="C19019" s="5">
        <v>4400</v>
      </c>
      <c r="D19019" s="6">
        <v>6.53</v>
      </c>
      <c r="E19019" t="s">
        <v>6</v>
      </c>
    </row>
    <row r="19020" spans="1:5" x14ac:dyDescent="0.25">
      <c r="A19020" t="str">
        <f>HYPERLINK("https://www.773grp.com/globalSearch/UC2823N/page-1", "UC2823N")</f>
        <v>UC2823N</v>
      </c>
      <c r="B19020" s="3" t="str">
        <f>HYPERLINK("https://www.773grp.com/manufacturer/texas-instruments?pageNo=222", "Texas Instruments")</f>
        <v>Texas Instruments</v>
      </c>
      <c r="C19020" s="5">
        <v>7825</v>
      </c>
      <c r="D19020" s="6">
        <v>6.53</v>
      </c>
      <c r="E19020" t="s">
        <v>6</v>
      </c>
    </row>
    <row r="19021" spans="1:5" x14ac:dyDescent="0.25">
      <c r="A19021" t="str">
        <f>HYPERLINK("https://www.773grp.com/globalSearch/UC2825N/page-1", "UC2825N")</f>
        <v>UC2825N</v>
      </c>
      <c r="B19021" s="3" t="str">
        <f>HYPERLINK("https://www.773grp.com/manufacturer/texas-instruments?pageNo=223", "Texas Instruments")</f>
        <v>Texas Instruments</v>
      </c>
      <c r="C19021" s="5">
        <v>279</v>
      </c>
      <c r="D19021" s="6">
        <v>6.53</v>
      </c>
      <c r="E19021" t="s">
        <v>6</v>
      </c>
    </row>
    <row r="19022" spans="1:5" x14ac:dyDescent="0.25">
      <c r="A19022" t="str">
        <f>HYPERLINK("https://www.773grp.com/globalSearch/UC2825N/page-1", "UC2825N")</f>
        <v>UC2825N</v>
      </c>
      <c r="B19022" s="3" t="str">
        <f>HYPERLINK("https://www.773grp.com/manufacturer/texas-instruments?pageNo=224", "Texas Instruments")</f>
        <v>Texas Instruments</v>
      </c>
      <c r="C19022" s="5">
        <v>7250</v>
      </c>
      <c r="D19022" s="6">
        <v>6.53</v>
      </c>
      <c r="E19022" t="s">
        <v>6</v>
      </c>
    </row>
    <row r="19023" spans="1:5" x14ac:dyDescent="0.25">
      <c r="A19023" t="str">
        <f>HYPERLINK("https://www.773grp.com/globalSearch/LTC1044CP/page-1", "LTC1044CP")</f>
        <v>LTC1044CP</v>
      </c>
      <c r="B19023" s="3" t="str">
        <f>HYPERLINK("https://www.773grp.com/manufacturer/texas-instruments?pageNo=228", "Texas Instruments")</f>
        <v>Texas Instruments</v>
      </c>
      <c r="C19023" s="5">
        <v>24754</v>
      </c>
      <c r="D19023" s="6">
        <v>6.55</v>
      </c>
      <c r="E19023" t="s">
        <v>6</v>
      </c>
    </row>
    <row r="19024" spans="1:5" x14ac:dyDescent="0.25">
      <c r="A19024" t="str">
        <f>HYPERLINK("https://www.773grp.com/globalSearch/TPS54355PWPR/page-1", "TPS54355PWPR")</f>
        <v>TPS54355PWPR</v>
      </c>
      <c r="B19024" s="3" t="str">
        <f>HYPERLINK("https://www.773grp.com/manufacturer/texas-instruments?pageNo=324", "Texas Instruments")</f>
        <v>Texas Instruments</v>
      </c>
      <c r="C19024" s="5">
        <v>2000</v>
      </c>
      <c r="D19024" s="6">
        <v>6.61</v>
      </c>
      <c r="E19024" t="s">
        <v>6</v>
      </c>
    </row>
    <row r="19025" spans="1:5" x14ac:dyDescent="0.25">
      <c r="A19025" t="str">
        <f>HYPERLINK("https://www.773grp.com/globalSearch/TPS54357PWPR/page-1", "TPS54357PWPR")</f>
        <v>TPS54357PWPR</v>
      </c>
      <c r="B19025" s="3" t="str">
        <f>HYPERLINK("https://www.773grp.com/manufacturer/texas-instruments?pageNo=325", "Texas Instruments")</f>
        <v>Texas Instruments</v>
      </c>
      <c r="C19025" s="5">
        <v>16000</v>
      </c>
      <c r="D19025" s="6">
        <v>6.61</v>
      </c>
      <c r="E19025" t="s">
        <v>6</v>
      </c>
    </row>
    <row r="19026" spans="1:5" x14ac:dyDescent="0.25">
      <c r="A19026" t="str">
        <f>HYPERLINK("https://www.773grp.com/globalSearch/TPS65163RGZR/page-1", "TPS65163RGZR")</f>
        <v>TPS65163RGZR</v>
      </c>
      <c r="B19026" s="3" t="str">
        <f>HYPERLINK("https://www.773grp.com/manufacturer/texas-instruments?pageNo=326", "Texas Instruments")</f>
        <v>Texas Instruments</v>
      </c>
      <c r="C19026" s="5">
        <v>483</v>
      </c>
      <c r="D19026" s="6">
        <v>6.61</v>
      </c>
      <c r="E19026" t="s">
        <v>6</v>
      </c>
    </row>
    <row r="19027" spans="1:5" x14ac:dyDescent="0.25">
      <c r="A19027" t="str">
        <f>HYPERLINK("https://www.773grp.com/globalSearch/UC3525BDWTR/page-1", "UC3525BDWTR")</f>
        <v>UC3525BDWTR</v>
      </c>
      <c r="B19027" s="3" t="str">
        <f>HYPERLINK("https://www.773grp.com/manufacturer/texas-instruments?pageNo=338", "Texas Instruments")</f>
        <v>Texas Instruments</v>
      </c>
      <c r="C19027" s="5">
        <v>4000</v>
      </c>
      <c r="D19027" s="6">
        <v>6.61</v>
      </c>
      <c r="E19027" t="s">
        <v>6</v>
      </c>
    </row>
    <row r="19028" spans="1:5" x14ac:dyDescent="0.25">
      <c r="A19028" t="str">
        <f>HYPERLINK("https://www.773grp.com/globalSearch/UCC28070PW/page-1", "UCC28070PW")</f>
        <v>UCC28070PW</v>
      </c>
      <c r="B19028" s="3" t="str">
        <f>HYPERLINK("https://www.773grp.com/manufacturer/texas-instruments?pageNo=341", "Texas Instruments")</f>
        <v>Texas Instruments</v>
      </c>
      <c r="C19028" s="5">
        <v>1505</v>
      </c>
      <c r="D19028" s="6">
        <v>6.61</v>
      </c>
      <c r="E19028" t="s">
        <v>6</v>
      </c>
    </row>
    <row r="19029" spans="1:5" x14ac:dyDescent="0.25">
      <c r="A19029" t="str">
        <f>HYPERLINK("https://www.773grp.com/globalSearch/UCC38501DWTR/page-1", "UCC38501DWTR")</f>
        <v>UCC38501DWTR</v>
      </c>
      <c r="B19029" s="3" t="str">
        <f>HYPERLINK("https://www.773grp.com/manufacturer/texas-instruments?pageNo=342", "Texas Instruments")</f>
        <v>Texas Instruments</v>
      </c>
      <c r="C19029" s="5">
        <v>32000</v>
      </c>
      <c r="D19029" s="6">
        <v>6.61</v>
      </c>
      <c r="E19029" t="s">
        <v>6</v>
      </c>
    </row>
    <row r="19030" spans="1:5" x14ac:dyDescent="0.25">
      <c r="A19030" t="str">
        <f>HYPERLINK("https://www.773grp.com/globalSearch/UCC38503DWTR/page-1", "UCC38503DWTR")</f>
        <v>UCC38503DWTR</v>
      </c>
      <c r="B19030" s="3" t="str">
        <f>HYPERLINK("https://www.773grp.com/manufacturer/texas-instruments?pageNo=344", "Texas Instruments")</f>
        <v>Texas Instruments</v>
      </c>
      <c r="C19030" s="5">
        <v>20000</v>
      </c>
      <c r="D19030" s="6">
        <v>6.61</v>
      </c>
      <c r="E19030" t="s">
        <v>6</v>
      </c>
    </row>
    <row r="19031" spans="1:5" x14ac:dyDescent="0.25">
      <c r="A19031" t="str">
        <f>HYPERLINK("https://www.773grp.com/globalSearch/UC2527AN/page-1", "UC2527AN")</f>
        <v>UC2527AN</v>
      </c>
      <c r="B19031" s="3" t="str">
        <f>HYPERLINK("https://www.773grp.com/manufacturer/texas-instruments?pageNo=428", "Texas Instruments")</f>
        <v>Texas Instruments</v>
      </c>
      <c r="C19031" s="5">
        <v>4200</v>
      </c>
      <c r="D19031" s="6">
        <v>6.7</v>
      </c>
      <c r="E19031" t="s">
        <v>6</v>
      </c>
    </row>
    <row r="19032" spans="1:5" x14ac:dyDescent="0.25">
      <c r="A19032" t="str">
        <f>HYPERLINK("https://www.773grp.com/globalSearch/UC2527AN/page-1", "UC2527AN")</f>
        <v>UC2527AN</v>
      </c>
      <c r="B19032" s="3" t="str">
        <f>HYPERLINK("https://www.773grp.com/manufacturer/texas-instruments?pageNo=429", "Texas Instruments")</f>
        <v>Texas Instruments</v>
      </c>
      <c r="C19032" s="5">
        <v>5900</v>
      </c>
      <c r="D19032" s="6">
        <v>6.7</v>
      </c>
      <c r="E19032" t="s">
        <v>6</v>
      </c>
    </row>
    <row r="19033" spans="1:5" x14ac:dyDescent="0.25">
      <c r="A19033" t="str">
        <f>HYPERLINK("https://www.773grp.com/globalSearch/UC3856N/page-1", "UC3856N")</f>
        <v>UC3856N</v>
      </c>
      <c r="B19033" s="3" t="str">
        <f>HYPERLINK("https://www.773grp.com/manufacturer/texas-instruments?pageNo=431", "Texas Instruments")</f>
        <v>Texas Instruments</v>
      </c>
      <c r="C19033" s="5">
        <v>14404</v>
      </c>
      <c r="D19033" s="6">
        <v>6.7</v>
      </c>
      <c r="E19033" t="s">
        <v>6</v>
      </c>
    </row>
    <row r="19034" spans="1:5" x14ac:dyDescent="0.25">
      <c r="A19034" t="str">
        <f>HYPERLINK("https://www.773grp.com/globalSearch/TL1464IPTR/page-1", "TL1464IPTR")</f>
        <v>TL1464IPTR</v>
      </c>
      <c r="B19034" s="3" t="str">
        <f>HYPERLINK("https://www.773grp.com/manufacturer/texas-instruments?pageNo=504", "Texas Instruments")</f>
        <v>Texas Instruments</v>
      </c>
      <c r="C19034" s="5">
        <v>1000</v>
      </c>
      <c r="D19034" s="6">
        <v>6.75</v>
      </c>
      <c r="E19034" t="s">
        <v>6</v>
      </c>
    </row>
    <row r="19035" spans="1:5" x14ac:dyDescent="0.25">
      <c r="A19035" t="str">
        <f>HYPERLINK("https://www.773grp.com/globalSearch/TL1466IPM/page-1", "TL1466IPM")</f>
        <v>TL1466IPM</v>
      </c>
      <c r="B19035" s="3" t="str">
        <f>HYPERLINK("https://www.773grp.com/manufacturer/texas-instruments?pageNo=505", "Texas Instruments")</f>
        <v>Texas Instruments</v>
      </c>
      <c r="C19035" s="5">
        <v>307</v>
      </c>
      <c r="D19035" s="6">
        <v>6.75</v>
      </c>
      <c r="E19035" t="s">
        <v>6</v>
      </c>
    </row>
    <row r="19036" spans="1:5" x14ac:dyDescent="0.25">
      <c r="A19036" t="str">
        <f>HYPERLINK("https://www.773grp.com/globalSearch/TPS54383PWPR/page-1", "TPS54383PWPR")</f>
        <v>TPS54383PWPR</v>
      </c>
      <c r="B19036" s="3" t="str">
        <f>HYPERLINK("https://www.773grp.com/manufacturer/texas-instruments?pageNo=532", "Texas Instruments")</f>
        <v>Texas Instruments</v>
      </c>
      <c r="C19036" s="5">
        <v>1000</v>
      </c>
      <c r="D19036" s="6">
        <v>6.75</v>
      </c>
      <c r="E19036" t="s">
        <v>6</v>
      </c>
    </row>
    <row r="19037" spans="1:5" x14ac:dyDescent="0.25">
      <c r="A19037" t="str">
        <f>HYPERLINK("https://www.773grp.com/globalSearch/TPS55383PWPR/page-1", "TPS55383PWPR")</f>
        <v>TPS55383PWPR</v>
      </c>
      <c r="B19037" s="3" t="str">
        <f>HYPERLINK("https://www.773grp.com/manufacturer/texas-instruments?pageNo=534", "Texas Instruments")</f>
        <v>Texas Instruments</v>
      </c>
      <c r="C19037" s="5">
        <v>33900</v>
      </c>
      <c r="D19037" s="6">
        <v>6.75</v>
      </c>
      <c r="E19037" t="s">
        <v>6</v>
      </c>
    </row>
    <row r="19038" spans="1:5" x14ac:dyDescent="0.25">
      <c r="A19038" t="str">
        <f>HYPERLINK("https://www.773grp.com/globalSearch/UC2864N/page-1", "UC2864N")</f>
        <v>UC2864N</v>
      </c>
      <c r="B19038" s="3" t="str">
        <f>HYPERLINK("https://www.773grp.com/manufacturer/texas-instruments?pageNo=542", "Texas Instruments")</f>
        <v>Texas Instruments</v>
      </c>
      <c r="C19038" s="5">
        <v>25</v>
      </c>
      <c r="D19038" s="6">
        <v>6.75</v>
      </c>
      <c r="E19038" t="s">
        <v>6</v>
      </c>
    </row>
    <row r="19039" spans="1:5" x14ac:dyDescent="0.25">
      <c r="A19039" t="str">
        <f>HYPERLINK("https://www.773grp.com/globalSearch/UCC28221D/page-1", "UCC28221D")</f>
        <v>UCC28221D</v>
      </c>
      <c r="B19039" s="3" t="str">
        <f>HYPERLINK("https://www.773grp.com/manufacturer/texas-instruments?pageNo=544", "Texas Instruments")</f>
        <v>Texas Instruments</v>
      </c>
      <c r="C19039" s="5">
        <v>17282</v>
      </c>
      <c r="D19039" s="6">
        <v>6.75</v>
      </c>
      <c r="E19039" t="s">
        <v>6</v>
      </c>
    </row>
    <row r="19040" spans="1:5" x14ac:dyDescent="0.25">
      <c r="A19040" t="str">
        <f>HYPERLINK("https://www.773grp.com/globalSearch/UCC28221PW/page-1", "UCC28221PW")</f>
        <v>UCC28221PW</v>
      </c>
      <c r="B19040" s="3" t="str">
        <f>HYPERLINK("https://www.773grp.com/manufacturer/texas-instruments?pageNo=545", "Texas Instruments")</f>
        <v>Texas Instruments</v>
      </c>
      <c r="C19040" s="5">
        <v>13675</v>
      </c>
      <c r="D19040" s="6">
        <v>6.75</v>
      </c>
      <c r="E19040" t="s">
        <v>6</v>
      </c>
    </row>
    <row r="19041" spans="1:5" x14ac:dyDescent="0.25">
      <c r="A19041" t="str">
        <f>HYPERLINK("https://www.773grp.com/globalSearch/UCC28510N/page-1", "UCC28510N")</f>
        <v>UCC28510N</v>
      </c>
      <c r="B19041" s="3" t="str">
        <f>HYPERLINK("https://www.773grp.com/manufacturer/texas-instruments?pageNo=546", "Texas Instruments")</f>
        <v>Texas Instruments</v>
      </c>
      <c r="C19041" s="5">
        <v>740</v>
      </c>
      <c r="D19041" s="6">
        <v>6.75</v>
      </c>
      <c r="E19041" t="s">
        <v>6</v>
      </c>
    </row>
    <row r="19042" spans="1:5" x14ac:dyDescent="0.25">
      <c r="A19042" t="str">
        <f>HYPERLINK("https://www.773grp.com/globalSearch/UCC28510N/page-1", "UCC28510N")</f>
        <v>UCC28510N</v>
      </c>
      <c r="B19042" s="3" t="str">
        <f>HYPERLINK("https://www.773grp.com/manufacturer/texas-instruments?pageNo=547", "Texas Instruments")</f>
        <v>Texas Instruments</v>
      </c>
      <c r="C19042" s="5">
        <v>4240</v>
      </c>
      <c r="D19042" s="6">
        <v>6.75</v>
      </c>
      <c r="E19042" t="s">
        <v>6</v>
      </c>
    </row>
    <row r="19043" spans="1:5" x14ac:dyDescent="0.25">
      <c r="A19043" t="str">
        <f>HYPERLINK("https://www.773grp.com/globalSearch/UCC28510N/page-1", "UCC28510N")</f>
        <v>UCC28510N</v>
      </c>
      <c r="B19043" s="3" t="str">
        <f>HYPERLINK("https://www.773grp.com/manufacturer/texas-instruments?pageNo=548", "Texas Instruments")</f>
        <v>Texas Instruments</v>
      </c>
      <c r="C19043" s="5">
        <v>2460</v>
      </c>
      <c r="D19043" s="6">
        <v>6.75</v>
      </c>
      <c r="E19043" t="s">
        <v>6</v>
      </c>
    </row>
    <row r="19044" spans="1:5" x14ac:dyDescent="0.25">
      <c r="A19044" t="str">
        <f>HYPERLINK("https://www.773grp.com/globalSearch/UCC28511N/page-1", "UCC28511N")</f>
        <v>UCC28511N</v>
      </c>
      <c r="B19044" s="3" t="str">
        <f>HYPERLINK("https://www.773grp.com/manufacturer/texas-instruments?pageNo=549", "Texas Instruments")</f>
        <v>Texas Instruments</v>
      </c>
      <c r="C19044" s="5">
        <v>180</v>
      </c>
      <c r="D19044" s="6">
        <v>6.75</v>
      </c>
      <c r="E19044" t="s">
        <v>6</v>
      </c>
    </row>
    <row r="19045" spans="1:5" x14ac:dyDescent="0.25">
      <c r="A19045" t="str">
        <f>HYPERLINK("https://www.773grp.com/globalSearch/UCC28511N/page-1", "UCC28511N")</f>
        <v>UCC28511N</v>
      </c>
      <c r="B19045" s="3" t="str">
        <f>HYPERLINK("https://www.773grp.com/manufacturer/texas-instruments?pageNo=550", "Texas Instruments")</f>
        <v>Texas Instruments</v>
      </c>
      <c r="C19045" s="5">
        <v>2240</v>
      </c>
      <c r="D19045" s="6">
        <v>6.75</v>
      </c>
      <c r="E19045" t="s">
        <v>6</v>
      </c>
    </row>
    <row r="19046" spans="1:5" x14ac:dyDescent="0.25">
      <c r="A19046" t="str">
        <f>HYPERLINK("https://www.773grp.com/globalSearch/UCC28512N/page-1", "UCC28512N")</f>
        <v>UCC28512N</v>
      </c>
      <c r="B19046" s="3" t="str">
        <f>HYPERLINK("https://www.773grp.com/manufacturer/texas-instruments?pageNo=551", "Texas Instruments")</f>
        <v>Texas Instruments</v>
      </c>
      <c r="C19046" s="5">
        <v>3600</v>
      </c>
      <c r="D19046" s="6">
        <v>6.75</v>
      </c>
      <c r="E19046" t="s">
        <v>6</v>
      </c>
    </row>
    <row r="19047" spans="1:5" x14ac:dyDescent="0.25">
      <c r="A19047" t="str">
        <f>HYPERLINK("https://www.773grp.com/globalSearch/UCC28512N/page-1", "UCC28512N")</f>
        <v>UCC28512N</v>
      </c>
      <c r="B19047" s="3" t="str">
        <f>HYPERLINK("https://www.773grp.com/manufacturer/texas-instruments?pageNo=552", "Texas Instruments")</f>
        <v>Texas Instruments</v>
      </c>
      <c r="C19047" s="5">
        <v>1600</v>
      </c>
      <c r="D19047" s="6">
        <v>6.75</v>
      </c>
      <c r="E19047" t="s">
        <v>6</v>
      </c>
    </row>
    <row r="19048" spans="1:5" x14ac:dyDescent="0.25">
      <c r="A19048" t="str">
        <f>HYPERLINK("https://www.773grp.com/globalSearch/UCC28513N/page-1", "UCC28513N")</f>
        <v>UCC28513N</v>
      </c>
      <c r="B19048" s="3" t="str">
        <f>HYPERLINK("https://www.773grp.com/manufacturer/texas-instruments?pageNo=553", "Texas Instruments")</f>
        <v>Texas Instruments</v>
      </c>
      <c r="C19048" s="5">
        <v>1860</v>
      </c>
      <c r="D19048" s="6">
        <v>6.75</v>
      </c>
      <c r="E19048" t="s">
        <v>6</v>
      </c>
    </row>
    <row r="19049" spans="1:5" x14ac:dyDescent="0.25">
      <c r="A19049" t="str">
        <f>HYPERLINK("https://www.773grp.com/globalSearch/UCC28513N/page-1", "UCC28513N")</f>
        <v>UCC28513N</v>
      </c>
      <c r="B19049" s="3" t="str">
        <f>HYPERLINK("https://www.773grp.com/manufacturer/texas-instruments?pageNo=554", "Texas Instruments")</f>
        <v>Texas Instruments</v>
      </c>
      <c r="C19049" s="5">
        <v>9560</v>
      </c>
      <c r="D19049" s="6">
        <v>6.75</v>
      </c>
      <c r="E19049" t="s">
        <v>6</v>
      </c>
    </row>
    <row r="19050" spans="1:5" x14ac:dyDescent="0.25">
      <c r="A19050" t="str">
        <f>HYPERLINK("https://www.773grp.com/globalSearch/UCC28514N/page-1", "UCC28514N")</f>
        <v>UCC28514N</v>
      </c>
      <c r="B19050" s="3" t="str">
        <f>HYPERLINK("https://www.773grp.com/manufacturer/texas-instruments?pageNo=555", "Texas Instruments")</f>
        <v>Texas Instruments</v>
      </c>
      <c r="C19050" s="5">
        <v>13640</v>
      </c>
      <c r="D19050" s="6">
        <v>6.75</v>
      </c>
      <c r="E19050" t="s">
        <v>6</v>
      </c>
    </row>
    <row r="19051" spans="1:5" x14ac:dyDescent="0.25">
      <c r="A19051" t="str">
        <f>HYPERLINK("https://www.773grp.com/globalSearch/UCC28515N/page-1", "UCC28515N")</f>
        <v>UCC28515N</v>
      </c>
      <c r="B19051" s="3" t="str">
        <f>HYPERLINK("https://www.773grp.com/manufacturer/texas-instruments?pageNo=556", "Texas Instruments")</f>
        <v>Texas Instruments</v>
      </c>
      <c r="C19051" s="5">
        <v>1520</v>
      </c>
      <c r="D19051" s="6">
        <v>6.75</v>
      </c>
      <c r="E19051" t="s">
        <v>6</v>
      </c>
    </row>
    <row r="19052" spans="1:5" x14ac:dyDescent="0.25">
      <c r="A19052" t="str">
        <f>HYPERLINK("https://www.773grp.com/globalSearch/UCC28515N/page-1", "UCC28515N")</f>
        <v>UCC28515N</v>
      </c>
      <c r="B19052" s="3" t="str">
        <f>HYPERLINK("https://www.773grp.com/manufacturer/texas-instruments?pageNo=557", "Texas Instruments")</f>
        <v>Texas Instruments</v>
      </c>
      <c r="C19052" s="5">
        <v>1240</v>
      </c>
      <c r="D19052" s="6">
        <v>6.75</v>
      </c>
      <c r="E19052" t="s">
        <v>6</v>
      </c>
    </row>
    <row r="19053" spans="1:5" x14ac:dyDescent="0.25">
      <c r="A19053" t="str">
        <f>HYPERLINK("https://www.773grp.com/globalSearch/UCC3810N/page-1", "UCC3810N")</f>
        <v>UCC3810N</v>
      </c>
      <c r="B19053" s="3" t="str">
        <f>HYPERLINK("https://www.773grp.com/manufacturer/texas-instruments?pageNo=628", "Texas Instruments")</f>
        <v>Texas Instruments</v>
      </c>
      <c r="C19053" s="5">
        <v>2082</v>
      </c>
      <c r="D19053" s="6">
        <v>6.86</v>
      </c>
      <c r="E19053" t="s">
        <v>6</v>
      </c>
    </row>
    <row r="19054" spans="1:5" x14ac:dyDescent="0.25">
      <c r="A19054" t="str">
        <f>HYPERLINK("https://www.773grp.com/globalSearch/TPS62100DR/page-1", "TPS62100DR")</f>
        <v>TPS62100DR</v>
      </c>
      <c r="B19054" s="3" t="str">
        <f>HYPERLINK("https://www.773grp.com/manufacturer/texas-instruments?pageNo=682", "Texas Instruments")</f>
        <v>Texas Instruments</v>
      </c>
      <c r="C19054" s="5">
        <v>19500</v>
      </c>
      <c r="D19054" s="6">
        <v>6.89</v>
      </c>
      <c r="E19054" t="s">
        <v>6</v>
      </c>
    </row>
    <row r="19055" spans="1:5" x14ac:dyDescent="0.25">
      <c r="A19055" t="str">
        <f>HYPERLINK("https://www.773grp.com/globalSearch/TPS62102DR/page-1", "TPS62102DR")</f>
        <v>TPS62102DR</v>
      </c>
      <c r="B19055" s="3" t="str">
        <f>HYPERLINK("https://www.773grp.com/manufacturer/texas-instruments?pageNo=683", "Texas Instruments")</f>
        <v>Texas Instruments</v>
      </c>
      <c r="C19055" s="5">
        <v>37500</v>
      </c>
      <c r="D19055" s="6">
        <v>6.89</v>
      </c>
      <c r="E19055" t="s">
        <v>6</v>
      </c>
    </row>
    <row r="19056" spans="1:5" x14ac:dyDescent="0.25">
      <c r="A19056" t="str">
        <f>HYPERLINK("https://www.773grp.com/globalSearch/TPS65167RHAT/page-1", "TPS65167RHAT")</f>
        <v>TPS65167RHAT</v>
      </c>
      <c r="B19056" s="3" t="str">
        <f>HYPERLINK("https://www.773grp.com/manufacturer/texas-instruments?pageNo=684", "Texas Instruments")</f>
        <v>Texas Instruments</v>
      </c>
      <c r="C19056" s="5">
        <v>6500</v>
      </c>
      <c r="D19056" s="6">
        <v>6.89</v>
      </c>
      <c r="E19056" t="s">
        <v>6</v>
      </c>
    </row>
    <row r="19057" spans="1:5" x14ac:dyDescent="0.25">
      <c r="A19057" t="str">
        <f>HYPERLINK("https://www.773grp.com/globalSearch/UCC2804QDREP/page-1", "UCC2804QDREP")</f>
        <v>UCC2804QDREP</v>
      </c>
      <c r="B19057" s="3" t="str">
        <f>HYPERLINK("https://www.773grp.com/manufacturer/texas-instruments?pageNo=692", "Texas Instruments")</f>
        <v>Texas Instruments</v>
      </c>
      <c r="C19057" s="5">
        <v>3726</v>
      </c>
      <c r="D19057" s="6">
        <v>6.89</v>
      </c>
      <c r="E19057" t="s">
        <v>6</v>
      </c>
    </row>
    <row r="19058" spans="1:5" x14ac:dyDescent="0.25">
      <c r="A19058" t="str">
        <f>HYPERLINK("https://www.773grp.com/globalSearch/UCD3020RGZR/page-1", "UCD3020RGZR")</f>
        <v>UCD3020RGZR</v>
      </c>
      <c r="B19058" s="3" t="str">
        <f>HYPERLINK("https://www.773grp.com/manufacturer/texas-instruments?pageNo=693", "Texas Instruments")</f>
        <v>Texas Instruments</v>
      </c>
      <c r="C19058" s="5">
        <v>2500</v>
      </c>
      <c r="D19058" s="6">
        <v>6.89</v>
      </c>
      <c r="E19058" t="s">
        <v>6</v>
      </c>
    </row>
    <row r="19059" spans="1:5" x14ac:dyDescent="0.25">
      <c r="A19059" t="str">
        <f>HYPERLINK("https://www.773grp.com/globalSearch/UC2525BDWTR/page-1", "UC2525BDWTR")</f>
        <v>UC2525BDWTR</v>
      </c>
      <c r="B19059" s="3" t="str">
        <f>HYPERLINK("https://www.773grp.com/manufacturer/texas-instruments?pageNo=708", "Texas Instruments")</f>
        <v>Texas Instruments</v>
      </c>
      <c r="C19059" s="5">
        <v>2000</v>
      </c>
      <c r="D19059" s="6">
        <v>6.93</v>
      </c>
      <c r="E19059" t="s">
        <v>6</v>
      </c>
    </row>
    <row r="19060" spans="1:5" x14ac:dyDescent="0.25">
      <c r="A19060" t="str">
        <f>HYPERLINK("https://www.773grp.com/globalSearch/UCC3858N/page-1", "UCC3858N")</f>
        <v>UCC3858N</v>
      </c>
      <c r="B19060" s="3" t="str">
        <f>HYPERLINK("https://www.773grp.com/manufacturer/texas-instruments?pageNo=709", "Texas Instruments")</f>
        <v>Texas Instruments</v>
      </c>
      <c r="C19060" s="5">
        <v>2155</v>
      </c>
      <c r="D19060" s="6">
        <v>6.93</v>
      </c>
      <c r="E19060" t="s">
        <v>6</v>
      </c>
    </row>
    <row r="19061" spans="1:5" x14ac:dyDescent="0.25">
      <c r="A19061" t="str">
        <f>HYPERLINK("https://www.773grp.com/globalSearch/BQ2005PN/page-1", "BQ2005PN")</f>
        <v>BQ2005PN</v>
      </c>
      <c r="B19061" s="3" t="str">
        <f>HYPERLINK("https://www.773grp.com/manufacturer/texas-instruments?pageNo=714", "Texas Instruments")</f>
        <v>Texas Instruments</v>
      </c>
      <c r="C19061" s="5">
        <v>101092</v>
      </c>
      <c r="D19061" s="6">
        <v>6.95</v>
      </c>
      <c r="E19061" t="s">
        <v>6</v>
      </c>
    </row>
    <row r="19062" spans="1:5" x14ac:dyDescent="0.25">
      <c r="A19062" t="str">
        <f>HYPERLINK("https://www.773grp.com/globalSearch/UC2852N/page-1", "UC2852N")</f>
        <v>UC2852N</v>
      </c>
      <c r="B19062" s="3" t="str">
        <f>HYPERLINK("https://www.773grp.com/manufacturer/texas-instruments?pageNo=724", "Texas Instruments")</f>
        <v>Texas Instruments</v>
      </c>
      <c r="C19062" s="5">
        <v>4305</v>
      </c>
      <c r="D19062" s="6">
        <v>6.95</v>
      </c>
      <c r="E19062" t="s">
        <v>6</v>
      </c>
    </row>
    <row r="19063" spans="1:5" x14ac:dyDescent="0.25">
      <c r="A19063" t="str">
        <f>HYPERLINK("https://www.773grp.com/globalSearch/UC2852NG4/page-1", "UC2852NG4")</f>
        <v>UC2852NG4</v>
      </c>
      <c r="B19063" s="3" t="str">
        <f>HYPERLINK("https://www.773grp.com/manufacturer/texas-instruments?pageNo=725", "Texas Instruments")</f>
        <v>Texas Instruments</v>
      </c>
      <c r="C19063" s="5">
        <v>110</v>
      </c>
      <c r="D19063" s="6">
        <v>6.95</v>
      </c>
      <c r="E19063" t="s">
        <v>6</v>
      </c>
    </row>
    <row r="19064" spans="1:5" x14ac:dyDescent="0.25">
      <c r="A19064" t="str">
        <f>HYPERLINK("https://www.773grp.com/globalSearch/UC2856N/page-1", "UC2856N")</f>
        <v>UC2856N</v>
      </c>
      <c r="B19064" s="3" t="str">
        <f>HYPERLINK("https://www.773grp.com/manufacturer/texas-instruments?pageNo=726", "Texas Instruments")</f>
        <v>Texas Instruments</v>
      </c>
      <c r="C19064" s="5">
        <v>141</v>
      </c>
      <c r="D19064" s="6">
        <v>6.95</v>
      </c>
      <c r="E19064" t="s">
        <v>6</v>
      </c>
    </row>
    <row r="19065" spans="1:5" x14ac:dyDescent="0.25">
      <c r="A19065" t="str">
        <f>HYPERLINK("https://www.773grp.com/globalSearch/UCC39412PW/page-1", "UCC39412PW")</f>
        <v>UCC39412PW</v>
      </c>
      <c r="B19065" s="3" t="str">
        <f>HYPERLINK("https://www.773grp.com/manufacturer/texas-instruments?pageNo=729", "Texas Instruments")</f>
        <v>Texas Instruments</v>
      </c>
      <c r="C19065" s="5">
        <v>38150</v>
      </c>
      <c r="D19065" s="6">
        <v>6.95</v>
      </c>
      <c r="E19065" t="s">
        <v>6</v>
      </c>
    </row>
    <row r="19066" spans="1:5" x14ac:dyDescent="0.25">
      <c r="A19066" t="str">
        <f>HYPERLINK("https://www.773grp.com/globalSearch/BQ2954SN/page-1", "BQ2954SN")</f>
        <v>BQ2954SN</v>
      </c>
      <c r="B19066" s="3" t="str">
        <f>HYPERLINK("https://www.773grp.com/manufacturer/texas-instruments?pageNo=763", "Texas Instruments")</f>
        <v>Texas Instruments</v>
      </c>
      <c r="C19066" s="5">
        <v>2877</v>
      </c>
      <c r="D19066" s="6">
        <v>7.04</v>
      </c>
      <c r="E19066" t="s">
        <v>6</v>
      </c>
    </row>
    <row r="19067" spans="1:5" x14ac:dyDescent="0.25">
      <c r="A19067" t="str">
        <f>HYPERLINK("https://www.773grp.com/globalSearch/TPS40140RHHR/page-1", "TPS40140RHHR")</f>
        <v>TPS40140RHHR</v>
      </c>
      <c r="B19067" s="3" t="str">
        <f>HYPERLINK("https://www.773grp.com/manufacturer/texas-instruments?pageNo=870", "Texas Instruments")</f>
        <v>Texas Instruments</v>
      </c>
      <c r="C19067" s="5">
        <v>45020</v>
      </c>
      <c r="D19067" s="6">
        <v>7.04</v>
      </c>
      <c r="E19067" t="s">
        <v>6</v>
      </c>
    </row>
    <row r="19068" spans="1:5" x14ac:dyDescent="0.25">
      <c r="A19068" t="str">
        <f>HYPERLINK("https://www.773grp.com/globalSearch/TPS5124DBT/page-1", "TPS5124DBT")</f>
        <v>TPS5124DBT</v>
      </c>
      <c r="B19068" s="3" t="str">
        <f>HYPERLINK("https://www.773grp.com/manufacturer/texas-instruments?pageNo=871", "Texas Instruments")</f>
        <v>Texas Instruments</v>
      </c>
      <c r="C19068" s="5">
        <v>39850</v>
      </c>
      <c r="D19068" s="6">
        <v>7.04</v>
      </c>
      <c r="E19068" t="s">
        <v>6</v>
      </c>
    </row>
    <row r="19069" spans="1:5" x14ac:dyDescent="0.25">
      <c r="A19069" t="str">
        <f>HYPERLINK("https://www.773grp.com/globalSearch/TPS51427RHBR/page-1", "TPS51427RHBR")</f>
        <v>TPS51427RHBR</v>
      </c>
      <c r="B19069" s="3" t="str">
        <f>HYPERLINK("https://www.773grp.com/manufacturer/texas-instruments?pageNo=872", "Texas Instruments")</f>
        <v>Texas Instruments</v>
      </c>
      <c r="C19069" s="5">
        <v>168000</v>
      </c>
      <c r="D19069" s="6">
        <v>7.04</v>
      </c>
      <c r="E19069" t="s">
        <v>6</v>
      </c>
    </row>
    <row r="19070" spans="1:5" x14ac:dyDescent="0.25">
      <c r="A19070" t="str">
        <f>HYPERLINK("https://www.773grp.com/globalSearch/TPS54917RUVR/page-1", "TPS54917RUVR")</f>
        <v>TPS54917RUVR</v>
      </c>
      <c r="B19070" s="3" t="str">
        <f>HYPERLINK("https://www.773grp.com/manufacturer/texas-instruments?pageNo=873", "Texas Instruments")</f>
        <v>Texas Instruments</v>
      </c>
      <c r="C19070" s="5">
        <v>6000</v>
      </c>
      <c r="D19070" s="6">
        <v>7.04</v>
      </c>
      <c r="E19070" t="s">
        <v>6</v>
      </c>
    </row>
    <row r="19071" spans="1:5" x14ac:dyDescent="0.25">
      <c r="A19071" t="str">
        <f>HYPERLINK("https://www.773grp.com/globalSearch/UC3548N/page-1", "UC3548N")</f>
        <v>UC3548N</v>
      </c>
      <c r="B19071" s="3" t="str">
        <f>HYPERLINK("https://www.773grp.com/manufacturer/texas-instruments?pageNo=898", "Texas Instruments")</f>
        <v>Texas Instruments</v>
      </c>
      <c r="C19071" s="5">
        <v>1388</v>
      </c>
      <c r="D19071" s="6">
        <v>7.04</v>
      </c>
      <c r="E19071" t="s">
        <v>6</v>
      </c>
    </row>
    <row r="19072" spans="1:5" x14ac:dyDescent="0.25">
      <c r="A19072" t="str">
        <f>HYPERLINK("https://www.773grp.com/globalSearch/UC3865Q/page-1", "UC3865Q")</f>
        <v>UC3865Q</v>
      </c>
      <c r="B19072" s="3" t="str">
        <f>HYPERLINK("https://www.773grp.com/manufacturer/texas-instruments?pageNo=899", "Texas Instruments")</f>
        <v>Texas Instruments</v>
      </c>
      <c r="C19072" s="5">
        <v>12378</v>
      </c>
      <c r="D19072" s="6">
        <v>7.04</v>
      </c>
      <c r="E19072" t="s">
        <v>6</v>
      </c>
    </row>
    <row r="19073" spans="1:5" x14ac:dyDescent="0.25">
      <c r="A19073" t="str">
        <f>HYPERLINK("https://www.773grp.com/globalSearch/UC3865Q/page-1", "UC3865Q")</f>
        <v>UC3865Q</v>
      </c>
      <c r="B19073" s="3" t="str">
        <f>HYPERLINK("https://www.773grp.com/manufacturer/texas-instruments?pageNo=900", "Texas Instruments")</f>
        <v>Texas Instruments</v>
      </c>
      <c r="C19073" s="5">
        <v>150</v>
      </c>
      <c r="D19073" s="6">
        <v>7.04</v>
      </c>
      <c r="E19073" t="s">
        <v>6</v>
      </c>
    </row>
    <row r="19074" spans="1:5" x14ac:dyDescent="0.25">
      <c r="A19074" t="str">
        <f>HYPERLINK("https://www.773grp.com/globalSearch/UCC2580D-1/page-1", "UCC2580D-1")</f>
        <v>UCC2580D-1</v>
      </c>
      <c r="B19074" s="3" t="str">
        <f>HYPERLINK("https://www.773grp.com/manufacturer/texas-instruments?pageNo=901", "Texas Instruments")</f>
        <v>Texas Instruments</v>
      </c>
      <c r="C19074" s="5">
        <v>41</v>
      </c>
      <c r="D19074" s="6">
        <v>7.04</v>
      </c>
      <c r="E19074" t="s">
        <v>6</v>
      </c>
    </row>
    <row r="19075" spans="1:5" x14ac:dyDescent="0.25">
      <c r="A19075" t="str">
        <f>HYPERLINK("https://www.773grp.com/globalSearch/UCC2580D-2/page-1", "UCC2580D-2")</f>
        <v>UCC2580D-2</v>
      </c>
      <c r="B19075" s="3" t="str">
        <f>HYPERLINK("https://www.773grp.com/manufacturer/texas-instruments?pageNo=902", "Texas Instruments")</f>
        <v>Texas Instruments</v>
      </c>
      <c r="C19075" s="5">
        <v>2080</v>
      </c>
      <c r="D19075" s="6">
        <v>7.04</v>
      </c>
      <c r="E19075" t="s">
        <v>6</v>
      </c>
    </row>
    <row r="19076" spans="1:5" x14ac:dyDescent="0.25">
      <c r="A19076" t="str">
        <f>HYPERLINK("https://www.773grp.com/globalSearch/UCC2580D-2/page-1", "UCC2580D-2")</f>
        <v>UCC2580D-2</v>
      </c>
      <c r="B19076" s="3" t="str">
        <f>HYPERLINK("https://www.773grp.com/manufacturer/texas-instruments?pageNo=903", "Texas Instruments")</f>
        <v>Texas Instruments</v>
      </c>
      <c r="C19076" s="5">
        <v>2120</v>
      </c>
      <c r="D19076" s="6">
        <v>7.04</v>
      </c>
      <c r="E19076" t="s">
        <v>6</v>
      </c>
    </row>
    <row r="19077" spans="1:5" x14ac:dyDescent="0.25">
      <c r="A19077" t="str">
        <f>HYPERLINK("https://www.773grp.com/globalSearch/UCC2580D-3/page-1", "UCC2580D-3")</f>
        <v>UCC2580D-3</v>
      </c>
      <c r="B19077" s="3" t="str">
        <f>HYPERLINK("https://www.773grp.com/manufacturer/texas-instruments?pageNo=904", "Texas Instruments")</f>
        <v>Texas Instruments</v>
      </c>
      <c r="C19077" s="5">
        <v>20040</v>
      </c>
      <c r="D19077" s="6">
        <v>7.04</v>
      </c>
      <c r="E19077" t="s">
        <v>6</v>
      </c>
    </row>
    <row r="19078" spans="1:5" x14ac:dyDescent="0.25">
      <c r="A19078" t="str">
        <f>HYPERLINK("https://www.773grp.com/globalSearch/UCC2976PWR/page-1", "UCC2976PWR")</f>
        <v>UCC2976PWR</v>
      </c>
      <c r="B19078" s="3" t="str">
        <f>HYPERLINK("https://www.773grp.com/manufacturer/texas-instruments?pageNo=905", "Texas Instruments")</f>
        <v>Texas Instruments</v>
      </c>
      <c r="C19078" s="5">
        <v>4000</v>
      </c>
      <c r="D19078" s="6">
        <v>7.04</v>
      </c>
      <c r="E19078" t="s">
        <v>6</v>
      </c>
    </row>
    <row r="19079" spans="1:5" x14ac:dyDescent="0.25">
      <c r="A19079" t="str">
        <f>HYPERLINK("https://www.773grp.com/globalSearch/UC2844J/page-1", "UC2844J")</f>
        <v>UC2844J</v>
      </c>
      <c r="B19079" s="3" t="str">
        <f>HYPERLINK("https://www.773grp.com/manufacturer/texas-instruments?pageNo=950", "Texas Instruments")</f>
        <v>Texas Instruments</v>
      </c>
      <c r="C19079" s="5">
        <v>683</v>
      </c>
      <c r="D19079" s="6">
        <v>7.13</v>
      </c>
      <c r="E19079" t="s">
        <v>6</v>
      </c>
    </row>
    <row r="19080" spans="1:5" x14ac:dyDescent="0.25">
      <c r="A19080" t="str">
        <f>HYPERLINK("https://www.773grp.com/globalSearch/UCC2810N/page-1", "UCC2810N")</f>
        <v>UCC2810N</v>
      </c>
      <c r="B19080" s="3" t="str">
        <f>HYPERLINK("https://www.773grp.com/manufacturer/texas-instruments?pageNo=952", "Texas Instruments")</f>
        <v>Texas Instruments</v>
      </c>
      <c r="C19080" s="5">
        <v>4750</v>
      </c>
      <c r="D19080" s="6">
        <v>7.13</v>
      </c>
      <c r="E19080" t="s">
        <v>6</v>
      </c>
    </row>
    <row r="19081" spans="1:5" x14ac:dyDescent="0.25">
      <c r="A19081" t="str">
        <f>HYPERLINK("https://www.773grp.com/globalSearch/UCC3882DW-1/page-1", "UCC3882DW-1")</f>
        <v>UCC3882DW-1</v>
      </c>
      <c r="B19081" s="3" t="str">
        <f>HYPERLINK("https://www.773grp.com/manufacturer/texas-instruments?pageNo=962", "Texas Instruments")</f>
        <v>Texas Instruments</v>
      </c>
      <c r="C19081" s="5">
        <v>39420</v>
      </c>
      <c r="D19081" s="6">
        <v>7.14</v>
      </c>
      <c r="E19081" t="s">
        <v>6</v>
      </c>
    </row>
    <row r="19082" spans="1:5" x14ac:dyDescent="0.25">
      <c r="A19082" t="str">
        <f>HYPERLINK("https://www.773grp.com/globalSearch/UCC3882PW/page-1", "UCC3882PW")</f>
        <v>UCC3882PW</v>
      </c>
      <c r="B19082" s="3" t="str">
        <f>HYPERLINK("https://www.773grp.com/manufacturer/texas-instruments?pageNo=963", "Texas Instruments")</f>
        <v>Texas Instruments</v>
      </c>
      <c r="C19082" s="5">
        <v>1381</v>
      </c>
      <c r="D19082" s="6">
        <v>7.14</v>
      </c>
      <c r="E19082" t="s">
        <v>6</v>
      </c>
    </row>
    <row r="19083" spans="1:5" x14ac:dyDescent="0.25">
      <c r="A19083" t="str">
        <f>HYPERLINK("https://www.773grp.com/globalSearch/TL1466IPMR/page-1", "TL1466IPMR")</f>
        <v>TL1466IPMR</v>
      </c>
      <c r="B19083" s="3" t="s">
        <v>90</v>
      </c>
      <c r="C19083" s="5">
        <v>2000</v>
      </c>
      <c r="D19083" s="6">
        <v>7.18</v>
      </c>
      <c r="E19083" t="s">
        <v>6</v>
      </c>
    </row>
    <row r="19084" spans="1:5" x14ac:dyDescent="0.25">
      <c r="A19084" t="str">
        <f>HYPERLINK("https://www.773grp.com/globalSearch/TPS54162QPWPRQ1/page-1", "TPS54162QPWPRQ1")</f>
        <v>TPS54162QPWPRQ1</v>
      </c>
      <c r="B19084" s="3" t="s">
        <v>90</v>
      </c>
      <c r="C19084" s="5">
        <v>249</v>
      </c>
      <c r="D19084" s="6">
        <v>7.18</v>
      </c>
      <c r="E19084" t="s">
        <v>6</v>
      </c>
    </row>
    <row r="19085" spans="1:5" x14ac:dyDescent="0.25">
      <c r="A19085" t="str">
        <f>HYPERLINK("https://www.773grp.com/globalSearch/TPS65131RGET/page-1", "TPS65131RGET")</f>
        <v>TPS65131RGET</v>
      </c>
      <c r="B19085" s="3" t="s">
        <v>90</v>
      </c>
      <c r="C19085" s="5">
        <v>373</v>
      </c>
      <c r="D19085" s="6">
        <v>7.18</v>
      </c>
      <c r="E19085" t="s">
        <v>6</v>
      </c>
    </row>
    <row r="19086" spans="1:5" x14ac:dyDescent="0.25">
      <c r="A19086" t="str">
        <f>HYPERLINK("https://www.773grp.com/globalSearch/UC1842AMDREP/page-1", "UC1842AMDREP")</f>
        <v>UC1842AMDREP</v>
      </c>
      <c r="B19086" s="3" t="s">
        <v>90</v>
      </c>
      <c r="C19086" s="5">
        <v>2899</v>
      </c>
      <c r="D19086" s="6">
        <v>7.18</v>
      </c>
      <c r="E19086" t="s">
        <v>6</v>
      </c>
    </row>
    <row r="19087" spans="1:5" x14ac:dyDescent="0.25">
      <c r="A19087" t="str">
        <f>HYPERLINK("https://www.773grp.com/globalSearch/UC1843AMDREP/page-1", "UC1843AMDREP")</f>
        <v>UC1843AMDREP</v>
      </c>
      <c r="B19087" s="3" t="s">
        <v>90</v>
      </c>
      <c r="C19087" s="5">
        <v>5380</v>
      </c>
      <c r="D19087" s="6">
        <v>7.18</v>
      </c>
      <c r="E19087" t="s">
        <v>6</v>
      </c>
    </row>
    <row r="19088" spans="1:5" x14ac:dyDescent="0.25">
      <c r="A19088" t="str">
        <f>HYPERLINK("https://www.773grp.com/globalSearch/UC1844AMDREP/page-1", "UC1844AMDREP")</f>
        <v>UC1844AMDREP</v>
      </c>
      <c r="B19088" s="3" t="s">
        <v>90</v>
      </c>
      <c r="C19088" s="5">
        <v>4038</v>
      </c>
      <c r="D19088" s="6">
        <v>7.18</v>
      </c>
      <c r="E19088" t="s">
        <v>6</v>
      </c>
    </row>
    <row r="19089" spans="1:5" x14ac:dyDescent="0.25">
      <c r="A19089" t="str">
        <f>HYPERLINK("https://www.773grp.com/globalSearch/UCC2583DTR/page-1", "UCC2583DTR")</f>
        <v>UCC2583DTR</v>
      </c>
      <c r="B19089" s="3" t="s">
        <v>90</v>
      </c>
      <c r="C19089" s="5">
        <v>2500</v>
      </c>
      <c r="D19089" s="6">
        <v>7.18</v>
      </c>
      <c r="E19089" t="s">
        <v>6</v>
      </c>
    </row>
    <row r="19090" spans="1:5" x14ac:dyDescent="0.25">
      <c r="A19090" t="str">
        <f>HYPERLINK("https://www.773grp.com/globalSearch/UCC2583QTR/page-1", "UCC2583QTR")</f>
        <v>UCC2583QTR</v>
      </c>
      <c r="B19090" s="3" t="s">
        <v>90</v>
      </c>
      <c r="C19090" s="5">
        <v>9000</v>
      </c>
      <c r="D19090" s="6">
        <v>7.18</v>
      </c>
      <c r="E19090" t="s">
        <v>6</v>
      </c>
    </row>
    <row r="19091" spans="1:5" x14ac:dyDescent="0.25">
      <c r="A19091" t="str">
        <f>HYPERLINK("https://www.773grp.com/globalSearch/UCC3830DWTR-5/page-1", "UCC3830DWTR-5")</f>
        <v>UCC3830DWTR-5</v>
      </c>
      <c r="B19091" s="3" t="s">
        <v>90</v>
      </c>
      <c r="C19091" s="5">
        <v>3000</v>
      </c>
      <c r="D19091" s="6">
        <v>7.18</v>
      </c>
      <c r="E19091" t="s">
        <v>6</v>
      </c>
    </row>
    <row r="19092" spans="1:5" x14ac:dyDescent="0.25">
      <c r="A19092" t="str">
        <f>HYPERLINK("https://www.773grp.com/globalSearch/UCC3956DW/page-1", "UCC3956DW")</f>
        <v>UCC3956DW</v>
      </c>
      <c r="B19092" s="3" t="s">
        <v>90</v>
      </c>
      <c r="C19092" s="5">
        <v>1297</v>
      </c>
      <c r="D19092" s="6">
        <v>7.18</v>
      </c>
      <c r="E19092" t="s">
        <v>6</v>
      </c>
    </row>
    <row r="19093" spans="1:5" x14ac:dyDescent="0.25">
      <c r="A19093" t="str">
        <f>HYPERLINK("https://www.773grp.com/globalSearch/UCC3956N/page-1", "UCC3956N")</f>
        <v>UCC3956N</v>
      </c>
      <c r="B19093" s="3" t="s">
        <v>90</v>
      </c>
      <c r="C19093" s="5">
        <v>5490</v>
      </c>
      <c r="D19093" s="6">
        <v>7.18</v>
      </c>
      <c r="E19093" t="s">
        <v>6</v>
      </c>
    </row>
    <row r="19094" spans="1:5" x14ac:dyDescent="0.25">
      <c r="A19094" t="str">
        <f>HYPERLINK("https://www.773grp.com/globalSearch/UCC3956N/page-1", "UCC3956N")</f>
        <v>UCC3956N</v>
      </c>
      <c r="B19094" s="3" t="s">
        <v>90</v>
      </c>
      <c r="C19094" s="5">
        <v>860</v>
      </c>
      <c r="D19094" s="6">
        <v>7.18</v>
      </c>
      <c r="E19094" t="s">
        <v>6</v>
      </c>
    </row>
    <row r="19095" spans="1:5" x14ac:dyDescent="0.25">
      <c r="A19095" t="str">
        <f>HYPERLINK("https://www.773grp.com/globalSearch/UC3863DW/page-1", "UC3863DW")</f>
        <v>UC3863DW</v>
      </c>
      <c r="B19095" s="3" t="s">
        <v>90</v>
      </c>
      <c r="C19095" s="5">
        <v>26358</v>
      </c>
      <c r="D19095" s="6">
        <v>7.2</v>
      </c>
      <c r="E19095" t="s">
        <v>6</v>
      </c>
    </row>
    <row r="19096" spans="1:5" x14ac:dyDescent="0.25">
      <c r="A19096" t="str">
        <f>HYPERLINK("https://www.773grp.com/globalSearch/UC3867DW/page-1", "UC3867DW")</f>
        <v>UC3867DW</v>
      </c>
      <c r="B19096" s="3" t="s">
        <v>90</v>
      </c>
      <c r="C19096" s="5">
        <v>70</v>
      </c>
      <c r="D19096" s="6">
        <v>7.2</v>
      </c>
      <c r="E19096" t="s">
        <v>6</v>
      </c>
    </row>
    <row r="19097" spans="1:5" x14ac:dyDescent="0.25">
      <c r="A19097" t="str">
        <f>HYPERLINK("https://www.773grp.com/globalSearch/TPS54316QPWPRQ1/page-1", "TPS54316QPWPRQ1")</f>
        <v>TPS54316QPWPRQ1</v>
      </c>
      <c r="B19097" s="3" t="s">
        <v>90</v>
      </c>
      <c r="C19097" s="5">
        <v>19800</v>
      </c>
      <c r="D19097" s="6">
        <v>7.23</v>
      </c>
      <c r="E19097" t="s">
        <v>6</v>
      </c>
    </row>
    <row r="19098" spans="1:5" x14ac:dyDescent="0.25">
      <c r="A19098" t="str">
        <f>HYPERLINK("https://www.773grp.com/globalSearch/TPS54372QPWPRQ1/page-1", "TPS54372QPWPRQ1")</f>
        <v>TPS54372QPWPRQ1</v>
      </c>
      <c r="B19098" s="3" t="s">
        <v>90</v>
      </c>
      <c r="C19098" s="5">
        <v>1580</v>
      </c>
      <c r="D19098" s="6">
        <v>7.23</v>
      </c>
      <c r="E19098" t="s">
        <v>6</v>
      </c>
    </row>
    <row r="19099" spans="1:5" x14ac:dyDescent="0.25">
      <c r="A19099" t="str">
        <f>HYPERLINK("https://www.773grp.com/globalSearch/UCC3580N-1/page-1", "UCC3580N-1")</f>
        <v>UCC3580N-1</v>
      </c>
      <c r="B19099" s="3" t="s">
        <v>90</v>
      </c>
      <c r="C19099" s="5">
        <v>9131</v>
      </c>
      <c r="D19099" s="6">
        <v>7.23</v>
      </c>
      <c r="E19099" t="s">
        <v>6</v>
      </c>
    </row>
    <row r="19100" spans="1:5" x14ac:dyDescent="0.25">
      <c r="A19100" t="str">
        <f>HYPERLINK("https://www.773grp.com/globalSearch/UCC3580N-2/page-1", "UCC3580N-2")</f>
        <v>UCC3580N-2</v>
      </c>
      <c r="B19100" s="3" t="s">
        <v>90</v>
      </c>
      <c r="C19100" s="5">
        <v>3025</v>
      </c>
      <c r="D19100" s="6">
        <v>7.23</v>
      </c>
      <c r="E19100" t="s">
        <v>6</v>
      </c>
    </row>
    <row r="19101" spans="1:5" x14ac:dyDescent="0.25">
      <c r="A19101" t="str">
        <f>HYPERLINK("https://www.773grp.com/globalSearch/UCC3580N-3/page-1", "UCC3580N-3")</f>
        <v>UCC3580N-3</v>
      </c>
      <c r="B19101" s="3" t="s">
        <v>90</v>
      </c>
      <c r="C19101" s="5">
        <v>6505</v>
      </c>
      <c r="D19101" s="6">
        <v>7.23</v>
      </c>
      <c r="E19101" t="s">
        <v>6</v>
      </c>
    </row>
    <row r="19102" spans="1:5" x14ac:dyDescent="0.25">
      <c r="A19102" t="str">
        <f>HYPERLINK("https://www.773grp.com/globalSearch/UCC3884N/page-1", "UCC3884N")</f>
        <v>UCC3884N</v>
      </c>
      <c r="B19102" s="3" t="s">
        <v>90</v>
      </c>
      <c r="C19102" s="5">
        <v>6924</v>
      </c>
      <c r="D19102" s="6">
        <v>7.29</v>
      </c>
      <c r="E19102" t="s">
        <v>6</v>
      </c>
    </row>
    <row r="19103" spans="1:5" x14ac:dyDescent="0.25">
      <c r="A19103" t="str">
        <f>HYPERLINK("https://www.773grp.com/globalSearch/UCC2541PWP/page-1", "UCC2541PWP")</f>
        <v>UCC2541PWP</v>
      </c>
      <c r="B19103" s="3" t="s">
        <v>90</v>
      </c>
      <c r="C19103" s="5">
        <v>1138</v>
      </c>
      <c r="D19103" s="6">
        <v>7.31</v>
      </c>
      <c r="E19103" t="s">
        <v>6</v>
      </c>
    </row>
    <row r="19104" spans="1:5" x14ac:dyDescent="0.25">
      <c r="A19104" t="str">
        <f>HYPERLINK("https://www.773grp.com/globalSearch/UCC2801QDREP/page-1", "UCC2801QDREP")</f>
        <v>UCC2801QDREP</v>
      </c>
      <c r="B19104" s="3" t="s">
        <v>90</v>
      </c>
      <c r="C19104" s="5">
        <v>5401</v>
      </c>
      <c r="D19104" s="6">
        <v>7.31</v>
      </c>
      <c r="E19104" t="s">
        <v>6</v>
      </c>
    </row>
    <row r="19105" spans="1:5" x14ac:dyDescent="0.25">
      <c r="A19105" t="str">
        <f>HYPERLINK("https://www.773grp.com/globalSearch/TPS2014D/page-1", "TPS2014D")</f>
        <v>TPS2014D</v>
      </c>
      <c r="B19105" s="3" t="s">
        <v>90</v>
      </c>
      <c r="C19105" s="5">
        <v>28336</v>
      </c>
      <c r="D19105" s="6">
        <v>7.39</v>
      </c>
      <c r="E19105" t="s">
        <v>6</v>
      </c>
    </row>
    <row r="19106" spans="1:5" x14ac:dyDescent="0.25">
      <c r="A19106" t="str">
        <f>HYPERLINK("https://www.773grp.com/globalSearch/TPS2015D/page-1", "TPS2015D")</f>
        <v>TPS2015D</v>
      </c>
      <c r="B19106" s="3" t="s">
        <v>90</v>
      </c>
      <c r="C19106" s="5">
        <v>1038</v>
      </c>
      <c r="D19106" s="6">
        <v>7.39</v>
      </c>
      <c r="E19106" t="s">
        <v>6</v>
      </c>
    </row>
    <row r="19107" spans="1:5" x14ac:dyDescent="0.25">
      <c r="A19107" t="str">
        <f>HYPERLINK("https://www.773grp.com/globalSearch/TPS2015DG4/page-1", "TPS2015DG4")</f>
        <v>TPS2015DG4</v>
      </c>
      <c r="B19107" s="3" t="s">
        <v>90</v>
      </c>
      <c r="C19107" s="5">
        <v>53</v>
      </c>
      <c r="D19107" s="6">
        <v>7.39</v>
      </c>
      <c r="E19107" t="s">
        <v>6</v>
      </c>
    </row>
    <row r="19108" spans="1:5" x14ac:dyDescent="0.25">
      <c r="A19108" t="str">
        <f>HYPERLINK("https://www.773grp.com/globalSearch/TPS51020DBT/page-1", "TPS51020DBT")</f>
        <v>TPS51020DBT</v>
      </c>
      <c r="B19108" s="3" t="s">
        <v>90</v>
      </c>
      <c r="C19108" s="5">
        <v>14831</v>
      </c>
      <c r="D19108" s="6">
        <v>7.39</v>
      </c>
      <c r="E19108" t="s">
        <v>6</v>
      </c>
    </row>
    <row r="19109" spans="1:5" x14ac:dyDescent="0.25">
      <c r="A19109" t="str">
        <f>HYPERLINK("https://www.773grp.com/globalSearch/TPS51120RHBT/page-1", "TPS51120RHBT")</f>
        <v>TPS51120RHBT</v>
      </c>
      <c r="B19109" s="3" t="s">
        <v>90</v>
      </c>
      <c r="C19109" s="5">
        <v>2105</v>
      </c>
      <c r="D19109" s="6">
        <v>7.43</v>
      </c>
      <c r="E19109" t="s">
        <v>6</v>
      </c>
    </row>
    <row r="19110" spans="1:5" x14ac:dyDescent="0.25">
      <c r="A19110" t="str">
        <f>HYPERLINK("https://www.773grp.com/globalSearch/TPS54311PWP/page-1", "TPS54311PWP")</f>
        <v>TPS54311PWP</v>
      </c>
      <c r="B19110" s="3" t="s">
        <v>90</v>
      </c>
      <c r="C19110" s="5">
        <v>11666</v>
      </c>
      <c r="D19110" s="6">
        <v>7.43</v>
      </c>
      <c r="E19110" t="s">
        <v>6</v>
      </c>
    </row>
    <row r="19111" spans="1:5" x14ac:dyDescent="0.25">
      <c r="A19111" t="str">
        <f>HYPERLINK("https://www.773grp.com/globalSearch/TPS54312PWP/page-1", "TPS54312PWP")</f>
        <v>TPS54312PWP</v>
      </c>
      <c r="B19111" s="3" t="s">
        <v>90</v>
      </c>
      <c r="C19111" s="5">
        <v>522</v>
      </c>
      <c r="D19111" s="6">
        <v>7.43</v>
      </c>
      <c r="E19111" t="s">
        <v>6</v>
      </c>
    </row>
    <row r="19112" spans="1:5" x14ac:dyDescent="0.25">
      <c r="A19112" t="str">
        <f>HYPERLINK("https://www.773grp.com/globalSearch/TPS54313PWP/page-1", "TPS54313PWP")</f>
        <v>TPS54313PWP</v>
      </c>
      <c r="B19112" s="3" t="s">
        <v>90</v>
      </c>
      <c r="C19112" s="5">
        <v>827</v>
      </c>
      <c r="D19112" s="6">
        <v>7.43</v>
      </c>
      <c r="E19112" t="s">
        <v>6</v>
      </c>
    </row>
    <row r="19113" spans="1:5" x14ac:dyDescent="0.25">
      <c r="A19113" t="str">
        <f>HYPERLINK("https://www.773grp.com/globalSearch/TPS54315PWP/page-1", "TPS54315PWP")</f>
        <v>TPS54315PWP</v>
      </c>
      <c r="B19113" s="3" t="s">
        <v>90</v>
      </c>
      <c r="C19113" s="5">
        <v>14284</v>
      </c>
      <c r="D19113" s="6">
        <v>7.43</v>
      </c>
      <c r="E19113" t="s">
        <v>6</v>
      </c>
    </row>
    <row r="19114" spans="1:5" x14ac:dyDescent="0.25">
      <c r="A19114" t="str">
        <f>HYPERLINK("https://www.773grp.com/globalSearch/TPS54372PWP/page-1", "TPS54372PWP")</f>
        <v>TPS54372PWP</v>
      </c>
      <c r="B19114" s="3" t="s">
        <v>90</v>
      </c>
      <c r="C19114" s="5">
        <v>1890</v>
      </c>
      <c r="D19114" s="6">
        <v>7.43</v>
      </c>
      <c r="E19114" t="s">
        <v>6</v>
      </c>
    </row>
    <row r="19115" spans="1:5" x14ac:dyDescent="0.25">
      <c r="A19115" t="str">
        <f>HYPERLINK("https://www.773grp.com/globalSearch/TPS5450QDDARQ1/page-1", "TPS5450QDDARQ1")</f>
        <v>TPS5450QDDARQ1</v>
      </c>
      <c r="B19115" s="3" t="s">
        <v>90</v>
      </c>
      <c r="C19115" s="5">
        <v>2500</v>
      </c>
      <c r="D19115" s="6">
        <v>7.46</v>
      </c>
      <c r="E19115" t="s">
        <v>6</v>
      </c>
    </row>
    <row r="19116" spans="1:5" x14ac:dyDescent="0.25">
      <c r="A19116" t="str">
        <f>HYPERLINK("https://www.773grp.com/globalSearch/TPS54550PWPR/page-1", "TPS54550PWPR")</f>
        <v>TPS54550PWPR</v>
      </c>
      <c r="B19116" s="3" t="s">
        <v>90</v>
      </c>
      <c r="C19116" s="5">
        <v>2000</v>
      </c>
      <c r="D19116" s="6">
        <v>7.46</v>
      </c>
      <c r="E19116" t="s">
        <v>6</v>
      </c>
    </row>
    <row r="19117" spans="1:5" x14ac:dyDescent="0.25">
      <c r="A19117" t="str">
        <f>HYPERLINK("https://www.773grp.com/globalSearch/UCC2580DTR-4/page-1", "UCC2580DTR-4")</f>
        <v>UCC2580DTR-4</v>
      </c>
      <c r="B19117" s="3" t="s">
        <v>90</v>
      </c>
      <c r="C19117" s="5">
        <v>2500</v>
      </c>
      <c r="D19117" s="6">
        <v>7.46</v>
      </c>
      <c r="E19117" t="s">
        <v>6</v>
      </c>
    </row>
    <row r="19118" spans="1:5" x14ac:dyDescent="0.25">
      <c r="A19118" t="str">
        <f>HYPERLINK("https://www.773grp.com/globalSearch/UCC3583D/page-1", "UCC3583D")</f>
        <v>UCC3583D</v>
      </c>
      <c r="B19118" s="3" t="s">
        <v>90</v>
      </c>
      <c r="C19118" s="5">
        <v>5035</v>
      </c>
      <c r="D19118" s="6">
        <v>7.46</v>
      </c>
      <c r="E19118" t="s">
        <v>6</v>
      </c>
    </row>
    <row r="19119" spans="1:5" x14ac:dyDescent="0.25">
      <c r="A19119" t="str">
        <f>HYPERLINK("https://www.773grp.com/globalSearch/UCC3583D/page-1", "UCC3583D")</f>
        <v>UCC3583D</v>
      </c>
      <c r="B19119" s="3" t="s">
        <v>90</v>
      </c>
      <c r="C19119" s="5">
        <v>2120</v>
      </c>
      <c r="D19119" s="6">
        <v>7.46</v>
      </c>
      <c r="E19119" t="s">
        <v>6</v>
      </c>
    </row>
    <row r="19120" spans="1:5" x14ac:dyDescent="0.25">
      <c r="A19120" t="str">
        <f>HYPERLINK("https://www.773grp.com/globalSearch/BQ2004ESN/page-1", "BQ2004ESN")</f>
        <v>BQ2004ESN</v>
      </c>
      <c r="B19120" s="3" t="s">
        <v>90</v>
      </c>
      <c r="C19120" s="5">
        <v>4832</v>
      </c>
      <c r="D19120" s="6">
        <v>7.56</v>
      </c>
      <c r="E19120" t="s">
        <v>6</v>
      </c>
    </row>
    <row r="19121" spans="1:5" x14ac:dyDescent="0.25">
      <c r="A19121" t="str">
        <f>HYPERLINK("https://www.773grp.com/globalSearch/BQ2004HSN/page-1", "BQ2004HSN")</f>
        <v>BQ2004HSN</v>
      </c>
      <c r="B19121" s="3" t="s">
        <v>90</v>
      </c>
      <c r="C19121" s="5">
        <v>19840</v>
      </c>
      <c r="D19121" s="6">
        <v>7.56</v>
      </c>
      <c r="E19121" t="s">
        <v>6</v>
      </c>
    </row>
    <row r="19122" spans="1:5" x14ac:dyDescent="0.25">
      <c r="A19122" t="str">
        <f>HYPERLINK("https://www.773grp.com/globalSearch/TPS40131RHBT/page-1", "TPS40131RHBT")</f>
        <v>TPS40131RHBT</v>
      </c>
      <c r="B19122" s="3" t="s">
        <v>90</v>
      </c>
      <c r="C19122" s="5">
        <v>14732</v>
      </c>
      <c r="D19122" s="6">
        <v>7.6</v>
      </c>
      <c r="E19122" t="s">
        <v>6</v>
      </c>
    </row>
    <row r="19123" spans="1:5" x14ac:dyDescent="0.25">
      <c r="A19123" t="str">
        <f>HYPERLINK("https://www.773grp.com/globalSearch/TPS54262QPWPRQ1/page-1", "TPS54262QPWPRQ1")</f>
        <v>TPS54262QPWPRQ1</v>
      </c>
      <c r="B19123" s="3" t="s">
        <v>90</v>
      </c>
      <c r="C19123" s="5">
        <v>2000</v>
      </c>
      <c r="D19123" s="6">
        <v>7.6</v>
      </c>
      <c r="E19123" t="s">
        <v>6</v>
      </c>
    </row>
    <row r="19124" spans="1:5" x14ac:dyDescent="0.25">
      <c r="A19124" t="str">
        <f>HYPERLINK("https://www.773grp.com/globalSearch/TPS54283PWP/page-1", "TPS54283PWP")</f>
        <v>TPS54283PWP</v>
      </c>
      <c r="B19124" s="3" t="s">
        <v>90</v>
      </c>
      <c r="C19124" s="5">
        <v>3881</v>
      </c>
      <c r="D19124" s="6">
        <v>7.6</v>
      </c>
      <c r="E19124" t="s">
        <v>6</v>
      </c>
    </row>
    <row r="19125" spans="1:5" x14ac:dyDescent="0.25">
      <c r="A19125" t="str">
        <f>HYPERLINK("https://www.773grp.com/globalSearch/TPS54286PWP/page-1", "TPS54286PWP")</f>
        <v>TPS54286PWP</v>
      </c>
      <c r="B19125" s="3" t="s">
        <v>90</v>
      </c>
      <c r="C19125" s="5">
        <v>26743</v>
      </c>
      <c r="D19125" s="6">
        <v>7.6</v>
      </c>
      <c r="E19125" t="s">
        <v>6</v>
      </c>
    </row>
    <row r="19126" spans="1:5" x14ac:dyDescent="0.25">
      <c r="A19126" t="str">
        <f>HYPERLINK("https://www.773grp.com/globalSearch/TPS54354PWP/page-1", "TPS54354PWP")</f>
        <v>TPS54354PWP</v>
      </c>
      <c r="B19126" s="3" t="s">
        <v>90</v>
      </c>
      <c r="C19126" s="5">
        <v>2204</v>
      </c>
      <c r="D19126" s="6">
        <v>7.6</v>
      </c>
      <c r="E19126" t="s">
        <v>6</v>
      </c>
    </row>
    <row r="19127" spans="1:5" x14ac:dyDescent="0.25">
      <c r="A19127" t="str">
        <f>HYPERLINK("https://www.773grp.com/globalSearch/TPS54373PWP/page-1", "TPS54373PWP")</f>
        <v>TPS54373PWP</v>
      </c>
      <c r="B19127" s="3" t="s">
        <v>90</v>
      </c>
      <c r="C19127" s="5">
        <v>813</v>
      </c>
      <c r="D19127" s="6">
        <v>7.6</v>
      </c>
      <c r="E19127" t="s">
        <v>6</v>
      </c>
    </row>
    <row r="19128" spans="1:5" x14ac:dyDescent="0.25">
      <c r="A19128" t="str">
        <f>HYPERLINK("https://www.773grp.com/globalSearch/TPS54380PWP/page-1", "TPS54380PWP")</f>
        <v>TPS54380PWP</v>
      </c>
      <c r="B19128" s="3" t="s">
        <v>90</v>
      </c>
      <c r="C19128" s="5">
        <v>10949</v>
      </c>
      <c r="D19128" s="6">
        <v>7.6</v>
      </c>
      <c r="E19128" t="s">
        <v>6</v>
      </c>
    </row>
    <row r="19129" spans="1:5" x14ac:dyDescent="0.25">
      <c r="A19129" t="str">
        <f>HYPERLINK("https://www.773grp.com/globalSearch/TPS54380PWPG4/page-1", "TPS54380PWPG4")</f>
        <v>TPS54380PWPG4</v>
      </c>
      <c r="B19129" s="3" t="s">
        <v>90</v>
      </c>
      <c r="C19129" s="5">
        <v>94</v>
      </c>
      <c r="D19129" s="6">
        <v>7.6</v>
      </c>
      <c r="E19129" t="s">
        <v>6</v>
      </c>
    </row>
    <row r="19130" spans="1:5" x14ac:dyDescent="0.25">
      <c r="A19130" t="str">
        <f>HYPERLINK("https://www.773grp.com/globalSearch/TPS65163RGZT/page-1", "TPS65163RGZT")</f>
        <v>TPS65163RGZT</v>
      </c>
      <c r="B19130" s="3" t="s">
        <v>90</v>
      </c>
      <c r="C19130" s="5">
        <v>4225</v>
      </c>
      <c r="D19130" s="6">
        <v>7.6</v>
      </c>
      <c r="E19130" t="s">
        <v>6</v>
      </c>
    </row>
    <row r="19131" spans="1:5" x14ac:dyDescent="0.25">
      <c r="A19131" t="str">
        <f>HYPERLINK("https://www.773grp.com/globalSearch/UCC2540PWP/page-1", "UCC2540PWP")</f>
        <v>UCC2540PWP</v>
      </c>
      <c r="B19131" s="3" t="s">
        <v>90</v>
      </c>
      <c r="C19131" s="5">
        <v>947</v>
      </c>
      <c r="D19131" s="6">
        <v>7.6</v>
      </c>
      <c r="E19131" t="s">
        <v>6</v>
      </c>
    </row>
    <row r="19132" spans="1:5" x14ac:dyDescent="0.25">
      <c r="A19132" t="str">
        <f>HYPERLINK("https://www.773grp.com/globalSearch/UCC2540PWP/page-1", "UCC2540PWP")</f>
        <v>UCC2540PWP</v>
      </c>
      <c r="B19132" s="3" t="s">
        <v>90</v>
      </c>
      <c r="C19132" s="5">
        <v>10802</v>
      </c>
      <c r="D19132" s="6">
        <v>7.6</v>
      </c>
      <c r="E19132" t="s">
        <v>6</v>
      </c>
    </row>
    <row r="19133" spans="1:5" x14ac:dyDescent="0.25">
      <c r="A19133" t="str">
        <f>HYPERLINK("https://www.773grp.com/globalSearch/UCD3028RHAT/page-1", "UCD3028RHAT")</f>
        <v>UCD3028RHAT</v>
      </c>
      <c r="B19133" s="3" t="s">
        <v>90</v>
      </c>
      <c r="C19133" s="5">
        <v>1000</v>
      </c>
      <c r="D19133" s="6">
        <v>7.6</v>
      </c>
      <c r="E19133" t="s">
        <v>6</v>
      </c>
    </row>
    <row r="19134" spans="1:5" x14ac:dyDescent="0.25">
      <c r="A19134" t="str">
        <f>HYPERLINK("https://www.773grp.com/globalSearch/BQ2003S/page-1", "BQ2003S")</f>
        <v>BQ2003S</v>
      </c>
      <c r="B19134" s="3" t="s">
        <v>90</v>
      </c>
      <c r="C19134" s="5">
        <v>775</v>
      </c>
      <c r="D19134" s="6">
        <v>7.73</v>
      </c>
      <c r="E19134" t="s">
        <v>6</v>
      </c>
    </row>
    <row r="19135" spans="1:5" x14ac:dyDescent="0.25">
      <c r="A19135" t="str">
        <f>HYPERLINK("https://www.773grp.com/globalSearch/BQ2003S-N/page-1", "BQ2003S-N")</f>
        <v>BQ2003S-N</v>
      </c>
      <c r="B19135" s="3" t="s">
        <v>90</v>
      </c>
      <c r="C19135" s="5">
        <v>4638</v>
      </c>
      <c r="D19135" s="6">
        <v>7.73</v>
      </c>
      <c r="E19135" t="s">
        <v>6</v>
      </c>
    </row>
    <row r="19136" spans="1:5" x14ac:dyDescent="0.25">
      <c r="A19136" t="str">
        <f>HYPERLINK("https://www.773grp.com/globalSearch/BQ2003S-N/page-1", "BQ2003S-N")</f>
        <v>BQ2003S-N</v>
      </c>
      <c r="B19136" s="3" t="s">
        <v>90</v>
      </c>
      <c r="C19136" s="5">
        <v>7083</v>
      </c>
      <c r="D19136" s="6">
        <v>7.73</v>
      </c>
      <c r="E19136" t="s">
        <v>6</v>
      </c>
    </row>
    <row r="19137" spans="1:5" x14ac:dyDescent="0.25">
      <c r="A19137" t="str">
        <f>HYPERLINK("https://www.773grp.com/globalSearch/BQ2005S/page-1", "BQ2005S")</f>
        <v>BQ2005S</v>
      </c>
      <c r="B19137" s="3" t="s">
        <v>90</v>
      </c>
      <c r="C19137" s="5">
        <v>44342</v>
      </c>
      <c r="D19137" s="6">
        <v>7.73</v>
      </c>
      <c r="E19137" t="s">
        <v>6</v>
      </c>
    </row>
    <row r="19138" spans="1:5" x14ac:dyDescent="0.25">
      <c r="A19138" t="str">
        <f>HYPERLINK("https://www.773grp.com/globalSearch/BQ2005S/page-1", "BQ2005S")</f>
        <v>BQ2005S</v>
      </c>
      <c r="B19138" s="3" t="s">
        <v>90</v>
      </c>
      <c r="C19138" s="5">
        <v>2000</v>
      </c>
      <c r="D19138" s="6">
        <v>7.73</v>
      </c>
      <c r="E19138" t="s">
        <v>6</v>
      </c>
    </row>
    <row r="19139" spans="1:5" x14ac:dyDescent="0.25">
      <c r="A19139" t="str">
        <f>HYPERLINK("https://www.773grp.com/globalSearch/BQ24450DWTR/page-1", "BQ24450DWTR")</f>
        <v>BQ24450DWTR</v>
      </c>
      <c r="B19139" s="3" t="s">
        <v>90</v>
      </c>
      <c r="C19139" s="5">
        <v>7900</v>
      </c>
      <c r="D19139" s="6">
        <v>7.73</v>
      </c>
      <c r="E19139" t="s">
        <v>6</v>
      </c>
    </row>
    <row r="19140" spans="1:5" x14ac:dyDescent="0.25">
      <c r="A19140" t="str">
        <f>HYPERLINK("https://www.773grp.com/globalSearch/UCC2580N-1/page-1", "UCC2580N-1")</f>
        <v>UCC2580N-1</v>
      </c>
      <c r="B19140" s="3" t="s">
        <v>90</v>
      </c>
      <c r="C19140" s="5">
        <v>8100</v>
      </c>
      <c r="D19140" s="6">
        <v>7.76</v>
      </c>
      <c r="E19140" t="s">
        <v>6</v>
      </c>
    </row>
    <row r="19141" spans="1:5" x14ac:dyDescent="0.25">
      <c r="A19141" t="str">
        <f>HYPERLINK("https://www.773grp.com/globalSearch/UCC2580N-2/page-1", "UCC2580N-2")</f>
        <v>UCC2580N-2</v>
      </c>
      <c r="B19141" s="3" t="s">
        <v>90</v>
      </c>
      <c r="C19141" s="5">
        <v>3025</v>
      </c>
      <c r="D19141" s="6">
        <v>7.76</v>
      </c>
      <c r="E19141" t="s">
        <v>6</v>
      </c>
    </row>
    <row r="19142" spans="1:5" x14ac:dyDescent="0.25">
      <c r="A19142" t="str">
        <f>HYPERLINK("https://www.773grp.com/globalSearch/UCC2580N-2/page-1", "UCC2580N-2")</f>
        <v>UCC2580N-2</v>
      </c>
      <c r="B19142" s="3" t="s">
        <v>90</v>
      </c>
      <c r="C19142" s="5">
        <v>3006</v>
      </c>
      <c r="D19142" s="6">
        <v>7.76</v>
      </c>
      <c r="E19142" t="s">
        <v>6</v>
      </c>
    </row>
    <row r="19143" spans="1:5" x14ac:dyDescent="0.25">
      <c r="A19143" t="str">
        <f>HYPERLINK("https://www.773grp.com/globalSearch/UCC2580N-3/page-1", "UCC2580N-3")</f>
        <v>UCC2580N-3</v>
      </c>
      <c r="B19143" s="3" t="s">
        <v>90</v>
      </c>
      <c r="C19143" s="5">
        <v>18765</v>
      </c>
      <c r="D19143" s="6">
        <v>7.76</v>
      </c>
      <c r="E19143" t="s">
        <v>6</v>
      </c>
    </row>
    <row r="19144" spans="1:5" x14ac:dyDescent="0.25">
      <c r="A19144" t="str">
        <f>HYPERLINK("https://www.773grp.com/globalSearch/TPS5130PTR/page-1", "TPS5130PTR")</f>
        <v>TPS5130PTR</v>
      </c>
      <c r="B19144" s="3" t="s">
        <v>90</v>
      </c>
      <c r="C19144" s="5">
        <v>2600</v>
      </c>
      <c r="D19144" s="6">
        <v>7.81</v>
      </c>
      <c r="E19144" t="s">
        <v>6</v>
      </c>
    </row>
    <row r="19145" spans="1:5" x14ac:dyDescent="0.25">
      <c r="A19145" t="str">
        <f>HYPERLINK("https://www.773grp.com/globalSearch/TPS54355PWP/page-1", "TPS54355PWP")</f>
        <v>TPS54355PWP</v>
      </c>
      <c r="B19145" s="3" t="s">
        <v>90</v>
      </c>
      <c r="C19145" s="5">
        <v>600</v>
      </c>
      <c r="D19145" s="6">
        <v>7.88</v>
      </c>
      <c r="E19145" t="s">
        <v>6</v>
      </c>
    </row>
    <row r="19146" spans="1:5" x14ac:dyDescent="0.25">
      <c r="A19146" t="str">
        <f>HYPERLINK("https://www.773grp.com/globalSearch/TPS54357PWP/page-1", "TPS54357PWP")</f>
        <v>TPS54357PWP</v>
      </c>
      <c r="B19146" s="3" t="s">
        <v>90</v>
      </c>
      <c r="C19146" s="5">
        <v>2752</v>
      </c>
      <c r="D19146" s="6">
        <v>7.88</v>
      </c>
      <c r="E19146" t="s">
        <v>6</v>
      </c>
    </row>
    <row r="19147" spans="1:5" x14ac:dyDescent="0.25">
      <c r="A19147" t="str">
        <f>HYPERLINK("https://www.773grp.com/globalSearch/TPS54362QPWPRQ1/page-1", "TPS54362QPWPRQ1")</f>
        <v>TPS54362QPWPRQ1</v>
      </c>
      <c r="B19147" s="3" t="s">
        <v>90</v>
      </c>
      <c r="C19147" s="5">
        <v>15704</v>
      </c>
      <c r="D19147" s="6">
        <v>7.88</v>
      </c>
      <c r="E19147" t="s">
        <v>6</v>
      </c>
    </row>
    <row r="19148" spans="1:5" x14ac:dyDescent="0.25">
      <c r="A19148" t="str">
        <f>HYPERLINK("https://www.773grp.com/globalSearch/UC3525BDW/page-1", "UC3525BDW")</f>
        <v>UC3525BDW</v>
      </c>
      <c r="B19148" s="3" t="s">
        <v>90</v>
      </c>
      <c r="C19148" s="5">
        <v>13443</v>
      </c>
      <c r="D19148" s="6">
        <v>7.88</v>
      </c>
      <c r="E19148" t="s">
        <v>6</v>
      </c>
    </row>
    <row r="19149" spans="1:5" x14ac:dyDescent="0.25">
      <c r="A19149" t="str">
        <f>HYPERLINK("https://www.773grp.com/globalSearch/UC3525BDW/page-1", "UC3525BDW")</f>
        <v>UC3525BDW</v>
      </c>
      <c r="B19149" s="3" t="s">
        <v>90</v>
      </c>
      <c r="C19149" s="5">
        <v>360</v>
      </c>
      <c r="D19149" s="6">
        <v>7.88</v>
      </c>
      <c r="E19149" t="s">
        <v>6</v>
      </c>
    </row>
    <row r="19150" spans="1:5" x14ac:dyDescent="0.25">
      <c r="A19150" t="str">
        <f>HYPERLINK("https://www.773grp.com/globalSearch/TL1464IPT/page-1", "TL1464IPT")</f>
        <v>TL1464IPT</v>
      </c>
      <c r="B19150" s="3" t="s">
        <v>90</v>
      </c>
      <c r="C19150" s="5">
        <v>392</v>
      </c>
      <c r="D19150" s="6">
        <v>8.01</v>
      </c>
      <c r="E19150" t="s">
        <v>6</v>
      </c>
    </row>
    <row r="19151" spans="1:5" x14ac:dyDescent="0.25">
      <c r="A19151" t="str">
        <f>HYPERLINK("https://www.773grp.com/globalSearch/UC2854BMDWREP/page-1", "UC2854BMDWREP")</f>
        <v>UC2854BMDWREP</v>
      </c>
      <c r="B19151" s="3" t="s">
        <v>90</v>
      </c>
      <c r="C19151" s="5">
        <v>1380</v>
      </c>
      <c r="D19151" s="6">
        <v>8.01</v>
      </c>
      <c r="E19151" t="s">
        <v>6</v>
      </c>
    </row>
    <row r="19152" spans="1:5" x14ac:dyDescent="0.25">
      <c r="A19152" t="str">
        <f>HYPERLINK("https://www.773grp.com/globalSearch/UCC28501DWTR/page-1", "UCC28501DWTR")</f>
        <v>UCC28501DWTR</v>
      </c>
      <c r="B19152" s="3" t="s">
        <v>90</v>
      </c>
      <c r="C19152" s="5">
        <v>38000</v>
      </c>
      <c r="D19152" s="6">
        <v>8.01</v>
      </c>
      <c r="E19152" t="s">
        <v>6</v>
      </c>
    </row>
    <row r="19153" spans="1:5" x14ac:dyDescent="0.25">
      <c r="A19153" t="str">
        <f>HYPERLINK("https://www.773grp.com/globalSearch/UCC38500DW/page-1", "UCC38500DW")</f>
        <v>UCC38500DW</v>
      </c>
      <c r="B19153" s="3" t="s">
        <v>90</v>
      </c>
      <c r="C19153" s="5">
        <v>1191</v>
      </c>
      <c r="D19153" s="6">
        <v>8.01</v>
      </c>
      <c r="E19153" t="s">
        <v>6</v>
      </c>
    </row>
    <row r="19154" spans="1:5" x14ac:dyDescent="0.25">
      <c r="A19154" t="str">
        <f>HYPERLINK("https://www.773grp.com/globalSearch/UCC38501DW/page-1", "UCC38501DW")</f>
        <v>UCC38501DW</v>
      </c>
      <c r="B19154" s="3" t="s">
        <v>90</v>
      </c>
      <c r="C19154" s="5">
        <v>6596</v>
      </c>
      <c r="D19154" s="6">
        <v>8.01</v>
      </c>
      <c r="E19154" t="s">
        <v>6</v>
      </c>
    </row>
    <row r="19155" spans="1:5" x14ac:dyDescent="0.25">
      <c r="A19155" t="str">
        <f>HYPERLINK("https://www.773grp.com/globalSearch/UCC38502DW/page-1", "UCC38502DW")</f>
        <v>UCC38502DW</v>
      </c>
      <c r="B19155" s="3" t="s">
        <v>90</v>
      </c>
      <c r="C19155" s="5">
        <v>108</v>
      </c>
      <c r="D19155" s="6">
        <v>8.01</v>
      </c>
      <c r="E19155" t="s">
        <v>6</v>
      </c>
    </row>
    <row r="19156" spans="1:5" x14ac:dyDescent="0.25">
      <c r="A19156" t="str">
        <f>HYPERLINK("https://www.773grp.com/globalSearch/UCC38502DW/page-1", "UCC38502DW")</f>
        <v>UCC38502DW</v>
      </c>
      <c r="B19156" s="3" t="s">
        <v>90</v>
      </c>
      <c r="C19156" s="5">
        <v>16930</v>
      </c>
      <c r="D19156" s="6">
        <v>8.01</v>
      </c>
      <c r="E19156" t="s">
        <v>6</v>
      </c>
    </row>
    <row r="19157" spans="1:5" x14ac:dyDescent="0.25">
      <c r="A19157" t="str">
        <f>HYPERLINK("https://www.773grp.com/globalSearch/UCC38503DW/page-1", "UCC38503DW")</f>
        <v>UCC38503DW</v>
      </c>
      <c r="B19157" s="3" t="s">
        <v>90</v>
      </c>
      <c r="C19157" s="5">
        <v>48931</v>
      </c>
      <c r="D19157" s="6">
        <v>8.01</v>
      </c>
      <c r="E19157" t="s">
        <v>6</v>
      </c>
    </row>
    <row r="19158" spans="1:5" x14ac:dyDescent="0.25">
      <c r="A19158" t="str">
        <f>HYPERLINK("https://www.773grp.com/globalSearch/UC2861DW/page-1", "UC2861DW")</f>
        <v>UC2861DW</v>
      </c>
      <c r="B19158" s="3" t="s">
        <v>90</v>
      </c>
      <c r="C19158" s="5">
        <v>298</v>
      </c>
      <c r="D19158" s="6">
        <v>8.06</v>
      </c>
      <c r="E19158" t="s">
        <v>6</v>
      </c>
    </row>
    <row r="19159" spans="1:5" x14ac:dyDescent="0.25">
      <c r="A19159" t="str">
        <f>HYPERLINK("https://www.773grp.com/globalSearch/UC2861Q/page-1", "UC2861Q")</f>
        <v>UC2861Q</v>
      </c>
      <c r="B19159" s="3" t="s">
        <v>90</v>
      </c>
      <c r="C19159" s="5">
        <v>6372</v>
      </c>
      <c r="D19159" s="6">
        <v>8.06</v>
      </c>
      <c r="E19159" t="s">
        <v>6</v>
      </c>
    </row>
    <row r="19160" spans="1:5" x14ac:dyDescent="0.25">
      <c r="A19160" t="str">
        <f>HYPERLINK("https://www.773grp.com/globalSearch/UC2863DW/page-1", "UC2863DW")</f>
        <v>UC2863DW</v>
      </c>
      <c r="B19160" s="3" t="s">
        <v>90</v>
      </c>
      <c r="C19160" s="5">
        <v>3825</v>
      </c>
      <c r="D19160" s="6">
        <v>8.06</v>
      </c>
      <c r="E19160" t="s">
        <v>6</v>
      </c>
    </row>
    <row r="19161" spans="1:5" x14ac:dyDescent="0.25">
      <c r="A19161" t="str">
        <f>HYPERLINK("https://www.773grp.com/globalSearch/UC2863DW/page-1", "UC2863DW")</f>
        <v>UC2863DW</v>
      </c>
      <c r="B19161" s="3" t="s">
        <v>90</v>
      </c>
      <c r="C19161" s="5">
        <v>719</v>
      </c>
      <c r="D19161" s="6">
        <v>8.06</v>
      </c>
      <c r="E19161" t="s">
        <v>6</v>
      </c>
    </row>
    <row r="19162" spans="1:5" x14ac:dyDescent="0.25">
      <c r="A19162" t="str">
        <f>HYPERLINK("https://www.773grp.com/globalSearch/UC2863DW/page-1", "UC2863DW")</f>
        <v>UC2863DW</v>
      </c>
      <c r="B19162" s="3" t="s">
        <v>90</v>
      </c>
      <c r="C19162" s="5">
        <v>7080</v>
      </c>
      <c r="D19162" s="6">
        <v>8.06</v>
      </c>
      <c r="E19162" t="s">
        <v>6</v>
      </c>
    </row>
    <row r="19163" spans="1:5" x14ac:dyDescent="0.25">
      <c r="A19163" t="str">
        <f>HYPERLINK("https://www.773grp.com/globalSearch/UC2864DW/page-1", "UC2864DW")</f>
        <v>UC2864DW</v>
      </c>
      <c r="B19163" s="3" t="s">
        <v>90</v>
      </c>
      <c r="C19163" s="5">
        <v>6527</v>
      </c>
      <c r="D19163" s="6">
        <v>8.06</v>
      </c>
      <c r="E19163" t="s">
        <v>6</v>
      </c>
    </row>
    <row r="19164" spans="1:5" x14ac:dyDescent="0.25">
      <c r="A19164" t="str">
        <f>HYPERLINK("https://www.773grp.com/globalSearch/UC3861N/page-1", "UC3861N")</f>
        <v>UC3861N</v>
      </c>
      <c r="B19164" s="3" t="s">
        <v>90</v>
      </c>
      <c r="C19164" s="5">
        <v>141</v>
      </c>
      <c r="D19164" s="6">
        <v>8.06</v>
      </c>
      <c r="E19164" t="s">
        <v>6</v>
      </c>
    </row>
    <row r="19165" spans="1:5" x14ac:dyDescent="0.25">
      <c r="A19165" t="str">
        <f>HYPERLINK("https://www.773grp.com/globalSearch/UC3862N/page-1", "UC3862N")</f>
        <v>UC3862N</v>
      </c>
      <c r="B19165" s="3" t="s">
        <v>90</v>
      </c>
      <c r="C19165" s="5">
        <v>3226</v>
      </c>
      <c r="D19165" s="6">
        <v>8.06</v>
      </c>
      <c r="E19165" t="s">
        <v>6</v>
      </c>
    </row>
    <row r="19166" spans="1:5" x14ac:dyDescent="0.25">
      <c r="A19166" t="str">
        <f>HYPERLINK("https://www.773grp.com/globalSearch/UC3863N/page-1", "UC3863N")</f>
        <v>UC3863N</v>
      </c>
      <c r="B19166" s="3" t="s">
        <v>90</v>
      </c>
      <c r="C19166" s="5">
        <v>5060</v>
      </c>
      <c r="D19166" s="6">
        <v>8.06</v>
      </c>
      <c r="E19166" t="s">
        <v>6</v>
      </c>
    </row>
    <row r="19167" spans="1:5" x14ac:dyDescent="0.25">
      <c r="A19167" t="str">
        <f>HYPERLINK("https://www.773grp.com/globalSearch/UC3863N/page-1", "UC3863N")</f>
        <v>UC3863N</v>
      </c>
      <c r="B19167" s="3" t="s">
        <v>90</v>
      </c>
      <c r="C19167" s="5">
        <v>5450</v>
      </c>
      <c r="D19167" s="6">
        <v>8.06</v>
      </c>
      <c r="E19167" t="s">
        <v>6</v>
      </c>
    </row>
    <row r="19168" spans="1:5" x14ac:dyDescent="0.25">
      <c r="A19168" t="str">
        <f>HYPERLINK("https://www.773grp.com/globalSearch/UC3864N/page-1", "UC3864N")</f>
        <v>UC3864N</v>
      </c>
      <c r="B19168" s="3" t="s">
        <v>90</v>
      </c>
      <c r="C19168" s="5">
        <v>85</v>
      </c>
      <c r="D19168" s="6">
        <v>8.06</v>
      </c>
      <c r="E19168" t="s">
        <v>6</v>
      </c>
    </row>
    <row r="19169" spans="1:5" x14ac:dyDescent="0.25">
      <c r="A19169" t="str">
        <f>HYPERLINK("https://www.773grp.com/globalSearch/UC3864N/page-1", "UC3864N")</f>
        <v>UC3864N</v>
      </c>
      <c r="B19169" s="3" t="s">
        <v>90</v>
      </c>
      <c r="C19169" s="5">
        <v>4550</v>
      </c>
      <c r="D19169" s="6">
        <v>8.06</v>
      </c>
      <c r="E19169" t="s">
        <v>6</v>
      </c>
    </row>
    <row r="19170" spans="1:5" x14ac:dyDescent="0.25">
      <c r="A19170" t="str">
        <f>HYPERLINK("https://www.773grp.com/globalSearch/UC3865N/page-1", "UC3865N")</f>
        <v>UC3865N</v>
      </c>
      <c r="B19170" s="3" t="s">
        <v>90</v>
      </c>
      <c r="C19170" s="5">
        <v>5200</v>
      </c>
      <c r="D19170" s="6">
        <v>8.06</v>
      </c>
      <c r="E19170" t="s">
        <v>6</v>
      </c>
    </row>
    <row r="19171" spans="1:5" x14ac:dyDescent="0.25">
      <c r="A19171" t="str">
        <f>HYPERLINK("https://www.773grp.com/globalSearch/UC3865N/page-1", "UC3865N")</f>
        <v>UC3865N</v>
      </c>
      <c r="B19171" s="3" t="s">
        <v>90</v>
      </c>
      <c r="C19171" s="5">
        <v>564</v>
      </c>
      <c r="D19171" s="6">
        <v>8.06</v>
      </c>
      <c r="E19171" t="s">
        <v>6</v>
      </c>
    </row>
    <row r="19172" spans="1:5" x14ac:dyDescent="0.25">
      <c r="A19172" t="str">
        <f>HYPERLINK("https://www.773grp.com/globalSearch/UC3868N/page-1", "UC3868N")</f>
        <v>UC3868N</v>
      </c>
      <c r="B19172" s="3" t="s">
        <v>90</v>
      </c>
      <c r="C19172" s="5">
        <v>379</v>
      </c>
      <c r="D19172" s="6">
        <v>8.06</v>
      </c>
      <c r="E19172" t="s">
        <v>6</v>
      </c>
    </row>
    <row r="19173" spans="1:5" x14ac:dyDescent="0.25">
      <c r="A19173" t="str">
        <f>HYPERLINK("https://www.773grp.com/globalSearch/TPS40140RHHT/page-1", "TPS40140RHHT")</f>
        <v>TPS40140RHHT</v>
      </c>
      <c r="B19173" s="3" t="s">
        <v>90</v>
      </c>
      <c r="C19173" s="5">
        <v>2260</v>
      </c>
      <c r="D19173" s="6">
        <v>8.1</v>
      </c>
      <c r="E19173" t="s">
        <v>6</v>
      </c>
    </row>
    <row r="19174" spans="1:5" x14ac:dyDescent="0.25">
      <c r="A19174" t="str">
        <f>HYPERLINK("https://www.773grp.com/globalSearch/TPS51427ARHBT/page-1", "TPS51427ARHBT")</f>
        <v>TPS51427ARHBT</v>
      </c>
      <c r="B19174" s="3" t="s">
        <v>90</v>
      </c>
      <c r="C19174" s="5">
        <v>19250</v>
      </c>
      <c r="D19174" s="6">
        <v>8.1</v>
      </c>
      <c r="E19174" t="s">
        <v>6</v>
      </c>
    </row>
    <row r="19175" spans="1:5" x14ac:dyDescent="0.25">
      <c r="A19175" t="str">
        <f>HYPERLINK("https://www.773grp.com/globalSearch/TPS51427RHBT/page-1", "TPS51427RHBT")</f>
        <v>TPS51427RHBT</v>
      </c>
      <c r="B19175" s="3" t="s">
        <v>90</v>
      </c>
      <c r="C19175" s="5">
        <v>6625</v>
      </c>
      <c r="D19175" s="6">
        <v>8.1</v>
      </c>
      <c r="E19175" t="s">
        <v>6</v>
      </c>
    </row>
    <row r="19176" spans="1:5" x14ac:dyDescent="0.25">
      <c r="A19176" t="str">
        <f>HYPERLINK("https://www.773grp.com/globalSearch/TPS54383PWP/page-1", "TPS54383PWP")</f>
        <v>TPS54383PWP</v>
      </c>
      <c r="B19176" s="3" t="s">
        <v>90</v>
      </c>
      <c r="C19176" s="5">
        <v>7858</v>
      </c>
      <c r="D19176" s="6">
        <v>8.1</v>
      </c>
      <c r="E19176" t="s">
        <v>6</v>
      </c>
    </row>
    <row r="19177" spans="1:5" x14ac:dyDescent="0.25">
      <c r="A19177" t="str">
        <f>HYPERLINK("https://www.773grp.com/globalSearch/TPS54386PWP/page-1", "TPS54386PWP")</f>
        <v>TPS54386PWP</v>
      </c>
      <c r="B19177" s="3" t="s">
        <v>90</v>
      </c>
      <c r="C19177" s="5">
        <v>21872</v>
      </c>
      <c r="D19177" s="6">
        <v>8.1</v>
      </c>
      <c r="E19177" t="s">
        <v>6</v>
      </c>
    </row>
    <row r="19178" spans="1:5" x14ac:dyDescent="0.25">
      <c r="A19178" t="str">
        <f>HYPERLINK("https://www.773grp.com/globalSearch/TPS54386PWPG4/page-1", "TPS54386PWPG4")</f>
        <v>TPS54386PWPG4</v>
      </c>
      <c r="B19178" s="3" t="s">
        <v>90</v>
      </c>
      <c r="C19178" s="5">
        <v>111</v>
      </c>
      <c r="D19178" s="6">
        <v>8.1</v>
      </c>
      <c r="E19178" t="s">
        <v>6</v>
      </c>
    </row>
    <row r="19179" spans="1:5" x14ac:dyDescent="0.25">
      <c r="A19179" t="str">
        <f>HYPERLINK("https://www.773grp.com/globalSearch/TPS54917RUVT/page-1", "TPS54917RUVT")</f>
        <v>TPS54917RUVT</v>
      </c>
      <c r="B19179" s="3" t="s">
        <v>90</v>
      </c>
      <c r="C19179" s="5">
        <v>6185</v>
      </c>
      <c r="D19179" s="6">
        <v>8.1</v>
      </c>
      <c r="E19179" t="s">
        <v>6</v>
      </c>
    </row>
    <row r="19180" spans="1:5" x14ac:dyDescent="0.25">
      <c r="A19180" t="str">
        <f>HYPERLINK("https://www.773grp.com/globalSearch/TPS55383PWP/page-1", "TPS55383PWP")</f>
        <v>TPS55383PWP</v>
      </c>
      <c r="B19180" s="3" t="s">
        <v>90</v>
      </c>
      <c r="C19180" s="5">
        <v>6619</v>
      </c>
      <c r="D19180" s="6">
        <v>8.1</v>
      </c>
      <c r="E19180" t="s">
        <v>6</v>
      </c>
    </row>
    <row r="19181" spans="1:5" x14ac:dyDescent="0.25">
      <c r="A19181" t="str">
        <f>HYPERLINK("https://www.773grp.com/globalSearch/TPS55386PWP/page-1", "TPS55386PWP")</f>
        <v>TPS55386PWP</v>
      </c>
      <c r="B19181" s="3" t="s">
        <v>90</v>
      </c>
      <c r="C19181" s="5">
        <v>270</v>
      </c>
      <c r="D19181" s="6">
        <v>8.1</v>
      </c>
      <c r="E19181" t="s">
        <v>6</v>
      </c>
    </row>
    <row r="19182" spans="1:5" x14ac:dyDescent="0.25">
      <c r="A19182" t="str">
        <f>HYPERLINK("https://www.773grp.com/globalSearch/LTC1044CDR/page-1", "LTC1044CDR")</f>
        <v>LTC1044CDR</v>
      </c>
      <c r="B19182" s="3" t="s">
        <v>90</v>
      </c>
      <c r="C19182" s="5">
        <v>7500</v>
      </c>
      <c r="D19182" s="6">
        <v>8.14</v>
      </c>
      <c r="E19182" t="s">
        <v>6</v>
      </c>
    </row>
    <row r="19183" spans="1:5" x14ac:dyDescent="0.25">
      <c r="A19183" t="str">
        <f>HYPERLINK("https://www.773grp.com/globalSearch/BQ24730RGFR/page-1", "BQ24730RGFR")</f>
        <v>BQ24730RGFR</v>
      </c>
      <c r="B19183" s="3" t="s">
        <v>90</v>
      </c>
      <c r="C19183" s="5">
        <v>48000</v>
      </c>
      <c r="D19183" s="6">
        <v>8.15</v>
      </c>
      <c r="E19183" t="s">
        <v>6</v>
      </c>
    </row>
    <row r="19184" spans="1:5" x14ac:dyDescent="0.25">
      <c r="A19184" t="str">
        <f>HYPERLINK("https://www.773grp.com/globalSearch/TPS5420MDREP/page-1", "TPS5420MDREP")</f>
        <v>TPS5420MDREP</v>
      </c>
      <c r="B19184" s="3" t="s">
        <v>90</v>
      </c>
      <c r="C19184" s="5">
        <v>4110</v>
      </c>
      <c r="D19184" s="6">
        <v>8.15</v>
      </c>
      <c r="E19184" t="s">
        <v>6</v>
      </c>
    </row>
    <row r="19185" spans="1:5" x14ac:dyDescent="0.25">
      <c r="A19185" t="str">
        <f>HYPERLINK("https://www.773grp.com/globalSearch/TPS54377RHFT/page-1", "TPS54377RHFT")</f>
        <v>TPS54377RHFT</v>
      </c>
      <c r="B19185" s="3" t="s">
        <v>90</v>
      </c>
      <c r="C19185" s="5">
        <v>22420</v>
      </c>
      <c r="D19185" s="6">
        <v>8.15</v>
      </c>
      <c r="E19185" t="s">
        <v>6</v>
      </c>
    </row>
    <row r="19186" spans="1:5" x14ac:dyDescent="0.25">
      <c r="A19186" t="str">
        <f>HYPERLINK("https://www.773grp.com/globalSearch/TPS54620RGYT/page-1", "TPS54620RGYT")</f>
        <v>TPS54620RGYT</v>
      </c>
      <c r="B19186" s="3" t="s">
        <v>90</v>
      </c>
      <c r="C19186" s="5">
        <v>727</v>
      </c>
      <c r="D19186" s="6">
        <v>8.15</v>
      </c>
      <c r="E19186" t="s">
        <v>6</v>
      </c>
    </row>
    <row r="19187" spans="1:5" x14ac:dyDescent="0.25">
      <c r="A19187" t="str">
        <f>HYPERLINK("https://www.773grp.com/globalSearch/UC1846MDWREP/page-1", "UC1846MDWREP")</f>
        <v>UC1846MDWREP</v>
      </c>
      <c r="B19187" s="3" t="s">
        <v>90</v>
      </c>
      <c r="C19187" s="5">
        <v>7033</v>
      </c>
      <c r="D19187" s="6">
        <v>8.15</v>
      </c>
      <c r="E19187" t="s">
        <v>6</v>
      </c>
    </row>
    <row r="19188" spans="1:5" x14ac:dyDescent="0.25">
      <c r="A19188" t="str">
        <f>HYPERLINK("https://www.773grp.com/globalSearch/UCC3580D-4/page-1", "UCC3580D-4")</f>
        <v>UCC3580D-4</v>
      </c>
      <c r="B19188" s="3" t="s">
        <v>90</v>
      </c>
      <c r="C19188" s="5">
        <v>640</v>
      </c>
      <c r="D19188" s="6">
        <v>8.15</v>
      </c>
      <c r="E19188" t="s">
        <v>6</v>
      </c>
    </row>
    <row r="19189" spans="1:5" x14ac:dyDescent="0.25">
      <c r="A19189" t="str">
        <f>HYPERLINK("https://www.773grp.com/globalSearch/UC2525BDW/page-1", "UC2525BDW")</f>
        <v>UC2525BDW</v>
      </c>
      <c r="B19189" s="3" t="s">
        <v>90</v>
      </c>
      <c r="C19189" s="5">
        <v>5180</v>
      </c>
      <c r="D19189" s="6">
        <v>8.19</v>
      </c>
      <c r="E19189" t="s">
        <v>6</v>
      </c>
    </row>
    <row r="19190" spans="1:5" x14ac:dyDescent="0.25">
      <c r="A19190" t="str">
        <f>HYPERLINK("https://www.773grp.com/globalSearch/UCC3829DW-1/page-1", "UCC3829DW-1")</f>
        <v>UCC3829DW-1</v>
      </c>
      <c r="B19190" s="3" t="s">
        <v>90</v>
      </c>
      <c r="C19190" s="5">
        <v>4294</v>
      </c>
      <c r="D19190" s="6">
        <v>8.2100000000000009</v>
      </c>
      <c r="E19190" t="s">
        <v>6</v>
      </c>
    </row>
    <row r="19191" spans="1:5" x14ac:dyDescent="0.25">
      <c r="A19191" t="str">
        <f>HYPERLINK("https://www.773grp.com/globalSearch/UCC39421N/page-1", "UCC39421N")</f>
        <v>UCC39421N</v>
      </c>
      <c r="B19191" s="3" t="s">
        <v>90</v>
      </c>
      <c r="C19191" s="5">
        <v>3750</v>
      </c>
      <c r="D19191" s="6">
        <v>8.2100000000000009</v>
      </c>
      <c r="E19191" t="s">
        <v>6</v>
      </c>
    </row>
    <row r="19192" spans="1:5" x14ac:dyDescent="0.25">
      <c r="A19192" t="str">
        <f>HYPERLINK("https://www.773grp.com/globalSearch/UCC39421N/page-1", "UCC39421N")</f>
        <v>UCC39421N</v>
      </c>
      <c r="B19192" s="3" t="s">
        <v>90</v>
      </c>
      <c r="C19192" s="5">
        <v>2325</v>
      </c>
      <c r="D19192" s="6">
        <v>8.2100000000000009</v>
      </c>
      <c r="E19192" t="s">
        <v>6</v>
      </c>
    </row>
    <row r="19193" spans="1:5" x14ac:dyDescent="0.25">
      <c r="A19193" t="str">
        <f>HYPERLINK("https://www.773grp.com/globalSearch/UCC39421N/page-1", "UCC39421N")</f>
        <v>UCC39421N</v>
      </c>
      <c r="B19193" s="3" t="s">
        <v>90</v>
      </c>
      <c r="C19193" s="5">
        <v>6890</v>
      </c>
      <c r="D19193" s="6">
        <v>8.2100000000000009</v>
      </c>
      <c r="E19193" t="s">
        <v>6</v>
      </c>
    </row>
    <row r="19194" spans="1:5" x14ac:dyDescent="0.25">
      <c r="A19194" t="str">
        <f>HYPERLINK("https://www.773grp.com/globalSearch/UCC39421PWTR/page-1", "UCC39421PWTR")</f>
        <v>UCC39421PWTR</v>
      </c>
      <c r="B19194" s="3" t="s">
        <v>90</v>
      </c>
      <c r="C19194" s="5">
        <v>28000</v>
      </c>
      <c r="D19194" s="6">
        <v>8.2100000000000009</v>
      </c>
      <c r="E19194" t="s">
        <v>6</v>
      </c>
    </row>
    <row r="19195" spans="1:5" x14ac:dyDescent="0.25">
      <c r="A19195" t="str">
        <f>HYPERLINK("https://www.773grp.com/globalSearch/TPS5102IDBT/page-1", "TPS5102IDBT")</f>
        <v>TPS5102IDBT</v>
      </c>
      <c r="B19195" s="3" t="s">
        <v>90</v>
      </c>
      <c r="C19195" s="5">
        <v>30813</v>
      </c>
      <c r="D19195" s="6">
        <v>8.2799999999999994</v>
      </c>
      <c r="E19195" t="s">
        <v>6</v>
      </c>
    </row>
    <row r="19196" spans="1:5" x14ac:dyDescent="0.25">
      <c r="A19196" t="str">
        <f>HYPERLINK("https://www.773grp.com/globalSearch/TPS40130RHBR/page-1", "TPS40130RHBR")</f>
        <v>TPS40130RHBR</v>
      </c>
      <c r="B19196" s="3" t="s">
        <v>90</v>
      </c>
      <c r="C19196" s="5">
        <v>98</v>
      </c>
      <c r="D19196" s="6">
        <v>8.3000000000000007</v>
      </c>
      <c r="E19196" t="s">
        <v>6</v>
      </c>
    </row>
    <row r="19197" spans="1:5" x14ac:dyDescent="0.25">
      <c r="A19197" t="str">
        <f>HYPERLINK("https://www.773grp.com/globalSearch/UC1845AMDREP/page-1", "UC1845AMDREP")</f>
        <v>UC1845AMDREP</v>
      </c>
      <c r="B19197" s="3" t="s">
        <v>90</v>
      </c>
      <c r="C19197" s="5">
        <v>3450</v>
      </c>
      <c r="D19197" s="6">
        <v>8.3000000000000007</v>
      </c>
      <c r="E19197" t="s">
        <v>6</v>
      </c>
    </row>
    <row r="19198" spans="1:5" x14ac:dyDescent="0.25">
      <c r="A19198" t="str">
        <f>HYPERLINK("https://www.773grp.com/globalSearch/UCC28503DWTR/page-1", "UCC28503DWTR")</f>
        <v>UCC28503DWTR</v>
      </c>
      <c r="B19198" s="3" t="s">
        <v>90</v>
      </c>
      <c r="C19198" s="5">
        <v>2000</v>
      </c>
      <c r="D19198" s="6">
        <v>8.3000000000000007</v>
      </c>
      <c r="E19198" t="s">
        <v>6</v>
      </c>
    </row>
    <row r="19199" spans="1:5" x14ac:dyDescent="0.25">
      <c r="A19199" t="str">
        <f>HYPERLINK("https://www.773grp.com/globalSearch/UCC35701DTR/page-1", "UCC35701DTR")</f>
        <v>UCC35701DTR</v>
      </c>
      <c r="B19199" s="3" t="s">
        <v>90</v>
      </c>
      <c r="C19199" s="5">
        <v>40000</v>
      </c>
      <c r="D19199" s="6">
        <v>8.3000000000000007</v>
      </c>
      <c r="E19199" t="s">
        <v>6</v>
      </c>
    </row>
    <row r="19200" spans="1:5" x14ac:dyDescent="0.25">
      <c r="A19200" t="str">
        <f>HYPERLINK("https://www.773grp.com/globalSearch/UCC3583N/page-1", "UCC3583N")</f>
        <v>UCC3583N</v>
      </c>
      <c r="B19200" s="3" t="s">
        <v>90</v>
      </c>
      <c r="C19200" s="5">
        <v>1390</v>
      </c>
      <c r="D19200" s="6">
        <v>8.33</v>
      </c>
      <c r="E19200" t="s">
        <v>6</v>
      </c>
    </row>
    <row r="19201" spans="1:5" x14ac:dyDescent="0.25">
      <c r="A19201" t="str">
        <f>HYPERLINK("https://www.773grp.com/globalSearch/TPS54618RTET/page-1", "TPS54618RTET")</f>
        <v>TPS54618RTET</v>
      </c>
      <c r="B19201" s="3" t="s">
        <v>90</v>
      </c>
      <c r="C19201" s="5">
        <v>250</v>
      </c>
      <c r="D19201" s="6">
        <v>8.4</v>
      </c>
      <c r="E19201" t="s">
        <v>6</v>
      </c>
    </row>
    <row r="19202" spans="1:5" x14ac:dyDescent="0.25">
      <c r="A19202" t="str">
        <f>HYPERLINK("https://www.773grp.com/globalSearch/TPS68000DBTR/page-1", "TPS68000DBTR")</f>
        <v>TPS68000DBTR</v>
      </c>
      <c r="B19202" s="3" t="s">
        <v>90</v>
      </c>
      <c r="C19202" s="5">
        <v>7995</v>
      </c>
      <c r="D19202" s="6">
        <v>8.44</v>
      </c>
      <c r="E19202" t="s">
        <v>6</v>
      </c>
    </row>
    <row r="19203" spans="1:5" x14ac:dyDescent="0.25">
      <c r="A19203" t="str">
        <f>HYPERLINK("https://www.773grp.com/globalSearch/UCC2583D/page-1", "UCC2583D")</f>
        <v>UCC2583D</v>
      </c>
      <c r="B19203" s="3" t="s">
        <v>90</v>
      </c>
      <c r="C19203" s="5">
        <v>2325</v>
      </c>
      <c r="D19203" s="6">
        <v>8.44</v>
      </c>
      <c r="E19203" t="s">
        <v>6</v>
      </c>
    </row>
    <row r="19204" spans="1:5" x14ac:dyDescent="0.25">
      <c r="A19204" t="str">
        <f>HYPERLINK("https://www.773grp.com/globalSearch/UCC2801MDREP/page-1", "UCC2801MDREP")</f>
        <v>UCC2801MDREP</v>
      </c>
      <c r="B19204" s="3" t="s">
        <v>90</v>
      </c>
      <c r="C19204" s="5">
        <v>7050</v>
      </c>
      <c r="D19204" s="6">
        <v>8.44</v>
      </c>
      <c r="E19204" t="s">
        <v>6</v>
      </c>
    </row>
    <row r="19205" spans="1:5" x14ac:dyDescent="0.25">
      <c r="A19205" t="str">
        <f>HYPERLINK("https://www.773grp.com/globalSearch/UCD9222RGZR/page-1", "UCD9222RGZR")</f>
        <v>UCD9222RGZR</v>
      </c>
      <c r="B19205" s="3" t="s">
        <v>90</v>
      </c>
      <c r="C19205" s="5">
        <v>5000</v>
      </c>
      <c r="D19205" s="6">
        <v>8.44</v>
      </c>
      <c r="E19205" t="s">
        <v>6</v>
      </c>
    </row>
    <row r="19206" spans="1:5" x14ac:dyDescent="0.25">
      <c r="A19206" t="str">
        <f>HYPERLINK("https://www.773grp.com/globalSearch/BQ2054PN/page-1", "BQ2054PN")</f>
        <v>BQ2054PN</v>
      </c>
      <c r="B19206" s="3" t="s">
        <v>90</v>
      </c>
      <c r="C19206" s="5">
        <v>46916</v>
      </c>
      <c r="D19206" s="6">
        <v>8.58</v>
      </c>
      <c r="E19206" t="s">
        <v>6</v>
      </c>
    </row>
    <row r="19207" spans="1:5" x14ac:dyDescent="0.25">
      <c r="A19207" t="str">
        <f>HYPERLINK("https://www.773grp.com/globalSearch/UC2909DWTR/page-1", "UC2909DWTR")</f>
        <v>UC2909DWTR</v>
      </c>
      <c r="B19207" s="3" t="s">
        <v>90</v>
      </c>
      <c r="C19207" s="5">
        <v>1400</v>
      </c>
      <c r="D19207" s="6">
        <v>8.58</v>
      </c>
      <c r="E19207" t="s">
        <v>6</v>
      </c>
    </row>
    <row r="19208" spans="1:5" x14ac:dyDescent="0.25">
      <c r="A19208" t="str">
        <f>HYPERLINK("https://www.773grp.com/globalSearch/UC3849Q/page-1", "UC3849Q")</f>
        <v>UC3849Q</v>
      </c>
      <c r="B19208" s="3" t="s">
        <v>90</v>
      </c>
      <c r="C19208" s="5">
        <v>1924</v>
      </c>
      <c r="D19208" s="6">
        <v>8.58</v>
      </c>
      <c r="E19208" t="s">
        <v>6</v>
      </c>
    </row>
    <row r="19209" spans="1:5" x14ac:dyDescent="0.25">
      <c r="A19209" t="str">
        <f>HYPERLINK("https://www.773grp.com/globalSearch/UC3849QTR/page-1", "UC3849QTR")</f>
        <v>UC3849QTR</v>
      </c>
      <c r="B19209" s="3" t="s">
        <v>90</v>
      </c>
      <c r="C19209" s="5">
        <v>1500</v>
      </c>
      <c r="D19209" s="6">
        <v>8.58</v>
      </c>
      <c r="E19209" t="s">
        <v>6</v>
      </c>
    </row>
    <row r="19210" spans="1:5" x14ac:dyDescent="0.25">
      <c r="A19210" t="str">
        <f>HYPERLINK("https://www.773grp.com/globalSearch/UC3909N/page-1", "UC3909N")</f>
        <v>UC3909N</v>
      </c>
      <c r="B19210" s="3" t="s">
        <v>90</v>
      </c>
      <c r="C19210" s="5">
        <v>700</v>
      </c>
      <c r="D19210" s="6">
        <v>8.58</v>
      </c>
      <c r="E19210" t="s">
        <v>6</v>
      </c>
    </row>
    <row r="19211" spans="1:5" x14ac:dyDescent="0.25">
      <c r="A19211" t="str">
        <f>HYPERLINK("https://www.773grp.com/globalSearch/UC3909N/page-1", "UC3909N")</f>
        <v>UC3909N</v>
      </c>
      <c r="B19211" s="3" t="s">
        <v>90</v>
      </c>
      <c r="C19211" s="5">
        <v>33</v>
      </c>
      <c r="D19211" s="6">
        <v>8.58</v>
      </c>
      <c r="E19211" t="s">
        <v>6</v>
      </c>
    </row>
    <row r="19212" spans="1:5" x14ac:dyDescent="0.25">
      <c r="A19212" t="str">
        <f>HYPERLINK("https://www.773grp.com/globalSearch/UC3909N/page-1", "UC3909N")</f>
        <v>UC3909N</v>
      </c>
      <c r="B19212" s="3" t="s">
        <v>90</v>
      </c>
      <c r="C19212" s="5">
        <v>303</v>
      </c>
      <c r="D19212" s="6">
        <v>8.58</v>
      </c>
      <c r="E19212" t="s">
        <v>6</v>
      </c>
    </row>
    <row r="19213" spans="1:5" x14ac:dyDescent="0.25">
      <c r="A19213" t="str">
        <f>HYPERLINK("https://www.773grp.com/globalSearch/UC3909Q/page-1", "UC3909Q")</f>
        <v>UC3909Q</v>
      </c>
      <c r="B19213" s="3" t="s">
        <v>90</v>
      </c>
      <c r="C19213" s="5">
        <v>525</v>
      </c>
      <c r="D19213" s="6">
        <v>8.58</v>
      </c>
      <c r="E19213" t="s">
        <v>6</v>
      </c>
    </row>
    <row r="19214" spans="1:5" x14ac:dyDescent="0.25">
      <c r="A19214" t="str">
        <f>HYPERLINK("https://www.773grp.com/globalSearch/UCC28501N/page-1", "UCC28501N")</f>
        <v>UCC28501N</v>
      </c>
      <c r="B19214" s="3" t="s">
        <v>90</v>
      </c>
      <c r="C19214" s="5">
        <v>1980</v>
      </c>
      <c r="D19214" s="6">
        <v>8.58</v>
      </c>
      <c r="E19214" t="s">
        <v>6</v>
      </c>
    </row>
    <row r="19215" spans="1:5" x14ac:dyDescent="0.25">
      <c r="A19215" t="str">
        <f>HYPERLINK("https://www.773grp.com/globalSearch/UCC28503N/page-1", "UCC28503N")</f>
        <v>UCC28503N</v>
      </c>
      <c r="B19215" s="3" t="s">
        <v>90</v>
      </c>
      <c r="C19215" s="5">
        <v>2170</v>
      </c>
      <c r="D19215" s="6">
        <v>8.58</v>
      </c>
      <c r="E19215" t="s">
        <v>6</v>
      </c>
    </row>
    <row r="19216" spans="1:5" x14ac:dyDescent="0.25">
      <c r="A19216" t="str">
        <f>HYPERLINK("https://www.773grp.com/globalSearch/UCD9224RGZT/page-1", "UCD9224RGZT")</f>
        <v>UCD9224RGZT</v>
      </c>
      <c r="B19216" s="3" t="s">
        <v>90</v>
      </c>
      <c r="C19216" s="5">
        <v>2245</v>
      </c>
      <c r="D19216" s="6">
        <v>8.58</v>
      </c>
      <c r="E19216" t="s">
        <v>6</v>
      </c>
    </row>
    <row r="19217" spans="1:5" x14ac:dyDescent="0.25">
      <c r="A19217" t="str">
        <f>HYPERLINK("https://www.773grp.com/globalSearch/TPS54610PWPR/page-1", "TPS54610PWPR")</f>
        <v>TPS54610PWPR</v>
      </c>
      <c r="B19217" s="3" t="s">
        <v>90</v>
      </c>
      <c r="C19217" s="5">
        <v>32480</v>
      </c>
      <c r="D19217" s="6">
        <v>8.73</v>
      </c>
      <c r="E19217" t="s">
        <v>6</v>
      </c>
    </row>
    <row r="19218" spans="1:5" x14ac:dyDescent="0.25">
      <c r="A19218" t="str">
        <f>HYPERLINK("https://www.773grp.com/globalSearch/TPS54612PWPR/page-1", "TPS54612PWPR")</f>
        <v>TPS54612PWPR</v>
      </c>
      <c r="B19218" s="3" t="s">
        <v>90</v>
      </c>
      <c r="C19218" s="5">
        <v>9523</v>
      </c>
      <c r="D19218" s="6">
        <v>8.73</v>
      </c>
      <c r="E19218" t="s">
        <v>6</v>
      </c>
    </row>
    <row r="19219" spans="1:5" x14ac:dyDescent="0.25">
      <c r="A19219" t="str">
        <f>HYPERLINK("https://www.773grp.com/globalSearch/TPS54613PWPR/page-1", "TPS54613PWPR")</f>
        <v>TPS54613PWPR</v>
      </c>
      <c r="B19219" s="3" t="s">
        <v>90</v>
      </c>
      <c r="C19219" s="5">
        <v>8000</v>
      </c>
      <c r="D19219" s="6">
        <v>8.73</v>
      </c>
      <c r="E19219" t="s">
        <v>6</v>
      </c>
    </row>
    <row r="19220" spans="1:5" x14ac:dyDescent="0.25">
      <c r="A19220" t="str">
        <f>HYPERLINK("https://www.773grp.com/globalSearch/TPS54614PWPR/page-1", "TPS54614PWPR")</f>
        <v>TPS54614PWPR</v>
      </c>
      <c r="B19220" s="3" t="s">
        <v>90</v>
      </c>
      <c r="C19220" s="5">
        <v>36000</v>
      </c>
      <c r="D19220" s="6">
        <v>8.73</v>
      </c>
      <c r="E19220" t="s">
        <v>6</v>
      </c>
    </row>
    <row r="19221" spans="1:5" x14ac:dyDescent="0.25">
      <c r="A19221" t="str">
        <f>HYPERLINK("https://www.773grp.com/globalSearch/TPS54615PWPR/page-1", "TPS54615PWPR")</f>
        <v>TPS54615PWPR</v>
      </c>
      <c r="B19221" s="3" t="s">
        <v>90</v>
      </c>
      <c r="C19221" s="5">
        <v>15205</v>
      </c>
      <c r="D19221" s="6">
        <v>8.73</v>
      </c>
      <c r="E19221" t="s">
        <v>6</v>
      </c>
    </row>
    <row r="19222" spans="1:5" x14ac:dyDescent="0.25">
      <c r="A19222" t="str">
        <f>HYPERLINK("https://www.773grp.com/globalSearch/TPS54616PWPR/page-1", "TPS54616PWPR")</f>
        <v>TPS54616PWPR</v>
      </c>
      <c r="B19222" s="3" t="s">
        <v>90</v>
      </c>
      <c r="C19222" s="5">
        <v>8126</v>
      </c>
      <c r="D19222" s="6">
        <v>8.73</v>
      </c>
      <c r="E19222" t="s">
        <v>6</v>
      </c>
    </row>
    <row r="19223" spans="1:5" x14ac:dyDescent="0.25">
      <c r="A19223" t="str">
        <f>HYPERLINK("https://www.773grp.com/globalSearch/UC2843J/page-1", "UC2843J")</f>
        <v>UC2843J</v>
      </c>
      <c r="B19223" s="3" t="s">
        <v>90</v>
      </c>
      <c r="C19223" s="5">
        <v>4029</v>
      </c>
      <c r="D19223" s="6">
        <v>8.73</v>
      </c>
      <c r="E19223" t="s">
        <v>6</v>
      </c>
    </row>
    <row r="19224" spans="1:5" x14ac:dyDescent="0.25">
      <c r="A19224" t="str">
        <f>HYPERLINK("https://www.773grp.com/globalSearch/UC2845AJ/page-1", "UC2845AJ")</f>
        <v>UC2845AJ</v>
      </c>
      <c r="B19224" s="3" t="s">
        <v>90</v>
      </c>
      <c r="C19224" s="5">
        <v>777</v>
      </c>
      <c r="D19224" s="6">
        <v>8.73</v>
      </c>
      <c r="E19224" t="s">
        <v>6</v>
      </c>
    </row>
    <row r="19225" spans="1:5" x14ac:dyDescent="0.25">
      <c r="A19225" t="str">
        <f>HYPERLINK("https://www.773grp.com/globalSearch/UCC25702DTR/page-1", "UCC25702DTR")</f>
        <v>UCC25702DTR</v>
      </c>
      <c r="B19225" s="3" t="s">
        <v>90</v>
      </c>
      <c r="C19225" s="5">
        <v>5000</v>
      </c>
      <c r="D19225" s="6">
        <v>8.73</v>
      </c>
      <c r="E19225" t="s">
        <v>6</v>
      </c>
    </row>
    <row r="19226" spans="1:5" x14ac:dyDescent="0.25">
      <c r="A19226" t="str">
        <f>HYPERLINK("https://www.773grp.com/globalSearch/UCC2580D-4/page-1", "UCC2580D-4")</f>
        <v>UCC2580D-4</v>
      </c>
      <c r="B19226" s="3" t="s">
        <v>90</v>
      </c>
      <c r="C19226" s="5">
        <v>3450</v>
      </c>
      <c r="D19226" s="6">
        <v>8.73</v>
      </c>
      <c r="E19226" t="s">
        <v>6</v>
      </c>
    </row>
    <row r="19227" spans="1:5" x14ac:dyDescent="0.25">
      <c r="A19227" t="str">
        <f>HYPERLINK("https://www.773grp.com/globalSearch/UCC2895PWTR/page-1", "UCC2895PWTR")</f>
        <v>UCC2895PWTR</v>
      </c>
      <c r="B19227" s="3" t="s">
        <v>90</v>
      </c>
      <c r="C19227" s="5">
        <v>18000</v>
      </c>
      <c r="D19227" s="6">
        <v>8.73</v>
      </c>
      <c r="E19227" t="s">
        <v>6</v>
      </c>
    </row>
    <row r="19228" spans="1:5" x14ac:dyDescent="0.25">
      <c r="A19228" t="str">
        <f>HYPERLINK("https://www.773grp.com/globalSearch/TL3577-ADJIKTTR/page-1", "TL3577-ADJIKTTR")</f>
        <v>TL3577-ADJIKTTR</v>
      </c>
      <c r="B19228" s="3" t="s">
        <v>90</v>
      </c>
      <c r="C19228" s="5">
        <v>17501</v>
      </c>
      <c r="D19228" s="6">
        <v>8.83</v>
      </c>
      <c r="E19228" t="s">
        <v>6</v>
      </c>
    </row>
    <row r="19229" spans="1:5" x14ac:dyDescent="0.25">
      <c r="A19229" t="str">
        <f>HYPERLINK("https://www.773grp.com/globalSearch/UC3525BN/page-1", "UC3525BN")</f>
        <v>UC3525BN</v>
      </c>
      <c r="B19229" s="3" t="s">
        <v>90</v>
      </c>
      <c r="C19229" s="5">
        <v>81</v>
      </c>
      <c r="D19229" s="6">
        <v>8.83</v>
      </c>
      <c r="E19229" t="s">
        <v>6</v>
      </c>
    </row>
    <row r="19230" spans="1:5" x14ac:dyDescent="0.25">
      <c r="A19230" t="str">
        <f>HYPERLINK("https://www.773grp.com/globalSearch/UC3909QTR/page-1", "UC3909QTR")</f>
        <v>UC3909QTR</v>
      </c>
      <c r="B19230" s="3" t="s">
        <v>90</v>
      </c>
      <c r="C19230" s="5">
        <v>930</v>
      </c>
      <c r="D19230" s="6">
        <v>8.86</v>
      </c>
      <c r="E19230" t="s">
        <v>6</v>
      </c>
    </row>
    <row r="19231" spans="1:5" x14ac:dyDescent="0.25">
      <c r="A19231" t="str">
        <f>HYPERLINK("https://www.773grp.com/globalSearch/UCD9112RHBT/page-1", "UCD9112RHBT")</f>
        <v>UCD9112RHBT</v>
      </c>
      <c r="B19231" s="3" t="s">
        <v>90</v>
      </c>
      <c r="C19231" s="5">
        <v>3250</v>
      </c>
      <c r="D19231" s="6">
        <v>8.86</v>
      </c>
      <c r="E19231" t="s">
        <v>6</v>
      </c>
    </row>
    <row r="19232" spans="1:5" x14ac:dyDescent="0.25">
      <c r="A19232" t="str">
        <f>HYPERLINK("https://www.773grp.com/globalSearch/UCC38500N/page-1", "UCC38500N")</f>
        <v>UCC38500N</v>
      </c>
      <c r="B19232" s="3" t="s">
        <v>90</v>
      </c>
      <c r="C19232" s="5">
        <v>36742</v>
      </c>
      <c r="D19232" s="6">
        <v>8.91</v>
      </c>
      <c r="E19232" t="s">
        <v>6</v>
      </c>
    </row>
    <row r="19233" spans="1:5" x14ac:dyDescent="0.25">
      <c r="A19233" t="str">
        <f>HYPERLINK("https://www.773grp.com/globalSearch/UCC38501N/page-1", "UCC38501N")</f>
        <v>UCC38501N</v>
      </c>
      <c r="B19233" s="3" t="s">
        <v>90</v>
      </c>
      <c r="C19233" s="5">
        <v>1720</v>
      </c>
      <c r="D19233" s="6">
        <v>8.91</v>
      </c>
      <c r="E19233" t="s">
        <v>6</v>
      </c>
    </row>
    <row r="19234" spans="1:5" x14ac:dyDescent="0.25">
      <c r="A19234" t="str">
        <f>HYPERLINK("https://www.773grp.com/globalSearch/UCC38501N/page-1", "UCC38501N")</f>
        <v>UCC38501N</v>
      </c>
      <c r="B19234" s="3" t="s">
        <v>90</v>
      </c>
      <c r="C19234" s="5">
        <v>1080</v>
      </c>
      <c r="D19234" s="6">
        <v>8.91</v>
      </c>
      <c r="E19234" t="s">
        <v>6</v>
      </c>
    </row>
    <row r="19235" spans="1:5" x14ac:dyDescent="0.25">
      <c r="A19235" t="str">
        <f>HYPERLINK("https://www.773grp.com/globalSearch/UCC38502N/page-1", "UCC38502N")</f>
        <v>UCC38502N</v>
      </c>
      <c r="B19235" s="3" t="s">
        <v>90</v>
      </c>
      <c r="C19235" s="5">
        <v>3140</v>
      </c>
      <c r="D19235" s="6">
        <v>8.91</v>
      </c>
      <c r="E19235" t="s">
        <v>6</v>
      </c>
    </row>
    <row r="19236" spans="1:5" x14ac:dyDescent="0.25">
      <c r="A19236" t="str">
        <f>HYPERLINK("https://www.773grp.com/globalSearch/UCC38503N/page-1", "UCC38503N")</f>
        <v>UCC38503N</v>
      </c>
      <c r="B19236" s="3" t="s">
        <v>90</v>
      </c>
      <c r="C19236" s="5">
        <v>32789</v>
      </c>
      <c r="D19236" s="6">
        <v>8.91</v>
      </c>
      <c r="E19236" t="s">
        <v>6</v>
      </c>
    </row>
    <row r="19237" spans="1:5" x14ac:dyDescent="0.25">
      <c r="A19237" t="str">
        <f>HYPERLINK("https://www.773grp.com/globalSearch/UC2863N/page-1", "UC2863N")</f>
        <v>UC2863N</v>
      </c>
      <c r="B19237" s="3" t="s">
        <v>90</v>
      </c>
      <c r="C19237" s="5">
        <v>15780</v>
      </c>
      <c r="D19237" s="6">
        <v>8.9499999999999993</v>
      </c>
      <c r="E19237" t="s">
        <v>6</v>
      </c>
    </row>
    <row r="19238" spans="1:5" x14ac:dyDescent="0.25">
      <c r="A19238" t="str">
        <f>HYPERLINK("https://www.773grp.com/globalSearch/UC2865N/page-1", "UC2865N")</f>
        <v>UC2865N</v>
      </c>
      <c r="B19238" s="3" t="s">
        <v>90</v>
      </c>
      <c r="C19238" s="5">
        <v>4892</v>
      </c>
      <c r="D19238" s="6">
        <v>8.9499999999999993</v>
      </c>
      <c r="E19238" t="s">
        <v>6</v>
      </c>
    </row>
    <row r="19239" spans="1:5" x14ac:dyDescent="0.25">
      <c r="A19239" t="str">
        <f>HYPERLINK("https://www.773grp.com/globalSearch/UC2866N/page-1", "UC2866N")</f>
        <v>UC2866N</v>
      </c>
      <c r="B19239" s="3" t="s">
        <v>90</v>
      </c>
      <c r="C19239" s="5">
        <v>49</v>
      </c>
      <c r="D19239" s="6">
        <v>8.9499999999999993</v>
      </c>
      <c r="E19239" t="s">
        <v>6</v>
      </c>
    </row>
    <row r="19240" spans="1:5" x14ac:dyDescent="0.25">
      <c r="A19240" t="str">
        <f>HYPERLINK("https://www.773grp.com/globalSearch/TPS5410MDREP/page-1", "TPS5410MDREP")</f>
        <v>TPS5410MDREP</v>
      </c>
      <c r="B19240" s="3" t="s">
        <v>90</v>
      </c>
      <c r="C19240" s="5">
        <v>2395</v>
      </c>
      <c r="D19240" s="6">
        <v>9</v>
      </c>
      <c r="E19240" t="s">
        <v>6</v>
      </c>
    </row>
    <row r="19241" spans="1:5" x14ac:dyDescent="0.25">
      <c r="A19241" t="str">
        <f>HYPERLINK("https://www.773grp.com/globalSearch/TPS54550PWPG4/page-1", "TPS54550PWPG4")</f>
        <v>TPS54550PWPG4</v>
      </c>
      <c r="B19241" s="3" t="s">
        <v>90</v>
      </c>
      <c r="C19241" s="5">
        <v>90</v>
      </c>
      <c r="D19241" s="6">
        <v>9</v>
      </c>
      <c r="E19241" t="s">
        <v>6</v>
      </c>
    </row>
    <row r="19242" spans="1:5" x14ac:dyDescent="0.25">
      <c r="A19242" t="str">
        <f>HYPERLINK("https://www.773grp.com/globalSearch/TPS54672PWPR/page-1", "TPS54672PWPR")</f>
        <v>TPS54672PWPR</v>
      </c>
      <c r="B19242" s="3" t="s">
        <v>90</v>
      </c>
      <c r="C19242" s="5">
        <v>3669</v>
      </c>
      <c r="D19242" s="6">
        <v>9</v>
      </c>
      <c r="E19242" t="s">
        <v>6</v>
      </c>
    </row>
    <row r="19243" spans="1:5" x14ac:dyDescent="0.25">
      <c r="A19243" t="str">
        <f>HYPERLINK("https://www.773grp.com/globalSearch/TPS54673PWPR/page-1", "TPS54673PWPR")</f>
        <v>TPS54673PWPR</v>
      </c>
      <c r="B19243" s="3" t="s">
        <v>90</v>
      </c>
      <c r="C19243" s="5">
        <v>2000</v>
      </c>
      <c r="D19243" s="6">
        <v>9</v>
      </c>
      <c r="E19243" t="s">
        <v>6</v>
      </c>
    </row>
    <row r="19244" spans="1:5" x14ac:dyDescent="0.25">
      <c r="A19244" t="str">
        <f>HYPERLINK("https://www.773grp.com/globalSearch/TPS54680PWPR/page-1", "TPS54680PWPR")</f>
        <v>TPS54680PWPR</v>
      </c>
      <c r="B19244" s="3" t="s">
        <v>90</v>
      </c>
      <c r="C19244" s="5">
        <v>1438</v>
      </c>
      <c r="D19244" s="6">
        <v>9</v>
      </c>
      <c r="E19244" t="s">
        <v>6</v>
      </c>
    </row>
    <row r="19245" spans="1:5" x14ac:dyDescent="0.25">
      <c r="A19245" t="str">
        <f>HYPERLINK("https://www.773grp.com/globalSearch/UC2874Q-2/page-1", "UC2874Q-2")</f>
        <v>UC2874Q-2</v>
      </c>
      <c r="B19245" s="3" t="s">
        <v>90</v>
      </c>
      <c r="C19245" s="5">
        <v>3667</v>
      </c>
      <c r="D19245" s="6">
        <v>9</v>
      </c>
      <c r="E19245" t="s">
        <v>6</v>
      </c>
    </row>
    <row r="19246" spans="1:5" x14ac:dyDescent="0.25">
      <c r="A19246" t="str">
        <f>HYPERLINK("https://www.773grp.com/globalSearch/UCD9220RGZR/page-1", "UCD9220RGZR")</f>
        <v>UCD9220RGZR</v>
      </c>
      <c r="B19246" s="3" t="s">
        <v>90</v>
      </c>
      <c r="C19246" s="5">
        <v>10000</v>
      </c>
      <c r="D19246" s="6">
        <v>9</v>
      </c>
      <c r="E19246" t="s">
        <v>6</v>
      </c>
    </row>
    <row r="19247" spans="1:5" x14ac:dyDescent="0.25">
      <c r="A19247" t="str">
        <f>HYPERLINK("https://www.773grp.com/globalSearch/UCC3580N-4/page-1", "UCC3580N-4")</f>
        <v>UCC3580N-4</v>
      </c>
      <c r="B19247" s="3" t="s">
        <v>90</v>
      </c>
      <c r="C19247" s="5">
        <v>16628</v>
      </c>
      <c r="D19247" s="6">
        <v>9.0299999999999994</v>
      </c>
      <c r="E19247" t="s">
        <v>6</v>
      </c>
    </row>
    <row r="19248" spans="1:5" x14ac:dyDescent="0.25">
      <c r="A19248" t="str">
        <f>HYPERLINK("https://www.773grp.com/globalSearch/UCC3580N-4G4/page-1", "UCC3580N-4G4")</f>
        <v>UCC3580N-4G4</v>
      </c>
      <c r="B19248" s="3" t="s">
        <v>90</v>
      </c>
      <c r="C19248" s="5">
        <v>148</v>
      </c>
      <c r="D19248" s="6">
        <v>9.0299999999999994</v>
      </c>
      <c r="E19248" t="s">
        <v>6</v>
      </c>
    </row>
    <row r="19249" spans="1:5" x14ac:dyDescent="0.25">
      <c r="A19249" t="str">
        <f>HYPERLINK("https://www.773grp.com/globalSearch/TPS54910PWPR/page-1", "TPS54910PWPR")</f>
        <v>TPS54910PWPR</v>
      </c>
      <c r="B19249" s="3" t="s">
        <v>90</v>
      </c>
      <c r="C19249" s="5">
        <v>6540</v>
      </c>
      <c r="D19249" s="6">
        <v>9.15</v>
      </c>
      <c r="E19249" t="s">
        <v>6</v>
      </c>
    </row>
    <row r="19250" spans="1:5" x14ac:dyDescent="0.25">
      <c r="A19250" t="str">
        <f>HYPERLINK("https://www.773grp.com/globalSearch/TPS54972PWPR/page-1", "TPS54972PWPR")</f>
        <v>TPS54972PWPR</v>
      </c>
      <c r="B19250" s="3" t="s">
        <v>90</v>
      </c>
      <c r="C19250" s="5">
        <v>4000</v>
      </c>
      <c r="D19250" s="6">
        <v>9.15</v>
      </c>
      <c r="E19250" t="s">
        <v>6</v>
      </c>
    </row>
    <row r="19251" spans="1:5" x14ac:dyDescent="0.25">
      <c r="A19251" t="str">
        <f>HYPERLINK("https://www.773grp.com/globalSearch/TPS54973PWPR/page-1", "TPS54973PWPR")</f>
        <v>TPS54973PWPR</v>
      </c>
      <c r="B19251" s="3" t="s">
        <v>90</v>
      </c>
      <c r="C19251" s="5">
        <v>8000</v>
      </c>
      <c r="D19251" s="6">
        <v>9.15</v>
      </c>
      <c r="E19251" t="s">
        <v>6</v>
      </c>
    </row>
    <row r="19252" spans="1:5" x14ac:dyDescent="0.25">
      <c r="A19252" t="str">
        <f>HYPERLINK("https://www.773grp.com/globalSearch/UC2525BN/page-1", "UC2525BN")</f>
        <v>UC2525BN</v>
      </c>
      <c r="B19252" s="3" t="s">
        <v>90</v>
      </c>
      <c r="C19252" s="5">
        <v>2528</v>
      </c>
      <c r="D19252" s="6">
        <v>9.15</v>
      </c>
      <c r="E19252" t="s">
        <v>6</v>
      </c>
    </row>
    <row r="19253" spans="1:5" x14ac:dyDescent="0.25">
      <c r="A19253" t="str">
        <f>HYPERLINK("https://www.773grp.com/globalSearch/TPS40132RHBT/page-1", "TPS40132RHBT")</f>
        <v>TPS40132RHBT</v>
      </c>
      <c r="B19253" s="3" t="s">
        <v>90</v>
      </c>
      <c r="C19253" s="5">
        <v>1060</v>
      </c>
      <c r="D19253" s="6">
        <v>9.23</v>
      </c>
      <c r="E19253" t="s">
        <v>6</v>
      </c>
    </row>
    <row r="19254" spans="1:5" x14ac:dyDescent="0.25">
      <c r="A19254" t="str">
        <f>HYPERLINK("https://www.773grp.com/globalSearch/UCC2583N/page-1", "UCC2583N")</f>
        <v>UCC2583N</v>
      </c>
      <c r="B19254" s="3" t="s">
        <v>90</v>
      </c>
      <c r="C19254" s="5">
        <v>5100</v>
      </c>
      <c r="D19254" s="6">
        <v>9.25</v>
      </c>
      <c r="E19254" t="s">
        <v>6</v>
      </c>
    </row>
    <row r="19255" spans="1:5" x14ac:dyDescent="0.25">
      <c r="A19255" t="str">
        <f>HYPERLINK("https://www.773grp.com/globalSearch/UCC28500DW/page-1", "UCC28500DW")</f>
        <v>UCC28500DW</v>
      </c>
      <c r="B19255" s="3" t="s">
        <v>90</v>
      </c>
      <c r="C19255" s="5">
        <v>12075</v>
      </c>
      <c r="D19255" s="6">
        <v>9.2899999999999991</v>
      </c>
      <c r="E19255" t="s">
        <v>6</v>
      </c>
    </row>
    <row r="19256" spans="1:5" x14ac:dyDescent="0.25">
      <c r="A19256" t="str">
        <f>HYPERLINK("https://www.773grp.com/globalSearch/UCC28500DW/page-1", "UCC28500DW")</f>
        <v>UCC28500DW</v>
      </c>
      <c r="B19256" s="3" t="s">
        <v>90</v>
      </c>
      <c r="C19256" s="5">
        <v>6300</v>
      </c>
      <c r="D19256" s="6">
        <v>9.2899999999999991</v>
      </c>
      <c r="E19256" t="s">
        <v>6</v>
      </c>
    </row>
    <row r="19257" spans="1:5" x14ac:dyDescent="0.25">
      <c r="A19257" t="str">
        <f>HYPERLINK("https://www.773grp.com/globalSearch/UCC28501DW/page-1", "UCC28501DW")</f>
        <v>UCC28501DW</v>
      </c>
      <c r="B19257" s="3" t="s">
        <v>90</v>
      </c>
      <c r="C19257" s="5">
        <v>11975</v>
      </c>
      <c r="D19257" s="6">
        <v>9.2899999999999991</v>
      </c>
      <c r="E19257" t="s">
        <v>6</v>
      </c>
    </row>
    <row r="19258" spans="1:5" x14ac:dyDescent="0.25">
      <c r="A19258" t="str">
        <f>HYPERLINK("https://www.773grp.com/globalSearch/UCC28502DW/page-1", "UCC28502DW")</f>
        <v>UCC28502DW</v>
      </c>
      <c r="B19258" s="3" t="s">
        <v>90</v>
      </c>
      <c r="C19258" s="5">
        <v>2125</v>
      </c>
      <c r="D19258" s="6">
        <v>9.2899999999999991</v>
      </c>
      <c r="E19258" t="s">
        <v>6</v>
      </c>
    </row>
    <row r="19259" spans="1:5" x14ac:dyDescent="0.25">
      <c r="A19259" t="str">
        <f>HYPERLINK("https://www.773grp.com/globalSearch/UCC28502DW/page-1", "UCC28502DW")</f>
        <v>UCC28502DW</v>
      </c>
      <c r="B19259" s="3" t="s">
        <v>90</v>
      </c>
      <c r="C19259" s="5">
        <v>2225</v>
      </c>
      <c r="D19259" s="6">
        <v>9.2899999999999991</v>
      </c>
      <c r="E19259" t="s">
        <v>6</v>
      </c>
    </row>
    <row r="19260" spans="1:5" x14ac:dyDescent="0.25">
      <c r="A19260" t="str">
        <f>HYPERLINK("https://www.773grp.com/globalSearch/UCC28503DW/page-1", "UCC28503DW")</f>
        <v>UCC28503DW</v>
      </c>
      <c r="B19260" s="3" t="s">
        <v>90</v>
      </c>
      <c r="C19260" s="5">
        <v>5568</v>
      </c>
      <c r="D19260" s="6">
        <v>9.2899999999999991</v>
      </c>
      <c r="E19260" t="s">
        <v>6</v>
      </c>
    </row>
    <row r="19261" spans="1:5" x14ac:dyDescent="0.25">
      <c r="A19261" t="str">
        <f>HYPERLINK("https://www.773grp.com/globalSearch/UCC35702DTR/page-1", "UCC35702DTR")</f>
        <v>UCC35702DTR</v>
      </c>
      <c r="B19261" s="3" t="s">
        <v>90</v>
      </c>
      <c r="C19261" s="5">
        <v>15000</v>
      </c>
      <c r="D19261" s="6">
        <v>9.2899999999999991</v>
      </c>
      <c r="E19261" t="s">
        <v>6</v>
      </c>
    </row>
    <row r="19262" spans="1:5" x14ac:dyDescent="0.25">
      <c r="A19262" t="str">
        <f>HYPERLINK("https://www.773grp.com/globalSearch/UCC3973PWTR/page-1", "UCC3973PWTR")</f>
        <v>UCC3973PWTR</v>
      </c>
      <c r="B19262" s="3" t="s">
        <v>90</v>
      </c>
      <c r="C19262" s="5">
        <v>25000</v>
      </c>
      <c r="D19262" s="6">
        <v>9.2899999999999991</v>
      </c>
      <c r="E19262" t="s">
        <v>6</v>
      </c>
    </row>
    <row r="19263" spans="1:5" x14ac:dyDescent="0.25">
      <c r="A19263" t="str">
        <f>HYPERLINK("https://www.773grp.com/globalSearch/UC3825AQ/page-1", "UC3825AQ")</f>
        <v>UC3825AQ</v>
      </c>
      <c r="B19263" s="3" t="s">
        <v>90</v>
      </c>
      <c r="C19263" s="5">
        <v>9635</v>
      </c>
      <c r="D19263" s="6">
        <v>9.31</v>
      </c>
      <c r="E19263" t="s">
        <v>6</v>
      </c>
    </row>
    <row r="19264" spans="1:5" x14ac:dyDescent="0.25">
      <c r="A19264" t="str">
        <f>HYPERLINK("https://www.773grp.com/globalSearch/BQ24730RGFT/page-1", "BQ24730RGFT")</f>
        <v>BQ24730RGFT</v>
      </c>
      <c r="B19264" s="3" t="s">
        <v>90</v>
      </c>
      <c r="C19264" s="5">
        <v>3900</v>
      </c>
      <c r="D19264" s="6">
        <v>9.41</v>
      </c>
      <c r="E19264" t="s">
        <v>6</v>
      </c>
    </row>
    <row r="19265" spans="1:5" x14ac:dyDescent="0.25">
      <c r="A19265" t="str">
        <f>HYPERLINK("https://www.773grp.com/globalSearch/UCC35701PWTR/page-1", "UCC35701PWTR")</f>
        <v>UCC35701PWTR</v>
      </c>
      <c r="B19265" s="3" t="s">
        <v>90</v>
      </c>
      <c r="C19265" s="5">
        <v>82000</v>
      </c>
      <c r="D19265" s="6">
        <v>9.41</v>
      </c>
      <c r="E19265" t="s">
        <v>6</v>
      </c>
    </row>
    <row r="19266" spans="1:5" x14ac:dyDescent="0.25">
      <c r="A19266" t="str">
        <f>HYPERLINK("https://www.773grp.com/globalSearch/UCC35702PWTR/page-1", "UCC35702PWTR")</f>
        <v>UCC35702PWTR</v>
      </c>
      <c r="B19266" s="3" t="s">
        <v>90</v>
      </c>
      <c r="C19266" s="5">
        <v>6000</v>
      </c>
      <c r="D19266" s="6">
        <v>9.41</v>
      </c>
      <c r="E19266" t="s">
        <v>6</v>
      </c>
    </row>
    <row r="19267" spans="1:5" x14ac:dyDescent="0.25">
      <c r="A19267" t="str">
        <f>HYPERLINK("https://www.773grp.com/globalSearch/UCC39422PWTR/page-1", "UCC39422PWTR")</f>
        <v>UCC39422PWTR</v>
      </c>
      <c r="B19267" s="3" t="s">
        <v>90</v>
      </c>
      <c r="C19267" s="5">
        <v>68000</v>
      </c>
      <c r="D19267" s="6">
        <v>9.41</v>
      </c>
      <c r="E19267" t="s">
        <v>6</v>
      </c>
    </row>
    <row r="19268" spans="1:5" x14ac:dyDescent="0.25">
      <c r="A19268" t="str">
        <f>HYPERLINK("https://www.773grp.com/globalSearch/TPS54290PWP/page-1", "TPS54290PWP")</f>
        <v>TPS54290PWP</v>
      </c>
      <c r="B19268" s="3" t="s">
        <v>90</v>
      </c>
      <c r="C19268" s="5">
        <v>2230</v>
      </c>
      <c r="D19268" s="6">
        <v>9.4499999999999993</v>
      </c>
      <c r="E19268" t="s">
        <v>6</v>
      </c>
    </row>
    <row r="19269" spans="1:5" x14ac:dyDescent="0.25">
      <c r="A19269" t="str">
        <f>HYPERLINK("https://www.773grp.com/globalSearch/UC2524J/page-1", "UC2524J")</f>
        <v>UC2524J</v>
      </c>
      <c r="B19269" s="3" t="s">
        <v>90</v>
      </c>
      <c r="C19269" s="5">
        <v>260</v>
      </c>
      <c r="D19269" s="6">
        <v>9.4499999999999993</v>
      </c>
      <c r="E19269" t="s">
        <v>6</v>
      </c>
    </row>
    <row r="19270" spans="1:5" x14ac:dyDescent="0.25">
      <c r="A19270" t="str">
        <f>HYPERLINK("https://www.773grp.com/globalSearch/TPS40130RHBT/page-1", "TPS40130RHBT")</f>
        <v>TPS40130RHBT</v>
      </c>
      <c r="B19270" s="3" t="s">
        <v>90</v>
      </c>
      <c r="C19270" s="5">
        <v>570</v>
      </c>
      <c r="D19270" s="6">
        <v>9.56</v>
      </c>
      <c r="E19270" t="s">
        <v>6</v>
      </c>
    </row>
    <row r="19271" spans="1:5" x14ac:dyDescent="0.25">
      <c r="A19271" t="str">
        <f>HYPERLINK("https://www.773grp.com/globalSearch/TPS5120QDBTRQ1/page-1", "TPS5120QDBTRQ1")</f>
        <v>TPS5120QDBTRQ1</v>
      </c>
      <c r="B19271" s="3" t="s">
        <v>90</v>
      </c>
      <c r="C19271" s="5">
        <v>4000</v>
      </c>
      <c r="D19271" s="6">
        <v>9.56</v>
      </c>
      <c r="E19271" t="s">
        <v>6</v>
      </c>
    </row>
    <row r="19272" spans="1:5" x14ac:dyDescent="0.25">
      <c r="A19272" t="str">
        <f>HYPERLINK("https://www.773grp.com/globalSearch/TPS51222RTVT/page-1", "TPS51222RTVT")</f>
        <v>TPS51222RTVT</v>
      </c>
      <c r="B19272" s="3" t="s">
        <v>90</v>
      </c>
      <c r="C19272" s="5">
        <v>15893</v>
      </c>
      <c r="D19272" s="6">
        <v>9.6999999999999993</v>
      </c>
      <c r="E19272" t="s">
        <v>6</v>
      </c>
    </row>
    <row r="19273" spans="1:5" x14ac:dyDescent="0.25">
      <c r="A19273" t="str">
        <f>HYPERLINK("https://www.773grp.com/globalSearch/UC2825ADW/page-1", "UC2825ADW")</f>
        <v>UC2825ADW</v>
      </c>
      <c r="B19273" s="3" t="s">
        <v>90</v>
      </c>
      <c r="C19273" s="5">
        <v>11297</v>
      </c>
      <c r="D19273" s="6">
        <v>9.6999999999999993</v>
      </c>
      <c r="E19273" t="s">
        <v>6</v>
      </c>
    </row>
    <row r="19274" spans="1:5" x14ac:dyDescent="0.25">
      <c r="A19274" t="str">
        <f>HYPERLINK("https://www.773grp.com/globalSearch/UC2825AQ/page-1", "UC2825AQ")</f>
        <v>UC2825AQ</v>
      </c>
      <c r="B19274" s="3" t="s">
        <v>90</v>
      </c>
      <c r="C19274" s="5">
        <v>16137</v>
      </c>
      <c r="D19274" s="6">
        <v>9.6999999999999993</v>
      </c>
      <c r="E19274" t="s">
        <v>6</v>
      </c>
    </row>
    <row r="19275" spans="1:5" x14ac:dyDescent="0.25">
      <c r="A19275" t="str">
        <f>HYPERLINK("https://www.773grp.com/globalSearch/UC2825AQG3/page-1", "UC2825AQG3")</f>
        <v>UC2825AQG3</v>
      </c>
      <c r="B19275" s="3" t="s">
        <v>90</v>
      </c>
      <c r="C19275" s="5">
        <v>14</v>
      </c>
      <c r="D19275" s="6">
        <v>9.6999999999999993</v>
      </c>
      <c r="E19275" t="s">
        <v>6</v>
      </c>
    </row>
    <row r="19276" spans="1:5" x14ac:dyDescent="0.25">
      <c r="A19276" t="str">
        <f>HYPERLINK("https://www.773grp.com/globalSearch/UCC2580N-4/page-1", "UCC2580N-4")</f>
        <v>UCC2580N-4</v>
      </c>
      <c r="B19276" s="3" t="s">
        <v>90</v>
      </c>
      <c r="C19276" s="5">
        <v>21250</v>
      </c>
      <c r="D19276" s="6">
        <v>9.6999999999999993</v>
      </c>
      <c r="E19276" t="s">
        <v>6</v>
      </c>
    </row>
    <row r="19277" spans="1:5" x14ac:dyDescent="0.25">
      <c r="A19277" t="str">
        <f>HYPERLINK("https://www.773grp.com/globalSearch/UCC2580N-4/page-1", "UCC2580N-4")</f>
        <v>UCC2580N-4</v>
      </c>
      <c r="B19277" s="3" t="s">
        <v>90</v>
      </c>
      <c r="C19277" s="5">
        <v>1350</v>
      </c>
      <c r="D19277" s="6">
        <v>9.6999999999999993</v>
      </c>
      <c r="E19277" t="s">
        <v>6</v>
      </c>
    </row>
    <row r="19278" spans="1:5" x14ac:dyDescent="0.25">
      <c r="A19278" t="str">
        <f>HYPERLINK("https://www.773grp.com/globalSearch/UCC39421PW/page-1", "UCC39421PW")</f>
        <v>UCC39421PW</v>
      </c>
      <c r="B19278" s="3" t="s">
        <v>90</v>
      </c>
      <c r="C19278" s="5">
        <v>316</v>
      </c>
      <c r="D19278" s="6">
        <v>9.6999999999999993</v>
      </c>
      <c r="E19278" t="s">
        <v>6</v>
      </c>
    </row>
    <row r="19279" spans="1:5" x14ac:dyDescent="0.25">
      <c r="A19279" t="str">
        <f>HYPERLINK("https://www.773grp.com/globalSearch/UCC39421PW/page-1", "UCC39421PW")</f>
        <v>UCC39421PW</v>
      </c>
      <c r="B19279" s="3" t="s">
        <v>90</v>
      </c>
      <c r="C19279" s="5">
        <v>152</v>
      </c>
      <c r="D19279" s="6">
        <v>9.6999999999999993</v>
      </c>
      <c r="E19279" t="s">
        <v>6</v>
      </c>
    </row>
    <row r="19280" spans="1:5" x14ac:dyDescent="0.25">
      <c r="A19280" t="str">
        <f>HYPERLINK("https://www.773grp.com/globalSearch/TPS5120DBT/page-1", "TPS5120DBT")</f>
        <v>TPS5120DBT</v>
      </c>
      <c r="B19280" s="3" t="s">
        <v>90</v>
      </c>
      <c r="C19280" s="5">
        <v>4778</v>
      </c>
      <c r="D19280" s="6">
        <v>9.83</v>
      </c>
      <c r="E19280" t="s">
        <v>6</v>
      </c>
    </row>
    <row r="19281" spans="1:5" x14ac:dyDescent="0.25">
      <c r="A19281" t="str">
        <f>HYPERLINK("https://www.773grp.com/globalSearch/BQ2054SNG4/page-1", "BQ2054SNG4")</f>
        <v>BQ2054SNG4</v>
      </c>
      <c r="B19281" s="3" t="s">
        <v>90</v>
      </c>
      <c r="C19281" s="5">
        <v>180</v>
      </c>
      <c r="D19281" s="6">
        <v>9.84</v>
      </c>
      <c r="E19281" t="s">
        <v>6</v>
      </c>
    </row>
    <row r="19282" spans="1:5" x14ac:dyDescent="0.25">
      <c r="A19282" t="str">
        <f>HYPERLINK("https://www.773grp.com/globalSearch/BQ24115RHLR/page-1", "BQ24115RHLR")</f>
        <v>BQ24115RHLR</v>
      </c>
      <c r="B19282" s="3" t="s">
        <v>90</v>
      </c>
      <c r="C19282" s="5">
        <v>25555</v>
      </c>
      <c r="D19282" s="6">
        <v>9.84</v>
      </c>
      <c r="E19282" t="s">
        <v>6</v>
      </c>
    </row>
    <row r="19283" spans="1:5" x14ac:dyDescent="0.25">
      <c r="A19283" t="str">
        <f>HYPERLINK("https://www.773grp.com/globalSearch/UC3527BN/page-1", "UC3527BN")</f>
        <v>UC3527BN</v>
      </c>
      <c r="B19283" s="3" t="s">
        <v>90</v>
      </c>
      <c r="C19283" s="5">
        <v>2000</v>
      </c>
      <c r="D19283" s="6">
        <v>9.84</v>
      </c>
      <c r="E19283" t="s">
        <v>6</v>
      </c>
    </row>
    <row r="19284" spans="1:5" x14ac:dyDescent="0.25">
      <c r="A19284" t="str">
        <f>HYPERLINK("https://www.773grp.com/globalSearch/UC3527BN/page-1", "UC3527BN")</f>
        <v>UC3527BN</v>
      </c>
      <c r="B19284" s="3" t="s">
        <v>90</v>
      </c>
      <c r="C19284" s="5">
        <v>21</v>
      </c>
      <c r="D19284" s="6">
        <v>9.84</v>
      </c>
      <c r="E19284" t="s">
        <v>6</v>
      </c>
    </row>
    <row r="19285" spans="1:5" x14ac:dyDescent="0.25">
      <c r="A19285" t="str">
        <f>HYPERLINK("https://www.773grp.com/globalSearch/UCC29421PW/page-1", "UCC29421PW")</f>
        <v>UCC29421PW</v>
      </c>
      <c r="B19285" s="3" t="s">
        <v>90</v>
      </c>
      <c r="C19285" s="5">
        <v>40808</v>
      </c>
      <c r="D19285" s="6">
        <v>9.84</v>
      </c>
      <c r="E19285" t="s">
        <v>6</v>
      </c>
    </row>
    <row r="19286" spans="1:5" x14ac:dyDescent="0.25">
      <c r="A19286" t="str">
        <f>HYPERLINK("https://www.773grp.com/globalSearch/UCC3895PW/page-1", "UCC3895PW")</f>
        <v>UCC3895PW</v>
      </c>
      <c r="B19286" s="3" t="s">
        <v>90</v>
      </c>
      <c r="C19286" s="5">
        <v>16259</v>
      </c>
      <c r="D19286" s="6">
        <v>9.9600000000000009</v>
      </c>
      <c r="E19286" t="s">
        <v>6</v>
      </c>
    </row>
    <row r="19287" spans="1:5" x14ac:dyDescent="0.25">
      <c r="A19287" t="str">
        <f>HYPERLINK("https://www.773grp.com/globalSearch/UCC3895Q/page-1", "UCC3895Q")</f>
        <v>UCC3895Q</v>
      </c>
      <c r="B19287" s="3" t="s">
        <v>90</v>
      </c>
      <c r="C19287" s="5">
        <v>7708</v>
      </c>
      <c r="D19287" s="6">
        <v>9.9600000000000009</v>
      </c>
      <c r="E19287" t="s">
        <v>6</v>
      </c>
    </row>
    <row r="19288" spans="1:5" x14ac:dyDescent="0.25">
      <c r="A19288" t="str">
        <f>HYPERLINK("https://www.773grp.com/globalSearch/UCC3895Q/page-1", "UCC3895Q")</f>
        <v>UCC3895Q</v>
      </c>
      <c r="B19288" s="3" t="s">
        <v>90</v>
      </c>
      <c r="C19288" s="5">
        <v>4830</v>
      </c>
      <c r="D19288" s="6">
        <v>9.9600000000000009</v>
      </c>
      <c r="E19288" t="s">
        <v>6</v>
      </c>
    </row>
    <row r="19289" spans="1:5" x14ac:dyDescent="0.25">
      <c r="A19289" t="str">
        <f>HYPERLINK("https://www.773grp.com/globalSearch/TPS40130DBT/page-1", "TPS40130DBT")</f>
        <v>TPS40130DBT</v>
      </c>
      <c r="B19289" s="3" t="s">
        <v>90</v>
      </c>
      <c r="C19289" s="5">
        <v>7560</v>
      </c>
      <c r="D19289" s="6">
        <v>9.99</v>
      </c>
      <c r="E19289" t="s">
        <v>6</v>
      </c>
    </row>
    <row r="19290" spans="1:5" x14ac:dyDescent="0.25">
      <c r="A19290" t="str">
        <f>HYPERLINK("https://www.773grp.com/globalSearch/UC2849DWTR/page-1", "UC2849DWTR")</f>
        <v>UC2849DWTR</v>
      </c>
      <c r="B19290" s="3" t="s">
        <v>90</v>
      </c>
      <c r="C19290" s="5">
        <v>1000</v>
      </c>
      <c r="D19290" s="6">
        <v>9.99</v>
      </c>
      <c r="E19290" t="s">
        <v>6</v>
      </c>
    </row>
    <row r="19291" spans="1:5" x14ac:dyDescent="0.25">
      <c r="A19291" t="str">
        <f>HYPERLINK("https://www.773grp.com/globalSearch/UCC35701D/page-1", "UCC35701D")</f>
        <v>UCC35701D</v>
      </c>
      <c r="B19291" s="3" t="s">
        <v>90</v>
      </c>
      <c r="C19291" s="5">
        <v>10880</v>
      </c>
      <c r="D19291" s="6">
        <v>9.99</v>
      </c>
      <c r="E19291" t="s">
        <v>6</v>
      </c>
    </row>
    <row r="19292" spans="1:5" x14ac:dyDescent="0.25">
      <c r="A19292" t="str">
        <f>HYPERLINK("https://www.773grp.com/globalSearch/UCC35702D/page-1", "UCC35702D")</f>
        <v>UCC35702D</v>
      </c>
      <c r="B19292" s="3" t="s">
        <v>90</v>
      </c>
      <c r="C19292" s="5">
        <v>14471</v>
      </c>
      <c r="D19292" s="6">
        <v>9.99</v>
      </c>
      <c r="E19292" t="s">
        <v>6</v>
      </c>
    </row>
    <row r="19293" spans="1:5" x14ac:dyDescent="0.25">
      <c r="A19293" t="str">
        <f>HYPERLINK("https://www.773grp.com/globalSearch/UC3847DW/page-1", "UC3847DW")</f>
        <v>UC3847DW</v>
      </c>
      <c r="B19293" s="3" t="s">
        <v>90</v>
      </c>
      <c r="C19293" s="5">
        <v>12000</v>
      </c>
      <c r="D19293" s="6">
        <v>10.01</v>
      </c>
      <c r="E19293" t="s">
        <v>6</v>
      </c>
    </row>
    <row r="19294" spans="1:5" x14ac:dyDescent="0.25">
      <c r="A19294" t="str">
        <f>HYPERLINK("https://www.773grp.com/globalSearch/UC3847DW/page-1", "UC3847DW")</f>
        <v>UC3847DW</v>
      </c>
      <c r="B19294" s="3" t="s">
        <v>90</v>
      </c>
      <c r="C19294" s="5">
        <v>1440</v>
      </c>
      <c r="D19294" s="6">
        <v>10.01</v>
      </c>
      <c r="E19294" t="s">
        <v>6</v>
      </c>
    </row>
    <row r="19295" spans="1:5" x14ac:dyDescent="0.25">
      <c r="A19295" t="str">
        <f>HYPERLINK("https://www.773grp.com/globalSearch/TPS54617RUVT/page-1", "TPS54617RUVT")</f>
        <v>TPS54617RUVT</v>
      </c>
      <c r="B19295" s="3" t="s">
        <v>90</v>
      </c>
      <c r="C19295" s="5">
        <v>477</v>
      </c>
      <c r="D19295" s="6">
        <v>10.039999999999999</v>
      </c>
      <c r="E19295" t="s">
        <v>6</v>
      </c>
    </row>
    <row r="19296" spans="1:5" x14ac:dyDescent="0.25">
      <c r="A19296" t="str">
        <f>HYPERLINK("https://www.773grp.com/globalSearch/TPS5602IDBTR/page-1", "TPS5602IDBTR")</f>
        <v>TPS5602IDBTR</v>
      </c>
      <c r="B19296" s="3" t="s">
        <v>90</v>
      </c>
      <c r="C19296" s="5">
        <v>32000</v>
      </c>
      <c r="D19296" s="6">
        <v>10.039999999999999</v>
      </c>
      <c r="E19296" t="s">
        <v>6</v>
      </c>
    </row>
    <row r="19297" spans="1:5" x14ac:dyDescent="0.25">
      <c r="A19297" t="str">
        <f>HYPERLINK("https://www.773grp.com/globalSearch/TPS51317RGBT/page-1", "TPS51317RGBT")</f>
        <v>TPS51317RGBT</v>
      </c>
      <c r="B19297" s="3" t="s">
        <v>90</v>
      </c>
      <c r="C19297" s="5">
        <v>1000</v>
      </c>
      <c r="D19297" s="6">
        <v>10.130000000000001</v>
      </c>
      <c r="E19297" t="s">
        <v>6</v>
      </c>
    </row>
    <row r="19298" spans="1:5" x14ac:dyDescent="0.25">
      <c r="A19298" t="str">
        <f>HYPERLINK("https://www.773grp.com/globalSearch/TPS5211PWP/page-1", "TPS5211PWP")</f>
        <v>TPS5211PWP</v>
      </c>
      <c r="B19298" s="3" t="s">
        <v>90</v>
      </c>
      <c r="C19298" s="5">
        <v>893</v>
      </c>
      <c r="D19298" s="6">
        <v>10.130000000000001</v>
      </c>
      <c r="E19298" t="s">
        <v>6</v>
      </c>
    </row>
    <row r="19299" spans="1:5" x14ac:dyDescent="0.25">
      <c r="A19299" t="str">
        <f>HYPERLINK("https://www.773grp.com/globalSearch/TPS68000DBT/page-1", "TPS68000DBT")</f>
        <v>TPS68000DBT</v>
      </c>
      <c r="B19299" s="3" t="s">
        <v>90</v>
      </c>
      <c r="C19299" s="5">
        <v>195</v>
      </c>
      <c r="D19299" s="6">
        <v>10.130000000000001</v>
      </c>
      <c r="E19299" t="s">
        <v>6</v>
      </c>
    </row>
    <row r="19300" spans="1:5" x14ac:dyDescent="0.25">
      <c r="A19300" t="str">
        <f>HYPERLINK("https://www.773grp.com/globalSearch/UC3848DW/page-1", "UC3848DW")</f>
        <v>UC3848DW</v>
      </c>
      <c r="B19300" s="3" t="s">
        <v>90</v>
      </c>
      <c r="C19300" s="5">
        <v>3240</v>
      </c>
      <c r="D19300" s="6">
        <v>10.130000000000001</v>
      </c>
      <c r="E19300" t="s">
        <v>6</v>
      </c>
    </row>
    <row r="19301" spans="1:5" x14ac:dyDescent="0.25">
      <c r="A19301" t="str">
        <f>HYPERLINK("https://www.773grp.com/globalSearch/UC3848DW/page-1", "UC3848DW")</f>
        <v>UC3848DW</v>
      </c>
      <c r="B19301" s="3" t="s">
        <v>90</v>
      </c>
      <c r="C19301" s="5">
        <v>6336</v>
      </c>
      <c r="D19301" s="6">
        <v>10.130000000000001</v>
      </c>
      <c r="E19301" t="s">
        <v>6</v>
      </c>
    </row>
    <row r="19302" spans="1:5" x14ac:dyDescent="0.25">
      <c r="A19302" t="str">
        <f>HYPERLINK("https://www.773grp.com/globalSearch/UCC2800QDREP/page-1", "UCC2800QDREP")</f>
        <v>UCC2800QDREP</v>
      </c>
      <c r="B19302" s="3" t="s">
        <v>90</v>
      </c>
      <c r="C19302" s="5">
        <v>2500</v>
      </c>
      <c r="D19302" s="6">
        <v>10.130000000000001</v>
      </c>
      <c r="E19302" t="s">
        <v>6</v>
      </c>
    </row>
    <row r="19303" spans="1:5" x14ac:dyDescent="0.25">
      <c r="A19303" t="str">
        <f>HYPERLINK("https://www.773grp.com/globalSearch/UCC35701PW/page-1", "UCC35701PW")</f>
        <v>UCC35701PW</v>
      </c>
      <c r="B19303" s="3" t="s">
        <v>90</v>
      </c>
      <c r="C19303" s="5">
        <v>6382</v>
      </c>
      <c r="D19303" s="6">
        <v>10.130000000000001</v>
      </c>
      <c r="E19303" t="s">
        <v>6</v>
      </c>
    </row>
    <row r="19304" spans="1:5" x14ac:dyDescent="0.25">
      <c r="A19304" t="str">
        <f>HYPERLINK("https://www.773grp.com/globalSearch/UCC35701PW/page-1", "UCC35701PW")</f>
        <v>UCC35701PW</v>
      </c>
      <c r="B19304" s="3" t="s">
        <v>90</v>
      </c>
      <c r="C19304" s="5">
        <v>8550</v>
      </c>
      <c r="D19304" s="6">
        <v>10.130000000000001</v>
      </c>
      <c r="E19304" t="s">
        <v>6</v>
      </c>
    </row>
    <row r="19305" spans="1:5" x14ac:dyDescent="0.25">
      <c r="A19305" t="str">
        <f>HYPERLINK("https://www.773grp.com/globalSearch/UCC35702PW/page-1", "UCC35702PW")</f>
        <v>UCC35702PW</v>
      </c>
      <c r="B19305" s="3" t="s">
        <v>90</v>
      </c>
      <c r="C19305" s="5">
        <v>21240</v>
      </c>
      <c r="D19305" s="6">
        <v>10.130000000000001</v>
      </c>
      <c r="E19305" t="s">
        <v>6</v>
      </c>
    </row>
    <row r="19306" spans="1:5" x14ac:dyDescent="0.25">
      <c r="A19306" t="str">
        <f>HYPERLINK("https://www.773grp.com/globalSearch/V62-03624-01XE/page-1", "V62-03624-01XE")</f>
        <v>V62-03624-01XE</v>
      </c>
      <c r="B19306" s="3" t="s">
        <v>90</v>
      </c>
      <c r="C19306" s="5">
        <v>2250</v>
      </c>
      <c r="D19306" s="6">
        <v>10.130000000000001</v>
      </c>
      <c r="E19306" t="s">
        <v>6</v>
      </c>
    </row>
    <row r="19307" spans="1:5" x14ac:dyDescent="0.25">
      <c r="A19307" t="str">
        <f>HYPERLINK("https://www.773grp.com/globalSearch/V62-03624-04XE/page-1", "V62-03624-04XE")</f>
        <v>V62-03624-04XE</v>
      </c>
      <c r="B19307" s="3" t="s">
        <v>90</v>
      </c>
      <c r="C19307" s="5">
        <v>2250</v>
      </c>
      <c r="D19307" s="6">
        <v>10.130000000000001</v>
      </c>
      <c r="E19307" t="s">
        <v>6</v>
      </c>
    </row>
    <row r="19308" spans="1:5" x14ac:dyDescent="0.25">
      <c r="A19308" t="str">
        <f>HYPERLINK("https://www.773grp.com/globalSearch/TPS51315RGFT/page-1", "TPS51315RGFT")</f>
        <v>TPS51315RGFT</v>
      </c>
      <c r="B19308" s="3" t="s">
        <v>90</v>
      </c>
      <c r="C19308" s="5">
        <v>250</v>
      </c>
      <c r="D19308" s="6">
        <v>10.18</v>
      </c>
      <c r="E19308" t="s">
        <v>6</v>
      </c>
    </row>
    <row r="19309" spans="1:5" x14ac:dyDescent="0.25">
      <c r="A19309" t="str">
        <f>HYPERLINK("https://www.773grp.com/globalSearch/UCC2829DW-1/page-1", "UCC2829DW-1")</f>
        <v>UCC2829DW-1</v>
      </c>
      <c r="B19309" s="3" t="s">
        <v>90</v>
      </c>
      <c r="C19309" s="5">
        <v>16</v>
      </c>
      <c r="D19309" s="6">
        <v>10.18</v>
      </c>
      <c r="E19309" t="s">
        <v>6</v>
      </c>
    </row>
    <row r="19310" spans="1:5" x14ac:dyDescent="0.25">
      <c r="A19310" t="str">
        <f>HYPERLINK("https://www.773grp.com/globalSearch/BQ2054SN/page-1", "BQ2054SN")</f>
        <v>BQ2054SN</v>
      </c>
      <c r="B19310" s="3" t="s">
        <v>90</v>
      </c>
      <c r="C19310" s="5">
        <v>164506</v>
      </c>
      <c r="D19310" s="6">
        <v>10.210000000000001</v>
      </c>
      <c r="E19310" t="s">
        <v>6</v>
      </c>
    </row>
    <row r="19311" spans="1:5" x14ac:dyDescent="0.25">
      <c r="A19311" t="str">
        <f>HYPERLINK("https://www.773grp.com/globalSearch/BQ2054SN/page-1", "BQ2054SN")</f>
        <v>BQ2054SN</v>
      </c>
      <c r="B19311" s="3" t="s">
        <v>90</v>
      </c>
      <c r="C19311" s="5">
        <v>3510</v>
      </c>
      <c r="D19311" s="6">
        <v>10.210000000000001</v>
      </c>
      <c r="E19311" t="s">
        <v>6</v>
      </c>
    </row>
    <row r="19312" spans="1:5" x14ac:dyDescent="0.25">
      <c r="A19312" t="str">
        <f>HYPERLINK("https://www.773grp.com/globalSearch/TPS54616QPWPRQ1/page-1", "TPS54616QPWPRQ1")</f>
        <v>TPS54616QPWPRQ1</v>
      </c>
      <c r="B19312" s="3" t="s">
        <v>90</v>
      </c>
      <c r="C19312" s="5">
        <v>13334</v>
      </c>
      <c r="D19312" s="6">
        <v>10.210000000000001</v>
      </c>
      <c r="E19312" t="s">
        <v>6</v>
      </c>
    </row>
    <row r="19313" spans="1:5" x14ac:dyDescent="0.25">
      <c r="A19313" t="str">
        <f>HYPERLINK("https://www.773grp.com/globalSearch/UCC28500N/page-1", "UCC28500N")</f>
        <v>UCC28500N</v>
      </c>
      <c r="B19313" s="3" t="s">
        <v>90</v>
      </c>
      <c r="C19313" s="5">
        <v>19825</v>
      </c>
      <c r="D19313" s="6">
        <v>10.24</v>
      </c>
      <c r="E19313" t="s">
        <v>6</v>
      </c>
    </row>
    <row r="19314" spans="1:5" x14ac:dyDescent="0.25">
      <c r="A19314" t="str">
        <f>HYPERLINK("https://www.773grp.com/globalSearch/TPS54810PWPR/page-1", "TPS54810PWPR")</f>
        <v>TPS54810PWPR</v>
      </c>
      <c r="B19314" s="3" t="s">
        <v>90</v>
      </c>
      <c r="C19314" s="5">
        <v>35606</v>
      </c>
      <c r="D19314" s="6">
        <v>10.26</v>
      </c>
      <c r="E19314" t="s">
        <v>6</v>
      </c>
    </row>
    <row r="19315" spans="1:5" x14ac:dyDescent="0.25">
      <c r="A19315" t="str">
        <f>HYPERLINK("https://www.773grp.com/globalSearch/UC3886D/page-1", "UC3886D")</f>
        <v>UC3886D</v>
      </c>
      <c r="B19315" s="3" t="s">
        <v>90</v>
      </c>
      <c r="C19315" s="5">
        <v>6934</v>
      </c>
      <c r="D19315" s="6">
        <v>10.26</v>
      </c>
      <c r="E19315" t="s">
        <v>6</v>
      </c>
    </row>
    <row r="19316" spans="1:5" x14ac:dyDescent="0.25">
      <c r="A19316" t="str">
        <f>HYPERLINK("https://www.773grp.com/globalSearch/UC3886N/page-1", "UC3886N")</f>
        <v>UC3886N</v>
      </c>
      <c r="B19316" s="3" t="s">
        <v>90</v>
      </c>
      <c r="C19316" s="5">
        <v>550</v>
      </c>
      <c r="D19316" s="6">
        <v>10.26</v>
      </c>
      <c r="E19316" t="s">
        <v>6</v>
      </c>
    </row>
    <row r="19317" spans="1:5" x14ac:dyDescent="0.25">
      <c r="A19317" t="str">
        <f>HYPERLINK("https://www.773grp.com/globalSearch/UC3886N/page-1", "UC3886N")</f>
        <v>UC3886N</v>
      </c>
      <c r="B19317" s="3" t="s">
        <v>90</v>
      </c>
      <c r="C19317" s="5">
        <v>10175</v>
      </c>
      <c r="D19317" s="6">
        <v>10.26</v>
      </c>
      <c r="E19317" t="s">
        <v>6</v>
      </c>
    </row>
    <row r="19318" spans="1:5" x14ac:dyDescent="0.25">
      <c r="A19318" t="str">
        <f>HYPERLINK("https://www.773grp.com/globalSearch/UC3886N/page-1", "UC3886N")</f>
        <v>UC3886N</v>
      </c>
      <c r="B19318" s="3" t="s">
        <v>90</v>
      </c>
      <c r="C19318" s="5">
        <v>50</v>
      </c>
      <c r="D19318" s="6">
        <v>10.26</v>
      </c>
      <c r="E19318" t="s">
        <v>6</v>
      </c>
    </row>
    <row r="19319" spans="1:5" x14ac:dyDescent="0.25">
      <c r="A19319" t="str">
        <f>HYPERLINK("https://www.773grp.com/globalSearch/UCD9220RGZT/page-1", "UCD9220RGZT")</f>
        <v>UCD9220RGZT</v>
      </c>
      <c r="B19319" s="3" t="s">
        <v>90</v>
      </c>
      <c r="C19319" s="5">
        <v>9490</v>
      </c>
      <c r="D19319" s="6">
        <v>10.35</v>
      </c>
      <c r="E19319" t="s">
        <v>6</v>
      </c>
    </row>
    <row r="19320" spans="1:5" x14ac:dyDescent="0.25">
      <c r="A19320" t="str">
        <f>HYPERLINK("https://www.773grp.com/globalSearch/UCC2895PW/page-1", "UCC2895PW")</f>
        <v>UCC2895PW</v>
      </c>
      <c r="B19320" s="3" t="s">
        <v>90</v>
      </c>
      <c r="C19320" s="5">
        <v>4</v>
      </c>
      <c r="D19320" s="6">
        <v>10.38</v>
      </c>
      <c r="E19320" t="s">
        <v>6</v>
      </c>
    </row>
    <row r="19321" spans="1:5" x14ac:dyDescent="0.25">
      <c r="A19321" t="str">
        <f>HYPERLINK("https://www.773grp.com/globalSearch/UCC2895PW/page-1", "UCC2895PW")</f>
        <v>UCC2895PW</v>
      </c>
      <c r="B19321" s="3" t="s">
        <v>90</v>
      </c>
      <c r="C19321" s="5">
        <v>1563</v>
      </c>
      <c r="D19321" s="6">
        <v>10.38</v>
      </c>
      <c r="E19321" t="s">
        <v>6</v>
      </c>
    </row>
    <row r="19322" spans="1:5" x14ac:dyDescent="0.25">
      <c r="A19322" t="str">
        <f>HYPERLINK("https://www.773grp.com/globalSearch/UCC2895Q/page-1", "UCC2895Q")</f>
        <v>UCC2895Q</v>
      </c>
      <c r="B19322" s="3" t="s">
        <v>90</v>
      </c>
      <c r="C19322" s="5">
        <v>6760</v>
      </c>
      <c r="D19322" s="6">
        <v>10.38</v>
      </c>
      <c r="E19322" t="s">
        <v>6</v>
      </c>
    </row>
    <row r="19323" spans="1:5" x14ac:dyDescent="0.25">
      <c r="A19323" t="str">
        <f>HYPERLINK("https://www.773grp.com/globalSearch/TPS5615PWP/page-1", "TPS5615PWP")</f>
        <v>TPS5615PWP</v>
      </c>
      <c r="B19323" s="3" t="s">
        <v>90</v>
      </c>
      <c r="C19323" s="5">
        <v>3028</v>
      </c>
      <c r="D19323" s="6">
        <v>10.41</v>
      </c>
      <c r="E19323" t="s">
        <v>6</v>
      </c>
    </row>
    <row r="19324" spans="1:5" x14ac:dyDescent="0.25">
      <c r="A19324" t="str">
        <f>HYPERLINK("https://www.773grp.com/globalSearch/UC3842J/page-1", "UC3842J")</f>
        <v>UC3842J</v>
      </c>
      <c r="B19324" s="3" t="s">
        <v>90</v>
      </c>
      <c r="C19324" s="5">
        <v>120</v>
      </c>
      <c r="D19324" s="6">
        <v>10.41</v>
      </c>
      <c r="E19324" t="s">
        <v>6</v>
      </c>
    </row>
    <row r="19325" spans="1:5" x14ac:dyDescent="0.25">
      <c r="A19325" t="str">
        <f>HYPERLINK("https://www.773grp.com/globalSearch/UC3879DWTR/page-1", "UC3879DWTR")</f>
        <v>UC3879DWTR</v>
      </c>
      <c r="B19325" s="3" t="s">
        <v>90</v>
      </c>
      <c r="C19325" s="5">
        <v>1750</v>
      </c>
      <c r="D19325" s="6">
        <v>10.41</v>
      </c>
      <c r="E19325" t="s">
        <v>6</v>
      </c>
    </row>
    <row r="19326" spans="1:5" x14ac:dyDescent="0.25">
      <c r="A19326" t="str">
        <f>HYPERLINK("https://www.773grp.com/globalSearch/UCC25701D/page-1", "UCC25701D")</f>
        <v>UCC25701D</v>
      </c>
      <c r="B19326" s="3" t="s">
        <v>90</v>
      </c>
      <c r="C19326" s="5">
        <v>14700</v>
      </c>
      <c r="D19326" s="6">
        <v>10.41</v>
      </c>
      <c r="E19326" t="s">
        <v>6</v>
      </c>
    </row>
    <row r="19327" spans="1:5" x14ac:dyDescent="0.25">
      <c r="A19327" t="str">
        <f>HYPERLINK("https://www.773grp.com/globalSearch/UCC25701D/page-1", "UCC25701D")</f>
        <v>UCC25701D</v>
      </c>
      <c r="B19327" s="3" t="s">
        <v>90</v>
      </c>
      <c r="C19327" s="5">
        <v>949</v>
      </c>
      <c r="D19327" s="6">
        <v>10.41</v>
      </c>
      <c r="E19327" t="s">
        <v>6</v>
      </c>
    </row>
    <row r="19328" spans="1:5" x14ac:dyDescent="0.25">
      <c r="A19328" t="str">
        <f>HYPERLINK("https://www.773grp.com/globalSearch/UCC25702D/page-1", "UCC25702D")</f>
        <v>UCC25702D</v>
      </c>
      <c r="B19328" s="3" t="s">
        <v>90</v>
      </c>
      <c r="C19328" s="5">
        <v>8015</v>
      </c>
      <c r="D19328" s="6">
        <v>10.41</v>
      </c>
      <c r="E19328" t="s">
        <v>6</v>
      </c>
    </row>
    <row r="19329" spans="1:5" x14ac:dyDescent="0.25">
      <c r="A19329" t="str">
        <f>HYPERLINK("https://www.773grp.com/globalSearch/UCC2570DTR/page-1", "UCC2570DTR")</f>
        <v>UCC2570DTR</v>
      </c>
      <c r="B19329" s="3" t="s">
        <v>90</v>
      </c>
      <c r="C19329" s="5">
        <v>17900</v>
      </c>
      <c r="D19329" s="6">
        <v>10.41</v>
      </c>
      <c r="E19329" t="s">
        <v>6</v>
      </c>
    </row>
    <row r="19330" spans="1:5" x14ac:dyDescent="0.25">
      <c r="A19330" t="str">
        <f>HYPERLINK("https://www.773grp.com/globalSearch/UCC2570N/page-1", "UCC2570N")</f>
        <v>UCC2570N</v>
      </c>
      <c r="B19330" s="3" t="s">
        <v>90</v>
      </c>
      <c r="C19330" s="5">
        <v>10425</v>
      </c>
      <c r="D19330" s="6">
        <v>10.41</v>
      </c>
      <c r="E19330" t="s">
        <v>6</v>
      </c>
    </row>
    <row r="19331" spans="1:5" x14ac:dyDescent="0.25">
      <c r="A19331" t="str">
        <f>HYPERLINK("https://www.773grp.com/globalSearch/UC2847DW/page-1", "UC2847DW")</f>
        <v>UC2847DW</v>
      </c>
      <c r="B19331" s="3" t="s">
        <v>90</v>
      </c>
      <c r="C19331" s="5">
        <v>1765</v>
      </c>
      <c r="D19331" s="6">
        <v>10.43</v>
      </c>
      <c r="E19331" t="s">
        <v>6</v>
      </c>
    </row>
    <row r="19332" spans="1:5" x14ac:dyDescent="0.25">
      <c r="A19332" t="str">
        <f>HYPERLINK("https://www.773grp.com/globalSearch/TPS54610PWP/page-1", "TPS54610PWP")</f>
        <v>TPS54610PWP</v>
      </c>
      <c r="B19332" s="3" t="s">
        <v>90</v>
      </c>
      <c r="C19332" s="5">
        <v>3395</v>
      </c>
      <c r="D19332" s="6">
        <v>10.46</v>
      </c>
      <c r="E19332" t="s">
        <v>6</v>
      </c>
    </row>
    <row r="19333" spans="1:5" x14ac:dyDescent="0.25">
      <c r="A19333" t="str">
        <f>HYPERLINK("https://www.773grp.com/globalSearch/TPS54611PWP/page-1", "TPS54611PWP")</f>
        <v>TPS54611PWP</v>
      </c>
      <c r="B19333" s="3" t="s">
        <v>90</v>
      </c>
      <c r="C19333" s="5">
        <v>890</v>
      </c>
      <c r="D19333" s="6">
        <v>10.46</v>
      </c>
      <c r="E19333" t="s">
        <v>6</v>
      </c>
    </row>
    <row r="19334" spans="1:5" x14ac:dyDescent="0.25">
      <c r="A19334" t="str">
        <f>HYPERLINK("https://www.773grp.com/globalSearch/TPS54612PWP/page-1", "TPS54612PWP")</f>
        <v>TPS54612PWP</v>
      </c>
      <c r="B19334" s="3" t="s">
        <v>90</v>
      </c>
      <c r="C19334" s="5">
        <v>9694</v>
      </c>
      <c r="D19334" s="6">
        <v>10.46</v>
      </c>
      <c r="E19334" t="s">
        <v>6</v>
      </c>
    </row>
    <row r="19335" spans="1:5" x14ac:dyDescent="0.25">
      <c r="A19335" t="str">
        <f>HYPERLINK("https://www.773grp.com/globalSearch/TPS54612PWP/page-1", "TPS54612PWP")</f>
        <v>TPS54612PWP</v>
      </c>
      <c r="B19335" s="3" t="s">
        <v>90</v>
      </c>
      <c r="C19335" s="5">
        <v>950</v>
      </c>
      <c r="D19335" s="6">
        <v>10.46</v>
      </c>
      <c r="E19335" t="s">
        <v>6</v>
      </c>
    </row>
    <row r="19336" spans="1:5" x14ac:dyDescent="0.25">
      <c r="A19336" t="str">
        <f>HYPERLINK("https://www.773grp.com/globalSearch/TPS54613PWP/page-1", "TPS54613PWP")</f>
        <v>TPS54613PWP</v>
      </c>
      <c r="B19336" s="3" t="s">
        <v>90</v>
      </c>
      <c r="C19336" s="5">
        <v>5910</v>
      </c>
      <c r="D19336" s="6">
        <v>10.46</v>
      </c>
      <c r="E19336" t="s">
        <v>6</v>
      </c>
    </row>
    <row r="19337" spans="1:5" x14ac:dyDescent="0.25">
      <c r="A19337" t="str">
        <f>HYPERLINK("https://www.773grp.com/globalSearch/TPS54615PWP/page-1", "TPS54615PWP")</f>
        <v>TPS54615PWP</v>
      </c>
      <c r="B19337" s="3" t="s">
        <v>90</v>
      </c>
      <c r="C19337" s="5">
        <v>2455</v>
      </c>
      <c r="D19337" s="6">
        <v>10.46</v>
      </c>
      <c r="E19337" t="s">
        <v>6</v>
      </c>
    </row>
    <row r="19338" spans="1:5" x14ac:dyDescent="0.25">
      <c r="A19338" t="str">
        <f>HYPERLINK("https://www.773grp.com/globalSearch/TPS54616PWP/page-1", "TPS54616PWP")</f>
        <v>TPS54616PWP</v>
      </c>
      <c r="B19338" s="3" t="s">
        <v>90</v>
      </c>
      <c r="C19338" s="5">
        <v>2713</v>
      </c>
      <c r="D19338" s="6">
        <v>10.46</v>
      </c>
      <c r="E19338" t="s">
        <v>6</v>
      </c>
    </row>
    <row r="19339" spans="1:5" x14ac:dyDescent="0.25">
      <c r="A19339" t="str">
        <f>HYPERLINK("https://www.773grp.com/globalSearch/UCC25701PW/page-1", "UCC25701PW")</f>
        <v>UCC25701PW</v>
      </c>
      <c r="B19339" s="3" t="s">
        <v>90</v>
      </c>
      <c r="C19339" s="5">
        <v>151</v>
      </c>
      <c r="D19339" s="6">
        <v>10.55</v>
      </c>
      <c r="E19339" t="s">
        <v>6</v>
      </c>
    </row>
    <row r="19340" spans="1:5" x14ac:dyDescent="0.25">
      <c r="A19340" t="str">
        <f>HYPERLINK("https://www.773grp.com/globalSearch/UCC25701PW/page-1", "UCC25701PW")</f>
        <v>UCC25701PW</v>
      </c>
      <c r="B19340" s="3" t="s">
        <v>90</v>
      </c>
      <c r="C19340" s="5">
        <v>7270</v>
      </c>
      <c r="D19340" s="6">
        <v>10.55</v>
      </c>
      <c r="E19340" t="s">
        <v>6</v>
      </c>
    </row>
    <row r="19341" spans="1:5" x14ac:dyDescent="0.25">
      <c r="A19341" t="str">
        <f>HYPERLINK("https://www.773grp.com/globalSearch/UCC25702PW/page-1", "UCC25702PW")</f>
        <v>UCC25702PW</v>
      </c>
      <c r="B19341" s="3" t="s">
        <v>90</v>
      </c>
      <c r="C19341" s="5">
        <v>10015</v>
      </c>
      <c r="D19341" s="6">
        <v>10.55</v>
      </c>
      <c r="E19341" t="s">
        <v>6</v>
      </c>
    </row>
    <row r="19342" spans="1:5" x14ac:dyDescent="0.25">
      <c r="A19342" t="str">
        <f>HYPERLINK("https://www.773grp.com/globalSearch/UCC3570D/page-1", "UCC3570D")</f>
        <v>UCC3570D</v>
      </c>
      <c r="B19342" s="3" t="s">
        <v>90</v>
      </c>
      <c r="C19342" s="5">
        <v>16451</v>
      </c>
      <c r="D19342" s="6">
        <v>10.69</v>
      </c>
      <c r="E19342" t="s">
        <v>6</v>
      </c>
    </row>
    <row r="19343" spans="1:5" x14ac:dyDescent="0.25">
      <c r="A19343" t="str">
        <f>HYPERLINK("https://www.773grp.com/globalSearch/TPS54672PWP/page-1", "TPS54672PWP")</f>
        <v>TPS54672PWP</v>
      </c>
      <c r="B19343" s="3" t="s">
        <v>90</v>
      </c>
      <c r="C19343" s="5">
        <v>2179</v>
      </c>
      <c r="D19343" s="6">
        <v>10.84</v>
      </c>
      <c r="E19343" t="s">
        <v>6</v>
      </c>
    </row>
    <row r="19344" spans="1:5" x14ac:dyDescent="0.25">
      <c r="A19344" t="str">
        <f>HYPERLINK("https://www.773grp.com/globalSearch/TPS54672PWPG4/page-1", "TPS54672PWPG4")</f>
        <v>TPS54672PWPG4</v>
      </c>
      <c r="B19344" s="3" t="s">
        <v>90</v>
      </c>
      <c r="C19344" s="5">
        <v>6</v>
      </c>
      <c r="D19344" s="6">
        <v>10.84</v>
      </c>
      <c r="E19344" t="s">
        <v>6</v>
      </c>
    </row>
    <row r="19345" spans="1:5" x14ac:dyDescent="0.25">
      <c r="A19345" t="str">
        <f>HYPERLINK("https://www.773grp.com/globalSearch/TPS54680PWP/page-1", "TPS54680PWP")</f>
        <v>TPS54680PWP</v>
      </c>
      <c r="B19345" s="3" t="s">
        <v>90</v>
      </c>
      <c r="C19345" s="5">
        <v>95</v>
      </c>
      <c r="D19345" s="6">
        <v>10.84</v>
      </c>
      <c r="E19345" t="s">
        <v>6</v>
      </c>
    </row>
    <row r="19346" spans="1:5" x14ac:dyDescent="0.25">
      <c r="A19346" t="str">
        <f>HYPERLINK("https://www.773grp.com/globalSearch/TPS5210PWPR/page-1", "TPS5210PWPR")</f>
        <v>TPS5210PWPR</v>
      </c>
      <c r="B19346" s="3" t="s">
        <v>90</v>
      </c>
      <c r="C19346" s="5">
        <v>2000</v>
      </c>
      <c r="D19346" s="6">
        <v>10.98</v>
      </c>
      <c r="E19346" t="s">
        <v>6</v>
      </c>
    </row>
    <row r="19347" spans="1:5" x14ac:dyDescent="0.25">
      <c r="A19347" t="str">
        <f>HYPERLINK("https://www.773grp.com/globalSearch/TPS54354MPWPREP/page-1", "TPS54354MPWPREP")</f>
        <v>TPS54354MPWPREP</v>
      </c>
      <c r="B19347" s="3" t="s">
        <v>90</v>
      </c>
      <c r="C19347" s="5">
        <v>2000</v>
      </c>
      <c r="D19347" s="6">
        <v>10.98</v>
      </c>
      <c r="E19347" t="s">
        <v>6</v>
      </c>
    </row>
    <row r="19348" spans="1:5" x14ac:dyDescent="0.25">
      <c r="A19348" t="str">
        <f>HYPERLINK("https://www.773grp.com/globalSearch/TPS54910PWP/page-1", "TPS54910PWP")</f>
        <v>TPS54910PWP</v>
      </c>
      <c r="B19348" s="3" t="s">
        <v>90</v>
      </c>
      <c r="C19348" s="5">
        <v>10183</v>
      </c>
      <c r="D19348" s="6">
        <v>10.98</v>
      </c>
      <c r="E19348" t="s">
        <v>6</v>
      </c>
    </row>
    <row r="19349" spans="1:5" x14ac:dyDescent="0.25">
      <c r="A19349" t="str">
        <f>HYPERLINK("https://www.773grp.com/globalSearch/TPS54972PWP/page-1", "TPS54972PWP")</f>
        <v>TPS54972PWP</v>
      </c>
      <c r="B19349" s="3" t="s">
        <v>90</v>
      </c>
      <c r="C19349" s="5">
        <v>30</v>
      </c>
      <c r="D19349" s="6">
        <v>10.98</v>
      </c>
      <c r="E19349" t="s">
        <v>6</v>
      </c>
    </row>
    <row r="19350" spans="1:5" x14ac:dyDescent="0.25">
      <c r="A19350" t="str">
        <f>HYPERLINK("https://www.773grp.com/globalSearch/TPS54973PWP/page-1", "TPS54973PWP")</f>
        <v>TPS54973PWP</v>
      </c>
      <c r="B19350" s="3" t="s">
        <v>90</v>
      </c>
      <c r="C19350" s="5">
        <v>230</v>
      </c>
      <c r="D19350" s="6">
        <v>10.98</v>
      </c>
      <c r="E19350" t="s">
        <v>6</v>
      </c>
    </row>
    <row r="19351" spans="1:5" x14ac:dyDescent="0.25">
      <c r="A19351" t="str">
        <f>HYPERLINK("https://www.773grp.com/globalSearch/UC3872DW/page-1", "UC3872DW")</f>
        <v>UC3872DW</v>
      </c>
      <c r="B19351" s="3" t="s">
        <v>90</v>
      </c>
      <c r="C19351" s="5">
        <v>660</v>
      </c>
      <c r="D19351" s="6">
        <v>10.98</v>
      </c>
      <c r="E19351" t="s">
        <v>6</v>
      </c>
    </row>
    <row r="19352" spans="1:5" x14ac:dyDescent="0.25">
      <c r="A19352" t="str">
        <f>HYPERLINK("https://www.773grp.com/globalSearch/UC3872M/page-1", "UC3872M")</f>
        <v>UC3872M</v>
      </c>
      <c r="B19352" s="3" t="s">
        <v>90</v>
      </c>
      <c r="C19352" s="5">
        <v>2154</v>
      </c>
      <c r="D19352" s="6">
        <v>10.98</v>
      </c>
      <c r="E19352" t="s">
        <v>6</v>
      </c>
    </row>
    <row r="19353" spans="1:5" x14ac:dyDescent="0.25">
      <c r="A19353" t="str">
        <f>HYPERLINK("https://www.773grp.com/globalSearch/UCC2973PW/page-1", "UCC2973PW")</f>
        <v>UCC2973PW</v>
      </c>
      <c r="B19353" s="3" t="s">
        <v>90</v>
      </c>
      <c r="C19353" s="5">
        <v>36043</v>
      </c>
      <c r="D19353" s="6">
        <v>10.98</v>
      </c>
      <c r="E19353" t="s">
        <v>6</v>
      </c>
    </row>
    <row r="19354" spans="1:5" x14ac:dyDescent="0.25">
      <c r="A19354" t="str">
        <f>HYPERLINK("https://www.773grp.com/globalSearch/UCC3973PW/page-1", "UCC3973PW")</f>
        <v>UCC3973PW</v>
      </c>
      <c r="B19354" s="3" t="s">
        <v>90</v>
      </c>
      <c r="C19354" s="5">
        <v>7162</v>
      </c>
      <c r="D19354" s="6">
        <v>10.98</v>
      </c>
      <c r="E19354" t="s">
        <v>6</v>
      </c>
    </row>
    <row r="19355" spans="1:5" x14ac:dyDescent="0.25">
      <c r="A19355" t="str">
        <f>HYPERLINK("https://www.773grp.com/globalSearch/TPS5625PWP/page-1", "TPS5625PWP")</f>
        <v>TPS5625PWP</v>
      </c>
      <c r="B19355" s="3" t="s">
        <v>90</v>
      </c>
      <c r="C19355" s="5">
        <v>7262</v>
      </c>
      <c r="D19355" s="6">
        <v>11.1</v>
      </c>
      <c r="E19355" t="s">
        <v>6</v>
      </c>
    </row>
    <row r="19356" spans="1:5" x14ac:dyDescent="0.25">
      <c r="A19356" t="str">
        <f>HYPERLINK("https://www.773grp.com/globalSearch/UCC2975PW/page-1", "UCC2975PW")</f>
        <v>UCC2975PW</v>
      </c>
      <c r="B19356" s="3" t="s">
        <v>90</v>
      </c>
      <c r="C19356" s="5">
        <v>15150</v>
      </c>
      <c r="D19356" s="6">
        <v>11.1</v>
      </c>
      <c r="E19356" t="s">
        <v>6</v>
      </c>
    </row>
    <row r="19357" spans="1:5" x14ac:dyDescent="0.25">
      <c r="A19357" t="str">
        <f>HYPERLINK("https://www.773grp.com/globalSearch/UCC3975PW/page-1", "UCC3975PW")</f>
        <v>UCC3975PW</v>
      </c>
      <c r="B19357" s="3" t="s">
        <v>90</v>
      </c>
      <c r="C19357" s="5">
        <v>3297</v>
      </c>
      <c r="D19357" s="6">
        <v>11.1</v>
      </c>
      <c r="E19357" t="s">
        <v>6</v>
      </c>
    </row>
    <row r="19358" spans="1:5" x14ac:dyDescent="0.25">
      <c r="A19358" t="str">
        <f>HYPERLINK("https://www.773grp.com/globalSearch/UCC35701N/page-1", "UCC35701N")</f>
        <v>UCC35701N</v>
      </c>
      <c r="B19358" s="3" t="s">
        <v>90</v>
      </c>
      <c r="C19358" s="5">
        <v>7457</v>
      </c>
      <c r="D19358" s="6">
        <v>11.19</v>
      </c>
      <c r="E19358" t="s">
        <v>6</v>
      </c>
    </row>
    <row r="19359" spans="1:5" x14ac:dyDescent="0.25">
      <c r="A19359" t="str">
        <f>HYPERLINK("https://www.773grp.com/globalSearch/UCC35702N/page-1", "UCC35702N")</f>
        <v>UCC35702N</v>
      </c>
      <c r="B19359" s="3" t="s">
        <v>90</v>
      </c>
      <c r="C19359" s="5">
        <v>70</v>
      </c>
      <c r="D19359" s="6">
        <v>11.19</v>
      </c>
      <c r="E19359" t="s">
        <v>6</v>
      </c>
    </row>
    <row r="19360" spans="1:5" x14ac:dyDescent="0.25">
      <c r="A19360" t="str">
        <f>HYPERLINK("https://www.773grp.com/globalSearch/UCC3895N/page-1", "UCC3895N")</f>
        <v>UCC3895N</v>
      </c>
      <c r="B19360" s="3" t="s">
        <v>90</v>
      </c>
      <c r="C19360" s="5">
        <v>500</v>
      </c>
      <c r="D19360" s="6">
        <v>11.19</v>
      </c>
      <c r="E19360" t="s">
        <v>6</v>
      </c>
    </row>
    <row r="19361" spans="1:5" x14ac:dyDescent="0.25">
      <c r="A19361" t="str">
        <f>HYPERLINK("https://www.773grp.com/globalSearch/UCC3895N/page-1", "UCC3895N")</f>
        <v>UCC3895N</v>
      </c>
      <c r="B19361" s="3" t="s">
        <v>90</v>
      </c>
      <c r="C19361" s="5">
        <v>3480</v>
      </c>
      <c r="D19361" s="6">
        <v>11.19</v>
      </c>
      <c r="E19361" t="s">
        <v>6</v>
      </c>
    </row>
    <row r="19362" spans="1:5" x14ac:dyDescent="0.25">
      <c r="A19362" t="str">
        <f>HYPERLINK("https://www.773grp.com/globalSearch/UC3847N/page-1", "UC3847N")</f>
        <v>UC3847N</v>
      </c>
      <c r="B19362" s="3" t="s">
        <v>90</v>
      </c>
      <c r="C19362" s="5">
        <v>16718</v>
      </c>
      <c r="D19362" s="6">
        <v>11.23</v>
      </c>
      <c r="E19362" t="s">
        <v>6</v>
      </c>
    </row>
    <row r="19363" spans="1:5" x14ac:dyDescent="0.25">
      <c r="A19363" t="str">
        <f>HYPERLINK("https://www.773grp.com/globalSearch/UCC39422N/page-1", "UCC39422N")</f>
        <v>UCC39422N</v>
      </c>
      <c r="B19363" s="3" t="s">
        <v>90</v>
      </c>
      <c r="C19363" s="5">
        <v>14364</v>
      </c>
      <c r="D19363" s="6">
        <v>11.25</v>
      </c>
      <c r="E19363" t="s">
        <v>6</v>
      </c>
    </row>
    <row r="19364" spans="1:5" x14ac:dyDescent="0.25">
      <c r="A19364" t="str">
        <f>HYPERLINK("https://www.773grp.com/globalSearch/UCC29421N/page-1", "UCC29421N")</f>
        <v>UCC29421N</v>
      </c>
      <c r="B19364" s="3" t="s">
        <v>90</v>
      </c>
      <c r="C19364" s="5">
        <v>244</v>
      </c>
      <c r="D19364" s="6">
        <v>11.31</v>
      </c>
      <c r="E19364" t="s">
        <v>6</v>
      </c>
    </row>
    <row r="19365" spans="1:5" x14ac:dyDescent="0.25">
      <c r="A19365" t="str">
        <f>HYPERLINK("https://www.773grp.com/globalSearch/UCC29421N/page-1", "UCC29421N")</f>
        <v>UCC29421N</v>
      </c>
      <c r="B19365" s="3" t="s">
        <v>90</v>
      </c>
      <c r="C19365" s="5">
        <v>1400</v>
      </c>
      <c r="D19365" s="6">
        <v>11.31</v>
      </c>
      <c r="E19365" t="s">
        <v>6</v>
      </c>
    </row>
    <row r="19366" spans="1:5" x14ac:dyDescent="0.25">
      <c r="A19366" t="str">
        <f>HYPERLINK("https://www.773grp.com/globalSearch/UCC29421N/page-1", "UCC29421N")</f>
        <v>UCC29421N</v>
      </c>
      <c r="B19366" s="3" t="s">
        <v>90</v>
      </c>
      <c r="C19366" s="5">
        <v>40</v>
      </c>
      <c r="D19366" s="6">
        <v>11.31</v>
      </c>
      <c r="E19366" t="s">
        <v>6</v>
      </c>
    </row>
    <row r="19367" spans="1:5" x14ac:dyDescent="0.25">
      <c r="A19367" t="str">
        <f>HYPERLINK("https://www.773grp.com/globalSearch/UC2848DW/page-1", "UC2848DW")</f>
        <v>UC2848DW</v>
      </c>
      <c r="B19367" s="3" t="s">
        <v>90</v>
      </c>
      <c r="C19367" s="5">
        <v>16961</v>
      </c>
      <c r="D19367" s="6">
        <v>11.39</v>
      </c>
      <c r="E19367" t="s">
        <v>6</v>
      </c>
    </row>
    <row r="19368" spans="1:5" x14ac:dyDescent="0.25">
      <c r="A19368" t="str">
        <f>HYPERLINK("https://www.773grp.com/globalSearch/UC2879DWTR/page-1", "UC2879DWTR")</f>
        <v>UC2879DWTR</v>
      </c>
      <c r="B19368" s="3" t="s">
        <v>90</v>
      </c>
      <c r="C19368" s="5">
        <v>8000</v>
      </c>
      <c r="D19368" s="6">
        <v>11.39</v>
      </c>
      <c r="E19368" t="s">
        <v>6</v>
      </c>
    </row>
    <row r="19369" spans="1:5" x14ac:dyDescent="0.25">
      <c r="A19369" t="str">
        <f>HYPERLINK("https://www.773grp.com/globalSearch/UCC3806QTR/page-1", "UCC3806QTR")</f>
        <v>UCC3806QTR</v>
      </c>
      <c r="B19369" s="3" t="s">
        <v>90</v>
      </c>
      <c r="C19369" s="5">
        <v>5000</v>
      </c>
      <c r="D19369" s="6">
        <v>11.53</v>
      </c>
      <c r="E19369" t="s">
        <v>6</v>
      </c>
    </row>
    <row r="19370" spans="1:5" x14ac:dyDescent="0.25">
      <c r="A19370" t="str">
        <f>HYPERLINK("https://www.773grp.com/globalSearch/UC2847N/page-1", "UC2847N")</f>
        <v>UC2847N</v>
      </c>
      <c r="B19370" s="3" t="s">
        <v>90</v>
      </c>
      <c r="C19370" s="5">
        <v>6600</v>
      </c>
      <c r="D19370" s="6">
        <v>11.61</v>
      </c>
      <c r="E19370" t="s">
        <v>6</v>
      </c>
    </row>
    <row r="19371" spans="1:5" x14ac:dyDescent="0.25">
      <c r="A19371" t="str">
        <f>HYPERLINK("https://www.773grp.com/globalSearch/UC2847N/page-1", "UC2847N")</f>
        <v>UC2847N</v>
      </c>
      <c r="B19371" s="3" t="s">
        <v>90</v>
      </c>
      <c r="C19371" s="5">
        <v>5835</v>
      </c>
      <c r="D19371" s="6">
        <v>11.61</v>
      </c>
      <c r="E19371" t="s">
        <v>6</v>
      </c>
    </row>
    <row r="19372" spans="1:5" x14ac:dyDescent="0.25">
      <c r="A19372" t="str">
        <f>HYPERLINK("https://www.773grp.com/globalSearch/UCC25701N/page-1", "UCC25701N")</f>
        <v>UCC25701N</v>
      </c>
      <c r="B19372" s="3" t="s">
        <v>90</v>
      </c>
      <c r="C19372" s="5">
        <v>7033</v>
      </c>
      <c r="D19372" s="6">
        <v>11.61</v>
      </c>
      <c r="E19372" t="s">
        <v>6</v>
      </c>
    </row>
    <row r="19373" spans="1:5" x14ac:dyDescent="0.25">
      <c r="A19373" t="str">
        <f>HYPERLINK("https://www.773grp.com/globalSearch/UCC25701N/page-1", "UCC25701N")</f>
        <v>UCC25701N</v>
      </c>
      <c r="B19373" s="3" t="s">
        <v>90</v>
      </c>
      <c r="C19373" s="5">
        <v>800</v>
      </c>
      <c r="D19373" s="6">
        <v>11.61</v>
      </c>
      <c r="E19373" t="s">
        <v>6</v>
      </c>
    </row>
    <row r="19374" spans="1:5" x14ac:dyDescent="0.25">
      <c r="A19374" t="str">
        <f>HYPERLINK("https://www.773grp.com/globalSearch/UCC25702N/page-1", "UCC25702N")</f>
        <v>UCC25702N</v>
      </c>
      <c r="B19374" s="3" t="s">
        <v>90</v>
      </c>
      <c r="C19374" s="5">
        <v>12235</v>
      </c>
      <c r="D19374" s="6">
        <v>11.61</v>
      </c>
      <c r="E19374" t="s">
        <v>6</v>
      </c>
    </row>
    <row r="19375" spans="1:5" x14ac:dyDescent="0.25">
      <c r="A19375" t="str">
        <f>HYPERLINK("https://www.773grp.com/globalSearch/UCC25702N/page-1", "UCC25702N")</f>
        <v>UCC25702N</v>
      </c>
      <c r="B19375" s="3" t="s">
        <v>90</v>
      </c>
      <c r="C19375" s="5">
        <v>6175</v>
      </c>
      <c r="D19375" s="6">
        <v>11.61</v>
      </c>
      <c r="E19375" t="s">
        <v>6</v>
      </c>
    </row>
    <row r="19376" spans="1:5" x14ac:dyDescent="0.25">
      <c r="A19376" t="str">
        <f>HYPERLINK("https://www.773grp.com/globalSearch/UCC2895N/page-1", "UCC2895N")</f>
        <v>UCC2895N</v>
      </c>
      <c r="B19376" s="3" t="s">
        <v>90</v>
      </c>
      <c r="C19376" s="5">
        <v>16980</v>
      </c>
      <c r="D19376" s="6">
        <v>11.61</v>
      </c>
      <c r="E19376" t="s">
        <v>6</v>
      </c>
    </row>
    <row r="19377" spans="1:5" x14ac:dyDescent="0.25">
      <c r="A19377" t="str">
        <f>HYPERLINK("https://www.773grp.com/globalSearch/UCC2803MDREP/page-1", "UCC2803MDREP")</f>
        <v>UCC2803MDREP</v>
      </c>
      <c r="B19377" s="3" t="s">
        <v>90</v>
      </c>
      <c r="C19377" s="5">
        <v>30</v>
      </c>
      <c r="D19377" s="6">
        <v>11.65</v>
      </c>
      <c r="E19377" t="s">
        <v>6</v>
      </c>
    </row>
    <row r="19378" spans="1:5" x14ac:dyDescent="0.25">
      <c r="A19378" t="str">
        <f>HYPERLINK("https://www.773grp.com/globalSearch/UC3870DW-2/page-1", "UC3870DW-2")</f>
        <v>UC3870DW-2</v>
      </c>
      <c r="B19378" s="3" t="s">
        <v>90</v>
      </c>
      <c r="C19378" s="5">
        <v>418</v>
      </c>
      <c r="D19378" s="6">
        <v>11.68</v>
      </c>
      <c r="E19378" t="s">
        <v>6</v>
      </c>
    </row>
    <row r="19379" spans="1:5" x14ac:dyDescent="0.25">
      <c r="A19379" t="str">
        <f>HYPERLINK("https://www.773grp.com/globalSearch/UC3827DW-1/page-1", "UC3827DW-1")</f>
        <v>UC3827DW-1</v>
      </c>
      <c r="B19379" s="3" t="s">
        <v>90</v>
      </c>
      <c r="C19379" s="5">
        <v>822</v>
      </c>
      <c r="D19379" s="6">
        <v>11.81</v>
      </c>
      <c r="E19379" t="s">
        <v>6</v>
      </c>
    </row>
    <row r="19380" spans="1:5" x14ac:dyDescent="0.25">
      <c r="A19380" t="str">
        <f>HYPERLINK("https://www.773grp.com/globalSearch/UC3827DW-1/page-1", "UC3827DW-1")</f>
        <v>UC3827DW-1</v>
      </c>
      <c r="B19380" s="3" t="s">
        <v>90</v>
      </c>
      <c r="C19380" s="5">
        <v>2389</v>
      </c>
      <c r="D19380" s="6">
        <v>11.81</v>
      </c>
      <c r="E19380" t="s">
        <v>6</v>
      </c>
    </row>
    <row r="19381" spans="1:5" x14ac:dyDescent="0.25">
      <c r="A19381" t="str">
        <f>HYPERLINK("https://www.773grp.com/globalSearch/UC3827DW-2/page-1", "UC3827DW-2")</f>
        <v>UC3827DW-2</v>
      </c>
      <c r="B19381" s="3" t="s">
        <v>90</v>
      </c>
      <c r="C19381" s="5">
        <v>6941</v>
      </c>
      <c r="D19381" s="6">
        <v>11.81</v>
      </c>
      <c r="E19381" t="s">
        <v>6</v>
      </c>
    </row>
    <row r="19382" spans="1:5" x14ac:dyDescent="0.25">
      <c r="A19382" t="str">
        <f>HYPERLINK("https://www.773grp.com/globalSearch/TPS54610QPWPRG4Q1/page-1", "TPS54610QPWPRG4Q1")</f>
        <v>TPS54610QPWPRG4Q1</v>
      </c>
      <c r="B19382" s="3" t="s">
        <v>90</v>
      </c>
      <c r="C19382" s="5">
        <v>34000</v>
      </c>
      <c r="D19382" s="6">
        <v>11.95</v>
      </c>
      <c r="E19382" t="s">
        <v>6</v>
      </c>
    </row>
    <row r="19383" spans="1:5" x14ac:dyDescent="0.25">
      <c r="A19383" t="str">
        <f>HYPERLINK("https://www.773grp.com/globalSearch/TPS5602IDBT/page-1", "TPS5602IDBT")</f>
        <v>TPS5602IDBT</v>
      </c>
      <c r="B19383" s="3" t="s">
        <v>90</v>
      </c>
      <c r="C19383" s="5">
        <v>5297</v>
      </c>
      <c r="D19383" s="6">
        <v>11.95</v>
      </c>
      <c r="E19383" t="s">
        <v>6</v>
      </c>
    </row>
    <row r="19384" spans="1:5" x14ac:dyDescent="0.25">
      <c r="A19384" t="str">
        <f>HYPERLINK("https://www.773grp.com/globalSearch/UC2886D/page-1", "UC2886D")</f>
        <v>UC2886D</v>
      </c>
      <c r="B19384" s="3" t="s">
        <v>90</v>
      </c>
      <c r="C19384" s="5">
        <v>12034</v>
      </c>
      <c r="D19384" s="6">
        <v>12.1</v>
      </c>
      <c r="E19384" t="s">
        <v>6</v>
      </c>
    </row>
    <row r="19385" spans="1:5" x14ac:dyDescent="0.25">
      <c r="A19385" t="str">
        <f>HYPERLINK("https://www.773grp.com/globalSearch/UC2886D/page-1", "UC2886D")</f>
        <v>UC2886D</v>
      </c>
      <c r="B19385" s="3" t="s">
        <v>90</v>
      </c>
      <c r="C19385" s="5">
        <v>4351</v>
      </c>
      <c r="D19385" s="6">
        <v>12.1</v>
      </c>
      <c r="E19385" t="s">
        <v>6</v>
      </c>
    </row>
    <row r="19386" spans="1:5" x14ac:dyDescent="0.25">
      <c r="A19386" t="str">
        <f>HYPERLINK("https://www.773grp.com/globalSearch/UCC2972N/page-1", "UCC2972N")</f>
        <v>UCC2972N</v>
      </c>
      <c r="B19386" s="3" t="s">
        <v>90</v>
      </c>
      <c r="C19386" s="5">
        <v>30</v>
      </c>
      <c r="D19386" s="6">
        <v>12.1</v>
      </c>
      <c r="E19386" t="s">
        <v>6</v>
      </c>
    </row>
    <row r="19387" spans="1:5" x14ac:dyDescent="0.25">
      <c r="A19387" t="str">
        <f>HYPERLINK("https://www.773grp.com/globalSearch/UCC2972N/page-1", "UCC2972N")</f>
        <v>UCC2972N</v>
      </c>
      <c r="B19387" s="3" t="s">
        <v>90</v>
      </c>
      <c r="C19387" s="5">
        <v>2850</v>
      </c>
      <c r="D19387" s="6">
        <v>12.1</v>
      </c>
      <c r="E19387" t="s">
        <v>6</v>
      </c>
    </row>
    <row r="19388" spans="1:5" x14ac:dyDescent="0.25">
      <c r="A19388" t="str">
        <f>HYPERLINK("https://www.773grp.com/globalSearch/UCC2976PW/page-1", "UCC2976PW")</f>
        <v>UCC2976PW</v>
      </c>
      <c r="B19388" s="3" t="s">
        <v>90</v>
      </c>
      <c r="C19388" s="5">
        <v>7189</v>
      </c>
      <c r="D19388" s="6">
        <v>12.1</v>
      </c>
      <c r="E19388" t="s">
        <v>6</v>
      </c>
    </row>
    <row r="19389" spans="1:5" x14ac:dyDescent="0.25">
      <c r="A19389" t="str">
        <f>HYPERLINK("https://www.773grp.com/globalSearch/UCC2976PW/page-1", "UCC2976PW")</f>
        <v>UCC2976PW</v>
      </c>
      <c r="B19389" s="3" t="s">
        <v>90</v>
      </c>
      <c r="C19389" s="5">
        <v>1950</v>
      </c>
      <c r="D19389" s="6">
        <v>12.1</v>
      </c>
      <c r="E19389" t="s">
        <v>6</v>
      </c>
    </row>
    <row r="19390" spans="1:5" x14ac:dyDescent="0.25">
      <c r="A19390" t="str">
        <f>HYPERLINK("https://www.773grp.com/globalSearch/UCC2977PW/page-1", "UCC2977PW")</f>
        <v>UCC2977PW</v>
      </c>
      <c r="B19390" s="3" t="s">
        <v>90</v>
      </c>
      <c r="C19390" s="5">
        <v>13515</v>
      </c>
      <c r="D19390" s="6">
        <v>12.1</v>
      </c>
      <c r="E19390" t="s">
        <v>6</v>
      </c>
    </row>
    <row r="19391" spans="1:5" x14ac:dyDescent="0.25">
      <c r="A19391" t="str">
        <f>HYPERLINK("https://www.773grp.com/globalSearch/TPS5300DAP/page-1", "TPS5300DAP")</f>
        <v>TPS5300DAP</v>
      </c>
      <c r="B19391" s="3" t="str">
        <f>HYPERLINK("https://www.773grp.com/manufacturer/texas-instruments?pageNo=12", "Texas Instruments")</f>
        <v>Texas Instruments</v>
      </c>
      <c r="C19391" s="5">
        <v>13968</v>
      </c>
      <c r="D19391" s="6">
        <v>12.11</v>
      </c>
      <c r="E19391" t="s">
        <v>6</v>
      </c>
    </row>
    <row r="19392" spans="1:5" x14ac:dyDescent="0.25">
      <c r="A19392" t="str">
        <f>HYPERLINK("https://www.773grp.com/globalSearch/UC3578DP/page-1", "UC3578DP")</f>
        <v>UC3578DP</v>
      </c>
      <c r="B19392" s="3" t="str">
        <f>HYPERLINK("https://www.773grp.com/manufacturer/texas-instruments?pageNo=38", "Texas Instruments")</f>
        <v>Texas Instruments</v>
      </c>
      <c r="C19392" s="5">
        <v>2880</v>
      </c>
      <c r="D19392" s="6">
        <v>12.2</v>
      </c>
      <c r="E19392" t="s">
        <v>6</v>
      </c>
    </row>
    <row r="19393" spans="1:5" x14ac:dyDescent="0.25">
      <c r="A19393" t="str">
        <f>HYPERLINK("https://www.773grp.com/globalSearch/UC3578N/page-1", "UC3578N")</f>
        <v>UC3578N</v>
      </c>
      <c r="B19393" s="3" t="str">
        <f>HYPERLINK("https://www.773grp.com/manufacturer/texas-instruments?pageNo=39", "Texas Instruments")</f>
        <v>Texas Instruments</v>
      </c>
      <c r="C19393" s="5">
        <v>4575</v>
      </c>
      <c r="D19393" s="6">
        <v>12.2</v>
      </c>
      <c r="E19393" t="s">
        <v>6</v>
      </c>
    </row>
    <row r="19394" spans="1:5" x14ac:dyDescent="0.25">
      <c r="A19394" t="str">
        <f>HYPERLINK("https://www.773grp.com/globalSearch/UC3578N/page-1", "UC3578N")</f>
        <v>UC3578N</v>
      </c>
      <c r="B19394" s="3" t="str">
        <f>HYPERLINK("https://www.773grp.com/manufacturer/texas-instruments?pageNo=40", "Texas Instruments")</f>
        <v>Texas Instruments</v>
      </c>
      <c r="C19394" s="5">
        <v>4713</v>
      </c>
      <c r="D19394" s="6">
        <v>12.2</v>
      </c>
      <c r="E19394" t="s">
        <v>6</v>
      </c>
    </row>
    <row r="19395" spans="1:5" x14ac:dyDescent="0.25">
      <c r="A19395" t="str">
        <f>HYPERLINK("https://www.773grp.com/globalSearch/TPS56302PWPR/page-1", "TPS56302PWPR")</f>
        <v>TPS56302PWPR</v>
      </c>
      <c r="B19395" s="3" t="str">
        <f>HYPERLINK("https://www.773grp.com/manufacturer/texas-instruments?pageNo=63", "Texas Instruments")</f>
        <v>Texas Instruments</v>
      </c>
      <c r="C19395" s="5">
        <v>6000</v>
      </c>
      <c r="D19395" s="6">
        <v>12.24</v>
      </c>
      <c r="E19395" t="s">
        <v>6</v>
      </c>
    </row>
    <row r="19396" spans="1:5" x14ac:dyDescent="0.25">
      <c r="A19396" t="str">
        <f>HYPERLINK("https://www.773grp.com/globalSearch/UCC3976PW/page-1", "UCC3976PW")</f>
        <v>UCC3976PW</v>
      </c>
      <c r="B19396" s="3" t="str">
        <f>HYPERLINK("https://www.773grp.com/manufacturer/texas-instruments?pageNo=67", "Texas Instruments")</f>
        <v>Texas Instruments</v>
      </c>
      <c r="C19396" s="5">
        <v>1316</v>
      </c>
      <c r="D19396" s="6">
        <v>12.24</v>
      </c>
      <c r="E19396" t="s">
        <v>6</v>
      </c>
    </row>
    <row r="19397" spans="1:5" x14ac:dyDescent="0.25">
      <c r="A19397" t="str">
        <f>HYPERLINK("https://www.773grp.com/globalSearch/UCD3040RGCT/page-1", "UCD3040RGCT")</f>
        <v>UCD3040RGCT</v>
      </c>
      <c r="B19397" s="3" t="str">
        <f>HYPERLINK("https://www.773grp.com/manufacturer/texas-instruments?pageNo=68", "Texas Instruments")</f>
        <v>Texas Instruments</v>
      </c>
      <c r="C19397" s="5">
        <v>3250</v>
      </c>
      <c r="D19397" s="6">
        <v>12.24</v>
      </c>
      <c r="E19397" t="s">
        <v>6</v>
      </c>
    </row>
    <row r="19398" spans="1:5" x14ac:dyDescent="0.25">
      <c r="A19398" t="str">
        <f>HYPERLINK("https://www.773grp.com/globalSearch/TPS54810PWP/page-1", "TPS54810PWP")</f>
        <v>TPS54810PWP</v>
      </c>
      <c r="B19398" s="3" t="str">
        <f>HYPERLINK("https://www.773grp.com/manufacturer/texas-instruments?pageNo=152", "Texas Instruments")</f>
        <v>Texas Instruments</v>
      </c>
      <c r="C19398" s="5">
        <v>4531</v>
      </c>
      <c r="D19398" s="6">
        <v>12.38</v>
      </c>
      <c r="E19398" t="s">
        <v>6</v>
      </c>
    </row>
    <row r="19399" spans="1:5" x14ac:dyDescent="0.25">
      <c r="A19399" t="str">
        <f>HYPERLINK("https://www.773grp.com/globalSearch/UC2827DW-1/page-1", "UC2827DW-1")</f>
        <v>UC2827DW-1</v>
      </c>
      <c r="B19399" s="3" t="str">
        <f>HYPERLINK("https://www.773grp.com/manufacturer/texas-instruments?pageNo=154", "Texas Instruments")</f>
        <v>Texas Instruments</v>
      </c>
      <c r="C19399" s="5">
        <v>2205</v>
      </c>
      <c r="D19399" s="6">
        <v>12.38</v>
      </c>
      <c r="E19399" t="s">
        <v>6</v>
      </c>
    </row>
    <row r="19400" spans="1:5" x14ac:dyDescent="0.25">
      <c r="A19400" t="str">
        <f>HYPERLINK("https://www.773grp.com/globalSearch/UC2827DW-2/page-1", "UC2827DW-2")</f>
        <v>UC2827DW-2</v>
      </c>
      <c r="B19400" s="3" t="str">
        <f>HYPERLINK("https://www.773grp.com/manufacturer/texas-instruments?pageNo=155", "Texas Instruments")</f>
        <v>Texas Instruments</v>
      </c>
      <c r="C19400" s="5">
        <v>2175</v>
      </c>
      <c r="D19400" s="6">
        <v>12.38</v>
      </c>
      <c r="E19400" t="s">
        <v>6</v>
      </c>
    </row>
    <row r="19401" spans="1:5" x14ac:dyDescent="0.25">
      <c r="A19401" t="str">
        <f>HYPERLINK("https://www.773grp.com/globalSearch/UC2827N-1/page-1", "UC2827N-1")</f>
        <v>UC2827N-1</v>
      </c>
      <c r="B19401" s="3" t="str">
        <f>HYPERLINK("https://www.773grp.com/manufacturer/texas-instruments?pageNo=156", "Texas Instruments")</f>
        <v>Texas Instruments</v>
      </c>
      <c r="C19401" s="5">
        <v>1705</v>
      </c>
      <c r="D19401" s="6">
        <v>12.38</v>
      </c>
      <c r="E19401" t="s">
        <v>6</v>
      </c>
    </row>
    <row r="19402" spans="1:5" x14ac:dyDescent="0.25">
      <c r="A19402" t="str">
        <f>HYPERLINK("https://www.773grp.com/globalSearch/UC3849DW/page-1", "UC3849DW")</f>
        <v>UC3849DW</v>
      </c>
      <c r="B19402" s="3" t="str">
        <f>HYPERLINK("https://www.773grp.com/manufacturer/texas-instruments?pageNo=158", "Texas Instruments")</f>
        <v>Texas Instruments</v>
      </c>
      <c r="C19402" s="5">
        <v>18346</v>
      </c>
      <c r="D19402" s="6">
        <v>12.38</v>
      </c>
      <c r="E19402" t="s">
        <v>6</v>
      </c>
    </row>
    <row r="19403" spans="1:5" x14ac:dyDescent="0.25">
      <c r="A19403" t="str">
        <f>HYPERLINK("https://www.773grp.com/globalSearch/UC3879DW/page-1", "UC3879DW")</f>
        <v>UC3879DW</v>
      </c>
      <c r="B19403" s="3" t="str">
        <f>HYPERLINK("https://www.773grp.com/manufacturer/texas-instruments?pageNo=239", "Texas Instruments")</f>
        <v>Texas Instruments</v>
      </c>
      <c r="C19403" s="5">
        <v>5044</v>
      </c>
      <c r="D19403" s="6">
        <v>12.53</v>
      </c>
      <c r="E19403" t="s">
        <v>6</v>
      </c>
    </row>
    <row r="19404" spans="1:5" x14ac:dyDescent="0.25">
      <c r="A19404" t="str">
        <f>HYPERLINK("https://www.773grp.com/globalSearch/UCC3570N/page-1", "UCC3570N")</f>
        <v>UCC3570N</v>
      </c>
      <c r="B19404" s="3" t="str">
        <f>HYPERLINK("https://www.773grp.com/manufacturer/texas-instruments?pageNo=241", "Texas Instruments")</f>
        <v>Texas Instruments</v>
      </c>
      <c r="C19404" s="5">
        <v>6965</v>
      </c>
      <c r="D19404" s="6">
        <v>12.53</v>
      </c>
      <c r="E19404" t="s">
        <v>6</v>
      </c>
    </row>
    <row r="19405" spans="1:5" x14ac:dyDescent="0.25">
      <c r="A19405" t="str">
        <f>HYPERLINK("https://www.773grp.com/globalSearch/TPS65530ARSLT/page-1", "TPS65530ARSLT")</f>
        <v>TPS65530ARSLT</v>
      </c>
      <c r="B19405" s="3" t="str">
        <f>HYPERLINK("https://www.773grp.com/manufacturer/texas-instruments?pageNo=313", "Texas Instruments")</f>
        <v>Texas Instruments</v>
      </c>
      <c r="C19405" s="5">
        <v>1745</v>
      </c>
      <c r="D19405" s="6">
        <v>12.66</v>
      </c>
      <c r="E19405" t="s">
        <v>6</v>
      </c>
    </row>
    <row r="19406" spans="1:5" x14ac:dyDescent="0.25">
      <c r="A19406" t="str">
        <f>HYPERLINK("https://www.773grp.com/globalSearch/TPS5210DW/page-1", "TPS5210DW")</f>
        <v>TPS5210DW</v>
      </c>
      <c r="B19406" s="3" t="str">
        <f>HYPERLINK("https://www.773grp.com/manufacturer/texas-instruments?pageNo=385", "Texas Instruments")</f>
        <v>Texas Instruments</v>
      </c>
      <c r="C19406" s="5">
        <v>7089</v>
      </c>
      <c r="D19406" s="6">
        <v>12.79</v>
      </c>
      <c r="E19406" t="s">
        <v>6</v>
      </c>
    </row>
    <row r="19407" spans="1:5" x14ac:dyDescent="0.25">
      <c r="A19407" t="str">
        <f>HYPERLINK("https://www.773grp.com/globalSearch/TPS56300PWPR/page-1", "TPS56300PWPR")</f>
        <v>TPS56300PWPR</v>
      </c>
      <c r="B19407" s="3" t="str">
        <f>HYPERLINK("https://www.773grp.com/manufacturer/texas-instruments?pageNo=386", "Texas Instruments")</f>
        <v>Texas Instruments</v>
      </c>
      <c r="C19407" s="5">
        <v>14601</v>
      </c>
      <c r="D19407" s="6">
        <v>12.79</v>
      </c>
      <c r="E19407" t="s">
        <v>6</v>
      </c>
    </row>
    <row r="19408" spans="1:5" x14ac:dyDescent="0.25">
      <c r="A19408" t="str">
        <f>HYPERLINK("https://www.773grp.com/globalSearch/UC494ACJ/page-1", "UC494ACJ")</f>
        <v>UC494ACJ</v>
      </c>
      <c r="B19408" s="3" t="str">
        <f>HYPERLINK("https://www.773grp.com/manufacturer/texas-instruments?pageNo=403", "Texas Instruments")</f>
        <v>Texas Instruments</v>
      </c>
      <c r="C19408" s="5">
        <v>28</v>
      </c>
      <c r="D19408" s="6">
        <v>12.83</v>
      </c>
      <c r="E19408" t="s">
        <v>6</v>
      </c>
    </row>
    <row r="19409" spans="1:5" x14ac:dyDescent="0.25">
      <c r="A19409" t="str">
        <f>HYPERLINK("https://www.773grp.com/globalSearch/TPS56302PWP/page-1", "TPS56302PWP")</f>
        <v>TPS56302PWP</v>
      </c>
      <c r="B19409" s="3" t="str">
        <f>HYPERLINK("https://www.773grp.com/manufacturer/texas-instruments?pageNo=418", "Texas Instruments")</f>
        <v>Texas Instruments</v>
      </c>
      <c r="C19409" s="5">
        <v>9410</v>
      </c>
      <c r="D19409" s="6">
        <v>12.86</v>
      </c>
      <c r="E19409" t="s">
        <v>6</v>
      </c>
    </row>
    <row r="19410" spans="1:5" x14ac:dyDescent="0.25">
      <c r="A19410" t="str">
        <f>HYPERLINK("https://www.773grp.com/globalSearch/UCC3974PWR/page-1", "UCC3974PWR")</f>
        <v>UCC3974PWR</v>
      </c>
      <c r="B19410" s="3" t="str">
        <f>HYPERLINK("https://www.773grp.com/manufacturer/texas-instruments?pageNo=419", "Texas Instruments")</f>
        <v>Texas Instruments</v>
      </c>
      <c r="C19410" s="5">
        <v>28000</v>
      </c>
      <c r="D19410" s="6">
        <v>12.86</v>
      </c>
      <c r="E19410" t="s">
        <v>6</v>
      </c>
    </row>
    <row r="19411" spans="1:5" x14ac:dyDescent="0.25">
      <c r="A19411" t="str">
        <f>HYPERLINK("https://www.773grp.com/globalSearch/TPS5210PWP/page-1", "TPS5210PWP")</f>
        <v>TPS5210PWP</v>
      </c>
      <c r="B19411" s="3" t="str">
        <f>HYPERLINK("https://www.773grp.com/manufacturer/texas-instruments?pageNo=456", "Texas Instruments")</f>
        <v>Texas Instruments</v>
      </c>
      <c r="C19411" s="5">
        <v>12365</v>
      </c>
      <c r="D19411" s="6">
        <v>12.94</v>
      </c>
      <c r="E19411" t="s">
        <v>6</v>
      </c>
    </row>
    <row r="19412" spans="1:5" x14ac:dyDescent="0.25">
      <c r="A19412" t="str">
        <f>HYPERLINK("https://www.773grp.com/globalSearch/TPS56100PWP/page-1", "TPS56100PWP")</f>
        <v>TPS56100PWP</v>
      </c>
      <c r="B19412" s="3" t="str">
        <f>HYPERLINK("https://www.773grp.com/manufacturer/texas-instruments?pageNo=472", "Texas Instruments")</f>
        <v>Texas Instruments</v>
      </c>
      <c r="C19412" s="5">
        <v>3979</v>
      </c>
      <c r="D19412" s="6">
        <v>12.96</v>
      </c>
      <c r="E19412" t="s">
        <v>6</v>
      </c>
    </row>
    <row r="19413" spans="1:5" x14ac:dyDescent="0.25">
      <c r="A19413" t="str">
        <f>HYPERLINK("https://www.773grp.com/globalSearch/TPS5618PWP/page-1", "TPS5618PWP")</f>
        <v>TPS5618PWP</v>
      </c>
      <c r="B19413" s="3" t="str">
        <f>HYPERLINK("https://www.773grp.com/manufacturer/texas-instruments?pageNo=473", "Texas Instruments")</f>
        <v>Texas Instruments</v>
      </c>
      <c r="C19413" s="5">
        <v>11835</v>
      </c>
      <c r="D19413" s="6">
        <v>12.96</v>
      </c>
      <c r="E19413" t="s">
        <v>6</v>
      </c>
    </row>
    <row r="19414" spans="1:5" x14ac:dyDescent="0.25">
      <c r="A19414" t="str">
        <f>HYPERLINK("https://www.773grp.com/globalSearch/TPS5633PWP/page-1", "TPS5633PWP")</f>
        <v>TPS5633PWP</v>
      </c>
      <c r="B19414" s="3" t="str">
        <f>HYPERLINK("https://www.773grp.com/manufacturer/texas-instruments?pageNo=474", "Texas Instruments")</f>
        <v>Texas Instruments</v>
      </c>
      <c r="C19414" s="5">
        <v>3310</v>
      </c>
      <c r="D19414" s="6">
        <v>12.96</v>
      </c>
      <c r="E19414" t="s">
        <v>6</v>
      </c>
    </row>
    <row r="19415" spans="1:5" x14ac:dyDescent="0.25">
      <c r="A19415" t="str">
        <f>HYPERLINK("https://www.773grp.com/globalSearch/UC2872DWTR/page-1", "UC2872DWTR")</f>
        <v>UC2872DWTR</v>
      </c>
      <c r="B19415" s="3" t="str">
        <f>HYPERLINK("https://www.773grp.com/manufacturer/texas-instruments?pageNo=485", "Texas Instruments")</f>
        <v>Texas Instruments</v>
      </c>
      <c r="C19415" s="5">
        <v>3850</v>
      </c>
      <c r="D19415" s="6">
        <v>13</v>
      </c>
      <c r="E19415" t="s">
        <v>6</v>
      </c>
    </row>
    <row r="19416" spans="1:5" x14ac:dyDescent="0.25">
      <c r="A19416" t="str">
        <f>HYPERLINK("https://www.773grp.com/globalSearch/TPS54313MPWPREP/page-1", "TPS54313MPWPREP")</f>
        <v>TPS54313MPWPREP</v>
      </c>
      <c r="B19416" s="3" t="str">
        <f>HYPERLINK("https://www.773grp.com/manufacturer/texas-instruments?pageNo=581", "Texas Instruments")</f>
        <v>Texas Instruments</v>
      </c>
      <c r="C19416" s="5">
        <v>7790</v>
      </c>
      <c r="D19416" s="6">
        <v>13.21</v>
      </c>
      <c r="E19416" t="s">
        <v>6</v>
      </c>
    </row>
    <row r="19417" spans="1:5" x14ac:dyDescent="0.25">
      <c r="A19417" t="str">
        <f>HYPERLINK("https://www.773grp.com/globalSearch/UC2825AMDWREP/page-1", "UC2825AMDWREP")</f>
        <v>UC2825AMDWREP</v>
      </c>
      <c r="B19417" s="3" t="str">
        <f>HYPERLINK("https://www.773grp.com/manufacturer/texas-instruments?pageNo=583", "Texas Instruments")</f>
        <v>Texas Instruments</v>
      </c>
      <c r="C19417" s="5">
        <v>1027</v>
      </c>
      <c r="D19417" s="6">
        <v>13.21</v>
      </c>
      <c r="E19417" t="s">
        <v>6</v>
      </c>
    </row>
    <row r="19418" spans="1:5" x14ac:dyDescent="0.25">
      <c r="A19418" t="str">
        <f>HYPERLINK("https://www.773grp.com/globalSearch/PTH04070WAH/page-1", "PTH04070WAH")</f>
        <v>PTH04070WAH</v>
      </c>
      <c r="B19418" s="3" t="str">
        <f>HYPERLINK("https://www.773grp.com/manufacturer/texas-instruments?pageNo=589", "Texas Instruments")</f>
        <v>Texas Instruments</v>
      </c>
      <c r="C19418" s="5">
        <v>810</v>
      </c>
      <c r="D19418" s="6">
        <v>13.25</v>
      </c>
      <c r="E19418" t="s">
        <v>6</v>
      </c>
    </row>
    <row r="19419" spans="1:5" x14ac:dyDescent="0.25">
      <c r="A19419" t="str">
        <f>HYPERLINK("https://www.773grp.com/globalSearch/PTH04070WAS/page-1", "PTH04070WAS")</f>
        <v>PTH04070WAS</v>
      </c>
      <c r="B19419" s="3" t="str">
        <f>HYPERLINK("https://www.773grp.com/manufacturer/texas-instruments?pageNo=590", "Texas Instruments")</f>
        <v>Texas Instruments</v>
      </c>
      <c r="C19419" s="5">
        <v>1434</v>
      </c>
      <c r="D19419" s="6">
        <v>13.25</v>
      </c>
      <c r="E19419" t="s">
        <v>6</v>
      </c>
    </row>
    <row r="19420" spans="1:5" x14ac:dyDescent="0.25">
      <c r="A19420" t="str">
        <f>HYPERLINK("https://www.773grp.com/globalSearch/PTH04070WAST/page-1", "PTH04070WAST")</f>
        <v>PTH04070WAST</v>
      </c>
      <c r="B19420" s="3" t="str">
        <f>HYPERLINK("https://www.773grp.com/manufacturer/texas-instruments?pageNo=591", "Texas Instruments")</f>
        <v>Texas Instruments</v>
      </c>
      <c r="C19420" s="5">
        <v>250</v>
      </c>
      <c r="D19420" s="6">
        <v>13.25</v>
      </c>
      <c r="E19420" t="s">
        <v>6</v>
      </c>
    </row>
    <row r="19421" spans="1:5" x14ac:dyDescent="0.25">
      <c r="A19421" t="str">
        <f>HYPERLINK("https://www.773grp.com/globalSearch/PTH08080WAS/page-1", "PTH08080WAS")</f>
        <v>PTH08080WAS</v>
      </c>
      <c r="B19421" s="3" t="str">
        <f>HYPERLINK("https://www.773grp.com/manufacturer/texas-instruments?pageNo=593", "Texas Instruments")</f>
        <v>Texas Instruments</v>
      </c>
      <c r="C19421" s="5">
        <v>5647</v>
      </c>
      <c r="D19421" s="6">
        <v>13.25</v>
      </c>
      <c r="E19421" t="s">
        <v>6</v>
      </c>
    </row>
    <row r="19422" spans="1:5" x14ac:dyDescent="0.25">
      <c r="A19422" t="str">
        <f>HYPERLINK("https://www.773grp.com/globalSearch/PTH08080WAST/page-1", "PTH08080WAST")</f>
        <v>PTH08080WAST</v>
      </c>
      <c r="B19422" s="3" t="str">
        <f>HYPERLINK("https://www.773grp.com/manufacturer/texas-instruments?pageNo=594", "Texas Instruments")</f>
        <v>Texas Instruments</v>
      </c>
      <c r="C19422" s="5">
        <v>250</v>
      </c>
      <c r="D19422" s="6">
        <v>13.25</v>
      </c>
      <c r="E19422" t="s">
        <v>6</v>
      </c>
    </row>
    <row r="19423" spans="1:5" x14ac:dyDescent="0.25">
      <c r="A19423" t="str">
        <f>HYPERLINK("https://www.773grp.com/globalSearch/PTH08080WAZT/page-1", "PTH08080WAZT")</f>
        <v>PTH08080WAZT</v>
      </c>
      <c r="B19423" s="3" t="str">
        <f>HYPERLINK("https://www.773grp.com/manufacturer/texas-instruments?pageNo=596", "Texas Instruments")</f>
        <v>Texas Instruments</v>
      </c>
      <c r="C19423" s="5">
        <v>250</v>
      </c>
      <c r="D19423" s="6">
        <v>13.25</v>
      </c>
      <c r="E19423" t="s">
        <v>6</v>
      </c>
    </row>
    <row r="19424" spans="1:5" x14ac:dyDescent="0.25">
      <c r="A19424" t="str">
        <f>HYPERLINK("https://www.773grp.com/globalSearch/PTH08080WBH/page-1", "PTH08080WBH")</f>
        <v>PTH08080WBH</v>
      </c>
      <c r="B19424" s="3" t="str">
        <f>HYPERLINK("https://www.773grp.com/manufacturer/texas-instruments?pageNo=597", "Texas Instruments")</f>
        <v>Texas Instruments</v>
      </c>
      <c r="C19424" s="5">
        <v>270</v>
      </c>
      <c r="D19424" s="6">
        <v>13.25</v>
      </c>
      <c r="E19424" t="s">
        <v>6</v>
      </c>
    </row>
    <row r="19425" spans="1:5" x14ac:dyDescent="0.25">
      <c r="A19425" t="str">
        <f>HYPERLINK("https://www.773grp.com/globalSearch/UC3527AJ/page-1", "UC3527AJ")</f>
        <v>UC3527AJ</v>
      </c>
      <c r="B19425" s="3" t="str">
        <f>HYPERLINK("https://www.773grp.com/manufacturer/texas-instruments?pageNo=610", "Texas Instruments")</f>
        <v>Texas Instruments</v>
      </c>
      <c r="C19425" s="5">
        <v>249</v>
      </c>
      <c r="D19425" s="6">
        <v>13.25</v>
      </c>
      <c r="E19425" t="s">
        <v>6</v>
      </c>
    </row>
    <row r="19426" spans="1:5" x14ac:dyDescent="0.25">
      <c r="A19426" t="str">
        <f>HYPERLINK("https://www.773grp.com/globalSearch/UC3827N-1/page-1", "UC3827N-1")</f>
        <v>UC3827N-1</v>
      </c>
      <c r="B19426" s="3" t="str">
        <f>HYPERLINK("https://www.773grp.com/manufacturer/texas-instruments?pageNo=635", "Texas Instruments")</f>
        <v>Texas Instruments</v>
      </c>
      <c r="C19426" s="5">
        <v>4808</v>
      </c>
      <c r="D19426" s="6">
        <v>13.3</v>
      </c>
      <c r="E19426" t="s">
        <v>6</v>
      </c>
    </row>
    <row r="19427" spans="1:5" x14ac:dyDescent="0.25">
      <c r="A19427" t="str">
        <f>HYPERLINK("https://www.773grp.com/globalSearch/UC3827N-1/page-1", "UC3827N-1")</f>
        <v>UC3827N-1</v>
      </c>
      <c r="B19427" s="3" t="str">
        <f>HYPERLINK("https://www.773grp.com/manufacturer/texas-instruments?pageNo=636", "Texas Instruments")</f>
        <v>Texas Instruments</v>
      </c>
      <c r="C19427" s="5">
        <v>2172</v>
      </c>
      <c r="D19427" s="6">
        <v>13.3</v>
      </c>
      <c r="E19427" t="s">
        <v>6</v>
      </c>
    </row>
    <row r="19428" spans="1:5" x14ac:dyDescent="0.25">
      <c r="A19428" t="str">
        <f>HYPERLINK("https://www.773grp.com/globalSearch/UC3827N-2/page-1", "UC3827N-2")</f>
        <v>UC3827N-2</v>
      </c>
      <c r="B19428" s="3" t="str">
        <f>HYPERLINK("https://www.773grp.com/manufacturer/texas-instruments?pageNo=637", "Texas Instruments")</f>
        <v>Texas Instruments</v>
      </c>
      <c r="C19428" s="5">
        <v>2748</v>
      </c>
      <c r="D19428" s="6">
        <v>13.3</v>
      </c>
      <c r="E19428" t="s">
        <v>6</v>
      </c>
    </row>
    <row r="19429" spans="1:5" x14ac:dyDescent="0.25">
      <c r="A19429" t="str">
        <f>HYPERLINK("https://www.773grp.com/globalSearch/UC3827N-2/page-1", "UC3827N-2")</f>
        <v>UC3827N-2</v>
      </c>
      <c r="B19429" s="3" t="str">
        <f>HYPERLINK("https://www.773grp.com/manufacturer/texas-instruments?pageNo=638", "Texas Instruments")</f>
        <v>Texas Instruments</v>
      </c>
      <c r="C19429" s="5">
        <v>7185</v>
      </c>
      <c r="D19429" s="6">
        <v>13.3</v>
      </c>
      <c r="E19429" t="s">
        <v>6</v>
      </c>
    </row>
    <row r="19430" spans="1:5" x14ac:dyDescent="0.25">
      <c r="A19430" t="str">
        <f>HYPERLINK("https://www.773grp.com/globalSearch/UCC3972PWTR/page-1", "UCC3972PWTR")</f>
        <v>UCC3972PWTR</v>
      </c>
      <c r="B19430" s="3" t="str">
        <f>HYPERLINK("https://www.773grp.com/manufacturer/texas-instruments?pageNo=640", "Texas Instruments")</f>
        <v>Texas Instruments</v>
      </c>
      <c r="C19430" s="5">
        <v>2000</v>
      </c>
      <c r="D19430" s="6">
        <v>13.3</v>
      </c>
      <c r="E19430" t="s">
        <v>6</v>
      </c>
    </row>
    <row r="19431" spans="1:5" x14ac:dyDescent="0.25">
      <c r="A19431" t="str">
        <f>HYPERLINK("https://www.773grp.com/globalSearch/UCC3977PW/page-1", "UCC3977PW")</f>
        <v>UCC3977PW</v>
      </c>
      <c r="B19431" s="3" t="str">
        <f>HYPERLINK("https://www.773grp.com/manufacturer/texas-instruments?pageNo=641", "Texas Instruments")</f>
        <v>Texas Instruments</v>
      </c>
      <c r="C19431" s="5">
        <v>32132</v>
      </c>
      <c r="D19431" s="6">
        <v>13.3</v>
      </c>
      <c r="E19431" t="s">
        <v>6</v>
      </c>
    </row>
    <row r="19432" spans="1:5" x14ac:dyDescent="0.25">
      <c r="A19432" t="str">
        <f>HYPERLINK("https://www.773grp.com/globalSearch/UCC39422PW/page-1", "UCC39422PW")</f>
        <v>UCC39422PW</v>
      </c>
      <c r="B19432" s="3" t="str">
        <f>HYPERLINK("https://www.773grp.com/manufacturer/texas-instruments?pageNo=684", "Texas Instruments")</f>
        <v>Texas Instruments</v>
      </c>
      <c r="C19432" s="5">
        <v>1393</v>
      </c>
      <c r="D19432" s="6">
        <v>13.36</v>
      </c>
      <c r="E19432" t="s">
        <v>6</v>
      </c>
    </row>
    <row r="19433" spans="1:5" x14ac:dyDescent="0.25">
      <c r="A19433" t="str">
        <f>HYPERLINK("https://www.773grp.com/globalSearch/UCC39422PW/page-1", "UCC39422PW")</f>
        <v>UCC39422PW</v>
      </c>
      <c r="B19433" s="3" t="str">
        <f>HYPERLINK("https://www.773grp.com/manufacturer/texas-instruments?pageNo=685", "Texas Instruments")</f>
        <v>Texas Instruments</v>
      </c>
      <c r="C19433" s="5">
        <v>4340</v>
      </c>
      <c r="D19433" s="6">
        <v>13.36</v>
      </c>
      <c r="E19433" t="s">
        <v>6</v>
      </c>
    </row>
    <row r="19434" spans="1:5" x14ac:dyDescent="0.25">
      <c r="A19434" t="str">
        <f>HYPERLINK("https://www.773grp.com/globalSearch/UCC39422PW/page-1", "UCC39422PW")</f>
        <v>UCC39422PW</v>
      </c>
      <c r="B19434" s="3" t="str">
        <f>HYPERLINK("https://www.773grp.com/manufacturer/texas-instruments?pageNo=686", "Texas Instruments")</f>
        <v>Texas Instruments</v>
      </c>
      <c r="C19434" s="5">
        <v>939</v>
      </c>
      <c r="D19434" s="6">
        <v>13.36</v>
      </c>
      <c r="E19434" t="s">
        <v>6</v>
      </c>
    </row>
    <row r="19435" spans="1:5" x14ac:dyDescent="0.25">
      <c r="A19435" t="str">
        <f>HYPERLINK("https://www.773grp.com/globalSearch/UC2879DW/page-1", "UC2879DW")</f>
        <v>UC2879DW</v>
      </c>
      <c r="B19435" s="3" t="str">
        <f>HYPERLINK("https://www.773grp.com/manufacturer/texas-instruments?pageNo=762", "Texas Instruments")</f>
        <v>Texas Instruments</v>
      </c>
      <c r="C19435" s="5">
        <v>8522</v>
      </c>
      <c r="D19435" s="6">
        <v>13.5</v>
      </c>
      <c r="E19435" t="s">
        <v>6</v>
      </c>
    </row>
    <row r="19436" spans="1:5" x14ac:dyDescent="0.25">
      <c r="A19436" t="str">
        <f>HYPERLINK("https://www.773grp.com/globalSearch/UC3875DWPTR/page-1", "UC3875DWPTR")</f>
        <v>UC3875DWPTR</v>
      </c>
      <c r="B19436" s="3" t="str">
        <f>HYPERLINK("https://www.773grp.com/manufacturer/texas-instruments?pageNo=826", "Texas Instruments")</f>
        <v>Texas Instruments</v>
      </c>
      <c r="C19436" s="5">
        <v>24953</v>
      </c>
      <c r="D19436" s="6">
        <v>13.64</v>
      </c>
      <c r="E19436" t="s">
        <v>6</v>
      </c>
    </row>
    <row r="19437" spans="1:5" x14ac:dyDescent="0.25">
      <c r="A19437" t="str">
        <f>HYPERLINK("https://www.773grp.com/globalSearch/UCC2806DTR/page-1", "UCC2806DTR")</f>
        <v>UCC2806DTR</v>
      </c>
      <c r="B19437" s="3" t="str">
        <f>HYPERLINK("https://www.773grp.com/manufacturer/texas-instruments?pageNo=902", "Texas Instruments")</f>
        <v>Texas Instruments</v>
      </c>
      <c r="C19437" s="5">
        <v>42500</v>
      </c>
      <c r="D19437" s="6">
        <v>13.79</v>
      </c>
      <c r="E19437" t="s">
        <v>6</v>
      </c>
    </row>
    <row r="19438" spans="1:5" x14ac:dyDescent="0.25">
      <c r="A19438" t="str">
        <f>HYPERLINK("https://www.773grp.com/globalSearch/UCC3806DW/page-1", "UCC3806DW")</f>
        <v>UCC3806DW</v>
      </c>
      <c r="B19438" s="3" t="str">
        <f>HYPERLINK("https://www.773grp.com/manufacturer/texas-instruments?pageNo=904", "Texas Instruments")</f>
        <v>Texas Instruments</v>
      </c>
      <c r="C19438" s="5">
        <v>1348</v>
      </c>
      <c r="D19438" s="6">
        <v>13.79</v>
      </c>
      <c r="E19438" t="s">
        <v>6</v>
      </c>
    </row>
    <row r="19439" spans="1:5" x14ac:dyDescent="0.25">
      <c r="A19439" t="str">
        <f>HYPERLINK("https://www.773grp.com/globalSearch/UCC3806PW/page-1", "UCC3806PW")</f>
        <v>UCC3806PW</v>
      </c>
      <c r="B19439" s="3" t="str">
        <f>HYPERLINK("https://www.773grp.com/manufacturer/texas-instruments?pageNo=905", "Texas Instruments")</f>
        <v>Texas Instruments</v>
      </c>
      <c r="C19439" s="5">
        <v>2430</v>
      </c>
      <c r="D19439" s="6">
        <v>13.79</v>
      </c>
      <c r="E19439" t="s">
        <v>6</v>
      </c>
    </row>
    <row r="19440" spans="1:5" x14ac:dyDescent="0.25">
      <c r="A19440" t="str">
        <f>HYPERLINK("https://www.773grp.com/globalSearch/UCC3806Q/page-1", "UCC3806Q")</f>
        <v>UCC3806Q</v>
      </c>
      <c r="B19440" s="3" t="str">
        <f>HYPERLINK("https://www.773grp.com/manufacturer/texas-instruments?pageNo=906", "Texas Instruments")</f>
        <v>Texas Instruments</v>
      </c>
      <c r="C19440" s="5">
        <v>13036</v>
      </c>
      <c r="D19440" s="6">
        <v>13.79</v>
      </c>
      <c r="E19440" t="s">
        <v>6</v>
      </c>
    </row>
    <row r="19441" spans="1:5" x14ac:dyDescent="0.25">
      <c r="A19441" t="str">
        <f>HYPERLINK("https://www.773grp.com/globalSearch/UC2849DW/page-1", "UC2849DW")</f>
        <v>UC2849DW</v>
      </c>
      <c r="B19441" s="3" t="str">
        <f>HYPERLINK("https://www.773grp.com/manufacturer/texas-instruments?pageNo=980", "Texas Instruments")</f>
        <v>Texas Instruments</v>
      </c>
      <c r="C19441" s="5">
        <v>6025</v>
      </c>
      <c r="D19441" s="6">
        <v>13.93</v>
      </c>
      <c r="E19441" t="s">
        <v>6</v>
      </c>
    </row>
    <row r="19442" spans="1:5" x14ac:dyDescent="0.25">
      <c r="A19442" t="str">
        <f>HYPERLINK("https://www.773grp.com/globalSearch/UC2849DWG4/page-1", "UC2849DWG4")</f>
        <v>UC2849DWG4</v>
      </c>
      <c r="B19442" s="3" t="str">
        <f>HYPERLINK("https://www.773grp.com/manufacturer/texas-instruments?pageNo=981", "Texas Instruments")</f>
        <v>Texas Instruments</v>
      </c>
      <c r="C19442" s="5">
        <v>300</v>
      </c>
      <c r="D19442" s="6">
        <v>13.93</v>
      </c>
      <c r="E19442" t="s">
        <v>6</v>
      </c>
    </row>
    <row r="19443" spans="1:5" x14ac:dyDescent="0.25">
      <c r="A19443" t="str">
        <f>HYPERLINK("https://www.773grp.com/globalSearch/UC2849N/page-1", "UC2849N")</f>
        <v>UC2849N</v>
      </c>
      <c r="B19443" s="3" t="str">
        <f>HYPERLINK("https://www.773grp.com/manufacturer/texas-instruments?pageNo=982", "Texas Instruments")</f>
        <v>Texas Instruments</v>
      </c>
      <c r="C19443" s="5">
        <v>1058</v>
      </c>
      <c r="D19443" s="6">
        <v>13.93</v>
      </c>
      <c r="E19443" t="s">
        <v>6</v>
      </c>
    </row>
    <row r="19444" spans="1:5" x14ac:dyDescent="0.25">
      <c r="A19444" t="str">
        <f>HYPERLINK("https://www.773grp.com/globalSearch/UCC3829DW-2/page-1", "UCC3829DW-2")</f>
        <v>UCC3829DW-2</v>
      </c>
      <c r="B19444" s="3" t="s">
        <v>90</v>
      </c>
      <c r="C19444" s="5">
        <v>661</v>
      </c>
      <c r="D19444" s="6">
        <v>13.95</v>
      </c>
      <c r="E19444" t="s">
        <v>6</v>
      </c>
    </row>
    <row r="19445" spans="1:5" x14ac:dyDescent="0.25">
      <c r="A19445" t="str">
        <f>HYPERLINK("https://www.773grp.com/globalSearch/UC3879N/page-1", "UC3879N")</f>
        <v>UC3879N</v>
      </c>
      <c r="B19445" s="3" t="s">
        <v>90</v>
      </c>
      <c r="C19445" s="5">
        <v>659</v>
      </c>
      <c r="D19445" s="6">
        <v>13.98</v>
      </c>
      <c r="E19445" t="s">
        <v>6</v>
      </c>
    </row>
    <row r="19446" spans="1:5" x14ac:dyDescent="0.25">
      <c r="A19446" t="str">
        <f>HYPERLINK("https://www.773grp.com/globalSearch/TPS5450MDDAREP/page-1", "TPS5450MDDAREP")</f>
        <v>TPS5450MDDAREP</v>
      </c>
      <c r="B19446" s="3" t="s">
        <v>90</v>
      </c>
      <c r="C19446" s="5">
        <v>1370</v>
      </c>
      <c r="D19446" s="6">
        <v>14.06</v>
      </c>
      <c r="E19446" t="s">
        <v>6</v>
      </c>
    </row>
    <row r="19447" spans="1:5" x14ac:dyDescent="0.25">
      <c r="A19447" t="str">
        <f>HYPERLINK("https://www.773grp.com/globalSearch/UC1844J-883B/page-1", "UC1844J-883B")</f>
        <v>UC1844J-883B</v>
      </c>
      <c r="B19447" s="3" t="s">
        <v>90</v>
      </c>
      <c r="C19447" s="5">
        <v>17</v>
      </c>
      <c r="D19447" s="6">
        <v>14.06</v>
      </c>
      <c r="E19447" t="s">
        <v>6</v>
      </c>
    </row>
    <row r="19448" spans="1:5" x14ac:dyDescent="0.25">
      <c r="A19448" t="str">
        <f>HYPERLINK("https://www.773grp.com/globalSearch/UC2578DP/page-1", "UC2578DP")</f>
        <v>UC2578DP</v>
      </c>
      <c r="B19448" s="3" t="s">
        <v>90</v>
      </c>
      <c r="C19448" s="5">
        <v>21334</v>
      </c>
      <c r="D19448" s="6">
        <v>14.06</v>
      </c>
      <c r="E19448" t="s">
        <v>6</v>
      </c>
    </row>
    <row r="19449" spans="1:5" x14ac:dyDescent="0.25">
      <c r="A19449" t="str">
        <f>HYPERLINK("https://www.773grp.com/globalSearch/UC2578N/page-1", "UC2578N")</f>
        <v>UC2578N</v>
      </c>
      <c r="B19449" s="3" t="s">
        <v>90</v>
      </c>
      <c r="C19449" s="5">
        <v>875</v>
      </c>
      <c r="D19449" s="6">
        <v>14.06</v>
      </c>
      <c r="E19449" t="s">
        <v>6</v>
      </c>
    </row>
    <row r="19450" spans="1:5" x14ac:dyDescent="0.25">
      <c r="A19450" t="str">
        <f>HYPERLINK("https://www.773grp.com/globalSearch/UCC2884D/page-1", "UCC2884D")</f>
        <v>UCC2884D</v>
      </c>
      <c r="B19450" s="3" t="s">
        <v>90</v>
      </c>
      <c r="C19450" s="5">
        <v>393</v>
      </c>
      <c r="D19450" s="6">
        <v>14.06</v>
      </c>
      <c r="E19450" t="s">
        <v>6</v>
      </c>
    </row>
    <row r="19451" spans="1:5" x14ac:dyDescent="0.25">
      <c r="A19451" t="str">
        <f>HYPERLINK("https://www.773grp.com/globalSearch/TPS54010PWP/page-1", "TPS54010PWP")</f>
        <v>TPS54010PWP</v>
      </c>
      <c r="B19451" s="3" t="s">
        <v>90</v>
      </c>
      <c r="C19451" s="5">
        <v>21485</v>
      </c>
      <c r="D19451" s="6">
        <v>14.35</v>
      </c>
      <c r="E19451" t="s">
        <v>6</v>
      </c>
    </row>
    <row r="19452" spans="1:5" x14ac:dyDescent="0.25">
      <c r="A19452" t="str">
        <f>HYPERLINK("https://www.773grp.com/globalSearch/TPS54010PWPG4/page-1", "TPS54010PWPG4")</f>
        <v>TPS54010PWPG4</v>
      </c>
      <c r="B19452" s="3" t="s">
        <v>90</v>
      </c>
      <c r="C19452" s="5">
        <v>1</v>
      </c>
      <c r="D19452" s="6">
        <v>14.35</v>
      </c>
      <c r="E19452" t="s">
        <v>6</v>
      </c>
    </row>
    <row r="19453" spans="1:5" x14ac:dyDescent="0.25">
      <c r="A19453" t="str">
        <f>HYPERLINK("https://www.773grp.com/globalSearch/UC2874QTR-2/page-1", "UC2874QTR-2")</f>
        <v>UC2874QTR-2</v>
      </c>
      <c r="B19453" s="3" t="s">
        <v>90</v>
      </c>
      <c r="C19453" s="5">
        <v>1000</v>
      </c>
      <c r="D19453" s="6">
        <v>14.35</v>
      </c>
      <c r="E19453" t="s">
        <v>6</v>
      </c>
    </row>
    <row r="19454" spans="1:5" x14ac:dyDescent="0.25">
      <c r="A19454" t="str">
        <f>HYPERLINK("https://www.773grp.com/globalSearch/UC1842J-883B/page-1", "UC1842J-883B")</f>
        <v>UC1842J-883B</v>
      </c>
      <c r="B19454" s="3" t="s">
        <v>90</v>
      </c>
      <c r="C19454" s="5">
        <v>3</v>
      </c>
      <c r="D19454" s="6">
        <v>14.38</v>
      </c>
      <c r="E19454" t="s">
        <v>6</v>
      </c>
    </row>
    <row r="19455" spans="1:5" x14ac:dyDescent="0.25">
      <c r="A19455" t="str">
        <f>HYPERLINK("https://www.773grp.com/globalSearch/UC2864DWTR/page-1", "UC2864DWTR")</f>
        <v>UC2864DWTR</v>
      </c>
      <c r="B19455" s="3" t="s">
        <v>90</v>
      </c>
      <c r="C19455" s="5">
        <v>1000</v>
      </c>
      <c r="D19455" s="6">
        <v>14.48</v>
      </c>
      <c r="E19455" t="s">
        <v>6</v>
      </c>
    </row>
    <row r="19456" spans="1:5" x14ac:dyDescent="0.25">
      <c r="A19456" t="str">
        <f>HYPERLINK("https://www.773grp.com/globalSearch/UC2871QTR/page-1", "UC2871QTR")</f>
        <v>UC2871QTR</v>
      </c>
      <c r="B19456" s="3" t="s">
        <v>90</v>
      </c>
      <c r="C19456" s="5">
        <v>5895</v>
      </c>
      <c r="D19456" s="6">
        <v>14.63</v>
      </c>
      <c r="E19456" t="s">
        <v>6</v>
      </c>
    </row>
    <row r="19457" spans="1:5" x14ac:dyDescent="0.25">
      <c r="A19457" t="str">
        <f>HYPERLINK("https://www.773grp.com/globalSearch/UC2872QTR/page-1", "UC2872QTR")</f>
        <v>UC2872QTR</v>
      </c>
      <c r="B19457" s="3" t="s">
        <v>90</v>
      </c>
      <c r="C19457" s="5">
        <v>4000</v>
      </c>
      <c r="D19457" s="6">
        <v>14.63</v>
      </c>
      <c r="E19457" t="s">
        <v>6</v>
      </c>
    </row>
    <row r="19458" spans="1:5" x14ac:dyDescent="0.25">
      <c r="A19458" t="str">
        <f>HYPERLINK("https://www.773grp.com/globalSearch/UC3874DWTR-1/page-1", "UC3874DWTR-1")</f>
        <v>UC3874DWTR-1</v>
      </c>
      <c r="B19458" s="3" t="s">
        <v>90</v>
      </c>
      <c r="C19458" s="5">
        <v>4000</v>
      </c>
      <c r="D19458" s="6">
        <v>14.63</v>
      </c>
      <c r="E19458" t="s">
        <v>6</v>
      </c>
    </row>
    <row r="19459" spans="1:5" x14ac:dyDescent="0.25">
      <c r="A19459" t="str">
        <f>HYPERLINK("https://www.773grp.com/globalSearch/UC2879N/page-1", "UC2879N")</f>
        <v>UC2879N</v>
      </c>
      <c r="B19459" s="3" t="s">
        <v>90</v>
      </c>
      <c r="C19459" s="5">
        <v>18489</v>
      </c>
      <c r="D19459" s="6">
        <v>15.03</v>
      </c>
      <c r="E19459" t="s">
        <v>6</v>
      </c>
    </row>
    <row r="19460" spans="1:5" x14ac:dyDescent="0.25">
      <c r="A19460" t="str">
        <f>HYPERLINK("https://www.773grp.com/globalSearch/TPS5120QDBTREP/page-1", "TPS5120QDBTREP")</f>
        <v>TPS5120QDBTREP</v>
      </c>
      <c r="B19460" s="3" t="s">
        <v>90</v>
      </c>
      <c r="C19460" s="5">
        <v>1930</v>
      </c>
      <c r="D19460" s="6">
        <v>15.05</v>
      </c>
      <c r="E19460" t="s">
        <v>6</v>
      </c>
    </row>
    <row r="19461" spans="1:5" x14ac:dyDescent="0.25">
      <c r="A19461" t="str">
        <f>HYPERLINK("https://www.773grp.com/globalSearch/UCC3974PW/page-1", "UCC3974PW")</f>
        <v>UCC3974PW</v>
      </c>
      <c r="B19461" s="3" t="s">
        <v>90</v>
      </c>
      <c r="C19461" s="5">
        <v>15235</v>
      </c>
      <c r="D19461" s="6">
        <v>15.19</v>
      </c>
      <c r="E19461" t="s">
        <v>6</v>
      </c>
    </row>
    <row r="19462" spans="1:5" x14ac:dyDescent="0.25">
      <c r="A19462" t="str">
        <f>HYPERLINK("https://www.773grp.com/globalSearch/TPS56300PWP/page-1", "TPS56300PWP")</f>
        <v>TPS56300PWP</v>
      </c>
      <c r="B19462" s="3" t="s">
        <v>90</v>
      </c>
      <c r="C19462" s="5">
        <v>423</v>
      </c>
      <c r="D19462" s="6">
        <v>15.23</v>
      </c>
      <c r="E19462" t="s">
        <v>6</v>
      </c>
    </row>
    <row r="19463" spans="1:5" x14ac:dyDescent="0.25">
      <c r="A19463" t="str">
        <f>HYPERLINK("https://www.773grp.com/globalSearch/TPS56300PWPG4/page-1", "TPS56300PWPG4")</f>
        <v>TPS56300PWPG4</v>
      </c>
      <c r="B19463" s="3" t="s">
        <v>90</v>
      </c>
      <c r="C19463" s="5">
        <v>625</v>
      </c>
      <c r="D19463" s="6">
        <v>15.23</v>
      </c>
      <c r="E19463" t="s">
        <v>6</v>
      </c>
    </row>
    <row r="19464" spans="1:5" x14ac:dyDescent="0.25">
      <c r="A19464" t="str">
        <f>HYPERLINK("https://www.773grp.com/globalSearch/UC2872DW/page-1", "UC2872DW")</f>
        <v>UC2872DW</v>
      </c>
      <c r="B19464" s="3" t="s">
        <v>90</v>
      </c>
      <c r="C19464" s="5">
        <v>43</v>
      </c>
      <c r="D19464" s="6">
        <v>15.36</v>
      </c>
      <c r="E19464" t="s">
        <v>6</v>
      </c>
    </row>
    <row r="19465" spans="1:5" x14ac:dyDescent="0.25">
      <c r="A19465" t="str">
        <f>HYPERLINK("https://www.773grp.com/globalSearch/UC2872DW/page-1", "UC2872DW")</f>
        <v>UC2872DW</v>
      </c>
      <c r="B19465" s="3" t="s">
        <v>90</v>
      </c>
      <c r="C19465" s="5">
        <v>2062</v>
      </c>
      <c r="D19465" s="6">
        <v>15.36</v>
      </c>
      <c r="E19465" t="s">
        <v>6</v>
      </c>
    </row>
    <row r="19466" spans="1:5" x14ac:dyDescent="0.25">
      <c r="A19466" t="str">
        <f>HYPERLINK("https://www.773grp.com/globalSearch/UC2872Q/page-1", "UC2872Q")</f>
        <v>UC2872Q</v>
      </c>
      <c r="B19466" s="3" t="s">
        <v>90</v>
      </c>
      <c r="C19466" s="5">
        <v>6946</v>
      </c>
      <c r="D19466" s="6">
        <v>15.36</v>
      </c>
      <c r="E19466" t="s">
        <v>6</v>
      </c>
    </row>
    <row r="19467" spans="1:5" x14ac:dyDescent="0.25">
      <c r="A19467" t="str">
        <f>HYPERLINK("https://www.773grp.com/globalSearch/UCC3806N/page-1", "UCC3806N")</f>
        <v>UCC3806N</v>
      </c>
      <c r="B19467" s="3" t="s">
        <v>90</v>
      </c>
      <c r="C19467" s="5">
        <v>105</v>
      </c>
      <c r="D19467" s="6">
        <v>15.44</v>
      </c>
      <c r="E19467" t="s">
        <v>6</v>
      </c>
    </row>
    <row r="19468" spans="1:5" x14ac:dyDescent="0.25">
      <c r="A19468" t="str">
        <f>HYPERLINK("https://www.773grp.com/globalSearch/UCC3806NG4/page-1", "UCC3806NG4")</f>
        <v>UCC3806NG4</v>
      </c>
      <c r="B19468" s="3" t="s">
        <v>90</v>
      </c>
      <c r="C19468" s="5">
        <v>51</v>
      </c>
      <c r="D19468" s="6">
        <v>15.44</v>
      </c>
      <c r="E19468" t="s">
        <v>6</v>
      </c>
    </row>
    <row r="19469" spans="1:5" x14ac:dyDescent="0.25">
      <c r="A19469" t="str">
        <f>HYPERLINK("https://www.773grp.com/globalSearch/TPS54872PWP/page-1", "TPS54872PWP")</f>
        <v>TPS54872PWP</v>
      </c>
      <c r="B19469" s="3" t="s">
        <v>90</v>
      </c>
      <c r="C19469" s="5">
        <v>4157</v>
      </c>
      <c r="D19469" s="6">
        <v>15.48</v>
      </c>
      <c r="E19469" t="s">
        <v>6</v>
      </c>
    </row>
    <row r="19470" spans="1:5" x14ac:dyDescent="0.25">
      <c r="A19470" t="str">
        <f>HYPERLINK("https://www.773grp.com/globalSearch/TPS54873PWP/page-1", "TPS54873PWP")</f>
        <v>TPS54873PWP</v>
      </c>
      <c r="B19470" s="3" t="s">
        <v>90</v>
      </c>
      <c r="C19470" s="5">
        <v>3071</v>
      </c>
      <c r="D19470" s="6">
        <v>15.48</v>
      </c>
      <c r="E19470" t="s">
        <v>6</v>
      </c>
    </row>
    <row r="19471" spans="1:5" x14ac:dyDescent="0.25">
      <c r="A19471" t="str">
        <f>HYPERLINK("https://www.773grp.com/globalSearch/TPS54880PWP/page-1", "TPS54880PWP")</f>
        <v>TPS54880PWP</v>
      </c>
      <c r="B19471" s="3" t="s">
        <v>90</v>
      </c>
      <c r="C19471" s="5">
        <v>559</v>
      </c>
      <c r="D19471" s="6">
        <v>15.48</v>
      </c>
      <c r="E19471" t="s">
        <v>6</v>
      </c>
    </row>
    <row r="19472" spans="1:5" x14ac:dyDescent="0.25">
      <c r="A19472" t="str">
        <f>HYPERLINK("https://www.773grp.com/globalSearch/TPS54980PWP/page-1", "TPS54980PWP")</f>
        <v>TPS54980PWP</v>
      </c>
      <c r="B19472" s="3" t="s">
        <v>90</v>
      </c>
      <c r="C19472" s="5">
        <v>1818</v>
      </c>
      <c r="D19472" s="6">
        <v>15.48</v>
      </c>
      <c r="E19472" t="s">
        <v>6</v>
      </c>
    </row>
    <row r="19473" spans="1:5" x14ac:dyDescent="0.25">
      <c r="A19473" t="str">
        <f>HYPERLINK("https://www.773grp.com/globalSearch/UC2825BDWTR/page-1", "UC2825BDWTR")</f>
        <v>UC2825BDWTR</v>
      </c>
      <c r="B19473" s="3" t="s">
        <v>90</v>
      </c>
      <c r="C19473" s="5">
        <v>2000</v>
      </c>
      <c r="D19473" s="6">
        <v>15.48</v>
      </c>
      <c r="E19473" t="s">
        <v>6</v>
      </c>
    </row>
    <row r="19474" spans="1:5" x14ac:dyDescent="0.25">
      <c r="A19474" t="str">
        <f>HYPERLINK("https://www.773grp.com/globalSearch/UCC2885D/page-1", "UCC2885D")</f>
        <v>UCC2885D</v>
      </c>
      <c r="B19474" s="3" t="s">
        <v>90</v>
      </c>
      <c r="C19474" s="5">
        <v>1051</v>
      </c>
      <c r="D19474" s="6">
        <v>15.48</v>
      </c>
      <c r="E19474" t="s">
        <v>6</v>
      </c>
    </row>
    <row r="19475" spans="1:5" x14ac:dyDescent="0.25">
      <c r="A19475" t="str">
        <f>HYPERLINK("https://www.773grp.com/globalSearch/TL5001AMJG/page-1", "TL5001AMJG")</f>
        <v>TL5001AMJG</v>
      </c>
      <c r="B19475" s="3" t="s">
        <v>90</v>
      </c>
      <c r="C19475" s="5">
        <v>1060</v>
      </c>
      <c r="D19475" s="6">
        <v>15.53</v>
      </c>
      <c r="E19475" t="s">
        <v>6</v>
      </c>
    </row>
    <row r="19476" spans="1:5" x14ac:dyDescent="0.25">
      <c r="A19476" t="str">
        <f>HYPERLINK("https://www.773grp.com/globalSearch/UCC2972PW/page-1", "UCC2972PW")</f>
        <v>UCC2972PW</v>
      </c>
      <c r="B19476" s="3" t="s">
        <v>90</v>
      </c>
      <c r="C19476" s="5">
        <v>15300</v>
      </c>
      <c r="D19476" s="6">
        <v>15.73</v>
      </c>
      <c r="E19476" t="s">
        <v>6</v>
      </c>
    </row>
    <row r="19477" spans="1:5" x14ac:dyDescent="0.25">
      <c r="A19477" t="str">
        <f>HYPERLINK("https://www.773grp.com/globalSearch/UCC3972N/page-1", "UCC3972N")</f>
        <v>UCC3972N</v>
      </c>
      <c r="B19477" s="3" t="s">
        <v>90</v>
      </c>
      <c r="C19477" s="5">
        <v>6744</v>
      </c>
      <c r="D19477" s="6">
        <v>15.73</v>
      </c>
      <c r="E19477" t="s">
        <v>6</v>
      </c>
    </row>
    <row r="19478" spans="1:5" x14ac:dyDescent="0.25">
      <c r="A19478" t="str">
        <f>HYPERLINK("https://www.773grp.com/globalSearch/UCC3972N/page-1", "UCC3972N")</f>
        <v>UCC3972N</v>
      </c>
      <c r="B19478" s="3" t="s">
        <v>90</v>
      </c>
      <c r="C19478" s="5">
        <v>1836</v>
      </c>
      <c r="D19478" s="6">
        <v>15.73</v>
      </c>
      <c r="E19478" t="s">
        <v>6</v>
      </c>
    </row>
    <row r="19479" spans="1:5" x14ac:dyDescent="0.25">
      <c r="A19479" t="str">
        <f>HYPERLINK("https://www.773grp.com/globalSearch/UCC3972PW/page-1", "UCC3972PW")</f>
        <v>UCC3972PW</v>
      </c>
      <c r="B19479" s="3" t="s">
        <v>90</v>
      </c>
      <c r="C19479" s="5">
        <v>361</v>
      </c>
      <c r="D19479" s="6">
        <v>15.73</v>
      </c>
      <c r="E19479" t="s">
        <v>6</v>
      </c>
    </row>
    <row r="19480" spans="1:5" x14ac:dyDescent="0.25">
      <c r="A19480" t="str">
        <f>HYPERLINK("https://www.773grp.com/globalSearch/UCC3972PW/page-1", "UCC3972PW")</f>
        <v>UCC3972PW</v>
      </c>
      <c r="B19480" s="3" t="s">
        <v>90</v>
      </c>
      <c r="C19480" s="5">
        <v>1300</v>
      </c>
      <c r="D19480" s="6">
        <v>15.73</v>
      </c>
      <c r="E19480" t="s">
        <v>6</v>
      </c>
    </row>
    <row r="19481" spans="1:5" x14ac:dyDescent="0.25">
      <c r="A19481" t="str">
        <f>HYPERLINK("https://www.773grp.com/globalSearch/UCC3972PW/page-1", "UCC3972PW")</f>
        <v>UCC3972PW</v>
      </c>
      <c r="B19481" s="3" t="s">
        <v>90</v>
      </c>
      <c r="C19481" s="5">
        <v>4100</v>
      </c>
      <c r="D19481" s="6">
        <v>15.73</v>
      </c>
      <c r="E19481" t="s">
        <v>6</v>
      </c>
    </row>
    <row r="19482" spans="1:5" x14ac:dyDescent="0.25">
      <c r="A19482" t="str">
        <f>HYPERLINK("https://www.773grp.com/globalSearch/UC3841DWTR/page-1", "UC3841DWTR")</f>
        <v>UC3841DWTR</v>
      </c>
      <c r="B19482" s="3" t="s">
        <v>90</v>
      </c>
      <c r="C19482" s="5">
        <v>6000</v>
      </c>
      <c r="D19482" s="6">
        <v>15.75</v>
      </c>
      <c r="E19482" t="s">
        <v>6</v>
      </c>
    </row>
    <row r="19483" spans="1:5" x14ac:dyDescent="0.25">
      <c r="A19483" t="str">
        <f>HYPERLINK("https://www.773grp.com/globalSearch/UC2871DW/page-1", "UC2871DW")</f>
        <v>UC2871DW</v>
      </c>
      <c r="B19483" s="3" t="s">
        <v>90</v>
      </c>
      <c r="C19483" s="5">
        <v>140</v>
      </c>
      <c r="D19483" s="6">
        <v>16</v>
      </c>
      <c r="E19483" t="s">
        <v>6</v>
      </c>
    </row>
    <row r="19484" spans="1:5" x14ac:dyDescent="0.25">
      <c r="A19484" t="str">
        <f>HYPERLINK("https://www.773grp.com/globalSearch/UC2871DW/page-1", "UC2871DW")</f>
        <v>UC2871DW</v>
      </c>
      <c r="B19484" s="3" t="s">
        <v>90</v>
      </c>
      <c r="C19484" s="5">
        <v>1134</v>
      </c>
      <c r="D19484" s="6">
        <v>16</v>
      </c>
      <c r="E19484" t="s">
        <v>6</v>
      </c>
    </row>
    <row r="19485" spans="1:5" x14ac:dyDescent="0.25">
      <c r="A19485" t="str">
        <f>HYPERLINK("https://www.773grp.com/globalSearch/UC2871N/page-1", "UC2871N")</f>
        <v>UC2871N</v>
      </c>
      <c r="B19485" s="3" t="s">
        <v>90</v>
      </c>
      <c r="C19485" s="5">
        <v>2380</v>
      </c>
      <c r="D19485" s="6">
        <v>16</v>
      </c>
      <c r="E19485" t="s">
        <v>6</v>
      </c>
    </row>
    <row r="19486" spans="1:5" x14ac:dyDescent="0.25">
      <c r="A19486" t="str">
        <f>HYPERLINK("https://www.773grp.com/globalSearch/UC2871N/page-1", "UC2871N")</f>
        <v>UC2871N</v>
      </c>
      <c r="B19486" s="3" t="s">
        <v>90</v>
      </c>
      <c r="C19486" s="5">
        <v>776</v>
      </c>
      <c r="D19486" s="6">
        <v>16</v>
      </c>
      <c r="E19486" t="s">
        <v>6</v>
      </c>
    </row>
    <row r="19487" spans="1:5" x14ac:dyDescent="0.25">
      <c r="A19487" t="str">
        <f>HYPERLINK("https://www.773grp.com/globalSearch/UC3871DWTR/page-1", "UC3871DWTR")</f>
        <v>UC3871DWTR</v>
      </c>
      <c r="B19487" s="3" t="s">
        <v>90</v>
      </c>
      <c r="C19487" s="5">
        <v>12000</v>
      </c>
      <c r="D19487" s="6">
        <v>16</v>
      </c>
      <c r="E19487" t="s">
        <v>6</v>
      </c>
    </row>
    <row r="19488" spans="1:5" x14ac:dyDescent="0.25">
      <c r="A19488" t="str">
        <f>HYPERLINK("https://www.773grp.com/globalSearch/UC3871N/page-1", "UC3871N")</f>
        <v>UC3871N</v>
      </c>
      <c r="B19488" s="3" t="s">
        <v>90</v>
      </c>
      <c r="C19488" s="5">
        <v>1395</v>
      </c>
      <c r="D19488" s="6">
        <v>16</v>
      </c>
      <c r="E19488" t="s">
        <v>6</v>
      </c>
    </row>
    <row r="19489" spans="1:5" x14ac:dyDescent="0.25">
      <c r="A19489" t="str">
        <f>HYPERLINK("https://www.773grp.com/globalSearch/UC3855ADWTR/page-1", "UC3855ADWTR")</f>
        <v>UC3855ADWTR</v>
      </c>
      <c r="B19489" s="3" t="s">
        <v>90</v>
      </c>
      <c r="C19489" s="5">
        <v>2000</v>
      </c>
      <c r="D19489" s="6">
        <v>16.04</v>
      </c>
      <c r="E19489" t="s">
        <v>6</v>
      </c>
    </row>
    <row r="19490" spans="1:5" x14ac:dyDescent="0.25">
      <c r="A19490" t="str">
        <f>HYPERLINK("https://www.773grp.com/globalSearch/UCC2806D/page-1", "UCC2806D")</f>
        <v>UCC2806D</v>
      </c>
      <c r="B19490" s="3" t="s">
        <v>90</v>
      </c>
      <c r="C19490" s="5">
        <v>6842</v>
      </c>
      <c r="D19490" s="6">
        <v>16.04</v>
      </c>
      <c r="E19490" t="s">
        <v>6</v>
      </c>
    </row>
    <row r="19491" spans="1:5" x14ac:dyDescent="0.25">
      <c r="A19491" t="str">
        <f>HYPERLINK("https://www.773grp.com/globalSearch/UCC2806D/page-1", "UCC2806D")</f>
        <v>UCC2806D</v>
      </c>
      <c r="B19491" s="3" t="s">
        <v>90</v>
      </c>
      <c r="C19491" s="5">
        <v>7040</v>
      </c>
      <c r="D19491" s="6">
        <v>16.04</v>
      </c>
      <c r="E19491" t="s">
        <v>6</v>
      </c>
    </row>
    <row r="19492" spans="1:5" x14ac:dyDescent="0.25">
      <c r="A19492" t="str">
        <f>HYPERLINK("https://www.773grp.com/globalSearch/UCC2806DW/page-1", "UCC2806DW")</f>
        <v>UCC2806DW</v>
      </c>
      <c r="B19492" s="3" t="s">
        <v>90</v>
      </c>
      <c r="C19492" s="5">
        <v>2</v>
      </c>
      <c r="D19492" s="6">
        <v>16.04</v>
      </c>
      <c r="E19492" t="s">
        <v>6</v>
      </c>
    </row>
    <row r="19493" spans="1:5" x14ac:dyDescent="0.25">
      <c r="A19493" t="str">
        <f>HYPERLINK("https://www.773grp.com/globalSearch/UCC2806M/page-1", "UCC2806M")</f>
        <v>UCC2806M</v>
      </c>
      <c r="B19493" s="3" t="s">
        <v>90</v>
      </c>
      <c r="C19493" s="5">
        <v>450</v>
      </c>
      <c r="D19493" s="6">
        <v>16.04</v>
      </c>
      <c r="E19493" t="s">
        <v>6</v>
      </c>
    </row>
    <row r="19494" spans="1:5" x14ac:dyDescent="0.25">
      <c r="A19494" t="str">
        <f>HYPERLINK("https://www.773grp.com/globalSearch/UCC2806PW/page-1", "UCC2806PW")</f>
        <v>UCC2806PW</v>
      </c>
      <c r="B19494" s="3" t="s">
        <v>90</v>
      </c>
      <c r="C19494" s="5">
        <v>4153</v>
      </c>
      <c r="D19494" s="6">
        <v>16.04</v>
      </c>
      <c r="E19494" t="s">
        <v>6</v>
      </c>
    </row>
    <row r="19495" spans="1:5" x14ac:dyDescent="0.25">
      <c r="A19495" t="str">
        <f>HYPERLINK("https://www.773grp.com/globalSearch/UCC2806Q/page-1", "UCC2806Q")</f>
        <v>UCC2806Q</v>
      </c>
      <c r="B19495" s="3" t="s">
        <v>90</v>
      </c>
      <c r="C19495" s="5">
        <v>14208</v>
      </c>
      <c r="D19495" s="6">
        <v>16.04</v>
      </c>
      <c r="E19495" t="s">
        <v>6</v>
      </c>
    </row>
    <row r="19496" spans="1:5" x14ac:dyDescent="0.25">
      <c r="A19496" t="str">
        <f>HYPERLINK("https://www.773grp.com/globalSearch/TPS54974PWP/page-1", "TPS54974PWP")</f>
        <v>TPS54974PWP</v>
      </c>
      <c r="B19496" s="3" t="s">
        <v>90</v>
      </c>
      <c r="C19496" s="5">
        <v>12900</v>
      </c>
      <c r="D19496" s="6">
        <v>16.2</v>
      </c>
      <c r="E19496" t="s">
        <v>6</v>
      </c>
    </row>
    <row r="19497" spans="1:5" x14ac:dyDescent="0.25">
      <c r="A19497" t="str">
        <f>HYPERLINK("https://www.773grp.com/globalSearch/UC1524AJ/page-1", "UC1524AJ")</f>
        <v>UC1524AJ</v>
      </c>
      <c r="B19497" s="3" t="s">
        <v>90</v>
      </c>
      <c r="C19497" s="5">
        <v>13</v>
      </c>
      <c r="D19497" s="6">
        <v>16.2</v>
      </c>
      <c r="E19497" t="s">
        <v>6</v>
      </c>
    </row>
    <row r="19498" spans="1:5" x14ac:dyDescent="0.25">
      <c r="A19498" t="str">
        <f>HYPERLINK("https://www.773grp.com/globalSearch/UC3874N-1/page-1", "UC3874N-1")</f>
        <v>UC3874N-1</v>
      </c>
      <c r="B19498" s="3" t="s">
        <v>90</v>
      </c>
      <c r="C19498" s="5">
        <v>6660</v>
      </c>
      <c r="D19498" s="6">
        <v>16.309999999999999</v>
      </c>
      <c r="E19498" t="s">
        <v>6</v>
      </c>
    </row>
    <row r="19499" spans="1:5" x14ac:dyDescent="0.25">
      <c r="A19499" t="str">
        <f>HYPERLINK("https://www.773grp.com/globalSearch/UC3875QP/page-1", "UC3875QP")</f>
        <v>UC3875QP</v>
      </c>
      <c r="B19499" s="3" t="s">
        <v>90</v>
      </c>
      <c r="C19499" s="5">
        <v>2275</v>
      </c>
      <c r="D19499" s="6">
        <v>16.309999999999999</v>
      </c>
      <c r="E19499" t="s">
        <v>6</v>
      </c>
    </row>
    <row r="19500" spans="1:5" x14ac:dyDescent="0.25">
      <c r="A19500" t="str">
        <f>HYPERLINK("https://www.773grp.com/globalSearch/TL5001AMJGB/page-1", "TL5001AMJGB")</f>
        <v>TL5001AMJGB</v>
      </c>
      <c r="B19500" s="3" t="s">
        <v>90</v>
      </c>
      <c r="C19500" s="5">
        <v>85</v>
      </c>
      <c r="D19500" s="6">
        <v>16.43</v>
      </c>
      <c r="E19500" t="s">
        <v>6</v>
      </c>
    </row>
    <row r="19501" spans="1:5" x14ac:dyDescent="0.25">
      <c r="A19501" t="str">
        <f>HYPERLINK("https://www.773grp.com/globalSearch/UCD9248PFC/page-1", "UCD9248PFC")</f>
        <v>UCD9248PFC</v>
      </c>
      <c r="B19501" s="3" t="s">
        <v>90</v>
      </c>
      <c r="C19501" s="5">
        <v>62</v>
      </c>
      <c r="D19501" s="6">
        <v>16.45</v>
      </c>
      <c r="E19501" t="s">
        <v>6</v>
      </c>
    </row>
    <row r="19502" spans="1:5" x14ac:dyDescent="0.25">
      <c r="A19502" t="str">
        <f>HYPERLINK("https://www.773grp.com/globalSearch/UCC3305DWTR/page-1", "UCC3305DWTR")</f>
        <v>UCC3305DWTR</v>
      </c>
      <c r="B19502" s="3" t="s">
        <v>90</v>
      </c>
      <c r="C19502" s="5">
        <v>6000</v>
      </c>
      <c r="D19502" s="6">
        <v>16.59</v>
      </c>
      <c r="E19502" t="s">
        <v>6</v>
      </c>
    </row>
    <row r="19503" spans="1:5" x14ac:dyDescent="0.25">
      <c r="A19503" t="str">
        <f>HYPERLINK("https://www.773grp.com/globalSearch/UC2824Q/page-1", "UC2824Q")</f>
        <v>UC2824Q</v>
      </c>
      <c r="B19503" s="3" t="s">
        <v>90</v>
      </c>
      <c r="C19503" s="5">
        <v>1380</v>
      </c>
      <c r="D19503" s="6">
        <v>16.739999999999998</v>
      </c>
      <c r="E19503" t="s">
        <v>6</v>
      </c>
    </row>
    <row r="19504" spans="1:5" x14ac:dyDescent="0.25">
      <c r="A19504" t="str">
        <f>HYPERLINK("https://www.773grp.com/globalSearch/UC1845J/page-1", "UC1845J")</f>
        <v>UC1845J</v>
      </c>
      <c r="B19504" s="3" t="s">
        <v>90</v>
      </c>
      <c r="C19504" s="5">
        <v>9</v>
      </c>
      <c r="D19504" s="6">
        <v>16.88</v>
      </c>
      <c r="E19504" t="s">
        <v>6</v>
      </c>
    </row>
    <row r="19505" spans="1:5" x14ac:dyDescent="0.25">
      <c r="A19505" t="str">
        <f>HYPERLINK("https://www.773grp.com/globalSearch/UC3874DW-1/page-1", "UC3874DW-1")</f>
        <v>UC3874DW-1</v>
      </c>
      <c r="B19505" s="3" t="s">
        <v>90</v>
      </c>
      <c r="C19505" s="5">
        <v>2280</v>
      </c>
      <c r="D19505" s="6">
        <v>16.989999999999998</v>
      </c>
      <c r="E19505" t="s">
        <v>6</v>
      </c>
    </row>
    <row r="19506" spans="1:5" x14ac:dyDescent="0.25">
      <c r="A19506" t="str">
        <f>HYPERLINK("https://www.773grp.com/globalSearch/UC3874DW-1/page-1", "UC3874DW-1")</f>
        <v>UC3874DW-1</v>
      </c>
      <c r="B19506" s="3" t="s">
        <v>90</v>
      </c>
      <c r="C19506" s="5">
        <v>1134</v>
      </c>
      <c r="D19506" s="6">
        <v>16.989999999999998</v>
      </c>
      <c r="E19506" t="s">
        <v>6</v>
      </c>
    </row>
    <row r="19507" spans="1:5" x14ac:dyDescent="0.25">
      <c r="A19507" t="str">
        <f>HYPERLINK("https://www.773grp.com/globalSearch/UC3874DW-1/page-1", "UC3874DW-1")</f>
        <v>UC3874DW-1</v>
      </c>
      <c r="B19507" s="3" t="s">
        <v>90</v>
      </c>
      <c r="C19507" s="5">
        <v>15</v>
      </c>
      <c r="D19507" s="6">
        <v>16.989999999999998</v>
      </c>
      <c r="E19507" t="s">
        <v>6</v>
      </c>
    </row>
    <row r="19508" spans="1:5" x14ac:dyDescent="0.25">
      <c r="A19508" t="str">
        <f>HYPERLINK("https://www.773grp.com/globalSearch/UC3874DW-2/page-1", "UC3874DW-2")</f>
        <v>UC3874DW-2</v>
      </c>
      <c r="B19508" s="3" t="s">
        <v>90</v>
      </c>
      <c r="C19508" s="5">
        <v>1560</v>
      </c>
      <c r="D19508" s="6">
        <v>16.989999999999998</v>
      </c>
      <c r="E19508" t="s">
        <v>6</v>
      </c>
    </row>
    <row r="19509" spans="1:5" x14ac:dyDescent="0.25">
      <c r="A19509" t="str">
        <f>HYPERLINK("https://www.773grp.com/globalSearch/UC3874DW-2/page-1", "UC3874DW-2")</f>
        <v>UC3874DW-2</v>
      </c>
      <c r="B19509" s="3" t="s">
        <v>90</v>
      </c>
      <c r="C19509" s="5">
        <v>475</v>
      </c>
      <c r="D19509" s="6">
        <v>16.989999999999998</v>
      </c>
      <c r="E19509" t="s">
        <v>6</v>
      </c>
    </row>
    <row r="19510" spans="1:5" x14ac:dyDescent="0.25">
      <c r="A19510" t="str">
        <f>HYPERLINK("https://www.773grp.com/globalSearch/UC3874N-2/page-1", "UC3874N-2")</f>
        <v>UC3874N-2</v>
      </c>
      <c r="B19510" s="3" t="s">
        <v>90</v>
      </c>
      <c r="C19510" s="5">
        <v>13700</v>
      </c>
      <c r="D19510" s="6">
        <v>16.989999999999998</v>
      </c>
      <c r="E19510" t="s">
        <v>6</v>
      </c>
    </row>
    <row r="19511" spans="1:5" x14ac:dyDescent="0.25">
      <c r="A19511" t="str">
        <f>HYPERLINK("https://www.773grp.com/globalSearch/TPS5120MDBTREP/page-1", "TPS5120MDBTREP")</f>
        <v>TPS5120MDBTREP</v>
      </c>
      <c r="B19511" s="3" t="s">
        <v>90</v>
      </c>
      <c r="C19511" s="5">
        <v>2000</v>
      </c>
      <c r="D19511" s="6">
        <v>17.3</v>
      </c>
      <c r="E19511" t="s">
        <v>6</v>
      </c>
    </row>
    <row r="19512" spans="1:5" x14ac:dyDescent="0.25">
      <c r="A19512" t="str">
        <f>HYPERLINK("https://www.773grp.com/globalSearch/UC3526AJ/page-1", "UC3526AJ")</f>
        <v>UC3526AJ</v>
      </c>
      <c r="B19512" s="3" t="s">
        <v>90</v>
      </c>
      <c r="C19512" s="5">
        <v>139</v>
      </c>
      <c r="D19512" s="6">
        <v>17.41</v>
      </c>
      <c r="E19512" t="s">
        <v>6</v>
      </c>
    </row>
    <row r="19513" spans="1:5" x14ac:dyDescent="0.25">
      <c r="A19513" t="str">
        <f>HYPERLINK("https://www.773grp.com/globalSearch/UC3841DW/page-1", "UC3841DW")</f>
        <v>UC3841DW</v>
      </c>
      <c r="B19513" s="3" t="s">
        <v>90</v>
      </c>
      <c r="C19513" s="5">
        <v>14960</v>
      </c>
      <c r="D19513" s="6">
        <v>17.440000000000001</v>
      </c>
      <c r="E19513" t="s">
        <v>6</v>
      </c>
    </row>
    <row r="19514" spans="1:5" x14ac:dyDescent="0.25">
      <c r="A19514" t="str">
        <f>HYPERLINK("https://www.773grp.com/globalSearch/TL1451AMJ/page-1", "TL1451AMJ")</f>
        <v>TL1451AMJ</v>
      </c>
      <c r="B19514" s="3" t="s">
        <v>90</v>
      </c>
      <c r="C19514" s="5">
        <v>1591</v>
      </c>
      <c r="D19514" s="6">
        <v>17.64</v>
      </c>
      <c r="E19514" t="s">
        <v>6</v>
      </c>
    </row>
    <row r="19515" spans="1:5" x14ac:dyDescent="0.25">
      <c r="A19515" t="str">
        <f>HYPERLINK("https://www.773grp.com/globalSearch/UC2874DW-1/page-1", "UC2874DW-1")</f>
        <v>UC2874DW-1</v>
      </c>
      <c r="B19515" s="3" t="s">
        <v>90</v>
      </c>
      <c r="C19515" s="5">
        <v>2760</v>
      </c>
      <c r="D19515" s="6">
        <v>17.66</v>
      </c>
      <c r="E19515" t="s">
        <v>6</v>
      </c>
    </row>
    <row r="19516" spans="1:5" x14ac:dyDescent="0.25">
      <c r="A19516" t="str">
        <f>HYPERLINK("https://www.773grp.com/globalSearch/UC2874DW-2/page-1", "UC2874DW-2")</f>
        <v>UC2874DW-2</v>
      </c>
      <c r="B19516" s="3" t="s">
        <v>90</v>
      </c>
      <c r="C19516" s="5">
        <v>5812</v>
      </c>
      <c r="D19516" s="6">
        <v>17.66</v>
      </c>
      <c r="E19516" t="s">
        <v>6</v>
      </c>
    </row>
    <row r="19517" spans="1:5" x14ac:dyDescent="0.25">
      <c r="A19517" t="str">
        <f>HYPERLINK("https://www.773grp.com/globalSearch/UC2874N-1/page-1", "UC2874N-1")</f>
        <v>UC2874N-1</v>
      </c>
      <c r="B19517" s="3" t="s">
        <v>90</v>
      </c>
      <c r="C19517" s="5">
        <v>4640</v>
      </c>
      <c r="D19517" s="6">
        <v>17.66</v>
      </c>
      <c r="E19517" t="s">
        <v>6</v>
      </c>
    </row>
    <row r="19518" spans="1:5" x14ac:dyDescent="0.25">
      <c r="A19518" t="str">
        <f>HYPERLINK("https://www.773grp.com/globalSearch/UC2874N-2/page-1", "UC2874N-2")</f>
        <v>UC2874N-2</v>
      </c>
      <c r="B19518" s="3" t="s">
        <v>90</v>
      </c>
      <c r="C19518" s="5">
        <v>4687</v>
      </c>
      <c r="D19518" s="6">
        <v>17.66</v>
      </c>
      <c r="E19518" t="s">
        <v>6</v>
      </c>
    </row>
    <row r="19519" spans="1:5" x14ac:dyDescent="0.25">
      <c r="A19519" t="str">
        <f>HYPERLINK("https://www.773grp.com/globalSearch/UC2875DWP/page-1", "UC2875DWP")</f>
        <v>UC2875DWP</v>
      </c>
      <c r="B19519" s="3" t="s">
        <v>90</v>
      </c>
      <c r="C19519" s="5">
        <v>7454</v>
      </c>
      <c r="D19519" s="6">
        <v>17.73</v>
      </c>
      <c r="E19519" t="s">
        <v>6</v>
      </c>
    </row>
    <row r="19520" spans="1:5" x14ac:dyDescent="0.25">
      <c r="A19520" t="str">
        <f>HYPERLINK("https://www.773grp.com/globalSearch/UC2875QP/page-1", "UC2875QP")</f>
        <v>UC2875QP</v>
      </c>
      <c r="B19520" s="3" t="s">
        <v>90</v>
      </c>
      <c r="C19520" s="5">
        <v>2849</v>
      </c>
      <c r="D19520" s="6">
        <v>17.73</v>
      </c>
      <c r="E19520" t="s">
        <v>6</v>
      </c>
    </row>
    <row r="19521" spans="1:5" x14ac:dyDescent="0.25">
      <c r="A19521" t="str">
        <f>HYPERLINK("https://www.773grp.com/globalSearch/UCC2806N/page-1", "UCC2806N")</f>
        <v>UCC2806N</v>
      </c>
      <c r="B19521" s="3" t="s">
        <v>90</v>
      </c>
      <c r="C19521" s="5">
        <v>5000</v>
      </c>
      <c r="D19521" s="6">
        <v>17.75</v>
      </c>
      <c r="E19521" t="s">
        <v>6</v>
      </c>
    </row>
    <row r="19522" spans="1:5" x14ac:dyDescent="0.25">
      <c r="A19522" t="str">
        <f>HYPERLINK("https://www.773grp.com/globalSearch/UC3825BDW/page-1", "UC3825BDW")</f>
        <v>UC3825BDW</v>
      </c>
      <c r="B19522" s="3" t="s">
        <v>90</v>
      </c>
      <c r="C19522" s="5">
        <v>7110</v>
      </c>
      <c r="D19522" s="6">
        <v>17.940000000000001</v>
      </c>
      <c r="E19522" t="s">
        <v>6</v>
      </c>
    </row>
    <row r="19523" spans="1:5" x14ac:dyDescent="0.25">
      <c r="A19523" t="str">
        <f>HYPERLINK("https://www.773grp.com/globalSearch/TPS54613MPWPREP/page-1", "TPS54613MPWPREP")</f>
        <v>TPS54613MPWPREP</v>
      </c>
      <c r="B19523" s="3" t="s">
        <v>90</v>
      </c>
      <c r="C19523" s="5">
        <v>2000</v>
      </c>
      <c r="D19523" s="6">
        <v>18</v>
      </c>
      <c r="E19523" t="s">
        <v>6</v>
      </c>
    </row>
    <row r="19524" spans="1:5" x14ac:dyDescent="0.25">
      <c r="A19524" t="str">
        <f>HYPERLINK("https://www.773grp.com/globalSearch/UC3823ADWTR/page-1", "UC3823ADWTR")</f>
        <v>UC3823ADWTR</v>
      </c>
      <c r="B19524" s="3" t="s">
        <v>90</v>
      </c>
      <c r="C19524" s="5">
        <v>16000</v>
      </c>
      <c r="D19524" s="6">
        <v>18.03</v>
      </c>
      <c r="E19524" t="s">
        <v>6</v>
      </c>
    </row>
    <row r="19525" spans="1:5" x14ac:dyDescent="0.25">
      <c r="A19525" t="str">
        <f>HYPERLINK("https://www.773grp.com/globalSearch/UC2524AJ/page-1", "UC2524AJ")</f>
        <v>UC2524AJ</v>
      </c>
      <c r="B19525" s="3" t="s">
        <v>90</v>
      </c>
      <c r="C19525" s="5">
        <v>139</v>
      </c>
      <c r="D19525" s="6">
        <v>18.11</v>
      </c>
      <c r="E19525" t="s">
        <v>6</v>
      </c>
    </row>
    <row r="19526" spans="1:5" x14ac:dyDescent="0.25">
      <c r="A19526" t="str">
        <f>HYPERLINK("https://www.773grp.com/globalSearch/UC3875N/page-1", "UC3875N")</f>
        <v>UC3875N</v>
      </c>
      <c r="B19526" s="3" t="s">
        <v>90</v>
      </c>
      <c r="C19526" s="5">
        <v>2508</v>
      </c>
      <c r="D19526" s="6">
        <v>18.34</v>
      </c>
      <c r="E19526" t="s">
        <v>6</v>
      </c>
    </row>
    <row r="19527" spans="1:5" x14ac:dyDescent="0.25">
      <c r="A19527" t="str">
        <f>HYPERLINK("https://www.773grp.com/globalSearch/UC2825BDW/page-1", "UC2825BDW")</f>
        <v>UC2825BDW</v>
      </c>
      <c r="B19527" s="3" t="s">
        <v>90</v>
      </c>
      <c r="C19527" s="5">
        <v>6129</v>
      </c>
      <c r="D19527" s="6">
        <v>18.649999999999999</v>
      </c>
      <c r="E19527" t="s">
        <v>6</v>
      </c>
    </row>
    <row r="19528" spans="1:5" x14ac:dyDescent="0.25">
      <c r="A19528" t="str">
        <f>HYPERLINK("https://www.773grp.com/globalSearch/UC2825BDWG4/page-1", "UC2825BDWG4")</f>
        <v>UC2825BDWG4</v>
      </c>
      <c r="B19528" s="3" t="s">
        <v>90</v>
      </c>
      <c r="C19528" s="5">
        <v>15</v>
      </c>
      <c r="D19528" s="6">
        <v>18.649999999999999</v>
      </c>
      <c r="E19528" t="s">
        <v>6</v>
      </c>
    </row>
    <row r="19529" spans="1:5" x14ac:dyDescent="0.25">
      <c r="A19529" t="str">
        <f>HYPERLINK("https://www.773grp.com/globalSearch/TPS54073PWPR/page-1", "TPS54073PWPR")</f>
        <v>TPS54073PWPR</v>
      </c>
      <c r="B19529" s="3" t="s">
        <v>90</v>
      </c>
      <c r="C19529" s="5">
        <v>6000</v>
      </c>
      <c r="D19529" s="6">
        <v>18.7</v>
      </c>
      <c r="E19529" t="s">
        <v>6</v>
      </c>
    </row>
    <row r="19530" spans="1:5" x14ac:dyDescent="0.25">
      <c r="A19530" t="str">
        <f>HYPERLINK("https://www.773grp.com/globalSearch/UC3871DW/page-1", "UC3871DW")</f>
        <v>UC3871DW</v>
      </c>
      <c r="B19530" s="3" t="s">
        <v>90</v>
      </c>
      <c r="C19530" s="5">
        <v>5941</v>
      </c>
      <c r="D19530" s="6">
        <v>18.899999999999999</v>
      </c>
      <c r="E19530" t="s">
        <v>6</v>
      </c>
    </row>
    <row r="19531" spans="1:5" x14ac:dyDescent="0.25">
      <c r="A19531" t="str">
        <f>HYPERLINK("https://www.773grp.com/globalSearch/TL1451AMFKB/page-1", "TL1451AMFKB")</f>
        <v>TL1451AMFKB</v>
      </c>
      <c r="B19531" s="3" t="s">
        <v>90</v>
      </c>
      <c r="C19531" s="5">
        <v>510</v>
      </c>
      <c r="D19531" s="6">
        <v>19.079999999999998</v>
      </c>
      <c r="E19531" t="s">
        <v>6</v>
      </c>
    </row>
    <row r="19532" spans="1:5" x14ac:dyDescent="0.25">
      <c r="A19532" t="str">
        <f>HYPERLINK("https://www.773grp.com/globalSearch/UC2855BDWTR/page-1", "UC2855BDWTR")</f>
        <v>UC2855BDWTR</v>
      </c>
      <c r="B19532" s="3" t="s">
        <v>90</v>
      </c>
      <c r="C19532" s="5">
        <v>20685</v>
      </c>
      <c r="D19532" s="6">
        <v>19.28</v>
      </c>
      <c r="E19532" t="s">
        <v>6</v>
      </c>
    </row>
    <row r="19533" spans="1:5" x14ac:dyDescent="0.25">
      <c r="A19533" t="str">
        <f>HYPERLINK("https://www.773grp.com/globalSearch/UC2875SDWREP/page-1", "UC2875SDWREP")</f>
        <v>UC2875SDWREP</v>
      </c>
      <c r="B19533" s="3" t="s">
        <v>90</v>
      </c>
      <c r="C19533" s="5">
        <v>800</v>
      </c>
      <c r="D19533" s="6">
        <v>19.28</v>
      </c>
      <c r="E19533" t="s">
        <v>6</v>
      </c>
    </row>
    <row r="19534" spans="1:5" x14ac:dyDescent="0.25">
      <c r="A19534" t="str">
        <f>HYPERLINK("https://www.773grp.com/globalSearch/UC3855ADW/page-1", "UC3855ADW")</f>
        <v>UC3855ADW</v>
      </c>
      <c r="B19534" s="3" t="s">
        <v>90</v>
      </c>
      <c r="C19534" s="5">
        <v>16505</v>
      </c>
      <c r="D19534" s="6">
        <v>19.28</v>
      </c>
      <c r="E19534" t="s">
        <v>6</v>
      </c>
    </row>
    <row r="19535" spans="1:5" x14ac:dyDescent="0.25">
      <c r="A19535" t="str">
        <f>HYPERLINK("https://www.773grp.com/globalSearch/UC2875N/page-1", "UC2875N")</f>
        <v>UC2875N</v>
      </c>
      <c r="B19535" s="3" t="s">
        <v>90</v>
      </c>
      <c r="C19535" s="5">
        <v>8370</v>
      </c>
      <c r="D19535" s="6">
        <v>19.690000000000001</v>
      </c>
      <c r="E19535" t="s">
        <v>6</v>
      </c>
    </row>
    <row r="19536" spans="1:5" x14ac:dyDescent="0.25">
      <c r="A19536" t="str">
        <f>HYPERLINK("https://www.773grp.com/globalSearch/UC2875NG4/page-1", "UC2875NG4")</f>
        <v>UC2875NG4</v>
      </c>
      <c r="B19536" s="3" t="s">
        <v>90</v>
      </c>
      <c r="C19536" s="5">
        <v>800</v>
      </c>
      <c r="D19536" s="6">
        <v>19.690000000000001</v>
      </c>
      <c r="E19536" t="s">
        <v>6</v>
      </c>
    </row>
    <row r="19537" spans="1:5" x14ac:dyDescent="0.25">
      <c r="A19537" t="str">
        <f>HYPERLINK("https://www.773grp.com/globalSearch/UC3825BN/page-1", "UC3825BN")</f>
        <v>UC3825BN</v>
      </c>
      <c r="B19537" s="3" t="s">
        <v>90</v>
      </c>
      <c r="C19537" s="5">
        <v>19</v>
      </c>
      <c r="D19537" s="6">
        <v>20.09</v>
      </c>
      <c r="E19537" t="s">
        <v>6</v>
      </c>
    </row>
    <row r="19538" spans="1:5" x14ac:dyDescent="0.25">
      <c r="A19538" t="str">
        <f>HYPERLINK("https://www.773grp.com/globalSearch/UC3825BN/page-1", "UC3825BN")</f>
        <v>UC3825BN</v>
      </c>
      <c r="B19538" s="3" t="s">
        <v>90</v>
      </c>
      <c r="C19538" s="5">
        <v>25</v>
      </c>
      <c r="D19538" s="6">
        <v>20.09</v>
      </c>
      <c r="E19538" t="s">
        <v>6</v>
      </c>
    </row>
    <row r="19539" spans="1:5" x14ac:dyDescent="0.25">
      <c r="A19539" t="str">
        <f>HYPERLINK("https://www.773grp.com/globalSearch/UC3825BN/page-1", "UC3825BN")</f>
        <v>UC3825BN</v>
      </c>
      <c r="B19539" s="3" t="s">
        <v>90</v>
      </c>
      <c r="C19539" s="5">
        <v>336</v>
      </c>
      <c r="D19539" s="6">
        <v>20.09</v>
      </c>
      <c r="E19539" t="s">
        <v>6</v>
      </c>
    </row>
    <row r="19540" spans="1:5" x14ac:dyDescent="0.25">
      <c r="A19540" t="str">
        <f>HYPERLINK("https://www.773grp.com/globalSearch/UC3841N/page-1", "UC3841N")</f>
        <v>UC3841N</v>
      </c>
      <c r="B19540" s="3" t="s">
        <v>90</v>
      </c>
      <c r="C19540" s="5">
        <v>8160</v>
      </c>
      <c r="D19540" s="6">
        <v>20.25</v>
      </c>
      <c r="E19540" t="s">
        <v>6</v>
      </c>
    </row>
    <row r="19541" spans="1:5" x14ac:dyDescent="0.25">
      <c r="A19541" t="str">
        <f>HYPERLINK("https://www.773grp.com/globalSearch/UC3841N/page-1", "UC3841N")</f>
        <v>UC3841N</v>
      </c>
      <c r="B19541" s="3" t="s">
        <v>90</v>
      </c>
      <c r="C19541" s="5">
        <v>19</v>
      </c>
      <c r="D19541" s="6">
        <v>20.25</v>
      </c>
      <c r="E19541" t="s">
        <v>6</v>
      </c>
    </row>
    <row r="19542" spans="1:5" x14ac:dyDescent="0.25">
      <c r="A19542" t="str">
        <f>HYPERLINK("https://www.773grp.com/globalSearch/UC2525AJ/page-1", "UC2525AJ")</f>
        <v>UC2525AJ</v>
      </c>
      <c r="B19542" s="3" t="s">
        <v>90</v>
      </c>
      <c r="C19542" s="5">
        <v>44</v>
      </c>
      <c r="D19542" s="6">
        <v>20.7</v>
      </c>
      <c r="E19542" t="s">
        <v>6</v>
      </c>
    </row>
    <row r="19543" spans="1:5" x14ac:dyDescent="0.25">
      <c r="A19543" t="str">
        <f>HYPERLINK("https://www.773grp.com/globalSearch/UC2825BN/page-1", "UC2825BN")</f>
        <v>UC2825BN</v>
      </c>
      <c r="B19543" s="3" t="s">
        <v>90</v>
      </c>
      <c r="C19543" s="5">
        <v>25</v>
      </c>
      <c r="D19543" s="6">
        <v>20.81</v>
      </c>
      <c r="E19543" t="s">
        <v>6</v>
      </c>
    </row>
    <row r="19544" spans="1:5" x14ac:dyDescent="0.25">
      <c r="A19544" t="str">
        <f>HYPERLINK("https://www.773grp.com/globalSearch/UC2825BN/page-1", "UC2825BN")</f>
        <v>UC2825BN</v>
      </c>
      <c r="B19544" s="3" t="s">
        <v>90</v>
      </c>
      <c r="C19544" s="5">
        <v>452</v>
      </c>
      <c r="D19544" s="6">
        <v>20.81</v>
      </c>
      <c r="E19544" t="s">
        <v>6</v>
      </c>
    </row>
    <row r="19545" spans="1:5" x14ac:dyDescent="0.25">
      <c r="A19545" t="str">
        <f>HYPERLINK("https://www.773grp.com/globalSearch/UC2841DW/page-1", "UC2841DW")</f>
        <v>UC2841DW</v>
      </c>
      <c r="B19545" s="3" t="s">
        <v>90</v>
      </c>
      <c r="C19545" s="5">
        <v>3217</v>
      </c>
      <c r="D19545" s="6">
        <v>20.96</v>
      </c>
      <c r="E19545" t="s">
        <v>6</v>
      </c>
    </row>
    <row r="19546" spans="1:5" x14ac:dyDescent="0.25">
      <c r="A19546" t="str">
        <f>HYPERLINK("https://www.773grp.com/globalSearch/UC2841DW/page-1", "UC2841DW")</f>
        <v>UC2841DW</v>
      </c>
      <c r="B19546" s="3" t="s">
        <v>90</v>
      </c>
      <c r="C19546" s="5">
        <v>3702</v>
      </c>
      <c r="D19546" s="6">
        <v>20.96</v>
      </c>
      <c r="E19546" t="s">
        <v>6</v>
      </c>
    </row>
    <row r="19547" spans="1:5" x14ac:dyDescent="0.25">
      <c r="A19547" t="str">
        <f>HYPERLINK("https://www.773grp.com/globalSearch/UC1525BJ/page-1", "UC1525BJ")</f>
        <v>UC1525BJ</v>
      </c>
      <c r="B19547" s="3" t="s">
        <v>90</v>
      </c>
      <c r="C19547" s="5">
        <v>10</v>
      </c>
      <c r="D19547" s="6">
        <v>21.26</v>
      </c>
      <c r="E19547" t="s">
        <v>6</v>
      </c>
    </row>
    <row r="19548" spans="1:5" x14ac:dyDescent="0.25">
      <c r="A19548" t="str">
        <f>HYPERLINK("https://www.773grp.com/globalSearch/UC3855AN/page-1", "UC3855AN")</f>
        <v>UC3855AN</v>
      </c>
      <c r="B19548" s="3" t="s">
        <v>90</v>
      </c>
      <c r="C19548" s="5">
        <v>1466</v>
      </c>
      <c r="D19548" s="6">
        <v>21.65</v>
      </c>
      <c r="E19548" t="s">
        <v>6</v>
      </c>
    </row>
    <row r="19549" spans="1:5" x14ac:dyDescent="0.25">
      <c r="A19549" t="str">
        <f>HYPERLINK("https://www.773grp.com/globalSearch/UC3855BN/page-1", "UC3855BN")</f>
        <v>UC3855BN</v>
      </c>
      <c r="B19549" s="3" t="s">
        <v>90</v>
      </c>
      <c r="C19549" s="5">
        <v>1802</v>
      </c>
      <c r="D19549" s="6">
        <v>21.65</v>
      </c>
      <c r="E19549" t="s">
        <v>6</v>
      </c>
    </row>
    <row r="19550" spans="1:5" x14ac:dyDescent="0.25">
      <c r="A19550" t="str">
        <f>HYPERLINK("https://www.773grp.com/globalSearch/UC1844L/page-1", "UC1844L")</f>
        <v>UC1844L</v>
      </c>
      <c r="B19550" s="3" t="s">
        <v>90</v>
      </c>
      <c r="C19550" s="5">
        <v>84</v>
      </c>
      <c r="D19550" s="6">
        <v>21.8</v>
      </c>
      <c r="E19550" t="s">
        <v>6</v>
      </c>
    </row>
    <row r="19551" spans="1:5" x14ac:dyDescent="0.25">
      <c r="A19551" t="str">
        <f>HYPERLINK("https://www.773grp.com/globalSearch/UC1527AJ/page-1", "UC1527AJ")</f>
        <v>UC1527AJ</v>
      </c>
      <c r="B19551" s="3" t="s">
        <v>90</v>
      </c>
      <c r="C19551" s="5">
        <v>6</v>
      </c>
      <c r="D19551" s="6">
        <v>21.99</v>
      </c>
      <c r="E19551" t="s">
        <v>6</v>
      </c>
    </row>
    <row r="19552" spans="1:5" x14ac:dyDescent="0.25">
      <c r="A19552" t="str">
        <f>HYPERLINK("https://www.773grp.com/globalSearch/PT5103H/page-1", "PT5103H")</f>
        <v>PT5103H</v>
      </c>
      <c r="B19552" s="3" t="s">
        <v>90</v>
      </c>
      <c r="C19552" s="5">
        <v>80</v>
      </c>
      <c r="D19552" s="6">
        <v>22.08</v>
      </c>
      <c r="E19552" t="s">
        <v>6</v>
      </c>
    </row>
    <row r="19553" spans="1:5" x14ac:dyDescent="0.25">
      <c r="A19553" t="str">
        <f>HYPERLINK("https://www.773grp.com/globalSearch/UC3877DWPTR/page-1", "UC3877DWPTR")</f>
        <v>UC3877DWPTR</v>
      </c>
      <c r="B19553" s="3" t="s">
        <v>90</v>
      </c>
      <c r="C19553" s="5">
        <v>994</v>
      </c>
      <c r="D19553" s="6">
        <v>22.08</v>
      </c>
      <c r="E19553" t="s">
        <v>6</v>
      </c>
    </row>
    <row r="19554" spans="1:5" x14ac:dyDescent="0.25">
      <c r="A19554" t="str">
        <f>HYPERLINK("https://www.773grp.com/globalSearch/UC3877N/page-1", "UC3877N")</f>
        <v>UC3877N</v>
      </c>
      <c r="B19554" s="3" t="s">
        <v>90</v>
      </c>
      <c r="C19554" s="5">
        <v>92</v>
      </c>
      <c r="D19554" s="6">
        <v>22.08</v>
      </c>
      <c r="E19554" t="s">
        <v>6</v>
      </c>
    </row>
    <row r="19555" spans="1:5" x14ac:dyDescent="0.25">
      <c r="A19555" t="str">
        <f>HYPERLINK("https://www.773grp.com/globalSearch/UC2823AQ/page-1", "UC2823AQ")</f>
        <v>UC2823AQ</v>
      </c>
      <c r="B19555" s="3" t="s">
        <v>90</v>
      </c>
      <c r="C19555" s="5">
        <v>2990</v>
      </c>
      <c r="D19555" s="6">
        <v>22.36</v>
      </c>
      <c r="E19555" t="s">
        <v>6</v>
      </c>
    </row>
    <row r="19556" spans="1:5" x14ac:dyDescent="0.25">
      <c r="A19556" t="str">
        <f>HYPERLINK("https://www.773grp.com/globalSearch/TPS54073PWP/page-1", "TPS54073PWP")</f>
        <v>TPS54073PWP</v>
      </c>
      <c r="B19556" s="3" t="s">
        <v>90</v>
      </c>
      <c r="C19556" s="5">
        <v>1523</v>
      </c>
      <c r="D19556" s="6">
        <v>22.5</v>
      </c>
      <c r="E19556" t="s">
        <v>6</v>
      </c>
    </row>
    <row r="19557" spans="1:5" x14ac:dyDescent="0.25">
      <c r="A19557" t="str">
        <f>HYPERLINK("https://www.773grp.com/globalSearch/UC2855ADW/page-1", "UC2855ADW")</f>
        <v>UC2855ADW</v>
      </c>
      <c r="B19557" s="3" t="s">
        <v>90</v>
      </c>
      <c r="C19557" s="5">
        <v>3885</v>
      </c>
      <c r="D19557" s="6">
        <v>22.5</v>
      </c>
      <c r="E19557" t="s">
        <v>6</v>
      </c>
    </row>
    <row r="19558" spans="1:5" x14ac:dyDescent="0.25">
      <c r="A19558" t="str">
        <f>HYPERLINK("https://www.773grp.com/globalSearch/UC2855ADW/page-1", "UC2855ADW")</f>
        <v>UC2855ADW</v>
      </c>
      <c r="B19558" s="3" t="s">
        <v>90</v>
      </c>
      <c r="C19558" s="5">
        <v>5745</v>
      </c>
      <c r="D19558" s="6">
        <v>22.5</v>
      </c>
      <c r="E19558" t="s">
        <v>6</v>
      </c>
    </row>
    <row r="19559" spans="1:5" x14ac:dyDescent="0.25">
      <c r="A19559" t="str">
        <f>HYPERLINK("https://www.773grp.com/globalSearch/UC2855ADWTR/page-1", "UC2855ADWTR")</f>
        <v>UC2855ADWTR</v>
      </c>
      <c r="B19559" s="3" t="s">
        <v>90</v>
      </c>
      <c r="C19559" s="5">
        <v>2000</v>
      </c>
      <c r="D19559" s="6">
        <v>22.5</v>
      </c>
      <c r="E19559" t="s">
        <v>6</v>
      </c>
    </row>
    <row r="19560" spans="1:5" x14ac:dyDescent="0.25">
      <c r="A19560" t="str">
        <f>HYPERLINK("https://www.773grp.com/globalSearch/UC2855BDW/page-1", "UC2855BDW")</f>
        <v>UC2855BDW</v>
      </c>
      <c r="B19560" s="3" t="s">
        <v>90</v>
      </c>
      <c r="C19560" s="5">
        <v>4210</v>
      </c>
      <c r="D19560" s="6">
        <v>22.5</v>
      </c>
      <c r="E19560" t="s">
        <v>6</v>
      </c>
    </row>
    <row r="19561" spans="1:5" x14ac:dyDescent="0.25">
      <c r="A19561" t="str">
        <f>HYPERLINK("https://www.773grp.com/globalSearch/UC2823ADW/page-1", "UC2823ADW")</f>
        <v>UC2823ADW</v>
      </c>
      <c r="B19561" s="3" t="s">
        <v>90</v>
      </c>
      <c r="C19561" s="5">
        <v>10258</v>
      </c>
      <c r="D19561" s="6">
        <v>23.18</v>
      </c>
      <c r="E19561" t="s">
        <v>6</v>
      </c>
    </row>
    <row r="19562" spans="1:5" x14ac:dyDescent="0.25">
      <c r="A19562" t="str">
        <f>HYPERLINK("https://www.773grp.com/globalSearch/UCC2305DW/page-1", "UCC2305DW")</f>
        <v>UCC2305DW</v>
      </c>
      <c r="B19562" s="3" t="s">
        <v>90</v>
      </c>
      <c r="C19562" s="5">
        <v>60253</v>
      </c>
      <c r="D19562" s="6">
        <v>23.2</v>
      </c>
      <c r="E19562" t="s">
        <v>6</v>
      </c>
    </row>
    <row r="19563" spans="1:5" x14ac:dyDescent="0.25">
      <c r="A19563" t="str">
        <f>HYPERLINK("https://www.773grp.com/globalSearch/UCC3305DW/page-1", "UCC3305DW")</f>
        <v>UCC3305DW</v>
      </c>
      <c r="B19563" s="3" t="s">
        <v>90</v>
      </c>
      <c r="C19563" s="5">
        <v>3877</v>
      </c>
      <c r="D19563" s="6">
        <v>23.2</v>
      </c>
      <c r="E19563" t="s">
        <v>6</v>
      </c>
    </row>
    <row r="19564" spans="1:5" x14ac:dyDescent="0.25">
      <c r="A19564" t="str">
        <f>HYPERLINK("https://www.773grp.com/globalSearch/UCC3305N/page-1", "UCC3305N")</f>
        <v>UCC3305N</v>
      </c>
      <c r="B19564" s="3" t="s">
        <v>90</v>
      </c>
      <c r="C19564" s="5">
        <v>2846</v>
      </c>
      <c r="D19564" s="6">
        <v>23.2</v>
      </c>
      <c r="E19564" t="s">
        <v>6</v>
      </c>
    </row>
    <row r="19565" spans="1:5" x14ac:dyDescent="0.25">
      <c r="A19565" t="str">
        <f>HYPERLINK("https://www.773grp.com/globalSearch/LT1071HVCKV/page-1", "LT1071HVCKV")</f>
        <v>LT1071HVCKV</v>
      </c>
      <c r="B19565" s="3" t="s">
        <v>90</v>
      </c>
      <c r="C19565" s="5">
        <v>1600</v>
      </c>
      <c r="D19565" s="6">
        <v>23.58</v>
      </c>
      <c r="E19565" t="s">
        <v>6</v>
      </c>
    </row>
    <row r="19566" spans="1:5" x14ac:dyDescent="0.25">
      <c r="A19566" t="str">
        <f>HYPERLINK("https://www.773grp.com/globalSearch/PT5101U/page-1", "PT5101U")</f>
        <v>PT5101U</v>
      </c>
      <c r="B19566" s="3" t="s">
        <v>90</v>
      </c>
      <c r="C19566" s="5">
        <v>382</v>
      </c>
      <c r="D19566" s="6">
        <v>23.76</v>
      </c>
      <c r="E19566" t="s">
        <v>6</v>
      </c>
    </row>
    <row r="19567" spans="1:5" x14ac:dyDescent="0.25">
      <c r="A19567" t="str">
        <f>HYPERLINK("https://www.773grp.com/globalSearch/PT5103N/page-1", "PT5103N")</f>
        <v>PT5103N</v>
      </c>
      <c r="B19567" s="3" t="s">
        <v>90</v>
      </c>
      <c r="C19567" s="5">
        <v>3</v>
      </c>
      <c r="D19567" s="6">
        <v>23.76</v>
      </c>
      <c r="E19567" t="s">
        <v>6</v>
      </c>
    </row>
    <row r="19568" spans="1:5" x14ac:dyDescent="0.25">
      <c r="A19568" t="str">
        <f>HYPERLINK("https://www.773grp.com/globalSearch/PT5105C/page-1", "PT5105C")</f>
        <v>PT5105C</v>
      </c>
      <c r="B19568" s="3" t="s">
        <v>90</v>
      </c>
      <c r="C19568" s="5">
        <v>52</v>
      </c>
      <c r="D19568" s="6">
        <v>23.76</v>
      </c>
      <c r="E19568" t="s">
        <v>6</v>
      </c>
    </row>
    <row r="19569" spans="1:5" x14ac:dyDescent="0.25">
      <c r="A19569" t="str">
        <f>HYPERLINK("https://www.773grp.com/globalSearch/PT5105N/page-1", "PT5105N")</f>
        <v>PT5105N</v>
      </c>
      <c r="B19569" s="3" t="s">
        <v>90</v>
      </c>
      <c r="C19569" s="5">
        <v>35</v>
      </c>
      <c r="D19569" s="6">
        <v>23.76</v>
      </c>
      <c r="E19569" t="s">
        <v>6</v>
      </c>
    </row>
    <row r="19570" spans="1:5" x14ac:dyDescent="0.25">
      <c r="A19570" t="str">
        <f>HYPERLINK("https://www.773grp.com/globalSearch/PT5107A/page-1", "PT5107A")</f>
        <v>PT5107A</v>
      </c>
      <c r="B19570" s="3" t="s">
        <v>90</v>
      </c>
      <c r="C19570" s="5">
        <v>105</v>
      </c>
      <c r="D19570" s="6">
        <v>23.76</v>
      </c>
      <c r="E19570" t="s">
        <v>6</v>
      </c>
    </row>
    <row r="19571" spans="1:5" x14ac:dyDescent="0.25">
      <c r="A19571" t="str">
        <f>HYPERLINK("https://www.773grp.com/globalSearch/PT5107C/page-1", "PT5107C")</f>
        <v>PT5107C</v>
      </c>
      <c r="B19571" s="3" t="s">
        <v>90</v>
      </c>
      <c r="C19571" s="5">
        <v>75</v>
      </c>
      <c r="D19571" s="6">
        <v>23.76</v>
      </c>
      <c r="E19571" t="s">
        <v>6</v>
      </c>
    </row>
    <row r="19572" spans="1:5" x14ac:dyDescent="0.25">
      <c r="A19572" t="str">
        <f>HYPERLINK("https://www.773grp.com/globalSearch/PT5107N/page-1", "PT5107N")</f>
        <v>PT5107N</v>
      </c>
      <c r="B19572" s="3" t="s">
        <v>90</v>
      </c>
      <c r="C19572" s="5">
        <v>46</v>
      </c>
      <c r="D19572" s="6">
        <v>23.76</v>
      </c>
      <c r="E19572" t="s">
        <v>6</v>
      </c>
    </row>
    <row r="19573" spans="1:5" x14ac:dyDescent="0.25">
      <c r="A19573" t="str">
        <f>HYPERLINK("https://www.773grp.com/globalSearch/PT5109A/page-1", "PT5109A")</f>
        <v>PT5109A</v>
      </c>
      <c r="B19573" s="3" t="s">
        <v>90</v>
      </c>
      <c r="C19573" s="5">
        <v>312</v>
      </c>
      <c r="D19573" s="6">
        <v>23.76</v>
      </c>
      <c r="E19573" t="s">
        <v>6</v>
      </c>
    </row>
    <row r="19574" spans="1:5" x14ac:dyDescent="0.25">
      <c r="A19574" t="str">
        <f>HYPERLINK("https://www.773grp.com/globalSearch/PT5109C/page-1", "PT5109C")</f>
        <v>PT5109C</v>
      </c>
      <c r="B19574" s="3" t="s">
        <v>90</v>
      </c>
      <c r="C19574" s="5">
        <v>105</v>
      </c>
      <c r="D19574" s="6">
        <v>23.76</v>
      </c>
      <c r="E19574" t="s">
        <v>6</v>
      </c>
    </row>
    <row r="19575" spans="1:5" x14ac:dyDescent="0.25">
      <c r="A19575" t="str">
        <f>HYPERLINK("https://www.773grp.com/globalSearch/PT5109N/page-1", "PT5109N")</f>
        <v>PT5109N</v>
      </c>
      <c r="B19575" s="3" t="s">
        <v>90</v>
      </c>
      <c r="C19575" s="5">
        <v>77</v>
      </c>
      <c r="D19575" s="6">
        <v>23.76</v>
      </c>
      <c r="E19575" t="s">
        <v>6</v>
      </c>
    </row>
    <row r="19576" spans="1:5" x14ac:dyDescent="0.25">
      <c r="A19576" t="str">
        <f>HYPERLINK("https://www.773grp.com/globalSearch/PT5110A/page-1", "PT5110A")</f>
        <v>PT5110A</v>
      </c>
      <c r="B19576" s="3" t="s">
        <v>90</v>
      </c>
      <c r="C19576" s="5">
        <v>27</v>
      </c>
      <c r="D19576" s="6">
        <v>23.76</v>
      </c>
      <c r="E19576" t="s">
        <v>6</v>
      </c>
    </row>
    <row r="19577" spans="1:5" x14ac:dyDescent="0.25">
      <c r="A19577" t="str">
        <f>HYPERLINK("https://www.773grp.com/globalSearch/PT5110C/page-1", "PT5110C")</f>
        <v>PT5110C</v>
      </c>
      <c r="B19577" s="3" t="s">
        <v>90</v>
      </c>
      <c r="C19577" s="5">
        <v>35</v>
      </c>
      <c r="D19577" s="6">
        <v>23.76</v>
      </c>
      <c r="E19577" t="s">
        <v>6</v>
      </c>
    </row>
    <row r="19578" spans="1:5" x14ac:dyDescent="0.25">
      <c r="A19578" t="str">
        <f>HYPERLINK("https://www.773grp.com/globalSearch/PT5111N/page-1", "PT5111N")</f>
        <v>PT5111N</v>
      </c>
      <c r="B19578" s="3" t="s">
        <v>90</v>
      </c>
      <c r="C19578" s="5">
        <v>132</v>
      </c>
      <c r="D19578" s="6">
        <v>23.76</v>
      </c>
      <c r="E19578" t="s">
        <v>6</v>
      </c>
    </row>
    <row r="19579" spans="1:5" x14ac:dyDescent="0.25">
      <c r="A19579" t="str">
        <f>HYPERLINK("https://www.773grp.com/globalSearch/PT5112C/page-1", "PT5112C")</f>
        <v>PT5112C</v>
      </c>
      <c r="B19579" s="3" t="s">
        <v>90</v>
      </c>
      <c r="C19579" s="5">
        <v>105</v>
      </c>
      <c r="D19579" s="6">
        <v>23.76</v>
      </c>
      <c r="E19579" t="s">
        <v>6</v>
      </c>
    </row>
    <row r="19580" spans="1:5" x14ac:dyDescent="0.25">
      <c r="A19580" t="str">
        <f>HYPERLINK("https://www.773grp.com/globalSearch/UC1845AJ-883B/page-1", "UC1845AJ-883B")</f>
        <v>UC1845AJ-883B</v>
      </c>
      <c r="B19580" s="3" t="s">
        <v>90</v>
      </c>
      <c r="C19580" s="5">
        <v>1</v>
      </c>
      <c r="D19580" s="6">
        <v>24.05</v>
      </c>
      <c r="E19580" t="s">
        <v>6</v>
      </c>
    </row>
    <row r="19581" spans="1:5" x14ac:dyDescent="0.25">
      <c r="A19581" t="str">
        <f>HYPERLINK("https://www.773grp.com/globalSearch/PT78NR103S/page-1", "PT78NR103S")</f>
        <v>PT78NR103S</v>
      </c>
      <c r="B19581" s="3" t="s">
        <v>90</v>
      </c>
      <c r="C19581" s="5">
        <v>113</v>
      </c>
      <c r="D19581" s="6">
        <v>24.34</v>
      </c>
      <c r="E19581" t="s">
        <v>6</v>
      </c>
    </row>
    <row r="19582" spans="1:5" x14ac:dyDescent="0.25">
      <c r="A19582" t="str">
        <f>HYPERLINK("https://www.773grp.com/globalSearch/PT78NR106H/page-1", "PT78NR106H")</f>
        <v>PT78NR106H</v>
      </c>
      <c r="B19582" s="3" t="s">
        <v>90</v>
      </c>
      <c r="C19582" s="5">
        <v>4</v>
      </c>
      <c r="D19582" s="6">
        <v>24.34</v>
      </c>
      <c r="E19582" t="s">
        <v>6</v>
      </c>
    </row>
    <row r="19583" spans="1:5" x14ac:dyDescent="0.25">
      <c r="A19583" t="str">
        <f>HYPERLINK("https://www.773grp.com/globalSearch/PT78NR106S/page-1", "PT78NR106S")</f>
        <v>PT78NR106S</v>
      </c>
      <c r="B19583" s="3" t="s">
        <v>90</v>
      </c>
      <c r="C19583" s="5">
        <v>18</v>
      </c>
      <c r="D19583" s="6">
        <v>24.34</v>
      </c>
      <c r="E19583" t="s">
        <v>6</v>
      </c>
    </row>
    <row r="19584" spans="1:5" x14ac:dyDescent="0.25">
      <c r="A19584" t="str">
        <f>HYPERLINK("https://www.773grp.com/globalSearch/PT78NR106V/page-1", "PT78NR106V")</f>
        <v>PT78NR106V</v>
      </c>
      <c r="B19584" s="3" t="s">
        <v>90</v>
      </c>
      <c r="C19584" s="5">
        <v>524</v>
      </c>
      <c r="D19584" s="6">
        <v>24.34</v>
      </c>
      <c r="E19584" t="s">
        <v>6</v>
      </c>
    </row>
    <row r="19585" spans="1:5" x14ac:dyDescent="0.25">
      <c r="A19585" t="str">
        <f>HYPERLINK("https://www.773grp.com/globalSearch/PT78NR107V/page-1", "PT78NR107V")</f>
        <v>PT78NR107V</v>
      </c>
      <c r="B19585" s="3" t="s">
        <v>90</v>
      </c>
      <c r="C19585" s="5">
        <v>3</v>
      </c>
      <c r="D19585" s="6">
        <v>24.34</v>
      </c>
      <c r="E19585" t="s">
        <v>6</v>
      </c>
    </row>
    <row r="19586" spans="1:5" x14ac:dyDescent="0.25">
      <c r="A19586" t="str">
        <f>HYPERLINK("https://www.773grp.com/globalSearch/PT78NR109S/page-1", "PT78NR109S")</f>
        <v>PT78NR109S</v>
      </c>
      <c r="B19586" s="3" t="s">
        <v>90</v>
      </c>
      <c r="C19586" s="5">
        <v>21</v>
      </c>
      <c r="D19586" s="6">
        <v>24.34</v>
      </c>
      <c r="E19586" t="s">
        <v>6</v>
      </c>
    </row>
    <row r="19587" spans="1:5" x14ac:dyDescent="0.25">
      <c r="A19587" t="str">
        <f>HYPERLINK("https://www.773grp.com/globalSearch/PT78NR109V/page-1", "PT78NR109V")</f>
        <v>PT78NR109V</v>
      </c>
      <c r="B19587" s="3" t="s">
        <v>90</v>
      </c>
      <c r="C19587" s="5">
        <v>7</v>
      </c>
      <c r="D19587" s="6">
        <v>24.34</v>
      </c>
      <c r="E19587" t="s">
        <v>6</v>
      </c>
    </row>
    <row r="19588" spans="1:5" x14ac:dyDescent="0.25">
      <c r="A19588" t="str">
        <f>HYPERLINK("https://www.773grp.com/globalSearch/PT78NR115S/page-1", "PT78NR115S")</f>
        <v>PT78NR115S</v>
      </c>
      <c r="B19588" s="3" t="s">
        <v>90</v>
      </c>
      <c r="C19588" s="5">
        <v>15</v>
      </c>
      <c r="D19588" s="6">
        <v>24.34</v>
      </c>
      <c r="E19588" t="s">
        <v>6</v>
      </c>
    </row>
    <row r="19589" spans="1:5" x14ac:dyDescent="0.25">
      <c r="A19589" t="str">
        <f>HYPERLINK("https://www.773grp.com/globalSearch/PT78NR152V/page-1", "PT78NR152V")</f>
        <v>PT78NR152V</v>
      </c>
      <c r="B19589" s="3" t="s">
        <v>90</v>
      </c>
      <c r="C19589" s="5">
        <v>25</v>
      </c>
      <c r="D19589" s="6">
        <v>24.34</v>
      </c>
      <c r="E19589" t="s">
        <v>6</v>
      </c>
    </row>
    <row r="19590" spans="1:5" x14ac:dyDescent="0.25">
      <c r="A19590" t="str">
        <f>HYPERLINK("https://www.773grp.com/globalSearch/PT78ST109V/page-1", "PT78ST109V")</f>
        <v>PT78ST109V</v>
      </c>
      <c r="B19590" s="3" t="s">
        <v>90</v>
      </c>
      <c r="C19590" s="5">
        <v>14</v>
      </c>
      <c r="D19590" s="6">
        <v>24.34</v>
      </c>
      <c r="E19590" t="s">
        <v>6</v>
      </c>
    </row>
    <row r="19591" spans="1:5" x14ac:dyDescent="0.25">
      <c r="A19591" t="str">
        <f>HYPERLINK("https://www.773grp.com/globalSearch/PT78ST110V/page-1", "PT78ST110V")</f>
        <v>PT78ST110V</v>
      </c>
      <c r="B19591" s="3" t="s">
        <v>90</v>
      </c>
      <c r="C19591" s="5">
        <v>20</v>
      </c>
      <c r="D19591" s="6">
        <v>24.34</v>
      </c>
      <c r="E19591" t="s">
        <v>6</v>
      </c>
    </row>
    <row r="19592" spans="1:5" x14ac:dyDescent="0.25">
      <c r="A19592" t="str">
        <f>HYPERLINK("https://www.773grp.com/globalSearch/PT78ST133S/page-1", "PT78ST133S")</f>
        <v>PT78ST133S</v>
      </c>
      <c r="B19592" s="3" t="s">
        <v>90</v>
      </c>
      <c r="C19592" s="5">
        <v>10</v>
      </c>
      <c r="D19592" s="6">
        <v>24.34</v>
      </c>
      <c r="E19592" t="s">
        <v>6</v>
      </c>
    </row>
    <row r="19593" spans="1:5" x14ac:dyDescent="0.25">
      <c r="A19593" t="str">
        <f>HYPERLINK("https://www.773grp.com/globalSearch/PT78ST136H/page-1", "PT78ST136H")</f>
        <v>PT78ST136H</v>
      </c>
      <c r="B19593" s="3" t="s">
        <v>90</v>
      </c>
      <c r="C19593" s="5">
        <v>3</v>
      </c>
      <c r="D19593" s="6">
        <v>24.34</v>
      </c>
      <c r="E19593" t="s">
        <v>6</v>
      </c>
    </row>
    <row r="19594" spans="1:5" x14ac:dyDescent="0.25">
      <c r="A19594" t="str">
        <f>HYPERLINK("https://www.773grp.com/globalSearch/PT78ST151S/page-1", "PT78ST151S")</f>
        <v>PT78ST151S</v>
      </c>
      <c r="B19594" s="3" t="s">
        <v>90</v>
      </c>
      <c r="C19594" s="5">
        <v>14</v>
      </c>
      <c r="D19594" s="6">
        <v>24.34</v>
      </c>
      <c r="E19594" t="s">
        <v>6</v>
      </c>
    </row>
    <row r="19595" spans="1:5" x14ac:dyDescent="0.25">
      <c r="A19595" t="str">
        <f>HYPERLINK("https://www.773grp.com/globalSearch/PT78ST153H/page-1", "PT78ST153H")</f>
        <v>PT78ST153H</v>
      </c>
      <c r="B19595" s="3" t="s">
        <v>90</v>
      </c>
      <c r="C19595" s="5">
        <v>8</v>
      </c>
      <c r="D19595" s="6">
        <v>24.34</v>
      </c>
      <c r="E19595" t="s">
        <v>6</v>
      </c>
    </row>
    <row r="19596" spans="1:5" x14ac:dyDescent="0.25">
      <c r="A19596" t="str">
        <f>HYPERLINK("https://www.773grp.com/globalSearch/PT78ST153V/page-1", "PT78ST153V")</f>
        <v>PT78ST153V</v>
      </c>
      <c r="B19596" s="3" t="s">
        <v>90</v>
      </c>
      <c r="C19596" s="5">
        <v>55</v>
      </c>
      <c r="D19596" s="6">
        <v>24.34</v>
      </c>
      <c r="E19596" t="s">
        <v>6</v>
      </c>
    </row>
    <row r="19597" spans="1:5" x14ac:dyDescent="0.25">
      <c r="A19597" t="str">
        <f>HYPERLINK("https://www.773grp.com/globalSearch/PT78ST165H/page-1", "PT78ST165H")</f>
        <v>PT78ST165H</v>
      </c>
      <c r="B19597" s="3" t="s">
        <v>90</v>
      </c>
      <c r="C19597" s="5">
        <v>10</v>
      </c>
      <c r="D19597" s="6">
        <v>24.34</v>
      </c>
      <c r="E19597" t="s">
        <v>6</v>
      </c>
    </row>
    <row r="19598" spans="1:5" x14ac:dyDescent="0.25">
      <c r="A19598" t="str">
        <f>HYPERLINK("https://www.773grp.com/globalSearch/PT78ST165S/page-1", "PT78ST165S")</f>
        <v>PT78ST165S</v>
      </c>
      <c r="B19598" s="3" t="s">
        <v>90</v>
      </c>
      <c r="C19598" s="5">
        <v>52</v>
      </c>
      <c r="D19598" s="6">
        <v>24.34</v>
      </c>
      <c r="E19598" t="s">
        <v>6</v>
      </c>
    </row>
    <row r="19599" spans="1:5" x14ac:dyDescent="0.25">
      <c r="A19599" t="str">
        <f>HYPERLINK("https://www.773grp.com/globalSearch/PT78ST165V/page-1", "PT78ST165V")</f>
        <v>PT78ST165V</v>
      </c>
      <c r="B19599" s="3" t="s">
        <v>90</v>
      </c>
      <c r="C19599" s="5">
        <v>71</v>
      </c>
      <c r="D19599" s="6">
        <v>24.34</v>
      </c>
      <c r="E19599" t="s">
        <v>6</v>
      </c>
    </row>
    <row r="19600" spans="1:5" x14ac:dyDescent="0.25">
      <c r="A19600" t="str">
        <f>HYPERLINK("https://www.773grp.com/globalSearch/UC1844AJ/page-1", "UC1844AJ")</f>
        <v>UC1844AJ</v>
      </c>
      <c r="B19600" s="3" t="s">
        <v>90</v>
      </c>
      <c r="C19600" s="5">
        <v>446</v>
      </c>
      <c r="D19600" s="6">
        <v>24.35</v>
      </c>
      <c r="E19600" t="s">
        <v>6</v>
      </c>
    </row>
    <row r="19601" spans="1:5" x14ac:dyDescent="0.25">
      <c r="A19601" t="str">
        <f>HYPERLINK("https://www.773grp.com/globalSearch/PT6102N/page-1", "PT6102N")</f>
        <v>PT6102N</v>
      </c>
      <c r="B19601" s="3" t="s">
        <v>90</v>
      </c>
      <c r="C19601" s="5">
        <v>100</v>
      </c>
      <c r="D19601" s="6">
        <v>24.41</v>
      </c>
      <c r="E19601" t="s">
        <v>6</v>
      </c>
    </row>
    <row r="19602" spans="1:5" x14ac:dyDescent="0.25">
      <c r="A19602" t="str">
        <f>HYPERLINK("https://www.773grp.com/globalSearch/PT6103C/page-1", "PT6103C")</f>
        <v>PT6103C</v>
      </c>
      <c r="B19602" s="3" t="s">
        <v>90</v>
      </c>
      <c r="C19602" s="5">
        <v>62</v>
      </c>
      <c r="D19602" s="6">
        <v>24.41</v>
      </c>
      <c r="E19602" t="s">
        <v>6</v>
      </c>
    </row>
    <row r="19603" spans="1:5" x14ac:dyDescent="0.25">
      <c r="A19603" t="str">
        <f>HYPERLINK("https://www.773grp.com/globalSearch/UC2906J/page-1", "UC2906J")</f>
        <v>UC2906J</v>
      </c>
      <c r="B19603" s="3" t="s">
        <v>90</v>
      </c>
      <c r="C19603" s="5">
        <v>2</v>
      </c>
      <c r="D19603" s="6">
        <v>24.69</v>
      </c>
      <c r="E19603" t="s">
        <v>6</v>
      </c>
    </row>
    <row r="19604" spans="1:5" x14ac:dyDescent="0.25">
      <c r="A19604" t="str">
        <f>HYPERLINK("https://www.773grp.com/globalSearch/UC1842AJ/page-1", "UC1842AJ")</f>
        <v>UC1842AJ</v>
      </c>
      <c r="B19604" s="3" t="s">
        <v>90</v>
      </c>
      <c r="C19604" s="5">
        <v>20</v>
      </c>
      <c r="D19604" s="6">
        <v>24.73</v>
      </c>
      <c r="E19604" t="s">
        <v>6</v>
      </c>
    </row>
    <row r="19605" spans="1:5" x14ac:dyDescent="0.25">
      <c r="A19605" t="str">
        <f>HYPERLINK("https://www.773grp.com/globalSearch/UC2855AN/page-1", "UC2855AN")</f>
        <v>UC2855AN</v>
      </c>
      <c r="B19605" s="3" t="s">
        <v>90</v>
      </c>
      <c r="C19605" s="5">
        <v>8518</v>
      </c>
      <c r="D19605" s="6">
        <v>24.86</v>
      </c>
      <c r="E19605" t="s">
        <v>6</v>
      </c>
    </row>
    <row r="19606" spans="1:5" x14ac:dyDescent="0.25">
      <c r="A19606" t="str">
        <f>HYPERLINK("https://www.773grp.com/globalSearch/UC2855BN/page-1", "UC2855BN")</f>
        <v>UC2855BN</v>
      </c>
      <c r="B19606" s="3" t="s">
        <v>90</v>
      </c>
      <c r="C19606" s="5">
        <v>7560</v>
      </c>
      <c r="D19606" s="6">
        <v>24.86</v>
      </c>
      <c r="E19606" t="s">
        <v>6</v>
      </c>
    </row>
    <row r="19607" spans="1:5" x14ac:dyDescent="0.25">
      <c r="A19607" t="str">
        <f>HYPERLINK("https://www.773grp.com/globalSearch/PT5101G/page-1", "PT5101G")</f>
        <v>PT5101G</v>
      </c>
      <c r="B19607" s="3" t="s">
        <v>90</v>
      </c>
      <c r="C19607" s="5">
        <v>28</v>
      </c>
      <c r="D19607" s="6">
        <v>25.18</v>
      </c>
      <c r="E19607" t="s">
        <v>6</v>
      </c>
    </row>
    <row r="19608" spans="1:5" x14ac:dyDescent="0.25">
      <c r="A19608" t="str">
        <f>HYPERLINK("https://www.773grp.com/globalSearch/PT5101J/page-1", "PT5101J")</f>
        <v>PT5101J</v>
      </c>
      <c r="B19608" s="3" t="s">
        <v>90</v>
      </c>
      <c r="C19608" s="5">
        <v>460</v>
      </c>
      <c r="D19608" s="6">
        <v>25.18</v>
      </c>
      <c r="E19608" t="s">
        <v>6</v>
      </c>
    </row>
    <row r="19609" spans="1:5" x14ac:dyDescent="0.25">
      <c r="A19609" t="str">
        <f>HYPERLINK("https://www.773grp.com/globalSearch/PT5103L/page-1", "PT5103L")</f>
        <v>PT5103L</v>
      </c>
      <c r="B19609" s="3" t="s">
        <v>90</v>
      </c>
      <c r="C19609" s="5">
        <v>49</v>
      </c>
      <c r="D19609" s="6">
        <v>25.18</v>
      </c>
      <c r="E19609" t="s">
        <v>6</v>
      </c>
    </row>
    <row r="19610" spans="1:5" x14ac:dyDescent="0.25">
      <c r="A19610" t="str">
        <f>HYPERLINK("https://www.773grp.com/globalSearch/PT5107J/page-1", "PT5107J")</f>
        <v>PT5107J</v>
      </c>
      <c r="B19610" s="3" t="s">
        <v>90</v>
      </c>
      <c r="C19610" s="5">
        <v>59</v>
      </c>
      <c r="D19610" s="6">
        <v>25.18</v>
      </c>
      <c r="E19610" t="s">
        <v>6</v>
      </c>
    </row>
    <row r="19611" spans="1:5" x14ac:dyDescent="0.25">
      <c r="A19611" t="str">
        <f>HYPERLINK("https://www.773grp.com/globalSearch/PT5107M/page-1", "PT5107M")</f>
        <v>PT5107M</v>
      </c>
      <c r="B19611" s="3" t="s">
        <v>90</v>
      </c>
      <c r="C19611" s="5">
        <v>50</v>
      </c>
      <c r="D19611" s="6">
        <v>25.18</v>
      </c>
      <c r="E19611" t="s">
        <v>6</v>
      </c>
    </row>
    <row r="19612" spans="1:5" x14ac:dyDescent="0.25">
      <c r="A19612" t="str">
        <f>HYPERLINK("https://www.773grp.com/globalSearch/PT5109M/page-1", "PT5109M")</f>
        <v>PT5109M</v>
      </c>
      <c r="B19612" s="3" t="s">
        <v>90</v>
      </c>
      <c r="C19612" s="5">
        <v>165</v>
      </c>
      <c r="D19612" s="6">
        <v>25.18</v>
      </c>
      <c r="E19612" t="s">
        <v>6</v>
      </c>
    </row>
    <row r="19613" spans="1:5" x14ac:dyDescent="0.25">
      <c r="A19613" t="str">
        <f>HYPERLINK("https://www.773grp.com/globalSearch/UC2876N/page-1", "UC2876N")</f>
        <v>UC2876N</v>
      </c>
      <c r="B19613" s="3" t="s">
        <v>90</v>
      </c>
      <c r="C19613" s="5">
        <v>14320</v>
      </c>
      <c r="D19613" s="6">
        <v>25.45</v>
      </c>
      <c r="E19613" t="s">
        <v>6</v>
      </c>
    </row>
    <row r="19614" spans="1:5" x14ac:dyDescent="0.25">
      <c r="A19614" t="str">
        <f>HYPERLINK("https://www.773grp.com/globalSearch/PTN78000WAS/page-1", "PTN78000WAS")</f>
        <v>PTN78000WAS</v>
      </c>
      <c r="B19614" s="3" t="s">
        <v>90</v>
      </c>
      <c r="C19614" s="5">
        <v>1</v>
      </c>
      <c r="D19614" s="6">
        <v>25.54</v>
      </c>
      <c r="E19614" t="s">
        <v>6</v>
      </c>
    </row>
    <row r="19615" spans="1:5" x14ac:dyDescent="0.25">
      <c r="A19615" t="str">
        <f>HYPERLINK("https://www.773grp.com/globalSearch/UCC2305N/page-1", "UCC2305N")</f>
        <v>UCC2305N</v>
      </c>
      <c r="B19615" s="3" t="s">
        <v>90</v>
      </c>
      <c r="C19615" s="5">
        <v>1840</v>
      </c>
      <c r="D19615" s="6">
        <v>25.6</v>
      </c>
      <c r="E19615" t="s">
        <v>6</v>
      </c>
    </row>
    <row r="19616" spans="1:5" x14ac:dyDescent="0.25">
      <c r="A19616" t="str">
        <f>HYPERLINK("https://www.773grp.com/globalSearch/UCC2305N/page-1", "UCC2305N")</f>
        <v>UCC2305N</v>
      </c>
      <c r="B19616" s="3" t="s">
        <v>90</v>
      </c>
      <c r="C19616" s="5">
        <v>10342</v>
      </c>
      <c r="D19616" s="6">
        <v>25.6</v>
      </c>
      <c r="E19616" t="s">
        <v>6</v>
      </c>
    </row>
    <row r="19617" spans="1:5" x14ac:dyDescent="0.25">
      <c r="A19617" t="str">
        <f>HYPERLINK("https://www.773grp.com/globalSearch/UC2823AN/page-1", "UC2823AN")</f>
        <v>UC2823AN</v>
      </c>
      <c r="B19617" s="3" t="s">
        <v>90</v>
      </c>
      <c r="C19617" s="5">
        <v>25965</v>
      </c>
      <c r="D19617" s="6">
        <v>25.74</v>
      </c>
      <c r="E19617" t="s">
        <v>6</v>
      </c>
    </row>
    <row r="19618" spans="1:5" x14ac:dyDescent="0.25">
      <c r="A19618" t="str">
        <f>HYPERLINK("https://www.773grp.com/globalSearch/UC2823BN/page-1", "UC2823BN")</f>
        <v>UC2823BN</v>
      </c>
      <c r="B19618" s="3" t="s">
        <v>90</v>
      </c>
      <c r="C19618" s="5">
        <v>43</v>
      </c>
      <c r="D19618" s="6">
        <v>25.74</v>
      </c>
      <c r="E19618" t="s">
        <v>6</v>
      </c>
    </row>
    <row r="19619" spans="1:5" x14ac:dyDescent="0.25">
      <c r="A19619" t="str">
        <f>HYPERLINK("https://www.773grp.com/globalSearch/PT6101G/page-1", "PT6101G")</f>
        <v>PT6101G</v>
      </c>
      <c r="B19619" s="3" t="s">
        <v>90</v>
      </c>
      <c r="C19619" s="5">
        <v>15</v>
      </c>
      <c r="D19619" s="6">
        <v>25.83</v>
      </c>
      <c r="E19619" t="s">
        <v>6</v>
      </c>
    </row>
    <row r="19620" spans="1:5" x14ac:dyDescent="0.25">
      <c r="A19620" t="str">
        <f>HYPERLINK("https://www.773grp.com/globalSearch/PT6103R/page-1", "PT6103R")</f>
        <v>PT6103R</v>
      </c>
      <c r="B19620" s="3" t="s">
        <v>90</v>
      </c>
      <c r="C19620" s="5">
        <v>52</v>
      </c>
      <c r="D19620" s="6">
        <v>25.83</v>
      </c>
      <c r="E19620" t="s">
        <v>6</v>
      </c>
    </row>
    <row r="19621" spans="1:5" x14ac:dyDescent="0.25">
      <c r="A19621" t="str">
        <f>HYPERLINK("https://www.773grp.com/globalSearch/UC3823BDW/page-1", "UC3823BDW")</f>
        <v>UC3823BDW</v>
      </c>
      <c r="B19621" s="3" t="s">
        <v>90</v>
      </c>
      <c r="C19621" s="5">
        <v>9683</v>
      </c>
      <c r="D19621" s="6">
        <v>25.85</v>
      </c>
      <c r="E19621" t="s">
        <v>6</v>
      </c>
    </row>
    <row r="19622" spans="1:5" x14ac:dyDescent="0.25">
      <c r="A19622" t="str">
        <f>HYPERLINK("https://www.773grp.com/globalSearch/PT5101N/page-1", "PT5101N")</f>
        <v>PT5101N</v>
      </c>
      <c r="B19622" s="3" t="s">
        <v>90</v>
      </c>
      <c r="C19622" s="5">
        <v>1</v>
      </c>
      <c r="D19622" s="6">
        <v>25.9</v>
      </c>
      <c r="E19622" t="s">
        <v>6</v>
      </c>
    </row>
    <row r="19623" spans="1:5" x14ac:dyDescent="0.25">
      <c r="A19623" t="str">
        <f>HYPERLINK("https://www.773grp.com/globalSearch/5962-8670403PA/page-1", "5962-8670403PA")</f>
        <v>5962-8670403PA</v>
      </c>
      <c r="B19623" s="3" t="s">
        <v>90</v>
      </c>
      <c r="C19623" s="5">
        <v>4</v>
      </c>
      <c r="D19623" s="6">
        <v>26.13</v>
      </c>
      <c r="E19623" t="s">
        <v>6</v>
      </c>
    </row>
    <row r="19624" spans="1:5" x14ac:dyDescent="0.25">
      <c r="A19624" t="str">
        <f>HYPERLINK("https://www.773grp.com/globalSearch/UC1844J883B/page-1", "UC1844J883B")</f>
        <v>UC1844J883B</v>
      </c>
      <c r="B19624" s="3" t="s">
        <v>90</v>
      </c>
      <c r="C19624" s="5">
        <v>6</v>
      </c>
      <c r="D19624" s="6">
        <v>26.13</v>
      </c>
      <c r="E19624" t="s">
        <v>6</v>
      </c>
    </row>
    <row r="19625" spans="1:5" x14ac:dyDescent="0.25">
      <c r="A19625" t="str">
        <f>HYPERLINK("https://www.773grp.com/globalSearch/UC2824DW/page-1", "UC2824DW")</f>
        <v>UC2824DW</v>
      </c>
      <c r="B19625" s="3" t="s">
        <v>90</v>
      </c>
      <c r="C19625" s="5">
        <v>4242</v>
      </c>
      <c r="D19625" s="6">
        <v>26.19</v>
      </c>
      <c r="E19625" t="s">
        <v>6</v>
      </c>
    </row>
    <row r="19626" spans="1:5" x14ac:dyDescent="0.25">
      <c r="A19626" t="str">
        <f>HYPERLINK("https://www.773grp.com/globalSearch/UC3824DW/page-1", "UC3824DW")</f>
        <v>UC3824DW</v>
      </c>
      <c r="B19626" s="3" t="s">
        <v>90</v>
      </c>
      <c r="C19626" s="5">
        <v>8543</v>
      </c>
      <c r="D19626" s="6">
        <v>26.19</v>
      </c>
      <c r="E19626" t="s">
        <v>6</v>
      </c>
    </row>
    <row r="19627" spans="1:5" x14ac:dyDescent="0.25">
      <c r="A19627" t="str">
        <f>HYPERLINK("https://www.773grp.com/globalSearch/5962-8951103EA/page-1", "5962-8951103EA")</f>
        <v>5962-8951103EA</v>
      </c>
      <c r="B19627" s="3" t="s">
        <v>90</v>
      </c>
      <c r="C19627" s="5">
        <v>26</v>
      </c>
      <c r="D19627" s="6">
        <v>26.33</v>
      </c>
      <c r="E19627" t="s">
        <v>6</v>
      </c>
    </row>
    <row r="19628" spans="1:5" x14ac:dyDescent="0.25">
      <c r="A19628" t="str">
        <f>HYPERLINK("https://www.773grp.com/globalSearch/UC1525AJ883B/page-1", "UC1525AJ883B")</f>
        <v>UC1525AJ883B</v>
      </c>
      <c r="B19628" s="3" t="s">
        <v>90</v>
      </c>
      <c r="C19628" s="5">
        <v>416</v>
      </c>
      <c r="D19628" s="6">
        <v>26.33</v>
      </c>
      <c r="E19628" t="s">
        <v>6</v>
      </c>
    </row>
    <row r="19629" spans="1:5" x14ac:dyDescent="0.25">
      <c r="A19629" t="str">
        <f>HYPERLINK("https://www.773grp.com/globalSearch/UC2854J/page-1", "UC2854J")</f>
        <v>UC2854J</v>
      </c>
      <c r="B19629" s="3" t="s">
        <v>90</v>
      </c>
      <c r="C19629" s="5">
        <v>44</v>
      </c>
      <c r="D19629" s="6">
        <v>26.58</v>
      </c>
      <c r="E19629" t="s">
        <v>6</v>
      </c>
    </row>
    <row r="19630" spans="1:5" x14ac:dyDescent="0.25">
      <c r="A19630" t="str">
        <f>HYPERLINK("https://www.773grp.com/globalSearch/PT6101A/page-1", "PT6101A")</f>
        <v>PT6101A</v>
      </c>
      <c r="B19630" s="3" t="s">
        <v>90</v>
      </c>
      <c r="C19630" s="5">
        <v>2</v>
      </c>
      <c r="D19630" s="6">
        <v>26.61</v>
      </c>
      <c r="E19630" t="s">
        <v>6</v>
      </c>
    </row>
    <row r="19631" spans="1:5" x14ac:dyDescent="0.25">
      <c r="A19631" t="str">
        <f>HYPERLINK("https://www.773grp.com/globalSearch/PT5028A/page-1", "PT5028A")</f>
        <v>PT5028A</v>
      </c>
      <c r="B19631" s="3" t="s">
        <v>90</v>
      </c>
      <c r="C19631" s="5">
        <v>3</v>
      </c>
      <c r="D19631" s="6">
        <v>26.71</v>
      </c>
      <c r="E19631" t="s">
        <v>6</v>
      </c>
    </row>
    <row r="19632" spans="1:5" x14ac:dyDescent="0.25">
      <c r="A19632" t="str">
        <f>HYPERLINK("https://www.773grp.com/globalSearch/PT5028N/page-1", "PT5028N")</f>
        <v>PT5028N</v>
      </c>
      <c r="B19632" s="3" t="s">
        <v>90</v>
      </c>
      <c r="C19632" s="5">
        <v>10</v>
      </c>
      <c r="D19632" s="6">
        <v>26.71</v>
      </c>
      <c r="E19632" t="s">
        <v>6</v>
      </c>
    </row>
    <row r="19633" spans="1:5" x14ac:dyDescent="0.25">
      <c r="A19633" t="str">
        <f>HYPERLINK("https://www.773grp.com/globalSearch/5962-8670401PA/page-1", "5962-8670401PA")</f>
        <v>5962-8670401PA</v>
      </c>
      <c r="B19633" s="3" t="s">
        <v>90</v>
      </c>
      <c r="C19633" s="5">
        <v>1443</v>
      </c>
      <c r="D19633" s="6">
        <v>26.8</v>
      </c>
      <c r="E19633" t="s">
        <v>6</v>
      </c>
    </row>
    <row r="19634" spans="1:5" x14ac:dyDescent="0.25">
      <c r="A19634" t="str">
        <f>HYPERLINK("https://www.773grp.com/globalSearch/UC1842J883B/page-1", "UC1842J883B")</f>
        <v>UC1842J883B</v>
      </c>
      <c r="B19634" s="3" t="s">
        <v>90</v>
      </c>
      <c r="C19634" s="5">
        <v>141</v>
      </c>
      <c r="D19634" s="6">
        <v>26.8</v>
      </c>
      <c r="E19634" t="s">
        <v>6</v>
      </c>
    </row>
    <row r="19635" spans="1:5" x14ac:dyDescent="0.25">
      <c r="A19635" t="str">
        <f>HYPERLINK("https://www.773grp.com/globalSearch/UC2823BDW/page-1", "UC2823BDW")</f>
        <v>UC2823BDW</v>
      </c>
      <c r="B19635" s="3" t="s">
        <v>90</v>
      </c>
      <c r="C19635" s="5">
        <v>2841</v>
      </c>
      <c r="D19635" s="6">
        <v>26.89</v>
      </c>
      <c r="E19635" t="s">
        <v>6</v>
      </c>
    </row>
    <row r="19636" spans="1:5" x14ac:dyDescent="0.25">
      <c r="A19636" t="str">
        <f>HYPERLINK("https://www.773grp.com/globalSearch/UC3851DWTR/page-1", "UC3851DWTR")</f>
        <v>UC3851DWTR</v>
      </c>
      <c r="B19636" s="3" t="str">
        <f>HYPERLINK("https://www.773grp.com/manufacturer/texas-instruments?pageNo=3", "Texas Instruments")</f>
        <v>Texas Instruments</v>
      </c>
      <c r="C19636" s="5">
        <v>14000</v>
      </c>
      <c r="D19636" s="6">
        <v>27.3</v>
      </c>
      <c r="E19636" t="s">
        <v>6</v>
      </c>
    </row>
    <row r="19637" spans="1:5" x14ac:dyDescent="0.25">
      <c r="A19637" t="str">
        <f>HYPERLINK("https://www.773grp.com/globalSearch/UC1846J/page-1", "UC1846J")</f>
        <v>UC1846J</v>
      </c>
      <c r="B19637" s="3" t="str">
        <f>HYPERLINK("https://www.773grp.com/manufacturer/texas-instruments?pageNo=5", "Texas Instruments")</f>
        <v>Texas Instruments</v>
      </c>
      <c r="C19637" s="5">
        <v>31</v>
      </c>
      <c r="D19637" s="6">
        <v>27.34</v>
      </c>
      <c r="E19637" t="s">
        <v>6</v>
      </c>
    </row>
    <row r="19638" spans="1:5" x14ac:dyDescent="0.25">
      <c r="A19638" t="str">
        <f>HYPERLINK("https://www.773grp.com/globalSearch/UC2577TDTR-ADJ/page-1", "UC2577TDTR-ADJ")</f>
        <v>UC2577TDTR-ADJ</v>
      </c>
      <c r="B19638" s="3" t="str">
        <f>HYPERLINK("https://www.773grp.com/manufacturer/texas-instruments?pageNo=37", "Texas Instruments")</f>
        <v>Texas Instruments</v>
      </c>
      <c r="C19638" s="5">
        <v>54398</v>
      </c>
      <c r="D19638" s="6">
        <v>27.56</v>
      </c>
      <c r="E19638" t="s">
        <v>6</v>
      </c>
    </row>
    <row r="19639" spans="1:5" x14ac:dyDescent="0.25">
      <c r="A19639" t="str">
        <f>HYPERLINK("https://www.773grp.com/globalSearch/UC1845J883B/page-1", "UC1845J883B")</f>
        <v>UC1845J883B</v>
      </c>
      <c r="B19639" s="3" t="str">
        <f>HYPERLINK("https://www.773grp.com/manufacturer/texas-instruments?pageNo=68", "Texas Instruments")</f>
        <v>Texas Instruments</v>
      </c>
      <c r="C19639" s="5">
        <v>196</v>
      </c>
      <c r="D19639" s="6">
        <v>27.76</v>
      </c>
      <c r="E19639" t="s">
        <v>6</v>
      </c>
    </row>
    <row r="19640" spans="1:5" x14ac:dyDescent="0.25">
      <c r="A19640" t="str">
        <f>HYPERLINK("https://www.773grp.com/globalSearch/5962-8951105EA/page-1", "5962-8951105EA")</f>
        <v>5962-8951105EA</v>
      </c>
      <c r="B19640" s="3" t="str">
        <f>HYPERLINK("https://www.773grp.com/manufacturer/texas-instruments?pageNo=69", "Texas Instruments")</f>
        <v>Texas Instruments</v>
      </c>
      <c r="C19640" s="5">
        <v>13</v>
      </c>
      <c r="D19640" s="6">
        <v>27.79</v>
      </c>
      <c r="E19640" t="s">
        <v>6</v>
      </c>
    </row>
    <row r="19641" spans="1:5" x14ac:dyDescent="0.25">
      <c r="A19641" t="str">
        <f>HYPERLINK("https://www.773grp.com/globalSearch/UC1525BJ883B/page-1", "UC1525BJ883B")</f>
        <v>UC1525BJ883B</v>
      </c>
      <c r="B19641" s="3" t="str">
        <f>HYPERLINK("https://www.773grp.com/manufacturer/texas-instruments?pageNo=72", "Texas Instruments")</f>
        <v>Texas Instruments</v>
      </c>
      <c r="C19641" s="5">
        <v>228</v>
      </c>
      <c r="D19641" s="6">
        <v>27.79</v>
      </c>
      <c r="E19641" t="s">
        <v>6</v>
      </c>
    </row>
    <row r="19642" spans="1:5" x14ac:dyDescent="0.25">
      <c r="A19642" t="str">
        <f>HYPERLINK("https://www.773grp.com/globalSearch/UC1843J883B/page-1", "UC1843J883B")</f>
        <v>UC1843J883B</v>
      </c>
      <c r="B19642" s="3" t="str">
        <f>HYPERLINK("https://www.773grp.com/manufacturer/texas-instruments?pageNo=73", "Texas Instruments")</f>
        <v>Texas Instruments</v>
      </c>
      <c r="C19642" s="5">
        <v>61</v>
      </c>
      <c r="D19642" s="6">
        <v>27.79</v>
      </c>
      <c r="E19642" t="s">
        <v>6</v>
      </c>
    </row>
    <row r="19643" spans="1:5" x14ac:dyDescent="0.25">
      <c r="A19643" t="str">
        <f>HYPERLINK("https://www.773grp.com/globalSearch/5962-8951104EA/page-1", "5962-8951104EA")</f>
        <v>5962-8951104EA</v>
      </c>
      <c r="B19643" s="3" t="str">
        <f>HYPERLINK("https://www.773grp.com/manufacturer/texas-instruments?pageNo=85", "Texas Instruments")</f>
        <v>Texas Instruments</v>
      </c>
      <c r="C19643" s="5">
        <v>78</v>
      </c>
      <c r="D19643" s="6">
        <v>27.88</v>
      </c>
      <c r="E19643" t="s">
        <v>6</v>
      </c>
    </row>
    <row r="19644" spans="1:5" x14ac:dyDescent="0.25">
      <c r="A19644" t="str">
        <f>HYPERLINK("https://www.773grp.com/globalSearch/UC3846J/page-1", "UC3846J")</f>
        <v>UC3846J</v>
      </c>
      <c r="B19644" s="3" t="str">
        <f>HYPERLINK("https://www.773grp.com/manufacturer/texas-instruments?pageNo=228", "Texas Instruments")</f>
        <v>Texas Instruments</v>
      </c>
      <c r="C19644" s="5">
        <v>1120</v>
      </c>
      <c r="D19644" s="6">
        <v>28.46</v>
      </c>
      <c r="E19644" t="s">
        <v>6</v>
      </c>
    </row>
    <row r="19645" spans="1:5" x14ac:dyDescent="0.25">
      <c r="A19645" t="str">
        <f>HYPERLINK("https://www.773grp.com/globalSearch/UC2577TDKTTT-ADJ/page-1", "UC2577TDKTTT-ADJ")</f>
        <v>UC2577TDKTTT-ADJ</v>
      </c>
      <c r="B19645" s="3" t="str">
        <f>HYPERLINK("https://www.773grp.com/manufacturer/texas-instruments?pageNo=245", "Texas Instruments")</f>
        <v>Texas Instruments</v>
      </c>
      <c r="C19645" s="5">
        <v>6227</v>
      </c>
      <c r="D19645" s="6">
        <v>28.65</v>
      </c>
      <c r="E19645" t="s">
        <v>6</v>
      </c>
    </row>
    <row r="19646" spans="1:5" x14ac:dyDescent="0.25">
      <c r="A19646" t="str">
        <f>HYPERLINK("https://www.773grp.com/globalSearch/UC3823BN/page-1", "UC3823BN")</f>
        <v>UC3823BN</v>
      </c>
      <c r="B19646" s="3" t="str">
        <f>HYPERLINK("https://www.773grp.com/manufacturer/texas-instruments?pageNo=277", "Texas Instruments")</f>
        <v>Texas Instruments</v>
      </c>
      <c r="C19646" s="5">
        <v>271</v>
      </c>
      <c r="D19646" s="6">
        <v>28.94</v>
      </c>
      <c r="E19646" t="s">
        <v>6</v>
      </c>
    </row>
    <row r="19647" spans="1:5" x14ac:dyDescent="0.25">
      <c r="A19647" t="str">
        <f>HYPERLINK("https://www.773grp.com/globalSearch/UC3823BN/page-1", "UC3823BN")</f>
        <v>UC3823BN</v>
      </c>
      <c r="B19647" s="3" t="str">
        <f>HYPERLINK("https://www.773grp.com/manufacturer/texas-instruments?pageNo=278", "Texas Instruments")</f>
        <v>Texas Instruments</v>
      </c>
      <c r="C19647" s="5">
        <v>4675</v>
      </c>
      <c r="D19647" s="6">
        <v>28.94</v>
      </c>
      <c r="E19647" t="s">
        <v>6</v>
      </c>
    </row>
    <row r="19648" spans="1:5" x14ac:dyDescent="0.25">
      <c r="A19648" t="str">
        <f>HYPERLINK("https://www.773grp.com/globalSearch/UC2824N/page-1", "UC2824N")</f>
        <v>UC2824N</v>
      </c>
      <c r="B19648" s="3" t="str">
        <f>HYPERLINK("https://www.773grp.com/manufacturer/texas-instruments?pageNo=331", "Texas Instruments")</f>
        <v>Texas Instruments</v>
      </c>
      <c r="C19648" s="5">
        <v>29871</v>
      </c>
      <c r="D19648" s="6">
        <v>29.33</v>
      </c>
      <c r="E19648" t="s">
        <v>6</v>
      </c>
    </row>
    <row r="19649" spans="1:5" x14ac:dyDescent="0.25">
      <c r="A19649" t="str">
        <f>HYPERLINK("https://www.773grp.com/globalSearch/UC3824N/page-1", "UC3824N")</f>
        <v>UC3824N</v>
      </c>
      <c r="B19649" s="3" t="str">
        <f>HYPERLINK("https://www.773grp.com/manufacturer/texas-instruments?pageNo=332", "Texas Instruments")</f>
        <v>Texas Instruments</v>
      </c>
      <c r="C19649" s="5">
        <v>10382</v>
      </c>
      <c r="D19649" s="6">
        <v>29.33</v>
      </c>
      <c r="E19649" t="s">
        <v>6</v>
      </c>
    </row>
    <row r="19650" spans="1:5" x14ac:dyDescent="0.25">
      <c r="A19650" t="str">
        <f>HYPERLINK("https://www.773grp.com/globalSearch/PT78HT233V/page-1", "PT78HT233V")</f>
        <v>PT78HT233V</v>
      </c>
      <c r="B19650" s="3" t="str">
        <f>HYPERLINK("https://www.773grp.com/manufacturer/texas-instruments?pageNo=478", "Texas Instruments")</f>
        <v>Texas Instruments</v>
      </c>
      <c r="C19650" s="5">
        <v>1454</v>
      </c>
      <c r="D19650" s="6">
        <v>30.38</v>
      </c>
      <c r="E19650" t="s">
        <v>6</v>
      </c>
    </row>
    <row r="19651" spans="1:5" x14ac:dyDescent="0.25">
      <c r="A19651" t="str">
        <f>HYPERLINK("https://www.773grp.com/globalSearch/PT78HT253V/page-1", "PT78HT253V")</f>
        <v>PT78HT253V</v>
      </c>
      <c r="B19651" s="3" t="str">
        <f>HYPERLINK("https://www.773grp.com/manufacturer/texas-instruments?pageNo=479", "Texas Instruments")</f>
        <v>Texas Instruments</v>
      </c>
      <c r="C19651" s="5">
        <v>78</v>
      </c>
      <c r="D19651" s="6">
        <v>30.38</v>
      </c>
      <c r="E19651" t="s">
        <v>6</v>
      </c>
    </row>
    <row r="19652" spans="1:5" x14ac:dyDescent="0.25">
      <c r="A19652" t="str">
        <f>HYPERLINK("https://www.773grp.com/globalSearch/PT78HT265H/page-1", "PT78HT265H")</f>
        <v>PT78HT265H</v>
      </c>
      <c r="B19652" s="3" t="str">
        <f>HYPERLINK("https://www.773grp.com/manufacturer/texas-instruments?pageNo=480", "Texas Instruments")</f>
        <v>Texas Instruments</v>
      </c>
      <c r="C19652" s="5">
        <v>1354</v>
      </c>
      <c r="D19652" s="6">
        <v>30.38</v>
      </c>
      <c r="E19652" t="s">
        <v>6</v>
      </c>
    </row>
    <row r="19653" spans="1:5" x14ac:dyDescent="0.25">
      <c r="A19653" t="str">
        <f>HYPERLINK("https://www.773grp.com/globalSearch/PT78HT265V/page-1", "PT78HT265V")</f>
        <v>PT78HT265V</v>
      </c>
      <c r="B19653" s="3" t="str">
        <f>HYPERLINK("https://www.773grp.com/manufacturer/texas-instruments?pageNo=482", "Texas Instruments")</f>
        <v>Texas Instruments</v>
      </c>
      <c r="C19653" s="5">
        <v>75</v>
      </c>
      <c r="D19653" s="6">
        <v>30.38</v>
      </c>
      <c r="E19653" t="s">
        <v>6</v>
      </c>
    </row>
    <row r="19654" spans="1:5" x14ac:dyDescent="0.25">
      <c r="A19654" t="str">
        <f>HYPERLINK("https://www.773grp.com/globalSearch/PT78NR112S/page-1", "PT78NR112S")</f>
        <v>PT78NR112S</v>
      </c>
      <c r="B19654" s="3" t="str">
        <f>HYPERLINK("https://www.773grp.com/manufacturer/texas-instruments?pageNo=483", "Texas Instruments")</f>
        <v>Texas Instruments</v>
      </c>
      <c r="C19654" s="5">
        <v>12</v>
      </c>
      <c r="D19654" s="6">
        <v>30.38</v>
      </c>
      <c r="E19654" t="s">
        <v>6</v>
      </c>
    </row>
    <row r="19655" spans="1:5" x14ac:dyDescent="0.25">
      <c r="A19655" t="str">
        <f>HYPERLINK("https://www.773grp.com/globalSearch/PT78ST106V/page-1", "PT78ST106V")</f>
        <v>PT78ST106V</v>
      </c>
      <c r="B19655" s="3" t="str">
        <f>HYPERLINK("https://www.773grp.com/manufacturer/texas-instruments?pageNo=486", "Texas Instruments")</f>
        <v>Texas Instruments</v>
      </c>
      <c r="C19655" s="5">
        <v>1</v>
      </c>
      <c r="D19655" s="6">
        <v>30.38</v>
      </c>
      <c r="E19655" t="s">
        <v>6</v>
      </c>
    </row>
    <row r="19656" spans="1:5" x14ac:dyDescent="0.25">
      <c r="A19656" t="str">
        <f>HYPERLINK("https://www.773grp.com/globalSearch/PT78ST114H/page-1", "PT78ST114H")</f>
        <v>PT78ST114H</v>
      </c>
      <c r="B19656" s="3" t="str">
        <f>HYPERLINK("https://www.773grp.com/manufacturer/texas-instruments?pageNo=488", "Texas Instruments")</f>
        <v>Texas Instruments</v>
      </c>
      <c r="C19656" s="5">
        <v>221</v>
      </c>
      <c r="D19656" s="6">
        <v>30.38</v>
      </c>
      <c r="E19656" t="s">
        <v>6</v>
      </c>
    </row>
    <row r="19657" spans="1:5" x14ac:dyDescent="0.25">
      <c r="A19657" t="str">
        <f>HYPERLINK("https://www.773grp.com/globalSearch/PT78ST115S/page-1", "PT78ST115S")</f>
        <v>PT78ST115S</v>
      </c>
      <c r="B19657" s="3" t="str">
        <f>HYPERLINK("https://www.773grp.com/manufacturer/texas-instruments?pageNo=491", "Texas Instruments")</f>
        <v>Texas Instruments</v>
      </c>
      <c r="C19657" s="5">
        <v>9</v>
      </c>
      <c r="D19657" s="6">
        <v>30.38</v>
      </c>
      <c r="E19657" t="s">
        <v>6</v>
      </c>
    </row>
    <row r="19658" spans="1:5" x14ac:dyDescent="0.25">
      <c r="A19658" t="str">
        <f>HYPERLINK("https://www.773grp.com/globalSearch/UC1843L/page-1", "UC1843L")</f>
        <v>UC1843L</v>
      </c>
      <c r="B19658" s="3" t="str">
        <f>HYPERLINK("https://www.773grp.com/manufacturer/texas-instruments?pageNo=508", "Texas Instruments")</f>
        <v>Texas Instruments</v>
      </c>
      <c r="C19658" s="5">
        <v>12</v>
      </c>
      <c r="D19658" s="6">
        <v>30.55</v>
      </c>
      <c r="E19658" t="s">
        <v>6</v>
      </c>
    </row>
    <row r="19659" spans="1:5" x14ac:dyDescent="0.25">
      <c r="A19659" t="str">
        <f>HYPERLINK("https://www.773grp.com/globalSearch/PTN04050AAH/page-1", "PTN04050AAH")</f>
        <v>PTN04050AAH</v>
      </c>
      <c r="B19659" s="3" t="str">
        <f>HYPERLINK("https://www.773grp.com/manufacturer/texas-instruments?pageNo=520", "Texas Instruments")</f>
        <v>Texas Instruments</v>
      </c>
      <c r="C19659" s="5">
        <v>8</v>
      </c>
      <c r="D19659" s="6">
        <v>30.63</v>
      </c>
      <c r="E19659" t="s">
        <v>6</v>
      </c>
    </row>
    <row r="19660" spans="1:5" x14ac:dyDescent="0.25">
      <c r="A19660" t="str">
        <f>HYPERLINK("https://www.773grp.com/globalSearch/PTN04050AAZ/page-1", "PTN04050AAZ")</f>
        <v>PTN04050AAZ</v>
      </c>
      <c r="B19660" s="3" t="str">
        <f>HYPERLINK("https://www.773grp.com/manufacturer/texas-instruments?pageNo=522", "Texas Instruments")</f>
        <v>Texas Instruments</v>
      </c>
      <c r="C19660" s="5">
        <v>3546</v>
      </c>
      <c r="D19660" s="6">
        <v>30.63</v>
      </c>
      <c r="E19660" t="s">
        <v>6</v>
      </c>
    </row>
    <row r="19661" spans="1:5" x14ac:dyDescent="0.25">
      <c r="A19661" t="str">
        <f>HYPERLINK("https://www.773grp.com/globalSearch/PTN04050AAZT/page-1", "PTN04050AAZT")</f>
        <v>PTN04050AAZT</v>
      </c>
      <c r="B19661" s="3" t="str">
        <f>HYPERLINK("https://www.773grp.com/manufacturer/texas-instruments?pageNo=523", "Texas Instruments")</f>
        <v>Texas Instruments</v>
      </c>
      <c r="C19661" s="5">
        <v>250</v>
      </c>
      <c r="D19661" s="6">
        <v>30.63</v>
      </c>
      <c r="E19661" t="s">
        <v>6</v>
      </c>
    </row>
    <row r="19662" spans="1:5" x14ac:dyDescent="0.25">
      <c r="A19662" t="str">
        <f>HYPERLINK("https://www.773grp.com/globalSearch/PT5021C/page-1", "PT5021C")</f>
        <v>PT5021C</v>
      </c>
      <c r="B19662" s="3" t="str">
        <f>HYPERLINK("https://www.773grp.com/manufacturer/texas-instruments?pageNo=541", "Texas Instruments")</f>
        <v>Texas Instruments</v>
      </c>
      <c r="C19662" s="5">
        <v>85</v>
      </c>
      <c r="D19662" s="6">
        <v>30.75</v>
      </c>
      <c r="E19662" t="s">
        <v>6</v>
      </c>
    </row>
    <row r="19663" spans="1:5" x14ac:dyDescent="0.25">
      <c r="A19663" t="str">
        <f>HYPERLINK("https://www.773grp.com/globalSearch/PT5021N/page-1", "PT5021N")</f>
        <v>PT5021N</v>
      </c>
      <c r="B19663" s="3" t="str">
        <f>HYPERLINK("https://www.773grp.com/manufacturer/texas-instruments?pageNo=542", "Texas Instruments")</f>
        <v>Texas Instruments</v>
      </c>
      <c r="C19663" s="5">
        <v>84</v>
      </c>
      <c r="D19663" s="6">
        <v>30.75</v>
      </c>
      <c r="E19663" t="s">
        <v>6</v>
      </c>
    </row>
    <row r="19664" spans="1:5" x14ac:dyDescent="0.25">
      <c r="A19664" t="str">
        <f>HYPERLINK("https://www.773grp.com/globalSearch/PT5022A/page-1", "PT5022A")</f>
        <v>PT5022A</v>
      </c>
      <c r="B19664" s="3" t="str">
        <f>HYPERLINK("https://www.773grp.com/manufacturer/texas-instruments?pageNo=543", "Texas Instruments")</f>
        <v>Texas Instruments</v>
      </c>
      <c r="C19664" s="5">
        <v>1659</v>
      </c>
      <c r="D19664" s="6">
        <v>30.75</v>
      </c>
      <c r="E19664" t="s">
        <v>6</v>
      </c>
    </row>
    <row r="19665" spans="1:5" x14ac:dyDescent="0.25">
      <c r="A19665" t="str">
        <f>HYPERLINK("https://www.773grp.com/globalSearch/PT5022C/page-1", "PT5022C")</f>
        <v>PT5022C</v>
      </c>
      <c r="B19665" s="3" t="str">
        <f>HYPERLINK("https://www.773grp.com/manufacturer/texas-instruments?pageNo=544", "Texas Instruments")</f>
        <v>Texas Instruments</v>
      </c>
      <c r="C19665" s="5">
        <v>21</v>
      </c>
      <c r="D19665" s="6">
        <v>30.75</v>
      </c>
      <c r="E19665" t="s">
        <v>6</v>
      </c>
    </row>
    <row r="19666" spans="1:5" x14ac:dyDescent="0.25">
      <c r="A19666" t="str">
        <f>HYPERLINK("https://www.773grp.com/globalSearch/PT5023C/page-1", "PT5023C")</f>
        <v>PT5023C</v>
      </c>
      <c r="B19666" s="3" t="str">
        <f>HYPERLINK("https://www.773grp.com/manufacturer/texas-instruments?pageNo=546", "Texas Instruments")</f>
        <v>Texas Instruments</v>
      </c>
      <c r="C19666" s="5">
        <v>35</v>
      </c>
      <c r="D19666" s="6">
        <v>30.75</v>
      </c>
      <c r="E19666" t="s">
        <v>6</v>
      </c>
    </row>
    <row r="19667" spans="1:5" x14ac:dyDescent="0.25">
      <c r="A19667" t="str">
        <f>HYPERLINK("https://www.773grp.com/globalSearch/PT5024C/page-1", "PT5024C")</f>
        <v>PT5024C</v>
      </c>
      <c r="B19667" s="3" t="str">
        <f>HYPERLINK("https://www.773grp.com/manufacturer/texas-instruments?pageNo=548", "Texas Instruments")</f>
        <v>Texas Instruments</v>
      </c>
      <c r="C19667" s="5">
        <v>106</v>
      </c>
      <c r="D19667" s="6">
        <v>30.75</v>
      </c>
      <c r="E19667" t="s">
        <v>6</v>
      </c>
    </row>
    <row r="19668" spans="1:5" x14ac:dyDescent="0.25">
      <c r="A19668" t="str">
        <f>HYPERLINK("https://www.773grp.com/globalSearch/PT5025C/page-1", "PT5025C")</f>
        <v>PT5025C</v>
      </c>
      <c r="B19668" s="3" t="str">
        <f>HYPERLINK("https://www.773grp.com/manufacturer/texas-instruments?pageNo=550", "Texas Instruments")</f>
        <v>Texas Instruments</v>
      </c>
      <c r="C19668" s="5">
        <v>2</v>
      </c>
      <c r="D19668" s="6">
        <v>30.75</v>
      </c>
      <c r="E19668" t="s">
        <v>6</v>
      </c>
    </row>
    <row r="19669" spans="1:5" x14ac:dyDescent="0.25">
      <c r="A19669" t="str">
        <f>HYPERLINK("https://www.773grp.com/globalSearch/PT5026A/page-1", "PT5026A")</f>
        <v>PT5026A</v>
      </c>
      <c r="B19669" s="3" t="str">
        <f>HYPERLINK("https://www.773grp.com/manufacturer/texas-instruments?pageNo=552", "Texas Instruments")</f>
        <v>Texas Instruments</v>
      </c>
      <c r="C19669" s="5">
        <v>70</v>
      </c>
      <c r="D19669" s="6">
        <v>30.75</v>
      </c>
      <c r="E19669" t="s">
        <v>6</v>
      </c>
    </row>
    <row r="19670" spans="1:5" x14ac:dyDescent="0.25">
      <c r="A19670" t="str">
        <f>HYPERLINK("https://www.773grp.com/globalSearch/PT5026C/page-1", "PT5026C")</f>
        <v>PT5026C</v>
      </c>
      <c r="B19670" s="3" t="str">
        <f>HYPERLINK("https://www.773grp.com/manufacturer/texas-instruments?pageNo=553", "Texas Instruments")</f>
        <v>Texas Instruments</v>
      </c>
      <c r="C19670" s="5">
        <v>19</v>
      </c>
      <c r="D19670" s="6">
        <v>30.75</v>
      </c>
      <c r="E19670" t="s">
        <v>6</v>
      </c>
    </row>
    <row r="19671" spans="1:5" x14ac:dyDescent="0.25">
      <c r="A19671" t="str">
        <f>HYPERLINK("https://www.773grp.com/globalSearch/PT5026N/page-1", "PT5026N")</f>
        <v>PT5026N</v>
      </c>
      <c r="B19671" s="3" t="str">
        <f>HYPERLINK("https://www.773grp.com/manufacturer/texas-instruments?pageNo=554", "Texas Instruments")</f>
        <v>Texas Instruments</v>
      </c>
      <c r="C19671" s="5">
        <v>11</v>
      </c>
      <c r="D19671" s="6">
        <v>30.75</v>
      </c>
      <c r="E19671" t="s">
        <v>6</v>
      </c>
    </row>
    <row r="19672" spans="1:5" x14ac:dyDescent="0.25">
      <c r="A19672" t="str">
        <f>HYPERLINK("https://www.773grp.com/globalSearch/PT5027C/page-1", "PT5027C")</f>
        <v>PT5027C</v>
      </c>
      <c r="B19672" s="3" t="str">
        <f>HYPERLINK("https://www.773grp.com/manufacturer/texas-instruments?pageNo=555", "Texas Instruments")</f>
        <v>Texas Instruments</v>
      </c>
      <c r="C19672" s="5">
        <v>85</v>
      </c>
      <c r="D19672" s="6">
        <v>30.75</v>
      </c>
      <c r="E19672" t="s">
        <v>6</v>
      </c>
    </row>
    <row r="19673" spans="1:5" x14ac:dyDescent="0.25">
      <c r="A19673" t="str">
        <f>HYPERLINK("https://www.773grp.com/globalSearch/PT5030A/page-1", "PT5030A")</f>
        <v>PT5030A</v>
      </c>
      <c r="B19673" s="3" t="str">
        <f>HYPERLINK("https://www.773grp.com/manufacturer/texas-instruments?pageNo=556", "Texas Instruments")</f>
        <v>Texas Instruments</v>
      </c>
      <c r="C19673" s="5">
        <v>196</v>
      </c>
      <c r="D19673" s="6">
        <v>30.75</v>
      </c>
      <c r="E19673" t="s">
        <v>6</v>
      </c>
    </row>
    <row r="19674" spans="1:5" x14ac:dyDescent="0.25">
      <c r="A19674" t="str">
        <f>HYPERLINK("https://www.773grp.com/globalSearch/PT5041C/page-1", "PT5041C")</f>
        <v>PT5041C</v>
      </c>
      <c r="B19674" s="3" t="str">
        <f>HYPERLINK("https://www.773grp.com/manufacturer/texas-instruments?pageNo=557", "Texas Instruments")</f>
        <v>Texas Instruments</v>
      </c>
      <c r="C19674" s="5">
        <v>18</v>
      </c>
      <c r="D19674" s="6">
        <v>30.75</v>
      </c>
      <c r="E19674" t="s">
        <v>6</v>
      </c>
    </row>
    <row r="19675" spans="1:5" x14ac:dyDescent="0.25">
      <c r="A19675" t="str">
        <f>HYPERLINK("https://www.773grp.com/globalSearch/PT5041N/page-1", "PT5041N")</f>
        <v>PT5041N</v>
      </c>
      <c r="B19675" s="3" t="str">
        <f>HYPERLINK("https://www.773grp.com/manufacturer/texas-instruments?pageNo=558", "Texas Instruments")</f>
        <v>Texas Instruments</v>
      </c>
      <c r="C19675" s="5">
        <v>167</v>
      </c>
      <c r="D19675" s="6">
        <v>30.75</v>
      </c>
      <c r="E19675" t="s">
        <v>6</v>
      </c>
    </row>
    <row r="19676" spans="1:5" x14ac:dyDescent="0.25">
      <c r="A19676" t="str">
        <f>HYPERLINK("https://www.773grp.com/globalSearch/PT5042N/page-1", "PT5042N")</f>
        <v>PT5042N</v>
      </c>
      <c r="B19676" s="3" t="str">
        <f>HYPERLINK("https://www.773grp.com/manufacturer/texas-instruments?pageNo=559", "Texas Instruments")</f>
        <v>Texas Instruments</v>
      </c>
      <c r="C19676" s="5">
        <v>16</v>
      </c>
      <c r="D19676" s="6">
        <v>30.75</v>
      </c>
      <c r="E19676" t="s">
        <v>6</v>
      </c>
    </row>
    <row r="19677" spans="1:5" x14ac:dyDescent="0.25">
      <c r="A19677" t="str">
        <f>HYPERLINK("https://www.773grp.com/globalSearch/PT5045A/page-1", "PT5045A")</f>
        <v>PT5045A</v>
      </c>
      <c r="B19677" s="3" t="str">
        <f>HYPERLINK("https://www.773grp.com/manufacturer/texas-instruments?pageNo=563", "Texas Instruments")</f>
        <v>Texas Instruments</v>
      </c>
      <c r="C19677" s="5">
        <v>1260</v>
      </c>
      <c r="D19677" s="6">
        <v>30.75</v>
      </c>
      <c r="E19677" t="s">
        <v>6</v>
      </c>
    </row>
    <row r="19678" spans="1:5" x14ac:dyDescent="0.25">
      <c r="A19678" t="str">
        <f>HYPERLINK("https://www.773grp.com/globalSearch/PT5046N/page-1", "PT5046N")</f>
        <v>PT5046N</v>
      </c>
      <c r="B19678" s="3" t="str">
        <f>HYPERLINK("https://www.773grp.com/manufacturer/texas-instruments?pageNo=564", "Texas Instruments")</f>
        <v>Texas Instruments</v>
      </c>
      <c r="C19678" s="5">
        <v>3</v>
      </c>
      <c r="D19678" s="6">
        <v>30.75</v>
      </c>
      <c r="E19678" t="s">
        <v>6</v>
      </c>
    </row>
    <row r="19679" spans="1:5" x14ac:dyDescent="0.25">
      <c r="A19679" t="str">
        <f>HYPERLINK("https://www.773grp.com/globalSearch/PT5047C/page-1", "PT5047C")</f>
        <v>PT5047C</v>
      </c>
      <c r="B19679" s="3" t="str">
        <f>HYPERLINK("https://www.773grp.com/manufacturer/texas-instruments?pageNo=565", "Texas Instruments")</f>
        <v>Texas Instruments</v>
      </c>
      <c r="C19679" s="5">
        <v>63</v>
      </c>
      <c r="D19679" s="6">
        <v>30.75</v>
      </c>
      <c r="E19679" t="s">
        <v>6</v>
      </c>
    </row>
    <row r="19680" spans="1:5" x14ac:dyDescent="0.25">
      <c r="A19680" t="str">
        <f>HYPERLINK("https://www.773grp.com/globalSearch/PT5048A/page-1", "PT5048A")</f>
        <v>PT5048A</v>
      </c>
      <c r="B19680" s="3" t="str">
        <f>HYPERLINK("https://www.773grp.com/manufacturer/texas-instruments?pageNo=566", "Texas Instruments")</f>
        <v>Texas Instruments</v>
      </c>
      <c r="C19680" s="5">
        <v>2</v>
      </c>
      <c r="D19680" s="6">
        <v>30.75</v>
      </c>
      <c r="E19680" t="s">
        <v>6</v>
      </c>
    </row>
    <row r="19681" spans="1:5" x14ac:dyDescent="0.25">
      <c r="A19681" t="str">
        <f>HYPERLINK("https://www.773grp.com/globalSearch/PT5049N/page-1", "PT5049N")</f>
        <v>PT5049N</v>
      </c>
      <c r="B19681" s="3" t="str">
        <f>HYPERLINK("https://www.773grp.com/manufacturer/texas-instruments?pageNo=568", "Texas Instruments")</f>
        <v>Texas Instruments</v>
      </c>
      <c r="C19681" s="5">
        <v>672</v>
      </c>
      <c r="D19681" s="6">
        <v>30.75</v>
      </c>
      <c r="E19681" t="s">
        <v>6</v>
      </c>
    </row>
    <row r="19682" spans="1:5" x14ac:dyDescent="0.25">
      <c r="A19682" t="str">
        <f>HYPERLINK("https://www.773grp.com/globalSearch/PT5541C/page-1", "PT5541C")</f>
        <v>PT5541C</v>
      </c>
      <c r="B19682" s="3" t="str">
        <f>HYPERLINK("https://www.773grp.com/manufacturer/texas-instruments?pageNo=569", "Texas Instruments")</f>
        <v>Texas Instruments</v>
      </c>
      <c r="C19682" s="5">
        <v>64</v>
      </c>
      <c r="D19682" s="6">
        <v>30.75</v>
      </c>
      <c r="E19682" t="s">
        <v>6</v>
      </c>
    </row>
    <row r="19683" spans="1:5" x14ac:dyDescent="0.25">
      <c r="A19683" t="str">
        <f>HYPERLINK("https://www.773grp.com/globalSearch/PT5542C/page-1", "PT5542C")</f>
        <v>PT5542C</v>
      </c>
      <c r="B19683" s="3" t="str">
        <f>HYPERLINK("https://www.773grp.com/manufacturer/texas-instruments?pageNo=570", "Texas Instruments")</f>
        <v>Texas Instruments</v>
      </c>
      <c r="C19683" s="5">
        <v>19</v>
      </c>
      <c r="D19683" s="6">
        <v>30.75</v>
      </c>
      <c r="E19683" t="s">
        <v>6</v>
      </c>
    </row>
    <row r="19684" spans="1:5" x14ac:dyDescent="0.25">
      <c r="A19684" t="str">
        <f>HYPERLINK("https://www.773grp.com/globalSearch/PT5023A/page-1", "PT5023A")</f>
        <v>PT5023A</v>
      </c>
      <c r="B19684" s="3" t="str">
        <f>HYPERLINK("https://www.773grp.com/manufacturer/texas-instruments?pageNo=588", "Texas Instruments")</f>
        <v>Texas Instruments</v>
      </c>
      <c r="C19684" s="5">
        <v>60</v>
      </c>
      <c r="D19684" s="6">
        <v>30.8</v>
      </c>
      <c r="E19684" t="s">
        <v>6</v>
      </c>
    </row>
    <row r="19685" spans="1:5" x14ac:dyDescent="0.25">
      <c r="A19685" t="str">
        <f>HYPERLINK("https://www.773grp.com/globalSearch/PT5023N/page-1", "PT5023N")</f>
        <v>PT5023N</v>
      </c>
      <c r="B19685" s="3" t="str">
        <f>HYPERLINK("https://www.773grp.com/manufacturer/texas-instruments?pageNo=589", "Texas Instruments")</f>
        <v>Texas Instruments</v>
      </c>
      <c r="C19685" s="5">
        <v>35</v>
      </c>
      <c r="D19685" s="6">
        <v>30.8</v>
      </c>
      <c r="E19685" t="s">
        <v>6</v>
      </c>
    </row>
    <row r="19686" spans="1:5" x14ac:dyDescent="0.25">
      <c r="A19686" t="str">
        <f>HYPERLINK("https://www.773grp.com/globalSearch/PT5027A/page-1", "PT5027A")</f>
        <v>PT5027A</v>
      </c>
      <c r="B19686" s="3" t="str">
        <f>HYPERLINK("https://www.773grp.com/manufacturer/texas-instruments?pageNo=590", "Texas Instruments")</f>
        <v>Texas Instruments</v>
      </c>
      <c r="C19686" s="5">
        <v>690</v>
      </c>
      <c r="D19686" s="6">
        <v>30.8</v>
      </c>
      <c r="E19686" t="s">
        <v>6</v>
      </c>
    </row>
    <row r="19687" spans="1:5" x14ac:dyDescent="0.25">
      <c r="A19687" t="str">
        <f>HYPERLINK("https://www.773grp.com/globalSearch/PT5030C/page-1", "PT5030C")</f>
        <v>PT5030C</v>
      </c>
      <c r="B19687" s="3" t="str">
        <f>HYPERLINK("https://www.773grp.com/manufacturer/texas-instruments?pageNo=591", "Texas Instruments")</f>
        <v>Texas Instruments</v>
      </c>
      <c r="C19687" s="5">
        <v>35</v>
      </c>
      <c r="D19687" s="6">
        <v>30.8</v>
      </c>
      <c r="E19687" t="s">
        <v>6</v>
      </c>
    </row>
    <row r="19688" spans="1:5" x14ac:dyDescent="0.25">
      <c r="A19688" t="str">
        <f>HYPERLINK("https://www.773grp.com/globalSearch/PT5031N/page-1", "PT5031N")</f>
        <v>PT5031N</v>
      </c>
      <c r="B19688" s="3" t="str">
        <f>HYPERLINK("https://www.773grp.com/manufacturer/texas-instruments?pageNo=592", "Texas Instruments")</f>
        <v>Texas Instruments</v>
      </c>
      <c r="C19688" s="5">
        <v>5</v>
      </c>
      <c r="D19688" s="6">
        <v>30.8</v>
      </c>
      <c r="E19688" t="s">
        <v>6</v>
      </c>
    </row>
    <row r="19689" spans="1:5" x14ac:dyDescent="0.25">
      <c r="A19689" t="str">
        <f>HYPERLINK("https://www.773grp.com/globalSearch/PT5042C/page-1", "PT5042C")</f>
        <v>PT5042C</v>
      </c>
      <c r="B19689" s="3" t="str">
        <f>HYPERLINK("https://www.773grp.com/manufacturer/texas-instruments?pageNo=593", "Texas Instruments")</f>
        <v>Texas Instruments</v>
      </c>
      <c r="C19689" s="5">
        <v>50</v>
      </c>
      <c r="D19689" s="6">
        <v>30.8</v>
      </c>
      <c r="E19689" t="s">
        <v>6</v>
      </c>
    </row>
    <row r="19690" spans="1:5" x14ac:dyDescent="0.25">
      <c r="A19690" t="str">
        <f>HYPERLINK("https://www.773grp.com/globalSearch/PT5045C/page-1", "PT5045C")</f>
        <v>PT5045C</v>
      </c>
      <c r="B19690" s="3" t="str">
        <f>HYPERLINK("https://www.773grp.com/manufacturer/texas-instruments?pageNo=594", "Texas Instruments")</f>
        <v>Texas Instruments</v>
      </c>
      <c r="C19690" s="5">
        <v>171</v>
      </c>
      <c r="D19690" s="6">
        <v>30.8</v>
      </c>
      <c r="E19690" t="s">
        <v>6</v>
      </c>
    </row>
    <row r="19691" spans="1:5" x14ac:dyDescent="0.25">
      <c r="A19691" t="str">
        <f>HYPERLINK("https://www.773grp.com/globalSearch/PT5046A/page-1", "PT5046A")</f>
        <v>PT5046A</v>
      </c>
      <c r="B19691" s="3" t="str">
        <f>HYPERLINK("https://www.773grp.com/manufacturer/texas-instruments?pageNo=595", "Texas Instruments")</f>
        <v>Texas Instruments</v>
      </c>
      <c r="C19691" s="5">
        <v>128</v>
      </c>
      <c r="D19691" s="6">
        <v>30.8</v>
      </c>
      <c r="E19691" t="s">
        <v>6</v>
      </c>
    </row>
    <row r="19692" spans="1:5" x14ac:dyDescent="0.25">
      <c r="A19692" t="str">
        <f>HYPERLINK("https://www.773grp.com/globalSearch/PT5049C/page-1", "PT5049C")</f>
        <v>PT5049C</v>
      </c>
      <c r="B19692" s="3" t="str">
        <f>HYPERLINK("https://www.773grp.com/manufacturer/texas-instruments?pageNo=596", "Texas Instruments")</f>
        <v>Texas Instruments</v>
      </c>
      <c r="C19692" s="5">
        <v>24</v>
      </c>
      <c r="D19692" s="6">
        <v>30.8</v>
      </c>
      <c r="E19692" t="s">
        <v>6</v>
      </c>
    </row>
    <row r="19693" spans="1:5" x14ac:dyDescent="0.25">
      <c r="A19693" t="str">
        <f>HYPERLINK("https://www.773grp.com/globalSearch/PT5541A/page-1", "PT5541A")</f>
        <v>PT5541A</v>
      </c>
      <c r="B19693" s="3" t="str">
        <f>HYPERLINK("https://www.773grp.com/manufacturer/texas-instruments?pageNo=597", "Texas Instruments")</f>
        <v>Texas Instruments</v>
      </c>
      <c r="C19693" s="5">
        <v>155</v>
      </c>
      <c r="D19693" s="6">
        <v>30.8</v>
      </c>
      <c r="E19693" t="s">
        <v>6</v>
      </c>
    </row>
    <row r="19694" spans="1:5" x14ac:dyDescent="0.25">
      <c r="A19694" t="str">
        <f>HYPERLINK("https://www.773grp.com/globalSearch/PT5544C/page-1", "PT5544C")</f>
        <v>PT5544C</v>
      </c>
      <c r="B19694" s="3" t="str">
        <f>HYPERLINK("https://www.773grp.com/manufacturer/texas-instruments?pageNo=598", "Texas Instruments")</f>
        <v>Texas Instruments</v>
      </c>
      <c r="C19694" s="5">
        <v>45</v>
      </c>
      <c r="D19694" s="6">
        <v>30.8</v>
      </c>
      <c r="E19694" t="s">
        <v>6</v>
      </c>
    </row>
    <row r="19695" spans="1:5" x14ac:dyDescent="0.25">
      <c r="A19695" t="str">
        <f>HYPERLINK("https://www.773grp.com/globalSearch/UC1524AL/page-1", "UC1524AL")</f>
        <v>UC1524AL</v>
      </c>
      <c r="B19695" s="3" t="str">
        <f>HYPERLINK("https://www.773grp.com/manufacturer/texas-instruments?pageNo=607", "Texas Instruments")</f>
        <v>Texas Instruments</v>
      </c>
      <c r="C19695" s="5">
        <v>4</v>
      </c>
      <c r="D19695" s="6">
        <v>30.83</v>
      </c>
      <c r="E19695" t="s">
        <v>6</v>
      </c>
    </row>
    <row r="19696" spans="1:5" x14ac:dyDescent="0.25">
      <c r="A19696" t="str">
        <f>HYPERLINK("https://www.773grp.com/globalSearch/UC3876N/page-1", "UC3876N")</f>
        <v>UC3876N</v>
      </c>
      <c r="B19696" s="3" t="str">
        <f>HYPERLINK("https://www.773grp.com/manufacturer/texas-instruments?pageNo=717", "Texas Instruments")</f>
        <v>Texas Instruments</v>
      </c>
      <c r="C19696" s="5">
        <v>343</v>
      </c>
      <c r="D19696" s="6">
        <v>31.73</v>
      </c>
      <c r="E19696" t="s">
        <v>6</v>
      </c>
    </row>
    <row r="19697" spans="1:5" x14ac:dyDescent="0.25">
      <c r="A19697" t="str">
        <f>HYPERLINK("https://www.773grp.com/globalSearch/PT79SR106S/page-1", "PT79SR106S")</f>
        <v>PT79SR106S</v>
      </c>
      <c r="B19697" s="3" t="str">
        <f>HYPERLINK("https://www.773grp.com/manufacturer/texas-instruments?pageNo=724", "Texas Instruments")</f>
        <v>Texas Instruments</v>
      </c>
      <c r="C19697" s="5">
        <v>37</v>
      </c>
      <c r="D19697" s="6">
        <v>31.78</v>
      </c>
      <c r="E19697" t="s">
        <v>6</v>
      </c>
    </row>
    <row r="19698" spans="1:5" x14ac:dyDescent="0.25">
      <c r="A19698" t="str">
        <f>HYPERLINK("https://www.773grp.com/globalSearch/PT79SR108H/page-1", "PT79SR108H")</f>
        <v>PT79SR108H</v>
      </c>
      <c r="B19698" s="3" t="str">
        <f>HYPERLINK("https://www.773grp.com/manufacturer/texas-instruments?pageNo=725", "Texas Instruments")</f>
        <v>Texas Instruments</v>
      </c>
      <c r="C19698" s="5">
        <v>124</v>
      </c>
      <c r="D19698" s="6">
        <v>31.78</v>
      </c>
      <c r="E19698" t="s">
        <v>6</v>
      </c>
    </row>
    <row r="19699" spans="1:5" x14ac:dyDescent="0.25">
      <c r="A19699" t="str">
        <f>HYPERLINK("https://www.773grp.com/globalSearch/PT79SR108S/page-1", "PT79SR108S")</f>
        <v>PT79SR108S</v>
      </c>
      <c r="B19699" s="3" t="str">
        <f>HYPERLINK("https://www.773grp.com/manufacturer/texas-instruments?pageNo=726", "Texas Instruments")</f>
        <v>Texas Instruments</v>
      </c>
      <c r="C19699" s="5">
        <v>79</v>
      </c>
      <c r="D19699" s="6">
        <v>31.78</v>
      </c>
      <c r="E19699" t="s">
        <v>6</v>
      </c>
    </row>
    <row r="19700" spans="1:5" x14ac:dyDescent="0.25">
      <c r="A19700" t="str">
        <f>HYPERLINK("https://www.773grp.com/globalSearch/PT79SR108S/page-1", "PT79SR108S")</f>
        <v>PT79SR108S</v>
      </c>
      <c r="B19700" s="3" t="str">
        <f>HYPERLINK("https://www.773grp.com/manufacturer/texas-instruments?pageNo=727", "Texas Instruments")</f>
        <v>Texas Instruments</v>
      </c>
      <c r="C19700" s="5">
        <v>11</v>
      </c>
      <c r="D19700" s="6">
        <v>31.78</v>
      </c>
      <c r="E19700" t="s">
        <v>6</v>
      </c>
    </row>
    <row r="19701" spans="1:5" x14ac:dyDescent="0.25">
      <c r="A19701" t="str">
        <f>HYPERLINK("https://www.773grp.com/globalSearch/PT79SR109H/page-1", "PT79SR109H")</f>
        <v>PT79SR109H</v>
      </c>
      <c r="B19701" s="3" t="str">
        <f>HYPERLINK("https://www.773grp.com/manufacturer/texas-instruments?pageNo=728", "Texas Instruments")</f>
        <v>Texas Instruments</v>
      </c>
      <c r="C19701" s="5">
        <v>441</v>
      </c>
      <c r="D19701" s="6">
        <v>31.78</v>
      </c>
      <c r="E19701" t="s">
        <v>6</v>
      </c>
    </row>
    <row r="19702" spans="1:5" x14ac:dyDescent="0.25">
      <c r="A19702" t="str">
        <f>HYPERLINK("https://www.773grp.com/globalSearch/PT79SR109S/page-1", "PT79SR109S")</f>
        <v>PT79SR109S</v>
      </c>
      <c r="B19702" s="3" t="str">
        <f>HYPERLINK("https://www.773grp.com/manufacturer/texas-instruments?pageNo=729", "Texas Instruments")</f>
        <v>Texas Instruments</v>
      </c>
      <c r="C19702" s="5">
        <v>75</v>
      </c>
      <c r="D19702" s="6">
        <v>31.78</v>
      </c>
      <c r="E19702" t="s">
        <v>6</v>
      </c>
    </row>
    <row r="19703" spans="1:5" x14ac:dyDescent="0.25">
      <c r="A19703" t="str">
        <f>HYPERLINK("https://www.773grp.com/globalSearch/PT5022H/page-1", "PT5022H")</f>
        <v>PT5022H</v>
      </c>
      <c r="B19703" s="3" t="str">
        <f>HYPERLINK("https://www.773grp.com/manufacturer/texas-instruments?pageNo=779", "Texas Instruments")</f>
        <v>Texas Instruments</v>
      </c>
      <c r="C19703" s="5">
        <v>112</v>
      </c>
      <c r="D19703" s="6">
        <v>32.15</v>
      </c>
      <c r="E19703" t="s">
        <v>6</v>
      </c>
    </row>
    <row r="19704" spans="1:5" x14ac:dyDescent="0.25">
      <c r="A19704" t="str">
        <f>HYPERLINK("https://www.773grp.com/globalSearch/PT5022L/page-1", "PT5022L")</f>
        <v>PT5022L</v>
      </c>
      <c r="B19704" s="3" t="str">
        <f>HYPERLINK("https://www.773grp.com/manufacturer/texas-instruments?pageNo=780", "Texas Instruments")</f>
        <v>Texas Instruments</v>
      </c>
      <c r="C19704" s="5">
        <v>13</v>
      </c>
      <c r="D19704" s="6">
        <v>32.15</v>
      </c>
      <c r="E19704" t="s">
        <v>6</v>
      </c>
    </row>
    <row r="19705" spans="1:5" x14ac:dyDescent="0.25">
      <c r="A19705" t="str">
        <f>HYPERLINK("https://www.773grp.com/globalSearch/PT5022M/page-1", "PT5022M")</f>
        <v>PT5022M</v>
      </c>
      <c r="B19705" s="3" t="str">
        <f>HYPERLINK("https://www.773grp.com/manufacturer/texas-instruments?pageNo=781", "Texas Instruments")</f>
        <v>Texas Instruments</v>
      </c>
      <c r="C19705" s="5">
        <v>102</v>
      </c>
      <c r="D19705" s="6">
        <v>32.15</v>
      </c>
      <c r="E19705" t="s">
        <v>6</v>
      </c>
    </row>
    <row r="19706" spans="1:5" x14ac:dyDescent="0.25">
      <c r="A19706" t="str">
        <f>HYPERLINK("https://www.773grp.com/globalSearch/PT5024L/page-1", "PT5024L")</f>
        <v>PT5024L</v>
      </c>
      <c r="B19706" s="3" t="str">
        <f>HYPERLINK("https://www.773grp.com/manufacturer/texas-instruments?pageNo=782", "Texas Instruments")</f>
        <v>Texas Instruments</v>
      </c>
      <c r="C19706" s="5">
        <v>52</v>
      </c>
      <c r="D19706" s="6">
        <v>32.15</v>
      </c>
      <c r="E19706" t="s">
        <v>6</v>
      </c>
    </row>
    <row r="19707" spans="1:5" x14ac:dyDescent="0.25">
      <c r="A19707" t="str">
        <f>HYPERLINK("https://www.773grp.com/globalSearch/PT5025L/page-1", "PT5025L")</f>
        <v>PT5025L</v>
      </c>
      <c r="B19707" s="3" t="str">
        <f>HYPERLINK("https://www.773grp.com/manufacturer/texas-instruments?pageNo=784", "Texas Instruments")</f>
        <v>Texas Instruments</v>
      </c>
      <c r="C19707" s="5">
        <v>20</v>
      </c>
      <c r="D19707" s="6">
        <v>32.15</v>
      </c>
      <c r="E19707" t="s">
        <v>6</v>
      </c>
    </row>
    <row r="19708" spans="1:5" x14ac:dyDescent="0.25">
      <c r="A19708" t="str">
        <f>HYPERLINK("https://www.773grp.com/globalSearch/PT5026H/page-1", "PT5026H")</f>
        <v>PT5026H</v>
      </c>
      <c r="B19708" s="3" t="str">
        <f>HYPERLINK("https://www.773grp.com/manufacturer/texas-instruments?pageNo=785", "Texas Instruments")</f>
        <v>Texas Instruments</v>
      </c>
      <c r="C19708" s="5">
        <v>273</v>
      </c>
      <c r="D19708" s="6">
        <v>32.15</v>
      </c>
      <c r="E19708" t="s">
        <v>6</v>
      </c>
    </row>
    <row r="19709" spans="1:5" x14ac:dyDescent="0.25">
      <c r="A19709" t="str">
        <f>HYPERLINK("https://www.773grp.com/globalSearch/PT5026L/page-1", "PT5026L")</f>
        <v>PT5026L</v>
      </c>
      <c r="B19709" s="3" t="str">
        <f>HYPERLINK("https://www.773grp.com/manufacturer/texas-instruments?pageNo=786", "Texas Instruments")</f>
        <v>Texas Instruments</v>
      </c>
      <c r="C19709" s="5">
        <v>1752</v>
      </c>
      <c r="D19709" s="6">
        <v>32.15</v>
      </c>
      <c r="E19709" t="s">
        <v>6</v>
      </c>
    </row>
    <row r="19710" spans="1:5" x14ac:dyDescent="0.25">
      <c r="A19710" t="str">
        <f>HYPERLINK("https://www.773grp.com/globalSearch/PT5026M/page-1", "PT5026M")</f>
        <v>PT5026M</v>
      </c>
      <c r="B19710" s="3" t="str">
        <f>HYPERLINK("https://www.773grp.com/manufacturer/texas-instruments?pageNo=787", "Texas Instruments")</f>
        <v>Texas Instruments</v>
      </c>
      <c r="C19710" s="5">
        <v>1090</v>
      </c>
      <c r="D19710" s="6">
        <v>32.15</v>
      </c>
      <c r="E19710" t="s">
        <v>6</v>
      </c>
    </row>
    <row r="19711" spans="1:5" x14ac:dyDescent="0.25">
      <c r="A19711" t="str">
        <f>HYPERLINK("https://www.773grp.com/globalSearch/PT5041L/page-1", "PT5041L")</f>
        <v>PT5041L</v>
      </c>
      <c r="B19711" s="3" t="str">
        <f>HYPERLINK("https://www.773grp.com/manufacturer/texas-instruments?pageNo=789", "Texas Instruments")</f>
        <v>Texas Instruments</v>
      </c>
      <c r="C19711" s="5">
        <v>50</v>
      </c>
      <c r="D19711" s="6">
        <v>32.15</v>
      </c>
      <c r="E19711" t="s">
        <v>6</v>
      </c>
    </row>
    <row r="19712" spans="1:5" x14ac:dyDescent="0.25">
      <c r="A19712" t="str">
        <f>HYPERLINK("https://www.773grp.com/globalSearch/PT5041M/page-1", "PT5041M")</f>
        <v>PT5041M</v>
      </c>
      <c r="B19712" s="3" t="str">
        <f>HYPERLINK("https://www.773grp.com/manufacturer/texas-instruments?pageNo=790", "Texas Instruments")</f>
        <v>Texas Instruments</v>
      </c>
      <c r="C19712" s="5">
        <v>105</v>
      </c>
      <c r="D19712" s="6">
        <v>32.15</v>
      </c>
      <c r="E19712" t="s">
        <v>6</v>
      </c>
    </row>
    <row r="19713" spans="1:5" x14ac:dyDescent="0.25">
      <c r="A19713" t="str">
        <f>HYPERLINK("https://www.773grp.com/globalSearch/PT5042L/page-1", "PT5042L")</f>
        <v>PT5042L</v>
      </c>
      <c r="B19713" s="3" t="str">
        <f>HYPERLINK("https://www.773grp.com/manufacturer/texas-instruments?pageNo=791", "Texas Instruments")</f>
        <v>Texas Instruments</v>
      </c>
      <c r="C19713" s="5">
        <v>36</v>
      </c>
      <c r="D19713" s="6">
        <v>32.15</v>
      </c>
      <c r="E19713" t="s">
        <v>6</v>
      </c>
    </row>
    <row r="19714" spans="1:5" x14ac:dyDescent="0.25">
      <c r="A19714" t="str">
        <f>HYPERLINK("https://www.773grp.com/globalSearch/PT5044M/page-1", "PT5044M")</f>
        <v>PT5044M</v>
      </c>
      <c r="B19714" s="3" t="str">
        <f>HYPERLINK("https://www.773grp.com/manufacturer/texas-instruments?pageNo=792", "Texas Instruments")</f>
        <v>Texas Instruments</v>
      </c>
      <c r="C19714" s="5">
        <v>60</v>
      </c>
      <c r="D19714" s="6">
        <v>32.15</v>
      </c>
      <c r="E19714" t="s">
        <v>6</v>
      </c>
    </row>
    <row r="19715" spans="1:5" x14ac:dyDescent="0.25">
      <c r="A19715" t="str">
        <f>HYPERLINK("https://www.773grp.com/globalSearch/PT5047H/page-1", "PT5047H")</f>
        <v>PT5047H</v>
      </c>
      <c r="B19715" s="3" t="str">
        <f>HYPERLINK("https://www.773grp.com/manufacturer/texas-instruments?pageNo=793", "Texas Instruments")</f>
        <v>Texas Instruments</v>
      </c>
      <c r="C19715" s="5">
        <v>119</v>
      </c>
      <c r="D19715" s="6">
        <v>32.15</v>
      </c>
      <c r="E19715" t="s">
        <v>6</v>
      </c>
    </row>
    <row r="19716" spans="1:5" x14ac:dyDescent="0.25">
      <c r="A19716" t="str">
        <f>HYPERLINK("https://www.773grp.com/globalSearch/PT5041J/page-1", "PT5041J")</f>
        <v>PT5041J</v>
      </c>
      <c r="B19716" s="3" t="str">
        <f>HYPERLINK("https://www.773grp.com/manufacturer/texas-instruments?pageNo=805", "Texas Instruments")</f>
        <v>Texas Instruments</v>
      </c>
      <c r="C19716" s="5">
        <v>1715</v>
      </c>
      <c r="D19716" s="6">
        <v>32.200000000000003</v>
      </c>
      <c r="E19716" t="s">
        <v>6</v>
      </c>
    </row>
    <row r="19717" spans="1:5" x14ac:dyDescent="0.25">
      <c r="A19717" t="str">
        <f>HYPERLINK("https://www.773grp.com/globalSearch/PT5103J/page-1", "PT5103J")</f>
        <v>PT5103J</v>
      </c>
      <c r="B19717" s="3" t="str">
        <f>HYPERLINK("https://www.773grp.com/manufacturer/texas-instruments?pageNo=832", "Texas Instruments")</f>
        <v>Texas Instruments</v>
      </c>
      <c r="C19717" s="5">
        <v>8</v>
      </c>
      <c r="D19717" s="6">
        <v>32.35</v>
      </c>
      <c r="E19717" t="s">
        <v>6</v>
      </c>
    </row>
    <row r="19718" spans="1:5" x14ac:dyDescent="0.25">
      <c r="A19718" t="str">
        <f>HYPERLINK("https://www.773grp.com/globalSearch/UC2846J/page-1", "UC2846J")</f>
        <v>UC2846J</v>
      </c>
      <c r="B19718" s="3" t="str">
        <f>HYPERLINK("https://www.773grp.com/manufacturer/texas-instruments?pageNo=842", "Texas Instruments")</f>
        <v>Texas Instruments</v>
      </c>
      <c r="C19718" s="5">
        <v>22</v>
      </c>
      <c r="D19718" s="6">
        <v>32.35</v>
      </c>
      <c r="E19718" t="s">
        <v>6</v>
      </c>
    </row>
    <row r="19719" spans="1:5" x14ac:dyDescent="0.25">
      <c r="A19719" t="str">
        <f>HYPERLINK("https://www.773grp.com/globalSearch/UC2851DW/page-1", "UC2851DW")</f>
        <v>UC2851DW</v>
      </c>
      <c r="B19719" s="3" t="str">
        <f>HYPERLINK("https://www.773grp.com/manufacturer/texas-instruments?pageNo=857", "Texas Instruments")</f>
        <v>Texas Instruments</v>
      </c>
      <c r="C19719" s="5">
        <v>6</v>
      </c>
      <c r="D19719" s="6">
        <v>32.51</v>
      </c>
      <c r="E19719" t="s">
        <v>6</v>
      </c>
    </row>
    <row r="19720" spans="1:5" x14ac:dyDescent="0.25">
      <c r="A19720" t="str">
        <f>HYPERLINK("https://www.773grp.com/globalSearch/UC2851DW/page-1", "UC2851DW")</f>
        <v>UC2851DW</v>
      </c>
      <c r="B19720" s="3" t="str">
        <f>HYPERLINK("https://www.773grp.com/manufacturer/texas-instruments?pageNo=858", "Texas Instruments")</f>
        <v>Texas Instruments</v>
      </c>
      <c r="C19720" s="5">
        <v>9955</v>
      </c>
      <c r="D19720" s="6">
        <v>32.51</v>
      </c>
      <c r="E19720" t="s">
        <v>6</v>
      </c>
    </row>
    <row r="19721" spans="1:5" x14ac:dyDescent="0.25">
      <c r="A19721" t="str">
        <f>HYPERLINK("https://www.773grp.com/globalSearch/UC3851DW/page-1", "UC3851DW")</f>
        <v>UC3851DW</v>
      </c>
      <c r="B19721" s="3" t="str">
        <f>HYPERLINK("https://www.773grp.com/manufacturer/texas-instruments?pageNo=859", "Texas Instruments")</f>
        <v>Texas Instruments</v>
      </c>
      <c r="C19721" s="5">
        <v>14047</v>
      </c>
      <c r="D19721" s="6">
        <v>32.51</v>
      </c>
      <c r="E19721" t="s">
        <v>6</v>
      </c>
    </row>
    <row r="19722" spans="1:5" x14ac:dyDescent="0.25">
      <c r="A19722" t="str">
        <f>HYPERLINK("https://www.773grp.com/globalSearch/UC1524AL883B/page-1", "UC1524AL883B")</f>
        <v>UC1524AL883B</v>
      </c>
      <c r="B19722" s="3" t="str">
        <f>HYPERLINK("https://www.773grp.com/manufacturer/texas-instruments?pageNo=905", "Texas Instruments")</f>
        <v>Texas Instruments</v>
      </c>
      <c r="C19722" s="5">
        <v>299</v>
      </c>
      <c r="D19722" s="6">
        <v>33.08</v>
      </c>
      <c r="E19722" t="s">
        <v>6</v>
      </c>
    </row>
    <row r="19723" spans="1:5" x14ac:dyDescent="0.25">
      <c r="A19723" t="str">
        <f>HYPERLINK("https://www.773grp.com/globalSearch/PT6314N/page-1", "PT6314N")</f>
        <v>PT6314N</v>
      </c>
      <c r="B19723" s="3" t="str">
        <f>HYPERLINK("https://www.773grp.com/manufacturer/texas-instruments?pageNo=978", "Texas Instruments")</f>
        <v>Texas Instruments</v>
      </c>
      <c r="C19723" s="5">
        <v>12</v>
      </c>
      <c r="D19723" s="6">
        <v>33.409999999999997</v>
      </c>
      <c r="E19723" t="s">
        <v>6</v>
      </c>
    </row>
    <row r="19724" spans="1:5" x14ac:dyDescent="0.25">
      <c r="A19724" t="str">
        <f>HYPERLINK("https://www.773grp.com/globalSearch/UC1573J/page-1", "UC1573J")</f>
        <v>UC1573J</v>
      </c>
      <c r="B19724" s="3" t="s">
        <v>90</v>
      </c>
      <c r="C19724" s="5">
        <v>34</v>
      </c>
      <c r="D19724" s="6">
        <v>33.5</v>
      </c>
      <c r="E19724" t="s">
        <v>6</v>
      </c>
    </row>
    <row r="19725" spans="1:5" x14ac:dyDescent="0.25">
      <c r="A19725" t="str">
        <f>HYPERLINK("https://www.773grp.com/globalSearch/UCC1800J/page-1", "UCC1800J")</f>
        <v>UCC1800J</v>
      </c>
      <c r="B19725" s="3" t="s">
        <v>90</v>
      </c>
      <c r="C19725" s="5">
        <v>22</v>
      </c>
      <c r="D19725" s="6">
        <v>33.700000000000003</v>
      </c>
      <c r="E19725" t="s">
        <v>6</v>
      </c>
    </row>
    <row r="19726" spans="1:5" x14ac:dyDescent="0.25">
      <c r="A19726" t="str">
        <f>HYPERLINK("https://www.773grp.com/globalSearch/PT6213P/page-1", "PT6213P")</f>
        <v>PT6213P</v>
      </c>
      <c r="B19726" s="3" t="s">
        <v>90</v>
      </c>
      <c r="C19726" s="5">
        <v>2</v>
      </c>
      <c r="D19726" s="6">
        <v>34.29</v>
      </c>
      <c r="E19726" t="s">
        <v>6</v>
      </c>
    </row>
    <row r="19727" spans="1:5" x14ac:dyDescent="0.25">
      <c r="A19727" t="str">
        <f>HYPERLINK("https://www.773grp.com/globalSearch/UC2577T-ADJ/page-1", "UC2577T-ADJ")</f>
        <v>UC2577T-ADJ</v>
      </c>
      <c r="B19727" s="3" t="s">
        <v>90</v>
      </c>
      <c r="C19727" s="5">
        <v>26208</v>
      </c>
      <c r="D19727" s="6">
        <v>34.29</v>
      </c>
      <c r="E19727" t="s">
        <v>6</v>
      </c>
    </row>
    <row r="19728" spans="1:5" x14ac:dyDescent="0.25">
      <c r="A19728" t="str">
        <f>HYPERLINK("https://www.773grp.com/globalSearch/UC2577T-ADJ/page-1", "UC2577T-ADJ")</f>
        <v>UC2577T-ADJ</v>
      </c>
      <c r="B19728" s="3" t="s">
        <v>90</v>
      </c>
      <c r="C19728" s="5">
        <v>140</v>
      </c>
      <c r="D19728" s="6">
        <v>34.29</v>
      </c>
      <c r="E19728" t="s">
        <v>6</v>
      </c>
    </row>
    <row r="19729" spans="1:5" x14ac:dyDescent="0.25">
      <c r="A19729" t="str">
        <f>HYPERLINK("https://www.773grp.com/globalSearch/PT5061C/page-1", "PT5061C")</f>
        <v>PT5061C</v>
      </c>
      <c r="B19729" s="3" t="s">
        <v>90</v>
      </c>
      <c r="C19729" s="5">
        <v>5</v>
      </c>
      <c r="D19729" s="6">
        <v>34.94</v>
      </c>
      <c r="E19729" t="s">
        <v>6</v>
      </c>
    </row>
    <row r="19730" spans="1:5" x14ac:dyDescent="0.25">
      <c r="A19730" t="str">
        <f>HYPERLINK("https://www.773grp.com/globalSearch/PT5061N/page-1", "PT5061N")</f>
        <v>PT5061N</v>
      </c>
      <c r="B19730" s="3" t="s">
        <v>90</v>
      </c>
      <c r="C19730" s="5">
        <v>11</v>
      </c>
      <c r="D19730" s="6">
        <v>34.94</v>
      </c>
      <c r="E19730" t="s">
        <v>6</v>
      </c>
    </row>
    <row r="19731" spans="1:5" x14ac:dyDescent="0.25">
      <c r="A19731" t="str">
        <f>HYPERLINK("https://www.773grp.com/globalSearch/UCC1804J/page-1", "UCC1804J")</f>
        <v>UCC1804J</v>
      </c>
      <c r="B19731" s="3" t="s">
        <v>90</v>
      </c>
      <c r="C19731" s="5">
        <v>371</v>
      </c>
      <c r="D19731" s="6">
        <v>35.01</v>
      </c>
      <c r="E19731" t="s">
        <v>6</v>
      </c>
    </row>
    <row r="19732" spans="1:5" x14ac:dyDescent="0.25">
      <c r="A19732" t="str">
        <f>HYPERLINK("https://www.773grp.com/globalSearch/5962-8670403XA/page-1", "5962-8670403XA")</f>
        <v>5962-8670403XA</v>
      </c>
      <c r="B19732" s="3" t="s">
        <v>90</v>
      </c>
      <c r="C19732" s="5">
        <v>52</v>
      </c>
      <c r="D19732" s="6">
        <v>35.4</v>
      </c>
      <c r="E19732" t="s">
        <v>6</v>
      </c>
    </row>
    <row r="19733" spans="1:5" x14ac:dyDescent="0.25">
      <c r="A19733" t="str">
        <f>HYPERLINK("https://www.773grp.com/globalSearch/UC1846J-80257/page-1", "UC1846J-80257")</f>
        <v>UC1846J-80257</v>
      </c>
      <c r="B19733" s="3" t="s">
        <v>90</v>
      </c>
      <c r="C19733" s="5">
        <v>33</v>
      </c>
      <c r="D19733" s="6">
        <v>35.479999999999997</v>
      </c>
      <c r="E19733" t="s">
        <v>6</v>
      </c>
    </row>
    <row r="19734" spans="1:5" x14ac:dyDescent="0.25">
      <c r="A19734" t="str">
        <f>HYPERLINK("https://www.773grp.com/globalSearch/UC1846J-80364/page-1", "UC1846J-80364")</f>
        <v>UC1846J-80364</v>
      </c>
      <c r="B19734" s="3" t="s">
        <v>90</v>
      </c>
      <c r="C19734" s="5">
        <v>22</v>
      </c>
      <c r="D19734" s="6">
        <v>35.479999999999997</v>
      </c>
      <c r="E19734" t="s">
        <v>6</v>
      </c>
    </row>
    <row r="19735" spans="1:5" x14ac:dyDescent="0.25">
      <c r="A19735" t="str">
        <f>HYPERLINK("https://www.773grp.com/globalSearch/PT5121C/page-1", "PT5121C")</f>
        <v>PT5121C</v>
      </c>
      <c r="B19735" s="3" t="s">
        <v>90</v>
      </c>
      <c r="C19735" s="5">
        <v>103</v>
      </c>
      <c r="D19735" s="6">
        <v>35.979999999999997</v>
      </c>
      <c r="E19735" t="s">
        <v>6</v>
      </c>
    </row>
    <row r="19736" spans="1:5" x14ac:dyDescent="0.25">
      <c r="A19736" t="str">
        <f>HYPERLINK("https://www.773grp.com/globalSearch/UCC2802J/page-1", "UCC2802J")</f>
        <v>UCC2802J</v>
      </c>
      <c r="B19736" s="3" t="s">
        <v>90</v>
      </c>
      <c r="C19736" s="5">
        <v>785</v>
      </c>
      <c r="D19736" s="6">
        <v>36</v>
      </c>
      <c r="E19736" t="s">
        <v>6</v>
      </c>
    </row>
    <row r="19737" spans="1:5" x14ac:dyDescent="0.25">
      <c r="A19737" t="str">
        <f>HYPERLINK("https://www.773grp.com/globalSearch/PT5522N/page-1", "PT5522N")</f>
        <v>PT5522N</v>
      </c>
      <c r="B19737" s="3" t="s">
        <v>90</v>
      </c>
      <c r="C19737" s="5">
        <v>600</v>
      </c>
      <c r="D19737" s="6">
        <v>36.29</v>
      </c>
      <c r="E19737" t="s">
        <v>6</v>
      </c>
    </row>
    <row r="19738" spans="1:5" x14ac:dyDescent="0.25">
      <c r="A19738" t="str">
        <f>HYPERLINK("https://www.773grp.com/globalSearch/PT5526N/page-1", "PT5526N")</f>
        <v>PT5526N</v>
      </c>
      <c r="B19738" s="3" t="s">
        <v>90</v>
      </c>
      <c r="C19738" s="5">
        <v>60</v>
      </c>
      <c r="D19738" s="6">
        <v>36.29</v>
      </c>
      <c r="E19738" t="s">
        <v>6</v>
      </c>
    </row>
    <row r="19739" spans="1:5" x14ac:dyDescent="0.25">
      <c r="A19739" t="str">
        <f>HYPERLINK("https://www.773grp.com/globalSearch/PT5061R/page-1", "PT5061R")</f>
        <v>PT5061R</v>
      </c>
      <c r="B19739" s="3" t="s">
        <v>90</v>
      </c>
      <c r="C19739" s="5">
        <v>7</v>
      </c>
      <c r="D19739" s="6">
        <v>36.340000000000003</v>
      </c>
      <c r="E19739" t="s">
        <v>6</v>
      </c>
    </row>
    <row r="19740" spans="1:5" x14ac:dyDescent="0.25">
      <c r="A19740" t="str">
        <f>HYPERLINK("https://www.773grp.com/globalSearch/UC2851N/page-1", "UC2851N")</f>
        <v>UC2851N</v>
      </c>
      <c r="B19740" s="3" t="s">
        <v>90</v>
      </c>
      <c r="C19740" s="5">
        <v>2466</v>
      </c>
      <c r="D19740" s="6">
        <v>36.409999999999997</v>
      </c>
      <c r="E19740" t="s">
        <v>6</v>
      </c>
    </row>
    <row r="19741" spans="1:5" x14ac:dyDescent="0.25">
      <c r="A19741" t="str">
        <f>HYPERLINK("https://www.773grp.com/globalSearch/UCC3806J/page-1", "UCC3806J")</f>
        <v>UCC3806J</v>
      </c>
      <c r="B19741" s="3" t="s">
        <v>90</v>
      </c>
      <c r="C19741" s="5">
        <v>34</v>
      </c>
      <c r="D19741" s="6">
        <v>36.630000000000003</v>
      </c>
      <c r="E19741" t="s">
        <v>6</v>
      </c>
    </row>
    <row r="19742" spans="1:5" x14ac:dyDescent="0.25">
      <c r="A19742" t="str">
        <f>HYPERLINK("https://www.773grp.com/globalSearch/5962-8670407PA/page-1", "5962-8670407PA")</f>
        <v>5962-8670407PA</v>
      </c>
      <c r="B19742" s="3" t="s">
        <v>90</v>
      </c>
      <c r="C19742" s="5">
        <v>13</v>
      </c>
      <c r="D19742" s="6">
        <v>37.01</v>
      </c>
      <c r="E19742" t="s">
        <v>6</v>
      </c>
    </row>
    <row r="19743" spans="1:5" x14ac:dyDescent="0.25">
      <c r="A19743" t="str">
        <f>HYPERLINK("https://www.773grp.com/globalSearch/PT6213D/page-1", "PT6213D")</f>
        <v>PT6213D</v>
      </c>
      <c r="B19743" s="3" t="s">
        <v>90</v>
      </c>
      <c r="C19743" s="5">
        <v>12600</v>
      </c>
      <c r="D19743" s="6">
        <v>37.380000000000003</v>
      </c>
      <c r="E19743" t="s">
        <v>6</v>
      </c>
    </row>
    <row r="19744" spans="1:5" x14ac:dyDescent="0.25">
      <c r="A19744" t="str">
        <f>HYPERLINK("https://www.773grp.com/globalSearch/PTN78060WAH/page-1", "PTN78060WAH")</f>
        <v>PTN78060WAH</v>
      </c>
      <c r="B19744" s="3" t="s">
        <v>90</v>
      </c>
      <c r="C19744" s="5">
        <v>1379</v>
      </c>
      <c r="D19744" s="6">
        <v>37.43</v>
      </c>
      <c r="E19744" t="s">
        <v>6</v>
      </c>
    </row>
    <row r="19745" spans="1:5" x14ac:dyDescent="0.25">
      <c r="A19745" t="str">
        <f>HYPERLINK("https://www.773grp.com/globalSearch/5962-9326101MEA/page-1", "5962-9326101MEA")</f>
        <v>5962-9326101MEA</v>
      </c>
      <c r="B19745" s="3" t="s">
        <v>90</v>
      </c>
      <c r="C19745" s="5">
        <v>200</v>
      </c>
      <c r="D19745" s="6">
        <v>37.69</v>
      </c>
      <c r="E19745" t="s">
        <v>6</v>
      </c>
    </row>
    <row r="19746" spans="1:5" x14ac:dyDescent="0.25">
      <c r="A19746" t="str">
        <f>HYPERLINK("https://www.773grp.com/globalSearch/PT79SR105V/page-1", "PT79SR105V")</f>
        <v>PT79SR105V</v>
      </c>
      <c r="B19746" s="3" t="s">
        <v>90</v>
      </c>
      <c r="C19746" s="5">
        <v>418</v>
      </c>
      <c r="D19746" s="6">
        <v>37.979999999999997</v>
      </c>
      <c r="E19746" t="s">
        <v>6</v>
      </c>
    </row>
    <row r="19747" spans="1:5" x14ac:dyDescent="0.25">
      <c r="A19747" t="str">
        <f>HYPERLINK("https://www.773grp.com/globalSearch/PT79SR112V/page-1", "PT79SR112V")</f>
        <v>PT79SR112V</v>
      </c>
      <c r="B19747" s="3" t="s">
        <v>90</v>
      </c>
      <c r="C19747" s="5">
        <v>25</v>
      </c>
      <c r="D19747" s="6">
        <v>37.979999999999997</v>
      </c>
      <c r="E19747" t="s">
        <v>6</v>
      </c>
    </row>
    <row r="19748" spans="1:5" x14ac:dyDescent="0.25">
      <c r="A19748" t="str">
        <f>HYPERLINK("https://www.773grp.com/globalSearch/PT79SR112V/page-1", "PT79SR112V")</f>
        <v>PT79SR112V</v>
      </c>
      <c r="B19748" s="3" t="s">
        <v>90</v>
      </c>
      <c r="C19748" s="5">
        <v>13</v>
      </c>
      <c r="D19748" s="6">
        <v>37.979999999999997</v>
      </c>
      <c r="E19748" t="s">
        <v>6</v>
      </c>
    </row>
    <row r="19749" spans="1:5" x14ac:dyDescent="0.25">
      <c r="A19749" t="str">
        <f>HYPERLINK("https://www.773grp.com/globalSearch/PT79SR152V/page-1", "PT79SR152V")</f>
        <v>PT79SR152V</v>
      </c>
      <c r="B19749" s="3" t="s">
        <v>90</v>
      </c>
      <c r="C19749" s="5">
        <v>147</v>
      </c>
      <c r="D19749" s="6">
        <v>37.979999999999997</v>
      </c>
      <c r="E19749" t="s">
        <v>6</v>
      </c>
    </row>
    <row r="19750" spans="1:5" x14ac:dyDescent="0.25">
      <c r="A19750" t="str">
        <f>HYPERLINK("https://www.773grp.com/globalSearch/PT5404C/page-1", "PT5404C")</f>
        <v>PT5404C</v>
      </c>
      <c r="B19750" s="3" t="s">
        <v>90</v>
      </c>
      <c r="C19750" s="5">
        <v>3</v>
      </c>
      <c r="D19750" s="6">
        <v>38.340000000000003</v>
      </c>
      <c r="E19750" t="s">
        <v>6</v>
      </c>
    </row>
    <row r="19751" spans="1:5" x14ac:dyDescent="0.25">
      <c r="A19751" t="str">
        <f>HYPERLINK("https://www.773grp.com/globalSearch/PT5403A/page-1", "PT5403A")</f>
        <v>PT5403A</v>
      </c>
      <c r="B19751" s="3" t="s">
        <v>90</v>
      </c>
      <c r="C19751" s="5">
        <v>60</v>
      </c>
      <c r="D19751" s="6">
        <v>38.39</v>
      </c>
      <c r="E19751" t="s">
        <v>6</v>
      </c>
    </row>
    <row r="19752" spans="1:5" x14ac:dyDescent="0.25">
      <c r="A19752" t="str">
        <f>HYPERLINK("https://www.773grp.com/globalSearch/PT5403C/page-1", "PT5403C")</f>
        <v>PT5403C</v>
      </c>
      <c r="B19752" s="3" t="s">
        <v>90</v>
      </c>
      <c r="C19752" s="5">
        <v>20</v>
      </c>
      <c r="D19752" s="6">
        <v>38.39</v>
      </c>
      <c r="E19752" t="s">
        <v>6</v>
      </c>
    </row>
    <row r="19753" spans="1:5" x14ac:dyDescent="0.25">
      <c r="A19753" t="str">
        <f>HYPERLINK("https://www.773grp.com/globalSearch/PT6303N/page-1", "PT6303N")</f>
        <v>PT6303N</v>
      </c>
      <c r="B19753" s="3" t="s">
        <v>90</v>
      </c>
      <c r="C19753" s="5">
        <v>5</v>
      </c>
      <c r="D19753" s="6">
        <v>38.51</v>
      </c>
      <c r="E19753" t="s">
        <v>6</v>
      </c>
    </row>
    <row r="19754" spans="1:5" x14ac:dyDescent="0.25">
      <c r="A19754" t="str">
        <f>HYPERLINK("https://www.773grp.com/globalSearch/PT6304C/page-1", "PT6304C")</f>
        <v>PT6304C</v>
      </c>
      <c r="B19754" s="3" t="s">
        <v>90</v>
      </c>
      <c r="C19754" s="5">
        <v>396</v>
      </c>
      <c r="D19754" s="6">
        <v>38.51</v>
      </c>
      <c r="E19754" t="s">
        <v>6</v>
      </c>
    </row>
    <row r="19755" spans="1:5" x14ac:dyDescent="0.25">
      <c r="A19755" t="str">
        <f>HYPERLINK("https://www.773grp.com/globalSearch/PT6311N/page-1", "PT6311N")</f>
        <v>PT6311N</v>
      </c>
      <c r="B19755" s="3" t="s">
        <v>90</v>
      </c>
      <c r="C19755" s="5">
        <v>8</v>
      </c>
      <c r="D19755" s="6">
        <v>38.51</v>
      </c>
      <c r="E19755" t="s">
        <v>6</v>
      </c>
    </row>
    <row r="19756" spans="1:5" x14ac:dyDescent="0.25">
      <c r="A19756" t="str">
        <f>HYPERLINK("https://www.773grp.com/globalSearch/PT6314A/page-1", "PT6314A")</f>
        <v>PT6314A</v>
      </c>
      <c r="B19756" s="3" t="s">
        <v>90</v>
      </c>
      <c r="C19756" s="5">
        <v>30</v>
      </c>
      <c r="D19756" s="6">
        <v>38.51</v>
      </c>
      <c r="E19756" t="s">
        <v>6</v>
      </c>
    </row>
    <row r="19757" spans="1:5" x14ac:dyDescent="0.25">
      <c r="A19757" t="str">
        <f>HYPERLINK("https://www.773grp.com/globalSearch/UCC1808J-2/page-1", "UCC1808J-2")</f>
        <v>UCC1808J-2</v>
      </c>
      <c r="B19757" s="3" t="s">
        <v>90</v>
      </c>
      <c r="C19757" s="5">
        <v>245</v>
      </c>
      <c r="D19757" s="6">
        <v>39.26</v>
      </c>
      <c r="E19757" t="s">
        <v>6</v>
      </c>
    </row>
    <row r="19758" spans="1:5" x14ac:dyDescent="0.25">
      <c r="A19758" t="str">
        <f>HYPERLINK("https://www.773grp.com/globalSearch/5962-8670405PA/page-1", "5962-8670405PA")</f>
        <v>5962-8670405PA</v>
      </c>
      <c r="B19758" s="3" t="s">
        <v>90</v>
      </c>
      <c r="C19758" s="5">
        <v>91</v>
      </c>
      <c r="D19758" s="6">
        <v>39.35</v>
      </c>
      <c r="E19758" t="s">
        <v>6</v>
      </c>
    </row>
    <row r="19759" spans="1:5" x14ac:dyDescent="0.25">
      <c r="A19759" t="str">
        <f>HYPERLINK("https://www.773grp.com/globalSearch/UC1842AJ883B/page-1", "UC1842AJ883B")</f>
        <v>UC1842AJ883B</v>
      </c>
      <c r="B19759" s="3" t="s">
        <v>90</v>
      </c>
      <c r="C19759" s="5">
        <v>191</v>
      </c>
      <c r="D19759" s="6">
        <v>39.35</v>
      </c>
      <c r="E19759" t="s">
        <v>6</v>
      </c>
    </row>
    <row r="19760" spans="1:5" x14ac:dyDescent="0.25">
      <c r="A19760" t="str">
        <f>HYPERLINK("https://www.773grp.com/globalSearch/PT79SR105S/page-1", "PT79SR105S")</f>
        <v>PT79SR105S</v>
      </c>
      <c r="B19760" s="3" t="s">
        <v>90</v>
      </c>
      <c r="C19760" s="5">
        <v>674</v>
      </c>
      <c r="D19760" s="6">
        <v>39.380000000000003</v>
      </c>
      <c r="E19760" t="s">
        <v>6</v>
      </c>
    </row>
    <row r="19761" spans="1:5" x14ac:dyDescent="0.25">
      <c r="A19761" t="str">
        <f>HYPERLINK("https://www.773grp.com/globalSearch/PT79SR112H/page-1", "PT79SR112H")</f>
        <v>PT79SR112H</v>
      </c>
      <c r="B19761" s="3" t="s">
        <v>90</v>
      </c>
      <c r="C19761" s="5">
        <v>5</v>
      </c>
      <c r="D19761" s="6">
        <v>39.380000000000003</v>
      </c>
      <c r="E19761" t="s">
        <v>6</v>
      </c>
    </row>
    <row r="19762" spans="1:5" x14ac:dyDescent="0.25">
      <c r="A19762" t="str">
        <f>HYPERLINK("https://www.773grp.com/globalSearch/PT79SR112S/page-1", "PT79SR112S")</f>
        <v>PT79SR112S</v>
      </c>
      <c r="B19762" s="3" t="s">
        <v>90</v>
      </c>
      <c r="C19762" s="5">
        <v>163</v>
      </c>
      <c r="D19762" s="6">
        <v>39.380000000000003</v>
      </c>
      <c r="E19762" t="s">
        <v>6</v>
      </c>
    </row>
    <row r="19763" spans="1:5" x14ac:dyDescent="0.25">
      <c r="A19763" t="str">
        <f>HYPERLINK("https://www.773grp.com/globalSearch/PT79SR152H/page-1", "PT79SR152H")</f>
        <v>PT79SR152H</v>
      </c>
      <c r="B19763" s="3" t="s">
        <v>90</v>
      </c>
      <c r="C19763" s="5">
        <v>31</v>
      </c>
      <c r="D19763" s="6">
        <v>39.380000000000003</v>
      </c>
      <c r="E19763" t="s">
        <v>6</v>
      </c>
    </row>
    <row r="19764" spans="1:5" x14ac:dyDescent="0.25">
      <c r="A19764" t="str">
        <f>HYPERLINK("https://www.773grp.com/globalSearch/PT79SR152ST/page-1", "PT79SR152ST")</f>
        <v>PT79SR152ST</v>
      </c>
      <c r="B19764" s="3" t="s">
        <v>90</v>
      </c>
      <c r="C19764" s="5">
        <v>75</v>
      </c>
      <c r="D19764" s="6">
        <v>39.380000000000003</v>
      </c>
      <c r="E19764" t="s">
        <v>6</v>
      </c>
    </row>
    <row r="19765" spans="1:5" x14ac:dyDescent="0.25">
      <c r="A19765" t="str">
        <f>HYPERLINK("https://www.773grp.com/globalSearch/5962-8670408PA/page-1", "5962-8670408PA")</f>
        <v>5962-8670408PA</v>
      </c>
      <c r="B19765" s="3" t="s">
        <v>90</v>
      </c>
      <c r="C19765" s="5">
        <v>11</v>
      </c>
      <c r="D19765" s="6">
        <v>39.54</v>
      </c>
      <c r="E19765" t="s">
        <v>6</v>
      </c>
    </row>
    <row r="19766" spans="1:5" x14ac:dyDescent="0.25">
      <c r="A19766" t="str">
        <f>HYPERLINK("https://www.773grp.com/globalSearch/PT6302S/page-1", "PT6302S")</f>
        <v>PT6302S</v>
      </c>
      <c r="B19766" s="3" t="s">
        <v>90</v>
      </c>
      <c r="C19766" s="5">
        <v>88</v>
      </c>
      <c r="D19766" s="6">
        <v>39.909999999999997</v>
      </c>
      <c r="E19766" t="s">
        <v>6</v>
      </c>
    </row>
    <row r="19767" spans="1:5" x14ac:dyDescent="0.25">
      <c r="A19767" t="str">
        <f>HYPERLINK("https://www.773grp.com/globalSearch/PT5027N/page-1", "PT5027N")</f>
        <v>PT5027N</v>
      </c>
      <c r="B19767" s="3" t="s">
        <v>90</v>
      </c>
      <c r="C19767" s="5">
        <v>45</v>
      </c>
      <c r="D19767" s="6">
        <v>40.08</v>
      </c>
      <c r="E19767" t="s">
        <v>6</v>
      </c>
    </row>
    <row r="19768" spans="1:5" x14ac:dyDescent="0.25">
      <c r="A19768" t="str">
        <f>HYPERLINK("https://www.773grp.com/globalSearch/PT5541N/page-1", "PT5541N")</f>
        <v>PT5541N</v>
      </c>
      <c r="B19768" s="3" t="s">
        <v>90</v>
      </c>
      <c r="C19768" s="5">
        <v>125</v>
      </c>
      <c r="D19768" s="6">
        <v>40.08</v>
      </c>
      <c r="E19768" t="s">
        <v>6</v>
      </c>
    </row>
    <row r="19769" spans="1:5" x14ac:dyDescent="0.25">
      <c r="A19769" t="str">
        <f>HYPERLINK("https://www.773grp.com/globalSearch/PT5544A/page-1", "PT5544A")</f>
        <v>PT5544A</v>
      </c>
      <c r="B19769" s="3" t="s">
        <v>90</v>
      </c>
      <c r="C19769" s="5">
        <v>90</v>
      </c>
      <c r="D19769" s="6">
        <v>40.08</v>
      </c>
      <c r="E19769" t="s">
        <v>6</v>
      </c>
    </row>
    <row r="19770" spans="1:5" x14ac:dyDescent="0.25">
      <c r="A19770" t="str">
        <f>HYPERLINK("https://www.773grp.com/globalSearch/PT5545N/page-1", "PT5545N")</f>
        <v>PT5545N</v>
      </c>
      <c r="B19770" s="3" t="s">
        <v>90</v>
      </c>
      <c r="C19770" s="5">
        <v>90</v>
      </c>
      <c r="D19770" s="6">
        <v>40.08</v>
      </c>
      <c r="E19770" t="s">
        <v>6</v>
      </c>
    </row>
    <row r="19771" spans="1:5" x14ac:dyDescent="0.25">
      <c r="A19771" t="str">
        <f>HYPERLINK("https://www.773grp.com/globalSearch/PT6312N/page-1", "PT6312N")</f>
        <v>PT6312N</v>
      </c>
      <c r="B19771" s="3" t="s">
        <v>90</v>
      </c>
      <c r="C19771" s="5">
        <v>49</v>
      </c>
      <c r="D19771" s="6">
        <v>40.11</v>
      </c>
      <c r="E19771" t="s">
        <v>6</v>
      </c>
    </row>
    <row r="19772" spans="1:5" x14ac:dyDescent="0.25">
      <c r="A19772" t="str">
        <f>HYPERLINK("https://www.773grp.com/globalSearch/PT6204B/page-1", "PT6204B")</f>
        <v>PT6204B</v>
      </c>
      <c r="B19772" s="3" t="s">
        <v>90</v>
      </c>
      <c r="C19772" s="5">
        <v>7</v>
      </c>
      <c r="D19772" s="6">
        <v>40.64</v>
      </c>
      <c r="E19772" t="s">
        <v>6</v>
      </c>
    </row>
    <row r="19773" spans="1:5" x14ac:dyDescent="0.25">
      <c r="A19773" t="str">
        <f>HYPERLINK("https://www.773grp.com/globalSearch/5962-89511032A/page-1", "5962-89511032A")</f>
        <v>5962-89511032A</v>
      </c>
      <c r="B19773" s="3" t="s">
        <v>90</v>
      </c>
      <c r="C19773" s="5">
        <v>22</v>
      </c>
      <c r="D19773" s="6">
        <v>41.14</v>
      </c>
      <c r="E19773" t="s">
        <v>6</v>
      </c>
    </row>
    <row r="19774" spans="1:5" x14ac:dyDescent="0.25">
      <c r="A19774" t="str">
        <f>HYPERLINK("https://www.773grp.com/globalSearch/UC1525AL883B/page-1", "UC1525AL883B")</f>
        <v>UC1525AL883B</v>
      </c>
      <c r="B19774" s="3" t="s">
        <v>90</v>
      </c>
      <c r="C19774" s="5">
        <v>16</v>
      </c>
      <c r="D19774" s="6">
        <v>41.14</v>
      </c>
      <c r="E19774" t="s">
        <v>6</v>
      </c>
    </row>
    <row r="19775" spans="1:5" x14ac:dyDescent="0.25">
      <c r="A19775" t="str">
        <f>HYPERLINK("https://www.773grp.com/globalSearch/5962-9451302MPA/page-1", "5962-9451302MPA")</f>
        <v>5962-9451302MPA</v>
      </c>
      <c r="B19775" s="3" t="s">
        <v>90</v>
      </c>
      <c r="C19775" s="5">
        <v>32</v>
      </c>
      <c r="D19775" s="6">
        <v>41.18</v>
      </c>
      <c r="E19775" t="s">
        <v>6</v>
      </c>
    </row>
    <row r="19776" spans="1:5" x14ac:dyDescent="0.25">
      <c r="A19776" t="str">
        <f>HYPERLINK("https://www.773grp.com/globalSearch/PT5045L/page-1", "PT5045L")</f>
        <v>PT5045L</v>
      </c>
      <c r="B19776" s="3" t="s">
        <v>90</v>
      </c>
      <c r="C19776" s="5">
        <v>14</v>
      </c>
      <c r="D19776" s="6">
        <v>41.48</v>
      </c>
      <c r="E19776" t="s">
        <v>6</v>
      </c>
    </row>
    <row r="19777" spans="1:5" x14ac:dyDescent="0.25">
      <c r="A19777" t="str">
        <f>HYPERLINK("https://www.773grp.com/globalSearch/PT6312R/page-1", "PT6312R")</f>
        <v>PT6312R</v>
      </c>
      <c r="B19777" s="3" t="s">
        <v>90</v>
      </c>
      <c r="C19777" s="5">
        <v>108</v>
      </c>
      <c r="D19777" s="6">
        <v>41.51</v>
      </c>
      <c r="E19777" t="s">
        <v>6</v>
      </c>
    </row>
    <row r="19778" spans="1:5" x14ac:dyDescent="0.25">
      <c r="A19778" t="str">
        <f>HYPERLINK("https://www.773grp.com/globalSearch/UCC1804J883B/page-1", "UCC1804J883B")</f>
        <v>UCC1804J883B</v>
      </c>
      <c r="B19778" s="3" t="s">
        <v>90</v>
      </c>
      <c r="C19778" s="5">
        <v>3</v>
      </c>
      <c r="D19778" s="6">
        <v>41.6</v>
      </c>
      <c r="E19778" t="s">
        <v>6</v>
      </c>
    </row>
    <row r="19779" spans="1:5" x14ac:dyDescent="0.25">
      <c r="A19779" t="str">
        <f>HYPERLINK("https://www.773grp.com/globalSearch/PT5521A/page-1", "PT5521A")</f>
        <v>PT5521A</v>
      </c>
      <c r="B19779" s="3" t="s">
        <v>90</v>
      </c>
      <c r="C19779" s="5">
        <v>708</v>
      </c>
      <c r="D19779" s="6">
        <v>41.74</v>
      </c>
      <c r="E19779" t="s">
        <v>6</v>
      </c>
    </row>
    <row r="19780" spans="1:5" x14ac:dyDescent="0.25">
      <c r="A19780" t="str">
        <f>HYPERLINK("https://www.773grp.com/globalSearch/PT5521C/page-1", "PT5521C")</f>
        <v>PT5521C</v>
      </c>
      <c r="B19780" s="3" t="s">
        <v>90</v>
      </c>
      <c r="C19780" s="5">
        <v>707</v>
      </c>
      <c r="D19780" s="6">
        <v>41.74</v>
      </c>
      <c r="E19780" t="s">
        <v>6</v>
      </c>
    </row>
    <row r="19781" spans="1:5" x14ac:dyDescent="0.25">
      <c r="A19781" t="str">
        <f>HYPERLINK("https://www.773grp.com/globalSearch/PT5522C/page-1", "PT5522C")</f>
        <v>PT5522C</v>
      </c>
      <c r="B19781" s="3" t="s">
        <v>90</v>
      </c>
      <c r="C19781" s="5">
        <v>753</v>
      </c>
      <c r="D19781" s="6">
        <v>41.74</v>
      </c>
      <c r="E19781" t="s">
        <v>6</v>
      </c>
    </row>
    <row r="19782" spans="1:5" x14ac:dyDescent="0.25">
      <c r="A19782" t="str">
        <f>HYPERLINK("https://www.773grp.com/globalSearch/PT5523C/page-1", "PT5523C")</f>
        <v>PT5523C</v>
      </c>
      <c r="B19782" s="3" t="s">
        <v>90</v>
      </c>
      <c r="C19782" s="5">
        <v>30</v>
      </c>
      <c r="D19782" s="6">
        <v>41.74</v>
      </c>
      <c r="E19782" t="s">
        <v>6</v>
      </c>
    </row>
    <row r="19783" spans="1:5" x14ac:dyDescent="0.25">
      <c r="A19783" t="str">
        <f>HYPERLINK("https://www.773grp.com/globalSearch/PT5524A/page-1", "PT5524A")</f>
        <v>PT5524A</v>
      </c>
      <c r="B19783" s="3" t="s">
        <v>90</v>
      </c>
      <c r="C19783" s="5">
        <v>108</v>
      </c>
      <c r="D19783" s="6">
        <v>41.74</v>
      </c>
      <c r="E19783" t="s">
        <v>6</v>
      </c>
    </row>
    <row r="19784" spans="1:5" x14ac:dyDescent="0.25">
      <c r="A19784" t="str">
        <f>HYPERLINK("https://www.773grp.com/globalSearch/PT5525C/page-1", "PT5525C")</f>
        <v>PT5525C</v>
      </c>
      <c r="B19784" s="3" t="s">
        <v>90</v>
      </c>
      <c r="C19784" s="5">
        <v>30</v>
      </c>
      <c r="D19784" s="6">
        <v>41.74</v>
      </c>
      <c r="E19784" t="s">
        <v>6</v>
      </c>
    </row>
    <row r="19785" spans="1:5" x14ac:dyDescent="0.25">
      <c r="A19785" t="str">
        <f>HYPERLINK("https://www.773grp.com/globalSearch/PT5526C/page-1", "PT5526C")</f>
        <v>PT5526C</v>
      </c>
      <c r="B19785" s="3" t="s">
        <v>90</v>
      </c>
      <c r="C19785" s="5">
        <v>27</v>
      </c>
      <c r="D19785" s="6">
        <v>41.74</v>
      </c>
      <c r="E19785" t="s">
        <v>6</v>
      </c>
    </row>
    <row r="19786" spans="1:5" x14ac:dyDescent="0.25">
      <c r="A19786" t="str">
        <f>HYPERLINK("https://www.773grp.com/globalSearch/PT6302A/page-1", "PT6302A")</f>
        <v>PT6302A</v>
      </c>
      <c r="B19786" s="3" t="s">
        <v>90</v>
      </c>
      <c r="C19786" s="5">
        <v>10</v>
      </c>
      <c r="D19786" s="6">
        <v>41.96</v>
      </c>
      <c r="E19786" t="s">
        <v>6</v>
      </c>
    </row>
    <row r="19787" spans="1:5" x14ac:dyDescent="0.25">
      <c r="A19787" t="str">
        <f>HYPERLINK("https://www.773grp.com/globalSearch/5962-9451301MPA/page-1", "5962-9451301MPA")</f>
        <v>5962-9451301MPA</v>
      </c>
      <c r="B19787" s="3" t="s">
        <v>90</v>
      </c>
      <c r="C19787" s="5">
        <v>34</v>
      </c>
      <c r="D19787" s="6">
        <v>42.05</v>
      </c>
      <c r="E19787" t="s">
        <v>6</v>
      </c>
    </row>
    <row r="19788" spans="1:5" x14ac:dyDescent="0.25">
      <c r="A19788" t="str">
        <f>HYPERLINK("https://www.773grp.com/globalSearch/UCC1810J/page-1", "UCC1810J")</f>
        <v>UCC1810J</v>
      </c>
      <c r="B19788" s="3" t="s">
        <v>90</v>
      </c>
      <c r="C19788" s="5">
        <v>189</v>
      </c>
      <c r="D19788" s="6">
        <v>43.04</v>
      </c>
      <c r="E19788" t="s">
        <v>6</v>
      </c>
    </row>
    <row r="19789" spans="1:5" x14ac:dyDescent="0.25">
      <c r="A19789" t="str">
        <f>HYPERLINK("https://www.773grp.com/globalSearch/UCC1583J/page-1", "UCC1583J")</f>
        <v>UCC1583J</v>
      </c>
      <c r="B19789" s="3" t="s">
        <v>90</v>
      </c>
      <c r="C19789" s="5">
        <v>11</v>
      </c>
      <c r="D19789" s="6">
        <v>43.71</v>
      </c>
      <c r="E19789" t="s">
        <v>6</v>
      </c>
    </row>
    <row r="19790" spans="1:5" x14ac:dyDescent="0.25">
      <c r="A19790" t="str">
        <f>HYPERLINK("https://www.773grp.com/globalSearch/85515022A/page-1", "85515022A")</f>
        <v>85515022A</v>
      </c>
      <c r="B19790" s="3" t="s">
        <v>90</v>
      </c>
      <c r="C19790" s="5">
        <v>45</v>
      </c>
      <c r="D19790" s="6">
        <v>43.99</v>
      </c>
      <c r="E19790" t="s">
        <v>6</v>
      </c>
    </row>
    <row r="19791" spans="1:5" x14ac:dyDescent="0.25">
      <c r="A19791" t="str">
        <f>HYPERLINK("https://www.773grp.com/globalSearch/UC1526AL883B/page-1", "UC1526AL883B")</f>
        <v>UC1526AL883B</v>
      </c>
      <c r="B19791" s="3" t="s">
        <v>90</v>
      </c>
      <c r="C19791" s="5">
        <v>1</v>
      </c>
      <c r="D19791" s="6">
        <v>43.99</v>
      </c>
      <c r="E19791" t="s">
        <v>6</v>
      </c>
    </row>
    <row r="19792" spans="1:5" x14ac:dyDescent="0.25">
      <c r="A19792" t="str">
        <f>HYPERLINK("https://www.773grp.com/globalSearch/UC1851J/page-1", "UC1851J")</f>
        <v>UC1851J</v>
      </c>
      <c r="B19792" s="3" t="s">
        <v>90</v>
      </c>
      <c r="C19792" s="5">
        <v>105</v>
      </c>
      <c r="D19792" s="6">
        <v>44.5</v>
      </c>
      <c r="E19792" t="s">
        <v>6</v>
      </c>
    </row>
    <row r="19793" spans="1:5" x14ac:dyDescent="0.25">
      <c r="A19793" t="str">
        <f>HYPERLINK("https://www.773grp.com/globalSearch/UC1852J-883B/page-1", "UC1852J-883B")</f>
        <v>UC1852J-883B</v>
      </c>
      <c r="B19793" s="3" t="s">
        <v>90</v>
      </c>
      <c r="C19793" s="5">
        <v>9</v>
      </c>
      <c r="D19793" s="6">
        <v>44.73</v>
      </c>
      <c r="E19793" t="s">
        <v>6</v>
      </c>
    </row>
    <row r="19794" spans="1:5" x14ac:dyDescent="0.25">
      <c r="A19794" t="str">
        <f>HYPERLINK("https://www.773grp.com/globalSearch/PT6202A/page-1", "PT6202A")</f>
        <v>PT6202A</v>
      </c>
      <c r="B19794" s="3" t="s">
        <v>90</v>
      </c>
      <c r="C19794" s="5">
        <v>44</v>
      </c>
      <c r="D19794" s="6">
        <v>44.78</v>
      </c>
      <c r="E19794" t="s">
        <v>6</v>
      </c>
    </row>
    <row r="19795" spans="1:5" x14ac:dyDescent="0.25">
      <c r="A19795" t="str">
        <f>HYPERLINK("https://www.773grp.com/globalSearch/PT6202C/page-1", "PT6202C")</f>
        <v>PT6202C</v>
      </c>
      <c r="B19795" s="3" t="s">
        <v>90</v>
      </c>
      <c r="C19795" s="5">
        <v>126</v>
      </c>
      <c r="D19795" s="6">
        <v>44.78</v>
      </c>
      <c r="E19795" t="s">
        <v>6</v>
      </c>
    </row>
    <row r="19796" spans="1:5" x14ac:dyDescent="0.25">
      <c r="A19796" t="str">
        <f>HYPERLINK("https://www.773grp.com/globalSearch/PT6202N/page-1", "PT6202N")</f>
        <v>PT6202N</v>
      </c>
      <c r="B19796" s="3" t="s">
        <v>90</v>
      </c>
      <c r="C19796" s="5">
        <v>14</v>
      </c>
      <c r="D19796" s="6">
        <v>44.78</v>
      </c>
      <c r="E19796" t="s">
        <v>6</v>
      </c>
    </row>
    <row r="19797" spans="1:5" x14ac:dyDescent="0.25">
      <c r="A19797" t="str">
        <f>HYPERLINK("https://www.773grp.com/globalSearch/PT6203A/page-1", "PT6203A")</f>
        <v>PT6203A</v>
      </c>
      <c r="B19797" s="3" t="s">
        <v>90</v>
      </c>
      <c r="C19797" s="5">
        <v>127</v>
      </c>
      <c r="D19797" s="6">
        <v>44.78</v>
      </c>
      <c r="E19797" t="s">
        <v>6</v>
      </c>
    </row>
    <row r="19798" spans="1:5" x14ac:dyDescent="0.25">
      <c r="A19798" t="str">
        <f>HYPERLINK("https://www.773grp.com/globalSearch/PT6203C/page-1", "PT6203C")</f>
        <v>PT6203C</v>
      </c>
      <c r="B19798" s="3" t="s">
        <v>90</v>
      </c>
      <c r="C19798" s="5">
        <v>188</v>
      </c>
      <c r="D19798" s="6">
        <v>44.78</v>
      </c>
      <c r="E19798" t="s">
        <v>6</v>
      </c>
    </row>
    <row r="19799" spans="1:5" x14ac:dyDescent="0.25">
      <c r="A19799" t="str">
        <f>HYPERLINK("https://www.773grp.com/globalSearch/PT6204A/page-1", "PT6204A")</f>
        <v>PT6204A</v>
      </c>
      <c r="B19799" s="3" t="s">
        <v>90</v>
      </c>
      <c r="C19799" s="5">
        <v>426</v>
      </c>
      <c r="D19799" s="6">
        <v>44.78</v>
      </c>
      <c r="E19799" t="s">
        <v>6</v>
      </c>
    </row>
    <row r="19800" spans="1:5" x14ac:dyDescent="0.25">
      <c r="A19800" t="str">
        <f>HYPERLINK("https://www.773grp.com/globalSearch/UC1524J-80937/page-1", "UC1524J-80937")</f>
        <v>UC1524J-80937</v>
      </c>
      <c r="B19800" s="3" t="s">
        <v>90</v>
      </c>
      <c r="C19800" s="5">
        <v>1419</v>
      </c>
      <c r="D19800" s="6">
        <v>44.98</v>
      </c>
      <c r="E19800" t="s">
        <v>6</v>
      </c>
    </row>
    <row r="19801" spans="1:5" x14ac:dyDescent="0.25">
      <c r="A19801" t="str">
        <f>HYPERLINK("https://www.773grp.com/globalSearch/78SR106TC/page-1", "78SR106TC")</f>
        <v>78SR106TC</v>
      </c>
      <c r="B19801" s="3" t="s">
        <v>90</v>
      </c>
      <c r="C19801" s="5">
        <v>75</v>
      </c>
      <c r="D19801" s="6">
        <v>45.7</v>
      </c>
      <c r="E19801" t="s">
        <v>6</v>
      </c>
    </row>
    <row r="19802" spans="1:5" x14ac:dyDescent="0.25">
      <c r="A19802" t="str">
        <f>HYPERLINK("https://www.773grp.com/globalSearch/78SR108VC/page-1", "78SR108VC")</f>
        <v>78SR108VC</v>
      </c>
      <c r="B19802" s="3" t="s">
        <v>90</v>
      </c>
      <c r="C19802" s="5">
        <v>35</v>
      </c>
      <c r="D19802" s="6">
        <v>45.7</v>
      </c>
      <c r="E19802" t="s">
        <v>6</v>
      </c>
    </row>
    <row r="19803" spans="1:5" x14ac:dyDescent="0.25">
      <c r="A19803" t="str">
        <f>HYPERLINK("https://www.773grp.com/globalSearch/78SR109VC/page-1", "78SR109VC")</f>
        <v>78SR109VC</v>
      </c>
      <c r="B19803" s="3" t="s">
        <v>90</v>
      </c>
      <c r="C19803" s="5">
        <v>57</v>
      </c>
      <c r="D19803" s="6">
        <v>45.7</v>
      </c>
      <c r="E19803" t="s">
        <v>6</v>
      </c>
    </row>
    <row r="19804" spans="1:5" x14ac:dyDescent="0.25">
      <c r="A19804" t="str">
        <f>HYPERLINK("https://www.773grp.com/globalSearch/78SR110HC/page-1", "78SR110HC")</f>
        <v>78SR110HC</v>
      </c>
      <c r="B19804" s="3" t="s">
        <v>90</v>
      </c>
      <c r="C19804" s="5">
        <v>92</v>
      </c>
      <c r="D19804" s="6">
        <v>45.7</v>
      </c>
      <c r="E19804" t="s">
        <v>6</v>
      </c>
    </row>
    <row r="19805" spans="1:5" x14ac:dyDescent="0.25">
      <c r="A19805" t="str">
        <f>HYPERLINK("https://www.773grp.com/globalSearch/78SR112SC/page-1", "78SR112SC")</f>
        <v>78SR112SC</v>
      </c>
      <c r="B19805" s="3" t="s">
        <v>90</v>
      </c>
      <c r="C19805" s="5">
        <v>24</v>
      </c>
      <c r="D19805" s="6">
        <v>45.7</v>
      </c>
      <c r="E19805" t="s">
        <v>6</v>
      </c>
    </row>
    <row r="19806" spans="1:5" x14ac:dyDescent="0.25">
      <c r="A19806" t="str">
        <f>HYPERLINK("https://www.773grp.com/globalSearch/78SR112TC/page-1", "78SR112TC")</f>
        <v>78SR112TC</v>
      </c>
      <c r="B19806" s="3" t="s">
        <v>90</v>
      </c>
      <c r="C19806" s="5">
        <v>7</v>
      </c>
      <c r="D19806" s="6">
        <v>45.7</v>
      </c>
      <c r="E19806" t="s">
        <v>6</v>
      </c>
    </row>
    <row r="19807" spans="1:5" x14ac:dyDescent="0.25">
      <c r="A19807" t="str">
        <f>HYPERLINK("https://www.773grp.com/globalSearch/78SR114HC/page-1", "78SR114HC")</f>
        <v>78SR114HC</v>
      </c>
      <c r="B19807" s="3" t="s">
        <v>90</v>
      </c>
      <c r="C19807" s="5">
        <v>11</v>
      </c>
      <c r="D19807" s="6">
        <v>45.7</v>
      </c>
      <c r="E19807" t="s">
        <v>6</v>
      </c>
    </row>
    <row r="19808" spans="1:5" x14ac:dyDescent="0.25">
      <c r="A19808" t="str">
        <f>HYPERLINK("https://www.773grp.com/globalSearch/78SR114VC/page-1", "78SR114VC")</f>
        <v>78SR114VC</v>
      </c>
      <c r="B19808" s="3" t="s">
        <v>90</v>
      </c>
      <c r="C19808" s="5">
        <v>46</v>
      </c>
      <c r="D19808" s="6">
        <v>45.7</v>
      </c>
      <c r="E19808" t="s">
        <v>6</v>
      </c>
    </row>
    <row r="19809" spans="1:5" x14ac:dyDescent="0.25">
      <c r="A19809" t="str">
        <f>HYPERLINK("https://www.773grp.com/globalSearch/78SR115HC/page-1", "78SR115HC")</f>
        <v>78SR115HC</v>
      </c>
      <c r="B19809" s="3" t="s">
        <v>90</v>
      </c>
      <c r="C19809" s="5">
        <v>80</v>
      </c>
      <c r="D19809" s="6">
        <v>45.7</v>
      </c>
      <c r="E19809" t="s">
        <v>6</v>
      </c>
    </row>
    <row r="19810" spans="1:5" x14ac:dyDescent="0.25">
      <c r="A19810" t="str">
        <f>HYPERLINK("https://www.773grp.com/globalSearch/78SR115SC/page-1", "78SR115SC")</f>
        <v>78SR115SC</v>
      </c>
      <c r="B19810" s="3" t="s">
        <v>90</v>
      </c>
      <c r="C19810" s="5">
        <v>136</v>
      </c>
      <c r="D19810" s="6">
        <v>45.7</v>
      </c>
      <c r="E19810" t="s">
        <v>6</v>
      </c>
    </row>
    <row r="19811" spans="1:5" x14ac:dyDescent="0.25">
      <c r="A19811" t="str">
        <f>HYPERLINK("https://www.773grp.com/globalSearch/78SR153VC/page-1", "78SR153VC")</f>
        <v>78SR153VC</v>
      </c>
      <c r="B19811" s="3" t="s">
        <v>90</v>
      </c>
      <c r="C19811" s="5">
        <v>61</v>
      </c>
      <c r="D19811" s="6">
        <v>45.7</v>
      </c>
      <c r="E19811" t="s">
        <v>6</v>
      </c>
    </row>
    <row r="19812" spans="1:5" x14ac:dyDescent="0.25">
      <c r="A19812" t="str">
        <f>HYPERLINK("https://www.773grp.com/globalSearch/78SR174HC/page-1", "78SR174HC")</f>
        <v>78SR174HC</v>
      </c>
      <c r="B19812" s="3" t="s">
        <v>90</v>
      </c>
      <c r="C19812" s="5">
        <v>96</v>
      </c>
      <c r="D19812" s="6">
        <v>45.7</v>
      </c>
      <c r="E19812" t="s">
        <v>6</v>
      </c>
    </row>
    <row r="19813" spans="1:5" x14ac:dyDescent="0.25">
      <c r="A19813" t="str">
        <f>HYPERLINK("https://www.773grp.com/globalSearch/78SR174SC/page-1", "78SR174SC")</f>
        <v>78SR174SC</v>
      </c>
      <c r="B19813" s="3" t="s">
        <v>90</v>
      </c>
      <c r="C19813" s="5">
        <v>57</v>
      </c>
      <c r="D19813" s="6">
        <v>45.7</v>
      </c>
      <c r="E19813" t="s">
        <v>6</v>
      </c>
    </row>
    <row r="19814" spans="1:5" x14ac:dyDescent="0.25">
      <c r="A19814" t="str">
        <f>HYPERLINK("https://www.773grp.com/globalSearch/78SR174VC/page-1", "78SR174VC")</f>
        <v>78SR174VC</v>
      </c>
      <c r="B19814" s="3" t="s">
        <v>90</v>
      </c>
      <c r="C19814" s="5">
        <v>550</v>
      </c>
      <c r="D19814" s="6">
        <v>45.7</v>
      </c>
      <c r="E19814" t="s">
        <v>6</v>
      </c>
    </row>
    <row r="19815" spans="1:5" x14ac:dyDescent="0.25">
      <c r="A19815" t="str">
        <f>HYPERLINK("https://www.773grp.com/globalSearch/78ST109HC/page-1", "78ST109HC")</f>
        <v>78ST109HC</v>
      </c>
      <c r="B19815" s="3" t="s">
        <v>90</v>
      </c>
      <c r="C19815" s="5">
        <v>69</v>
      </c>
      <c r="D19815" s="6">
        <v>45.7</v>
      </c>
      <c r="E19815" t="s">
        <v>6</v>
      </c>
    </row>
    <row r="19816" spans="1:5" x14ac:dyDescent="0.25">
      <c r="A19816" t="str">
        <f>HYPERLINK("https://www.773grp.com/globalSearch/78ST112HC/page-1", "78ST112HC")</f>
        <v>78ST112HC</v>
      </c>
      <c r="B19816" s="3" t="s">
        <v>90</v>
      </c>
      <c r="C19816" s="5">
        <v>11</v>
      </c>
      <c r="D19816" s="6">
        <v>45.7</v>
      </c>
      <c r="E19816" t="s">
        <v>6</v>
      </c>
    </row>
    <row r="19817" spans="1:5" x14ac:dyDescent="0.25">
      <c r="A19817" t="str">
        <f>HYPERLINK("https://www.773grp.com/globalSearch/78ST112SC/page-1", "78ST112SC")</f>
        <v>78ST112SC</v>
      </c>
      <c r="B19817" s="3" t="s">
        <v>90</v>
      </c>
      <c r="C19817" s="5">
        <v>20</v>
      </c>
      <c r="D19817" s="6">
        <v>45.7</v>
      </c>
      <c r="E19817" t="s">
        <v>6</v>
      </c>
    </row>
    <row r="19818" spans="1:5" x14ac:dyDescent="0.25">
      <c r="A19818" t="str">
        <f>HYPERLINK("https://www.773grp.com/globalSearch/78ST165HC/page-1", "78ST165HC")</f>
        <v>78ST165HC</v>
      </c>
      <c r="B19818" s="3" t="s">
        <v>90</v>
      </c>
      <c r="C19818" s="5">
        <v>13</v>
      </c>
      <c r="D19818" s="6">
        <v>45.7</v>
      </c>
      <c r="E19818" t="s">
        <v>6</v>
      </c>
    </row>
    <row r="19819" spans="1:5" x14ac:dyDescent="0.25">
      <c r="A19819" t="str">
        <f>HYPERLINK("https://www.773grp.com/globalSearch/78ST165SC/page-1", "78ST165SC")</f>
        <v>78ST165SC</v>
      </c>
      <c r="B19819" s="3" t="s">
        <v>90</v>
      </c>
      <c r="C19819" s="5">
        <v>10</v>
      </c>
      <c r="D19819" s="6">
        <v>45.7</v>
      </c>
      <c r="E19819" t="s">
        <v>6</v>
      </c>
    </row>
    <row r="19820" spans="1:5" x14ac:dyDescent="0.25">
      <c r="A19820" t="str">
        <f>HYPERLINK("https://www.773grp.com/globalSearch/PT5501C/page-1", "PT5501C")</f>
        <v>PT5501C</v>
      </c>
      <c r="B19820" s="3" t="s">
        <v>90</v>
      </c>
      <c r="C19820" s="5">
        <v>26</v>
      </c>
      <c r="D19820" s="6">
        <v>45.7</v>
      </c>
      <c r="E19820" t="s">
        <v>6</v>
      </c>
    </row>
    <row r="19821" spans="1:5" x14ac:dyDescent="0.25">
      <c r="A19821" t="str">
        <f>HYPERLINK("https://www.773grp.com/globalSearch/PT5502A/page-1", "PT5502A")</f>
        <v>PT5502A</v>
      </c>
      <c r="B19821" s="3" t="s">
        <v>90</v>
      </c>
      <c r="C19821" s="5">
        <v>315</v>
      </c>
      <c r="D19821" s="6">
        <v>45.7</v>
      </c>
      <c r="E19821" t="s">
        <v>6</v>
      </c>
    </row>
    <row r="19822" spans="1:5" x14ac:dyDescent="0.25">
      <c r="A19822" t="str">
        <f>HYPERLINK("https://www.773grp.com/globalSearch/PT5502C/page-1", "PT5502C")</f>
        <v>PT5502C</v>
      </c>
      <c r="B19822" s="3" t="s">
        <v>90</v>
      </c>
      <c r="C19822" s="5">
        <v>4</v>
      </c>
      <c r="D19822" s="6">
        <v>45.7</v>
      </c>
      <c r="E19822" t="s">
        <v>6</v>
      </c>
    </row>
    <row r="19823" spans="1:5" x14ac:dyDescent="0.25">
      <c r="A19823" t="str">
        <f>HYPERLINK("https://www.773grp.com/globalSearch/PT5502N/page-1", "PT5502N")</f>
        <v>PT5502N</v>
      </c>
      <c r="B19823" s="3" t="s">
        <v>90</v>
      </c>
      <c r="C19823" s="5">
        <v>50</v>
      </c>
      <c r="D19823" s="6">
        <v>45.7</v>
      </c>
      <c r="E19823" t="s">
        <v>6</v>
      </c>
    </row>
    <row r="19824" spans="1:5" x14ac:dyDescent="0.25">
      <c r="A19824" t="str">
        <f>HYPERLINK("https://www.773grp.com/globalSearch/PT5503A/page-1", "PT5503A")</f>
        <v>PT5503A</v>
      </c>
      <c r="B19824" s="3" t="s">
        <v>90</v>
      </c>
      <c r="C19824" s="5">
        <v>21</v>
      </c>
      <c r="D19824" s="6">
        <v>45.7</v>
      </c>
      <c r="E19824" t="s">
        <v>6</v>
      </c>
    </row>
    <row r="19825" spans="1:5" x14ac:dyDescent="0.25">
      <c r="A19825" t="str">
        <f>HYPERLINK("https://www.773grp.com/globalSearch/PT5503C/page-1", "PT5503C")</f>
        <v>PT5503C</v>
      </c>
      <c r="B19825" s="3" t="s">
        <v>90</v>
      </c>
      <c r="C19825" s="5">
        <v>22</v>
      </c>
      <c r="D19825" s="6">
        <v>45.7</v>
      </c>
      <c r="E19825" t="s">
        <v>6</v>
      </c>
    </row>
    <row r="19826" spans="1:5" x14ac:dyDescent="0.25">
      <c r="A19826" t="str">
        <f>HYPERLINK("https://www.773grp.com/globalSearch/PT5503N/page-1", "PT5503N")</f>
        <v>PT5503N</v>
      </c>
      <c r="B19826" s="3" t="s">
        <v>90</v>
      </c>
      <c r="C19826" s="5">
        <v>690</v>
      </c>
      <c r="D19826" s="6">
        <v>45.7</v>
      </c>
      <c r="E19826" t="s">
        <v>6</v>
      </c>
    </row>
    <row r="19827" spans="1:5" x14ac:dyDescent="0.25">
      <c r="A19827" t="str">
        <f>HYPERLINK("https://www.773grp.com/globalSearch/PT5504A/page-1", "PT5504A")</f>
        <v>PT5504A</v>
      </c>
      <c r="B19827" s="3" t="s">
        <v>90</v>
      </c>
      <c r="C19827" s="5">
        <v>32</v>
      </c>
      <c r="D19827" s="6">
        <v>45.7</v>
      </c>
      <c r="E19827" t="s">
        <v>6</v>
      </c>
    </row>
    <row r="19828" spans="1:5" x14ac:dyDescent="0.25">
      <c r="A19828" t="str">
        <f>HYPERLINK("https://www.773grp.com/globalSearch/PT5504N/page-1", "PT5504N")</f>
        <v>PT5504N</v>
      </c>
      <c r="B19828" s="3" t="s">
        <v>90</v>
      </c>
      <c r="C19828" s="5">
        <v>181</v>
      </c>
      <c r="D19828" s="6">
        <v>45.7</v>
      </c>
      <c r="E19828" t="s">
        <v>6</v>
      </c>
    </row>
    <row r="19829" spans="1:5" x14ac:dyDescent="0.25">
      <c r="A19829" t="str">
        <f>HYPERLINK("https://www.773grp.com/globalSearch/PT5505C/page-1", "PT5505C")</f>
        <v>PT5505C</v>
      </c>
      <c r="B19829" s="3" t="s">
        <v>90</v>
      </c>
      <c r="C19829" s="5">
        <v>5</v>
      </c>
      <c r="D19829" s="6">
        <v>45.7</v>
      </c>
      <c r="E19829" t="s">
        <v>6</v>
      </c>
    </row>
    <row r="19830" spans="1:5" x14ac:dyDescent="0.25">
      <c r="A19830" t="str">
        <f>HYPERLINK("https://www.773grp.com/globalSearch/PT5505N/page-1", "PT5505N")</f>
        <v>PT5505N</v>
      </c>
      <c r="B19830" s="3" t="s">
        <v>90</v>
      </c>
      <c r="C19830" s="5">
        <v>299</v>
      </c>
      <c r="D19830" s="6">
        <v>45.7</v>
      </c>
      <c r="E19830" t="s">
        <v>6</v>
      </c>
    </row>
    <row r="19831" spans="1:5" x14ac:dyDescent="0.25">
      <c r="A19831" t="str">
        <f>HYPERLINK("https://www.773grp.com/globalSearch/PT5506C/page-1", "PT5506C")</f>
        <v>PT5506C</v>
      </c>
      <c r="B19831" s="3" t="s">
        <v>90</v>
      </c>
      <c r="C19831" s="5">
        <v>10</v>
      </c>
      <c r="D19831" s="6">
        <v>45.7</v>
      </c>
      <c r="E19831" t="s">
        <v>6</v>
      </c>
    </row>
    <row r="19832" spans="1:5" x14ac:dyDescent="0.25">
      <c r="A19832" t="str">
        <f>HYPERLINK("https://www.773grp.com/globalSearch/PT5506N/page-1", "PT5506N")</f>
        <v>PT5506N</v>
      </c>
      <c r="B19832" s="3" t="s">
        <v>90</v>
      </c>
      <c r="C19832" s="5">
        <v>399</v>
      </c>
      <c r="D19832" s="6">
        <v>45.7</v>
      </c>
      <c r="E19832" t="s">
        <v>6</v>
      </c>
    </row>
    <row r="19833" spans="1:5" x14ac:dyDescent="0.25">
      <c r="A19833" t="str">
        <f>HYPERLINK("https://www.773grp.com/globalSearch/PT78NR206H/page-1", "PT78NR206H")</f>
        <v>PT78NR206H</v>
      </c>
      <c r="B19833" s="3" t="s">
        <v>90</v>
      </c>
      <c r="C19833" s="5">
        <v>32</v>
      </c>
      <c r="D19833" s="6">
        <v>45.85</v>
      </c>
      <c r="E19833" t="s">
        <v>6</v>
      </c>
    </row>
    <row r="19834" spans="1:5" x14ac:dyDescent="0.25">
      <c r="A19834" t="str">
        <f>HYPERLINK("https://www.773grp.com/globalSearch/PT78NR252H/page-1", "PT78NR252H")</f>
        <v>PT78NR252H</v>
      </c>
      <c r="B19834" s="3" t="s">
        <v>90</v>
      </c>
      <c r="C19834" s="5">
        <v>59</v>
      </c>
      <c r="D19834" s="6">
        <v>45.85</v>
      </c>
      <c r="E19834" t="s">
        <v>6</v>
      </c>
    </row>
    <row r="19835" spans="1:5" x14ac:dyDescent="0.25">
      <c r="A19835" t="str">
        <f>HYPERLINK("https://www.773grp.com/globalSearch/PT78NR252S/page-1", "PT78NR252S")</f>
        <v>PT78NR252S</v>
      </c>
      <c r="B19835" s="3" t="s">
        <v>90</v>
      </c>
      <c r="C19835" s="5">
        <v>629</v>
      </c>
      <c r="D19835" s="6">
        <v>45.85</v>
      </c>
      <c r="E19835" t="s">
        <v>6</v>
      </c>
    </row>
    <row r="19836" spans="1:5" x14ac:dyDescent="0.25">
      <c r="A19836" t="str">
        <f>HYPERLINK("https://www.773grp.com/globalSearch/PT78NR252V/page-1", "PT78NR252V")</f>
        <v>PT78NR252V</v>
      </c>
      <c r="B19836" s="3" t="s">
        <v>90</v>
      </c>
      <c r="C19836" s="5">
        <v>46</v>
      </c>
      <c r="D19836" s="6">
        <v>45.85</v>
      </c>
      <c r="E19836" t="s">
        <v>6</v>
      </c>
    </row>
    <row r="19837" spans="1:5" x14ac:dyDescent="0.25">
      <c r="A19837" t="str">
        <f>HYPERLINK("https://www.773grp.com/globalSearch/PT78ST212V/page-1", "PT78ST212V")</f>
        <v>PT78ST212V</v>
      </c>
      <c r="B19837" s="3" t="s">
        <v>90</v>
      </c>
      <c r="C19837" s="5">
        <v>39</v>
      </c>
      <c r="D19837" s="6">
        <v>45.85</v>
      </c>
      <c r="E19837" t="s">
        <v>6</v>
      </c>
    </row>
    <row r="19838" spans="1:5" x14ac:dyDescent="0.25">
      <c r="A19838" t="str">
        <f>HYPERLINK("https://www.773grp.com/globalSearch/PT6202B/page-1", "PT6202B")</f>
        <v>PT6202B</v>
      </c>
      <c r="B19838" s="3" t="s">
        <v>90</v>
      </c>
      <c r="C19838" s="5">
        <v>20</v>
      </c>
      <c r="D19838" s="6">
        <v>46.19</v>
      </c>
      <c r="E19838" t="s">
        <v>6</v>
      </c>
    </row>
    <row r="19839" spans="1:5" x14ac:dyDescent="0.25">
      <c r="A19839" t="str">
        <f>HYPERLINK("https://www.773grp.com/globalSearch/PT6202G/page-1", "PT6202G")</f>
        <v>PT6202G</v>
      </c>
      <c r="B19839" s="3" t="s">
        <v>90</v>
      </c>
      <c r="C19839" s="5">
        <v>43</v>
      </c>
      <c r="D19839" s="6">
        <v>46.19</v>
      </c>
      <c r="E19839" t="s">
        <v>6</v>
      </c>
    </row>
    <row r="19840" spans="1:5" x14ac:dyDescent="0.25">
      <c r="A19840" t="str">
        <f>HYPERLINK("https://www.773grp.com/globalSearch/PT6204G/page-1", "PT6204G")</f>
        <v>PT6204G</v>
      </c>
      <c r="B19840" s="3" t="s">
        <v>90</v>
      </c>
      <c r="C19840" s="5">
        <v>17</v>
      </c>
      <c r="D19840" s="6">
        <v>46.19</v>
      </c>
      <c r="E19840" t="s">
        <v>6</v>
      </c>
    </row>
    <row r="19841" spans="1:5" x14ac:dyDescent="0.25">
      <c r="A19841" t="str">
        <f>HYPERLINK("https://www.773grp.com/globalSearch/PT6202R/page-1", "PT6202R")</f>
        <v>PT6202R</v>
      </c>
      <c r="B19841" s="3" t="s">
        <v>90</v>
      </c>
      <c r="C19841" s="5">
        <v>108</v>
      </c>
      <c r="D19841" s="6">
        <v>46.28</v>
      </c>
      <c r="E19841" t="s">
        <v>6</v>
      </c>
    </row>
    <row r="19842" spans="1:5" x14ac:dyDescent="0.25">
      <c r="A19842" t="str">
        <f>HYPERLINK("https://www.773grp.com/globalSearch/PT6212D/page-1", "PT6212D")</f>
        <v>PT6212D</v>
      </c>
      <c r="B19842" s="3" t="s">
        <v>90</v>
      </c>
      <c r="C19842" s="5">
        <v>2</v>
      </c>
      <c r="D19842" s="6">
        <v>46.71</v>
      </c>
      <c r="E19842" t="s">
        <v>6</v>
      </c>
    </row>
    <row r="19843" spans="1:5" x14ac:dyDescent="0.25">
      <c r="A19843" t="str">
        <f>HYPERLINK("https://www.773grp.com/globalSearch/PT6222A/page-1", "PT6222A")</f>
        <v>PT6222A</v>
      </c>
      <c r="B19843" s="3" t="s">
        <v>90</v>
      </c>
      <c r="C19843" s="5">
        <v>9</v>
      </c>
      <c r="D19843" s="6">
        <v>49.79</v>
      </c>
      <c r="E19843" t="s">
        <v>6</v>
      </c>
    </row>
    <row r="19844" spans="1:5" x14ac:dyDescent="0.25">
      <c r="A19844" t="str">
        <f>HYPERLINK("https://www.773grp.com/globalSearch/PT6222C/page-1", "PT6222C")</f>
        <v>PT6222C</v>
      </c>
      <c r="B19844" s="3" t="s">
        <v>90</v>
      </c>
      <c r="C19844" s="5">
        <v>24</v>
      </c>
      <c r="D19844" s="6">
        <v>49.79</v>
      </c>
      <c r="E19844" t="s">
        <v>6</v>
      </c>
    </row>
    <row r="19845" spans="1:5" x14ac:dyDescent="0.25">
      <c r="A19845" t="str">
        <f>HYPERLINK("https://www.773grp.com/globalSearch/78SR105VC/page-1", "78SR105VC")</f>
        <v>78SR105VC</v>
      </c>
      <c r="B19845" s="3" t="s">
        <v>90</v>
      </c>
      <c r="C19845" s="5">
        <v>3</v>
      </c>
      <c r="D19845" s="6">
        <v>49.81</v>
      </c>
      <c r="E19845" t="s">
        <v>6</v>
      </c>
    </row>
    <row r="19846" spans="1:5" x14ac:dyDescent="0.25">
      <c r="A19846" t="str">
        <f>HYPERLINK("https://www.773grp.com/globalSearch/PT5403N/page-1", "PT5403N")</f>
        <v>PT5403N</v>
      </c>
      <c r="B19846" s="3" t="s">
        <v>90</v>
      </c>
      <c r="C19846" s="5">
        <v>9</v>
      </c>
      <c r="D19846" s="6">
        <v>49.91</v>
      </c>
      <c r="E19846" t="s">
        <v>6</v>
      </c>
    </row>
    <row r="19847" spans="1:5" x14ac:dyDescent="0.25">
      <c r="A19847" t="str">
        <f>HYPERLINK("https://www.773grp.com/globalSearch/UC1825AJ/page-1", "UC1825AJ")</f>
        <v>UC1825AJ</v>
      </c>
      <c r="B19847" s="3" t="s">
        <v>90</v>
      </c>
      <c r="C19847" s="5">
        <v>75</v>
      </c>
      <c r="D19847" s="6">
        <v>49.95</v>
      </c>
      <c r="E19847" t="s">
        <v>6</v>
      </c>
    </row>
    <row r="19848" spans="1:5" x14ac:dyDescent="0.25">
      <c r="A19848" t="str">
        <f>HYPERLINK("https://www.773grp.com/globalSearch/UC1823J/page-1", "UC1823J")</f>
        <v>UC1823J</v>
      </c>
      <c r="B19848" s="3" t="s">
        <v>90</v>
      </c>
      <c r="C19848" s="5">
        <v>335</v>
      </c>
      <c r="D19848" s="6">
        <v>50</v>
      </c>
      <c r="E19848" t="s">
        <v>6</v>
      </c>
    </row>
    <row r="19849" spans="1:5" x14ac:dyDescent="0.25">
      <c r="A19849" t="str">
        <f>HYPERLINK("https://www.773grp.com/globalSearch/PT6407D/page-1", "PT6407D")</f>
        <v>PT6407D</v>
      </c>
      <c r="B19849" s="3" t="s">
        <v>90</v>
      </c>
      <c r="C19849" s="5">
        <v>16</v>
      </c>
      <c r="D19849" s="6">
        <v>51.6</v>
      </c>
      <c r="E19849" t="s">
        <v>6</v>
      </c>
    </row>
    <row r="19850" spans="1:5" x14ac:dyDescent="0.25">
      <c r="A19850" t="str">
        <f>HYPERLINK("https://www.773grp.com/globalSearch/PT5527A/page-1", "PT5527A")</f>
        <v>PT5527A</v>
      </c>
      <c r="B19850" s="3" t="s">
        <v>90</v>
      </c>
      <c r="C19850" s="5">
        <v>30</v>
      </c>
      <c r="D19850" s="6">
        <v>52.18</v>
      </c>
      <c r="E19850" t="s">
        <v>6</v>
      </c>
    </row>
    <row r="19851" spans="1:5" x14ac:dyDescent="0.25">
      <c r="A19851" t="str">
        <f>HYPERLINK("https://www.773grp.com/globalSearch/UC1855BJ/page-1", "UC1855BJ")</f>
        <v>UC1855BJ</v>
      </c>
      <c r="B19851" s="3" t="s">
        <v>90</v>
      </c>
      <c r="C19851" s="5">
        <v>79</v>
      </c>
      <c r="D19851" s="6">
        <v>52.94</v>
      </c>
      <c r="E19851" t="s">
        <v>6</v>
      </c>
    </row>
    <row r="19852" spans="1:5" x14ac:dyDescent="0.25">
      <c r="A19852" t="str">
        <f>HYPERLINK("https://www.773grp.com/globalSearch/PT6641E/page-1", "PT6641E")</f>
        <v>PT6641E</v>
      </c>
      <c r="B19852" s="3" t="s">
        <v>90</v>
      </c>
      <c r="C19852" s="5">
        <v>9</v>
      </c>
      <c r="D19852" s="6">
        <v>53.44</v>
      </c>
      <c r="E19852" t="s">
        <v>6</v>
      </c>
    </row>
    <row r="19853" spans="1:5" x14ac:dyDescent="0.25">
      <c r="A19853" t="str">
        <f>HYPERLINK("https://www.773grp.com/globalSearch/PT6672D/page-1", "PT6672D")</f>
        <v>PT6672D</v>
      </c>
      <c r="B19853" s="3" t="s">
        <v>90</v>
      </c>
      <c r="C19853" s="5">
        <v>11</v>
      </c>
      <c r="D19853" s="6">
        <v>53.44</v>
      </c>
      <c r="E19853" t="s">
        <v>6</v>
      </c>
    </row>
    <row r="19854" spans="1:5" x14ac:dyDescent="0.25">
      <c r="A19854" t="str">
        <f>HYPERLINK("https://www.773grp.com/globalSearch/PT5524C/page-1", "PT5524C")</f>
        <v>PT5524C</v>
      </c>
      <c r="B19854" s="3" t="s">
        <v>90</v>
      </c>
      <c r="C19854" s="5">
        <v>5</v>
      </c>
      <c r="D19854" s="6">
        <v>54.29</v>
      </c>
      <c r="E19854" t="s">
        <v>6</v>
      </c>
    </row>
    <row r="19855" spans="1:5" x14ac:dyDescent="0.25">
      <c r="A19855" t="str">
        <f>HYPERLINK("https://www.773grp.com/globalSearch/78HT205SC/page-1", "78HT205SC")</f>
        <v>78HT205SC</v>
      </c>
      <c r="B19855" s="3" t="s">
        <v>90</v>
      </c>
      <c r="C19855" s="5">
        <v>6</v>
      </c>
      <c r="D19855" s="6">
        <v>54.73</v>
      </c>
      <c r="E19855" t="s">
        <v>6</v>
      </c>
    </row>
    <row r="19856" spans="1:5" x14ac:dyDescent="0.25">
      <c r="A19856" t="str">
        <f>HYPERLINK("https://www.773grp.com/globalSearch/78HT233VC/page-1", "78HT233VC")</f>
        <v>78HT233VC</v>
      </c>
      <c r="B19856" s="3" t="s">
        <v>90</v>
      </c>
      <c r="C19856" s="5">
        <v>844</v>
      </c>
      <c r="D19856" s="6">
        <v>54.73</v>
      </c>
      <c r="E19856" t="s">
        <v>6</v>
      </c>
    </row>
    <row r="19857" spans="1:5" x14ac:dyDescent="0.25">
      <c r="A19857" t="str">
        <f>HYPERLINK("https://www.773grp.com/globalSearch/78HT265HC/page-1", "78HT265HC")</f>
        <v>78HT265HC</v>
      </c>
      <c r="B19857" s="3" t="s">
        <v>90</v>
      </c>
      <c r="C19857" s="5">
        <v>348</v>
      </c>
      <c r="D19857" s="6">
        <v>54.73</v>
      </c>
      <c r="E19857" t="s">
        <v>6</v>
      </c>
    </row>
    <row r="19858" spans="1:5" x14ac:dyDescent="0.25">
      <c r="A19858" t="str">
        <f>HYPERLINK("https://www.773grp.com/globalSearch/78ST205HC/page-1", "78ST205HC")</f>
        <v>78ST205HC</v>
      </c>
      <c r="B19858" s="3" t="s">
        <v>90</v>
      </c>
      <c r="C19858" s="5">
        <v>557</v>
      </c>
      <c r="D19858" s="6">
        <v>54.73</v>
      </c>
      <c r="E19858" t="s">
        <v>6</v>
      </c>
    </row>
    <row r="19859" spans="1:5" x14ac:dyDescent="0.25">
      <c r="A19859" t="str">
        <f>HYPERLINK("https://www.773grp.com/globalSearch/78ST205VC/page-1", "78ST205VC")</f>
        <v>78ST205VC</v>
      </c>
      <c r="B19859" s="3" t="s">
        <v>90</v>
      </c>
      <c r="C19859" s="5">
        <v>52</v>
      </c>
      <c r="D19859" s="6">
        <v>54.73</v>
      </c>
      <c r="E19859" t="s">
        <v>6</v>
      </c>
    </row>
    <row r="19860" spans="1:5" x14ac:dyDescent="0.25">
      <c r="A19860" t="str">
        <f>HYPERLINK("https://www.773grp.com/globalSearch/PT6727N/page-1", "PT6727N")</f>
        <v>PT6727N</v>
      </c>
      <c r="B19860" s="3" t="s">
        <v>90</v>
      </c>
      <c r="C19860" s="5">
        <v>30</v>
      </c>
      <c r="D19860" s="6">
        <v>54.98</v>
      </c>
      <c r="E19860" t="s">
        <v>6</v>
      </c>
    </row>
    <row r="19861" spans="1:5" x14ac:dyDescent="0.25">
      <c r="A19861" t="str">
        <f>HYPERLINK("https://www.773grp.com/globalSearch/5962-8670408XA/page-1", "5962-8670408XA")</f>
        <v>5962-8670408XA</v>
      </c>
      <c r="B19861" s="3" t="s">
        <v>90</v>
      </c>
      <c r="C19861" s="5">
        <v>57</v>
      </c>
      <c r="D19861" s="6">
        <v>55.05</v>
      </c>
      <c r="E19861" t="s">
        <v>6</v>
      </c>
    </row>
    <row r="19862" spans="1:5" x14ac:dyDescent="0.25">
      <c r="A19862" t="str">
        <f>HYPERLINK("https://www.773grp.com/globalSearch/UC1524J883B/page-1", "UC1524J883B")</f>
        <v>UC1524J883B</v>
      </c>
      <c r="B19862" s="3" t="s">
        <v>90</v>
      </c>
      <c r="C19862" s="5">
        <v>49</v>
      </c>
      <c r="D19862" s="6">
        <v>55.44</v>
      </c>
      <c r="E19862" t="s">
        <v>6</v>
      </c>
    </row>
    <row r="19863" spans="1:5" x14ac:dyDescent="0.25">
      <c r="A19863" t="str">
        <f>HYPERLINK("https://www.773grp.com/globalSearch/PT6322R/page-1", "PT6322R")</f>
        <v>PT6322R</v>
      </c>
      <c r="B19863" s="3" t="s">
        <v>90</v>
      </c>
      <c r="C19863" s="5">
        <v>16</v>
      </c>
      <c r="D19863" s="6">
        <v>56.65</v>
      </c>
      <c r="E19863" t="s">
        <v>6</v>
      </c>
    </row>
    <row r="19864" spans="1:5" x14ac:dyDescent="0.25">
      <c r="A19864" t="str">
        <f>HYPERLINK("https://www.773grp.com/globalSearch/PT6323R/page-1", "PT6323R")</f>
        <v>PT6323R</v>
      </c>
      <c r="B19864" s="3" t="s">
        <v>90</v>
      </c>
      <c r="C19864" s="5">
        <v>36</v>
      </c>
      <c r="D19864" s="6">
        <v>56.65</v>
      </c>
      <c r="E19864" t="s">
        <v>6</v>
      </c>
    </row>
    <row r="19865" spans="1:5" x14ac:dyDescent="0.25">
      <c r="A19865" t="str">
        <f>HYPERLINK("https://www.773grp.com/globalSearch/PT6361C/page-1", "PT6361C")</f>
        <v>PT6361C</v>
      </c>
      <c r="B19865" s="3" t="s">
        <v>90</v>
      </c>
      <c r="C19865" s="5">
        <v>156</v>
      </c>
      <c r="D19865" s="6">
        <v>56.75</v>
      </c>
      <c r="E19865" t="s">
        <v>6</v>
      </c>
    </row>
    <row r="19866" spans="1:5" x14ac:dyDescent="0.25">
      <c r="A19866" t="str">
        <f>HYPERLINK("https://www.773grp.com/globalSearch/PT6361N/page-1", "PT6361N")</f>
        <v>PT6361N</v>
      </c>
      <c r="B19866" s="3" t="s">
        <v>90</v>
      </c>
      <c r="C19866" s="5">
        <v>39</v>
      </c>
      <c r="D19866" s="6">
        <v>56.75</v>
      </c>
      <c r="E19866" t="s">
        <v>6</v>
      </c>
    </row>
    <row r="19867" spans="1:5" x14ac:dyDescent="0.25">
      <c r="A19867" t="str">
        <f>HYPERLINK("https://www.773grp.com/globalSearch/PT6364N/page-1", "PT6364N")</f>
        <v>PT6364N</v>
      </c>
      <c r="B19867" s="3" t="s">
        <v>90</v>
      </c>
      <c r="C19867" s="5">
        <v>267</v>
      </c>
      <c r="D19867" s="6">
        <v>56.75</v>
      </c>
      <c r="E19867" t="s">
        <v>6</v>
      </c>
    </row>
    <row r="19868" spans="1:5" x14ac:dyDescent="0.25">
      <c r="A19868" t="str">
        <f>HYPERLINK("https://www.773grp.com/globalSearch/PT6462A/page-1", "PT6462A")</f>
        <v>PT6462A</v>
      </c>
      <c r="B19868" s="3" t="s">
        <v>90</v>
      </c>
      <c r="C19868" s="5">
        <v>232</v>
      </c>
      <c r="D19868" s="6">
        <v>56.75</v>
      </c>
      <c r="E19868" t="s">
        <v>6</v>
      </c>
    </row>
    <row r="19869" spans="1:5" x14ac:dyDescent="0.25">
      <c r="A19869" t="str">
        <f>HYPERLINK("https://www.773grp.com/globalSearch/PT6462C/page-1", "PT6462C")</f>
        <v>PT6462C</v>
      </c>
      <c r="B19869" s="3" t="s">
        <v>90</v>
      </c>
      <c r="C19869" s="5">
        <v>210</v>
      </c>
      <c r="D19869" s="6">
        <v>56.75</v>
      </c>
      <c r="E19869" t="s">
        <v>6</v>
      </c>
    </row>
    <row r="19870" spans="1:5" x14ac:dyDescent="0.25">
      <c r="A19870" t="str">
        <f>HYPERLINK("https://www.773grp.com/globalSearch/PT6463C/page-1", "PT6463C")</f>
        <v>PT6463C</v>
      </c>
      <c r="B19870" s="3" t="s">
        <v>90</v>
      </c>
      <c r="C19870" s="5">
        <v>59</v>
      </c>
      <c r="D19870" s="6">
        <v>56.75</v>
      </c>
      <c r="E19870" t="s">
        <v>6</v>
      </c>
    </row>
    <row r="19871" spans="1:5" x14ac:dyDescent="0.25">
      <c r="A19871" t="str">
        <f>HYPERLINK("https://www.773grp.com/globalSearch/PT6464A/page-1", "PT6464A")</f>
        <v>PT6464A</v>
      </c>
      <c r="B19871" s="3" t="s">
        <v>90</v>
      </c>
      <c r="C19871" s="5">
        <v>62</v>
      </c>
      <c r="D19871" s="6">
        <v>56.75</v>
      </c>
      <c r="E19871" t="s">
        <v>6</v>
      </c>
    </row>
    <row r="19872" spans="1:5" x14ac:dyDescent="0.25">
      <c r="A19872" t="str">
        <f>HYPERLINK("https://www.773grp.com/globalSearch/PT6465C/page-1", "PT6465C")</f>
        <v>PT6465C</v>
      </c>
      <c r="B19872" s="3" t="s">
        <v>90</v>
      </c>
      <c r="C19872" s="5">
        <v>185</v>
      </c>
      <c r="D19872" s="6">
        <v>56.75</v>
      </c>
      <c r="E19872" t="s">
        <v>6</v>
      </c>
    </row>
    <row r="19873" spans="1:5" x14ac:dyDescent="0.25">
      <c r="A19873" t="str">
        <f>HYPERLINK("https://www.773grp.com/globalSearch/PT6465N/page-1", "PT6465N")</f>
        <v>PT6465N</v>
      </c>
      <c r="B19873" s="3" t="s">
        <v>90</v>
      </c>
      <c r="C19873" s="5">
        <v>257</v>
      </c>
      <c r="D19873" s="6">
        <v>56.75</v>
      </c>
      <c r="E19873" t="s">
        <v>6</v>
      </c>
    </row>
    <row r="19874" spans="1:5" x14ac:dyDescent="0.25">
      <c r="A19874" t="str">
        <f>HYPERLINK("https://www.773grp.com/globalSearch/PT6472N/page-1", "PT6472N")</f>
        <v>PT6472N</v>
      </c>
      <c r="B19874" s="3" t="s">
        <v>90</v>
      </c>
      <c r="C19874" s="5">
        <v>21</v>
      </c>
      <c r="D19874" s="6">
        <v>56.75</v>
      </c>
      <c r="E19874" t="s">
        <v>6</v>
      </c>
    </row>
    <row r="19875" spans="1:5" x14ac:dyDescent="0.25">
      <c r="A19875" t="str">
        <f>HYPERLINK("https://www.773grp.com/globalSearch/PT6475C/page-1", "PT6475C")</f>
        <v>PT6475C</v>
      </c>
      <c r="B19875" s="3" t="s">
        <v>90</v>
      </c>
      <c r="C19875" s="5">
        <v>76</v>
      </c>
      <c r="D19875" s="6">
        <v>56.75</v>
      </c>
      <c r="E19875" t="s">
        <v>6</v>
      </c>
    </row>
    <row r="19876" spans="1:5" x14ac:dyDescent="0.25">
      <c r="A19876" t="str">
        <f>HYPERLINK("https://www.773grp.com/globalSearch/PT6476N/page-1", "PT6476N")</f>
        <v>PT6476N</v>
      </c>
      <c r="B19876" s="3" t="s">
        <v>90</v>
      </c>
      <c r="C19876" s="5">
        <v>69</v>
      </c>
      <c r="D19876" s="6">
        <v>56.75</v>
      </c>
      <c r="E19876" t="s">
        <v>6</v>
      </c>
    </row>
    <row r="19877" spans="1:5" x14ac:dyDescent="0.25">
      <c r="A19877" t="str">
        <f>HYPERLINK("https://www.773grp.com/globalSearch/PT6362N/page-1", "PT6362N")</f>
        <v>PT6362N</v>
      </c>
      <c r="B19877" s="3" t="s">
        <v>90</v>
      </c>
      <c r="C19877" s="5">
        <v>8</v>
      </c>
      <c r="D19877" s="6">
        <v>56.81</v>
      </c>
      <c r="E19877" t="s">
        <v>6</v>
      </c>
    </row>
    <row r="19878" spans="1:5" x14ac:dyDescent="0.25">
      <c r="A19878" t="str">
        <f>HYPERLINK("https://www.773grp.com/globalSearch/PT6467C/page-1", "PT6467C")</f>
        <v>PT6467C</v>
      </c>
      <c r="B19878" s="3" t="s">
        <v>90</v>
      </c>
      <c r="C19878" s="5">
        <v>10</v>
      </c>
      <c r="D19878" s="6">
        <v>56.81</v>
      </c>
      <c r="E19878" t="s">
        <v>6</v>
      </c>
    </row>
    <row r="19879" spans="1:5" x14ac:dyDescent="0.25">
      <c r="A19879" t="str">
        <f>HYPERLINK("https://www.773grp.com/globalSearch/UC1823L/page-1", "UC1823L")</f>
        <v>UC1823L</v>
      </c>
      <c r="B19879" s="3" t="s">
        <v>90</v>
      </c>
      <c r="C19879" s="5">
        <v>17</v>
      </c>
      <c r="D19879" s="6">
        <v>57.21</v>
      </c>
      <c r="E19879" t="s">
        <v>6</v>
      </c>
    </row>
    <row r="19880" spans="1:5" x14ac:dyDescent="0.25">
      <c r="A19880" t="str">
        <f>HYPERLINK("https://www.773grp.com/globalSearch/PT78NR212S/page-1", "PT78NR212S")</f>
        <v>PT78NR212S</v>
      </c>
      <c r="B19880" s="3" t="s">
        <v>90</v>
      </c>
      <c r="C19880" s="5">
        <v>5</v>
      </c>
      <c r="D19880" s="6">
        <v>57.24</v>
      </c>
      <c r="E19880" t="s">
        <v>6</v>
      </c>
    </row>
    <row r="19881" spans="1:5" x14ac:dyDescent="0.25">
      <c r="A19881" t="str">
        <f>HYPERLINK("https://www.773grp.com/globalSearch/PT78NR212V/page-1", "PT78NR212V")</f>
        <v>PT78NR212V</v>
      </c>
      <c r="B19881" s="3" t="s">
        <v>90</v>
      </c>
      <c r="C19881" s="5">
        <v>9</v>
      </c>
      <c r="D19881" s="6">
        <v>57.24</v>
      </c>
      <c r="E19881" t="s">
        <v>6</v>
      </c>
    </row>
    <row r="19882" spans="1:5" x14ac:dyDescent="0.25">
      <c r="A19882" t="str">
        <f>HYPERLINK("https://www.773grp.com/globalSearch/PT6341A/page-1", "PT6341A")</f>
        <v>PT6341A</v>
      </c>
      <c r="B19882" s="3" t="s">
        <v>90</v>
      </c>
      <c r="C19882" s="5">
        <v>99</v>
      </c>
      <c r="D19882" s="6">
        <v>58.56</v>
      </c>
      <c r="E19882" t="s">
        <v>6</v>
      </c>
    </row>
    <row r="19883" spans="1:5" x14ac:dyDescent="0.25">
      <c r="A19883" t="str">
        <f>HYPERLINK("https://www.773grp.com/globalSearch/PT6341N/page-1", "PT6341N")</f>
        <v>PT6341N</v>
      </c>
      <c r="B19883" s="3" t="s">
        <v>90</v>
      </c>
      <c r="C19883" s="5">
        <v>100</v>
      </c>
      <c r="D19883" s="6">
        <v>58.56</v>
      </c>
      <c r="E19883" t="s">
        <v>6</v>
      </c>
    </row>
    <row r="19884" spans="1:5" x14ac:dyDescent="0.25">
      <c r="A19884" t="str">
        <f>HYPERLINK("https://www.773grp.com/globalSearch/PT6342A/page-1", "PT6342A")</f>
        <v>PT6342A</v>
      </c>
      <c r="B19884" s="3" t="s">
        <v>90</v>
      </c>
      <c r="C19884" s="5">
        <v>24</v>
      </c>
      <c r="D19884" s="6">
        <v>58.56</v>
      </c>
      <c r="E19884" t="s">
        <v>6</v>
      </c>
    </row>
    <row r="19885" spans="1:5" x14ac:dyDescent="0.25">
      <c r="A19885" t="str">
        <f>HYPERLINK("https://www.773grp.com/globalSearch/PT6342C/page-1", "PT6342C")</f>
        <v>PT6342C</v>
      </c>
      <c r="B19885" s="3" t="s">
        <v>90</v>
      </c>
      <c r="C19885" s="5">
        <v>846</v>
      </c>
      <c r="D19885" s="6">
        <v>58.56</v>
      </c>
      <c r="E19885" t="s">
        <v>6</v>
      </c>
    </row>
    <row r="19886" spans="1:5" x14ac:dyDescent="0.25">
      <c r="A19886" t="str">
        <f>HYPERLINK("https://www.773grp.com/globalSearch/PT6343A/page-1", "PT6343A")</f>
        <v>PT6343A</v>
      </c>
      <c r="B19886" s="3" t="s">
        <v>90</v>
      </c>
      <c r="C19886" s="5">
        <v>42</v>
      </c>
      <c r="D19886" s="6">
        <v>58.56</v>
      </c>
      <c r="E19886" t="s">
        <v>6</v>
      </c>
    </row>
    <row r="19887" spans="1:5" x14ac:dyDescent="0.25">
      <c r="A19887" t="str">
        <f>HYPERLINK("https://www.773grp.com/globalSearch/PT6343C/page-1", "PT6343C")</f>
        <v>PT6343C</v>
      </c>
      <c r="B19887" s="3" t="s">
        <v>90</v>
      </c>
      <c r="C19887" s="5">
        <v>348</v>
      </c>
      <c r="D19887" s="6">
        <v>58.56</v>
      </c>
      <c r="E19887" t="s">
        <v>6</v>
      </c>
    </row>
    <row r="19888" spans="1:5" x14ac:dyDescent="0.25">
      <c r="A19888" t="str">
        <f>HYPERLINK("https://www.773grp.com/globalSearch/PT6343N/page-1", "PT6343N")</f>
        <v>PT6343N</v>
      </c>
      <c r="B19888" s="3" t="s">
        <v>90</v>
      </c>
      <c r="C19888" s="5">
        <v>106</v>
      </c>
      <c r="D19888" s="6">
        <v>58.56</v>
      </c>
      <c r="E19888" t="s">
        <v>6</v>
      </c>
    </row>
    <row r="19889" spans="1:5" x14ac:dyDescent="0.25">
      <c r="A19889" t="str">
        <f>HYPERLINK("https://www.773grp.com/globalSearch/PT6344C/page-1", "PT6344C")</f>
        <v>PT6344C</v>
      </c>
      <c r="B19889" s="3" t="s">
        <v>90</v>
      </c>
      <c r="C19889" s="5">
        <v>238</v>
      </c>
      <c r="D19889" s="6">
        <v>58.56</v>
      </c>
      <c r="E19889" t="s">
        <v>6</v>
      </c>
    </row>
    <row r="19890" spans="1:5" x14ac:dyDescent="0.25">
      <c r="A19890" t="str">
        <f>HYPERLINK("https://www.773grp.com/globalSearch/PT6345C/page-1", "PT6345C")</f>
        <v>PT6345C</v>
      </c>
      <c r="B19890" s="3" t="s">
        <v>90</v>
      </c>
      <c r="C19890" s="5">
        <v>37</v>
      </c>
      <c r="D19890" s="6">
        <v>58.56</v>
      </c>
      <c r="E19890" t="s">
        <v>6</v>
      </c>
    </row>
    <row r="19891" spans="1:5" x14ac:dyDescent="0.25">
      <c r="A19891" t="str">
        <f>HYPERLINK("https://www.773grp.com/globalSearch/PT6345N/page-1", "PT6345N")</f>
        <v>PT6345N</v>
      </c>
      <c r="B19891" s="3" t="s">
        <v>90</v>
      </c>
      <c r="C19891" s="5">
        <v>16</v>
      </c>
      <c r="D19891" s="6">
        <v>58.56</v>
      </c>
      <c r="E19891" t="s">
        <v>6</v>
      </c>
    </row>
    <row r="19892" spans="1:5" x14ac:dyDescent="0.25">
      <c r="A19892" t="str">
        <f>HYPERLINK("https://www.773grp.com/globalSearch/PT6346A/page-1", "PT6346A")</f>
        <v>PT6346A</v>
      </c>
      <c r="B19892" s="3" t="s">
        <v>90</v>
      </c>
      <c r="C19892" s="5">
        <v>21</v>
      </c>
      <c r="D19892" s="6">
        <v>58.64</v>
      </c>
      <c r="E19892" t="s">
        <v>6</v>
      </c>
    </row>
    <row r="19893" spans="1:5" x14ac:dyDescent="0.25">
      <c r="A19893" t="str">
        <f>HYPERLINK("https://www.773grp.com/globalSearch/UC1823AJ/page-1", "UC1823AJ")</f>
        <v>UC1823AJ</v>
      </c>
      <c r="B19893" s="3" t="s">
        <v>90</v>
      </c>
      <c r="C19893" s="5">
        <v>12</v>
      </c>
      <c r="D19893" s="6">
        <v>59.03</v>
      </c>
      <c r="E19893" t="s">
        <v>6</v>
      </c>
    </row>
    <row r="19894" spans="1:5" x14ac:dyDescent="0.25">
      <c r="A19894" t="str">
        <f>HYPERLINK("https://www.773grp.com/globalSearch/5962-8990501EA/page-1", "5962-8990501EA")</f>
        <v>5962-8990501EA</v>
      </c>
      <c r="B19894" s="3" t="s">
        <v>90</v>
      </c>
      <c r="C19894" s="5">
        <v>9</v>
      </c>
      <c r="D19894" s="6">
        <v>59.26</v>
      </c>
      <c r="E19894" t="s">
        <v>6</v>
      </c>
    </row>
    <row r="19895" spans="1:5" x14ac:dyDescent="0.25">
      <c r="A19895" t="str">
        <f>HYPERLINK("https://www.773grp.com/globalSearch/PT6305C/page-1", "PT6305C")</f>
        <v>PT6305C</v>
      </c>
      <c r="B19895" s="3" t="s">
        <v>90</v>
      </c>
      <c r="C19895" s="5">
        <v>546</v>
      </c>
      <c r="D19895" s="6">
        <v>59.26</v>
      </c>
      <c r="E19895" t="s">
        <v>6</v>
      </c>
    </row>
    <row r="19896" spans="1:5" x14ac:dyDescent="0.25">
      <c r="A19896" t="str">
        <f>HYPERLINK("https://www.773grp.com/globalSearch/PT6305N/page-1", "PT6305N")</f>
        <v>PT6305N</v>
      </c>
      <c r="B19896" s="3" t="s">
        <v>90</v>
      </c>
      <c r="C19896" s="5">
        <v>338</v>
      </c>
      <c r="D19896" s="6">
        <v>59.26</v>
      </c>
      <c r="E19896" t="s">
        <v>6</v>
      </c>
    </row>
    <row r="19897" spans="1:5" x14ac:dyDescent="0.25">
      <c r="A19897" t="str">
        <f>HYPERLINK("https://www.773grp.com/globalSearch/PT6308A/page-1", "PT6308A")</f>
        <v>PT6308A</v>
      </c>
      <c r="B19897" s="3" t="s">
        <v>90</v>
      </c>
      <c r="C19897" s="5">
        <v>137</v>
      </c>
      <c r="D19897" s="6">
        <v>59.26</v>
      </c>
      <c r="E19897" t="s">
        <v>6</v>
      </c>
    </row>
    <row r="19898" spans="1:5" x14ac:dyDescent="0.25">
      <c r="A19898" t="str">
        <f>HYPERLINK("https://www.773grp.com/globalSearch/PT6404D/page-1", "PT6404D")</f>
        <v>PT6404D</v>
      </c>
      <c r="B19898" s="3" t="s">
        <v>90</v>
      </c>
      <c r="C19898" s="5">
        <v>228</v>
      </c>
      <c r="D19898" s="6">
        <v>59.26</v>
      </c>
      <c r="E19898" t="s">
        <v>6</v>
      </c>
    </row>
    <row r="19899" spans="1:5" x14ac:dyDescent="0.25">
      <c r="A19899" t="str">
        <f>HYPERLINK("https://www.773grp.com/globalSearch/PT6407E/page-1", "PT6407E")</f>
        <v>PT6407E</v>
      </c>
      <c r="B19899" s="3" t="s">
        <v>90</v>
      </c>
      <c r="C19899" s="5">
        <v>210</v>
      </c>
      <c r="D19899" s="6">
        <v>59.26</v>
      </c>
      <c r="E19899" t="s">
        <v>6</v>
      </c>
    </row>
    <row r="19900" spans="1:5" x14ac:dyDescent="0.25">
      <c r="A19900" t="str">
        <f>HYPERLINK("https://www.773grp.com/globalSearch/PT6409D/page-1", "PT6409D")</f>
        <v>PT6409D</v>
      </c>
      <c r="B19900" s="3" t="s">
        <v>90</v>
      </c>
      <c r="C19900" s="5">
        <v>190</v>
      </c>
      <c r="D19900" s="6">
        <v>59.26</v>
      </c>
      <c r="E19900" t="s">
        <v>6</v>
      </c>
    </row>
    <row r="19901" spans="1:5" x14ac:dyDescent="0.25">
      <c r="A19901" t="str">
        <f>HYPERLINK("https://www.773grp.com/globalSearch/PT6409E/page-1", "PT6409E")</f>
        <v>PT6409E</v>
      </c>
      <c r="B19901" s="3" t="s">
        <v>90</v>
      </c>
      <c r="C19901" s="5">
        <v>196</v>
      </c>
      <c r="D19901" s="6">
        <v>59.26</v>
      </c>
      <c r="E19901" t="s">
        <v>6</v>
      </c>
    </row>
    <row r="19902" spans="1:5" x14ac:dyDescent="0.25">
      <c r="A19902" t="str">
        <f>HYPERLINK("https://www.773grp.com/globalSearch/PT6409P/page-1", "PT6409P")</f>
        <v>PT6409P</v>
      </c>
      <c r="B19902" s="3" t="s">
        <v>90</v>
      </c>
      <c r="C19902" s="5">
        <v>799</v>
      </c>
      <c r="D19902" s="6">
        <v>59.26</v>
      </c>
      <c r="E19902" t="s">
        <v>6</v>
      </c>
    </row>
    <row r="19903" spans="1:5" x14ac:dyDescent="0.25">
      <c r="A19903" t="str">
        <f>HYPERLINK("https://www.773grp.com/globalSearch/UC1823J-883B/page-1", "UC1823J-883B")</f>
        <v>UC1823J-883B</v>
      </c>
      <c r="B19903" s="3" t="s">
        <v>90</v>
      </c>
      <c r="C19903" s="5">
        <v>12</v>
      </c>
      <c r="D19903" s="6">
        <v>59.26</v>
      </c>
      <c r="E19903" t="s">
        <v>6</v>
      </c>
    </row>
    <row r="19904" spans="1:5" x14ac:dyDescent="0.25">
      <c r="A19904" t="str">
        <f>HYPERLINK("https://www.773grp.com/globalSearch/UC1823J883B/page-1", "UC1823J883B")</f>
        <v>UC1823J883B</v>
      </c>
      <c r="B19904" s="3" t="s">
        <v>90</v>
      </c>
      <c r="C19904" s="5">
        <v>25</v>
      </c>
      <c r="D19904" s="6">
        <v>59.26</v>
      </c>
      <c r="E19904" t="s">
        <v>6</v>
      </c>
    </row>
    <row r="19905" spans="1:5" x14ac:dyDescent="0.25">
      <c r="A19905" t="str">
        <f>HYPERLINK("https://www.773grp.com/globalSearch/PT6305A/page-1", "PT6305A")</f>
        <v>PT6305A</v>
      </c>
      <c r="B19905" s="3" t="s">
        <v>90</v>
      </c>
      <c r="C19905" s="5">
        <v>50</v>
      </c>
      <c r="D19905" s="6">
        <v>59.35</v>
      </c>
      <c r="E19905" t="s">
        <v>6</v>
      </c>
    </row>
    <row r="19906" spans="1:5" x14ac:dyDescent="0.25">
      <c r="A19906" t="str">
        <f>HYPERLINK("https://www.773grp.com/globalSearch/PT6404E/page-1", "PT6404E")</f>
        <v>PT6404E</v>
      </c>
      <c r="B19906" s="3" t="s">
        <v>90</v>
      </c>
      <c r="C19906" s="5">
        <v>36</v>
      </c>
      <c r="D19906" s="6">
        <v>59.35</v>
      </c>
      <c r="E19906" t="s">
        <v>6</v>
      </c>
    </row>
    <row r="19907" spans="1:5" x14ac:dyDescent="0.25">
      <c r="A19907" t="str">
        <f>HYPERLINK("https://www.773grp.com/globalSearch/78ST109VC/page-1", "78ST109VC")</f>
        <v>78ST109VC</v>
      </c>
      <c r="B19907" s="3" t="s">
        <v>90</v>
      </c>
      <c r="C19907" s="5">
        <v>15</v>
      </c>
      <c r="D19907" s="6">
        <v>59.49</v>
      </c>
      <c r="E19907" t="s">
        <v>6</v>
      </c>
    </row>
    <row r="19908" spans="1:5" x14ac:dyDescent="0.25">
      <c r="A19908" t="str">
        <f>HYPERLINK("https://www.773grp.com/globalSearch/PT6405D/page-1", "PT6405D")</f>
        <v>PT6405D</v>
      </c>
      <c r="B19908" s="3" t="s">
        <v>90</v>
      </c>
      <c r="C19908" s="5">
        <v>2</v>
      </c>
      <c r="D19908" s="6">
        <v>59.58</v>
      </c>
      <c r="E19908" t="s">
        <v>6</v>
      </c>
    </row>
    <row r="19909" spans="1:5" x14ac:dyDescent="0.25">
      <c r="A19909" t="str">
        <f>HYPERLINK("https://www.773grp.com/globalSearch/PT6405E/page-1", "PT6405E")</f>
        <v>PT6405E</v>
      </c>
      <c r="B19909" s="3" t="s">
        <v>90</v>
      </c>
      <c r="C19909" s="5">
        <v>242</v>
      </c>
      <c r="D19909" s="6">
        <v>59.58</v>
      </c>
      <c r="E19909" t="s">
        <v>6</v>
      </c>
    </row>
    <row r="19910" spans="1:5" x14ac:dyDescent="0.25">
      <c r="A19910" t="str">
        <f>HYPERLINK("https://www.773grp.com/globalSearch/PT6405ET/page-1", "PT6405ET")</f>
        <v>PT6405ET</v>
      </c>
      <c r="B19910" s="3" t="s">
        <v>90</v>
      </c>
      <c r="C19910" s="5">
        <v>400</v>
      </c>
      <c r="D19910" s="6">
        <v>59.58</v>
      </c>
      <c r="E19910" t="s">
        <v>6</v>
      </c>
    </row>
    <row r="19911" spans="1:5" x14ac:dyDescent="0.25">
      <c r="A19911" t="str">
        <f>HYPERLINK("https://www.773grp.com/globalSearch/PT6406D/page-1", "PT6406D")</f>
        <v>PT6406D</v>
      </c>
      <c r="B19911" s="3" t="s">
        <v>90</v>
      </c>
      <c r="C19911" s="5">
        <v>12</v>
      </c>
      <c r="D19911" s="6">
        <v>59.58</v>
      </c>
      <c r="E19911" t="s">
        <v>6</v>
      </c>
    </row>
    <row r="19912" spans="1:5" x14ac:dyDescent="0.25">
      <c r="A19912" t="str">
        <f>HYPERLINK("https://www.773grp.com/globalSearch/UC1826J/page-1", "UC1826J")</f>
        <v>UC1826J</v>
      </c>
      <c r="B19912" s="3" t="s">
        <v>90</v>
      </c>
      <c r="C19912" s="5">
        <v>287</v>
      </c>
      <c r="D19912" s="6">
        <v>60.53</v>
      </c>
      <c r="E19912" t="s">
        <v>6</v>
      </c>
    </row>
    <row r="19913" spans="1:5" x14ac:dyDescent="0.25">
      <c r="A19913" t="str">
        <f>HYPERLINK("https://www.773grp.com/globalSearch/PT6305R/page-1", "PT6305R")</f>
        <v>PT6305R</v>
      </c>
      <c r="B19913" s="3" t="s">
        <v>90</v>
      </c>
      <c r="C19913" s="5">
        <v>516</v>
      </c>
      <c r="D19913" s="6">
        <v>60.75</v>
      </c>
      <c r="E19913" t="s">
        <v>6</v>
      </c>
    </row>
    <row r="19914" spans="1:5" x14ac:dyDescent="0.25">
      <c r="A19914" t="str">
        <f>HYPERLINK("https://www.773grp.com/globalSearch/PT6405B/page-1", "PT6405B")</f>
        <v>PT6405B</v>
      </c>
      <c r="B19914" s="3" t="s">
        <v>90</v>
      </c>
      <c r="C19914" s="5">
        <v>115</v>
      </c>
      <c r="D19914" s="6">
        <v>60.98</v>
      </c>
      <c r="E19914" t="s">
        <v>6</v>
      </c>
    </row>
    <row r="19915" spans="1:5" x14ac:dyDescent="0.25">
      <c r="A19915" t="str">
        <f>HYPERLINK("https://www.773grp.com/globalSearch/PT6405R/page-1", "PT6405R")</f>
        <v>PT6405R</v>
      </c>
      <c r="B19915" s="3" t="s">
        <v>90</v>
      </c>
      <c r="C19915" s="5">
        <v>858</v>
      </c>
      <c r="D19915" s="6">
        <v>61.04</v>
      </c>
      <c r="E19915" t="s">
        <v>6</v>
      </c>
    </row>
    <row r="19916" spans="1:5" x14ac:dyDescent="0.25">
      <c r="A19916" t="str">
        <f>HYPERLINK("https://www.773grp.com/globalSearch/PT6641P/page-1", "PT6641P")</f>
        <v>PT6641P</v>
      </c>
      <c r="B19916" s="3" t="s">
        <v>90</v>
      </c>
      <c r="C19916" s="5">
        <v>107</v>
      </c>
      <c r="D19916" s="6">
        <v>61.46</v>
      </c>
      <c r="E19916" t="s">
        <v>6</v>
      </c>
    </row>
    <row r="19917" spans="1:5" x14ac:dyDescent="0.25">
      <c r="A19917" t="str">
        <f>HYPERLINK("https://www.773grp.com/globalSearch/PT6642D/page-1", "PT6642D")</f>
        <v>PT6642D</v>
      </c>
      <c r="B19917" s="3" t="s">
        <v>90</v>
      </c>
      <c r="C19917" s="5">
        <v>44</v>
      </c>
      <c r="D19917" s="6">
        <v>61.46</v>
      </c>
      <c r="E19917" t="s">
        <v>6</v>
      </c>
    </row>
    <row r="19918" spans="1:5" x14ac:dyDescent="0.25">
      <c r="A19918" t="str">
        <f>HYPERLINK("https://www.773grp.com/globalSearch/PT6642E/page-1", "PT6642E")</f>
        <v>PT6642E</v>
      </c>
      <c r="B19918" s="3" t="s">
        <v>90</v>
      </c>
      <c r="C19918" s="5">
        <v>32</v>
      </c>
      <c r="D19918" s="6">
        <v>61.46</v>
      </c>
      <c r="E19918" t="s">
        <v>6</v>
      </c>
    </row>
    <row r="19919" spans="1:5" x14ac:dyDescent="0.25">
      <c r="A19919" t="str">
        <f>HYPERLINK("https://www.773grp.com/globalSearch/PT6642P/page-1", "PT6642P")</f>
        <v>PT6642P</v>
      </c>
      <c r="B19919" s="3" t="s">
        <v>90</v>
      </c>
      <c r="C19919" s="5">
        <v>2</v>
      </c>
      <c r="D19919" s="6">
        <v>61.46</v>
      </c>
      <c r="E19919" t="s">
        <v>6</v>
      </c>
    </row>
    <row r="19920" spans="1:5" x14ac:dyDescent="0.25">
      <c r="A19920" t="str">
        <f>HYPERLINK("https://www.773grp.com/globalSearch/PT6643D/page-1", "PT6643D")</f>
        <v>PT6643D</v>
      </c>
      <c r="B19920" s="3" t="s">
        <v>90</v>
      </c>
      <c r="C19920" s="5">
        <v>5</v>
      </c>
      <c r="D19920" s="6">
        <v>61.46</v>
      </c>
      <c r="E19920" t="s">
        <v>6</v>
      </c>
    </row>
    <row r="19921" spans="1:5" x14ac:dyDescent="0.25">
      <c r="A19921" t="str">
        <f>HYPERLINK("https://www.773grp.com/globalSearch/PT6644D/page-1", "PT6644D")</f>
        <v>PT6644D</v>
      </c>
      <c r="B19921" s="3" t="s">
        <v>90</v>
      </c>
      <c r="C19921" s="5">
        <v>48</v>
      </c>
      <c r="D19921" s="6">
        <v>61.46</v>
      </c>
      <c r="E19921" t="s">
        <v>6</v>
      </c>
    </row>
    <row r="19922" spans="1:5" x14ac:dyDescent="0.25">
      <c r="A19922" t="str">
        <f>HYPERLINK("https://www.773grp.com/globalSearch/PT6645D/page-1", "PT6645D")</f>
        <v>PT6645D</v>
      </c>
      <c r="B19922" s="3" t="s">
        <v>90</v>
      </c>
      <c r="C19922" s="5">
        <v>120</v>
      </c>
      <c r="D19922" s="6">
        <v>61.46</v>
      </c>
      <c r="E19922" t="s">
        <v>6</v>
      </c>
    </row>
    <row r="19923" spans="1:5" x14ac:dyDescent="0.25">
      <c r="A19923" t="str">
        <f>HYPERLINK("https://www.773grp.com/globalSearch/PT6645E/page-1", "PT6645E")</f>
        <v>PT6645E</v>
      </c>
      <c r="B19923" s="3" t="s">
        <v>90</v>
      </c>
      <c r="C19923" s="5">
        <v>117</v>
      </c>
      <c r="D19923" s="6">
        <v>61.46</v>
      </c>
      <c r="E19923" t="s">
        <v>6</v>
      </c>
    </row>
    <row r="19924" spans="1:5" x14ac:dyDescent="0.25">
      <c r="A19924" t="str">
        <f>HYPERLINK("https://www.773grp.com/globalSearch/PT6645P/page-1", "PT6645P")</f>
        <v>PT6645P</v>
      </c>
      <c r="B19924" s="3" t="s">
        <v>90</v>
      </c>
      <c r="C19924" s="5">
        <v>55</v>
      </c>
      <c r="D19924" s="6">
        <v>61.46</v>
      </c>
      <c r="E19924" t="s">
        <v>6</v>
      </c>
    </row>
    <row r="19925" spans="1:5" x14ac:dyDescent="0.25">
      <c r="A19925" t="str">
        <f>HYPERLINK("https://www.773grp.com/globalSearch/PT6646E/page-1", "PT6646E")</f>
        <v>PT6646E</v>
      </c>
      <c r="B19925" s="3" t="s">
        <v>90</v>
      </c>
      <c r="C19925" s="5">
        <v>43</v>
      </c>
      <c r="D19925" s="6">
        <v>61.46</v>
      </c>
      <c r="E19925" t="s">
        <v>6</v>
      </c>
    </row>
    <row r="19926" spans="1:5" x14ac:dyDescent="0.25">
      <c r="A19926" t="str">
        <f>HYPERLINK("https://www.773grp.com/globalSearch/PT6646P/page-1", "PT6646P")</f>
        <v>PT6646P</v>
      </c>
      <c r="B19926" s="3" t="s">
        <v>90</v>
      </c>
      <c r="C19926" s="5">
        <v>84</v>
      </c>
      <c r="D19926" s="6">
        <v>61.46</v>
      </c>
      <c r="E19926" t="s">
        <v>6</v>
      </c>
    </row>
    <row r="19927" spans="1:5" x14ac:dyDescent="0.25">
      <c r="A19927" t="str">
        <f>HYPERLINK("https://www.773grp.com/globalSearch/PT6655D/page-1", "PT6655D")</f>
        <v>PT6655D</v>
      </c>
      <c r="B19927" s="3" t="s">
        <v>90</v>
      </c>
      <c r="C19927" s="5">
        <v>34</v>
      </c>
      <c r="D19927" s="6">
        <v>61.46</v>
      </c>
      <c r="E19927" t="s">
        <v>6</v>
      </c>
    </row>
    <row r="19928" spans="1:5" x14ac:dyDescent="0.25">
      <c r="A19928" t="str">
        <f>HYPERLINK("https://www.773grp.com/globalSearch/PT6655P/page-1", "PT6655P")</f>
        <v>PT6655P</v>
      </c>
      <c r="B19928" s="3" t="s">
        <v>90</v>
      </c>
      <c r="C19928" s="5">
        <v>84</v>
      </c>
      <c r="D19928" s="6">
        <v>61.46</v>
      </c>
      <c r="E19928" t="s">
        <v>6</v>
      </c>
    </row>
    <row r="19929" spans="1:5" x14ac:dyDescent="0.25">
      <c r="A19929" t="str">
        <f>HYPERLINK("https://www.773grp.com/globalSearch/PT6671E/page-1", "PT6671E")</f>
        <v>PT6671E</v>
      </c>
      <c r="B19929" s="3" t="s">
        <v>90</v>
      </c>
      <c r="C19929" s="5">
        <v>50</v>
      </c>
      <c r="D19929" s="6">
        <v>61.46</v>
      </c>
      <c r="E19929" t="s">
        <v>6</v>
      </c>
    </row>
    <row r="19930" spans="1:5" x14ac:dyDescent="0.25">
      <c r="A19930" t="str">
        <f>HYPERLINK("https://www.773grp.com/globalSearch/PT6671P/page-1", "PT6671P")</f>
        <v>PT6671P</v>
      </c>
      <c r="B19930" s="3" t="s">
        <v>90</v>
      </c>
      <c r="C19930" s="5">
        <v>108</v>
      </c>
      <c r="D19930" s="6">
        <v>61.46</v>
      </c>
      <c r="E19930" t="s">
        <v>6</v>
      </c>
    </row>
    <row r="19931" spans="1:5" x14ac:dyDescent="0.25">
      <c r="A19931" t="str">
        <f>HYPERLINK("https://www.773grp.com/globalSearch/PT6673E/page-1", "PT6673E")</f>
        <v>PT6673E</v>
      </c>
      <c r="B19931" s="3" t="s">
        <v>90</v>
      </c>
      <c r="C19931" s="5">
        <v>267</v>
      </c>
      <c r="D19931" s="6">
        <v>61.46</v>
      </c>
      <c r="E19931" t="s">
        <v>6</v>
      </c>
    </row>
    <row r="19932" spans="1:5" x14ac:dyDescent="0.25">
      <c r="A19932" t="str">
        <f>HYPERLINK("https://www.773grp.com/globalSearch/PT6674D/page-1", "PT6674D")</f>
        <v>PT6674D</v>
      </c>
      <c r="B19932" s="3" t="s">
        <v>90</v>
      </c>
      <c r="C19932" s="5">
        <v>78</v>
      </c>
      <c r="D19932" s="6">
        <v>61.46</v>
      </c>
      <c r="E19932" t="s">
        <v>6</v>
      </c>
    </row>
    <row r="19933" spans="1:5" x14ac:dyDescent="0.25">
      <c r="A19933" t="str">
        <f>HYPERLINK("https://www.773grp.com/globalSearch/PT6674P/page-1", "PT6674P")</f>
        <v>PT6674P</v>
      </c>
      <c r="B19933" s="3" t="s">
        <v>90</v>
      </c>
      <c r="C19933" s="5">
        <v>62</v>
      </c>
      <c r="D19933" s="6">
        <v>61.46</v>
      </c>
      <c r="E19933" t="s">
        <v>6</v>
      </c>
    </row>
    <row r="19934" spans="1:5" x14ac:dyDescent="0.25">
      <c r="A19934" t="str">
        <f>HYPERLINK("https://www.773grp.com/globalSearch/PT6881A/page-1", "PT6881A")</f>
        <v>PT6881A</v>
      </c>
      <c r="B19934" s="3" t="s">
        <v>90</v>
      </c>
      <c r="C19934" s="5">
        <v>40</v>
      </c>
      <c r="D19934" s="6">
        <v>61.46</v>
      </c>
      <c r="E19934" t="s">
        <v>6</v>
      </c>
    </row>
    <row r="19935" spans="1:5" x14ac:dyDescent="0.25">
      <c r="A19935" t="str">
        <f>HYPERLINK("https://www.773grp.com/globalSearch/PT6881C/page-1", "PT6881C")</f>
        <v>PT6881C</v>
      </c>
      <c r="B19935" s="3" t="s">
        <v>90</v>
      </c>
      <c r="C19935" s="5">
        <v>105</v>
      </c>
      <c r="D19935" s="6">
        <v>61.46</v>
      </c>
      <c r="E19935" t="s">
        <v>6</v>
      </c>
    </row>
    <row r="19936" spans="1:5" x14ac:dyDescent="0.25">
      <c r="A19936" t="str">
        <f>HYPERLINK("https://www.773grp.com/globalSearch/PT6881N/page-1", "PT6881N")</f>
        <v>PT6881N</v>
      </c>
      <c r="B19936" s="3" t="s">
        <v>90</v>
      </c>
      <c r="C19936" s="5">
        <v>46</v>
      </c>
      <c r="D19936" s="6">
        <v>61.46</v>
      </c>
      <c r="E19936" t="s">
        <v>6</v>
      </c>
    </row>
    <row r="19937" spans="1:5" x14ac:dyDescent="0.25">
      <c r="A19937" t="str">
        <f>HYPERLINK("https://www.773grp.com/globalSearch/PT6883A/page-1", "PT6883A")</f>
        <v>PT6883A</v>
      </c>
      <c r="B19937" s="3" t="s">
        <v>90</v>
      </c>
      <c r="C19937" s="5">
        <v>9</v>
      </c>
      <c r="D19937" s="6">
        <v>61.46</v>
      </c>
      <c r="E19937" t="s">
        <v>6</v>
      </c>
    </row>
    <row r="19938" spans="1:5" x14ac:dyDescent="0.25">
      <c r="A19938" t="str">
        <f>HYPERLINK("https://www.773grp.com/globalSearch/PT6883N/page-1", "PT6883N")</f>
        <v>PT6883N</v>
      </c>
      <c r="B19938" s="3" t="s">
        <v>90</v>
      </c>
      <c r="C19938" s="5">
        <v>15</v>
      </c>
      <c r="D19938" s="6">
        <v>61.46</v>
      </c>
      <c r="E19938" t="s">
        <v>6</v>
      </c>
    </row>
    <row r="19939" spans="1:5" x14ac:dyDescent="0.25">
      <c r="A19939" t="str">
        <f>HYPERLINK("https://www.773grp.com/globalSearch/PT6884A/page-1", "PT6884A")</f>
        <v>PT6884A</v>
      </c>
      <c r="B19939" s="3" t="s">
        <v>90</v>
      </c>
      <c r="C19939" s="5">
        <v>38</v>
      </c>
      <c r="D19939" s="6">
        <v>61.46</v>
      </c>
      <c r="E19939" t="s">
        <v>6</v>
      </c>
    </row>
    <row r="19940" spans="1:5" x14ac:dyDescent="0.25">
      <c r="A19940" t="str">
        <f>HYPERLINK("https://www.773grp.com/globalSearch/PT6884C/page-1", "PT6884C")</f>
        <v>PT6884C</v>
      </c>
      <c r="B19940" s="3" t="s">
        <v>90</v>
      </c>
      <c r="C19940" s="5">
        <v>5</v>
      </c>
      <c r="D19940" s="6">
        <v>61.46</v>
      </c>
      <c r="E19940" t="s">
        <v>6</v>
      </c>
    </row>
    <row r="19941" spans="1:5" x14ac:dyDescent="0.25">
      <c r="A19941" t="str">
        <f>HYPERLINK("https://www.773grp.com/globalSearch/PT6885N/page-1", "PT6885N")</f>
        <v>PT6885N</v>
      </c>
      <c r="B19941" s="3" t="s">
        <v>90</v>
      </c>
      <c r="C19941" s="5">
        <v>159</v>
      </c>
      <c r="D19941" s="6">
        <v>61.46</v>
      </c>
      <c r="E19941" t="s">
        <v>6</v>
      </c>
    </row>
    <row r="19942" spans="1:5" x14ac:dyDescent="0.25">
      <c r="A19942" t="str">
        <f>HYPERLINK("https://www.773grp.com/globalSearch/PT6886A/page-1", "PT6886A")</f>
        <v>PT6886A</v>
      </c>
      <c r="B19942" s="3" t="s">
        <v>90</v>
      </c>
      <c r="C19942" s="5">
        <v>35</v>
      </c>
      <c r="D19942" s="6">
        <v>61.46</v>
      </c>
      <c r="E19942" t="s">
        <v>6</v>
      </c>
    </row>
    <row r="19943" spans="1:5" x14ac:dyDescent="0.25">
      <c r="A19943" t="str">
        <f>HYPERLINK("https://www.773grp.com/globalSearch/PT6886C/page-1", "PT6886C")</f>
        <v>PT6886C</v>
      </c>
      <c r="B19943" s="3" t="s">
        <v>90</v>
      </c>
      <c r="C19943" s="5">
        <v>27</v>
      </c>
      <c r="D19943" s="6">
        <v>61.46</v>
      </c>
      <c r="E19943" t="s">
        <v>6</v>
      </c>
    </row>
    <row r="19944" spans="1:5" x14ac:dyDescent="0.25">
      <c r="A19944" t="str">
        <f>HYPERLINK("https://www.773grp.com/globalSearch/PT6429P/page-1", "PT6429P")</f>
        <v>PT6429P</v>
      </c>
      <c r="B19944" s="3" t="s">
        <v>90</v>
      </c>
      <c r="C19944" s="5">
        <v>398</v>
      </c>
      <c r="D19944" s="6">
        <v>62.35</v>
      </c>
      <c r="E19944" t="s">
        <v>6</v>
      </c>
    </row>
    <row r="19945" spans="1:5" x14ac:dyDescent="0.25">
      <c r="A19945" t="str">
        <f>HYPERLINK("https://www.773grp.com/globalSearch/PT6425P/page-1", "PT6425P")</f>
        <v>PT6425P</v>
      </c>
      <c r="B19945" s="3" t="s">
        <v>90</v>
      </c>
      <c r="C19945" s="5">
        <v>27</v>
      </c>
      <c r="D19945" s="6">
        <v>62.44</v>
      </c>
      <c r="E19945" t="s">
        <v>6</v>
      </c>
    </row>
    <row r="19946" spans="1:5" x14ac:dyDescent="0.25">
      <c r="A19946" t="str">
        <f>HYPERLINK("https://www.773grp.com/globalSearch/PT6642G/page-1", "PT6642G")</f>
        <v>PT6642G</v>
      </c>
      <c r="B19946" s="3" t="s">
        <v>90</v>
      </c>
      <c r="C19946" s="5">
        <v>48</v>
      </c>
      <c r="D19946" s="6">
        <v>62.86</v>
      </c>
      <c r="E19946" t="s">
        <v>6</v>
      </c>
    </row>
    <row r="19947" spans="1:5" x14ac:dyDescent="0.25">
      <c r="A19947" t="str">
        <f>HYPERLINK("https://www.773grp.com/globalSearch/PT6643M/page-1", "PT6643M")</f>
        <v>PT6643M</v>
      </c>
      <c r="B19947" s="3" t="s">
        <v>90</v>
      </c>
      <c r="C19947" s="5">
        <v>168</v>
      </c>
      <c r="D19947" s="6">
        <v>62.86</v>
      </c>
      <c r="E19947" t="s">
        <v>6</v>
      </c>
    </row>
    <row r="19948" spans="1:5" x14ac:dyDescent="0.25">
      <c r="A19948" t="str">
        <f>HYPERLINK("https://www.773grp.com/globalSearch/PT6645G/page-1", "PT6645G")</f>
        <v>PT6645G</v>
      </c>
      <c r="B19948" s="3" t="s">
        <v>90</v>
      </c>
      <c r="C19948" s="5">
        <v>60</v>
      </c>
      <c r="D19948" s="6">
        <v>62.86</v>
      </c>
      <c r="E19948" t="s">
        <v>6</v>
      </c>
    </row>
    <row r="19949" spans="1:5" x14ac:dyDescent="0.25">
      <c r="A19949" t="str">
        <f>HYPERLINK("https://www.773grp.com/globalSearch/PT6655G/page-1", "PT6655G")</f>
        <v>PT6655G</v>
      </c>
      <c r="B19949" s="3" t="s">
        <v>90</v>
      </c>
      <c r="C19949" s="5">
        <v>276</v>
      </c>
      <c r="D19949" s="6">
        <v>62.86</v>
      </c>
      <c r="E19949" t="s">
        <v>6</v>
      </c>
    </row>
    <row r="19950" spans="1:5" x14ac:dyDescent="0.25">
      <c r="A19950" t="str">
        <f>HYPERLINK("https://www.773grp.com/globalSearch/PT6671L/page-1", "PT6671L")</f>
        <v>PT6671L</v>
      </c>
      <c r="B19950" s="3" t="s">
        <v>90</v>
      </c>
      <c r="C19950" s="5">
        <v>12</v>
      </c>
      <c r="D19950" s="6">
        <v>62.86</v>
      </c>
      <c r="E19950" t="s">
        <v>6</v>
      </c>
    </row>
    <row r="19951" spans="1:5" x14ac:dyDescent="0.25">
      <c r="A19951" t="str">
        <f>HYPERLINK("https://www.773grp.com/globalSearch/PT6651E/page-1", "PT6651E")</f>
        <v>PT6651E</v>
      </c>
      <c r="B19951" s="3" t="s">
        <v>90</v>
      </c>
      <c r="C19951" s="5">
        <v>208</v>
      </c>
      <c r="D19951" s="6">
        <v>63.08</v>
      </c>
      <c r="E19951" t="s">
        <v>6</v>
      </c>
    </row>
    <row r="19952" spans="1:5" x14ac:dyDescent="0.25">
      <c r="A19952" t="str">
        <f>HYPERLINK("https://www.773grp.com/globalSearch/PT6651P/page-1", "PT6651P")</f>
        <v>PT6651P</v>
      </c>
      <c r="B19952" s="3" t="s">
        <v>90</v>
      </c>
      <c r="C19952" s="5">
        <v>62</v>
      </c>
      <c r="D19952" s="6">
        <v>63.08</v>
      </c>
      <c r="E19952" t="s">
        <v>6</v>
      </c>
    </row>
    <row r="19953" spans="1:5" x14ac:dyDescent="0.25">
      <c r="A19953" t="str">
        <f>HYPERLINK("https://www.773grp.com/globalSearch/PT6653D/page-1", "PT6653D")</f>
        <v>PT6653D</v>
      </c>
      <c r="B19953" s="3" t="s">
        <v>90</v>
      </c>
      <c r="C19953" s="5">
        <v>3</v>
      </c>
      <c r="D19953" s="6">
        <v>63.08</v>
      </c>
      <c r="E19953" t="s">
        <v>6</v>
      </c>
    </row>
    <row r="19954" spans="1:5" x14ac:dyDescent="0.25">
      <c r="A19954" t="str">
        <f>HYPERLINK("https://www.773grp.com/globalSearch/PT6654P/page-1", "PT6654P")</f>
        <v>PT6654P</v>
      </c>
      <c r="B19954" s="3" t="s">
        <v>90</v>
      </c>
      <c r="C19954" s="5">
        <v>74</v>
      </c>
      <c r="D19954" s="6">
        <v>63.08</v>
      </c>
      <c r="E19954" t="s">
        <v>6</v>
      </c>
    </row>
    <row r="19955" spans="1:5" x14ac:dyDescent="0.25">
      <c r="A19955" t="str">
        <f>HYPERLINK("https://www.773grp.com/globalSearch/PT6656P/page-1", "PT6656P")</f>
        <v>PT6656P</v>
      </c>
      <c r="B19955" s="3" t="s">
        <v>90</v>
      </c>
      <c r="C19955" s="5">
        <v>9</v>
      </c>
      <c r="D19955" s="6">
        <v>63.08</v>
      </c>
      <c r="E19955" t="s">
        <v>6</v>
      </c>
    </row>
    <row r="19956" spans="1:5" x14ac:dyDescent="0.25">
      <c r="A19956" t="str">
        <f>HYPERLINK("https://www.773grp.com/globalSearch/PT6654D/page-1", "PT6654D")</f>
        <v>PT6654D</v>
      </c>
      <c r="B19956" s="3" t="s">
        <v>90</v>
      </c>
      <c r="C19956" s="5">
        <v>27</v>
      </c>
      <c r="D19956" s="6">
        <v>63.15</v>
      </c>
      <c r="E19956" t="s">
        <v>6</v>
      </c>
    </row>
    <row r="19957" spans="1:5" x14ac:dyDescent="0.25">
      <c r="A19957" t="str">
        <f>HYPERLINK("https://www.773grp.com/globalSearch/PT6715C/page-1", "PT6715C")</f>
        <v>PT6715C</v>
      </c>
      <c r="B19957" s="3" t="s">
        <v>90</v>
      </c>
      <c r="C19957" s="5">
        <v>126</v>
      </c>
      <c r="D19957" s="6">
        <v>63.23</v>
      </c>
      <c r="E19957" t="s">
        <v>6</v>
      </c>
    </row>
    <row r="19958" spans="1:5" x14ac:dyDescent="0.25">
      <c r="A19958" t="str">
        <f>HYPERLINK("https://www.773grp.com/globalSearch/PT6715N/page-1", "PT6715N")</f>
        <v>PT6715N</v>
      </c>
      <c r="B19958" s="3" t="s">
        <v>90</v>
      </c>
      <c r="C19958" s="5">
        <v>39</v>
      </c>
      <c r="D19958" s="6">
        <v>63.23</v>
      </c>
      <c r="E19958" t="s">
        <v>6</v>
      </c>
    </row>
    <row r="19959" spans="1:5" x14ac:dyDescent="0.25">
      <c r="A19959" t="str">
        <f>HYPERLINK("https://www.773grp.com/globalSearch/PT6717A/page-1", "PT6717A")</f>
        <v>PT6717A</v>
      </c>
      <c r="B19959" s="3" t="s">
        <v>90</v>
      </c>
      <c r="C19959" s="5">
        <v>30</v>
      </c>
      <c r="D19959" s="6">
        <v>63.23</v>
      </c>
      <c r="E19959" t="s">
        <v>6</v>
      </c>
    </row>
    <row r="19960" spans="1:5" x14ac:dyDescent="0.25">
      <c r="A19960" t="str">
        <f>HYPERLINK("https://www.773grp.com/globalSearch/PT6718A/page-1", "PT6718A")</f>
        <v>PT6718A</v>
      </c>
      <c r="B19960" s="3" t="s">
        <v>90</v>
      </c>
      <c r="C19960" s="5">
        <v>90</v>
      </c>
      <c r="D19960" s="6">
        <v>63.23</v>
      </c>
      <c r="E19960" t="s">
        <v>6</v>
      </c>
    </row>
    <row r="19961" spans="1:5" x14ac:dyDescent="0.25">
      <c r="A19961" t="str">
        <f>HYPERLINK("https://www.773grp.com/globalSearch/PT6718C/page-1", "PT6718C")</f>
        <v>PT6718C</v>
      </c>
      <c r="B19961" s="3" t="s">
        <v>90</v>
      </c>
      <c r="C19961" s="5">
        <v>18</v>
      </c>
      <c r="D19961" s="6">
        <v>63.23</v>
      </c>
      <c r="E19961" t="s">
        <v>6</v>
      </c>
    </row>
    <row r="19962" spans="1:5" x14ac:dyDescent="0.25">
      <c r="A19962" t="str">
        <f>HYPERLINK("https://www.773grp.com/globalSearch/PT6724N/page-1", "PT6724N")</f>
        <v>PT6724N</v>
      </c>
      <c r="B19962" s="3" t="s">
        <v>90</v>
      </c>
      <c r="C19962" s="5">
        <v>641</v>
      </c>
      <c r="D19962" s="6">
        <v>63.23</v>
      </c>
      <c r="E19962" t="s">
        <v>6</v>
      </c>
    </row>
    <row r="19963" spans="1:5" x14ac:dyDescent="0.25">
      <c r="A19963" t="str">
        <f>HYPERLINK("https://www.773grp.com/globalSearch/PT6725C/page-1", "PT6725C")</f>
        <v>PT6725C</v>
      </c>
      <c r="B19963" s="3" t="s">
        <v>90</v>
      </c>
      <c r="C19963" s="5">
        <v>743</v>
      </c>
      <c r="D19963" s="6">
        <v>63.23</v>
      </c>
      <c r="E19963" t="s">
        <v>6</v>
      </c>
    </row>
    <row r="19964" spans="1:5" x14ac:dyDescent="0.25">
      <c r="A19964" t="str">
        <f>HYPERLINK("https://www.773grp.com/globalSearch/PT6715A/page-1", "PT6715A")</f>
        <v>PT6715A</v>
      </c>
      <c r="B19964" s="3" t="s">
        <v>90</v>
      </c>
      <c r="C19964" s="5">
        <v>7</v>
      </c>
      <c r="D19964" s="6">
        <v>63.29</v>
      </c>
      <c r="E19964" t="s">
        <v>6</v>
      </c>
    </row>
    <row r="19965" spans="1:5" x14ac:dyDescent="0.25">
      <c r="A19965" t="str">
        <f>HYPERLINK("https://www.773grp.com/globalSearch/PT6719C/page-1", "PT6719C")</f>
        <v>PT6719C</v>
      </c>
      <c r="B19965" s="3" t="s">
        <v>90</v>
      </c>
      <c r="C19965" s="5">
        <v>2660</v>
      </c>
      <c r="D19965" s="6">
        <v>63.29</v>
      </c>
      <c r="E19965" t="s">
        <v>6</v>
      </c>
    </row>
    <row r="19966" spans="1:5" x14ac:dyDescent="0.25">
      <c r="A19966" t="str">
        <f>HYPERLINK("https://www.773grp.com/globalSearch/PT6725A/page-1", "PT6725A")</f>
        <v>PT6725A</v>
      </c>
      <c r="B19966" s="3" t="s">
        <v>90</v>
      </c>
      <c r="C19966" s="5">
        <v>20</v>
      </c>
      <c r="D19966" s="6">
        <v>63.29</v>
      </c>
      <c r="E19966" t="s">
        <v>6</v>
      </c>
    </row>
    <row r="19967" spans="1:5" x14ac:dyDescent="0.25">
      <c r="A19967" t="str">
        <f>HYPERLINK("https://www.773grp.com/globalSearch/PT6725N/page-1", "PT6725N")</f>
        <v>PT6725N</v>
      </c>
      <c r="B19967" s="3" t="s">
        <v>90</v>
      </c>
      <c r="C19967" s="5">
        <v>410</v>
      </c>
      <c r="D19967" s="6">
        <v>63.29</v>
      </c>
      <c r="E19967" t="s">
        <v>6</v>
      </c>
    </row>
    <row r="19968" spans="1:5" x14ac:dyDescent="0.25">
      <c r="A19968" t="str">
        <f>HYPERLINK("https://www.773grp.com/globalSearch/PT6653B/page-1", "PT6653B")</f>
        <v>PT6653B</v>
      </c>
      <c r="B19968" s="3" t="s">
        <v>90</v>
      </c>
      <c r="C19968" s="5">
        <v>72</v>
      </c>
      <c r="D19968" s="6">
        <v>64.5</v>
      </c>
      <c r="E19968" t="s">
        <v>6</v>
      </c>
    </row>
    <row r="19969" spans="1:5" x14ac:dyDescent="0.25">
      <c r="A19969" t="str">
        <f>HYPERLINK("https://www.773grp.com/globalSearch/PT6653G/page-1", "PT6653G")</f>
        <v>PT6653G</v>
      </c>
      <c r="B19969" s="3" t="s">
        <v>90</v>
      </c>
      <c r="C19969" s="5">
        <v>1</v>
      </c>
      <c r="D19969" s="6">
        <v>64.5</v>
      </c>
      <c r="E19969" t="s">
        <v>6</v>
      </c>
    </row>
    <row r="19970" spans="1:5" x14ac:dyDescent="0.25">
      <c r="A19970" t="str">
        <f>HYPERLINK("https://www.773grp.com/globalSearch/PT6653R/page-1", "PT6653R")</f>
        <v>PT6653R</v>
      </c>
      <c r="B19970" s="3" t="s">
        <v>90</v>
      </c>
      <c r="C19970" s="5">
        <v>2</v>
      </c>
      <c r="D19970" s="6">
        <v>64.5</v>
      </c>
      <c r="E19970" t="s">
        <v>6</v>
      </c>
    </row>
    <row r="19971" spans="1:5" x14ac:dyDescent="0.25">
      <c r="A19971" t="str">
        <f>HYPERLINK("https://www.773grp.com/globalSearch/PT6654B/page-1", "PT6654B")</f>
        <v>PT6654B</v>
      </c>
      <c r="B19971" s="3" t="s">
        <v>90</v>
      </c>
      <c r="C19971" s="5">
        <v>50</v>
      </c>
      <c r="D19971" s="6">
        <v>64.5</v>
      </c>
      <c r="E19971" t="s">
        <v>6</v>
      </c>
    </row>
    <row r="19972" spans="1:5" x14ac:dyDescent="0.25">
      <c r="A19972" t="str">
        <f>HYPERLINK("https://www.773grp.com/globalSearch/PT6654G/page-1", "PT6654G")</f>
        <v>PT6654G</v>
      </c>
      <c r="B19972" s="3" t="s">
        <v>90</v>
      </c>
      <c r="C19972" s="5">
        <v>24</v>
      </c>
      <c r="D19972" s="6">
        <v>64.5</v>
      </c>
      <c r="E19972" t="s">
        <v>6</v>
      </c>
    </row>
    <row r="19973" spans="1:5" x14ac:dyDescent="0.25">
      <c r="A19973" t="str">
        <f>HYPERLINK("https://www.773grp.com/globalSearch/PT6654R/page-1", "PT6654R")</f>
        <v>PT6654R</v>
      </c>
      <c r="B19973" s="3" t="s">
        <v>90</v>
      </c>
      <c r="C19973" s="5">
        <v>22</v>
      </c>
      <c r="D19973" s="6">
        <v>64.5</v>
      </c>
      <c r="E19973" t="s">
        <v>6</v>
      </c>
    </row>
    <row r="19974" spans="1:5" x14ac:dyDescent="0.25">
      <c r="A19974" t="str">
        <f>HYPERLINK("https://www.773grp.com/globalSearch/PT6656G/page-1", "PT6656G")</f>
        <v>PT6656G</v>
      </c>
      <c r="B19974" s="3" t="s">
        <v>90</v>
      </c>
      <c r="C19974" s="5">
        <v>53</v>
      </c>
      <c r="D19974" s="6">
        <v>64.5</v>
      </c>
      <c r="E19974" t="s">
        <v>6</v>
      </c>
    </row>
    <row r="19975" spans="1:5" x14ac:dyDescent="0.25">
      <c r="A19975" t="str">
        <f>HYPERLINK("https://www.773grp.com/globalSearch/PT6651B/page-1", "PT6651B")</f>
        <v>PT6651B</v>
      </c>
      <c r="B19975" s="3" t="s">
        <v>90</v>
      </c>
      <c r="C19975" s="5">
        <v>156</v>
      </c>
      <c r="D19975" s="6">
        <v>64.55</v>
      </c>
      <c r="E19975" t="s">
        <v>6</v>
      </c>
    </row>
    <row r="19976" spans="1:5" x14ac:dyDescent="0.25">
      <c r="A19976" t="str">
        <f>HYPERLINK("https://www.773grp.com/globalSearch/PT6651G/page-1", "PT6651G")</f>
        <v>PT6651G</v>
      </c>
      <c r="B19976" s="3" t="s">
        <v>90</v>
      </c>
      <c r="C19976" s="5">
        <v>36</v>
      </c>
      <c r="D19976" s="6">
        <v>64.55</v>
      </c>
      <c r="E19976" t="s">
        <v>6</v>
      </c>
    </row>
    <row r="19977" spans="1:5" x14ac:dyDescent="0.25">
      <c r="A19977" t="str">
        <f>HYPERLINK("https://www.773grp.com/globalSearch/PT6652G/page-1", "PT6652G")</f>
        <v>PT6652G</v>
      </c>
      <c r="B19977" s="3" t="s">
        <v>90</v>
      </c>
      <c r="C19977" s="5">
        <v>24</v>
      </c>
      <c r="D19977" s="6">
        <v>64.55</v>
      </c>
      <c r="E19977" t="s">
        <v>6</v>
      </c>
    </row>
    <row r="19978" spans="1:5" x14ac:dyDescent="0.25">
      <c r="A19978" t="str">
        <f>HYPERLINK("https://www.773grp.com/globalSearch/PT6222N/page-1", "PT6222N")</f>
        <v>PT6222N</v>
      </c>
      <c r="B19978" s="3" t="s">
        <v>90</v>
      </c>
      <c r="C19978" s="5">
        <v>27</v>
      </c>
      <c r="D19978" s="6">
        <v>64.69</v>
      </c>
      <c r="E19978" t="s">
        <v>6</v>
      </c>
    </row>
    <row r="19979" spans="1:5" x14ac:dyDescent="0.25">
      <c r="A19979" t="str">
        <f>HYPERLINK("https://www.773grp.com/globalSearch/5962-89511012A/page-1", "5962-89511012A")</f>
        <v>5962-89511012A</v>
      </c>
      <c r="B19979" s="3" t="s">
        <v>90</v>
      </c>
      <c r="C19979" s="5">
        <v>103</v>
      </c>
      <c r="D19979" s="6">
        <v>64.709999999999994</v>
      </c>
      <c r="E19979" t="s">
        <v>6</v>
      </c>
    </row>
    <row r="19980" spans="1:5" x14ac:dyDescent="0.25">
      <c r="A19980" t="str">
        <f>HYPERLINK("https://www.773grp.com/globalSearch/UC1871J-883B/page-1", "UC1871J-883B")</f>
        <v>UC1871J-883B</v>
      </c>
      <c r="B19980" s="3" t="s">
        <v>90</v>
      </c>
      <c r="C19980" s="5">
        <v>122</v>
      </c>
      <c r="D19980" s="6">
        <v>66.790000000000006</v>
      </c>
      <c r="E19980" t="s">
        <v>6</v>
      </c>
    </row>
    <row r="19981" spans="1:5" x14ac:dyDescent="0.25">
      <c r="A19981" t="str">
        <f>HYPERLINK("https://www.773grp.com/globalSearch/78ST305HC/page-1", "78ST305HC")</f>
        <v>78ST305HC</v>
      </c>
      <c r="B19981" s="3" t="s">
        <v>90</v>
      </c>
      <c r="C19981" s="5">
        <v>21</v>
      </c>
      <c r="D19981" s="6">
        <v>66.88</v>
      </c>
      <c r="E19981" t="s">
        <v>6</v>
      </c>
    </row>
    <row r="19982" spans="1:5" x14ac:dyDescent="0.25">
      <c r="A19982" t="str">
        <f>HYPERLINK("https://www.773grp.com/globalSearch/78ST305VC/page-1", "78ST305VC")</f>
        <v>78ST305VC</v>
      </c>
      <c r="B19982" s="3" t="s">
        <v>90</v>
      </c>
      <c r="C19982" s="5">
        <v>18</v>
      </c>
      <c r="D19982" s="6">
        <v>66.88</v>
      </c>
      <c r="E19982" t="s">
        <v>6</v>
      </c>
    </row>
    <row r="19983" spans="1:5" x14ac:dyDescent="0.25">
      <c r="A19983" t="str">
        <f>HYPERLINK("https://www.773grp.com/globalSearch/PT5071A/page-1", "PT5071A")</f>
        <v>PT5071A</v>
      </c>
      <c r="B19983" s="3" t="s">
        <v>90</v>
      </c>
      <c r="C19983" s="5">
        <v>420</v>
      </c>
      <c r="D19983" s="6">
        <v>68.56</v>
      </c>
      <c r="E19983" t="s">
        <v>6</v>
      </c>
    </row>
    <row r="19984" spans="1:5" x14ac:dyDescent="0.25">
      <c r="A19984" t="str">
        <f>HYPERLINK("https://www.773grp.com/globalSearch/PT6701A/page-1", "PT6701A")</f>
        <v>PT6701A</v>
      </c>
      <c r="B19984" s="3" t="s">
        <v>90</v>
      </c>
      <c r="C19984" s="5">
        <v>320</v>
      </c>
      <c r="D19984" s="6">
        <v>68.56</v>
      </c>
      <c r="E19984" t="s">
        <v>6</v>
      </c>
    </row>
    <row r="19985" spans="1:5" x14ac:dyDescent="0.25">
      <c r="A19985" t="str">
        <f>HYPERLINK("https://www.773grp.com/globalSearch/PT6701C/page-1", "PT6701C")</f>
        <v>PT6701C</v>
      </c>
      <c r="B19985" s="3" t="s">
        <v>90</v>
      </c>
      <c r="C19985" s="5">
        <v>34</v>
      </c>
      <c r="D19985" s="6">
        <v>68.56</v>
      </c>
      <c r="E19985" t="s">
        <v>6</v>
      </c>
    </row>
    <row r="19986" spans="1:5" x14ac:dyDescent="0.25">
      <c r="A19986" t="str">
        <f>HYPERLINK("https://www.773grp.com/globalSearch/PT6701N/page-1", "PT6701N")</f>
        <v>PT6701N</v>
      </c>
      <c r="B19986" s="3" t="s">
        <v>90</v>
      </c>
      <c r="C19986" s="5">
        <v>357</v>
      </c>
      <c r="D19986" s="6">
        <v>68.56</v>
      </c>
      <c r="E19986" t="s">
        <v>6</v>
      </c>
    </row>
    <row r="19987" spans="1:5" x14ac:dyDescent="0.25">
      <c r="A19987" t="str">
        <f>HYPERLINK("https://www.773grp.com/globalSearch/PT6702C/page-1", "PT6702C")</f>
        <v>PT6702C</v>
      </c>
      <c r="B19987" s="3" t="s">
        <v>90</v>
      </c>
      <c r="C19987" s="5">
        <v>47</v>
      </c>
      <c r="D19987" s="6">
        <v>68.56</v>
      </c>
      <c r="E19987" t="s">
        <v>6</v>
      </c>
    </row>
    <row r="19988" spans="1:5" x14ac:dyDescent="0.25">
      <c r="A19988" t="str">
        <f>HYPERLINK("https://www.773grp.com/globalSearch/PT6702N/page-1", "PT6702N")</f>
        <v>PT6702N</v>
      </c>
      <c r="B19988" s="3" t="s">
        <v>90</v>
      </c>
      <c r="C19988" s="5">
        <v>363</v>
      </c>
      <c r="D19988" s="6">
        <v>68.56</v>
      </c>
      <c r="E19988" t="s">
        <v>6</v>
      </c>
    </row>
    <row r="19989" spans="1:5" x14ac:dyDescent="0.25">
      <c r="A19989" t="str">
        <f>HYPERLINK("https://www.773grp.com/globalSearch/PT5071N/page-1", "PT5071N")</f>
        <v>PT5071N</v>
      </c>
      <c r="B19989" s="3" t="s">
        <v>90</v>
      </c>
      <c r="C19989" s="5">
        <v>120</v>
      </c>
      <c r="D19989" s="6">
        <v>68.63</v>
      </c>
      <c r="E19989" t="s">
        <v>6</v>
      </c>
    </row>
    <row r="19990" spans="1:5" x14ac:dyDescent="0.25">
      <c r="A19990" t="str">
        <f>HYPERLINK("https://www.773grp.com/globalSearch/PT6442A/page-1", "PT6442A")</f>
        <v>PT6442A</v>
      </c>
      <c r="B19990" s="3" t="s">
        <v>90</v>
      </c>
      <c r="C19990" s="5">
        <v>17</v>
      </c>
      <c r="D19990" s="6">
        <v>68.63</v>
      </c>
      <c r="E19990" t="s">
        <v>6</v>
      </c>
    </row>
    <row r="19991" spans="1:5" x14ac:dyDescent="0.25">
      <c r="A19991" t="str">
        <f>HYPERLINK("https://www.773grp.com/globalSearch/PT6703A/page-1", "PT6703A")</f>
        <v>PT6703A</v>
      </c>
      <c r="B19991" s="3" t="s">
        <v>90</v>
      </c>
      <c r="C19991" s="5">
        <v>560</v>
      </c>
      <c r="D19991" s="6">
        <v>68.63</v>
      </c>
      <c r="E19991" t="s">
        <v>6</v>
      </c>
    </row>
    <row r="19992" spans="1:5" x14ac:dyDescent="0.25">
      <c r="A19992" t="str">
        <f>HYPERLINK("https://www.773grp.com/globalSearch/PT6721N/page-1", "PT6721N")</f>
        <v>PT6721N</v>
      </c>
      <c r="B19992" s="3" t="s">
        <v>90</v>
      </c>
      <c r="C19992" s="5">
        <v>260</v>
      </c>
      <c r="D19992" s="6">
        <v>68.63</v>
      </c>
      <c r="E19992" t="s">
        <v>6</v>
      </c>
    </row>
    <row r="19993" spans="1:5" x14ac:dyDescent="0.25">
      <c r="A19993" t="str">
        <f>HYPERLINK("https://www.773grp.com/globalSearch/5962-87681012A/page-1", "5962-87681012A")</f>
        <v>5962-87681012A</v>
      </c>
      <c r="B19993" s="3" t="s">
        <v>90</v>
      </c>
      <c r="C19993" s="5">
        <v>1</v>
      </c>
      <c r="D19993" s="6">
        <v>69.81</v>
      </c>
      <c r="E19993" t="s">
        <v>6</v>
      </c>
    </row>
    <row r="19994" spans="1:5" x14ac:dyDescent="0.25">
      <c r="A19994" t="str">
        <f>HYPERLINK("https://www.773grp.com/globalSearch/UC1825L883B/page-1", "UC1825L883B")</f>
        <v>UC1825L883B</v>
      </c>
      <c r="B19994" s="3" t="s">
        <v>90</v>
      </c>
      <c r="C19994" s="5">
        <v>1007</v>
      </c>
      <c r="D19994" s="6">
        <v>69.81</v>
      </c>
      <c r="E19994" t="s">
        <v>6</v>
      </c>
    </row>
    <row r="19995" spans="1:5" x14ac:dyDescent="0.25">
      <c r="A19995" t="str">
        <f>HYPERLINK("https://www.773grp.com/globalSearch/PT6624D/page-1", "PT6624D")</f>
        <v>PT6624D</v>
      </c>
      <c r="B19995" s="3" t="s">
        <v>90</v>
      </c>
      <c r="C19995" s="5">
        <v>17</v>
      </c>
      <c r="D19995" s="6">
        <v>70.31</v>
      </c>
      <c r="E19995" t="s">
        <v>6</v>
      </c>
    </row>
    <row r="19996" spans="1:5" x14ac:dyDescent="0.25">
      <c r="A19996" t="str">
        <f>HYPERLINK("https://www.773grp.com/globalSearch/78ST233HC/page-1", "78ST233HC")</f>
        <v>78ST233HC</v>
      </c>
      <c r="B19996" s="3" t="s">
        <v>90</v>
      </c>
      <c r="C19996" s="5">
        <v>200</v>
      </c>
      <c r="D19996" s="6">
        <v>71.16</v>
      </c>
      <c r="E19996" t="s">
        <v>6</v>
      </c>
    </row>
    <row r="19997" spans="1:5" x14ac:dyDescent="0.25">
      <c r="A19997" t="str">
        <f>HYPERLINK("https://www.773grp.com/globalSearch/5962-8768102EA/page-1", "5962-8768102EA")</f>
        <v>5962-8768102EA</v>
      </c>
      <c r="B19997" s="3" t="s">
        <v>90</v>
      </c>
      <c r="C19997" s="5">
        <v>50</v>
      </c>
      <c r="D19997" s="6">
        <v>71.3</v>
      </c>
      <c r="E19997" t="s">
        <v>6</v>
      </c>
    </row>
    <row r="19998" spans="1:5" x14ac:dyDescent="0.25">
      <c r="A19998" t="str">
        <f>HYPERLINK("https://www.773grp.com/globalSearch/5962-9455501MRA/page-1", "5962-9455501MRA")</f>
        <v>5962-9455501MRA</v>
      </c>
      <c r="B19998" s="3" t="s">
        <v>90</v>
      </c>
      <c r="C19998" s="5">
        <v>13</v>
      </c>
      <c r="D19998" s="6">
        <v>71.510000000000005</v>
      </c>
      <c r="E19998" t="s">
        <v>6</v>
      </c>
    </row>
    <row r="19999" spans="1:5" x14ac:dyDescent="0.25">
      <c r="A19999" t="str">
        <f>HYPERLINK("https://www.773grp.com/globalSearch/PT6322C/page-1", "PT6322C")</f>
        <v>PT6322C</v>
      </c>
      <c r="B19999" s="3" t="s">
        <v>90</v>
      </c>
      <c r="C19999" s="5">
        <v>5</v>
      </c>
      <c r="D19999" s="6">
        <v>71.849999999999994</v>
      </c>
      <c r="E19999" t="s">
        <v>6</v>
      </c>
    </row>
    <row r="20000" spans="1:5" x14ac:dyDescent="0.25">
      <c r="A20000" t="str">
        <f>HYPERLINK("https://www.773grp.com/globalSearch/PT6322N/page-1", "PT6322N")</f>
        <v>PT6322N</v>
      </c>
      <c r="B20000" s="3" t="s">
        <v>90</v>
      </c>
      <c r="C20000" s="5">
        <v>57</v>
      </c>
      <c r="D20000" s="6">
        <v>71.849999999999994</v>
      </c>
      <c r="E20000" t="s">
        <v>6</v>
      </c>
    </row>
    <row r="20001" spans="1:5" x14ac:dyDescent="0.25">
      <c r="A20001" t="str">
        <f>HYPERLINK("https://www.773grp.com/globalSearch/PT6323N/page-1", "PT6323N")</f>
        <v>PT6323N</v>
      </c>
      <c r="B20001" s="3" t="s">
        <v>90</v>
      </c>
      <c r="C20001" s="5">
        <v>93</v>
      </c>
      <c r="D20001" s="6">
        <v>71.849999999999994</v>
      </c>
      <c r="E20001" t="s">
        <v>6</v>
      </c>
    </row>
    <row r="20002" spans="1:5" x14ac:dyDescent="0.25">
      <c r="A20002" t="str">
        <f>HYPERLINK("https://www.773grp.com/globalSearch/PT5803C/page-1", "PT5803C")</f>
        <v>PT5803C</v>
      </c>
      <c r="B20002" s="3" t="s">
        <v>90</v>
      </c>
      <c r="C20002" s="5">
        <v>8</v>
      </c>
      <c r="D20002" s="6">
        <v>72.94</v>
      </c>
      <c r="E20002" t="s">
        <v>6</v>
      </c>
    </row>
    <row r="20003" spans="1:5" x14ac:dyDescent="0.25">
      <c r="A20003" t="str">
        <f>HYPERLINK("https://www.773grp.com/globalSearch/PT5827C/page-1", "PT5827C")</f>
        <v>PT5827C</v>
      </c>
      <c r="B20003" s="3" t="s">
        <v>90</v>
      </c>
      <c r="C20003" s="5">
        <v>34</v>
      </c>
      <c r="D20003" s="6">
        <v>72.94</v>
      </c>
      <c r="E20003" t="s">
        <v>6</v>
      </c>
    </row>
    <row r="20004" spans="1:5" x14ac:dyDescent="0.25">
      <c r="A20004" t="str">
        <f>HYPERLINK("https://www.773grp.com/globalSearch/PT5802N/page-1", "PT5802N")</f>
        <v>PT5802N</v>
      </c>
      <c r="B20004" s="3" t="s">
        <v>90</v>
      </c>
      <c r="C20004" s="5">
        <v>15</v>
      </c>
      <c r="D20004" s="6">
        <v>72.989999999999995</v>
      </c>
      <c r="E20004" t="s">
        <v>6</v>
      </c>
    </row>
    <row r="20005" spans="1:5" x14ac:dyDescent="0.25">
      <c r="A20005" t="str">
        <f>HYPERLINK("https://www.773grp.com/globalSearch/PT5803N/page-1", "PT5803N")</f>
        <v>PT5803N</v>
      </c>
      <c r="B20005" s="3" t="s">
        <v>90</v>
      </c>
      <c r="C20005" s="5">
        <v>15</v>
      </c>
      <c r="D20005" s="6">
        <v>72.989999999999995</v>
      </c>
      <c r="E20005" t="s">
        <v>6</v>
      </c>
    </row>
    <row r="20006" spans="1:5" x14ac:dyDescent="0.25">
      <c r="A20006" t="str">
        <f>HYPERLINK("https://www.773grp.com/globalSearch/PT5805C/page-1", "PT5805C")</f>
        <v>PT5805C</v>
      </c>
      <c r="B20006" s="3" t="s">
        <v>90</v>
      </c>
      <c r="C20006" s="5">
        <v>2</v>
      </c>
      <c r="D20006" s="6">
        <v>72.989999999999995</v>
      </c>
      <c r="E20006" t="s">
        <v>6</v>
      </c>
    </row>
    <row r="20007" spans="1:5" x14ac:dyDescent="0.25">
      <c r="A20007" t="str">
        <f>HYPERLINK("https://www.773grp.com/globalSearch/PT5805N/page-1", "PT5805N")</f>
        <v>PT5805N</v>
      </c>
      <c r="B20007" s="3" t="s">
        <v>90</v>
      </c>
      <c r="C20007" s="5">
        <v>241</v>
      </c>
      <c r="D20007" s="6">
        <v>72.989999999999995</v>
      </c>
      <c r="E20007" t="s">
        <v>6</v>
      </c>
    </row>
    <row r="20008" spans="1:5" x14ac:dyDescent="0.25">
      <c r="A20008" t="str">
        <f>HYPERLINK("https://www.773grp.com/globalSearch/PT5806A/page-1", "PT5806A")</f>
        <v>PT5806A</v>
      </c>
      <c r="B20008" s="3" t="s">
        <v>90</v>
      </c>
      <c r="C20008" s="5">
        <v>15</v>
      </c>
      <c r="D20008" s="6">
        <v>72.989999999999995</v>
      </c>
      <c r="E20008" t="s">
        <v>6</v>
      </c>
    </row>
    <row r="20009" spans="1:5" x14ac:dyDescent="0.25">
      <c r="A20009" t="str">
        <f>HYPERLINK("https://www.773grp.com/globalSearch/PT5806N/page-1", "PT5806N")</f>
        <v>PT5806N</v>
      </c>
      <c r="B20009" s="3" t="s">
        <v>90</v>
      </c>
      <c r="C20009" s="5">
        <v>30</v>
      </c>
      <c r="D20009" s="6">
        <v>72.989999999999995</v>
      </c>
      <c r="E20009" t="s">
        <v>6</v>
      </c>
    </row>
    <row r="20010" spans="1:5" x14ac:dyDescent="0.25">
      <c r="A20010" t="str">
        <f>HYPERLINK("https://www.773grp.com/globalSearch/PT5813C/page-1", "PT5813C")</f>
        <v>PT5813C</v>
      </c>
      <c r="B20010" s="3" t="s">
        <v>90</v>
      </c>
      <c r="C20010" s="5">
        <v>12</v>
      </c>
      <c r="D20010" s="6">
        <v>72.989999999999995</v>
      </c>
      <c r="E20010" t="s">
        <v>6</v>
      </c>
    </row>
    <row r="20011" spans="1:5" x14ac:dyDescent="0.25">
      <c r="A20011" t="str">
        <f>HYPERLINK("https://www.773grp.com/globalSearch/PT5815C/page-1", "PT5815C")</f>
        <v>PT5815C</v>
      </c>
      <c r="B20011" s="3" t="s">
        <v>90</v>
      </c>
      <c r="C20011" s="5">
        <v>15</v>
      </c>
      <c r="D20011" s="6">
        <v>72.989999999999995</v>
      </c>
      <c r="E20011" t="s">
        <v>6</v>
      </c>
    </row>
    <row r="20012" spans="1:5" x14ac:dyDescent="0.25">
      <c r="A20012" t="str">
        <f>HYPERLINK("https://www.773grp.com/globalSearch/PT5821A/page-1", "PT5821A")</f>
        <v>PT5821A</v>
      </c>
      <c r="B20012" s="3" t="s">
        <v>90</v>
      </c>
      <c r="C20012" s="5">
        <v>15</v>
      </c>
      <c r="D20012" s="6">
        <v>72.989999999999995</v>
      </c>
      <c r="E20012" t="s">
        <v>6</v>
      </c>
    </row>
    <row r="20013" spans="1:5" x14ac:dyDescent="0.25">
      <c r="A20013" t="str">
        <f>HYPERLINK("https://www.773grp.com/globalSearch/PT5821N/page-1", "PT5821N")</f>
        <v>PT5821N</v>
      </c>
      <c r="B20013" s="3" t="s">
        <v>90</v>
      </c>
      <c r="C20013" s="5">
        <v>30</v>
      </c>
      <c r="D20013" s="6">
        <v>72.989999999999995</v>
      </c>
      <c r="E20013" t="s">
        <v>6</v>
      </c>
    </row>
    <row r="20014" spans="1:5" x14ac:dyDescent="0.25">
      <c r="A20014" t="str">
        <f>HYPERLINK("https://www.773grp.com/globalSearch/PT5822N/page-1", "PT5822N")</f>
        <v>PT5822N</v>
      </c>
      <c r="B20014" s="3" t="s">
        <v>90</v>
      </c>
      <c r="C20014" s="5">
        <v>15</v>
      </c>
      <c r="D20014" s="6">
        <v>72.989999999999995</v>
      </c>
      <c r="E20014" t="s">
        <v>6</v>
      </c>
    </row>
    <row r="20015" spans="1:5" x14ac:dyDescent="0.25">
      <c r="A20015" t="str">
        <f>HYPERLINK("https://www.773grp.com/globalSearch/PT5823N/page-1", "PT5823N")</f>
        <v>PT5823N</v>
      </c>
      <c r="B20015" s="3" t="s">
        <v>90</v>
      </c>
      <c r="C20015" s="5">
        <v>5</v>
      </c>
      <c r="D20015" s="6">
        <v>72.989999999999995</v>
      </c>
      <c r="E20015" t="s">
        <v>6</v>
      </c>
    </row>
    <row r="20016" spans="1:5" x14ac:dyDescent="0.25">
      <c r="A20016" t="str">
        <f>HYPERLINK("https://www.773grp.com/globalSearch/PT5824A/page-1", "PT5824A")</f>
        <v>PT5824A</v>
      </c>
      <c r="B20016" s="3" t="s">
        <v>90</v>
      </c>
      <c r="C20016" s="5">
        <v>45</v>
      </c>
      <c r="D20016" s="6">
        <v>72.989999999999995</v>
      </c>
      <c r="E20016" t="s">
        <v>6</v>
      </c>
    </row>
    <row r="20017" spans="1:5" x14ac:dyDescent="0.25">
      <c r="A20017" t="str">
        <f>HYPERLINK("https://www.773grp.com/globalSearch/PT5827N/page-1", "PT5827N")</f>
        <v>PT5827N</v>
      </c>
      <c r="B20017" s="3" t="s">
        <v>90</v>
      </c>
      <c r="C20017" s="5">
        <v>30</v>
      </c>
      <c r="D20017" s="6">
        <v>72.989999999999995</v>
      </c>
      <c r="E20017" t="s">
        <v>6</v>
      </c>
    </row>
    <row r="20018" spans="1:5" x14ac:dyDescent="0.25">
      <c r="A20018" t="str">
        <f>HYPERLINK("https://www.773grp.com/globalSearch/PT6362C/page-1", "PT6362C")</f>
        <v>PT6362C</v>
      </c>
      <c r="B20018" s="3" t="s">
        <v>90</v>
      </c>
      <c r="C20018" s="5">
        <v>21</v>
      </c>
      <c r="D20018" s="6">
        <v>73.83</v>
      </c>
      <c r="E20018" t="s">
        <v>6</v>
      </c>
    </row>
    <row r="20019" spans="1:5" x14ac:dyDescent="0.25">
      <c r="A20019" t="str">
        <f>HYPERLINK("https://www.773grp.com/globalSearch/PT6601D/page-1", "PT6601D")</f>
        <v>PT6601D</v>
      </c>
      <c r="B20019" s="3" t="s">
        <v>90</v>
      </c>
      <c r="C20019" s="5">
        <v>184</v>
      </c>
      <c r="D20019" s="6">
        <v>74.34</v>
      </c>
      <c r="E20019" t="s">
        <v>6</v>
      </c>
    </row>
    <row r="20020" spans="1:5" x14ac:dyDescent="0.25">
      <c r="A20020" t="str">
        <f>HYPERLINK("https://www.773grp.com/globalSearch/PT6601E/page-1", "PT6601E")</f>
        <v>PT6601E</v>
      </c>
      <c r="B20020" s="3" t="s">
        <v>90</v>
      </c>
      <c r="C20020" s="5">
        <v>147</v>
      </c>
      <c r="D20020" s="6">
        <v>74.34</v>
      </c>
      <c r="E20020" t="s">
        <v>6</v>
      </c>
    </row>
    <row r="20021" spans="1:5" x14ac:dyDescent="0.25">
      <c r="A20021" t="str">
        <f>HYPERLINK("https://www.773grp.com/globalSearch/PT6602D/page-1", "PT6602D")</f>
        <v>PT6602D</v>
      </c>
      <c r="B20021" s="3" t="s">
        <v>90</v>
      </c>
      <c r="C20021" s="5">
        <v>9</v>
      </c>
      <c r="D20021" s="6">
        <v>74.34</v>
      </c>
      <c r="E20021" t="s">
        <v>6</v>
      </c>
    </row>
    <row r="20022" spans="1:5" x14ac:dyDescent="0.25">
      <c r="A20022" t="str">
        <f>HYPERLINK("https://www.773grp.com/globalSearch/PT6602E/page-1", "PT6602E")</f>
        <v>PT6602E</v>
      </c>
      <c r="B20022" s="3" t="s">
        <v>90</v>
      </c>
      <c r="C20022" s="5">
        <v>12</v>
      </c>
      <c r="D20022" s="6">
        <v>74.34</v>
      </c>
      <c r="E20022" t="s">
        <v>6</v>
      </c>
    </row>
    <row r="20023" spans="1:5" x14ac:dyDescent="0.25">
      <c r="A20023" t="str">
        <f>HYPERLINK("https://www.773grp.com/globalSearch/PT6603P/page-1", "PT6603P")</f>
        <v>PT6603P</v>
      </c>
      <c r="B20023" s="3" t="s">
        <v>90</v>
      </c>
      <c r="C20023" s="5">
        <v>329</v>
      </c>
      <c r="D20023" s="6">
        <v>74.34</v>
      </c>
      <c r="E20023" t="s">
        <v>6</v>
      </c>
    </row>
    <row r="20024" spans="1:5" x14ac:dyDescent="0.25">
      <c r="A20024" t="str">
        <f>HYPERLINK("https://www.773grp.com/globalSearch/PT6606E/page-1", "PT6606E")</f>
        <v>PT6606E</v>
      </c>
      <c r="B20024" s="3" t="s">
        <v>90</v>
      </c>
      <c r="C20024" s="5">
        <v>271</v>
      </c>
      <c r="D20024" s="6">
        <v>74.39</v>
      </c>
      <c r="E20024" t="s">
        <v>6</v>
      </c>
    </row>
    <row r="20025" spans="1:5" x14ac:dyDescent="0.25">
      <c r="A20025" t="str">
        <f>HYPERLINK("https://www.773grp.com/globalSearch/PT6603B/page-1", "PT6603B")</f>
        <v>PT6603B</v>
      </c>
      <c r="B20025" s="3" t="s">
        <v>90</v>
      </c>
      <c r="C20025" s="5">
        <v>88</v>
      </c>
      <c r="D20025" s="6">
        <v>75.739999999999995</v>
      </c>
      <c r="E20025" t="s">
        <v>6</v>
      </c>
    </row>
    <row r="20026" spans="1:5" x14ac:dyDescent="0.25">
      <c r="A20026" t="str">
        <f>HYPERLINK("https://www.773grp.com/globalSearch/PT6603L/page-1", "PT6603L")</f>
        <v>PT6603L</v>
      </c>
      <c r="B20026" s="3" t="s">
        <v>90</v>
      </c>
      <c r="C20026" s="5">
        <v>94</v>
      </c>
      <c r="D20026" s="6">
        <v>75.739999999999995</v>
      </c>
      <c r="E20026" t="s">
        <v>6</v>
      </c>
    </row>
    <row r="20027" spans="1:5" x14ac:dyDescent="0.25">
      <c r="A20027" t="str">
        <f>HYPERLINK("https://www.773grp.com/globalSearch/PT6603R/page-1", "PT6603R")</f>
        <v>PT6603R</v>
      </c>
      <c r="B20027" s="3" t="s">
        <v>90</v>
      </c>
      <c r="C20027" s="5">
        <v>57</v>
      </c>
      <c r="D20027" s="6">
        <v>75.739999999999995</v>
      </c>
      <c r="E20027" t="s">
        <v>6</v>
      </c>
    </row>
    <row r="20028" spans="1:5" x14ac:dyDescent="0.25">
      <c r="A20028" t="str">
        <f>HYPERLINK("https://www.773grp.com/globalSearch/PT6605B/page-1", "PT6605B")</f>
        <v>PT6605B</v>
      </c>
      <c r="B20028" s="3" t="s">
        <v>90</v>
      </c>
      <c r="C20028" s="5">
        <v>638</v>
      </c>
      <c r="D20028" s="6">
        <v>75.739999999999995</v>
      </c>
      <c r="E20028" t="s">
        <v>6</v>
      </c>
    </row>
    <row r="20029" spans="1:5" x14ac:dyDescent="0.25">
      <c r="A20029" t="str">
        <f>HYPERLINK("https://www.773grp.com/globalSearch/PT6606B/page-1", "PT6606B")</f>
        <v>PT6606B</v>
      </c>
      <c r="B20029" s="3" t="s">
        <v>90</v>
      </c>
      <c r="C20029" s="5">
        <v>38</v>
      </c>
      <c r="D20029" s="6">
        <v>75.739999999999995</v>
      </c>
      <c r="E20029" t="s">
        <v>6</v>
      </c>
    </row>
    <row r="20030" spans="1:5" x14ac:dyDescent="0.25">
      <c r="A20030" t="str">
        <f>HYPERLINK("https://www.773grp.com/globalSearch/PT6606R/page-1", "PT6606R")</f>
        <v>PT6606R</v>
      </c>
      <c r="B20030" s="3" t="s">
        <v>90</v>
      </c>
      <c r="C20030" s="5">
        <v>120</v>
      </c>
      <c r="D20030" s="6">
        <v>75.739999999999995</v>
      </c>
      <c r="E20030" t="s">
        <v>6</v>
      </c>
    </row>
    <row r="20031" spans="1:5" x14ac:dyDescent="0.25">
      <c r="A20031" t="str">
        <f>HYPERLINK("https://www.773grp.com/globalSearch/PT6601B/page-1", "PT6601B")</f>
        <v>PT6601B</v>
      </c>
      <c r="B20031" s="3" t="s">
        <v>90</v>
      </c>
      <c r="C20031" s="5">
        <v>495</v>
      </c>
      <c r="D20031" s="6">
        <v>75.8</v>
      </c>
      <c r="E20031" t="s">
        <v>6</v>
      </c>
    </row>
    <row r="20032" spans="1:5" x14ac:dyDescent="0.25">
      <c r="A20032" t="str">
        <f>HYPERLINK("https://www.773grp.com/globalSearch/PT6601G/page-1", "PT6601G")</f>
        <v>PT6601G</v>
      </c>
      <c r="B20032" s="3" t="s">
        <v>90</v>
      </c>
      <c r="C20032" s="5">
        <v>149</v>
      </c>
      <c r="D20032" s="6">
        <v>75.8</v>
      </c>
      <c r="E20032" t="s">
        <v>6</v>
      </c>
    </row>
    <row r="20033" spans="1:5" x14ac:dyDescent="0.25">
      <c r="A20033" t="str">
        <f>HYPERLINK("https://www.773grp.com/globalSearch/PT6404P/page-1", "PT6404P")</f>
        <v>PT6404P</v>
      </c>
      <c r="B20033" s="3" t="s">
        <v>90</v>
      </c>
      <c r="C20033" s="5">
        <v>8</v>
      </c>
      <c r="D20033" s="6">
        <v>77.06</v>
      </c>
      <c r="E20033" t="s">
        <v>6</v>
      </c>
    </row>
    <row r="20034" spans="1:5" x14ac:dyDescent="0.25">
      <c r="A20034" t="str">
        <f>HYPERLINK("https://www.773grp.com/globalSearch/PT6407P/page-1", "PT6407P")</f>
        <v>PT6407P</v>
      </c>
      <c r="B20034" s="3" t="s">
        <v>90</v>
      </c>
      <c r="C20034" s="5">
        <v>1190</v>
      </c>
      <c r="D20034" s="6">
        <v>77.06</v>
      </c>
      <c r="E20034" t="s">
        <v>6</v>
      </c>
    </row>
    <row r="20035" spans="1:5" x14ac:dyDescent="0.25">
      <c r="A20035" t="str">
        <f>HYPERLINK("https://www.773grp.com/globalSearch/PT6935N/page-1", "PT6935N")</f>
        <v>PT6935N</v>
      </c>
      <c r="B20035" s="3" t="s">
        <v>90</v>
      </c>
      <c r="C20035" s="5">
        <v>10</v>
      </c>
      <c r="D20035" s="6">
        <v>77.06</v>
      </c>
      <c r="E20035" t="s">
        <v>6</v>
      </c>
    </row>
    <row r="20036" spans="1:5" x14ac:dyDescent="0.25">
      <c r="A20036" t="str">
        <f>HYPERLINK("https://www.773grp.com/globalSearch/PT6441A/page-1", "PT6441A")</f>
        <v>PT6441A</v>
      </c>
      <c r="B20036" s="3" t="s">
        <v>90</v>
      </c>
      <c r="C20036" s="5">
        <v>41</v>
      </c>
      <c r="D20036" s="6">
        <v>78.78</v>
      </c>
      <c r="E20036" t="s">
        <v>6</v>
      </c>
    </row>
    <row r="20037" spans="1:5" x14ac:dyDescent="0.25">
      <c r="A20037" t="str">
        <f>HYPERLINK("https://www.773grp.com/globalSearch/PT6441C/page-1", "PT6441C")</f>
        <v>PT6441C</v>
      </c>
      <c r="B20037" s="3" t="s">
        <v>90</v>
      </c>
      <c r="C20037" s="5">
        <v>16</v>
      </c>
      <c r="D20037" s="6">
        <v>78.78</v>
      </c>
      <c r="E20037" t="s">
        <v>6</v>
      </c>
    </row>
    <row r="20038" spans="1:5" x14ac:dyDescent="0.25">
      <c r="A20038" t="str">
        <f>HYPERLINK("https://www.773grp.com/globalSearch/PT6442N/page-1", "PT6442N")</f>
        <v>PT6442N</v>
      </c>
      <c r="B20038" s="3" t="s">
        <v>90</v>
      </c>
      <c r="C20038" s="5">
        <v>23</v>
      </c>
      <c r="D20038" s="6">
        <v>78.78</v>
      </c>
      <c r="E20038" t="s">
        <v>6</v>
      </c>
    </row>
    <row r="20039" spans="1:5" x14ac:dyDescent="0.25">
      <c r="A20039" t="str">
        <f>HYPERLINK("https://www.773grp.com/globalSearch/PT6444C/page-1", "PT6444C")</f>
        <v>PT6444C</v>
      </c>
      <c r="B20039" s="3" t="s">
        <v>90</v>
      </c>
      <c r="C20039" s="5">
        <v>11</v>
      </c>
      <c r="D20039" s="6">
        <v>78.78</v>
      </c>
      <c r="E20039" t="s">
        <v>6</v>
      </c>
    </row>
    <row r="20040" spans="1:5" x14ac:dyDescent="0.25">
      <c r="A20040" t="str">
        <f>HYPERLINK("https://www.773grp.com/globalSearch/PT6445C/page-1", "PT6445C")</f>
        <v>PT6445C</v>
      </c>
      <c r="B20040" s="3" t="s">
        <v>90</v>
      </c>
      <c r="C20040" s="5">
        <v>90</v>
      </c>
      <c r="D20040" s="6">
        <v>78.78</v>
      </c>
      <c r="E20040" t="s">
        <v>6</v>
      </c>
    </row>
    <row r="20041" spans="1:5" x14ac:dyDescent="0.25">
      <c r="A20041" t="str">
        <f>HYPERLINK("https://www.773grp.com/globalSearch/PT6445N/page-1", "PT6445N")</f>
        <v>PT6445N</v>
      </c>
      <c r="B20041" s="3" t="s">
        <v>90</v>
      </c>
      <c r="C20041" s="5">
        <v>64</v>
      </c>
      <c r="D20041" s="6">
        <v>78.78</v>
      </c>
      <c r="E20041" t="s">
        <v>6</v>
      </c>
    </row>
    <row r="20042" spans="1:5" x14ac:dyDescent="0.25">
      <c r="A20042" t="str">
        <f>HYPERLINK("https://www.773grp.com/globalSearch/PT6446C/page-1", "PT6446C")</f>
        <v>PT6446C</v>
      </c>
      <c r="B20042" s="3" t="s">
        <v>90</v>
      </c>
      <c r="C20042" s="5">
        <v>135</v>
      </c>
      <c r="D20042" s="6">
        <v>78.78</v>
      </c>
      <c r="E20042" t="s">
        <v>6</v>
      </c>
    </row>
    <row r="20043" spans="1:5" x14ac:dyDescent="0.25">
      <c r="A20043" t="str">
        <f>HYPERLINK("https://www.773grp.com/globalSearch/PT6441N/page-1", "PT6441N")</f>
        <v>PT6441N</v>
      </c>
      <c r="B20043" s="3" t="s">
        <v>90</v>
      </c>
      <c r="C20043" s="5">
        <v>168</v>
      </c>
      <c r="D20043" s="6">
        <v>78.89</v>
      </c>
      <c r="E20043" t="s">
        <v>6</v>
      </c>
    </row>
    <row r="20044" spans="1:5" x14ac:dyDescent="0.25">
      <c r="A20044" t="str">
        <f>HYPERLINK("https://www.773grp.com/globalSearch/PT6444A/page-1", "PT6444A")</f>
        <v>PT6444A</v>
      </c>
      <c r="B20044" s="3" t="s">
        <v>90</v>
      </c>
      <c r="C20044" s="5">
        <v>54</v>
      </c>
      <c r="D20044" s="6">
        <v>78.89</v>
      </c>
      <c r="E20044" t="s">
        <v>6</v>
      </c>
    </row>
    <row r="20045" spans="1:5" x14ac:dyDescent="0.25">
      <c r="A20045" t="str">
        <f>HYPERLINK("https://www.773grp.com/globalSearch/PT6444N/page-1", "PT6444N")</f>
        <v>PT6444N</v>
      </c>
      <c r="B20045" s="3" t="s">
        <v>90</v>
      </c>
      <c r="C20045" s="5">
        <v>63</v>
      </c>
      <c r="D20045" s="6">
        <v>78.89</v>
      </c>
      <c r="E20045" t="s">
        <v>6</v>
      </c>
    </row>
    <row r="20046" spans="1:5" x14ac:dyDescent="0.25">
      <c r="A20046" t="str">
        <f>HYPERLINK("https://www.773grp.com/globalSearch/PT6644P/page-1", "PT6644P")</f>
        <v>PT6644P</v>
      </c>
      <c r="B20046" s="3" t="s">
        <v>90</v>
      </c>
      <c r="C20046" s="5">
        <v>60</v>
      </c>
      <c r="D20046" s="6">
        <v>80.03</v>
      </c>
      <c r="E20046" t="s">
        <v>6</v>
      </c>
    </row>
    <row r="20047" spans="1:5" x14ac:dyDescent="0.25">
      <c r="A20047" t="str">
        <f>HYPERLINK("https://www.773grp.com/globalSearch/PT6673P/page-1", "PT6673P")</f>
        <v>PT6673P</v>
      </c>
      <c r="B20047" s="3" t="s">
        <v>90</v>
      </c>
      <c r="C20047" s="5">
        <v>35</v>
      </c>
      <c r="D20047" s="6">
        <v>80.03</v>
      </c>
      <c r="E20047" t="s">
        <v>6</v>
      </c>
    </row>
    <row r="20048" spans="1:5" x14ac:dyDescent="0.25">
      <c r="A20048" t="str">
        <f>HYPERLINK("https://www.773grp.com/globalSearch/PT6521D/page-1", "PT6521D")</f>
        <v>PT6521D</v>
      </c>
      <c r="B20048" s="3" t="s">
        <v>90</v>
      </c>
      <c r="C20048" s="5">
        <v>45</v>
      </c>
      <c r="D20048" s="6">
        <v>80.709999999999994</v>
      </c>
      <c r="E20048" t="s">
        <v>6</v>
      </c>
    </row>
    <row r="20049" spans="1:5" x14ac:dyDescent="0.25">
      <c r="A20049" t="str">
        <f>HYPERLINK("https://www.773grp.com/globalSearch/PT6521E/page-1", "PT6521E")</f>
        <v>PT6521E</v>
      </c>
      <c r="B20049" s="3" t="s">
        <v>90</v>
      </c>
      <c r="C20049" s="5">
        <v>19</v>
      </c>
      <c r="D20049" s="6">
        <v>80.709999999999994</v>
      </c>
      <c r="E20049" t="s">
        <v>6</v>
      </c>
    </row>
    <row r="20050" spans="1:5" x14ac:dyDescent="0.25">
      <c r="A20050" t="str">
        <f>HYPERLINK("https://www.773grp.com/globalSearch/PT6521P/page-1", "PT6521P")</f>
        <v>PT6521P</v>
      </c>
      <c r="B20050" s="3" t="s">
        <v>90</v>
      </c>
      <c r="C20050" s="5">
        <v>158</v>
      </c>
      <c r="D20050" s="6">
        <v>80.709999999999994</v>
      </c>
      <c r="E20050" t="s">
        <v>6</v>
      </c>
    </row>
    <row r="20051" spans="1:5" x14ac:dyDescent="0.25">
      <c r="A20051" t="str">
        <f>HYPERLINK("https://www.773grp.com/globalSearch/PT6522E/page-1", "PT6522E")</f>
        <v>PT6522E</v>
      </c>
      <c r="B20051" s="3" t="s">
        <v>90</v>
      </c>
      <c r="C20051" s="5">
        <v>60</v>
      </c>
      <c r="D20051" s="6">
        <v>80.709999999999994</v>
      </c>
      <c r="E20051" t="s">
        <v>6</v>
      </c>
    </row>
    <row r="20052" spans="1:5" x14ac:dyDescent="0.25">
      <c r="A20052" t="str">
        <f>HYPERLINK("https://www.773grp.com/globalSearch/PT6523D/page-1", "PT6523D")</f>
        <v>PT6523D</v>
      </c>
      <c r="B20052" s="3" t="s">
        <v>90</v>
      </c>
      <c r="C20052" s="5">
        <v>27</v>
      </c>
      <c r="D20052" s="6">
        <v>80.709999999999994</v>
      </c>
      <c r="E20052" t="s">
        <v>6</v>
      </c>
    </row>
    <row r="20053" spans="1:5" x14ac:dyDescent="0.25">
      <c r="A20053" t="str">
        <f>HYPERLINK("https://www.773grp.com/globalSearch/PT6526E/page-1", "PT6526E")</f>
        <v>PT6526E</v>
      </c>
      <c r="B20053" s="3" t="s">
        <v>90</v>
      </c>
      <c r="C20053" s="5">
        <v>12</v>
      </c>
      <c r="D20053" s="6">
        <v>80.709999999999994</v>
      </c>
      <c r="E20053" t="s">
        <v>6</v>
      </c>
    </row>
    <row r="20054" spans="1:5" x14ac:dyDescent="0.25">
      <c r="A20054" t="str">
        <f>HYPERLINK("https://www.773grp.com/globalSearch/PT6621D/page-1", "PT6621D")</f>
        <v>PT6621D</v>
      </c>
      <c r="B20054" s="3" t="s">
        <v>90</v>
      </c>
      <c r="C20054" s="5">
        <v>7</v>
      </c>
      <c r="D20054" s="6">
        <v>80.709999999999994</v>
      </c>
      <c r="E20054" t="s">
        <v>6</v>
      </c>
    </row>
    <row r="20055" spans="1:5" x14ac:dyDescent="0.25">
      <c r="A20055" t="str">
        <f>HYPERLINK("https://www.773grp.com/globalSearch/PT6621E/page-1", "PT6621E")</f>
        <v>PT6621E</v>
      </c>
      <c r="B20055" s="3" t="s">
        <v>90</v>
      </c>
      <c r="C20055" s="5">
        <v>64</v>
      </c>
      <c r="D20055" s="6">
        <v>80.709999999999994</v>
      </c>
      <c r="E20055" t="s">
        <v>6</v>
      </c>
    </row>
    <row r="20056" spans="1:5" x14ac:dyDescent="0.25">
      <c r="A20056" t="str">
        <f>HYPERLINK("https://www.773grp.com/globalSearch/PT6621P/page-1", "PT6621P")</f>
        <v>PT6621P</v>
      </c>
      <c r="B20056" s="3" t="s">
        <v>90</v>
      </c>
      <c r="C20056" s="5">
        <v>46</v>
      </c>
      <c r="D20056" s="6">
        <v>80.709999999999994</v>
      </c>
      <c r="E20056" t="s">
        <v>6</v>
      </c>
    </row>
    <row r="20057" spans="1:5" x14ac:dyDescent="0.25">
      <c r="A20057" t="str">
        <f>HYPERLINK("https://www.773grp.com/globalSearch/PT6625E/page-1", "PT6625E")</f>
        <v>PT6625E</v>
      </c>
      <c r="B20057" s="3" t="s">
        <v>90</v>
      </c>
      <c r="C20057" s="5">
        <v>336</v>
      </c>
      <c r="D20057" s="6">
        <v>80.709999999999994</v>
      </c>
      <c r="E20057" t="s">
        <v>6</v>
      </c>
    </row>
    <row r="20058" spans="1:5" x14ac:dyDescent="0.25">
      <c r="A20058" t="str">
        <f>HYPERLINK("https://www.773grp.com/globalSearch/PT6625P/page-1", "PT6625P")</f>
        <v>PT6625P</v>
      </c>
      <c r="B20058" s="3" t="s">
        <v>90</v>
      </c>
      <c r="C20058" s="5">
        <v>5</v>
      </c>
      <c r="D20058" s="6">
        <v>80.709999999999994</v>
      </c>
      <c r="E20058" t="s">
        <v>6</v>
      </c>
    </row>
    <row r="20059" spans="1:5" x14ac:dyDescent="0.25">
      <c r="A20059" t="str">
        <f>HYPERLINK("https://www.773grp.com/globalSearch/PT6626D/page-1", "PT6626D")</f>
        <v>PT6626D</v>
      </c>
      <c r="B20059" s="3" t="s">
        <v>90</v>
      </c>
      <c r="C20059" s="5">
        <v>60</v>
      </c>
      <c r="D20059" s="6">
        <v>80.709999999999994</v>
      </c>
      <c r="E20059" t="s">
        <v>6</v>
      </c>
    </row>
    <row r="20060" spans="1:5" x14ac:dyDescent="0.25">
      <c r="A20060" t="str">
        <f>HYPERLINK("https://www.773grp.com/globalSearch/PT6626P/page-1", "PT6626P")</f>
        <v>PT6626P</v>
      </c>
      <c r="B20060" s="3" t="s">
        <v>90</v>
      </c>
      <c r="C20060" s="5">
        <v>4</v>
      </c>
      <c r="D20060" s="6">
        <v>80.709999999999994</v>
      </c>
      <c r="E20060" t="s">
        <v>6</v>
      </c>
    </row>
    <row r="20061" spans="1:5" x14ac:dyDescent="0.25">
      <c r="A20061" t="str">
        <f>HYPERLINK("https://www.773grp.com/globalSearch/PT6683P/page-1", "PT6683P")</f>
        <v>PT6683P</v>
      </c>
      <c r="B20061" s="3" t="s">
        <v>90</v>
      </c>
      <c r="C20061" s="5">
        <v>12</v>
      </c>
      <c r="D20061" s="6">
        <v>80.709999999999994</v>
      </c>
      <c r="E20061" t="s">
        <v>6</v>
      </c>
    </row>
    <row r="20062" spans="1:5" x14ac:dyDescent="0.25">
      <c r="A20062" t="str">
        <f>HYPERLINK("https://www.773grp.com/globalSearch/PT6685P/page-1", "PT6685P")</f>
        <v>PT6685P</v>
      </c>
      <c r="B20062" s="3" t="s">
        <v>90</v>
      </c>
      <c r="C20062" s="5">
        <v>255</v>
      </c>
      <c r="D20062" s="6">
        <v>80.709999999999994</v>
      </c>
      <c r="E20062" t="s">
        <v>6</v>
      </c>
    </row>
    <row r="20063" spans="1:5" x14ac:dyDescent="0.25">
      <c r="A20063" t="str">
        <f>HYPERLINK("https://www.773grp.com/globalSearch/PT6426E/page-1", "PT6426E")</f>
        <v>PT6426E</v>
      </c>
      <c r="B20063" s="3" t="s">
        <v>90</v>
      </c>
      <c r="C20063" s="5">
        <v>36</v>
      </c>
      <c r="D20063" s="6">
        <v>81.14</v>
      </c>
      <c r="E20063" t="s">
        <v>6</v>
      </c>
    </row>
    <row r="20064" spans="1:5" x14ac:dyDescent="0.25">
      <c r="A20064" t="str">
        <f>HYPERLINK("https://www.773grp.com/globalSearch/PT6521G/page-1", "PT6521G")</f>
        <v>PT6521G</v>
      </c>
      <c r="B20064" s="3" t="s">
        <v>90</v>
      </c>
      <c r="C20064" s="5">
        <v>19</v>
      </c>
      <c r="D20064" s="6">
        <v>82.13</v>
      </c>
      <c r="E20064" t="s">
        <v>6</v>
      </c>
    </row>
    <row r="20065" spans="1:5" x14ac:dyDescent="0.25">
      <c r="A20065" t="str">
        <f>HYPERLINK("https://www.773grp.com/globalSearch/PT6522B/page-1", "PT6522B")</f>
        <v>PT6522B</v>
      </c>
      <c r="B20065" s="3" t="s">
        <v>90</v>
      </c>
      <c r="C20065" s="5">
        <v>1083</v>
      </c>
      <c r="D20065" s="6">
        <v>82.13</v>
      </c>
      <c r="E20065" t="s">
        <v>6</v>
      </c>
    </row>
    <row r="20066" spans="1:5" x14ac:dyDescent="0.25">
      <c r="A20066" t="str">
        <f>HYPERLINK("https://www.773grp.com/globalSearch/PT6522L/page-1", "PT6522L")</f>
        <v>PT6522L</v>
      </c>
      <c r="B20066" s="3" t="s">
        <v>90</v>
      </c>
      <c r="C20066" s="5">
        <v>4729</v>
      </c>
      <c r="D20066" s="6">
        <v>82.13</v>
      </c>
      <c r="E20066" t="s">
        <v>6</v>
      </c>
    </row>
    <row r="20067" spans="1:5" x14ac:dyDescent="0.25">
      <c r="A20067" t="str">
        <f>HYPERLINK("https://www.773grp.com/globalSearch/PT6526B/page-1", "PT6526B")</f>
        <v>PT6526B</v>
      </c>
      <c r="B20067" s="3" t="s">
        <v>90</v>
      </c>
      <c r="C20067" s="5">
        <v>135</v>
      </c>
      <c r="D20067" s="6">
        <v>82.13</v>
      </c>
      <c r="E20067" t="s">
        <v>6</v>
      </c>
    </row>
    <row r="20068" spans="1:5" x14ac:dyDescent="0.25">
      <c r="A20068" t="str">
        <f>HYPERLINK("https://www.773grp.com/globalSearch/PT6526G/page-1", "PT6526G")</f>
        <v>PT6526G</v>
      </c>
      <c r="B20068" s="3" t="s">
        <v>90</v>
      </c>
      <c r="C20068" s="5">
        <v>106</v>
      </c>
      <c r="D20068" s="6">
        <v>82.13</v>
      </c>
      <c r="E20068" t="s">
        <v>6</v>
      </c>
    </row>
    <row r="20069" spans="1:5" x14ac:dyDescent="0.25">
      <c r="A20069" t="str">
        <f>HYPERLINK("https://www.773grp.com/globalSearch/PT6526L/page-1", "PT6526L")</f>
        <v>PT6526L</v>
      </c>
      <c r="B20069" s="3" t="s">
        <v>90</v>
      </c>
      <c r="C20069" s="5">
        <v>27</v>
      </c>
      <c r="D20069" s="6">
        <v>82.13</v>
      </c>
      <c r="E20069" t="s">
        <v>6</v>
      </c>
    </row>
    <row r="20070" spans="1:5" x14ac:dyDescent="0.25">
      <c r="A20070" t="str">
        <f>HYPERLINK("https://www.773grp.com/globalSearch/PT6526R/page-1", "PT6526R")</f>
        <v>PT6526R</v>
      </c>
      <c r="B20070" s="3" t="s">
        <v>90</v>
      </c>
      <c r="C20070" s="5">
        <v>12</v>
      </c>
      <c r="D20070" s="6">
        <v>82.13</v>
      </c>
      <c r="E20070" t="s">
        <v>6</v>
      </c>
    </row>
    <row r="20071" spans="1:5" x14ac:dyDescent="0.25">
      <c r="A20071" t="str">
        <f>HYPERLINK("https://www.773grp.com/globalSearch/PT6621G/page-1", "PT6621G")</f>
        <v>PT6621G</v>
      </c>
      <c r="B20071" s="3" t="s">
        <v>90</v>
      </c>
      <c r="C20071" s="5">
        <v>15</v>
      </c>
      <c r="D20071" s="6">
        <v>82.13</v>
      </c>
      <c r="E20071" t="s">
        <v>6</v>
      </c>
    </row>
    <row r="20072" spans="1:5" x14ac:dyDescent="0.25">
      <c r="A20072" t="str">
        <f>HYPERLINK("https://www.773grp.com/globalSearch/PT6625B/page-1", "PT6625B")</f>
        <v>PT6625B</v>
      </c>
      <c r="B20072" s="3" t="s">
        <v>90</v>
      </c>
      <c r="C20072" s="5">
        <v>197</v>
      </c>
      <c r="D20072" s="6">
        <v>82.13</v>
      </c>
      <c r="E20072" t="s">
        <v>6</v>
      </c>
    </row>
    <row r="20073" spans="1:5" x14ac:dyDescent="0.25">
      <c r="A20073" t="str">
        <f>HYPERLINK("https://www.773grp.com/globalSearch/PT6625R/page-1", "PT6625R")</f>
        <v>PT6625R</v>
      </c>
      <c r="B20073" s="3" t="s">
        <v>90</v>
      </c>
      <c r="C20073" s="5">
        <v>706</v>
      </c>
      <c r="D20073" s="6">
        <v>82.13</v>
      </c>
      <c r="E20073" t="s">
        <v>6</v>
      </c>
    </row>
    <row r="20074" spans="1:5" x14ac:dyDescent="0.25">
      <c r="A20074" t="str">
        <f>HYPERLINK("https://www.773grp.com/globalSearch/PT6626G/page-1", "PT6626G")</f>
        <v>PT6626G</v>
      </c>
      <c r="B20074" s="3" t="s">
        <v>90</v>
      </c>
      <c r="C20074" s="5">
        <v>12</v>
      </c>
      <c r="D20074" s="6">
        <v>82.13</v>
      </c>
      <c r="E20074" t="s">
        <v>6</v>
      </c>
    </row>
    <row r="20075" spans="1:5" x14ac:dyDescent="0.25">
      <c r="A20075" t="str">
        <f>HYPERLINK("https://www.773grp.com/globalSearch/PT6627B/page-1", "PT6627B")</f>
        <v>PT6627B</v>
      </c>
      <c r="B20075" s="3" t="s">
        <v>90</v>
      </c>
      <c r="C20075" s="5">
        <v>57</v>
      </c>
      <c r="D20075" s="6">
        <v>82.13</v>
      </c>
      <c r="E20075" t="s">
        <v>6</v>
      </c>
    </row>
    <row r="20076" spans="1:5" x14ac:dyDescent="0.25">
      <c r="A20076" t="str">
        <f>HYPERLINK("https://www.773grp.com/globalSearch/PT6681B/page-1", "PT6681B")</f>
        <v>PT6681B</v>
      </c>
      <c r="B20076" s="3" t="s">
        <v>90</v>
      </c>
      <c r="C20076" s="5">
        <v>10</v>
      </c>
      <c r="D20076" s="6">
        <v>82.13</v>
      </c>
      <c r="E20076" t="s">
        <v>6</v>
      </c>
    </row>
    <row r="20077" spans="1:5" x14ac:dyDescent="0.25">
      <c r="A20077" t="str">
        <f>HYPERLINK("https://www.773grp.com/globalSearch/PT6683R/page-1", "PT6683R")</f>
        <v>PT6683R</v>
      </c>
      <c r="B20077" s="3" t="s">
        <v>90</v>
      </c>
      <c r="C20077" s="5">
        <v>60</v>
      </c>
      <c r="D20077" s="6">
        <v>82.13</v>
      </c>
      <c r="E20077" t="s">
        <v>6</v>
      </c>
    </row>
    <row r="20078" spans="1:5" x14ac:dyDescent="0.25">
      <c r="A20078" t="str">
        <f>HYPERLINK("https://www.773grp.com/globalSearch/PT6685R/page-1", "PT6685R")</f>
        <v>PT6685R</v>
      </c>
      <c r="B20078" s="3" t="s">
        <v>90</v>
      </c>
      <c r="C20078" s="5">
        <v>45</v>
      </c>
      <c r="D20078" s="6">
        <v>82.13</v>
      </c>
      <c r="E20078" t="s">
        <v>6</v>
      </c>
    </row>
    <row r="20079" spans="1:5" x14ac:dyDescent="0.25">
      <c r="A20079" t="str">
        <f>HYPERLINK("https://www.773grp.com/globalSearch/PT6686B/page-1", "PT6686B")</f>
        <v>PT6686B</v>
      </c>
      <c r="B20079" s="3" t="s">
        <v>90</v>
      </c>
      <c r="C20079" s="5">
        <v>12</v>
      </c>
      <c r="D20079" s="6">
        <v>82.13</v>
      </c>
      <c r="E20079" t="s">
        <v>6</v>
      </c>
    </row>
    <row r="20080" spans="1:5" x14ac:dyDescent="0.25">
      <c r="A20080" t="str">
        <f>HYPERLINK("https://www.773grp.com/globalSearch/PT6717C/page-1", "PT6717C")</f>
        <v>PT6717C</v>
      </c>
      <c r="B20080" s="3" t="s">
        <v>90</v>
      </c>
      <c r="C20080" s="5">
        <v>14</v>
      </c>
      <c r="D20080" s="6">
        <v>82.26</v>
      </c>
      <c r="E20080" t="s">
        <v>6</v>
      </c>
    </row>
    <row r="20081" spans="1:5" x14ac:dyDescent="0.25">
      <c r="A20081" t="str">
        <f>HYPERLINK("https://www.773grp.com/globalSearch/PT6719N/page-1", "PT6719N")</f>
        <v>PT6719N</v>
      </c>
      <c r="B20081" s="3" t="s">
        <v>90</v>
      </c>
      <c r="C20081" s="5">
        <v>4</v>
      </c>
      <c r="D20081" s="6">
        <v>82.26</v>
      </c>
      <c r="E20081" t="s">
        <v>6</v>
      </c>
    </row>
    <row r="20082" spans="1:5" x14ac:dyDescent="0.25">
      <c r="A20082" t="str">
        <f>HYPERLINK("https://www.773grp.com/globalSearch/PT6727A/page-1", "PT6727A")</f>
        <v>PT6727A</v>
      </c>
      <c r="B20082" s="3" t="s">
        <v>90</v>
      </c>
      <c r="C20082" s="5">
        <v>90</v>
      </c>
      <c r="D20082" s="6">
        <v>82.26</v>
      </c>
      <c r="E20082" t="s">
        <v>6</v>
      </c>
    </row>
    <row r="20083" spans="1:5" x14ac:dyDescent="0.25">
      <c r="A20083" t="str">
        <f>HYPERLINK("https://www.773grp.com/globalSearch/PT6651L/page-1", "PT6651L")</f>
        <v>PT6651L</v>
      </c>
      <c r="B20083" s="3" t="s">
        <v>90</v>
      </c>
      <c r="C20083" s="5">
        <v>27</v>
      </c>
      <c r="D20083" s="6">
        <v>83.54</v>
      </c>
      <c r="E20083" t="s">
        <v>6</v>
      </c>
    </row>
    <row r="20084" spans="1:5" x14ac:dyDescent="0.25">
      <c r="A20084" t="str">
        <f>HYPERLINK("https://www.773grp.com/globalSearch/PT6651R/page-1", "PT6651R")</f>
        <v>PT6651R</v>
      </c>
      <c r="B20084" s="3" t="s">
        <v>90</v>
      </c>
      <c r="C20084" s="5">
        <v>34</v>
      </c>
      <c r="D20084" s="6">
        <v>83.54</v>
      </c>
      <c r="E20084" t="s">
        <v>6</v>
      </c>
    </row>
    <row r="20085" spans="1:5" x14ac:dyDescent="0.25">
      <c r="A20085" t="str">
        <f>HYPERLINK("https://www.773grp.com/globalSearch/PT6653M/page-1", "PT6653M")</f>
        <v>PT6653M</v>
      </c>
      <c r="B20085" s="3" t="s">
        <v>90</v>
      </c>
      <c r="C20085" s="5">
        <v>1240</v>
      </c>
      <c r="D20085" s="6">
        <v>83.54</v>
      </c>
      <c r="E20085" t="s">
        <v>6</v>
      </c>
    </row>
    <row r="20086" spans="1:5" x14ac:dyDescent="0.25">
      <c r="A20086" t="str">
        <f>HYPERLINK("https://www.773grp.com/globalSearch/PT6656B/page-1", "PT6656B")</f>
        <v>PT6656B</v>
      </c>
      <c r="B20086" s="3" t="s">
        <v>90</v>
      </c>
      <c r="C20086" s="5">
        <v>12</v>
      </c>
      <c r="D20086" s="6">
        <v>83.54</v>
      </c>
      <c r="E20086" t="s">
        <v>6</v>
      </c>
    </row>
    <row r="20087" spans="1:5" x14ac:dyDescent="0.25">
      <c r="A20087" t="str">
        <f>HYPERLINK("https://www.773grp.com/globalSearch/5962-89905012A/page-1", "5962-89905012A")</f>
        <v>5962-89905012A</v>
      </c>
      <c r="B20087" s="3" t="s">
        <v>90</v>
      </c>
      <c r="C20087" s="5">
        <v>73</v>
      </c>
      <c r="D20087" s="6">
        <v>83.65</v>
      </c>
      <c r="E20087" t="s">
        <v>6</v>
      </c>
    </row>
    <row r="20088" spans="1:5" x14ac:dyDescent="0.25">
      <c r="A20088" t="str">
        <f>HYPERLINK("https://www.773grp.com/globalSearch/UC1875L883B/page-1", "UC1875L883B")</f>
        <v>UC1875L883B</v>
      </c>
      <c r="B20088" s="3" t="s">
        <v>90</v>
      </c>
      <c r="C20088" s="5">
        <v>4</v>
      </c>
      <c r="D20088" s="6">
        <v>86.63</v>
      </c>
      <c r="E20088" t="s">
        <v>6</v>
      </c>
    </row>
    <row r="20089" spans="1:5" x14ac:dyDescent="0.25">
      <c r="A20089" t="str">
        <f>HYPERLINK("https://www.773grp.com/globalSearch/PT6937N/page-1", "PT6937N")</f>
        <v>PT6937N</v>
      </c>
      <c r="B20089" s="3" t="s">
        <v>90</v>
      </c>
      <c r="C20089" s="5">
        <v>42</v>
      </c>
      <c r="D20089" s="6">
        <v>88.6</v>
      </c>
      <c r="E20089" t="s">
        <v>6</v>
      </c>
    </row>
    <row r="20090" spans="1:5" x14ac:dyDescent="0.25">
      <c r="A20090" t="str">
        <f>HYPERLINK("https://www.773grp.com/globalSearch/PT6982C/page-1", "PT6982C")</f>
        <v>PT6982C</v>
      </c>
      <c r="B20090" s="3" t="s">
        <v>90</v>
      </c>
      <c r="C20090" s="5">
        <v>141</v>
      </c>
      <c r="D20090" s="6">
        <v>88.6</v>
      </c>
      <c r="E20090" t="s">
        <v>6</v>
      </c>
    </row>
    <row r="20091" spans="1:5" x14ac:dyDescent="0.25">
      <c r="A20091" t="str">
        <f>HYPERLINK("https://www.773grp.com/globalSearch/5962-8768101QFA/page-1", "5962-8768101QFA")</f>
        <v>5962-8768101QFA</v>
      </c>
      <c r="B20091" s="3" t="s">
        <v>90</v>
      </c>
      <c r="C20091" s="5">
        <v>33</v>
      </c>
      <c r="D20091" s="6">
        <v>88.76</v>
      </c>
      <c r="E20091" t="s">
        <v>6</v>
      </c>
    </row>
    <row r="20092" spans="1:5" x14ac:dyDescent="0.25">
      <c r="A20092" t="str">
        <f>HYPERLINK("https://www.773grp.com/globalSearch/PT6721C/page-1", "PT6721C")</f>
        <v>PT6721C</v>
      </c>
      <c r="B20092" s="3" t="s">
        <v>90</v>
      </c>
      <c r="C20092" s="5">
        <v>570</v>
      </c>
      <c r="D20092" s="6">
        <v>89.15</v>
      </c>
      <c r="E20092" t="s">
        <v>6</v>
      </c>
    </row>
    <row r="20093" spans="1:5" x14ac:dyDescent="0.25">
      <c r="A20093" t="str">
        <f>HYPERLINK("https://www.773grp.com/globalSearch/UC1847L/page-1", "UC1847L")</f>
        <v>UC1847L</v>
      </c>
      <c r="B20093" s="3" t="s">
        <v>90</v>
      </c>
      <c r="C20093" s="5">
        <v>246</v>
      </c>
      <c r="D20093" s="6">
        <v>89.69</v>
      </c>
      <c r="E20093" t="s">
        <v>6</v>
      </c>
    </row>
    <row r="20094" spans="1:5" x14ac:dyDescent="0.25">
      <c r="A20094" t="str">
        <f>HYPERLINK("https://www.773grp.com/globalSearch/5962-9453001M2A/page-1", "5962-9453001M2A")</f>
        <v>5962-9453001M2A</v>
      </c>
      <c r="B20094" s="3" t="s">
        <v>90</v>
      </c>
      <c r="C20094" s="5">
        <v>14</v>
      </c>
      <c r="D20094" s="6">
        <v>92.18</v>
      </c>
      <c r="E20094" t="s">
        <v>6</v>
      </c>
    </row>
    <row r="20095" spans="1:5" x14ac:dyDescent="0.25">
      <c r="A20095" t="str">
        <f>HYPERLINK("https://www.773grp.com/globalSearch/PT5801A/page-1", "PT5801A")</f>
        <v>PT5801A</v>
      </c>
      <c r="B20095" s="3" t="s">
        <v>90</v>
      </c>
      <c r="C20095" s="5">
        <v>15</v>
      </c>
      <c r="D20095" s="6">
        <v>94.93</v>
      </c>
      <c r="E20095" t="s">
        <v>6</v>
      </c>
    </row>
    <row r="20096" spans="1:5" x14ac:dyDescent="0.25">
      <c r="A20096" t="str">
        <f>HYPERLINK("https://www.773grp.com/globalSearch/PT5801N/page-1", "PT5801N")</f>
        <v>PT5801N</v>
      </c>
      <c r="B20096" s="3" t="s">
        <v>90</v>
      </c>
      <c r="C20096" s="5">
        <v>30</v>
      </c>
      <c r="D20096" s="6">
        <v>94.93</v>
      </c>
      <c r="E20096" t="s">
        <v>6</v>
      </c>
    </row>
    <row r="20097" spans="1:5" x14ac:dyDescent="0.25">
      <c r="A20097" t="str">
        <f>HYPERLINK("https://www.773grp.com/globalSearch/PT5821C/page-1", "PT5821C")</f>
        <v>PT5821C</v>
      </c>
      <c r="B20097" s="3" t="s">
        <v>90</v>
      </c>
      <c r="C20097" s="5">
        <v>2</v>
      </c>
      <c r="D20097" s="6">
        <v>94.93</v>
      </c>
      <c r="E20097" t="s">
        <v>6</v>
      </c>
    </row>
    <row r="20098" spans="1:5" x14ac:dyDescent="0.25">
      <c r="A20098" t="str">
        <f>HYPERLINK("https://www.773grp.com/globalSearch/PT5824N/page-1", "PT5824N")</f>
        <v>PT5824N</v>
      </c>
      <c r="B20098" s="3" t="s">
        <v>90</v>
      </c>
      <c r="C20098" s="5">
        <v>151</v>
      </c>
      <c r="D20098" s="6">
        <v>94.93</v>
      </c>
      <c r="E20098" t="s">
        <v>6</v>
      </c>
    </row>
    <row r="20099" spans="1:5" x14ac:dyDescent="0.25">
      <c r="A20099" t="str">
        <f>HYPERLINK("https://www.773grp.com/globalSearch/PT5825N/page-1", "PT5825N")</f>
        <v>PT5825N</v>
      </c>
      <c r="B20099" s="3" t="s">
        <v>90</v>
      </c>
      <c r="C20099" s="5">
        <v>39</v>
      </c>
      <c r="D20099" s="6">
        <v>94.93</v>
      </c>
      <c r="E20099" t="s">
        <v>6</v>
      </c>
    </row>
    <row r="20100" spans="1:5" x14ac:dyDescent="0.25">
      <c r="A20100" t="str">
        <f>HYPERLINK("https://www.773grp.com/globalSearch/PT5827A/page-1", "PT5827A")</f>
        <v>PT5827A</v>
      </c>
      <c r="B20100" s="3" t="s">
        <v>90</v>
      </c>
      <c r="C20100" s="5">
        <v>120</v>
      </c>
      <c r="D20100" s="6">
        <v>94.93</v>
      </c>
      <c r="E20100" t="s">
        <v>6</v>
      </c>
    </row>
    <row r="20101" spans="1:5" x14ac:dyDescent="0.25">
      <c r="A20101" t="str">
        <f>HYPERLINK("https://www.773grp.com/globalSearch/PT6603E/page-1", "PT6603E")</f>
        <v>PT6603E</v>
      </c>
      <c r="B20101" s="3" t="s">
        <v>90</v>
      </c>
      <c r="C20101" s="5">
        <v>156</v>
      </c>
      <c r="D20101" s="6">
        <v>96.75</v>
      </c>
      <c r="E20101" t="s">
        <v>6</v>
      </c>
    </row>
    <row r="20102" spans="1:5" x14ac:dyDescent="0.25">
      <c r="A20102" t="str">
        <f>HYPERLINK("https://www.773grp.com/globalSearch/PT6606P/page-1", "PT6606P")</f>
        <v>PT6606P</v>
      </c>
      <c r="B20102" s="3" t="s">
        <v>90</v>
      </c>
      <c r="C20102" s="5">
        <v>59</v>
      </c>
      <c r="D20102" s="6">
        <v>96.75</v>
      </c>
      <c r="E20102" t="s">
        <v>6</v>
      </c>
    </row>
    <row r="20103" spans="1:5" x14ac:dyDescent="0.25">
      <c r="A20103" t="str">
        <f>HYPERLINK("https://www.773grp.com/globalSearch/PT7675C/page-1", "PT7675C")</f>
        <v>PT7675C</v>
      </c>
      <c r="B20103" s="3" t="s">
        <v>90</v>
      </c>
      <c r="C20103" s="5">
        <v>10</v>
      </c>
      <c r="D20103" s="6">
        <v>97.88</v>
      </c>
      <c r="E20103" t="s">
        <v>6</v>
      </c>
    </row>
    <row r="20104" spans="1:5" x14ac:dyDescent="0.25">
      <c r="A20104" t="str">
        <f>HYPERLINK("https://www.773grp.com/globalSearch/PT7681N/page-1", "PT7681N")</f>
        <v>PT7681N</v>
      </c>
      <c r="B20104" s="3" t="s">
        <v>90</v>
      </c>
      <c r="C20104" s="5">
        <v>130</v>
      </c>
      <c r="D20104" s="6">
        <v>97.88</v>
      </c>
      <c r="E20104" t="s">
        <v>6</v>
      </c>
    </row>
    <row r="20105" spans="1:5" x14ac:dyDescent="0.25">
      <c r="A20105" t="str">
        <f>HYPERLINK("https://www.773grp.com/globalSearch/PT6603M/page-1", "PT6603M")</f>
        <v>PT6603M</v>
      </c>
      <c r="B20105" s="3" t="s">
        <v>90</v>
      </c>
      <c r="C20105" s="5">
        <v>84</v>
      </c>
      <c r="D20105" s="6">
        <v>98.16</v>
      </c>
      <c r="E20105" t="s">
        <v>6</v>
      </c>
    </row>
    <row r="20106" spans="1:5" x14ac:dyDescent="0.25">
      <c r="A20106" t="str">
        <f>HYPERLINK("https://www.773grp.com/globalSearch/PT6606G/page-1", "PT6606G")</f>
        <v>PT6606G</v>
      </c>
      <c r="B20106" s="3" t="s">
        <v>90</v>
      </c>
      <c r="C20106" s="5">
        <v>60</v>
      </c>
      <c r="D20106" s="6">
        <v>98.16</v>
      </c>
      <c r="E20106" t="s">
        <v>6</v>
      </c>
    </row>
    <row r="20107" spans="1:5" x14ac:dyDescent="0.25">
      <c r="A20107" t="str">
        <f>HYPERLINK("https://www.773grp.com/globalSearch/PT6622P/page-1", "PT6622P")</f>
        <v>PT6622P</v>
      </c>
      <c r="B20107" s="3" t="s">
        <v>90</v>
      </c>
      <c r="C20107" s="5">
        <v>48</v>
      </c>
      <c r="D20107" s="6">
        <v>100.91</v>
      </c>
      <c r="E20107" t="s">
        <v>6</v>
      </c>
    </row>
    <row r="20108" spans="1:5" x14ac:dyDescent="0.25">
      <c r="A20108" t="str">
        <f>HYPERLINK("https://www.773grp.com/globalSearch/UC1823BJ883B/page-1", "UC1823BJ883B")</f>
        <v>UC1823BJ883B</v>
      </c>
      <c r="B20108" s="3" t="s">
        <v>90</v>
      </c>
      <c r="C20108" s="5">
        <v>166</v>
      </c>
      <c r="D20108" s="6">
        <v>101.05</v>
      </c>
      <c r="E20108" t="s">
        <v>6</v>
      </c>
    </row>
    <row r="20109" spans="1:5" x14ac:dyDescent="0.25">
      <c r="A20109" t="str">
        <f>HYPERLINK("https://www.773grp.com/globalSearch/PT6501A/page-1", "PT6501A")</f>
        <v>PT6501A</v>
      </c>
      <c r="B20109" s="3" t="s">
        <v>90</v>
      </c>
      <c r="C20109" s="5">
        <v>82</v>
      </c>
      <c r="D20109" s="6">
        <v>102.3</v>
      </c>
      <c r="E20109" t="s">
        <v>6</v>
      </c>
    </row>
    <row r="20110" spans="1:5" x14ac:dyDescent="0.25">
      <c r="A20110" t="str">
        <f>HYPERLINK("https://www.773grp.com/globalSearch/PT6503A/page-1", "PT6503A")</f>
        <v>PT6503A</v>
      </c>
      <c r="B20110" s="3" t="s">
        <v>90</v>
      </c>
      <c r="C20110" s="5">
        <v>12</v>
      </c>
      <c r="D20110" s="6">
        <v>102.3</v>
      </c>
      <c r="E20110" t="s">
        <v>6</v>
      </c>
    </row>
    <row r="20111" spans="1:5" x14ac:dyDescent="0.25">
      <c r="A20111" t="str">
        <f>HYPERLINK("https://www.773grp.com/globalSearch/PT6506A/page-1", "PT6506A")</f>
        <v>PT6506A</v>
      </c>
      <c r="B20111" s="3" t="s">
        <v>90</v>
      </c>
      <c r="C20111" s="5">
        <v>44</v>
      </c>
      <c r="D20111" s="6">
        <v>102.3</v>
      </c>
      <c r="E20111" t="s">
        <v>6</v>
      </c>
    </row>
    <row r="20112" spans="1:5" x14ac:dyDescent="0.25">
      <c r="A20112" t="str">
        <f>HYPERLINK("https://www.773grp.com/globalSearch/PT6501C/page-1", "PT6501C")</f>
        <v>PT6501C</v>
      </c>
      <c r="B20112" s="3" t="s">
        <v>90</v>
      </c>
      <c r="C20112" s="5">
        <v>106</v>
      </c>
      <c r="D20112" s="6">
        <v>102.38</v>
      </c>
      <c r="E20112" t="s">
        <v>6</v>
      </c>
    </row>
    <row r="20113" spans="1:5" x14ac:dyDescent="0.25">
      <c r="A20113" t="str">
        <f>HYPERLINK("https://www.773grp.com/globalSearch/PT6502A/page-1", "PT6502A")</f>
        <v>PT6502A</v>
      </c>
      <c r="B20113" s="3" t="s">
        <v>90</v>
      </c>
      <c r="C20113" s="5">
        <v>30</v>
      </c>
      <c r="D20113" s="6">
        <v>102.38</v>
      </c>
      <c r="E20113" t="s">
        <v>6</v>
      </c>
    </row>
    <row r="20114" spans="1:5" x14ac:dyDescent="0.25">
      <c r="A20114" t="str">
        <f>HYPERLINK("https://www.773grp.com/globalSearch/PT6503C/page-1", "PT6503C")</f>
        <v>PT6503C</v>
      </c>
      <c r="B20114" s="3" t="s">
        <v>90</v>
      </c>
      <c r="C20114" s="5">
        <v>281</v>
      </c>
      <c r="D20114" s="6">
        <v>102.38</v>
      </c>
      <c r="E20114" t="s">
        <v>6</v>
      </c>
    </row>
    <row r="20115" spans="1:5" x14ac:dyDescent="0.25">
      <c r="A20115" t="str">
        <f>HYPERLINK("https://www.773grp.com/globalSearch/PT6506N/page-1", "PT6506N")</f>
        <v>PT6506N</v>
      </c>
      <c r="B20115" s="3" t="s">
        <v>90</v>
      </c>
      <c r="C20115" s="5">
        <v>36</v>
      </c>
      <c r="D20115" s="6">
        <v>102.38</v>
      </c>
      <c r="E20115" t="s">
        <v>6</v>
      </c>
    </row>
    <row r="20116" spans="1:5" x14ac:dyDescent="0.25">
      <c r="A20116" t="str">
        <f>HYPERLINK("https://www.773grp.com/globalSearch/PT6501B/page-1", "PT6501B")</f>
        <v>PT6501B</v>
      </c>
      <c r="B20116" s="3" t="s">
        <v>90</v>
      </c>
      <c r="C20116" s="5">
        <v>516</v>
      </c>
      <c r="D20116" s="6">
        <v>103.7</v>
      </c>
      <c r="E20116" t="s">
        <v>6</v>
      </c>
    </row>
    <row r="20117" spans="1:5" x14ac:dyDescent="0.25">
      <c r="A20117" t="str">
        <f>HYPERLINK("https://www.773grp.com/globalSearch/PT6501G/page-1", "PT6501G")</f>
        <v>PT6501G</v>
      </c>
      <c r="B20117" s="3" t="s">
        <v>90</v>
      </c>
      <c r="C20117" s="5">
        <v>171</v>
      </c>
      <c r="D20117" s="6">
        <v>103.7</v>
      </c>
      <c r="E20117" t="s">
        <v>6</v>
      </c>
    </row>
    <row r="20118" spans="1:5" x14ac:dyDescent="0.25">
      <c r="A20118" t="str">
        <f>HYPERLINK("https://www.773grp.com/globalSearch/PT6501H/page-1", "PT6501H")</f>
        <v>PT6501H</v>
      </c>
      <c r="B20118" s="3" t="s">
        <v>90</v>
      </c>
      <c r="C20118" s="5">
        <v>84</v>
      </c>
      <c r="D20118" s="6">
        <v>103.7</v>
      </c>
      <c r="E20118" t="s">
        <v>6</v>
      </c>
    </row>
    <row r="20119" spans="1:5" x14ac:dyDescent="0.25">
      <c r="A20119" t="str">
        <f>HYPERLINK("https://www.773grp.com/globalSearch/PT6501L/page-1", "PT6501L")</f>
        <v>PT6501L</v>
      </c>
      <c r="B20119" s="3" t="s">
        <v>90</v>
      </c>
      <c r="C20119" s="5">
        <v>24</v>
      </c>
      <c r="D20119" s="6">
        <v>103.7</v>
      </c>
      <c r="E20119" t="s">
        <v>6</v>
      </c>
    </row>
    <row r="20120" spans="1:5" x14ac:dyDescent="0.25">
      <c r="A20120" t="str">
        <f>HYPERLINK("https://www.773grp.com/globalSearch/PT6501R/page-1", "PT6501R")</f>
        <v>PT6501R</v>
      </c>
      <c r="B20120" s="3" t="s">
        <v>90</v>
      </c>
      <c r="C20120" s="5">
        <v>54</v>
      </c>
      <c r="D20120" s="6">
        <v>103.7</v>
      </c>
      <c r="E20120" t="s">
        <v>6</v>
      </c>
    </row>
    <row r="20121" spans="1:5" x14ac:dyDescent="0.25">
      <c r="A20121" t="str">
        <f>HYPERLINK("https://www.773grp.com/globalSearch/PT6502B/page-1", "PT6502B")</f>
        <v>PT6502B</v>
      </c>
      <c r="B20121" s="3" t="s">
        <v>90</v>
      </c>
      <c r="C20121" s="5">
        <v>166</v>
      </c>
      <c r="D20121" s="6">
        <v>103.7</v>
      </c>
      <c r="E20121" t="s">
        <v>6</v>
      </c>
    </row>
    <row r="20122" spans="1:5" x14ac:dyDescent="0.25">
      <c r="A20122" t="str">
        <f>HYPERLINK("https://www.773grp.com/globalSearch/PT6502G/page-1", "PT6502G")</f>
        <v>PT6502G</v>
      </c>
      <c r="B20122" s="3" t="s">
        <v>90</v>
      </c>
      <c r="C20122" s="5">
        <v>254</v>
      </c>
      <c r="D20122" s="6">
        <v>103.7</v>
      </c>
      <c r="E20122" t="s">
        <v>6</v>
      </c>
    </row>
    <row r="20123" spans="1:5" x14ac:dyDescent="0.25">
      <c r="A20123" t="str">
        <f>HYPERLINK("https://www.773grp.com/globalSearch/PT6503B/page-1", "PT6503B")</f>
        <v>PT6503B</v>
      </c>
      <c r="B20123" s="3" t="s">
        <v>90</v>
      </c>
      <c r="C20123" s="5">
        <v>21</v>
      </c>
      <c r="D20123" s="6">
        <v>103.7</v>
      </c>
      <c r="E20123" t="s">
        <v>6</v>
      </c>
    </row>
    <row r="20124" spans="1:5" x14ac:dyDescent="0.25">
      <c r="A20124" t="str">
        <f>HYPERLINK("https://www.773grp.com/globalSearch/PT6504B/page-1", "PT6504B")</f>
        <v>PT6504B</v>
      </c>
      <c r="B20124" s="3" t="s">
        <v>90</v>
      </c>
      <c r="C20124" s="5">
        <v>229</v>
      </c>
      <c r="D20124" s="6">
        <v>103.7</v>
      </c>
      <c r="E20124" t="s">
        <v>6</v>
      </c>
    </row>
    <row r="20125" spans="1:5" x14ac:dyDescent="0.25">
      <c r="A20125" t="str">
        <f>HYPERLINK("https://www.773grp.com/globalSearch/PT6506B/page-1", "PT6506B")</f>
        <v>PT6506B</v>
      </c>
      <c r="B20125" s="3" t="s">
        <v>90</v>
      </c>
      <c r="C20125" s="5">
        <v>262</v>
      </c>
      <c r="D20125" s="6">
        <v>103.7</v>
      </c>
      <c r="E20125" t="s">
        <v>6</v>
      </c>
    </row>
    <row r="20126" spans="1:5" x14ac:dyDescent="0.25">
      <c r="A20126" t="str">
        <f>HYPERLINK("https://www.773grp.com/globalSearch/PT6506F/page-1", "PT6506F")</f>
        <v>PT6506F</v>
      </c>
      <c r="B20126" s="3" t="s">
        <v>90</v>
      </c>
      <c r="C20126" s="5">
        <v>12</v>
      </c>
      <c r="D20126" s="6">
        <v>103.79</v>
      </c>
      <c r="E20126" t="s">
        <v>6</v>
      </c>
    </row>
    <row r="20127" spans="1:5" x14ac:dyDescent="0.25">
      <c r="A20127" t="str">
        <f>HYPERLINK("https://www.773grp.com/globalSearch/PT6946N/page-1", "PT6946N")</f>
        <v>PT6946N</v>
      </c>
      <c r="B20127" s="3" t="s">
        <v>90</v>
      </c>
      <c r="C20127" s="5">
        <v>20</v>
      </c>
      <c r="D20127" s="6">
        <v>104.76</v>
      </c>
      <c r="E20127" t="s">
        <v>6</v>
      </c>
    </row>
    <row r="20128" spans="1:5" x14ac:dyDescent="0.25">
      <c r="A20128" t="str">
        <f>HYPERLINK("https://www.773grp.com/globalSearch/PT6522D/page-1", "PT6522D")</f>
        <v>PT6522D</v>
      </c>
      <c r="B20128" s="3" t="s">
        <v>90</v>
      </c>
      <c r="C20128" s="5">
        <v>48</v>
      </c>
      <c r="D20128" s="6">
        <v>105.05</v>
      </c>
      <c r="E20128" t="s">
        <v>6</v>
      </c>
    </row>
    <row r="20129" spans="1:5" x14ac:dyDescent="0.25">
      <c r="A20129" t="str">
        <f>HYPERLINK("https://www.773grp.com/globalSearch/PT6683D/page-1", "PT6683D")</f>
        <v>PT6683D</v>
      </c>
      <c r="B20129" s="3" t="s">
        <v>90</v>
      </c>
      <c r="C20129" s="5">
        <v>4</v>
      </c>
      <c r="D20129" s="6">
        <v>105.05</v>
      </c>
      <c r="E20129" t="s">
        <v>6</v>
      </c>
    </row>
    <row r="20130" spans="1:5" x14ac:dyDescent="0.25">
      <c r="A20130" t="str">
        <f>HYPERLINK("https://www.773grp.com/globalSearch/5962-89920022A/page-1", "5962-89920022A")</f>
        <v>5962-89920022A</v>
      </c>
      <c r="B20130" s="3" t="s">
        <v>90</v>
      </c>
      <c r="C20130" s="5">
        <v>252</v>
      </c>
      <c r="D20130" s="6">
        <v>105.93</v>
      </c>
      <c r="E20130" t="s">
        <v>6</v>
      </c>
    </row>
    <row r="20131" spans="1:5" x14ac:dyDescent="0.25">
      <c r="A20131" t="str">
        <f>HYPERLINK("https://www.773grp.com/globalSearch/PT6931A/page-1", "PT6931A")</f>
        <v>PT6931A</v>
      </c>
      <c r="B20131" s="3" t="s">
        <v>90</v>
      </c>
      <c r="C20131" s="5">
        <v>96</v>
      </c>
      <c r="D20131" s="6">
        <v>106.31</v>
      </c>
      <c r="E20131" t="s">
        <v>6</v>
      </c>
    </row>
    <row r="20132" spans="1:5" x14ac:dyDescent="0.25">
      <c r="A20132" t="str">
        <f>HYPERLINK("https://www.773grp.com/globalSearch/PT6931C/page-1", "PT6931C")</f>
        <v>PT6931C</v>
      </c>
      <c r="B20132" s="3" t="s">
        <v>90</v>
      </c>
      <c r="C20132" s="5">
        <v>261</v>
      </c>
      <c r="D20132" s="6">
        <v>106.31</v>
      </c>
      <c r="E20132" t="s">
        <v>6</v>
      </c>
    </row>
    <row r="20133" spans="1:5" x14ac:dyDescent="0.25">
      <c r="A20133" t="str">
        <f>HYPERLINK("https://www.773grp.com/globalSearch/PT6931N/page-1", "PT6931N")</f>
        <v>PT6931N</v>
      </c>
      <c r="B20133" s="3" t="s">
        <v>90</v>
      </c>
      <c r="C20133" s="5">
        <v>6</v>
      </c>
      <c r="D20133" s="6">
        <v>106.31</v>
      </c>
      <c r="E20133" t="s">
        <v>6</v>
      </c>
    </row>
    <row r="20134" spans="1:5" x14ac:dyDescent="0.25">
      <c r="A20134" t="str">
        <f>HYPERLINK("https://www.773grp.com/globalSearch/PT6932N/page-1", "PT6932N")</f>
        <v>PT6932N</v>
      </c>
      <c r="B20134" s="3" t="s">
        <v>90</v>
      </c>
      <c r="C20134" s="5">
        <v>15</v>
      </c>
      <c r="D20134" s="6">
        <v>106.31</v>
      </c>
      <c r="E20134" t="s">
        <v>6</v>
      </c>
    </row>
    <row r="20135" spans="1:5" x14ac:dyDescent="0.25">
      <c r="A20135" t="str">
        <f>HYPERLINK("https://www.773grp.com/globalSearch/PT6933C/page-1", "PT6933C")</f>
        <v>PT6933C</v>
      </c>
      <c r="B20135" s="3" t="s">
        <v>90</v>
      </c>
      <c r="C20135" s="5">
        <v>20</v>
      </c>
      <c r="D20135" s="6">
        <v>106.31</v>
      </c>
      <c r="E20135" t="s">
        <v>6</v>
      </c>
    </row>
    <row r="20136" spans="1:5" x14ac:dyDescent="0.25">
      <c r="A20136" t="str">
        <f>HYPERLINK("https://www.773grp.com/globalSearch/PT6936A/page-1", "PT6936A")</f>
        <v>PT6936A</v>
      </c>
      <c r="B20136" s="3" t="s">
        <v>90</v>
      </c>
      <c r="C20136" s="5">
        <v>26</v>
      </c>
      <c r="D20136" s="6">
        <v>106.31</v>
      </c>
      <c r="E20136" t="s">
        <v>6</v>
      </c>
    </row>
    <row r="20137" spans="1:5" x14ac:dyDescent="0.25">
      <c r="A20137" t="str">
        <f>HYPERLINK("https://www.773grp.com/globalSearch/PT6936N/page-1", "PT6936N")</f>
        <v>PT6936N</v>
      </c>
      <c r="B20137" s="3" t="s">
        <v>90</v>
      </c>
      <c r="C20137" s="5">
        <v>25</v>
      </c>
      <c r="D20137" s="6">
        <v>106.31</v>
      </c>
      <c r="E20137" t="s">
        <v>6</v>
      </c>
    </row>
    <row r="20138" spans="1:5" x14ac:dyDescent="0.25">
      <c r="A20138" t="str">
        <f>HYPERLINK("https://www.773grp.com/globalSearch/PT6938C/page-1", "PT6938C")</f>
        <v>PT6938C</v>
      </c>
      <c r="B20138" s="3" t="s">
        <v>90</v>
      </c>
      <c r="C20138" s="5">
        <v>63</v>
      </c>
      <c r="D20138" s="6">
        <v>106.31</v>
      </c>
      <c r="E20138" t="s">
        <v>6</v>
      </c>
    </row>
    <row r="20139" spans="1:5" x14ac:dyDescent="0.25">
      <c r="A20139" t="str">
        <f>HYPERLINK("https://www.773grp.com/globalSearch/PT6938N/page-1", "PT6938N")</f>
        <v>PT6938N</v>
      </c>
      <c r="B20139" s="3" t="s">
        <v>90</v>
      </c>
      <c r="C20139" s="5">
        <v>26</v>
      </c>
      <c r="D20139" s="6">
        <v>106.31</v>
      </c>
      <c r="E20139" t="s">
        <v>6</v>
      </c>
    </row>
    <row r="20140" spans="1:5" x14ac:dyDescent="0.25">
      <c r="A20140" t="str">
        <f>HYPERLINK("https://www.773grp.com/globalSearch/PT6939A/page-1", "PT6939A")</f>
        <v>PT6939A</v>
      </c>
      <c r="B20140" s="3" t="s">
        <v>90</v>
      </c>
      <c r="C20140" s="5">
        <v>7</v>
      </c>
      <c r="D20140" s="6">
        <v>106.31</v>
      </c>
      <c r="E20140" t="s">
        <v>6</v>
      </c>
    </row>
    <row r="20141" spans="1:5" x14ac:dyDescent="0.25">
      <c r="A20141" t="str">
        <f>HYPERLINK("https://www.773grp.com/globalSearch/PT6984N/page-1", "PT6984N")</f>
        <v>PT6984N</v>
      </c>
      <c r="B20141" s="3" t="s">
        <v>90</v>
      </c>
      <c r="C20141" s="5">
        <v>35</v>
      </c>
      <c r="D20141" s="6">
        <v>106.31</v>
      </c>
      <c r="E20141" t="s">
        <v>6</v>
      </c>
    </row>
    <row r="20142" spans="1:5" x14ac:dyDescent="0.25">
      <c r="A20142" t="str">
        <f>HYPERLINK("https://www.773grp.com/globalSearch/PT6521R/page-1", "PT6521R")</f>
        <v>PT6521R</v>
      </c>
      <c r="B20142" s="3" t="s">
        <v>90</v>
      </c>
      <c r="C20142" s="5">
        <v>48</v>
      </c>
      <c r="D20142" s="6">
        <v>106.45</v>
      </c>
      <c r="E20142" t="s">
        <v>6</v>
      </c>
    </row>
    <row r="20143" spans="1:5" x14ac:dyDescent="0.25">
      <c r="A20143" t="str">
        <f>HYPERLINK("https://www.773grp.com/globalSearch/PT6522G/page-1", "PT6522G")</f>
        <v>PT6522G</v>
      </c>
      <c r="B20143" s="3" t="s">
        <v>90</v>
      </c>
      <c r="C20143" s="5">
        <v>20</v>
      </c>
      <c r="D20143" s="6">
        <v>106.45</v>
      </c>
      <c r="E20143" t="s">
        <v>6</v>
      </c>
    </row>
    <row r="20144" spans="1:5" x14ac:dyDescent="0.25">
      <c r="A20144" t="str">
        <f>HYPERLINK("https://www.773grp.com/globalSearch/PT6522LT/page-1", "PT6522LT")</f>
        <v>PT6522LT</v>
      </c>
      <c r="B20144" s="3" t="s">
        <v>90</v>
      </c>
      <c r="C20144" s="5">
        <v>300</v>
      </c>
      <c r="D20144" s="6">
        <v>106.45</v>
      </c>
      <c r="E20144" t="s">
        <v>6</v>
      </c>
    </row>
    <row r="20145" spans="1:5" x14ac:dyDescent="0.25">
      <c r="A20145" t="str">
        <f>HYPERLINK("https://www.773grp.com/globalSearch/PT6522R/page-1", "PT6522R")</f>
        <v>PT6522R</v>
      </c>
      <c r="B20145" s="3" t="s">
        <v>90</v>
      </c>
      <c r="C20145" s="5">
        <v>48</v>
      </c>
      <c r="D20145" s="6">
        <v>106.45</v>
      </c>
      <c r="E20145" t="s">
        <v>6</v>
      </c>
    </row>
    <row r="20146" spans="1:5" x14ac:dyDescent="0.25">
      <c r="A20146" t="str">
        <f>HYPERLINK("https://www.773grp.com/globalSearch/PT6526F/page-1", "PT6526F")</f>
        <v>PT6526F</v>
      </c>
      <c r="B20146" s="3" t="s">
        <v>90</v>
      </c>
      <c r="C20146" s="5">
        <v>24</v>
      </c>
      <c r="D20146" s="6">
        <v>106.45</v>
      </c>
      <c r="E20146" t="s">
        <v>6</v>
      </c>
    </row>
    <row r="20147" spans="1:5" x14ac:dyDescent="0.25">
      <c r="A20147" t="str">
        <f>HYPERLINK("https://www.773grp.com/globalSearch/PT6981C/page-1", "PT6981C")</f>
        <v>PT6981C</v>
      </c>
      <c r="B20147" s="3" t="s">
        <v>90</v>
      </c>
      <c r="C20147" s="5">
        <v>80</v>
      </c>
      <c r="D20147" s="6">
        <v>110.66</v>
      </c>
      <c r="E20147" t="s">
        <v>6</v>
      </c>
    </row>
    <row r="20148" spans="1:5" x14ac:dyDescent="0.25">
      <c r="A20148" t="str">
        <f>HYPERLINK("https://www.773grp.com/globalSearch/UC1861J/page-1", "UC1861J")</f>
        <v>UC1861J</v>
      </c>
      <c r="B20148" s="3" t="s">
        <v>90</v>
      </c>
      <c r="C20148" s="5">
        <v>225</v>
      </c>
      <c r="D20148" s="6">
        <v>111.29</v>
      </c>
      <c r="E20148" t="s">
        <v>6</v>
      </c>
    </row>
    <row r="20149" spans="1:5" x14ac:dyDescent="0.25">
      <c r="A20149" t="str">
        <f>HYPERLINK("https://www.773grp.com/globalSearch/PT6902C/page-1", "PT6902C")</f>
        <v>PT6902C</v>
      </c>
      <c r="B20149" s="3" t="s">
        <v>90</v>
      </c>
      <c r="C20149" s="5">
        <v>48</v>
      </c>
      <c r="D20149" s="6">
        <v>111.49</v>
      </c>
      <c r="E20149" t="s">
        <v>6</v>
      </c>
    </row>
    <row r="20150" spans="1:5" x14ac:dyDescent="0.25">
      <c r="A20150" t="str">
        <f>HYPERLINK("https://www.773grp.com/globalSearch/PT6902N/page-1", "PT6902N")</f>
        <v>PT6902N</v>
      </c>
      <c r="B20150" s="3" t="s">
        <v>90</v>
      </c>
      <c r="C20150" s="5">
        <v>6</v>
      </c>
      <c r="D20150" s="6">
        <v>111.49</v>
      </c>
      <c r="E20150" t="s">
        <v>6</v>
      </c>
    </row>
    <row r="20151" spans="1:5" x14ac:dyDescent="0.25">
      <c r="A20151" t="str">
        <f>HYPERLINK("https://www.773grp.com/globalSearch/PT6905N/page-1", "PT6905N")</f>
        <v>PT6905N</v>
      </c>
      <c r="B20151" s="3" t="s">
        <v>90</v>
      </c>
      <c r="C20151" s="5">
        <v>50</v>
      </c>
      <c r="D20151" s="6">
        <v>111.49</v>
      </c>
      <c r="E20151" t="s">
        <v>6</v>
      </c>
    </row>
    <row r="20152" spans="1:5" x14ac:dyDescent="0.25">
      <c r="A20152" t="str">
        <f>HYPERLINK("https://www.773grp.com/globalSearch/PT6921A/page-1", "PT6921A")</f>
        <v>PT6921A</v>
      </c>
      <c r="B20152" s="3" t="s">
        <v>90</v>
      </c>
      <c r="C20152" s="5">
        <v>14</v>
      </c>
      <c r="D20152" s="6">
        <v>111.49</v>
      </c>
      <c r="E20152" t="s">
        <v>6</v>
      </c>
    </row>
    <row r="20153" spans="1:5" x14ac:dyDescent="0.25">
      <c r="A20153" t="str">
        <f>HYPERLINK("https://www.773grp.com/globalSearch/PT6921C/page-1", "PT6921C")</f>
        <v>PT6921C</v>
      </c>
      <c r="B20153" s="3" t="s">
        <v>90</v>
      </c>
      <c r="C20153" s="5">
        <v>16</v>
      </c>
      <c r="D20153" s="6">
        <v>111.49</v>
      </c>
      <c r="E20153" t="s">
        <v>6</v>
      </c>
    </row>
    <row r="20154" spans="1:5" x14ac:dyDescent="0.25">
      <c r="A20154" t="str">
        <f>HYPERLINK("https://www.773grp.com/globalSearch/PT6921N/page-1", "PT6921N")</f>
        <v>PT6921N</v>
      </c>
      <c r="B20154" s="3" t="s">
        <v>90</v>
      </c>
      <c r="C20154" s="5">
        <v>9</v>
      </c>
      <c r="D20154" s="6">
        <v>111.49</v>
      </c>
      <c r="E20154" t="s">
        <v>6</v>
      </c>
    </row>
    <row r="20155" spans="1:5" x14ac:dyDescent="0.25">
      <c r="A20155" t="str">
        <f>HYPERLINK("https://www.773grp.com/globalSearch/PT6905C/page-1", "PT6905C")</f>
        <v>PT6905C</v>
      </c>
      <c r="B20155" s="3" t="s">
        <v>90</v>
      </c>
      <c r="C20155" s="5">
        <v>40</v>
      </c>
      <c r="D20155" s="6">
        <v>111.51</v>
      </c>
      <c r="E20155" t="s">
        <v>6</v>
      </c>
    </row>
    <row r="20156" spans="1:5" x14ac:dyDescent="0.25">
      <c r="A20156" t="str">
        <f>HYPERLINK("https://www.773grp.com/globalSearch/PT6935A/page-1", "PT6935A")</f>
        <v>PT6935A</v>
      </c>
      <c r="B20156" s="3" t="s">
        <v>90</v>
      </c>
      <c r="C20156" s="5">
        <v>6</v>
      </c>
      <c r="D20156" s="6">
        <v>115.04</v>
      </c>
      <c r="E20156" t="s">
        <v>6</v>
      </c>
    </row>
    <row r="20157" spans="1:5" x14ac:dyDescent="0.25">
      <c r="A20157" t="str">
        <f>HYPERLINK("https://www.773grp.com/globalSearch/PT7701A/page-1", "PT7701A")</f>
        <v>PT7701A</v>
      </c>
      <c r="B20157" s="3" t="s">
        <v>90</v>
      </c>
      <c r="C20157" s="5">
        <v>4</v>
      </c>
      <c r="D20157" s="6">
        <v>118.26</v>
      </c>
      <c r="E20157" t="s">
        <v>6</v>
      </c>
    </row>
    <row r="20158" spans="1:5" x14ac:dyDescent="0.25">
      <c r="A20158" t="str">
        <f>HYPERLINK("https://www.773grp.com/globalSearch/PT7713N/page-1", "PT7713N")</f>
        <v>PT7713N</v>
      </c>
      <c r="B20158" s="3" t="s">
        <v>90</v>
      </c>
      <c r="C20158" s="5">
        <v>30</v>
      </c>
      <c r="D20158" s="6">
        <v>118.26</v>
      </c>
      <c r="E20158" t="s">
        <v>6</v>
      </c>
    </row>
    <row r="20159" spans="1:5" x14ac:dyDescent="0.25">
      <c r="A20159" t="str">
        <f>HYPERLINK("https://www.773grp.com/globalSearch/UC1825BL-81047/page-1", "UC1825BL-81047")</f>
        <v>UC1825BL-81047</v>
      </c>
      <c r="B20159" s="3" t="s">
        <v>90</v>
      </c>
      <c r="C20159" s="5">
        <v>271</v>
      </c>
      <c r="D20159" s="6">
        <v>119.28</v>
      </c>
      <c r="E20159" t="s">
        <v>6</v>
      </c>
    </row>
    <row r="20160" spans="1:5" x14ac:dyDescent="0.25">
      <c r="A20160" t="str">
        <f>HYPERLINK("https://www.773grp.com/globalSearch/UC1865J/page-1", "UC1865J")</f>
        <v>UC1865J</v>
      </c>
      <c r="B20160" s="3" t="s">
        <v>90</v>
      </c>
      <c r="C20160" s="5">
        <v>66</v>
      </c>
      <c r="D20160" s="6">
        <v>124.63</v>
      </c>
      <c r="E20160" t="s">
        <v>6</v>
      </c>
    </row>
    <row r="20161" spans="1:5" x14ac:dyDescent="0.25">
      <c r="A20161" t="str">
        <f>HYPERLINK("https://www.773grp.com/globalSearch/PT6941A/page-1", "PT6941A")</f>
        <v>PT6941A</v>
      </c>
      <c r="B20161" s="3" t="s">
        <v>90</v>
      </c>
      <c r="C20161" s="5">
        <v>9</v>
      </c>
      <c r="D20161" s="6">
        <v>125.73</v>
      </c>
      <c r="E20161" t="s">
        <v>6</v>
      </c>
    </row>
    <row r="20162" spans="1:5" x14ac:dyDescent="0.25">
      <c r="A20162" t="str">
        <f>HYPERLINK("https://www.773grp.com/globalSearch/PT6941C/page-1", "PT6941C")</f>
        <v>PT6941C</v>
      </c>
      <c r="B20162" s="3" t="s">
        <v>90</v>
      </c>
      <c r="C20162" s="5">
        <v>20</v>
      </c>
      <c r="D20162" s="6">
        <v>125.73</v>
      </c>
      <c r="E20162" t="s">
        <v>6</v>
      </c>
    </row>
    <row r="20163" spans="1:5" x14ac:dyDescent="0.25">
      <c r="A20163" t="str">
        <f>HYPERLINK("https://www.773grp.com/globalSearch/PT6943A/page-1", "PT6943A")</f>
        <v>PT6943A</v>
      </c>
      <c r="B20163" s="3" t="s">
        <v>90</v>
      </c>
      <c r="C20163" s="5">
        <v>2</v>
      </c>
      <c r="D20163" s="6">
        <v>125.73</v>
      </c>
      <c r="E20163" t="s">
        <v>6</v>
      </c>
    </row>
    <row r="20164" spans="1:5" x14ac:dyDescent="0.25">
      <c r="A20164" t="str">
        <f>HYPERLINK("https://www.773grp.com/globalSearch/PT6947C/page-1", "PT6947C")</f>
        <v>PT6947C</v>
      </c>
      <c r="B20164" s="3" t="s">
        <v>90</v>
      </c>
      <c r="C20164" s="5">
        <v>46</v>
      </c>
      <c r="D20164" s="6">
        <v>125.73</v>
      </c>
      <c r="E20164" t="s">
        <v>6</v>
      </c>
    </row>
    <row r="20165" spans="1:5" x14ac:dyDescent="0.25">
      <c r="A20165" t="str">
        <f>HYPERLINK("https://www.773grp.com/globalSearch/PT7751A/page-1", "PT7751A")</f>
        <v>PT7751A</v>
      </c>
      <c r="B20165" s="3" t="s">
        <v>90</v>
      </c>
      <c r="C20165" s="5">
        <v>38</v>
      </c>
      <c r="D20165" s="6">
        <v>128.25</v>
      </c>
      <c r="E20165" t="s">
        <v>6</v>
      </c>
    </row>
    <row r="20166" spans="1:5" x14ac:dyDescent="0.25">
      <c r="A20166" t="str">
        <f>HYPERLINK("https://www.773grp.com/globalSearch/PT7751C/page-1", "PT7751C")</f>
        <v>PT7751C</v>
      </c>
      <c r="B20166" s="3" t="s">
        <v>90</v>
      </c>
      <c r="C20166" s="5">
        <v>24</v>
      </c>
      <c r="D20166" s="6">
        <v>128.25</v>
      </c>
      <c r="E20166" t="s">
        <v>6</v>
      </c>
    </row>
    <row r="20167" spans="1:5" x14ac:dyDescent="0.25">
      <c r="A20167" t="str">
        <f>HYPERLINK("https://www.773grp.com/globalSearch/PT7751N/page-1", "PT7751N")</f>
        <v>PT7751N</v>
      </c>
      <c r="B20167" s="3" t="s">
        <v>90</v>
      </c>
      <c r="C20167" s="5">
        <v>24</v>
      </c>
      <c r="D20167" s="6">
        <v>128.25</v>
      </c>
      <c r="E20167" t="s">
        <v>6</v>
      </c>
    </row>
    <row r="20168" spans="1:5" x14ac:dyDescent="0.25">
      <c r="A20168" t="str">
        <f>HYPERLINK("https://www.773grp.com/globalSearch/PT7756C/page-1", "PT7756C")</f>
        <v>PT7756C</v>
      </c>
      <c r="B20168" s="3" t="s">
        <v>90</v>
      </c>
      <c r="C20168" s="5">
        <v>18</v>
      </c>
      <c r="D20168" s="6">
        <v>128.25</v>
      </c>
      <c r="E20168" t="s">
        <v>6</v>
      </c>
    </row>
    <row r="20169" spans="1:5" x14ac:dyDescent="0.25">
      <c r="A20169" t="str">
        <f>HYPERLINK("https://www.773grp.com/globalSearch/PT7756N/page-1", "PT7756N")</f>
        <v>PT7756N</v>
      </c>
      <c r="B20169" s="3" t="s">
        <v>90</v>
      </c>
      <c r="C20169" s="5">
        <v>6</v>
      </c>
      <c r="D20169" s="6">
        <v>128.25</v>
      </c>
      <c r="E20169" t="s">
        <v>6</v>
      </c>
    </row>
    <row r="20170" spans="1:5" x14ac:dyDescent="0.25">
      <c r="A20170" t="str">
        <f>HYPERLINK("https://www.773grp.com/globalSearch/PT7721C/page-1", "PT7721C")</f>
        <v>PT7721C</v>
      </c>
      <c r="B20170" s="3" t="s">
        <v>90</v>
      </c>
      <c r="C20170" s="5">
        <v>162</v>
      </c>
      <c r="D20170" s="6">
        <v>131.91</v>
      </c>
      <c r="E20170" t="s">
        <v>6</v>
      </c>
    </row>
    <row r="20171" spans="1:5" x14ac:dyDescent="0.25">
      <c r="A20171" t="str">
        <f>HYPERLINK("https://www.773grp.com/globalSearch/PT6501N/page-1", "PT6501N")</f>
        <v>PT6501N</v>
      </c>
      <c r="B20171" s="3" t="s">
        <v>90</v>
      </c>
      <c r="C20171" s="5">
        <v>1027</v>
      </c>
      <c r="D20171" s="6">
        <v>133.03</v>
      </c>
      <c r="E20171" t="s">
        <v>6</v>
      </c>
    </row>
    <row r="20172" spans="1:5" x14ac:dyDescent="0.25">
      <c r="A20172" t="str">
        <f>HYPERLINK("https://www.773grp.com/globalSearch/PT6502N/page-1", "PT6502N")</f>
        <v>PT6502N</v>
      </c>
      <c r="B20172" s="3" t="s">
        <v>90</v>
      </c>
      <c r="C20172" s="5">
        <v>15</v>
      </c>
      <c r="D20172" s="6">
        <v>133.03</v>
      </c>
      <c r="E20172" t="s">
        <v>6</v>
      </c>
    </row>
    <row r="20173" spans="1:5" x14ac:dyDescent="0.25">
      <c r="A20173" t="str">
        <f>HYPERLINK("https://www.773grp.com/globalSearch/PT6505N/page-1", "PT6505N")</f>
        <v>PT6505N</v>
      </c>
      <c r="B20173" s="3" t="s">
        <v>90</v>
      </c>
      <c r="C20173" s="5">
        <v>587</v>
      </c>
      <c r="D20173" s="6">
        <v>133.03</v>
      </c>
      <c r="E20173" t="s">
        <v>6</v>
      </c>
    </row>
    <row r="20174" spans="1:5" x14ac:dyDescent="0.25">
      <c r="A20174" t="str">
        <f>HYPERLINK("https://www.773grp.com/globalSearch/UC1864J883B/page-1", "UC1864J883B")</f>
        <v>UC1864J883B</v>
      </c>
      <c r="B20174" s="3" t="s">
        <v>90</v>
      </c>
      <c r="C20174" s="5">
        <v>567</v>
      </c>
      <c r="D20174" s="6">
        <v>134.1</v>
      </c>
      <c r="E20174" t="s">
        <v>6</v>
      </c>
    </row>
    <row r="20175" spans="1:5" x14ac:dyDescent="0.25">
      <c r="A20175" t="str">
        <f>HYPERLINK("https://www.773grp.com/globalSearch/PT7705A/page-1", "PT7705A")</f>
        <v>PT7705A</v>
      </c>
      <c r="B20175" s="3" t="s">
        <v>90</v>
      </c>
      <c r="C20175" s="5">
        <v>81</v>
      </c>
      <c r="D20175" s="6">
        <v>135.9</v>
      </c>
      <c r="E20175" t="s">
        <v>6</v>
      </c>
    </row>
    <row r="20176" spans="1:5" x14ac:dyDescent="0.25">
      <c r="A20176" t="str">
        <f>HYPERLINK("https://www.773grp.com/globalSearch/PT7705N/page-1", "PT7705N")</f>
        <v>PT7705N</v>
      </c>
      <c r="B20176" s="3" t="s">
        <v>90</v>
      </c>
      <c r="C20176" s="5">
        <v>103</v>
      </c>
      <c r="D20176" s="6">
        <v>135.9</v>
      </c>
      <c r="E20176" t="s">
        <v>6</v>
      </c>
    </row>
    <row r="20177" spans="1:5" x14ac:dyDescent="0.25">
      <c r="A20177" t="str">
        <f>HYPERLINK("https://www.773grp.com/globalSearch/PT7709N/page-1", "PT7709N")</f>
        <v>PT7709N</v>
      </c>
      <c r="B20177" s="3" t="s">
        <v>90</v>
      </c>
      <c r="C20177" s="5">
        <v>242</v>
      </c>
      <c r="D20177" s="6">
        <v>135.9</v>
      </c>
      <c r="E20177" t="s">
        <v>6</v>
      </c>
    </row>
    <row r="20178" spans="1:5" x14ac:dyDescent="0.25">
      <c r="A20178" t="str">
        <f>HYPERLINK("https://www.773grp.com/globalSearch/PT7711C/page-1", "PT7711C")</f>
        <v>PT7711C</v>
      </c>
      <c r="B20178" s="3" t="s">
        <v>90</v>
      </c>
      <c r="C20178" s="5">
        <v>134</v>
      </c>
      <c r="D20178" s="6">
        <v>135.9</v>
      </c>
      <c r="E20178" t="s">
        <v>6</v>
      </c>
    </row>
    <row r="20179" spans="1:5" x14ac:dyDescent="0.25">
      <c r="A20179" t="str">
        <f>HYPERLINK("https://www.773grp.com/globalSearch/PT7705C/page-1", "PT7705C")</f>
        <v>PT7705C</v>
      </c>
      <c r="B20179" s="3" t="s">
        <v>90</v>
      </c>
      <c r="C20179" s="5">
        <v>169</v>
      </c>
      <c r="D20179" s="6">
        <v>135.97999999999999</v>
      </c>
      <c r="E20179" t="s">
        <v>6</v>
      </c>
    </row>
    <row r="20180" spans="1:5" x14ac:dyDescent="0.25">
      <c r="A20180" t="str">
        <f>HYPERLINK("https://www.773grp.com/globalSearch/PT7707C/page-1", "PT7707C")</f>
        <v>PT7707C</v>
      </c>
      <c r="B20180" s="3" t="s">
        <v>90</v>
      </c>
      <c r="C20180" s="5">
        <v>84</v>
      </c>
      <c r="D20180" s="6">
        <v>135.97999999999999</v>
      </c>
      <c r="E20180" t="s">
        <v>6</v>
      </c>
    </row>
    <row r="20181" spans="1:5" x14ac:dyDescent="0.25">
      <c r="A20181" t="str">
        <f>HYPERLINK("https://www.773grp.com/globalSearch/PT7714C/page-1", "PT7714C")</f>
        <v>PT7714C</v>
      </c>
      <c r="B20181" s="3" t="s">
        <v>90</v>
      </c>
      <c r="C20181" s="5">
        <v>115</v>
      </c>
      <c r="D20181" s="6">
        <v>135.97999999999999</v>
      </c>
      <c r="E20181" t="s">
        <v>6</v>
      </c>
    </row>
    <row r="20182" spans="1:5" x14ac:dyDescent="0.25">
      <c r="A20182" t="str">
        <f>HYPERLINK("https://www.773grp.com/globalSearch/PT6901C/page-1", "PT6901C")</f>
        <v>PT6901C</v>
      </c>
      <c r="B20182" s="3" t="str">
        <f>HYPERLINK("https://www.773grp.com/manufacturer/texas-instruments?pageNo=110", "Texas Instruments")</f>
        <v>Texas Instruments</v>
      </c>
      <c r="C20182" s="5">
        <v>80</v>
      </c>
      <c r="D20182" s="6">
        <v>144.99</v>
      </c>
      <c r="E20182" t="s">
        <v>6</v>
      </c>
    </row>
    <row r="20183" spans="1:5" x14ac:dyDescent="0.25">
      <c r="A20183" t="str">
        <f>HYPERLINK("https://www.773grp.com/globalSearch/PT6922N/page-1", "PT6922N")</f>
        <v>PT6922N</v>
      </c>
      <c r="B20183" s="3" t="str">
        <f>HYPERLINK("https://www.773grp.com/manufacturer/texas-instruments?pageNo=111", "Texas Instruments")</f>
        <v>Texas Instruments</v>
      </c>
      <c r="C20183" s="5">
        <v>40</v>
      </c>
      <c r="D20183" s="6">
        <v>144.99</v>
      </c>
      <c r="E20183" t="s">
        <v>6</v>
      </c>
    </row>
    <row r="20184" spans="1:5" x14ac:dyDescent="0.25">
      <c r="A20184" t="str">
        <f>HYPERLINK("https://www.773grp.com/globalSearch/PT7601N/page-1", "PT7601N")</f>
        <v>PT7601N</v>
      </c>
      <c r="B20184" s="3" t="str">
        <f>HYPERLINK("https://www.773grp.com/manufacturer/texas-instruments?pageNo=112", "Texas Instruments")</f>
        <v>Texas Instruments</v>
      </c>
      <c r="C20184" s="5">
        <v>40</v>
      </c>
      <c r="D20184" s="6">
        <v>144.99</v>
      </c>
      <c r="E20184" t="s">
        <v>6</v>
      </c>
    </row>
    <row r="20185" spans="1:5" x14ac:dyDescent="0.25">
      <c r="A20185" t="str">
        <f>HYPERLINK("https://www.773grp.com/globalSearch/PT7722N/page-1", "PT7722N")</f>
        <v>PT7722N</v>
      </c>
      <c r="B20185" s="3" t="str">
        <f>HYPERLINK("https://www.773grp.com/manufacturer/texas-instruments?pageNo=177", "Texas Instruments")</f>
        <v>Texas Instruments</v>
      </c>
      <c r="C20185" s="5">
        <v>208</v>
      </c>
      <c r="D20185" s="6">
        <v>151.59</v>
      </c>
      <c r="E20185" t="s">
        <v>6</v>
      </c>
    </row>
    <row r="20186" spans="1:5" x14ac:dyDescent="0.25">
      <c r="A20186" t="str">
        <f>HYPERLINK("https://www.773grp.com/globalSearch/PT8122A/page-1", "PT8122A")</f>
        <v>PT8122A</v>
      </c>
      <c r="B20186" s="3" t="str">
        <f>HYPERLINK("https://www.773grp.com/manufacturer/texas-instruments?pageNo=187", "Texas Instruments")</f>
        <v>Texas Instruments</v>
      </c>
      <c r="C20186" s="5">
        <v>10</v>
      </c>
      <c r="D20186" s="6">
        <v>154.44</v>
      </c>
      <c r="E20186" t="s">
        <v>6</v>
      </c>
    </row>
    <row r="20187" spans="1:5" x14ac:dyDescent="0.25">
      <c r="A20187" t="str">
        <f>HYPERLINK("https://www.773grp.com/globalSearch/PT8125C/page-1", "PT8125C")</f>
        <v>PT8125C</v>
      </c>
      <c r="B20187" s="3" t="str">
        <f>HYPERLINK("https://www.773grp.com/manufacturer/texas-instruments?pageNo=188", "Texas Instruments")</f>
        <v>Texas Instruments</v>
      </c>
      <c r="C20187" s="5">
        <v>11</v>
      </c>
      <c r="D20187" s="6">
        <v>154.44</v>
      </c>
      <c r="E20187" t="s">
        <v>6</v>
      </c>
    </row>
    <row r="20188" spans="1:5" x14ac:dyDescent="0.25">
      <c r="A20188" t="str">
        <f>HYPERLINK("https://www.773grp.com/globalSearch/PT8139A/page-1", "PT8139A")</f>
        <v>PT8139A</v>
      </c>
      <c r="B20188" s="3" t="str">
        <f>HYPERLINK("https://www.773grp.com/manufacturer/texas-instruments?pageNo=189", "Texas Instruments")</f>
        <v>Texas Instruments</v>
      </c>
      <c r="C20188" s="5">
        <v>6</v>
      </c>
      <c r="D20188" s="6">
        <v>154.44</v>
      </c>
      <c r="E20188" t="s">
        <v>6</v>
      </c>
    </row>
    <row r="20189" spans="1:5" x14ac:dyDescent="0.25">
      <c r="A20189" t="str">
        <f>HYPERLINK("https://www.773grp.com/globalSearch/PT8139C/page-1", "PT8139C")</f>
        <v>PT8139C</v>
      </c>
      <c r="B20189" s="3" t="str">
        <f>HYPERLINK("https://www.773grp.com/manufacturer/texas-instruments?pageNo=190", "Texas Instruments")</f>
        <v>Texas Instruments</v>
      </c>
      <c r="C20189" s="5">
        <v>11</v>
      </c>
      <c r="D20189" s="6">
        <v>154.44</v>
      </c>
      <c r="E20189" t="s">
        <v>6</v>
      </c>
    </row>
    <row r="20190" spans="1:5" x14ac:dyDescent="0.25">
      <c r="A20190" t="str">
        <f>HYPERLINK("https://www.773grp.com/globalSearch/PT8121A/page-1", "PT8121A")</f>
        <v>PT8121A</v>
      </c>
      <c r="B20190" s="3" t="str">
        <f>HYPERLINK("https://www.773grp.com/manufacturer/texas-instruments?pageNo=191", "Texas Instruments")</f>
        <v>Texas Instruments</v>
      </c>
      <c r="C20190" s="5">
        <v>137</v>
      </c>
      <c r="D20190" s="6">
        <v>154.54</v>
      </c>
      <c r="E20190" t="s">
        <v>6</v>
      </c>
    </row>
    <row r="20191" spans="1:5" x14ac:dyDescent="0.25">
      <c r="A20191" t="str">
        <f>HYPERLINK("https://www.773grp.com/globalSearch/PT8123A/page-1", "PT8123A")</f>
        <v>PT8123A</v>
      </c>
      <c r="B20191" s="3" t="str">
        <f>HYPERLINK("https://www.773grp.com/manufacturer/texas-instruments?pageNo=192", "Texas Instruments")</f>
        <v>Texas Instruments</v>
      </c>
      <c r="C20191" s="5">
        <v>85</v>
      </c>
      <c r="D20191" s="6">
        <v>154.54</v>
      </c>
      <c r="E20191" t="s">
        <v>6</v>
      </c>
    </row>
    <row r="20192" spans="1:5" x14ac:dyDescent="0.25">
      <c r="A20192" t="str">
        <f>HYPERLINK("https://www.773grp.com/globalSearch/5962-8768102XA/page-1", "5962-8768102XA")</f>
        <v>5962-8768102XA</v>
      </c>
      <c r="B20192" s="3" t="str">
        <f>HYPERLINK("https://www.773grp.com/manufacturer/texas-instruments?pageNo=296", "Texas Instruments")</f>
        <v>Texas Instruments</v>
      </c>
      <c r="C20192" s="5">
        <v>169</v>
      </c>
      <c r="D20192" s="6">
        <v>170.74</v>
      </c>
      <c r="E20192" t="s">
        <v>6</v>
      </c>
    </row>
    <row r="20193" spans="1:5" x14ac:dyDescent="0.25">
      <c r="A20193" t="str">
        <f>HYPERLINK("https://www.773grp.com/globalSearch/PT7775N/page-1", "PT7775N")</f>
        <v>PT7775N</v>
      </c>
      <c r="B20193" s="3" t="str">
        <f>HYPERLINK("https://www.773grp.com/manufacturer/texas-instruments?pageNo=319", "Texas Instruments")</f>
        <v>Texas Instruments</v>
      </c>
      <c r="C20193" s="5">
        <v>4</v>
      </c>
      <c r="D20193" s="6">
        <v>175.93</v>
      </c>
      <c r="E20193" t="s">
        <v>6</v>
      </c>
    </row>
    <row r="20194" spans="1:5" x14ac:dyDescent="0.25">
      <c r="A20194" t="str">
        <f>HYPERLINK("https://www.773grp.com/globalSearch/PT7778A/page-1", "PT7778A")</f>
        <v>PT7778A</v>
      </c>
      <c r="B20194" s="3" t="str">
        <f>HYPERLINK("https://www.773grp.com/manufacturer/texas-instruments?pageNo=320", "Texas Instruments")</f>
        <v>Texas Instruments</v>
      </c>
      <c r="C20194" s="5">
        <v>4</v>
      </c>
      <c r="D20194" s="6">
        <v>175.93</v>
      </c>
      <c r="E20194" t="s">
        <v>6</v>
      </c>
    </row>
    <row r="20195" spans="1:5" x14ac:dyDescent="0.25">
      <c r="A20195" t="str">
        <f>HYPERLINK("https://www.773grp.com/globalSearch/PT7709C/page-1", "PT7709C")</f>
        <v>PT7709C</v>
      </c>
      <c r="B20195" s="3" t="str">
        <f>HYPERLINK("https://www.773grp.com/manufacturer/texas-instruments?pageNo=324", "Texas Instruments")</f>
        <v>Texas Instruments</v>
      </c>
      <c r="C20195" s="5">
        <v>32</v>
      </c>
      <c r="D20195" s="6">
        <v>176.76</v>
      </c>
      <c r="E20195" t="s">
        <v>6</v>
      </c>
    </row>
    <row r="20196" spans="1:5" x14ac:dyDescent="0.25">
      <c r="A20196" t="str">
        <f>HYPERLINK("https://www.773grp.com/globalSearch/PT7712A/page-1", "PT7712A")</f>
        <v>PT7712A</v>
      </c>
      <c r="B20196" s="3" t="str">
        <f>HYPERLINK("https://www.773grp.com/manufacturer/texas-instruments?pageNo=325", "Texas Instruments")</f>
        <v>Texas Instruments</v>
      </c>
      <c r="C20196" s="5">
        <v>58</v>
      </c>
      <c r="D20196" s="6">
        <v>176.76</v>
      </c>
      <c r="E20196" t="s">
        <v>6</v>
      </c>
    </row>
    <row r="20197" spans="1:5" x14ac:dyDescent="0.25">
      <c r="A20197" t="str">
        <f>HYPERLINK("https://www.773grp.com/globalSearch/PT7712N/page-1", "PT7712N")</f>
        <v>PT7712N</v>
      </c>
      <c r="B20197" s="3" t="str">
        <f>HYPERLINK("https://www.773grp.com/manufacturer/texas-instruments?pageNo=326", "Texas Instruments")</f>
        <v>Texas Instruments</v>
      </c>
      <c r="C20197" s="5">
        <v>90</v>
      </c>
      <c r="D20197" s="6">
        <v>176.76</v>
      </c>
      <c r="E20197" t="s">
        <v>6</v>
      </c>
    </row>
    <row r="20198" spans="1:5" x14ac:dyDescent="0.25">
      <c r="A20198" t="str">
        <f>HYPERLINK("https://www.773grp.com/globalSearch/PT7715A/page-1", "PT7715A")</f>
        <v>PT7715A</v>
      </c>
      <c r="B20198" s="3" t="str">
        <f>HYPERLINK("https://www.773grp.com/manufacturer/texas-instruments?pageNo=327", "Texas Instruments")</f>
        <v>Texas Instruments</v>
      </c>
      <c r="C20198" s="5">
        <v>30</v>
      </c>
      <c r="D20198" s="6">
        <v>176.76</v>
      </c>
      <c r="E20198" t="s">
        <v>6</v>
      </c>
    </row>
    <row r="20199" spans="1:5" x14ac:dyDescent="0.25">
      <c r="A20199" t="str">
        <f>HYPERLINK("https://www.773grp.com/globalSearch/PT7715C/page-1", "PT7715C")</f>
        <v>PT7715C</v>
      </c>
      <c r="B20199" s="3" t="str">
        <f>HYPERLINK("https://www.773grp.com/manufacturer/texas-instruments?pageNo=328", "Texas Instruments")</f>
        <v>Texas Instruments</v>
      </c>
      <c r="C20199" s="5">
        <v>510</v>
      </c>
      <c r="D20199" s="6">
        <v>176.76</v>
      </c>
      <c r="E20199" t="s">
        <v>6</v>
      </c>
    </row>
    <row r="20200" spans="1:5" x14ac:dyDescent="0.25">
      <c r="A20200" t="str">
        <f>HYPERLINK("https://www.773grp.com/globalSearch/PT7721N/page-1", "PT7721N")</f>
        <v>PT7721N</v>
      </c>
      <c r="B20200" s="3" t="str">
        <f>HYPERLINK("https://www.773grp.com/manufacturer/texas-instruments?pageNo=382", "Texas Instruments")</f>
        <v>Texas Instruments</v>
      </c>
      <c r="C20200" s="5">
        <v>6</v>
      </c>
      <c r="D20200" s="6">
        <v>189.56</v>
      </c>
      <c r="E20200" t="s">
        <v>6</v>
      </c>
    </row>
    <row r="20201" spans="1:5" x14ac:dyDescent="0.25">
      <c r="A20201" t="str">
        <f>HYPERLINK("https://www.773grp.com/globalSearch/TPS62110HPWP/page-1", "TPS62110HPWP")</f>
        <v>TPS62110HPWP</v>
      </c>
      <c r="B20201" s="3" t="str">
        <f>HYPERLINK("https://www.773grp.com/manufacturer/texas-instruments?pageNo=400", "Texas Instruments")</f>
        <v>Texas Instruments</v>
      </c>
      <c r="C20201" s="5">
        <v>845</v>
      </c>
      <c r="D20201" s="6">
        <v>191.25</v>
      </c>
      <c r="E20201" t="s">
        <v>6</v>
      </c>
    </row>
    <row r="20202" spans="1:5" x14ac:dyDescent="0.25">
      <c r="A20202" t="str">
        <f>HYPERLINK("https://www.773grp.com/globalSearch/PT8121C/page-1", "PT8121C")</f>
        <v>PT8121C</v>
      </c>
      <c r="B20202" s="3" t="str">
        <f>HYPERLINK("https://www.773grp.com/manufacturer/texas-instruments?pageNo=442", "Texas Instruments")</f>
        <v>Texas Instruments</v>
      </c>
      <c r="C20202" s="5">
        <v>108</v>
      </c>
      <c r="D20202" s="6">
        <v>200.81</v>
      </c>
      <c r="E20202" t="s">
        <v>6</v>
      </c>
    </row>
    <row r="20203" spans="1:5" x14ac:dyDescent="0.25">
      <c r="A20203" t="str">
        <f>HYPERLINK("https://www.773grp.com/globalSearch/PT8121N/page-1", "PT8121N")</f>
        <v>PT8121N</v>
      </c>
      <c r="B20203" s="3" t="str">
        <f>HYPERLINK("https://www.773grp.com/manufacturer/texas-instruments?pageNo=443", "Texas Instruments")</f>
        <v>Texas Instruments</v>
      </c>
      <c r="C20203" s="5">
        <v>3</v>
      </c>
      <c r="D20203" s="6">
        <v>200.81</v>
      </c>
      <c r="E20203" t="s">
        <v>6</v>
      </c>
    </row>
    <row r="20204" spans="1:5" x14ac:dyDescent="0.25">
      <c r="A20204" t="str">
        <f>HYPERLINK("https://www.773grp.com/globalSearch/PT8123C/page-1", "PT8123C")</f>
        <v>PT8123C</v>
      </c>
      <c r="B20204" s="3" t="str">
        <f>HYPERLINK("https://www.773grp.com/manufacturer/texas-instruments?pageNo=444", "Texas Instruments")</f>
        <v>Texas Instruments</v>
      </c>
      <c r="C20204" s="5">
        <v>180</v>
      </c>
      <c r="D20204" s="6">
        <v>200.81</v>
      </c>
      <c r="E20204" t="s">
        <v>6</v>
      </c>
    </row>
    <row r="20205" spans="1:5" x14ac:dyDescent="0.25">
      <c r="A20205" t="str">
        <f>HYPERLINK("https://www.773grp.com/globalSearch/PT8125N/page-1", "PT8125N")</f>
        <v>PT8125N</v>
      </c>
      <c r="B20205" s="3" t="str">
        <f>HYPERLINK("https://www.773grp.com/manufacturer/texas-instruments?pageNo=445", "Texas Instruments")</f>
        <v>Texas Instruments</v>
      </c>
      <c r="C20205" s="5">
        <v>15</v>
      </c>
      <c r="D20205" s="6">
        <v>200.81</v>
      </c>
      <c r="E20205" t="s">
        <v>6</v>
      </c>
    </row>
    <row r="20206" spans="1:5" x14ac:dyDescent="0.25">
      <c r="A20206" t="str">
        <f>HYPERLINK("https://www.773grp.com/globalSearch/PT7771A/page-1", "PT7771A")</f>
        <v>PT7771A</v>
      </c>
      <c r="B20206" s="3" t="str">
        <f>HYPERLINK("https://www.773grp.com/manufacturer/texas-instruments?pageNo=451", "Texas Instruments")</f>
        <v>Texas Instruments</v>
      </c>
      <c r="C20206" s="5">
        <v>26</v>
      </c>
      <c r="D20206" s="6">
        <v>202.21</v>
      </c>
      <c r="E20206" t="s">
        <v>6</v>
      </c>
    </row>
    <row r="20207" spans="1:5" x14ac:dyDescent="0.25">
      <c r="A20207" t="str">
        <f>HYPERLINK("https://www.773grp.com/globalSearch/PT7773A/page-1", "PT7773A")</f>
        <v>PT7773A</v>
      </c>
      <c r="B20207" s="3" t="str">
        <f>HYPERLINK("https://www.773grp.com/manufacturer/texas-instruments?pageNo=452", "Texas Instruments")</f>
        <v>Texas Instruments</v>
      </c>
      <c r="C20207" s="5">
        <v>157</v>
      </c>
      <c r="D20207" s="6">
        <v>202.21</v>
      </c>
      <c r="E20207" t="s">
        <v>6</v>
      </c>
    </row>
    <row r="20208" spans="1:5" x14ac:dyDescent="0.25">
      <c r="A20208" t="str">
        <f>HYPERLINK("https://www.773grp.com/globalSearch/PT7777C/page-1", "PT7777C")</f>
        <v>PT7777C</v>
      </c>
      <c r="B20208" s="3" t="str">
        <f>HYPERLINK("https://www.773grp.com/manufacturer/texas-instruments?pageNo=453", "Texas Instruments")</f>
        <v>Texas Instruments</v>
      </c>
      <c r="C20208" s="5">
        <v>16</v>
      </c>
      <c r="D20208" s="6">
        <v>202.21</v>
      </c>
      <c r="E20208" t="s">
        <v>6</v>
      </c>
    </row>
    <row r="20209" spans="1:5" x14ac:dyDescent="0.25">
      <c r="A20209" t="str">
        <f>HYPERLINK("https://www.773grp.com/globalSearch/PT7777N/page-1", "PT7777N")</f>
        <v>PT7777N</v>
      </c>
      <c r="B20209" s="3" t="str">
        <f>HYPERLINK("https://www.773grp.com/manufacturer/texas-instruments?pageNo=454", "Texas Instruments")</f>
        <v>Texas Instruments</v>
      </c>
      <c r="C20209" s="5">
        <v>16</v>
      </c>
      <c r="D20209" s="6">
        <v>202.21</v>
      </c>
      <c r="E20209" t="s">
        <v>6</v>
      </c>
    </row>
    <row r="20210" spans="1:5" x14ac:dyDescent="0.25">
      <c r="A20210" t="str">
        <f>HYPERLINK("https://www.773grp.com/globalSearch/PT7779C/page-1", "PT7779C")</f>
        <v>PT7779C</v>
      </c>
      <c r="B20210" s="3" t="str">
        <f>HYPERLINK("https://www.773grp.com/manufacturer/texas-instruments?pageNo=455", "Texas Instruments")</f>
        <v>Texas Instruments</v>
      </c>
      <c r="C20210" s="5">
        <v>20</v>
      </c>
      <c r="D20210" s="6">
        <v>202.21</v>
      </c>
      <c r="E20210" t="s">
        <v>6</v>
      </c>
    </row>
    <row r="20211" spans="1:5" x14ac:dyDescent="0.25">
      <c r="A20211" t="str">
        <f>HYPERLINK("https://www.773grp.com/globalSearch/PT8101A/page-1", "PT8101A")</f>
        <v>PT8101A</v>
      </c>
      <c r="B20211" s="3" t="str">
        <f>HYPERLINK("https://www.773grp.com/manufacturer/texas-instruments?pageNo=456", "Texas Instruments")</f>
        <v>Texas Instruments</v>
      </c>
      <c r="C20211" s="5">
        <v>90</v>
      </c>
      <c r="D20211" s="6">
        <v>202.21</v>
      </c>
      <c r="E20211" t="s">
        <v>6</v>
      </c>
    </row>
    <row r="20212" spans="1:5" x14ac:dyDescent="0.25">
      <c r="A20212" t="str">
        <f>HYPERLINK("https://www.773grp.com/globalSearch/PT8102N/page-1", "PT8102N")</f>
        <v>PT8102N</v>
      </c>
      <c r="B20212" s="3" t="str">
        <f>HYPERLINK("https://www.773grp.com/manufacturer/texas-instruments?pageNo=457", "Texas Instruments")</f>
        <v>Texas Instruments</v>
      </c>
      <c r="C20212" s="5">
        <v>744</v>
      </c>
      <c r="D20212" s="6">
        <v>202.21</v>
      </c>
      <c r="E20212" t="s">
        <v>6</v>
      </c>
    </row>
    <row r="20213" spans="1:5" x14ac:dyDescent="0.25">
      <c r="A20213" t="str">
        <f>HYPERLINK("https://www.773grp.com/globalSearch/PT8103C/page-1", "PT8103C")</f>
        <v>PT8103C</v>
      </c>
      <c r="B20213" s="3" t="str">
        <f>HYPERLINK("https://www.773grp.com/manufacturer/texas-instruments?pageNo=458", "Texas Instruments")</f>
        <v>Texas Instruments</v>
      </c>
      <c r="C20213" s="5">
        <v>53</v>
      </c>
      <c r="D20213" s="6">
        <v>202.21</v>
      </c>
      <c r="E20213" t="s">
        <v>6</v>
      </c>
    </row>
    <row r="20214" spans="1:5" x14ac:dyDescent="0.25">
      <c r="A20214" t="str">
        <f>HYPERLINK("https://www.773grp.com/globalSearch/PT7769N/page-1", "PT7769N")</f>
        <v>PT7769N</v>
      </c>
      <c r="B20214" s="3" t="str">
        <f>HYPERLINK("https://www.773grp.com/manufacturer/texas-instruments?pageNo=521", "Texas Instruments")</f>
        <v>Texas Instruments</v>
      </c>
      <c r="C20214" s="5">
        <v>403</v>
      </c>
      <c r="D20214" s="6">
        <v>215.63</v>
      </c>
      <c r="E20214" t="s">
        <v>6</v>
      </c>
    </row>
    <row r="20215" spans="1:5" x14ac:dyDescent="0.25">
      <c r="A20215" t="str">
        <f>HYPERLINK("https://www.773grp.com/globalSearch/PT7761N/page-1", "PT7761N")</f>
        <v>PT7761N</v>
      </c>
      <c r="B20215" s="3" t="str">
        <f>HYPERLINK("https://www.773grp.com/manufacturer/texas-instruments?pageNo=580", "Texas Instruments")</f>
        <v>Texas Instruments</v>
      </c>
      <c r="C20215" s="5">
        <v>2</v>
      </c>
      <c r="D20215" s="6">
        <v>228.04</v>
      </c>
      <c r="E20215" t="s">
        <v>6</v>
      </c>
    </row>
    <row r="20216" spans="1:5" x14ac:dyDescent="0.25">
      <c r="A20216" t="str">
        <f>HYPERLINK("https://www.773grp.com/globalSearch/PT7761A/page-1", "PT7761A")</f>
        <v>PT7761A</v>
      </c>
      <c r="B20216" s="3" t="str">
        <f>HYPERLINK("https://www.773grp.com/manufacturer/texas-instruments?pageNo=581", "Texas Instruments")</f>
        <v>Texas Instruments</v>
      </c>
      <c r="C20216" s="5">
        <v>61</v>
      </c>
      <c r="D20216" s="6">
        <v>228.1</v>
      </c>
      <c r="E20216" t="s">
        <v>6</v>
      </c>
    </row>
    <row r="20217" spans="1:5" x14ac:dyDescent="0.25">
      <c r="A20217" t="str">
        <f>HYPERLINK("https://www.773grp.com/globalSearch/PT7775A/page-1", "PT7775A")</f>
        <v>PT7775A</v>
      </c>
      <c r="B20217" s="3" t="str">
        <f>HYPERLINK("https://www.773grp.com/manufacturer/texas-instruments?pageNo=728", "Texas Instruments")</f>
        <v>Texas Instruments</v>
      </c>
      <c r="C20217" s="5">
        <v>32</v>
      </c>
      <c r="D20217" s="6">
        <v>262.95999999999998</v>
      </c>
      <c r="E20217" t="s">
        <v>6</v>
      </c>
    </row>
    <row r="20218" spans="1:5" x14ac:dyDescent="0.25">
      <c r="A20218" t="str">
        <f>HYPERLINK("https://www.773grp.com/globalSearch/PT7775C/page-1", "PT7775C")</f>
        <v>PT7775C</v>
      </c>
      <c r="B20218" s="3" t="str">
        <f>HYPERLINK("https://www.773grp.com/manufacturer/texas-instruments?pageNo=729", "Texas Instruments")</f>
        <v>Texas Instruments</v>
      </c>
      <c r="C20218" s="5">
        <v>96</v>
      </c>
      <c r="D20218" s="6">
        <v>262.95999999999998</v>
      </c>
      <c r="E20218" t="s">
        <v>6</v>
      </c>
    </row>
    <row r="20219" spans="1:5" x14ac:dyDescent="0.25">
      <c r="A20219" t="str">
        <f>HYPERLINK("https://www.773grp.com/globalSearch/PT7777A/page-1", "PT7777A")</f>
        <v>PT7777A</v>
      </c>
      <c r="B20219" s="3" t="str">
        <f>HYPERLINK("https://www.773grp.com/manufacturer/texas-instruments?pageNo=730", "Texas Instruments")</f>
        <v>Texas Instruments</v>
      </c>
      <c r="C20219" s="5">
        <v>60</v>
      </c>
      <c r="D20219" s="6">
        <v>262.95999999999998</v>
      </c>
      <c r="E20219" t="s">
        <v>6</v>
      </c>
    </row>
    <row r="20220" spans="1:5" x14ac:dyDescent="0.25">
      <c r="A20220" t="str">
        <f>HYPERLINK("https://www.773grp.com/globalSearch/5962-8680601V2A/page-1", "5962-8680601V2A")</f>
        <v>5962-8680601V2A</v>
      </c>
      <c r="B20220" s="3" t="s">
        <v>90</v>
      </c>
      <c r="C20220" s="5">
        <v>12</v>
      </c>
      <c r="D20220" s="6">
        <v>416.91</v>
      </c>
      <c r="E20220" t="s">
        <v>6</v>
      </c>
    </row>
    <row r="20221" spans="1:5" x14ac:dyDescent="0.25">
      <c r="A20221" t="str">
        <f>HYPERLINK("https://www.773grp.com/globalSearch/5962-8680603VEA/page-1", "5962-8680603VEA")</f>
        <v>5962-8680603VEA</v>
      </c>
      <c r="B20221" s="3" t="s">
        <v>90</v>
      </c>
      <c r="C20221" s="5">
        <v>35</v>
      </c>
      <c r="D20221" s="6">
        <v>423.48</v>
      </c>
      <c r="E20221" t="s">
        <v>6</v>
      </c>
    </row>
    <row r="20222" spans="1:5" x14ac:dyDescent="0.25">
      <c r="A20222" t="str">
        <f>HYPERLINK("https://www.773grp.com/globalSearch/5962-8951106V2A/page-1", "5962-8951106V2A")</f>
        <v>5962-8951106V2A</v>
      </c>
      <c r="B20222" s="3" t="s">
        <v>90</v>
      </c>
      <c r="C20222" s="5">
        <v>10</v>
      </c>
      <c r="D20222" s="6">
        <v>514.91</v>
      </c>
      <c r="E20222" t="s">
        <v>6</v>
      </c>
    </row>
    <row r="20223" spans="1:5" x14ac:dyDescent="0.25">
      <c r="A20223" t="str">
        <f>HYPERLINK("https://www.773grp.com/globalSearch/5962-8670409VPA/page-1", "5962-8670409VPA")</f>
        <v>5962-8670409VPA</v>
      </c>
      <c r="B20223" s="3" t="s">
        <v>90</v>
      </c>
      <c r="C20223" s="5">
        <v>10</v>
      </c>
      <c r="D20223" s="6">
        <v>542.89</v>
      </c>
      <c r="E20223" t="s">
        <v>6</v>
      </c>
    </row>
    <row r="20224" spans="1:5" x14ac:dyDescent="0.25">
      <c r="A20224" t="str">
        <f>HYPERLINK("https://www.773grp.com/globalSearch/5962-8768101VEA/page-1", "5962-8768101VEA")</f>
        <v>5962-8768101VEA</v>
      </c>
      <c r="B20224" s="3" t="s">
        <v>90</v>
      </c>
      <c r="C20224" s="5">
        <v>20</v>
      </c>
      <c r="D20224" s="6">
        <v>602.1</v>
      </c>
      <c r="E20224" t="s">
        <v>6</v>
      </c>
    </row>
    <row r="20225" spans="1:5" x14ac:dyDescent="0.25">
      <c r="A20225" t="str">
        <f>HYPERLINK("https://www.773grp.com/globalSearch/5962-8768105VEA/page-1", "5962-8768105VEA")</f>
        <v>5962-8768105VEA</v>
      </c>
      <c r="B20225" s="3" t="s">
        <v>90</v>
      </c>
      <c r="C20225" s="5">
        <v>10</v>
      </c>
      <c r="D20225" s="6">
        <v>650.11</v>
      </c>
      <c r="E20225" t="s">
        <v>6</v>
      </c>
    </row>
    <row r="20226" spans="1:5" x14ac:dyDescent="0.25">
      <c r="A20226" t="str">
        <f>HYPERLINK("https://www.773grp.com/globalSearch/5962-8768101V2A/page-1", "5962-8768101V2A")</f>
        <v>5962-8768101V2A</v>
      </c>
      <c r="B20226" s="3" t="s">
        <v>90</v>
      </c>
      <c r="C20226" s="5">
        <v>61</v>
      </c>
      <c r="D20226" s="6">
        <v>652.69000000000005</v>
      </c>
      <c r="E20226" t="s">
        <v>6</v>
      </c>
    </row>
    <row r="20227" spans="1:5" x14ac:dyDescent="0.25">
      <c r="A20227" t="str">
        <f>HYPERLINK("https://www.773grp.com/globalSearch/5962-8768104V2A/page-1", "5962-8768104V2A")</f>
        <v>5962-8768104V2A</v>
      </c>
      <c r="B20227" s="3" t="s">
        <v>90</v>
      </c>
      <c r="C20227" s="5">
        <v>10</v>
      </c>
      <c r="D20227" s="6">
        <v>797.4</v>
      </c>
      <c r="E20227" t="s">
        <v>6</v>
      </c>
    </row>
    <row r="20228" spans="1:5" x14ac:dyDescent="0.25">
      <c r="A20228" t="str">
        <f>HYPERLINK("https://www.773grp.com/globalSearch/UC3879J/page-1", "UC3879J")</f>
        <v>UC3879J</v>
      </c>
      <c r="B20228" s="3" t="s">
        <v>112</v>
      </c>
      <c r="C20228" s="5">
        <v>46</v>
      </c>
      <c r="D20228" s="6">
        <v>0</v>
      </c>
      <c r="E20228" t="s">
        <v>6</v>
      </c>
    </row>
    <row r="20229" spans="1:5" x14ac:dyDescent="0.25">
      <c r="A20229" t="str">
        <f>HYPERLINK("https://www.773grp.com/globalSearch/UCC2811DW/page-1", "UCC2811DW")</f>
        <v>UCC2811DW</v>
      </c>
      <c r="B20229" s="3" t="s">
        <v>112</v>
      </c>
      <c r="C20229" s="5">
        <v>1465</v>
      </c>
      <c r="D20229" s="6">
        <v>0</v>
      </c>
      <c r="E20229" t="s">
        <v>6</v>
      </c>
    </row>
    <row r="20230" spans="1:5" x14ac:dyDescent="0.25">
      <c r="A20230" t="str">
        <f>HYPERLINK("https://www.773grp.com/globalSearch/UCC2811N/page-1", "UCC2811N")</f>
        <v>UCC2811N</v>
      </c>
      <c r="B20230" s="3" t="s">
        <v>112</v>
      </c>
      <c r="C20230" s="5">
        <v>1572</v>
      </c>
      <c r="D20230" s="6">
        <v>0</v>
      </c>
      <c r="E20230" t="s">
        <v>6</v>
      </c>
    </row>
    <row r="20231" spans="1:5" x14ac:dyDescent="0.25">
      <c r="A20231" t="str">
        <f>HYPERLINK("https://www.773grp.com/globalSearch/UC3844AD8TR/page-1", "UC3844AD8TR")</f>
        <v>UC3844AD8TR</v>
      </c>
      <c r="B20231" s="3" t="s">
        <v>112</v>
      </c>
      <c r="C20231" s="5">
        <v>15000</v>
      </c>
      <c r="D20231" s="6">
        <v>2.21</v>
      </c>
      <c r="E20231" t="s">
        <v>6</v>
      </c>
    </row>
    <row r="20232" spans="1:5" x14ac:dyDescent="0.25">
      <c r="A20232" t="str">
        <f>HYPERLINK("https://www.773grp.com/globalSearch/UC2844ADTR/page-1", "UC2844ADTR")</f>
        <v>UC2844ADTR</v>
      </c>
      <c r="B20232" s="3" t="s">
        <v>112</v>
      </c>
      <c r="C20232" s="5">
        <v>2030</v>
      </c>
      <c r="D20232" s="6">
        <v>2.64</v>
      </c>
      <c r="E20232" t="s">
        <v>6</v>
      </c>
    </row>
    <row r="20233" spans="1:5" x14ac:dyDescent="0.25">
      <c r="A20233" t="str">
        <f>HYPERLINK("https://www.773grp.com/globalSearch/UC3842D/page-1", "UC3842D")</f>
        <v>UC3842D</v>
      </c>
      <c r="B20233" s="3" t="s">
        <v>112</v>
      </c>
      <c r="C20233" s="5">
        <v>2300</v>
      </c>
      <c r="D20233" s="6">
        <v>2.64</v>
      </c>
      <c r="E20233" t="s">
        <v>6</v>
      </c>
    </row>
    <row r="20234" spans="1:5" x14ac:dyDescent="0.25">
      <c r="A20234" t="str">
        <f>HYPERLINK("https://www.773grp.com/globalSearch/UC3842D8/page-1", "UC3842D8")</f>
        <v>UC3842D8</v>
      </c>
      <c r="B20234" s="3" t="s">
        <v>112</v>
      </c>
      <c r="C20234" s="5">
        <v>2550</v>
      </c>
      <c r="D20234" s="6">
        <v>2.64</v>
      </c>
      <c r="E20234" t="s">
        <v>6</v>
      </c>
    </row>
    <row r="20235" spans="1:5" x14ac:dyDescent="0.25">
      <c r="A20235" t="str">
        <f>HYPERLINK("https://www.773grp.com/globalSearch/UC3843AD8/page-1", "UC3843AD8")</f>
        <v>UC3843AD8</v>
      </c>
      <c r="B20235" s="3" t="s">
        <v>112</v>
      </c>
      <c r="C20235" s="5">
        <v>563</v>
      </c>
      <c r="D20235" s="6">
        <v>2.64</v>
      </c>
      <c r="E20235" t="s">
        <v>6</v>
      </c>
    </row>
    <row r="20236" spans="1:5" x14ac:dyDescent="0.25">
      <c r="A20236" t="str">
        <f>HYPERLINK("https://www.773grp.com/globalSearch/UC3843D/page-1", "UC3843D")</f>
        <v>UC3843D</v>
      </c>
      <c r="B20236" s="3" t="s">
        <v>112</v>
      </c>
      <c r="C20236" s="5">
        <v>700</v>
      </c>
      <c r="D20236" s="6">
        <v>2.64</v>
      </c>
      <c r="E20236" t="s">
        <v>6</v>
      </c>
    </row>
    <row r="20237" spans="1:5" x14ac:dyDescent="0.25">
      <c r="A20237" t="str">
        <f>HYPERLINK("https://www.773grp.com/globalSearch/UC3843D/page-1", "UC3843D")</f>
        <v>UC3843D</v>
      </c>
      <c r="B20237" s="3" t="s">
        <v>112</v>
      </c>
      <c r="C20237" s="5">
        <v>4056</v>
      </c>
      <c r="D20237" s="6">
        <v>2.64</v>
      </c>
      <c r="E20237" t="s">
        <v>6</v>
      </c>
    </row>
    <row r="20238" spans="1:5" x14ac:dyDescent="0.25">
      <c r="A20238" t="str">
        <f>HYPERLINK("https://www.773grp.com/globalSearch/UC3844AN/page-1", "UC3844AN")</f>
        <v>UC3844AN</v>
      </c>
      <c r="B20238" s="3" t="s">
        <v>112</v>
      </c>
      <c r="C20238" s="5">
        <v>50</v>
      </c>
      <c r="D20238" s="6">
        <v>2.95</v>
      </c>
      <c r="E20238" t="s">
        <v>6</v>
      </c>
    </row>
    <row r="20239" spans="1:5" x14ac:dyDescent="0.25">
      <c r="A20239" t="str">
        <f>HYPERLINK("https://www.773grp.com/globalSearch/UC3844N/page-1", "UC3844N")</f>
        <v>UC3844N</v>
      </c>
      <c r="B20239" s="3" t="s">
        <v>112</v>
      </c>
      <c r="C20239" s="5">
        <v>2000</v>
      </c>
      <c r="D20239" s="6">
        <v>2.95</v>
      </c>
      <c r="E20239" t="s">
        <v>6</v>
      </c>
    </row>
    <row r="20240" spans="1:5" x14ac:dyDescent="0.25">
      <c r="A20240" t="str">
        <f>HYPERLINK("https://www.773grp.com/globalSearch/UC2842ADW/page-1", "UC2842ADW")</f>
        <v>UC2842ADW</v>
      </c>
      <c r="B20240" s="3" t="s">
        <v>112</v>
      </c>
      <c r="C20240" s="5">
        <v>204</v>
      </c>
      <c r="D20240" s="6">
        <v>3.05</v>
      </c>
      <c r="E20240" t="s">
        <v>6</v>
      </c>
    </row>
    <row r="20241" spans="1:5" x14ac:dyDescent="0.25">
      <c r="A20241" t="str">
        <f>HYPERLINK("https://www.773grp.com/globalSearch/UC2842D/page-1", "UC2842D")</f>
        <v>UC2842D</v>
      </c>
      <c r="B20241" s="3" t="s">
        <v>112</v>
      </c>
      <c r="C20241" s="5">
        <v>1400</v>
      </c>
      <c r="D20241" s="6">
        <v>3.05</v>
      </c>
      <c r="E20241" t="s">
        <v>6</v>
      </c>
    </row>
    <row r="20242" spans="1:5" x14ac:dyDescent="0.25">
      <c r="A20242" t="str">
        <f>HYPERLINK("https://www.773grp.com/globalSearch/UC2843AQ/page-1", "UC2843AQ")</f>
        <v>UC2843AQ</v>
      </c>
      <c r="B20242" s="3" t="s">
        <v>112</v>
      </c>
      <c r="C20242" s="5">
        <v>109</v>
      </c>
      <c r="D20242" s="6">
        <v>3.05</v>
      </c>
      <c r="E20242" t="s">
        <v>6</v>
      </c>
    </row>
    <row r="20243" spans="1:5" x14ac:dyDescent="0.25">
      <c r="A20243" t="str">
        <f>HYPERLINK("https://www.773grp.com/globalSearch/UC2843D8/page-1", "UC2843D8")</f>
        <v>UC2843D8</v>
      </c>
      <c r="B20243" s="3" t="s">
        <v>112</v>
      </c>
      <c r="C20243" s="5">
        <v>7457</v>
      </c>
      <c r="D20243" s="6">
        <v>3.05</v>
      </c>
      <c r="E20243" t="s">
        <v>6</v>
      </c>
    </row>
    <row r="20244" spans="1:5" x14ac:dyDescent="0.25">
      <c r="A20244" t="str">
        <f>HYPERLINK("https://www.773grp.com/globalSearch/UC2845AD/page-1", "UC2845AD")</f>
        <v>UC2845AD</v>
      </c>
      <c r="B20244" s="3" t="s">
        <v>112</v>
      </c>
      <c r="C20244" s="5">
        <v>42</v>
      </c>
      <c r="D20244" s="6">
        <v>3.05</v>
      </c>
      <c r="E20244" t="s">
        <v>6</v>
      </c>
    </row>
    <row r="20245" spans="1:5" x14ac:dyDescent="0.25">
      <c r="A20245" t="str">
        <f>HYPERLINK("https://www.773grp.com/globalSearch/UC2845AD/page-1", "UC2845AD")</f>
        <v>UC2845AD</v>
      </c>
      <c r="B20245" s="3" t="s">
        <v>112</v>
      </c>
      <c r="C20245" s="5">
        <v>2282</v>
      </c>
      <c r="D20245" s="6">
        <v>3.05</v>
      </c>
      <c r="E20245" t="s">
        <v>6</v>
      </c>
    </row>
    <row r="20246" spans="1:5" x14ac:dyDescent="0.25">
      <c r="A20246" t="str">
        <f>HYPERLINK("https://www.773grp.com/globalSearch/UCC28050D/page-1", "UCC28050D")</f>
        <v>UCC28050D</v>
      </c>
      <c r="B20246" s="3" t="s">
        <v>112</v>
      </c>
      <c r="C20246" s="5">
        <v>115</v>
      </c>
      <c r="D20246" s="6">
        <v>2.81</v>
      </c>
      <c r="E20246" t="s">
        <v>6</v>
      </c>
    </row>
    <row r="20247" spans="1:5" x14ac:dyDescent="0.25">
      <c r="A20247" t="str">
        <f>HYPERLINK("https://www.773grp.com/globalSearch/UCC2889D/page-1", "UCC2889D")</f>
        <v>UCC2889D</v>
      </c>
      <c r="B20247" s="3" t="s">
        <v>112</v>
      </c>
      <c r="C20247" s="5">
        <v>275</v>
      </c>
      <c r="D20247" s="6">
        <v>2.81</v>
      </c>
      <c r="E20247" t="s">
        <v>6</v>
      </c>
    </row>
    <row r="20248" spans="1:5" x14ac:dyDescent="0.25">
      <c r="A20248" t="str">
        <f>HYPERLINK("https://www.773grp.com/globalSearch/UCC3809P-2/page-1", "UCC3809P-2")</f>
        <v>UCC3809P-2</v>
      </c>
      <c r="B20248" s="3" t="s">
        <v>112</v>
      </c>
      <c r="C20248" s="5">
        <v>89</v>
      </c>
      <c r="D20248" s="6">
        <v>2.81</v>
      </c>
      <c r="E20248" t="s">
        <v>6</v>
      </c>
    </row>
    <row r="20249" spans="1:5" x14ac:dyDescent="0.25">
      <c r="A20249" t="str">
        <f>HYPERLINK("https://www.773grp.com/globalSearch/UCC3809PW-2/page-1", "UCC3809PW-2")</f>
        <v>UCC3809PW-2</v>
      </c>
      <c r="B20249" s="3" t="s">
        <v>112</v>
      </c>
      <c r="C20249" s="5">
        <v>1800</v>
      </c>
      <c r="D20249" s="6">
        <v>2.81</v>
      </c>
      <c r="E20249" t="s">
        <v>6</v>
      </c>
    </row>
    <row r="20250" spans="1:5" x14ac:dyDescent="0.25">
      <c r="A20250" t="str">
        <f>HYPERLINK("https://www.773grp.com/globalSearch/UCC35705P/page-1", "UCC35705P")</f>
        <v>UCC35705P</v>
      </c>
      <c r="B20250" s="3" t="s">
        <v>112</v>
      </c>
      <c r="C20250" s="5">
        <v>7244</v>
      </c>
      <c r="D20250" s="6">
        <v>2.84</v>
      </c>
      <c r="E20250" t="s">
        <v>6</v>
      </c>
    </row>
    <row r="20251" spans="1:5" x14ac:dyDescent="0.25">
      <c r="A20251" t="str">
        <f>HYPERLINK("https://www.773grp.com/globalSearch/UCC25705D/page-1", "UCC25705D")</f>
        <v>UCC25705D</v>
      </c>
      <c r="B20251" s="3" t="s">
        <v>112</v>
      </c>
      <c r="C20251" s="5">
        <v>6300</v>
      </c>
      <c r="D20251" s="6">
        <v>2.95</v>
      </c>
      <c r="E20251" t="s">
        <v>6</v>
      </c>
    </row>
    <row r="20252" spans="1:5" x14ac:dyDescent="0.25">
      <c r="A20252" t="str">
        <f>HYPERLINK("https://www.773grp.com/globalSearch/UCC25706D/page-1", "UCC25706D")</f>
        <v>UCC25706D</v>
      </c>
      <c r="B20252" s="3" t="s">
        <v>112</v>
      </c>
      <c r="C20252" s="5">
        <v>12250</v>
      </c>
      <c r="D20252" s="6">
        <v>2.95</v>
      </c>
      <c r="E20252" t="s">
        <v>6</v>
      </c>
    </row>
    <row r="20253" spans="1:5" x14ac:dyDescent="0.25">
      <c r="A20253" t="str">
        <f>HYPERLINK("https://www.773grp.com/globalSearch/UCC25706DGK/page-1", "UCC25706DGK")</f>
        <v>UCC25706DGK</v>
      </c>
      <c r="B20253" s="3" t="s">
        <v>112</v>
      </c>
      <c r="C20253" s="5">
        <v>6500</v>
      </c>
      <c r="D20253" s="6">
        <v>2.95</v>
      </c>
      <c r="E20253" t="s">
        <v>6</v>
      </c>
    </row>
    <row r="20254" spans="1:5" x14ac:dyDescent="0.25">
      <c r="A20254" t="str">
        <f>HYPERLINK("https://www.773grp.com/globalSearch/UCC2813DTR-1/page-1", "UCC2813DTR-1")</f>
        <v>UCC2813DTR-1</v>
      </c>
      <c r="B20254" s="3" t="s">
        <v>112</v>
      </c>
      <c r="C20254" s="5">
        <v>5000</v>
      </c>
      <c r="D20254" s="6">
        <v>2.95</v>
      </c>
      <c r="E20254" t="s">
        <v>6</v>
      </c>
    </row>
    <row r="20255" spans="1:5" x14ac:dyDescent="0.25">
      <c r="A20255" t="str">
        <f>HYPERLINK("https://www.773grp.com/globalSearch/UCC28050P/page-1", "UCC28050P")</f>
        <v>UCC28050P</v>
      </c>
      <c r="B20255" s="3" t="s">
        <v>112</v>
      </c>
      <c r="C20255" s="5">
        <v>100</v>
      </c>
      <c r="D20255" s="6">
        <v>3</v>
      </c>
      <c r="E20255" t="s">
        <v>6</v>
      </c>
    </row>
    <row r="20256" spans="1:5" x14ac:dyDescent="0.25">
      <c r="A20256" t="str">
        <f>HYPERLINK("https://www.773grp.com/globalSearch/UC2843N/page-1", "UC2843N")</f>
        <v>UC2843N</v>
      </c>
      <c r="B20256" s="3" t="s">
        <v>112</v>
      </c>
      <c r="C20256" s="5">
        <v>100</v>
      </c>
      <c r="D20256" s="6">
        <v>3.38</v>
      </c>
      <c r="E20256" t="s">
        <v>6</v>
      </c>
    </row>
    <row r="20257" spans="1:5" x14ac:dyDescent="0.25">
      <c r="A20257" t="str">
        <f>HYPERLINK("https://www.773grp.com/globalSearch/UC2845AN/page-1", "UC2845AN")</f>
        <v>UC2845AN</v>
      </c>
      <c r="B20257" s="3" t="s">
        <v>112</v>
      </c>
      <c r="C20257" s="5">
        <v>3875</v>
      </c>
      <c r="D20257" s="6">
        <v>3.38</v>
      </c>
      <c r="E20257" t="s">
        <v>6</v>
      </c>
    </row>
    <row r="20258" spans="1:5" x14ac:dyDescent="0.25">
      <c r="A20258" t="str">
        <f>HYPERLINK("https://www.773grp.com/globalSearch/UC2845N/page-1", "UC2845N")</f>
        <v>UC2845N</v>
      </c>
      <c r="B20258" s="3" t="s">
        <v>112</v>
      </c>
      <c r="C20258" s="5">
        <v>21</v>
      </c>
      <c r="D20258" s="6">
        <v>3.38</v>
      </c>
      <c r="E20258" t="s">
        <v>6</v>
      </c>
    </row>
    <row r="20259" spans="1:5" x14ac:dyDescent="0.25">
      <c r="A20259" t="str">
        <f>HYPERLINK("https://www.773grp.com/globalSearch/UC3526ADWTR/page-1", "UC3526ADWTR")</f>
        <v>UC3526ADWTR</v>
      </c>
      <c r="B20259" s="3" t="s">
        <v>112</v>
      </c>
      <c r="C20259" s="5">
        <v>8000</v>
      </c>
      <c r="D20259" s="6">
        <v>3.08</v>
      </c>
      <c r="E20259" t="s">
        <v>6</v>
      </c>
    </row>
    <row r="20260" spans="1:5" x14ac:dyDescent="0.25">
      <c r="A20260" t="str">
        <f>HYPERLINK("https://www.773grp.com/globalSearch/UC3573DTR/page-1", "UC3573DTR")</f>
        <v>UC3573DTR</v>
      </c>
      <c r="B20260" s="3" t="s">
        <v>112</v>
      </c>
      <c r="C20260" s="5">
        <v>22500</v>
      </c>
      <c r="D20260" s="6">
        <v>3.09</v>
      </c>
      <c r="E20260" t="s">
        <v>6</v>
      </c>
    </row>
    <row r="20261" spans="1:5" x14ac:dyDescent="0.25">
      <c r="A20261" t="str">
        <f>HYPERLINK("https://www.773grp.com/globalSearch/UCC3804DTR/page-1", "UCC3804DTR")</f>
        <v>UCC3804DTR</v>
      </c>
      <c r="B20261" s="3" t="s">
        <v>112</v>
      </c>
      <c r="C20261" s="5">
        <v>18755</v>
      </c>
      <c r="D20261" s="6">
        <v>3.09</v>
      </c>
      <c r="E20261" t="s">
        <v>6</v>
      </c>
    </row>
    <row r="20262" spans="1:5" x14ac:dyDescent="0.25">
      <c r="A20262" t="str">
        <f>HYPERLINK("https://www.773grp.com/globalSearch/UCC3809N-2/page-1", "UCC3809N-2")</f>
        <v>UCC3809N-2</v>
      </c>
      <c r="B20262" s="3" t="s">
        <v>112</v>
      </c>
      <c r="C20262" s="5">
        <v>5350</v>
      </c>
      <c r="D20262" s="6">
        <v>3.15</v>
      </c>
      <c r="E20262" t="s">
        <v>6</v>
      </c>
    </row>
    <row r="20263" spans="1:5" x14ac:dyDescent="0.25">
      <c r="A20263" t="str">
        <f>HYPERLINK("https://www.773grp.com/globalSearch/UC3524D/page-1", "UC3524D")</f>
        <v>UC3524D</v>
      </c>
      <c r="B20263" s="3" t="s">
        <v>112</v>
      </c>
      <c r="C20263" s="5">
        <v>395</v>
      </c>
      <c r="D20263" s="6">
        <v>3.18</v>
      </c>
      <c r="E20263" t="s">
        <v>6</v>
      </c>
    </row>
    <row r="20264" spans="1:5" x14ac:dyDescent="0.25">
      <c r="A20264" t="str">
        <f>HYPERLINK("https://www.773grp.com/globalSearch/UCC25705P/page-1", "UCC25705P")</f>
        <v>UCC25705P</v>
      </c>
      <c r="B20264" s="3" t="s">
        <v>112</v>
      </c>
      <c r="C20264" s="5">
        <v>5500</v>
      </c>
      <c r="D20264" s="6">
        <v>3.18</v>
      </c>
      <c r="E20264" t="s">
        <v>6</v>
      </c>
    </row>
    <row r="20265" spans="1:5" x14ac:dyDescent="0.25">
      <c r="A20265" t="str">
        <f>HYPERLINK("https://www.773grp.com/globalSearch/UCC25706P/page-1", "UCC25706P")</f>
        <v>UCC25706P</v>
      </c>
      <c r="B20265" s="3" t="s">
        <v>112</v>
      </c>
      <c r="C20265" s="5">
        <v>6650</v>
      </c>
      <c r="D20265" s="6">
        <v>3.18</v>
      </c>
      <c r="E20265" t="s">
        <v>6</v>
      </c>
    </row>
    <row r="20266" spans="1:5" x14ac:dyDescent="0.25">
      <c r="A20266" t="str">
        <f>HYPERLINK("https://www.773grp.com/globalSearch/UC2524DW/page-1", "UC2524DW")</f>
        <v>UC2524DW</v>
      </c>
      <c r="B20266" s="3" t="s">
        <v>112</v>
      </c>
      <c r="C20266" s="5">
        <v>160</v>
      </c>
      <c r="D20266" s="6">
        <v>3.29</v>
      </c>
      <c r="E20266" t="s">
        <v>6</v>
      </c>
    </row>
    <row r="20267" spans="1:5" x14ac:dyDescent="0.25">
      <c r="A20267" t="str">
        <f>HYPERLINK("https://www.773grp.com/globalSearch/UCC3808APW-1/page-1", "UCC3808APW-1")</f>
        <v>UCC3808APW-1</v>
      </c>
      <c r="B20267" s="3" t="s">
        <v>112</v>
      </c>
      <c r="C20267" s="5">
        <v>1500</v>
      </c>
      <c r="D20267" s="6">
        <v>3.38</v>
      </c>
      <c r="E20267" t="s">
        <v>6</v>
      </c>
    </row>
    <row r="20268" spans="1:5" x14ac:dyDescent="0.25">
      <c r="A20268" t="str">
        <f>HYPERLINK("https://www.773grp.com/globalSearch/UCC3813PW-1/page-1", "UCC3813PW-1")</f>
        <v>UCC3813PW-1</v>
      </c>
      <c r="B20268" s="3" t="s">
        <v>112</v>
      </c>
      <c r="C20268" s="5">
        <v>1502</v>
      </c>
      <c r="D20268" s="6">
        <v>3.38</v>
      </c>
      <c r="E20268" t="s">
        <v>6</v>
      </c>
    </row>
    <row r="20269" spans="1:5" x14ac:dyDescent="0.25">
      <c r="A20269" t="str">
        <f>HYPERLINK("https://www.773grp.com/globalSearch/UCC3813PW-2/page-1", "UCC3813PW-2")</f>
        <v>UCC3813PW-2</v>
      </c>
      <c r="B20269" s="3" t="s">
        <v>112</v>
      </c>
      <c r="C20269" s="5">
        <v>3450</v>
      </c>
      <c r="D20269" s="6">
        <v>3.38</v>
      </c>
      <c r="E20269" t="s">
        <v>6</v>
      </c>
    </row>
    <row r="20270" spans="1:5" x14ac:dyDescent="0.25">
      <c r="A20270" t="str">
        <f>HYPERLINK("https://www.773grp.com/globalSearch/UC3854DWTR/page-1", "UC3854DWTR")</f>
        <v>UC3854DWTR</v>
      </c>
      <c r="B20270" s="3" t="s">
        <v>112</v>
      </c>
      <c r="C20270" s="5">
        <v>139</v>
      </c>
      <c r="D20270" s="6">
        <v>3.41</v>
      </c>
      <c r="E20270" t="s">
        <v>6</v>
      </c>
    </row>
    <row r="20271" spans="1:5" x14ac:dyDescent="0.25">
      <c r="A20271" t="str">
        <f>HYPERLINK("https://www.773grp.com/globalSearch/UC3854QTR/page-1", "UC3854QTR")</f>
        <v>UC3854QTR</v>
      </c>
      <c r="B20271" s="3" t="s">
        <v>112</v>
      </c>
      <c r="C20271" s="5">
        <v>2972</v>
      </c>
      <c r="D20271" s="6">
        <v>3.41</v>
      </c>
      <c r="E20271" t="s">
        <v>6</v>
      </c>
    </row>
    <row r="20272" spans="1:5" x14ac:dyDescent="0.25">
      <c r="A20272" t="str">
        <f>HYPERLINK("https://www.773grp.com/globalSearch/UCC28C42DGK/page-1", "UCC28C42DGK")</f>
        <v>UCC28C42DGK</v>
      </c>
      <c r="B20272" s="3" t="s">
        <v>112</v>
      </c>
      <c r="C20272" s="5">
        <v>2953</v>
      </c>
      <c r="D20272" s="6">
        <v>3.8</v>
      </c>
      <c r="E20272" t="s">
        <v>6</v>
      </c>
    </row>
    <row r="20273" spans="1:5" x14ac:dyDescent="0.25">
      <c r="A20273" t="str">
        <f>HYPERLINK("https://www.773grp.com/globalSearch/UCC28C43DGK/page-1", "UCC28C43DGK")</f>
        <v>UCC28C43DGK</v>
      </c>
      <c r="B20273" s="3" t="s">
        <v>112</v>
      </c>
      <c r="C20273" s="5">
        <v>7600</v>
      </c>
      <c r="D20273" s="6">
        <v>3.8</v>
      </c>
      <c r="E20273" t="s">
        <v>6</v>
      </c>
    </row>
    <row r="20274" spans="1:5" x14ac:dyDescent="0.25">
      <c r="A20274" t="str">
        <f>HYPERLINK("https://www.773grp.com/globalSearch/UCC28C44DGK/page-1", "UCC28C44DGK")</f>
        <v>UCC28C44DGK</v>
      </c>
      <c r="B20274" s="3" t="s">
        <v>112</v>
      </c>
      <c r="C20274" s="5">
        <v>2340</v>
      </c>
      <c r="D20274" s="6">
        <v>3.8</v>
      </c>
      <c r="E20274" t="s">
        <v>6</v>
      </c>
    </row>
    <row r="20275" spans="1:5" x14ac:dyDescent="0.25">
      <c r="A20275" t="str">
        <f>HYPERLINK("https://www.773grp.com/globalSearch/UCC28C44DGK/page-1", "UCC28C44DGK")</f>
        <v>UCC28C44DGK</v>
      </c>
      <c r="B20275" s="3" t="s">
        <v>112</v>
      </c>
      <c r="C20275" s="5">
        <v>4832</v>
      </c>
      <c r="D20275" s="6">
        <v>3.8</v>
      </c>
      <c r="E20275" t="s">
        <v>6</v>
      </c>
    </row>
    <row r="20276" spans="1:5" x14ac:dyDescent="0.25">
      <c r="A20276" t="str">
        <f>HYPERLINK("https://www.773grp.com/globalSearch/UCC28C45DGK/page-1", "UCC28C45DGK")</f>
        <v>UCC28C45DGK</v>
      </c>
      <c r="B20276" s="3" t="s">
        <v>112</v>
      </c>
      <c r="C20276" s="5">
        <v>12671</v>
      </c>
      <c r="D20276" s="6">
        <v>3.8</v>
      </c>
      <c r="E20276" t="s">
        <v>6</v>
      </c>
    </row>
    <row r="20277" spans="1:5" x14ac:dyDescent="0.25">
      <c r="A20277" t="str">
        <f>HYPERLINK("https://www.773grp.com/globalSearch/UC3842Q/page-1", "UC3842Q")</f>
        <v>UC3842Q</v>
      </c>
      <c r="B20277" s="3" t="s">
        <v>112</v>
      </c>
      <c r="C20277" s="5">
        <v>966</v>
      </c>
      <c r="D20277" s="6">
        <v>3.85</v>
      </c>
      <c r="E20277" t="s">
        <v>6</v>
      </c>
    </row>
    <row r="20278" spans="1:5" x14ac:dyDescent="0.25">
      <c r="A20278" t="str">
        <f>HYPERLINK("https://www.773grp.com/globalSearch/UC2526Q/page-1", "UC2526Q")</f>
        <v>UC2526Q</v>
      </c>
      <c r="B20278" s="3" t="s">
        <v>112</v>
      </c>
      <c r="C20278" s="5">
        <v>2760</v>
      </c>
      <c r="D20278" s="6">
        <v>3.51</v>
      </c>
      <c r="E20278" t="s">
        <v>6</v>
      </c>
    </row>
    <row r="20279" spans="1:5" x14ac:dyDescent="0.25">
      <c r="A20279" t="str">
        <f>HYPERLINK("https://www.773grp.com/globalSearch/UCC2808APW-1/page-1", "UCC2808APW-1")</f>
        <v>UCC2808APW-1</v>
      </c>
      <c r="B20279" s="3" t="s">
        <v>112</v>
      </c>
      <c r="C20279" s="5">
        <v>43</v>
      </c>
      <c r="D20279" s="6">
        <v>3.51</v>
      </c>
      <c r="E20279" t="s">
        <v>6</v>
      </c>
    </row>
    <row r="20280" spans="1:5" x14ac:dyDescent="0.25">
      <c r="A20280" t="str">
        <f>HYPERLINK("https://www.773grp.com/globalSearch/UCC2813PW-4/page-1", "UCC2813PW-4")</f>
        <v>UCC2813PW-4</v>
      </c>
      <c r="B20280" s="3" t="s">
        <v>112</v>
      </c>
      <c r="C20280" s="5">
        <v>350</v>
      </c>
      <c r="D20280" s="6">
        <v>3.51</v>
      </c>
      <c r="E20280" t="s">
        <v>6</v>
      </c>
    </row>
    <row r="20281" spans="1:5" x14ac:dyDescent="0.25">
      <c r="A20281" t="str">
        <f>HYPERLINK("https://www.773grp.com/globalSearch/UCC2819PW/page-1", "UCC2819PW")</f>
        <v>UCC2819PW</v>
      </c>
      <c r="B20281" s="3" t="s">
        <v>112</v>
      </c>
      <c r="C20281" s="5">
        <v>1846</v>
      </c>
      <c r="D20281" s="6">
        <v>3.51</v>
      </c>
      <c r="E20281" t="s">
        <v>6</v>
      </c>
    </row>
    <row r="20282" spans="1:5" x14ac:dyDescent="0.25">
      <c r="A20282" t="str">
        <f>HYPERLINK("https://www.773grp.com/globalSearch/UC3526ADW/page-1", "UC3526ADW")</f>
        <v>UC3526ADW</v>
      </c>
      <c r="B20282" s="3" t="s">
        <v>112</v>
      </c>
      <c r="C20282" s="5">
        <v>265</v>
      </c>
      <c r="D20282" s="6">
        <v>3.66</v>
      </c>
      <c r="E20282" t="s">
        <v>6</v>
      </c>
    </row>
    <row r="20283" spans="1:5" x14ac:dyDescent="0.25">
      <c r="A20283" t="str">
        <f>HYPERLINK("https://www.773grp.com/globalSearch/UC3572N/page-1", "UC3572N")</f>
        <v>UC3572N</v>
      </c>
      <c r="B20283" s="3" t="s">
        <v>112</v>
      </c>
      <c r="C20283" s="5">
        <v>200</v>
      </c>
      <c r="D20283" s="6">
        <v>3.68</v>
      </c>
      <c r="E20283" t="s">
        <v>6</v>
      </c>
    </row>
    <row r="20284" spans="1:5" x14ac:dyDescent="0.25">
      <c r="A20284" t="str">
        <f>HYPERLINK("https://www.773grp.com/globalSearch/UC3572N/page-1", "UC3572N")</f>
        <v>UC3572N</v>
      </c>
      <c r="B20284" s="3" t="s">
        <v>112</v>
      </c>
      <c r="C20284" s="5">
        <v>25</v>
      </c>
      <c r="D20284" s="6">
        <v>3.68</v>
      </c>
      <c r="E20284" t="s">
        <v>6</v>
      </c>
    </row>
    <row r="20285" spans="1:5" x14ac:dyDescent="0.25">
      <c r="A20285" t="str">
        <f>HYPERLINK("https://www.773grp.com/globalSearch/UCC3813N-1/page-1", "UCC3813N-1")</f>
        <v>UCC3813N-1</v>
      </c>
      <c r="B20285" s="3" t="s">
        <v>112</v>
      </c>
      <c r="C20285" s="5">
        <v>19400</v>
      </c>
      <c r="D20285" s="6">
        <v>3.76</v>
      </c>
      <c r="E20285" t="s">
        <v>6</v>
      </c>
    </row>
    <row r="20286" spans="1:5" x14ac:dyDescent="0.25">
      <c r="A20286" t="str">
        <f>HYPERLINK("https://www.773grp.com/globalSearch/UCC3813N-5/page-1", "UCC3813N-5")</f>
        <v>UCC3813N-5</v>
      </c>
      <c r="B20286" s="3" t="s">
        <v>112</v>
      </c>
      <c r="C20286" s="5">
        <v>3000</v>
      </c>
      <c r="D20286" s="6">
        <v>3.76</v>
      </c>
      <c r="E20286" t="s">
        <v>6</v>
      </c>
    </row>
    <row r="20287" spans="1:5" x14ac:dyDescent="0.25">
      <c r="A20287" t="str">
        <f>HYPERLINK("https://www.773grp.com/globalSearch/UC2526ADW/page-1", "UC2526ADW")</f>
        <v>UC2526ADW</v>
      </c>
      <c r="B20287" s="3" t="s">
        <v>112</v>
      </c>
      <c r="C20287" s="5">
        <v>180</v>
      </c>
      <c r="D20287" s="6">
        <v>3.8</v>
      </c>
      <c r="E20287" t="s">
        <v>6</v>
      </c>
    </row>
    <row r="20288" spans="1:5" x14ac:dyDescent="0.25">
      <c r="A20288" t="str">
        <f>HYPERLINK("https://www.773grp.com/globalSearch/UCC3803PW/page-1", "UCC3803PW")</f>
        <v>UCC3803PW</v>
      </c>
      <c r="B20288" s="3" t="s">
        <v>112</v>
      </c>
      <c r="C20288" s="5">
        <v>199</v>
      </c>
      <c r="D20288" s="6">
        <v>3.8</v>
      </c>
      <c r="E20288" t="s">
        <v>6</v>
      </c>
    </row>
    <row r="20289" spans="1:5" x14ac:dyDescent="0.25">
      <c r="A20289" t="str">
        <f>HYPERLINK("https://www.773grp.com/globalSearch/UCC3804D/page-1", "UCC3804D")</f>
        <v>UCC3804D</v>
      </c>
      <c r="B20289" s="3" t="s">
        <v>112</v>
      </c>
      <c r="C20289" s="5">
        <v>100</v>
      </c>
      <c r="D20289" s="6">
        <v>3.8</v>
      </c>
      <c r="E20289" t="s">
        <v>6</v>
      </c>
    </row>
    <row r="20290" spans="1:5" x14ac:dyDescent="0.25">
      <c r="A20290" t="str">
        <f>HYPERLINK("https://www.773grp.com/globalSearch/UCC3805PW/page-1", "UCC3805PW")</f>
        <v>UCC3805PW</v>
      </c>
      <c r="B20290" s="3" t="s">
        <v>112</v>
      </c>
      <c r="C20290" s="5">
        <v>3300</v>
      </c>
      <c r="D20290" s="6">
        <v>3.8</v>
      </c>
      <c r="E20290" t="s">
        <v>6</v>
      </c>
    </row>
    <row r="20291" spans="1:5" x14ac:dyDescent="0.25">
      <c r="A20291" t="str">
        <f>HYPERLINK("https://www.773grp.com/globalSearch/UC3525ADW/page-1", "UC3525ADW")</f>
        <v>UC3525ADW</v>
      </c>
      <c r="B20291" s="3" t="s">
        <v>112</v>
      </c>
      <c r="C20291" s="5">
        <v>15</v>
      </c>
      <c r="D20291" s="6">
        <v>4.2300000000000004</v>
      </c>
      <c r="E20291" t="s">
        <v>6</v>
      </c>
    </row>
    <row r="20292" spans="1:5" x14ac:dyDescent="0.25">
      <c r="A20292" t="str">
        <f>HYPERLINK("https://www.773grp.com/globalSearch/UC3525AQ/page-1", "UC3525AQ")</f>
        <v>UC3525AQ</v>
      </c>
      <c r="B20292" s="3" t="s">
        <v>112</v>
      </c>
      <c r="C20292" s="5">
        <v>415</v>
      </c>
      <c r="D20292" s="6">
        <v>4.2300000000000004</v>
      </c>
      <c r="E20292" t="s">
        <v>6</v>
      </c>
    </row>
    <row r="20293" spans="1:5" x14ac:dyDescent="0.25">
      <c r="A20293" t="str">
        <f>HYPERLINK("https://www.773grp.com/globalSearch/UC3525AQ/page-1", "UC3525AQ")</f>
        <v>UC3525AQ</v>
      </c>
      <c r="B20293" s="3" t="s">
        <v>112</v>
      </c>
      <c r="C20293" s="5">
        <v>506</v>
      </c>
      <c r="D20293" s="6">
        <v>4.2300000000000004</v>
      </c>
      <c r="E20293" t="s">
        <v>6</v>
      </c>
    </row>
    <row r="20294" spans="1:5" x14ac:dyDescent="0.25">
      <c r="A20294" t="str">
        <f>HYPERLINK("https://www.773grp.com/globalSearch/UCC38051P/page-1", "UCC38051P")</f>
        <v>UCC38051P</v>
      </c>
      <c r="B20294" s="3" t="s">
        <v>112</v>
      </c>
      <c r="C20294" s="5">
        <v>688</v>
      </c>
      <c r="D20294" s="6">
        <v>4.2300000000000004</v>
      </c>
      <c r="E20294" t="s">
        <v>6</v>
      </c>
    </row>
    <row r="20295" spans="1:5" x14ac:dyDescent="0.25">
      <c r="A20295" t="str">
        <f>HYPERLINK("https://www.773grp.com/globalSearch/UCC28C42P/page-1", "UCC28C42P")</f>
        <v>UCC28C42P</v>
      </c>
      <c r="B20295" s="3" t="s">
        <v>112</v>
      </c>
      <c r="C20295" s="5">
        <v>3800</v>
      </c>
      <c r="D20295" s="6">
        <v>4.28</v>
      </c>
      <c r="E20295" t="s">
        <v>6</v>
      </c>
    </row>
    <row r="20296" spans="1:5" x14ac:dyDescent="0.25">
      <c r="A20296" t="str">
        <f>HYPERLINK("https://www.773grp.com/globalSearch/UCC28C44P/page-1", "UCC28C44P")</f>
        <v>UCC28C44P</v>
      </c>
      <c r="B20296" s="3" t="s">
        <v>112</v>
      </c>
      <c r="C20296" s="5">
        <v>3000</v>
      </c>
      <c r="D20296" s="6">
        <v>4.28</v>
      </c>
      <c r="E20296" t="s">
        <v>6</v>
      </c>
    </row>
    <row r="20297" spans="1:5" x14ac:dyDescent="0.25">
      <c r="A20297" t="str">
        <f>HYPERLINK("https://www.773grp.com/globalSearch/UCC28C45P/page-1", "UCC28C45P")</f>
        <v>UCC28C45P</v>
      </c>
      <c r="B20297" s="3" t="s">
        <v>112</v>
      </c>
      <c r="C20297" s="5">
        <v>3376</v>
      </c>
      <c r="D20297" s="6">
        <v>4.28</v>
      </c>
      <c r="E20297" t="s">
        <v>6</v>
      </c>
    </row>
    <row r="20298" spans="1:5" x14ac:dyDescent="0.25">
      <c r="A20298" t="str">
        <f>HYPERLINK("https://www.773grp.com/globalSearch/UCC38C43P/page-1", "UCC38C43P")</f>
        <v>UCC38C43P</v>
      </c>
      <c r="B20298" s="3" t="s">
        <v>112</v>
      </c>
      <c r="C20298" s="5">
        <v>50</v>
      </c>
      <c r="D20298" s="6">
        <v>4.28</v>
      </c>
      <c r="E20298" t="s">
        <v>6</v>
      </c>
    </row>
    <row r="20299" spans="1:5" x14ac:dyDescent="0.25">
      <c r="A20299" t="str">
        <f>HYPERLINK("https://www.773grp.com/globalSearch/UCC2808AN-1/page-1", "UCC2808AN-1")</f>
        <v>UCC2808AN-1</v>
      </c>
      <c r="B20299" s="3" t="s">
        <v>112</v>
      </c>
      <c r="C20299" s="5">
        <v>900</v>
      </c>
      <c r="D20299" s="6">
        <v>3.91</v>
      </c>
      <c r="E20299" t="s">
        <v>6</v>
      </c>
    </row>
    <row r="20300" spans="1:5" x14ac:dyDescent="0.25">
      <c r="A20300" t="str">
        <f>HYPERLINK("https://www.773grp.com/globalSearch/UCC2813N-5/page-1", "UCC2813N-5")</f>
        <v>UCC2813N-5</v>
      </c>
      <c r="B20300" s="3" t="s">
        <v>112</v>
      </c>
      <c r="C20300" s="5">
        <v>3450</v>
      </c>
      <c r="D20300" s="6">
        <v>3.91</v>
      </c>
      <c r="E20300" t="s">
        <v>6</v>
      </c>
    </row>
    <row r="20301" spans="1:5" x14ac:dyDescent="0.25">
      <c r="A20301" t="str">
        <f>HYPERLINK("https://www.773grp.com/globalSearch/UCC2801D/page-1", "UCC2801D")</f>
        <v>UCC2801D</v>
      </c>
      <c r="B20301" s="3" t="s">
        <v>112</v>
      </c>
      <c r="C20301" s="5">
        <v>1463</v>
      </c>
      <c r="D20301" s="6">
        <v>3.94</v>
      </c>
      <c r="E20301" t="s">
        <v>6</v>
      </c>
    </row>
    <row r="20302" spans="1:5" x14ac:dyDescent="0.25">
      <c r="A20302" t="str">
        <f>HYPERLINK("https://www.773grp.com/globalSearch/UCC2802D/page-1", "UCC2802D")</f>
        <v>UCC2802D</v>
      </c>
      <c r="B20302" s="3" t="s">
        <v>112</v>
      </c>
      <c r="C20302" s="5">
        <v>43642</v>
      </c>
      <c r="D20302" s="6">
        <v>3.94</v>
      </c>
      <c r="E20302" t="s">
        <v>6</v>
      </c>
    </row>
    <row r="20303" spans="1:5" x14ac:dyDescent="0.25">
      <c r="A20303" t="str">
        <f>HYPERLINK("https://www.773grp.com/globalSearch/UCC2839D/page-1", "UCC2839D")</f>
        <v>UCC2839D</v>
      </c>
      <c r="B20303" s="3" t="s">
        <v>112</v>
      </c>
      <c r="C20303" s="5">
        <v>1143</v>
      </c>
      <c r="D20303" s="6">
        <v>3.94</v>
      </c>
      <c r="E20303" t="s">
        <v>6</v>
      </c>
    </row>
    <row r="20304" spans="1:5" x14ac:dyDescent="0.25">
      <c r="A20304" t="str">
        <f>HYPERLINK("https://www.773grp.com/globalSearch/UCC3818DW/page-1", "UCC3818DW")</f>
        <v>UCC3818DW</v>
      </c>
      <c r="B20304" s="3" t="s">
        <v>112</v>
      </c>
      <c r="C20304" s="5">
        <v>40</v>
      </c>
      <c r="D20304" s="6">
        <v>3.94</v>
      </c>
      <c r="E20304" t="s">
        <v>6</v>
      </c>
    </row>
    <row r="20305" spans="1:5" x14ac:dyDescent="0.25">
      <c r="A20305" t="str">
        <f>HYPERLINK("https://www.773grp.com/globalSearch/UC2573N/page-1", "UC2573N")</f>
        <v>UC2573N</v>
      </c>
      <c r="B20305" s="3" t="s">
        <v>112</v>
      </c>
      <c r="C20305" s="5">
        <v>500</v>
      </c>
      <c r="D20305" s="6">
        <v>4</v>
      </c>
      <c r="E20305" t="s">
        <v>6</v>
      </c>
    </row>
    <row r="20306" spans="1:5" x14ac:dyDescent="0.25">
      <c r="A20306" t="str">
        <f>HYPERLINK("https://www.773grp.com/globalSearch/UCC38C41D/page-1", "UCC38C41D")</f>
        <v>UCC38C41D</v>
      </c>
      <c r="B20306" s="3" t="s">
        <v>112</v>
      </c>
      <c r="C20306" s="5">
        <v>11</v>
      </c>
      <c r="D20306" s="6">
        <v>4.49</v>
      </c>
      <c r="E20306" t="s">
        <v>6</v>
      </c>
    </row>
    <row r="20307" spans="1:5" x14ac:dyDescent="0.25">
      <c r="A20307" t="str">
        <f>HYPERLINK("https://www.773grp.com/globalSearch/UC2853DTR/page-1", "UC2853DTR")</f>
        <v>UC2853DTR</v>
      </c>
      <c r="B20307" s="3" t="s">
        <v>112</v>
      </c>
      <c r="C20307" s="5">
        <v>7500</v>
      </c>
      <c r="D20307" s="6">
        <v>4.09</v>
      </c>
      <c r="E20307" t="s">
        <v>6</v>
      </c>
    </row>
    <row r="20308" spans="1:5" x14ac:dyDescent="0.25">
      <c r="A20308" t="str">
        <f>HYPERLINK("https://www.773grp.com/globalSearch/UCC2818PW/page-1", "UCC2818PW")</f>
        <v>UCC2818PW</v>
      </c>
      <c r="B20308" s="3" t="s">
        <v>112</v>
      </c>
      <c r="C20308" s="5">
        <v>2160</v>
      </c>
      <c r="D20308" s="6">
        <v>4.09</v>
      </c>
      <c r="E20308" t="s">
        <v>6</v>
      </c>
    </row>
    <row r="20309" spans="1:5" x14ac:dyDescent="0.25">
      <c r="A20309" t="str">
        <f>HYPERLINK("https://www.773grp.com/globalSearch/UCC28051P/page-1", "UCC28051P")</f>
        <v>UCC28051P</v>
      </c>
      <c r="B20309" s="3" t="s">
        <v>112</v>
      </c>
      <c r="C20309" s="5">
        <v>1300</v>
      </c>
      <c r="D20309" s="6">
        <v>4.54</v>
      </c>
      <c r="E20309" t="s">
        <v>6</v>
      </c>
    </row>
    <row r="20310" spans="1:5" x14ac:dyDescent="0.25">
      <c r="A20310" t="str">
        <f>HYPERLINK("https://www.773grp.com/globalSearch/UCC3802N/page-1", "UCC3802N")</f>
        <v>UCC3802N</v>
      </c>
      <c r="B20310" s="3" t="s">
        <v>112</v>
      </c>
      <c r="C20310" s="5">
        <v>13</v>
      </c>
      <c r="D20310" s="6">
        <v>4.1900000000000004</v>
      </c>
      <c r="E20310" t="s">
        <v>6</v>
      </c>
    </row>
    <row r="20311" spans="1:5" x14ac:dyDescent="0.25">
      <c r="A20311" t="str">
        <f>HYPERLINK("https://www.773grp.com/globalSearch/UCC2819D/page-1", "UCC2819D")</f>
        <v>UCC2819D</v>
      </c>
      <c r="B20311" s="3" t="s">
        <v>112</v>
      </c>
      <c r="C20311" s="5">
        <v>1278</v>
      </c>
      <c r="D20311" s="6">
        <v>4.2300000000000004</v>
      </c>
      <c r="E20311" t="s">
        <v>6</v>
      </c>
    </row>
    <row r="20312" spans="1:5" x14ac:dyDescent="0.25">
      <c r="A20312" t="str">
        <f>HYPERLINK("https://www.773grp.com/globalSearch/UCC2941D-3/page-1", "UCC2941D-3")</f>
        <v>UCC2941D-3</v>
      </c>
      <c r="B20312" s="3" t="s">
        <v>112</v>
      </c>
      <c r="C20312" s="5">
        <v>1971</v>
      </c>
      <c r="D20312" s="6">
        <v>4.2300000000000004</v>
      </c>
      <c r="E20312" t="s">
        <v>6</v>
      </c>
    </row>
    <row r="20313" spans="1:5" x14ac:dyDescent="0.25">
      <c r="A20313" t="str">
        <f>HYPERLINK("https://www.773grp.com/globalSearch/UCC2960P/page-1", "UCC2960P")</f>
        <v>UCC2960P</v>
      </c>
      <c r="B20313" s="3" t="s">
        <v>112</v>
      </c>
      <c r="C20313" s="5">
        <v>3450</v>
      </c>
      <c r="D20313" s="6">
        <v>4.2300000000000004</v>
      </c>
      <c r="E20313" t="s">
        <v>6</v>
      </c>
    </row>
    <row r="20314" spans="1:5" x14ac:dyDescent="0.25">
      <c r="A20314" t="str">
        <f>HYPERLINK("https://www.773grp.com/globalSearch/UCC2961N/page-1", "UCC2961N")</f>
        <v>UCC2961N</v>
      </c>
      <c r="B20314" s="3" t="s">
        <v>112</v>
      </c>
      <c r="C20314" s="5">
        <v>1900</v>
      </c>
      <c r="D20314" s="6">
        <v>4.2300000000000004</v>
      </c>
      <c r="E20314" t="s">
        <v>6</v>
      </c>
    </row>
    <row r="20315" spans="1:5" x14ac:dyDescent="0.25">
      <c r="A20315" t="str">
        <f>HYPERLINK("https://www.773grp.com/globalSearch/UCC3807DTR-3/page-1", "UCC3807DTR-3")</f>
        <v>UCC3807DTR-3</v>
      </c>
      <c r="B20315" s="3" t="s">
        <v>112</v>
      </c>
      <c r="C20315" s="5">
        <v>227600</v>
      </c>
      <c r="D20315" s="6">
        <v>4.2300000000000004</v>
      </c>
      <c r="E20315" t="s">
        <v>6</v>
      </c>
    </row>
    <row r="20316" spans="1:5" x14ac:dyDescent="0.25">
      <c r="A20316" t="str">
        <f>HYPERLINK("https://www.773grp.com/globalSearch/UCC3941N-3/page-1", "UCC3941N-3")</f>
        <v>UCC3941N-3</v>
      </c>
      <c r="B20316" s="3" t="s">
        <v>112</v>
      </c>
      <c r="C20316" s="5">
        <v>650</v>
      </c>
      <c r="D20316" s="6">
        <v>4.2300000000000004</v>
      </c>
      <c r="E20316" t="s">
        <v>6</v>
      </c>
    </row>
    <row r="20317" spans="1:5" x14ac:dyDescent="0.25">
      <c r="A20317" t="str">
        <f>HYPERLINK("https://www.773grp.com/globalSearch/UCC3817N/page-1", "UCC3817N")</f>
        <v>UCC3817N</v>
      </c>
      <c r="B20317" s="3" t="s">
        <v>112</v>
      </c>
      <c r="C20317" s="5">
        <v>113</v>
      </c>
      <c r="D20317" s="6">
        <v>4.25</v>
      </c>
      <c r="E20317" t="s">
        <v>6</v>
      </c>
    </row>
    <row r="20318" spans="1:5" x14ac:dyDescent="0.25">
      <c r="A20318" t="str">
        <f>HYPERLINK("https://www.773grp.com/globalSearch/UC2524AN/page-1", "UC2524AN")</f>
        <v>UC2524AN</v>
      </c>
      <c r="B20318" s="3" t="s">
        <v>112</v>
      </c>
      <c r="C20318" s="5">
        <v>300</v>
      </c>
      <c r="D20318" s="6">
        <v>4.74</v>
      </c>
      <c r="E20318" t="s">
        <v>6</v>
      </c>
    </row>
    <row r="20319" spans="1:5" x14ac:dyDescent="0.25">
      <c r="A20319" t="str">
        <f>HYPERLINK("https://www.773grp.com/globalSearch/UCC35705DGK/page-1", "UCC35705DGK")</f>
        <v>UCC35705DGK</v>
      </c>
      <c r="B20319" s="3" t="s">
        <v>112</v>
      </c>
      <c r="C20319" s="5">
        <v>2880</v>
      </c>
      <c r="D20319" s="6">
        <v>4.74</v>
      </c>
      <c r="E20319" t="s">
        <v>6</v>
      </c>
    </row>
    <row r="20320" spans="1:5" x14ac:dyDescent="0.25">
      <c r="A20320" t="str">
        <f>HYPERLINK("https://www.773grp.com/globalSearch/UCC35706D/page-1", "UCC35706D")</f>
        <v>UCC35706D</v>
      </c>
      <c r="B20320" s="3" t="s">
        <v>112</v>
      </c>
      <c r="C20320" s="5">
        <v>1200</v>
      </c>
      <c r="D20320" s="6">
        <v>4.74</v>
      </c>
      <c r="E20320" t="s">
        <v>6</v>
      </c>
    </row>
    <row r="20321" spans="1:5" x14ac:dyDescent="0.25">
      <c r="A20321" t="str">
        <f>HYPERLINK("https://www.773grp.com/globalSearch/UCC35706DGK/page-1", "UCC35706DGK")</f>
        <v>UCC35706DGK</v>
      </c>
      <c r="B20321" s="3" t="s">
        <v>112</v>
      </c>
      <c r="C20321" s="5">
        <v>4895</v>
      </c>
      <c r="D20321" s="6">
        <v>4.74</v>
      </c>
      <c r="E20321" t="s">
        <v>6</v>
      </c>
    </row>
    <row r="20322" spans="1:5" x14ac:dyDescent="0.25">
      <c r="A20322" t="str">
        <f>HYPERLINK("https://www.773grp.com/globalSearch/UCC2802N/page-1", "UCC2802N")</f>
        <v>UCC2802N</v>
      </c>
      <c r="B20322" s="3" t="s">
        <v>112</v>
      </c>
      <c r="C20322" s="5">
        <v>21</v>
      </c>
      <c r="D20322" s="6">
        <v>4.34</v>
      </c>
      <c r="E20322" t="s">
        <v>6</v>
      </c>
    </row>
    <row r="20323" spans="1:5" x14ac:dyDescent="0.25">
      <c r="A20323" t="str">
        <f>HYPERLINK("https://www.773grp.com/globalSearch/UCC3960P/page-1", "UCC3960P")</f>
        <v>UCC3960P</v>
      </c>
      <c r="B20323" s="3" t="s">
        <v>112</v>
      </c>
      <c r="C20323" s="5">
        <v>950</v>
      </c>
      <c r="D20323" s="6">
        <v>4.34</v>
      </c>
      <c r="E20323" t="s">
        <v>6</v>
      </c>
    </row>
    <row r="20324" spans="1:5" x14ac:dyDescent="0.25">
      <c r="A20324" t="str">
        <f>HYPERLINK("https://www.773grp.com/globalSearch/UCC3808APW-2/page-1", "UCC3808APW-2")</f>
        <v>UCC3808APW-2</v>
      </c>
      <c r="B20324" s="3" t="s">
        <v>112</v>
      </c>
      <c r="C20324" s="5">
        <v>50</v>
      </c>
      <c r="D20324" s="6">
        <v>4.3499999999999996</v>
      </c>
      <c r="E20324" t="s">
        <v>6</v>
      </c>
    </row>
    <row r="20325" spans="1:5" x14ac:dyDescent="0.25">
      <c r="A20325" t="str">
        <f>HYPERLINK("https://www.773grp.com/globalSearch/UCC2961DTR/page-1", "UCC2961DTR")</f>
        <v>UCC2961DTR</v>
      </c>
      <c r="B20325" s="3" t="s">
        <v>112</v>
      </c>
      <c r="C20325" s="5">
        <v>7350</v>
      </c>
      <c r="D20325" s="6">
        <v>4.5</v>
      </c>
      <c r="E20325" t="s">
        <v>6</v>
      </c>
    </row>
    <row r="20326" spans="1:5" x14ac:dyDescent="0.25">
      <c r="A20326" t="str">
        <f>HYPERLINK("https://www.773grp.com/globalSearch/UC2842DW/page-1", "UC2842DW")</f>
        <v>UC2842DW</v>
      </c>
      <c r="B20326" s="3" t="s">
        <v>112</v>
      </c>
      <c r="C20326" s="5">
        <v>3230</v>
      </c>
      <c r="D20326" s="6">
        <v>5.01</v>
      </c>
      <c r="E20326" t="s">
        <v>6</v>
      </c>
    </row>
    <row r="20327" spans="1:5" x14ac:dyDescent="0.25">
      <c r="A20327" t="str">
        <f>HYPERLINK("https://www.773grp.com/globalSearch/UC3524DWTR/page-1", "UC3524DWTR")</f>
        <v>UC3524DWTR</v>
      </c>
      <c r="B20327" s="3" t="s">
        <v>112</v>
      </c>
      <c r="C20327" s="5">
        <v>2000</v>
      </c>
      <c r="D20327" s="6">
        <v>5.01</v>
      </c>
      <c r="E20327" t="s">
        <v>6</v>
      </c>
    </row>
    <row r="20328" spans="1:5" x14ac:dyDescent="0.25">
      <c r="A20328" t="str">
        <f>HYPERLINK("https://www.773grp.com/globalSearch/UCC3839D/page-1", "UCC3839D")</f>
        <v>UCC3839D</v>
      </c>
      <c r="B20328" s="3" t="s">
        <v>112</v>
      </c>
      <c r="C20328" s="5">
        <v>900</v>
      </c>
      <c r="D20328" s="6">
        <v>5.01</v>
      </c>
      <c r="E20328" t="s">
        <v>6</v>
      </c>
    </row>
    <row r="20329" spans="1:5" x14ac:dyDescent="0.25">
      <c r="A20329" t="str">
        <f>HYPERLINK("https://www.773grp.com/globalSearch/UC28025DW/page-1", "UC28025DW")</f>
        <v>UC28025DW</v>
      </c>
      <c r="B20329" s="3" t="s">
        <v>112</v>
      </c>
      <c r="C20329" s="5">
        <v>90</v>
      </c>
      <c r="D20329" s="6">
        <v>4.5599999999999996</v>
      </c>
      <c r="E20329" t="s">
        <v>6</v>
      </c>
    </row>
    <row r="20330" spans="1:5" x14ac:dyDescent="0.25">
      <c r="A20330" t="str">
        <f>HYPERLINK("https://www.773grp.com/globalSearch/UCC2819N/page-1", "UCC2819N")</f>
        <v>UCC2819N</v>
      </c>
      <c r="B20330" s="3" t="s">
        <v>112</v>
      </c>
      <c r="C20330" s="5">
        <v>5767</v>
      </c>
      <c r="D20330" s="6">
        <v>4.5599999999999996</v>
      </c>
      <c r="E20330" t="s">
        <v>6</v>
      </c>
    </row>
    <row r="20331" spans="1:5" x14ac:dyDescent="0.25">
      <c r="A20331" t="str">
        <f>HYPERLINK("https://www.773grp.com/globalSearch/UCC2807DTR-3/page-1", "UCC2807DTR-3")</f>
        <v>UCC2807DTR-3</v>
      </c>
      <c r="B20331" s="3" t="s">
        <v>112</v>
      </c>
      <c r="C20331" s="5">
        <v>5000</v>
      </c>
      <c r="D20331" s="6">
        <v>4.6399999999999997</v>
      </c>
      <c r="E20331" t="s">
        <v>6</v>
      </c>
    </row>
    <row r="20332" spans="1:5" x14ac:dyDescent="0.25">
      <c r="A20332" t="str">
        <f>HYPERLINK("https://www.773grp.com/globalSearch/UC2854DW/page-1", "UC2854DW")</f>
        <v>UC2854DW</v>
      </c>
      <c r="B20332" s="3" t="s">
        <v>112</v>
      </c>
      <c r="C20332" s="5">
        <v>305</v>
      </c>
      <c r="D20332" s="6">
        <v>4.6900000000000004</v>
      </c>
      <c r="E20332" t="s">
        <v>6</v>
      </c>
    </row>
    <row r="20333" spans="1:5" x14ac:dyDescent="0.25">
      <c r="A20333" t="str">
        <f>HYPERLINK("https://www.773grp.com/globalSearch/UC3823DWTR/page-1", "UC3823DWTR")</f>
        <v>UC3823DWTR</v>
      </c>
      <c r="B20333" s="3" t="s">
        <v>112</v>
      </c>
      <c r="C20333" s="5">
        <v>2768</v>
      </c>
      <c r="D20333" s="6">
        <v>4.7300000000000004</v>
      </c>
      <c r="E20333" t="s">
        <v>6</v>
      </c>
    </row>
    <row r="20334" spans="1:5" x14ac:dyDescent="0.25">
      <c r="A20334" t="str">
        <f>HYPERLINK("https://www.773grp.com/globalSearch/UCC3813DTR-1/page-1", "UCC3813DTR-1")</f>
        <v>UCC3813DTR-1</v>
      </c>
      <c r="B20334" s="3" t="s">
        <v>112</v>
      </c>
      <c r="C20334" s="5">
        <v>2500</v>
      </c>
      <c r="D20334" s="6">
        <v>5.21</v>
      </c>
      <c r="E20334" t="s">
        <v>6</v>
      </c>
    </row>
    <row r="20335" spans="1:5" x14ac:dyDescent="0.25">
      <c r="A20335" t="str">
        <f>HYPERLINK("https://www.773grp.com/globalSearch/UCC3813DTR-4/page-1", "UCC3813DTR-4")</f>
        <v>UCC3813DTR-4</v>
      </c>
      <c r="B20335" s="3" t="s">
        <v>112</v>
      </c>
      <c r="C20335" s="5">
        <v>7500</v>
      </c>
      <c r="D20335" s="6">
        <v>5.21</v>
      </c>
      <c r="E20335" t="s">
        <v>6</v>
      </c>
    </row>
    <row r="20336" spans="1:5" x14ac:dyDescent="0.25">
      <c r="A20336" t="str">
        <f>HYPERLINK("https://www.773grp.com/globalSearch/UC2825QTR/page-1", "UC2825QTR")</f>
        <v>UC2825QTR</v>
      </c>
      <c r="B20336" s="3" t="s">
        <v>112</v>
      </c>
      <c r="C20336" s="5">
        <v>23000</v>
      </c>
      <c r="D20336" s="6">
        <v>4.78</v>
      </c>
      <c r="E20336" t="s">
        <v>6</v>
      </c>
    </row>
    <row r="20337" spans="1:5" x14ac:dyDescent="0.25">
      <c r="A20337" t="str">
        <f>HYPERLINK("https://www.773grp.com/globalSearch/UC2846Q/page-1", "UC2846Q")</f>
        <v>UC2846Q</v>
      </c>
      <c r="B20337" s="3" t="s">
        <v>112</v>
      </c>
      <c r="C20337" s="5">
        <v>7530</v>
      </c>
      <c r="D20337" s="6">
        <v>4.78</v>
      </c>
      <c r="E20337" t="s">
        <v>6</v>
      </c>
    </row>
    <row r="20338" spans="1:5" x14ac:dyDescent="0.25">
      <c r="A20338" t="str">
        <f>HYPERLINK("https://www.773grp.com/globalSearch/UCC2585D/page-1", "UCC2585D")</f>
        <v>UCC2585D</v>
      </c>
      <c r="B20338" s="3" t="s">
        <v>112</v>
      </c>
      <c r="C20338" s="5">
        <v>2360</v>
      </c>
      <c r="D20338" s="6">
        <v>4.95</v>
      </c>
      <c r="E20338" t="s">
        <v>6</v>
      </c>
    </row>
    <row r="20339" spans="1:5" x14ac:dyDescent="0.25">
      <c r="A20339" t="str">
        <f>HYPERLINK("https://www.773grp.com/globalSearch/UCC2585D/page-1", "UCC2585D")</f>
        <v>UCC2585D</v>
      </c>
      <c r="B20339" s="3" t="s">
        <v>112</v>
      </c>
      <c r="C20339" s="5">
        <v>2600</v>
      </c>
      <c r="D20339" s="6">
        <v>4.95</v>
      </c>
      <c r="E20339" t="s">
        <v>6</v>
      </c>
    </row>
    <row r="20340" spans="1:5" x14ac:dyDescent="0.25">
      <c r="A20340" t="str">
        <f>HYPERLINK("https://www.773grp.com/globalSearch/UC3843J/page-1", "UC3843J")</f>
        <v>UC3843J</v>
      </c>
      <c r="B20340" s="3" t="s">
        <v>112</v>
      </c>
      <c r="C20340" s="5">
        <v>937</v>
      </c>
      <c r="D20340" s="6">
        <v>5.01</v>
      </c>
      <c r="E20340" t="s">
        <v>6</v>
      </c>
    </row>
    <row r="20341" spans="1:5" x14ac:dyDescent="0.25">
      <c r="A20341" t="str">
        <f>HYPERLINK("https://www.773grp.com/globalSearch/UC3845J/page-1", "UC3845J")</f>
        <v>UC3845J</v>
      </c>
      <c r="B20341" s="3" t="s">
        <v>112</v>
      </c>
      <c r="C20341" s="5">
        <v>33</v>
      </c>
      <c r="D20341" s="6">
        <v>5.01</v>
      </c>
      <c r="E20341" t="s">
        <v>6</v>
      </c>
    </row>
    <row r="20342" spans="1:5" x14ac:dyDescent="0.25">
      <c r="A20342" t="str">
        <f>HYPERLINK("https://www.773grp.com/globalSearch/UCC3807D-1/page-1", "UCC3807D-1")</f>
        <v>UCC3807D-1</v>
      </c>
      <c r="B20342" s="3" t="s">
        <v>112</v>
      </c>
      <c r="C20342" s="5">
        <v>4813</v>
      </c>
      <c r="D20342" s="6">
        <v>5.0599999999999996</v>
      </c>
      <c r="E20342" t="s">
        <v>6</v>
      </c>
    </row>
    <row r="20343" spans="1:5" x14ac:dyDescent="0.25">
      <c r="A20343" t="str">
        <f>HYPERLINK("https://www.773grp.com/globalSearch/UCC3941D-3/page-1", "UCC3941D-3")</f>
        <v>UCC3941D-3</v>
      </c>
      <c r="B20343" s="3" t="s">
        <v>112</v>
      </c>
      <c r="C20343" s="5">
        <v>1196</v>
      </c>
      <c r="D20343" s="6">
        <v>5.0599999999999996</v>
      </c>
      <c r="E20343" t="s">
        <v>6</v>
      </c>
    </row>
    <row r="20344" spans="1:5" x14ac:dyDescent="0.25">
      <c r="A20344" t="str">
        <f>HYPERLINK("https://www.773grp.com/globalSearch/UCC3941N-5/page-1", "UCC3941N-5")</f>
        <v>UCC3941N-5</v>
      </c>
      <c r="B20344" s="3" t="s">
        <v>112</v>
      </c>
      <c r="C20344" s="5">
        <v>800</v>
      </c>
      <c r="D20344" s="6">
        <v>5.0599999999999996</v>
      </c>
      <c r="E20344" t="s">
        <v>6</v>
      </c>
    </row>
    <row r="20345" spans="1:5" x14ac:dyDescent="0.25">
      <c r="A20345" t="str">
        <f>HYPERLINK("https://www.773grp.com/globalSearch/UC2854BQ/page-1", "UC2854BQ")</f>
        <v>UC2854BQ</v>
      </c>
      <c r="B20345" s="3" t="s">
        <v>112</v>
      </c>
      <c r="C20345" s="5">
        <v>133</v>
      </c>
      <c r="D20345" s="6">
        <v>5.2</v>
      </c>
      <c r="E20345" t="s">
        <v>6</v>
      </c>
    </row>
    <row r="20346" spans="1:5" x14ac:dyDescent="0.25">
      <c r="A20346" t="str">
        <f>HYPERLINK("https://www.773grp.com/globalSearch/UC2854BQ/page-1", "UC2854BQ")</f>
        <v>UC2854BQ</v>
      </c>
      <c r="B20346" s="3" t="s">
        <v>112</v>
      </c>
      <c r="C20346" s="5">
        <v>5014</v>
      </c>
      <c r="D20346" s="6">
        <v>5.2</v>
      </c>
      <c r="E20346" t="s">
        <v>6</v>
      </c>
    </row>
    <row r="20347" spans="1:5" x14ac:dyDescent="0.25">
      <c r="A20347" t="str">
        <f>HYPERLINK("https://www.773grp.com/globalSearch/UC2852DTR/page-1", "UC2852DTR")</f>
        <v>UC2852DTR</v>
      </c>
      <c r="B20347" s="3" t="s">
        <v>112</v>
      </c>
      <c r="C20347" s="5">
        <v>2500</v>
      </c>
      <c r="D20347" s="6">
        <v>5.26</v>
      </c>
      <c r="E20347" t="s">
        <v>6</v>
      </c>
    </row>
    <row r="20348" spans="1:5" x14ac:dyDescent="0.25">
      <c r="A20348" t="str">
        <f>HYPERLINK("https://www.773grp.com/globalSearch/UCC3585D/page-1", "UCC3585D")</f>
        <v>UCC3585D</v>
      </c>
      <c r="B20348" s="3" t="s">
        <v>112</v>
      </c>
      <c r="C20348" s="5">
        <v>845</v>
      </c>
      <c r="D20348" s="6">
        <v>5.31</v>
      </c>
      <c r="E20348" t="s">
        <v>6</v>
      </c>
    </row>
    <row r="20349" spans="1:5" x14ac:dyDescent="0.25">
      <c r="A20349" t="str">
        <f>HYPERLINK("https://www.773grp.com/globalSearch/UCC2807D-1/page-1", "UCC2807D-1")</f>
        <v>UCC2807D-1</v>
      </c>
      <c r="B20349" s="3" t="s">
        <v>112</v>
      </c>
      <c r="C20349" s="5">
        <v>15301</v>
      </c>
      <c r="D20349" s="6">
        <v>5.49</v>
      </c>
      <c r="E20349" t="s">
        <v>6</v>
      </c>
    </row>
    <row r="20350" spans="1:5" x14ac:dyDescent="0.25">
      <c r="A20350" t="str">
        <f>HYPERLINK("https://www.773grp.com/globalSearch/UCC2974PW/page-1", "UCC2974PW")</f>
        <v>UCC2974PW</v>
      </c>
      <c r="B20350" s="3" t="s">
        <v>112</v>
      </c>
      <c r="C20350" s="5">
        <v>3742</v>
      </c>
      <c r="D20350" s="6">
        <v>5.49</v>
      </c>
      <c r="E20350" t="s">
        <v>6</v>
      </c>
    </row>
    <row r="20351" spans="1:5" x14ac:dyDescent="0.25">
      <c r="A20351" t="str">
        <f>HYPERLINK("https://www.773grp.com/globalSearch/UCC3882DW/page-1", "UCC3882DW")</f>
        <v>UCC3882DW</v>
      </c>
      <c r="B20351" s="3" t="s">
        <v>112</v>
      </c>
      <c r="C20351" s="5">
        <v>4450</v>
      </c>
      <c r="D20351" s="6">
        <v>5.49</v>
      </c>
      <c r="E20351" t="s">
        <v>6</v>
      </c>
    </row>
    <row r="20352" spans="1:5" x14ac:dyDescent="0.25">
      <c r="A20352" t="str">
        <f>HYPERLINK("https://www.773grp.com/globalSearch/UCC3882PW-1/page-1", "UCC3882PW-1")</f>
        <v>UCC3882PW-1</v>
      </c>
      <c r="B20352" s="3" t="s">
        <v>112</v>
      </c>
      <c r="C20352" s="5">
        <v>3930</v>
      </c>
      <c r="D20352" s="6">
        <v>5.49</v>
      </c>
      <c r="E20352" t="s">
        <v>6</v>
      </c>
    </row>
    <row r="20353" spans="1:5" x14ac:dyDescent="0.25">
      <c r="A20353" t="str">
        <f>HYPERLINK("https://www.773grp.com/globalSearch/UC2846DW/page-1", "UC2846DW")</f>
        <v>UC2846DW</v>
      </c>
      <c r="B20353" s="3" t="s">
        <v>112</v>
      </c>
      <c r="C20353" s="5">
        <v>55</v>
      </c>
      <c r="D20353" s="6">
        <v>5.63</v>
      </c>
      <c r="E20353" t="s">
        <v>6</v>
      </c>
    </row>
    <row r="20354" spans="1:5" x14ac:dyDescent="0.25">
      <c r="A20354" t="str">
        <f>HYPERLINK("https://www.773grp.com/globalSearch/UCC3807N-3/page-1", "UCC3807N-3")</f>
        <v>UCC3807N-3</v>
      </c>
      <c r="B20354" s="3" t="s">
        <v>112</v>
      </c>
      <c r="C20354" s="5">
        <v>1700</v>
      </c>
      <c r="D20354" s="6">
        <v>5.7</v>
      </c>
      <c r="E20354" t="s">
        <v>6</v>
      </c>
    </row>
    <row r="20355" spans="1:5" x14ac:dyDescent="0.25">
      <c r="A20355" t="str">
        <f>HYPERLINK("https://www.773grp.com/globalSearch/UCC2581D/page-1", "UCC2581D")</f>
        <v>UCC2581D</v>
      </c>
      <c r="B20355" s="3" t="s">
        <v>112</v>
      </c>
      <c r="C20355" s="5">
        <v>260</v>
      </c>
      <c r="D20355" s="6">
        <v>5.78</v>
      </c>
      <c r="E20355" t="s">
        <v>6</v>
      </c>
    </row>
    <row r="20356" spans="1:5" x14ac:dyDescent="0.25">
      <c r="A20356" t="str">
        <f>HYPERLINK("https://www.773grp.com/globalSearch/UC2825DW/page-1", "UC2825DW")</f>
        <v>UC2825DW</v>
      </c>
      <c r="B20356" s="3" t="s">
        <v>112</v>
      </c>
      <c r="C20356" s="5">
        <v>10</v>
      </c>
      <c r="D20356" s="6">
        <v>5.85</v>
      </c>
      <c r="E20356" t="s">
        <v>6</v>
      </c>
    </row>
    <row r="20357" spans="1:5" x14ac:dyDescent="0.25">
      <c r="A20357" t="str">
        <f>HYPERLINK("https://www.773grp.com/globalSearch/UC2825Q/page-1", "UC2825Q")</f>
        <v>UC2825Q</v>
      </c>
      <c r="B20357" s="3" t="s">
        <v>112</v>
      </c>
      <c r="C20357" s="5">
        <v>135</v>
      </c>
      <c r="D20357" s="6">
        <v>5.85</v>
      </c>
      <c r="E20357" t="s">
        <v>6</v>
      </c>
    </row>
    <row r="20358" spans="1:5" x14ac:dyDescent="0.25">
      <c r="A20358" t="str">
        <f>HYPERLINK("https://www.773grp.com/globalSearch/UCC39411PW/page-1", "UCC39411PW")</f>
        <v>UCC39411PW</v>
      </c>
      <c r="B20358" s="3" t="s">
        <v>112</v>
      </c>
      <c r="C20358" s="5">
        <v>100</v>
      </c>
      <c r="D20358" s="6">
        <v>5.88</v>
      </c>
      <c r="E20358" t="s">
        <v>6</v>
      </c>
    </row>
    <row r="20359" spans="1:5" x14ac:dyDescent="0.25">
      <c r="A20359" t="str">
        <f>HYPERLINK("https://www.773grp.com/globalSearch/UCC3588D/page-1", "UCC3588D")</f>
        <v>UCC3588D</v>
      </c>
      <c r="B20359" s="3" t="s">
        <v>112</v>
      </c>
      <c r="C20359" s="5">
        <v>8</v>
      </c>
      <c r="D20359" s="6">
        <v>5.91</v>
      </c>
      <c r="E20359" t="s">
        <v>6</v>
      </c>
    </row>
    <row r="20360" spans="1:5" x14ac:dyDescent="0.25">
      <c r="A20360" t="str">
        <f>HYPERLINK("https://www.773grp.com/globalSearch/UCC39412D/page-1", "UCC39412D")</f>
        <v>UCC39412D</v>
      </c>
      <c r="B20360" s="3" t="s">
        <v>112</v>
      </c>
      <c r="C20360" s="5">
        <v>1550</v>
      </c>
      <c r="D20360" s="6">
        <v>5.91</v>
      </c>
      <c r="E20360" t="s">
        <v>6</v>
      </c>
    </row>
    <row r="20361" spans="1:5" x14ac:dyDescent="0.25">
      <c r="A20361" t="str">
        <f>HYPERLINK("https://www.773grp.com/globalSearch/UCC28510DW/page-1", "UCC28510DW")</f>
        <v>UCC28510DW</v>
      </c>
      <c r="B20361" s="3" t="s">
        <v>112</v>
      </c>
      <c r="C20361" s="5">
        <v>50</v>
      </c>
      <c r="D20361" s="6">
        <v>6.04</v>
      </c>
      <c r="E20361" t="s">
        <v>6</v>
      </c>
    </row>
    <row r="20362" spans="1:5" x14ac:dyDescent="0.25">
      <c r="A20362" t="str">
        <f>HYPERLINK("https://www.773grp.com/globalSearch/UCC28511DW/page-1", "UCC28511DW")</f>
        <v>UCC28511DW</v>
      </c>
      <c r="B20362" s="3" t="s">
        <v>112</v>
      </c>
      <c r="C20362" s="5">
        <v>18</v>
      </c>
      <c r="D20362" s="6">
        <v>6.04</v>
      </c>
      <c r="E20362" t="s">
        <v>6</v>
      </c>
    </row>
    <row r="20363" spans="1:5" x14ac:dyDescent="0.25">
      <c r="A20363" t="str">
        <f>HYPERLINK("https://www.773grp.com/globalSearch/UCC28512DW/page-1", "UCC28512DW")</f>
        <v>UCC28512DW</v>
      </c>
      <c r="B20363" s="3" t="s">
        <v>112</v>
      </c>
      <c r="C20363" s="5">
        <v>50</v>
      </c>
      <c r="D20363" s="6">
        <v>6.04</v>
      </c>
      <c r="E20363" t="s">
        <v>6</v>
      </c>
    </row>
    <row r="20364" spans="1:5" x14ac:dyDescent="0.25">
      <c r="A20364" t="str">
        <f>HYPERLINK("https://www.773grp.com/globalSearch/UCC28512DW/page-1", "UCC28512DW")</f>
        <v>UCC28512DW</v>
      </c>
      <c r="B20364" s="3" t="s">
        <v>112</v>
      </c>
      <c r="C20364" s="5">
        <v>10</v>
      </c>
      <c r="D20364" s="6">
        <v>6.04</v>
      </c>
      <c r="E20364" t="s">
        <v>6</v>
      </c>
    </row>
    <row r="20365" spans="1:5" x14ac:dyDescent="0.25">
      <c r="A20365" t="str">
        <f>HYPERLINK("https://www.773grp.com/globalSearch/UCC28514DW/page-1", "UCC28514DW")</f>
        <v>UCC28514DW</v>
      </c>
      <c r="B20365" s="3" t="s">
        <v>112</v>
      </c>
      <c r="C20365" s="5">
        <v>15</v>
      </c>
      <c r="D20365" s="6">
        <v>6.04</v>
      </c>
      <c r="E20365" t="s">
        <v>6</v>
      </c>
    </row>
    <row r="20366" spans="1:5" x14ac:dyDescent="0.25">
      <c r="A20366" t="str">
        <f>HYPERLINK("https://www.773grp.com/globalSearch/UCC28516DW/page-1", "UCC28516DW")</f>
        <v>UCC28516DW</v>
      </c>
      <c r="B20366" s="3" t="s">
        <v>112</v>
      </c>
      <c r="C20366" s="5">
        <v>50</v>
      </c>
      <c r="D20366" s="6">
        <v>6.04</v>
      </c>
      <c r="E20366" t="s">
        <v>6</v>
      </c>
    </row>
    <row r="20367" spans="1:5" x14ac:dyDescent="0.25">
      <c r="A20367" t="str">
        <f>HYPERLINK("https://www.773grp.com/globalSearch/UCC28516DW/page-1", "UCC28516DW")</f>
        <v>UCC28516DW</v>
      </c>
      <c r="B20367" s="3" t="s">
        <v>112</v>
      </c>
      <c r="C20367" s="5">
        <v>75</v>
      </c>
      <c r="D20367" s="6">
        <v>6.04</v>
      </c>
      <c r="E20367" t="s">
        <v>6</v>
      </c>
    </row>
    <row r="20368" spans="1:5" x14ac:dyDescent="0.25">
      <c r="A20368" t="str">
        <f>HYPERLINK("https://www.773grp.com/globalSearch/UCC29422N/page-1", "UCC29422N")</f>
        <v>UCC29422N</v>
      </c>
      <c r="B20368" s="3" t="s">
        <v>112</v>
      </c>
      <c r="C20368" s="5">
        <v>792</v>
      </c>
      <c r="D20368" s="6">
        <v>6.04</v>
      </c>
      <c r="E20368" t="s">
        <v>6</v>
      </c>
    </row>
    <row r="20369" spans="1:5" x14ac:dyDescent="0.25">
      <c r="A20369" t="str">
        <f>HYPERLINK("https://www.773grp.com/globalSearch/UCC29422PW/page-1", "UCC29422PW")</f>
        <v>UCC29422PW</v>
      </c>
      <c r="B20369" s="3" t="s">
        <v>112</v>
      </c>
      <c r="C20369" s="5">
        <v>1860</v>
      </c>
      <c r="D20369" s="6">
        <v>6.04</v>
      </c>
      <c r="E20369" t="s">
        <v>6</v>
      </c>
    </row>
    <row r="20370" spans="1:5" x14ac:dyDescent="0.25">
      <c r="A20370" t="str">
        <f>HYPERLINK("https://www.773grp.com/globalSearch/UCC2807N-2/page-1", "UCC2807N-2")</f>
        <v>UCC2807N-2</v>
      </c>
      <c r="B20370" s="3" t="s">
        <v>112</v>
      </c>
      <c r="C20370" s="5">
        <v>2600</v>
      </c>
      <c r="D20370" s="6">
        <v>6.13</v>
      </c>
      <c r="E20370" t="s">
        <v>6</v>
      </c>
    </row>
    <row r="20371" spans="1:5" x14ac:dyDescent="0.25">
      <c r="A20371" t="str">
        <f>HYPERLINK("https://www.773grp.com/globalSearch/UC2846N/page-1", "UC2846N")</f>
        <v>UC2846N</v>
      </c>
      <c r="B20371" s="3" t="s">
        <v>112</v>
      </c>
      <c r="C20371" s="5">
        <v>6590</v>
      </c>
      <c r="D20371" s="6">
        <v>6.21</v>
      </c>
      <c r="E20371" t="s">
        <v>6</v>
      </c>
    </row>
    <row r="20372" spans="1:5" x14ac:dyDescent="0.25">
      <c r="A20372" t="str">
        <f>HYPERLINK("https://www.773grp.com/globalSearch/UC2852D/page-1", "UC2852D")</f>
        <v>UC2852D</v>
      </c>
      <c r="B20372" s="3" t="s">
        <v>112</v>
      </c>
      <c r="C20372" s="5">
        <v>5305</v>
      </c>
      <c r="D20372" s="6">
        <v>6.21</v>
      </c>
      <c r="E20372" t="s">
        <v>6</v>
      </c>
    </row>
    <row r="20373" spans="1:5" x14ac:dyDescent="0.25">
      <c r="A20373" t="str">
        <f>HYPERLINK("https://www.773grp.com/globalSearch/UC3527AN/page-1", "UC3527AN")</f>
        <v>UC3527AN</v>
      </c>
      <c r="B20373" s="3" t="s">
        <v>112</v>
      </c>
      <c r="C20373" s="5">
        <v>650</v>
      </c>
      <c r="D20373" s="6">
        <v>6.46</v>
      </c>
      <c r="E20373" t="s">
        <v>6</v>
      </c>
    </row>
    <row r="20374" spans="1:5" x14ac:dyDescent="0.25">
      <c r="A20374" t="str">
        <f>HYPERLINK("https://www.773grp.com/globalSearch/UCC28516N/page-1", "UCC28516N")</f>
        <v>UCC28516N</v>
      </c>
      <c r="B20374" s="3" t="s">
        <v>112</v>
      </c>
      <c r="C20374" s="5">
        <v>40</v>
      </c>
      <c r="D20374" s="6">
        <v>6.46</v>
      </c>
      <c r="E20374" t="s">
        <v>6</v>
      </c>
    </row>
    <row r="20375" spans="1:5" x14ac:dyDescent="0.25">
      <c r="A20375" t="str">
        <f>HYPERLINK("https://www.773grp.com/globalSearch/UCC28517N/page-1", "UCC28517N")</f>
        <v>UCC28517N</v>
      </c>
      <c r="B20375" s="3" t="s">
        <v>112</v>
      </c>
      <c r="C20375" s="5">
        <v>205</v>
      </c>
      <c r="D20375" s="6">
        <v>6.46</v>
      </c>
      <c r="E20375" t="s">
        <v>6</v>
      </c>
    </row>
    <row r="20376" spans="1:5" x14ac:dyDescent="0.25">
      <c r="A20376" t="str">
        <f>HYPERLINK("https://www.773grp.com/globalSearch/UCC3580D-1/page-1", "UCC3580D-1")</f>
        <v>UCC3580D-1</v>
      </c>
      <c r="B20376" s="3" t="s">
        <v>112</v>
      </c>
      <c r="C20376" s="5">
        <v>23</v>
      </c>
      <c r="D20376" s="6">
        <v>6.46</v>
      </c>
      <c r="E20376" t="s">
        <v>6</v>
      </c>
    </row>
    <row r="20377" spans="1:5" x14ac:dyDescent="0.25">
      <c r="A20377" t="str">
        <f>HYPERLINK("https://www.773grp.com/globalSearch/UCC3580D-1/page-1", "UCC3580D-1")</f>
        <v>UCC3580D-1</v>
      </c>
      <c r="B20377" s="3" t="s">
        <v>112</v>
      </c>
      <c r="C20377" s="5">
        <v>1680</v>
      </c>
      <c r="D20377" s="6">
        <v>6.46</v>
      </c>
      <c r="E20377" t="s">
        <v>6</v>
      </c>
    </row>
    <row r="20378" spans="1:5" x14ac:dyDescent="0.25">
      <c r="A20378" t="str">
        <f>HYPERLINK("https://www.773grp.com/globalSearch/UCC3884D/page-1", "UCC3884D")</f>
        <v>UCC3884D</v>
      </c>
      <c r="B20378" s="3" t="s">
        <v>112</v>
      </c>
      <c r="C20378" s="5">
        <v>95</v>
      </c>
      <c r="D20378" s="6">
        <v>6.46</v>
      </c>
      <c r="E20378" t="s">
        <v>6</v>
      </c>
    </row>
    <row r="20379" spans="1:5" x14ac:dyDescent="0.25">
      <c r="A20379" t="str">
        <f>HYPERLINK("https://www.773grp.com/globalSearch/UC2823N/page-1", "UC2823N")</f>
        <v>UC2823N</v>
      </c>
      <c r="B20379" s="3" t="s">
        <v>112</v>
      </c>
      <c r="C20379" s="5">
        <v>19367</v>
      </c>
      <c r="D20379" s="6">
        <v>6.53</v>
      </c>
      <c r="E20379" t="s">
        <v>6</v>
      </c>
    </row>
    <row r="20380" spans="1:5" x14ac:dyDescent="0.25">
      <c r="A20380" t="str">
        <f>HYPERLINK("https://www.773grp.com/globalSearch/UC2825N/page-1", "UC2825N")</f>
        <v>UC2825N</v>
      </c>
      <c r="B20380" s="3" t="s">
        <v>112</v>
      </c>
      <c r="C20380" s="5">
        <v>40713</v>
      </c>
      <c r="D20380" s="6">
        <v>6.53</v>
      </c>
      <c r="E20380" t="s">
        <v>6</v>
      </c>
    </row>
    <row r="20381" spans="1:5" x14ac:dyDescent="0.25">
      <c r="A20381" t="str">
        <f>HYPERLINK("https://www.773grp.com/globalSearch/UC2527AN/page-1", "UC2527AN")</f>
        <v>UC2527AN</v>
      </c>
      <c r="B20381" s="3" t="s">
        <v>112</v>
      </c>
      <c r="C20381" s="5">
        <v>1800</v>
      </c>
      <c r="D20381" s="6">
        <v>6.7</v>
      </c>
      <c r="E20381" t="s">
        <v>6</v>
      </c>
    </row>
    <row r="20382" spans="1:5" x14ac:dyDescent="0.25">
      <c r="A20382" t="str">
        <f>HYPERLINK("https://www.773grp.com/globalSearch/UC2861N/page-1", "UC2861N")</f>
        <v>UC2861N</v>
      </c>
      <c r="B20382" s="3" t="s">
        <v>112</v>
      </c>
      <c r="C20382" s="5">
        <v>225</v>
      </c>
      <c r="D20382" s="6">
        <v>6.75</v>
      </c>
      <c r="E20382" t="s">
        <v>6</v>
      </c>
    </row>
    <row r="20383" spans="1:5" x14ac:dyDescent="0.25">
      <c r="A20383" t="str">
        <f>HYPERLINK("https://www.773grp.com/globalSearch/UCC28510N/page-1", "UCC28510N")</f>
        <v>UCC28510N</v>
      </c>
      <c r="B20383" s="3" t="s">
        <v>112</v>
      </c>
      <c r="C20383" s="5">
        <v>40</v>
      </c>
      <c r="D20383" s="6">
        <v>6.75</v>
      </c>
      <c r="E20383" t="s">
        <v>6</v>
      </c>
    </row>
    <row r="20384" spans="1:5" x14ac:dyDescent="0.25">
      <c r="A20384" t="str">
        <f>HYPERLINK("https://www.773grp.com/globalSearch/UCC28510N/page-1", "UCC28510N")</f>
        <v>UCC28510N</v>
      </c>
      <c r="B20384" s="3" t="s">
        <v>112</v>
      </c>
      <c r="C20384" s="5">
        <v>10</v>
      </c>
      <c r="D20384" s="6">
        <v>6.75</v>
      </c>
      <c r="E20384" t="s">
        <v>6</v>
      </c>
    </row>
    <row r="20385" spans="1:5" x14ac:dyDescent="0.25">
      <c r="A20385" t="str">
        <f>HYPERLINK("https://www.773grp.com/globalSearch/UCC28511N/page-1", "UCC28511N")</f>
        <v>UCC28511N</v>
      </c>
      <c r="B20385" s="3" t="s">
        <v>112</v>
      </c>
      <c r="C20385" s="5">
        <v>40</v>
      </c>
      <c r="D20385" s="6">
        <v>6.75</v>
      </c>
      <c r="E20385" t="s">
        <v>6</v>
      </c>
    </row>
    <row r="20386" spans="1:5" x14ac:dyDescent="0.25">
      <c r="A20386" t="str">
        <f>HYPERLINK("https://www.773grp.com/globalSearch/UCC28512N/page-1", "UCC28512N")</f>
        <v>UCC28512N</v>
      </c>
      <c r="B20386" s="3" t="s">
        <v>112</v>
      </c>
      <c r="C20386" s="5">
        <v>40</v>
      </c>
      <c r="D20386" s="6">
        <v>6.75</v>
      </c>
      <c r="E20386" t="s">
        <v>6</v>
      </c>
    </row>
    <row r="20387" spans="1:5" x14ac:dyDescent="0.25">
      <c r="A20387" t="str">
        <f>HYPERLINK("https://www.773grp.com/globalSearch/UCC28513N/page-1", "UCC28513N")</f>
        <v>UCC28513N</v>
      </c>
      <c r="B20387" s="3" t="s">
        <v>112</v>
      </c>
      <c r="C20387" s="5">
        <v>40</v>
      </c>
      <c r="D20387" s="6">
        <v>6.75</v>
      </c>
      <c r="E20387" t="s">
        <v>6</v>
      </c>
    </row>
    <row r="20388" spans="1:5" x14ac:dyDescent="0.25">
      <c r="A20388" t="str">
        <f>HYPERLINK("https://www.773grp.com/globalSearch/UCC28514N/page-1", "UCC28514N")</f>
        <v>UCC28514N</v>
      </c>
      <c r="B20388" s="3" t="s">
        <v>112</v>
      </c>
      <c r="C20388" s="5">
        <v>22</v>
      </c>
      <c r="D20388" s="6">
        <v>6.75</v>
      </c>
      <c r="E20388" t="s">
        <v>6</v>
      </c>
    </row>
    <row r="20389" spans="1:5" x14ac:dyDescent="0.25">
      <c r="A20389" t="str">
        <f>HYPERLINK("https://www.773grp.com/globalSearch/UCC28515N/page-1", "UCC28515N")</f>
        <v>UCC28515N</v>
      </c>
      <c r="B20389" s="3" t="s">
        <v>112</v>
      </c>
      <c r="C20389" s="5">
        <v>40</v>
      </c>
      <c r="D20389" s="6">
        <v>6.75</v>
      </c>
      <c r="E20389" t="s">
        <v>6</v>
      </c>
    </row>
    <row r="20390" spans="1:5" x14ac:dyDescent="0.25">
      <c r="A20390" t="str">
        <f>HYPERLINK("https://www.773grp.com/globalSearch/UCC38500DWTR/page-1", "UCC38500DWTR")</f>
        <v>UCC38500DWTR</v>
      </c>
      <c r="B20390" s="3" t="s">
        <v>112</v>
      </c>
      <c r="C20390" s="5">
        <v>2000</v>
      </c>
      <c r="D20390" s="6">
        <v>6.89</v>
      </c>
      <c r="E20390" t="s">
        <v>6</v>
      </c>
    </row>
    <row r="20391" spans="1:5" x14ac:dyDescent="0.25">
      <c r="A20391" t="str">
        <f>HYPERLINK("https://www.773grp.com/globalSearch/UC2525BDWTR/page-1", "UC2525BDWTR")</f>
        <v>UC2525BDWTR</v>
      </c>
      <c r="B20391" s="3" t="s">
        <v>112</v>
      </c>
      <c r="C20391" s="5">
        <v>3800</v>
      </c>
      <c r="D20391" s="6">
        <v>6.93</v>
      </c>
      <c r="E20391" t="s">
        <v>6</v>
      </c>
    </row>
    <row r="20392" spans="1:5" x14ac:dyDescent="0.25">
      <c r="A20392" t="str">
        <f>HYPERLINK("https://www.773grp.com/globalSearch/UC3865Q/page-1", "UC3865Q")</f>
        <v>UC3865Q</v>
      </c>
      <c r="B20392" s="3" t="s">
        <v>112</v>
      </c>
      <c r="C20392" s="5">
        <v>1897</v>
      </c>
      <c r="D20392" s="6">
        <v>7.04</v>
      </c>
      <c r="E20392" t="s">
        <v>6</v>
      </c>
    </row>
    <row r="20393" spans="1:5" x14ac:dyDescent="0.25">
      <c r="A20393" t="str">
        <f>HYPERLINK("https://www.773grp.com/globalSearch/UCC2580D-2/page-1", "UCC2580D-2")</f>
        <v>UCC2580D-2</v>
      </c>
      <c r="B20393" s="3" t="s">
        <v>112</v>
      </c>
      <c r="C20393" s="5">
        <v>25720</v>
      </c>
      <c r="D20393" s="6">
        <v>7.04</v>
      </c>
      <c r="E20393" t="s">
        <v>6</v>
      </c>
    </row>
    <row r="20394" spans="1:5" x14ac:dyDescent="0.25">
      <c r="A20394" t="str">
        <f>HYPERLINK("https://www.773grp.com/globalSearch/UCC3956N/page-1", "UCC3956N")</f>
        <v>UCC3956N</v>
      </c>
      <c r="B20394" s="3" t="s">
        <v>112</v>
      </c>
      <c r="C20394" s="5">
        <v>723</v>
      </c>
      <c r="D20394" s="6">
        <v>7.18</v>
      </c>
      <c r="E20394" t="s">
        <v>6</v>
      </c>
    </row>
    <row r="20395" spans="1:5" x14ac:dyDescent="0.25">
      <c r="A20395" t="str">
        <f>HYPERLINK("https://www.773grp.com/globalSearch/UC3865DW/page-1", "UC3865DW")</f>
        <v>UC3865DW</v>
      </c>
      <c r="B20395" s="3" t="s">
        <v>112</v>
      </c>
      <c r="C20395" s="5">
        <v>655</v>
      </c>
      <c r="D20395" s="6">
        <v>7.2</v>
      </c>
      <c r="E20395" t="s">
        <v>6</v>
      </c>
    </row>
    <row r="20396" spans="1:5" x14ac:dyDescent="0.25">
      <c r="A20396" t="str">
        <f>HYPERLINK("https://www.773grp.com/globalSearch/UCC2580DTR-4/page-1", "UCC2580DTR-4")</f>
        <v>UCC2580DTR-4</v>
      </c>
      <c r="B20396" s="3" t="s">
        <v>112</v>
      </c>
      <c r="C20396" s="5">
        <v>12500</v>
      </c>
      <c r="D20396" s="6">
        <v>7.46</v>
      </c>
      <c r="E20396" t="s">
        <v>6</v>
      </c>
    </row>
    <row r="20397" spans="1:5" x14ac:dyDescent="0.25">
      <c r="A20397" t="str">
        <f>HYPERLINK("https://www.773grp.com/globalSearch/UCC3583D/page-1", "UCC3583D")</f>
        <v>UCC3583D</v>
      </c>
      <c r="B20397" s="3" t="s">
        <v>112</v>
      </c>
      <c r="C20397" s="5">
        <v>2800</v>
      </c>
      <c r="D20397" s="6">
        <v>7.46</v>
      </c>
      <c r="E20397" t="s">
        <v>6</v>
      </c>
    </row>
    <row r="20398" spans="1:5" x14ac:dyDescent="0.25">
      <c r="A20398" t="str">
        <f>HYPERLINK("https://www.773grp.com/globalSearch/UCC2580N-2/page-1", "UCC2580N-2")</f>
        <v>UCC2580N-2</v>
      </c>
      <c r="B20398" s="3" t="s">
        <v>112</v>
      </c>
      <c r="C20398" s="5">
        <v>1000</v>
      </c>
      <c r="D20398" s="6">
        <v>7.76</v>
      </c>
      <c r="E20398" t="s">
        <v>6</v>
      </c>
    </row>
    <row r="20399" spans="1:5" x14ac:dyDescent="0.25">
      <c r="A20399" t="str">
        <f>HYPERLINK("https://www.773grp.com/globalSearch/UC3525BDW/page-1", "UC3525BDW")</f>
        <v>UC3525BDW</v>
      </c>
      <c r="B20399" s="3" t="s">
        <v>112</v>
      </c>
      <c r="C20399" s="5">
        <v>35</v>
      </c>
      <c r="D20399" s="6">
        <v>7.88</v>
      </c>
      <c r="E20399" t="s">
        <v>6</v>
      </c>
    </row>
    <row r="20400" spans="1:5" x14ac:dyDescent="0.25">
      <c r="A20400" t="str">
        <f>HYPERLINK("https://www.773grp.com/globalSearch/UCC28501N/page-1", "UCC28501N")</f>
        <v>UCC28501N</v>
      </c>
      <c r="B20400" s="3" t="s">
        <v>112</v>
      </c>
      <c r="C20400" s="5">
        <v>4384</v>
      </c>
      <c r="D20400" s="6">
        <v>8.01</v>
      </c>
      <c r="E20400" t="s">
        <v>6</v>
      </c>
    </row>
    <row r="20401" spans="1:5" x14ac:dyDescent="0.25">
      <c r="A20401" t="str">
        <f>HYPERLINK("https://www.773grp.com/globalSearch/UCC38502DW/page-1", "UCC38502DW")</f>
        <v>UCC38502DW</v>
      </c>
      <c r="B20401" s="3" t="s">
        <v>112</v>
      </c>
      <c r="C20401" s="5">
        <v>2975</v>
      </c>
      <c r="D20401" s="6">
        <v>8.01</v>
      </c>
      <c r="E20401" t="s">
        <v>6</v>
      </c>
    </row>
    <row r="20402" spans="1:5" x14ac:dyDescent="0.25">
      <c r="A20402" t="str">
        <f>HYPERLINK("https://www.773grp.com/globalSearch/UC2861DW/page-1", "UC2861DW")</f>
        <v>UC2861DW</v>
      </c>
      <c r="B20402" s="3" t="s">
        <v>112</v>
      </c>
      <c r="C20402" s="5">
        <v>920</v>
      </c>
      <c r="D20402" s="6">
        <v>8.06</v>
      </c>
      <c r="E20402" t="s">
        <v>6</v>
      </c>
    </row>
    <row r="20403" spans="1:5" x14ac:dyDescent="0.25">
      <c r="A20403" t="str">
        <f>HYPERLINK("https://www.773grp.com/globalSearch/UC2861Q/page-1", "UC2861Q")</f>
        <v>UC2861Q</v>
      </c>
      <c r="B20403" s="3" t="s">
        <v>112</v>
      </c>
      <c r="C20403" s="5">
        <v>2346</v>
      </c>
      <c r="D20403" s="6">
        <v>8.06</v>
      </c>
      <c r="E20403" t="s">
        <v>6</v>
      </c>
    </row>
    <row r="20404" spans="1:5" x14ac:dyDescent="0.25">
      <c r="A20404" t="str">
        <f>HYPERLINK("https://www.773grp.com/globalSearch/UC2863DW/page-1", "UC2863DW")</f>
        <v>UC2863DW</v>
      </c>
      <c r="B20404" s="3" t="s">
        <v>112</v>
      </c>
      <c r="C20404" s="5">
        <v>72</v>
      </c>
      <c r="D20404" s="6">
        <v>8.06</v>
      </c>
      <c r="E20404" t="s">
        <v>6</v>
      </c>
    </row>
    <row r="20405" spans="1:5" x14ac:dyDescent="0.25">
      <c r="A20405" t="str">
        <f>HYPERLINK("https://www.773grp.com/globalSearch/UC2863DW/page-1", "UC2863DW")</f>
        <v>UC2863DW</v>
      </c>
      <c r="B20405" s="3" t="s">
        <v>112</v>
      </c>
      <c r="C20405" s="5">
        <v>1960</v>
      </c>
      <c r="D20405" s="6">
        <v>8.06</v>
      </c>
      <c r="E20405" t="s">
        <v>6</v>
      </c>
    </row>
    <row r="20406" spans="1:5" x14ac:dyDescent="0.25">
      <c r="A20406" t="str">
        <f>HYPERLINK("https://www.773grp.com/globalSearch/UC3862N/page-1", "UC3862N")</f>
        <v>UC3862N</v>
      </c>
      <c r="B20406" s="3" t="s">
        <v>112</v>
      </c>
      <c r="C20406" s="5">
        <v>3702</v>
      </c>
      <c r="D20406" s="6">
        <v>8.06</v>
      </c>
      <c r="E20406" t="s">
        <v>6</v>
      </c>
    </row>
    <row r="20407" spans="1:5" x14ac:dyDescent="0.25">
      <c r="A20407" t="str">
        <f>HYPERLINK("https://www.773grp.com/globalSearch/UC3863N/page-1", "UC3863N")</f>
        <v>UC3863N</v>
      </c>
      <c r="B20407" s="3" t="s">
        <v>112</v>
      </c>
      <c r="C20407" s="5">
        <v>600</v>
      </c>
      <c r="D20407" s="6">
        <v>8.06</v>
      </c>
      <c r="E20407" t="s">
        <v>6</v>
      </c>
    </row>
    <row r="20408" spans="1:5" x14ac:dyDescent="0.25">
      <c r="A20408" t="str">
        <f>HYPERLINK("https://www.773grp.com/globalSearch/UC3864N/page-1", "UC3864N")</f>
        <v>UC3864N</v>
      </c>
      <c r="B20408" s="3" t="s">
        <v>112</v>
      </c>
      <c r="C20408" s="5">
        <v>3510</v>
      </c>
      <c r="D20408" s="6">
        <v>8.06</v>
      </c>
      <c r="E20408" t="s">
        <v>6</v>
      </c>
    </row>
    <row r="20409" spans="1:5" x14ac:dyDescent="0.25">
      <c r="A20409" t="str">
        <f>HYPERLINK("https://www.773grp.com/globalSearch/UC3865N/page-1", "UC3865N")</f>
        <v>UC3865N</v>
      </c>
      <c r="B20409" s="3" t="s">
        <v>112</v>
      </c>
      <c r="C20409" s="5">
        <v>50</v>
      </c>
      <c r="D20409" s="6">
        <v>8.06</v>
      </c>
      <c r="E20409" t="s">
        <v>6</v>
      </c>
    </row>
    <row r="20410" spans="1:5" x14ac:dyDescent="0.25">
      <c r="A20410" t="str">
        <f>HYPERLINK("https://www.773grp.com/globalSearch/UC3865N/page-1", "UC3865N")</f>
        <v>UC3865N</v>
      </c>
      <c r="B20410" s="3" t="s">
        <v>112</v>
      </c>
      <c r="C20410" s="5">
        <v>143</v>
      </c>
      <c r="D20410" s="6">
        <v>8.06</v>
      </c>
      <c r="E20410" t="s">
        <v>6</v>
      </c>
    </row>
    <row r="20411" spans="1:5" x14ac:dyDescent="0.25">
      <c r="A20411" t="str">
        <f>HYPERLINK("https://www.773grp.com/globalSearch/UCC39421N/page-1", "UCC39421N")</f>
        <v>UCC39421N</v>
      </c>
      <c r="B20411" s="3" t="s">
        <v>112</v>
      </c>
      <c r="C20411" s="5">
        <v>725</v>
      </c>
      <c r="D20411" s="6">
        <v>8.2100000000000009</v>
      </c>
      <c r="E20411" t="s">
        <v>6</v>
      </c>
    </row>
    <row r="20412" spans="1:5" x14ac:dyDescent="0.25">
      <c r="A20412" t="str">
        <f>HYPERLINK("https://www.773grp.com/globalSearch/UCC39421N/page-1", "UCC39421N")</f>
        <v>UCC39421N</v>
      </c>
      <c r="B20412" s="3" t="s">
        <v>112</v>
      </c>
      <c r="C20412" s="5">
        <v>3934</v>
      </c>
      <c r="D20412" s="6">
        <v>8.2100000000000009</v>
      </c>
      <c r="E20412" t="s">
        <v>6</v>
      </c>
    </row>
    <row r="20413" spans="1:5" x14ac:dyDescent="0.25">
      <c r="A20413" t="str">
        <f>HYPERLINK("https://www.773grp.com/globalSearch/UCC3583N/page-1", "UCC3583N")</f>
        <v>UCC3583N</v>
      </c>
      <c r="B20413" s="3" t="s">
        <v>112</v>
      </c>
      <c r="C20413" s="5">
        <v>7000</v>
      </c>
      <c r="D20413" s="6">
        <v>8.33</v>
      </c>
      <c r="E20413" t="s">
        <v>6</v>
      </c>
    </row>
    <row r="20414" spans="1:5" x14ac:dyDescent="0.25">
      <c r="A20414" t="str">
        <f>HYPERLINK("https://www.773grp.com/globalSearch/UC494ACN/page-1", "UC494ACN")</f>
        <v>UC494ACN</v>
      </c>
      <c r="B20414" s="3" t="s">
        <v>112</v>
      </c>
      <c r="C20414" s="5">
        <v>840</v>
      </c>
      <c r="D20414" s="6">
        <v>8.39</v>
      </c>
      <c r="E20414" t="s">
        <v>6</v>
      </c>
    </row>
    <row r="20415" spans="1:5" x14ac:dyDescent="0.25">
      <c r="A20415" t="str">
        <f>HYPERLINK("https://www.773grp.com/globalSearch/UC3909Q/page-1", "UC3909Q")</f>
        <v>UC3909Q</v>
      </c>
      <c r="B20415" s="3" t="s">
        <v>112</v>
      </c>
      <c r="C20415" s="5">
        <v>629</v>
      </c>
      <c r="D20415" s="6">
        <v>8.58</v>
      </c>
      <c r="E20415" t="s">
        <v>6</v>
      </c>
    </row>
    <row r="20416" spans="1:5" x14ac:dyDescent="0.25">
      <c r="A20416" t="str">
        <f>HYPERLINK("https://www.773grp.com/globalSearch/UC2845AJ/page-1", "UC2845AJ")</f>
        <v>UC2845AJ</v>
      </c>
      <c r="B20416" s="3" t="s">
        <v>112</v>
      </c>
      <c r="C20416" s="5">
        <v>160</v>
      </c>
      <c r="D20416" s="6">
        <v>8.73</v>
      </c>
      <c r="E20416" t="s">
        <v>6</v>
      </c>
    </row>
    <row r="20417" spans="1:5" x14ac:dyDescent="0.25">
      <c r="A20417" t="str">
        <f>HYPERLINK("https://www.773grp.com/globalSearch/UC3584N/page-1", "UC3584N")</f>
        <v>UC3584N</v>
      </c>
      <c r="B20417" s="3" t="s">
        <v>112</v>
      </c>
      <c r="C20417" s="5">
        <v>775</v>
      </c>
      <c r="D20417" s="6">
        <v>8.81</v>
      </c>
      <c r="E20417" t="s">
        <v>6</v>
      </c>
    </row>
    <row r="20418" spans="1:5" x14ac:dyDescent="0.25">
      <c r="A20418" t="str">
        <f>HYPERLINK("https://www.773grp.com/globalSearch/UCC25701PWTR/page-1", "UCC25701PWTR")</f>
        <v>UCC25701PWTR</v>
      </c>
      <c r="B20418" s="3" t="s">
        <v>112</v>
      </c>
      <c r="C20418" s="5">
        <v>2000</v>
      </c>
      <c r="D20418" s="6">
        <v>8.86</v>
      </c>
      <c r="E20418" t="s">
        <v>6</v>
      </c>
    </row>
    <row r="20419" spans="1:5" x14ac:dyDescent="0.25">
      <c r="A20419" t="str">
        <f>HYPERLINK("https://www.773grp.com/globalSearch/UCC38500N/page-1", "UCC38500N")</f>
        <v>UCC38500N</v>
      </c>
      <c r="B20419" s="3" t="s">
        <v>112</v>
      </c>
      <c r="C20419" s="5">
        <v>120</v>
      </c>
      <c r="D20419" s="6">
        <v>8.91</v>
      </c>
      <c r="E20419" t="s">
        <v>6</v>
      </c>
    </row>
    <row r="20420" spans="1:5" x14ac:dyDescent="0.25">
      <c r="A20420" t="str">
        <f>HYPERLINK("https://www.773grp.com/globalSearch/UCC38501N/page-1", "UCC38501N")</f>
        <v>UCC38501N</v>
      </c>
      <c r="B20420" s="3" t="s">
        <v>112</v>
      </c>
      <c r="C20420" s="5">
        <v>3655</v>
      </c>
      <c r="D20420" s="6">
        <v>8.91</v>
      </c>
      <c r="E20420" t="s">
        <v>6</v>
      </c>
    </row>
    <row r="20421" spans="1:5" x14ac:dyDescent="0.25">
      <c r="A20421" t="str">
        <f>HYPERLINK("https://www.773grp.com/globalSearch/UC2863N/page-1", "UC2863N")</f>
        <v>UC2863N</v>
      </c>
      <c r="B20421" s="3" t="s">
        <v>112</v>
      </c>
      <c r="C20421" s="5">
        <v>615</v>
      </c>
      <c r="D20421" s="6">
        <v>8.9499999999999993</v>
      </c>
      <c r="E20421" t="s">
        <v>6</v>
      </c>
    </row>
    <row r="20422" spans="1:5" x14ac:dyDescent="0.25">
      <c r="A20422" t="str">
        <f>HYPERLINK("https://www.773grp.com/globalSearch/UC2865N/page-1", "UC2865N")</f>
        <v>UC2865N</v>
      </c>
      <c r="B20422" s="3" t="s">
        <v>112</v>
      </c>
      <c r="C20422" s="5">
        <v>400</v>
      </c>
      <c r="D20422" s="6">
        <v>8.9499999999999993</v>
      </c>
      <c r="E20422" t="s">
        <v>6</v>
      </c>
    </row>
    <row r="20423" spans="1:5" x14ac:dyDescent="0.25">
      <c r="A20423" t="str">
        <f>HYPERLINK("https://www.773grp.com/globalSearch/UCC28500DW/page-1", "UCC28500DW")</f>
        <v>UCC28500DW</v>
      </c>
      <c r="B20423" s="3" t="s">
        <v>112</v>
      </c>
      <c r="C20423" s="5">
        <v>225</v>
      </c>
      <c r="D20423" s="6">
        <v>9.2899999999999991</v>
      </c>
      <c r="E20423" t="s">
        <v>6</v>
      </c>
    </row>
    <row r="20424" spans="1:5" x14ac:dyDescent="0.25">
      <c r="A20424" t="str">
        <f>HYPERLINK("https://www.773grp.com/globalSearch/UCC28502DW/page-1", "UCC28502DW")</f>
        <v>UCC28502DW</v>
      </c>
      <c r="B20424" s="3" t="s">
        <v>112</v>
      </c>
      <c r="C20424" s="5">
        <v>2300</v>
      </c>
      <c r="D20424" s="6">
        <v>9.2899999999999991</v>
      </c>
      <c r="E20424" t="s">
        <v>6</v>
      </c>
    </row>
    <row r="20425" spans="1:5" x14ac:dyDescent="0.25">
      <c r="A20425" t="str">
        <f>HYPERLINK("https://www.773grp.com/globalSearch/UC3825AQ/page-1", "UC3825AQ")</f>
        <v>UC3825AQ</v>
      </c>
      <c r="B20425" s="3" t="s">
        <v>112</v>
      </c>
      <c r="C20425" s="5">
        <v>22</v>
      </c>
      <c r="D20425" s="6">
        <v>9.31</v>
      </c>
      <c r="E20425" t="s">
        <v>6</v>
      </c>
    </row>
    <row r="20426" spans="1:5" x14ac:dyDescent="0.25">
      <c r="A20426" t="str">
        <f>HYPERLINK("https://www.773grp.com/globalSearch/UCC2580N-4/page-1", "UCC2580N-4")</f>
        <v>UCC2580N-4</v>
      </c>
      <c r="B20426" s="3" t="s">
        <v>112</v>
      </c>
      <c r="C20426" s="5">
        <v>85</v>
      </c>
      <c r="D20426" s="6">
        <v>9.6999999999999993</v>
      </c>
      <c r="E20426" t="s">
        <v>6</v>
      </c>
    </row>
    <row r="20427" spans="1:5" x14ac:dyDescent="0.25">
      <c r="A20427" t="str">
        <f>HYPERLINK("https://www.773grp.com/globalSearch/UCC39421PW/page-1", "UCC39421PW")</f>
        <v>UCC39421PW</v>
      </c>
      <c r="B20427" s="3" t="s">
        <v>112</v>
      </c>
      <c r="C20427" s="5">
        <v>360</v>
      </c>
      <c r="D20427" s="6">
        <v>9.6999999999999993</v>
      </c>
      <c r="E20427" t="s">
        <v>6</v>
      </c>
    </row>
    <row r="20428" spans="1:5" x14ac:dyDescent="0.25">
      <c r="A20428" t="str">
        <f>HYPERLINK("https://www.773grp.com/globalSearch/UC3527BN/page-1", "UC3527BN")</f>
        <v>UC3527BN</v>
      </c>
      <c r="B20428" s="3" t="s">
        <v>112</v>
      </c>
      <c r="C20428" s="5">
        <v>75</v>
      </c>
      <c r="D20428" s="6">
        <v>9.84</v>
      </c>
      <c r="E20428" t="s">
        <v>6</v>
      </c>
    </row>
    <row r="20429" spans="1:5" x14ac:dyDescent="0.25">
      <c r="A20429" t="str">
        <f>HYPERLINK("https://www.773grp.com/globalSearch/UC2842J/page-1", "UC2842J")</f>
        <v>UC2842J</v>
      </c>
      <c r="B20429" s="3" t="s">
        <v>112</v>
      </c>
      <c r="C20429" s="5">
        <v>290</v>
      </c>
      <c r="D20429" s="6">
        <v>9.9600000000000009</v>
      </c>
      <c r="E20429" t="s">
        <v>6</v>
      </c>
    </row>
    <row r="20430" spans="1:5" x14ac:dyDescent="0.25">
      <c r="A20430" t="str">
        <f>HYPERLINK("https://www.773grp.com/globalSearch/UC2843AJ/page-1", "UC2843AJ")</f>
        <v>UC2843AJ</v>
      </c>
      <c r="B20430" s="3" t="s">
        <v>112</v>
      </c>
      <c r="C20430" s="5">
        <v>231</v>
      </c>
      <c r="D20430" s="6">
        <v>9.9600000000000009</v>
      </c>
      <c r="E20430" t="s">
        <v>6</v>
      </c>
    </row>
    <row r="20431" spans="1:5" x14ac:dyDescent="0.25">
      <c r="A20431" t="str">
        <f>HYPERLINK("https://www.773grp.com/globalSearch/UC3847DW/page-1", "UC3847DW")</f>
        <v>UC3847DW</v>
      </c>
      <c r="B20431" s="3" t="s">
        <v>112</v>
      </c>
      <c r="C20431" s="5">
        <v>12280</v>
      </c>
      <c r="D20431" s="6">
        <v>10.01</v>
      </c>
      <c r="E20431" t="s">
        <v>6</v>
      </c>
    </row>
    <row r="20432" spans="1:5" x14ac:dyDescent="0.25">
      <c r="A20432" t="str">
        <f>HYPERLINK("https://www.773grp.com/globalSearch/UC3848DW/page-1", "UC3848DW")</f>
        <v>UC3848DW</v>
      </c>
      <c r="B20432" s="3" t="s">
        <v>112</v>
      </c>
      <c r="C20432" s="5">
        <v>41</v>
      </c>
      <c r="D20432" s="6">
        <v>10.130000000000001</v>
      </c>
      <c r="E20432" t="s">
        <v>6</v>
      </c>
    </row>
    <row r="20433" spans="1:5" x14ac:dyDescent="0.25">
      <c r="A20433" t="str">
        <f>HYPERLINK("https://www.773grp.com/globalSearch/UCC35701PW/page-1", "UCC35701PW")</f>
        <v>UCC35701PW</v>
      </c>
      <c r="B20433" s="3" t="s">
        <v>112</v>
      </c>
      <c r="C20433" s="5">
        <v>450</v>
      </c>
      <c r="D20433" s="6">
        <v>10.130000000000001</v>
      </c>
      <c r="E20433" t="s">
        <v>6</v>
      </c>
    </row>
    <row r="20434" spans="1:5" x14ac:dyDescent="0.25">
      <c r="A20434" t="str">
        <f>HYPERLINK("https://www.773grp.com/globalSearch/UC3886N/page-1", "UC3886N")</f>
        <v>UC3886N</v>
      </c>
      <c r="B20434" s="3" t="s">
        <v>112</v>
      </c>
      <c r="C20434" s="5">
        <v>18</v>
      </c>
      <c r="D20434" s="6">
        <v>10.26</v>
      </c>
      <c r="E20434" t="s">
        <v>6</v>
      </c>
    </row>
    <row r="20435" spans="1:5" x14ac:dyDescent="0.25">
      <c r="A20435" t="str">
        <f>HYPERLINK("https://www.773grp.com/globalSearch/UC3886N/page-1", "UC3886N")</f>
        <v>UC3886N</v>
      </c>
      <c r="B20435" s="3" t="s">
        <v>112</v>
      </c>
      <c r="C20435" s="5">
        <v>76</v>
      </c>
      <c r="D20435" s="6">
        <v>10.26</v>
      </c>
      <c r="E20435" t="s">
        <v>6</v>
      </c>
    </row>
    <row r="20436" spans="1:5" x14ac:dyDescent="0.25">
      <c r="A20436" t="str">
        <f>HYPERLINK("https://www.773grp.com/globalSearch/UCC2895DW/page-1", "UCC2895DW")</f>
        <v>UCC2895DW</v>
      </c>
      <c r="B20436" s="3" t="s">
        <v>112</v>
      </c>
      <c r="C20436" s="5">
        <v>37</v>
      </c>
      <c r="D20436" s="6">
        <v>10.38</v>
      </c>
      <c r="E20436" t="s">
        <v>6</v>
      </c>
    </row>
    <row r="20437" spans="1:5" x14ac:dyDescent="0.25">
      <c r="A20437" t="str">
        <f>HYPERLINK("https://www.773grp.com/globalSearch/UCC2895PW/page-1", "UCC2895PW")</f>
        <v>UCC2895PW</v>
      </c>
      <c r="B20437" s="3" t="s">
        <v>112</v>
      </c>
      <c r="C20437" s="5">
        <v>9</v>
      </c>
      <c r="D20437" s="6">
        <v>10.38</v>
      </c>
      <c r="E20437" t="s">
        <v>6</v>
      </c>
    </row>
    <row r="20438" spans="1:5" x14ac:dyDescent="0.25">
      <c r="A20438" t="str">
        <f>HYPERLINK("https://www.773grp.com/globalSearch/UC3842J/page-1", "UC3842J")</f>
        <v>UC3842J</v>
      </c>
      <c r="B20438" s="3" t="s">
        <v>112</v>
      </c>
      <c r="C20438" s="5">
        <v>349</v>
      </c>
      <c r="D20438" s="6">
        <v>10.41</v>
      </c>
      <c r="E20438" t="s">
        <v>6</v>
      </c>
    </row>
    <row r="20439" spans="1:5" x14ac:dyDescent="0.25">
      <c r="A20439" t="str">
        <f>HYPERLINK("https://www.773grp.com/globalSearch/UCC25701D/page-1", "UCC25701D")</f>
        <v>UCC25701D</v>
      </c>
      <c r="B20439" s="3" t="s">
        <v>112</v>
      </c>
      <c r="C20439" s="5">
        <v>45</v>
      </c>
      <c r="D20439" s="6">
        <v>10.41</v>
      </c>
      <c r="E20439" t="s">
        <v>6</v>
      </c>
    </row>
    <row r="20440" spans="1:5" x14ac:dyDescent="0.25">
      <c r="A20440" t="str">
        <f>HYPERLINK("https://www.773grp.com/globalSearch/UCC25701PW/page-1", "UCC25701PW")</f>
        <v>UCC25701PW</v>
      </c>
      <c r="B20440" s="3" t="s">
        <v>112</v>
      </c>
      <c r="C20440" s="5">
        <v>1080</v>
      </c>
      <c r="D20440" s="6">
        <v>10.55</v>
      </c>
      <c r="E20440" t="s">
        <v>6</v>
      </c>
    </row>
    <row r="20441" spans="1:5" x14ac:dyDescent="0.25">
      <c r="A20441" t="str">
        <f>HYPERLINK("https://www.773grp.com/globalSearch/UCC3570D/page-1", "UCC3570D")</f>
        <v>UCC3570D</v>
      </c>
      <c r="B20441" s="3" t="s">
        <v>112</v>
      </c>
      <c r="C20441" s="5">
        <v>830</v>
      </c>
      <c r="D20441" s="6">
        <v>10.69</v>
      </c>
      <c r="E20441" t="s">
        <v>6</v>
      </c>
    </row>
    <row r="20442" spans="1:5" x14ac:dyDescent="0.25">
      <c r="A20442" t="str">
        <f>HYPERLINK("https://www.773grp.com/globalSearch/UC2825AN/page-1", "UC2825AN")</f>
        <v>UC2825AN</v>
      </c>
      <c r="B20442" s="3" t="s">
        <v>112</v>
      </c>
      <c r="C20442" s="5">
        <v>428</v>
      </c>
      <c r="D20442" s="6">
        <v>10.8</v>
      </c>
      <c r="E20442" t="s">
        <v>6</v>
      </c>
    </row>
    <row r="20443" spans="1:5" x14ac:dyDescent="0.25">
      <c r="A20443" t="str">
        <f>HYPERLINK("https://www.773grp.com/globalSearch/UC3872DW/page-1", "UC3872DW")</f>
        <v>UC3872DW</v>
      </c>
      <c r="B20443" s="3" t="s">
        <v>112</v>
      </c>
      <c r="C20443" s="5">
        <v>17</v>
      </c>
      <c r="D20443" s="6">
        <v>10.98</v>
      </c>
      <c r="E20443" t="s">
        <v>6</v>
      </c>
    </row>
    <row r="20444" spans="1:5" x14ac:dyDescent="0.25">
      <c r="A20444" t="str">
        <f>HYPERLINK("https://www.773grp.com/globalSearch/UCC2973PW/page-1", "UCC2973PW")</f>
        <v>UCC2973PW</v>
      </c>
      <c r="B20444" s="3" t="s">
        <v>112</v>
      </c>
      <c r="C20444" s="5">
        <v>1300</v>
      </c>
      <c r="D20444" s="6">
        <v>10.98</v>
      </c>
      <c r="E20444" t="s">
        <v>6</v>
      </c>
    </row>
    <row r="20445" spans="1:5" x14ac:dyDescent="0.25">
      <c r="A20445" t="str">
        <f>HYPERLINK("https://www.773grp.com/globalSearch/UCC29421N/page-1", "UCC29421N")</f>
        <v>UCC29421N</v>
      </c>
      <c r="B20445" s="3" t="s">
        <v>112</v>
      </c>
      <c r="C20445" s="5">
        <v>40</v>
      </c>
      <c r="D20445" s="6">
        <v>11.31</v>
      </c>
      <c r="E20445" t="s">
        <v>6</v>
      </c>
    </row>
    <row r="20446" spans="1:5" x14ac:dyDescent="0.25">
      <c r="A20446" t="str">
        <f>HYPERLINK("https://www.773grp.com/globalSearch/UCC29421N/page-1", "UCC29421N")</f>
        <v>UCC29421N</v>
      </c>
      <c r="B20446" s="3" t="s">
        <v>112</v>
      </c>
      <c r="C20446" s="5">
        <v>1000</v>
      </c>
      <c r="D20446" s="6">
        <v>11.31</v>
      </c>
      <c r="E20446" t="s">
        <v>6</v>
      </c>
    </row>
    <row r="20447" spans="1:5" x14ac:dyDescent="0.25">
      <c r="A20447" t="str">
        <f>HYPERLINK("https://www.773grp.com/globalSearch/UC2525BJ/page-1", "UC2525BJ")</f>
        <v>UC2525BJ</v>
      </c>
      <c r="B20447" s="3" t="s">
        <v>112</v>
      </c>
      <c r="C20447" s="5">
        <v>229</v>
      </c>
      <c r="D20447" s="6">
        <v>11.48</v>
      </c>
      <c r="E20447" t="s">
        <v>6</v>
      </c>
    </row>
    <row r="20448" spans="1:5" x14ac:dyDescent="0.25">
      <c r="A20448" t="str">
        <f>HYPERLINK("https://www.773grp.com/globalSearch/UCC3806DWTR/page-1", "UCC3806DWTR")</f>
        <v>UCC3806DWTR</v>
      </c>
      <c r="B20448" s="3" t="s">
        <v>112</v>
      </c>
      <c r="C20448" s="5">
        <v>173000</v>
      </c>
      <c r="D20448" s="6">
        <v>11.53</v>
      </c>
      <c r="E20448" t="s">
        <v>6</v>
      </c>
    </row>
    <row r="20449" spans="1:5" x14ac:dyDescent="0.25">
      <c r="A20449" t="str">
        <f>HYPERLINK("https://www.773grp.com/globalSearch/UC2847N/page-1", "UC2847N")</f>
        <v>UC2847N</v>
      </c>
      <c r="B20449" s="3" t="s">
        <v>112</v>
      </c>
      <c r="C20449" s="5">
        <v>842</v>
      </c>
      <c r="D20449" s="6">
        <v>11.61</v>
      </c>
      <c r="E20449" t="s">
        <v>6</v>
      </c>
    </row>
    <row r="20450" spans="1:5" x14ac:dyDescent="0.25">
      <c r="A20450" t="str">
        <f>HYPERLINK("https://www.773grp.com/globalSearch/UCC25701N/page-1", "UCC25701N")</f>
        <v>UCC25701N</v>
      </c>
      <c r="B20450" s="3" t="s">
        <v>112</v>
      </c>
      <c r="C20450" s="5">
        <v>2331</v>
      </c>
      <c r="D20450" s="6">
        <v>11.61</v>
      </c>
      <c r="E20450" t="s">
        <v>6</v>
      </c>
    </row>
    <row r="20451" spans="1:5" x14ac:dyDescent="0.25">
      <c r="A20451" t="str">
        <f>HYPERLINK("https://www.773grp.com/globalSearch/UC3870N-2/page-1", "UC3870N-2")</f>
        <v>UC3870N-2</v>
      </c>
      <c r="B20451" s="3" t="s">
        <v>112</v>
      </c>
      <c r="C20451" s="5">
        <v>1642</v>
      </c>
      <c r="D20451" s="6">
        <v>11.68</v>
      </c>
      <c r="E20451" t="s">
        <v>6</v>
      </c>
    </row>
    <row r="20452" spans="1:5" x14ac:dyDescent="0.25">
      <c r="A20452" t="str">
        <f>HYPERLINK("https://www.773grp.com/globalSearch/UC3827DW-1/page-1", "UC3827DW-1")</f>
        <v>UC3827DW-1</v>
      </c>
      <c r="B20452" s="3" t="s">
        <v>112</v>
      </c>
      <c r="C20452" s="5">
        <v>5</v>
      </c>
      <c r="D20452" s="6">
        <v>11.81</v>
      </c>
      <c r="E20452" t="s">
        <v>6</v>
      </c>
    </row>
    <row r="20453" spans="1:5" x14ac:dyDescent="0.25">
      <c r="A20453" t="str">
        <f>HYPERLINK("https://www.773grp.com/globalSearch/UC3524J/page-1", "UC3524J")</f>
        <v>UC3524J</v>
      </c>
      <c r="B20453" s="3" t="s">
        <v>112</v>
      </c>
      <c r="C20453" s="5">
        <v>2680</v>
      </c>
      <c r="D20453" s="6">
        <v>11.85</v>
      </c>
      <c r="E20453" t="s">
        <v>6</v>
      </c>
    </row>
    <row r="20454" spans="1:5" x14ac:dyDescent="0.25">
      <c r="A20454" t="str">
        <f>HYPERLINK("https://www.773grp.com/globalSearch/UC2886D/page-1", "UC2886D")</f>
        <v>UC2886D</v>
      </c>
      <c r="B20454" s="3" t="s">
        <v>112</v>
      </c>
      <c r="C20454" s="5">
        <v>1205</v>
      </c>
      <c r="D20454" s="6">
        <v>12.1</v>
      </c>
      <c r="E20454" t="s">
        <v>6</v>
      </c>
    </row>
    <row r="20455" spans="1:5" x14ac:dyDescent="0.25">
      <c r="A20455" t="str">
        <f>HYPERLINK("https://www.773grp.com/globalSearch/UCC2972N/page-1", "UCC2972N")</f>
        <v>UCC2972N</v>
      </c>
      <c r="B20455" s="3" t="s">
        <v>112</v>
      </c>
      <c r="C20455" s="5">
        <v>100</v>
      </c>
      <c r="D20455" s="6">
        <v>12.1</v>
      </c>
      <c r="E20455" t="s">
        <v>6</v>
      </c>
    </row>
    <row r="20456" spans="1:5" x14ac:dyDescent="0.25">
      <c r="A20456" t="str">
        <f>HYPERLINK("https://www.773grp.com/globalSearch/UCC2976PW/page-1", "UCC2976PW")</f>
        <v>UCC2976PW</v>
      </c>
      <c r="B20456" s="3" t="s">
        <v>112</v>
      </c>
      <c r="C20456" s="5">
        <v>2375</v>
      </c>
      <c r="D20456" s="6">
        <v>12.1</v>
      </c>
      <c r="E20456" t="s">
        <v>6</v>
      </c>
    </row>
    <row r="20457" spans="1:5" x14ac:dyDescent="0.25">
      <c r="A20457" t="str">
        <f>HYPERLINK("https://www.773grp.com/globalSearch/UC3827N-1/page-1", "UC3827N-1")</f>
        <v>UC3827N-1</v>
      </c>
      <c r="B20457" s="3" t="s">
        <v>112</v>
      </c>
      <c r="C20457" s="5">
        <v>7</v>
      </c>
      <c r="D20457" s="6">
        <v>13.3</v>
      </c>
      <c r="E20457" t="s">
        <v>6</v>
      </c>
    </row>
    <row r="20458" spans="1:5" x14ac:dyDescent="0.25">
      <c r="A20458" t="str">
        <f>HYPERLINK("https://www.773grp.com/globalSearch/UC3827N-1/page-1", "UC3827N-1")</f>
        <v>UC3827N-1</v>
      </c>
      <c r="B20458" s="3" t="s">
        <v>112</v>
      </c>
      <c r="C20458" s="5">
        <v>5</v>
      </c>
      <c r="D20458" s="6">
        <v>13.3</v>
      </c>
      <c r="E20458" t="s">
        <v>6</v>
      </c>
    </row>
    <row r="20459" spans="1:5" x14ac:dyDescent="0.25">
      <c r="A20459" t="str">
        <f>HYPERLINK("https://www.773grp.com/globalSearch/UC3827N-2/page-1", "UC3827N-2")</f>
        <v>UC3827N-2</v>
      </c>
      <c r="B20459" s="3" t="s">
        <v>112</v>
      </c>
      <c r="C20459" s="5">
        <v>10</v>
      </c>
      <c r="D20459" s="6">
        <v>13.3</v>
      </c>
      <c r="E20459" t="s">
        <v>6</v>
      </c>
    </row>
    <row r="20460" spans="1:5" x14ac:dyDescent="0.25">
      <c r="A20460" t="str">
        <f>HYPERLINK("https://www.773grp.com/globalSearch/UCC39422PW/page-1", "UCC39422PW")</f>
        <v>UCC39422PW</v>
      </c>
      <c r="B20460" s="3" t="s">
        <v>112</v>
      </c>
      <c r="C20460" s="5">
        <v>50</v>
      </c>
      <c r="D20460" s="6">
        <v>13.36</v>
      </c>
      <c r="E20460" t="s">
        <v>6</v>
      </c>
    </row>
    <row r="20461" spans="1:5" x14ac:dyDescent="0.25">
      <c r="A20461" t="str">
        <f>HYPERLINK("https://www.773grp.com/globalSearch/UCC39422PW/page-1", "UCC39422PW")</f>
        <v>UCC39422PW</v>
      </c>
      <c r="B20461" s="3" t="s">
        <v>112</v>
      </c>
      <c r="C20461" s="5">
        <v>13</v>
      </c>
      <c r="D20461" s="6">
        <v>13.36</v>
      </c>
      <c r="E20461" t="s">
        <v>6</v>
      </c>
    </row>
    <row r="20462" spans="1:5" x14ac:dyDescent="0.25">
      <c r="A20462" t="str">
        <f>HYPERLINK("https://www.773grp.com/globalSearch/UC3823AQTR/page-1", "UC3823AQTR")</f>
        <v>UC3823AQTR</v>
      </c>
      <c r="B20462" s="3" t="s">
        <v>112</v>
      </c>
      <c r="C20462" s="5">
        <v>1000</v>
      </c>
      <c r="D20462" s="6">
        <v>13.79</v>
      </c>
      <c r="E20462" t="s">
        <v>6</v>
      </c>
    </row>
    <row r="20463" spans="1:5" x14ac:dyDescent="0.25">
      <c r="A20463" t="str">
        <f>HYPERLINK("https://www.773grp.com/globalSearch/UC2849N/page-1", "UC2849N")</f>
        <v>UC2849N</v>
      </c>
      <c r="B20463" s="3" t="s">
        <v>112</v>
      </c>
      <c r="C20463" s="5">
        <v>525</v>
      </c>
      <c r="D20463" s="6">
        <v>13.93</v>
      </c>
      <c r="E20463" t="s">
        <v>6</v>
      </c>
    </row>
    <row r="20464" spans="1:5" x14ac:dyDescent="0.25">
      <c r="A20464" t="str">
        <f>HYPERLINK("https://www.773grp.com/globalSearch/UC2578N/page-1", "UC2578N")</f>
        <v>UC2578N</v>
      </c>
      <c r="B20464" s="3" t="s">
        <v>112</v>
      </c>
      <c r="C20464" s="5">
        <v>345</v>
      </c>
      <c r="D20464" s="6">
        <v>14.06</v>
      </c>
      <c r="E20464" t="s">
        <v>6</v>
      </c>
    </row>
    <row r="20465" spans="1:5" x14ac:dyDescent="0.25">
      <c r="A20465" t="str">
        <f>HYPERLINK("https://www.773grp.com/globalSearch/UC2860DW/page-1", "UC2860DW")</f>
        <v>UC2860DW</v>
      </c>
      <c r="B20465" s="3" t="s">
        <v>112</v>
      </c>
      <c r="C20465" s="5">
        <v>400</v>
      </c>
      <c r="D20465" s="6">
        <v>14.76</v>
      </c>
      <c r="E20465" t="s">
        <v>6</v>
      </c>
    </row>
    <row r="20466" spans="1:5" x14ac:dyDescent="0.25">
      <c r="A20466" t="str">
        <f>HYPERLINK("https://www.773grp.com/globalSearch/UC2823AQTR/page-1", "UC2823AQTR")</f>
        <v>UC2823AQTR</v>
      </c>
      <c r="B20466" s="3" t="s">
        <v>112</v>
      </c>
      <c r="C20466" s="5">
        <v>2963</v>
      </c>
      <c r="D20466" s="6">
        <v>15.19</v>
      </c>
      <c r="E20466" t="s">
        <v>6</v>
      </c>
    </row>
    <row r="20467" spans="1:5" x14ac:dyDescent="0.25">
      <c r="A20467" t="str">
        <f>HYPERLINK("https://www.773grp.com/globalSearch/UC2526AJ/page-1", "UC2526AJ")</f>
        <v>UC2526AJ</v>
      </c>
      <c r="B20467" s="3" t="s">
        <v>112</v>
      </c>
      <c r="C20467" s="5">
        <v>99</v>
      </c>
      <c r="D20467" s="6">
        <v>15.24</v>
      </c>
      <c r="E20467" t="s">
        <v>6</v>
      </c>
    </row>
    <row r="20468" spans="1:5" x14ac:dyDescent="0.25">
      <c r="A20468" t="str">
        <f>HYPERLINK("https://www.773grp.com/globalSearch/UC2872DW/page-1", "UC2872DW")</f>
        <v>UC2872DW</v>
      </c>
      <c r="B20468" s="3" t="s">
        <v>112</v>
      </c>
      <c r="C20468" s="5">
        <v>1835</v>
      </c>
      <c r="D20468" s="6">
        <v>15.36</v>
      </c>
      <c r="E20468" t="s">
        <v>6</v>
      </c>
    </row>
    <row r="20469" spans="1:5" x14ac:dyDescent="0.25">
      <c r="A20469" t="str">
        <f>HYPERLINK("https://www.773grp.com/globalSearch/UCC3972N/page-1", "UCC3972N")</f>
        <v>UCC3972N</v>
      </c>
      <c r="B20469" s="3" t="s">
        <v>112</v>
      </c>
      <c r="C20469" s="5">
        <v>1000</v>
      </c>
      <c r="D20469" s="6">
        <v>15.73</v>
      </c>
      <c r="E20469" t="s">
        <v>6</v>
      </c>
    </row>
    <row r="20470" spans="1:5" x14ac:dyDescent="0.25">
      <c r="A20470" t="str">
        <f>HYPERLINK("https://www.773grp.com/globalSearch/UCC3972PW/page-1", "UCC3972PW")</f>
        <v>UCC3972PW</v>
      </c>
      <c r="B20470" s="3" t="s">
        <v>112</v>
      </c>
      <c r="C20470" s="5">
        <v>300</v>
      </c>
      <c r="D20470" s="6">
        <v>15.73</v>
      </c>
      <c r="E20470" t="s">
        <v>6</v>
      </c>
    </row>
    <row r="20471" spans="1:5" x14ac:dyDescent="0.25">
      <c r="A20471" t="str">
        <f>HYPERLINK("https://www.773grp.com/globalSearch/UCC3972PW/page-1", "UCC3972PW")</f>
        <v>UCC3972PW</v>
      </c>
      <c r="B20471" s="3" t="s">
        <v>112</v>
      </c>
      <c r="C20471" s="5">
        <v>10100</v>
      </c>
      <c r="D20471" s="6">
        <v>15.73</v>
      </c>
      <c r="E20471" t="s">
        <v>6</v>
      </c>
    </row>
    <row r="20472" spans="1:5" x14ac:dyDescent="0.25">
      <c r="A20472" t="str">
        <f>HYPERLINK("https://www.773grp.com/globalSearch/UC2871DW/page-1", "UC2871DW")</f>
        <v>UC2871DW</v>
      </c>
      <c r="B20472" s="3" t="s">
        <v>112</v>
      </c>
      <c r="C20472" s="5">
        <v>55</v>
      </c>
      <c r="D20472" s="6">
        <v>16</v>
      </c>
      <c r="E20472" t="s">
        <v>6</v>
      </c>
    </row>
    <row r="20473" spans="1:5" x14ac:dyDescent="0.25">
      <c r="A20473" t="str">
        <f>HYPERLINK("https://www.773grp.com/globalSearch/UC2871N/page-1", "UC2871N")</f>
        <v>UC2871N</v>
      </c>
      <c r="B20473" s="3" t="s">
        <v>112</v>
      </c>
      <c r="C20473" s="5">
        <v>4</v>
      </c>
      <c r="D20473" s="6">
        <v>16</v>
      </c>
      <c r="E20473" t="s">
        <v>6</v>
      </c>
    </row>
    <row r="20474" spans="1:5" x14ac:dyDescent="0.25">
      <c r="A20474" t="str">
        <f>HYPERLINK("https://www.773grp.com/globalSearch/UC3871DWTR/page-1", "UC3871DWTR")</f>
        <v>UC3871DWTR</v>
      </c>
      <c r="B20474" s="3" t="s">
        <v>112</v>
      </c>
      <c r="C20474" s="5">
        <v>2000</v>
      </c>
      <c r="D20474" s="6">
        <v>16</v>
      </c>
      <c r="E20474" t="s">
        <v>6</v>
      </c>
    </row>
    <row r="20475" spans="1:5" x14ac:dyDescent="0.25">
      <c r="A20475" t="str">
        <f>HYPERLINK("https://www.773grp.com/globalSearch/UCC2806DW/page-1", "UCC2806DW")</f>
        <v>UCC2806DW</v>
      </c>
      <c r="B20475" s="3" t="s">
        <v>112</v>
      </c>
      <c r="C20475" s="5">
        <v>30</v>
      </c>
      <c r="D20475" s="6">
        <v>16.04</v>
      </c>
      <c r="E20475" t="s">
        <v>6</v>
      </c>
    </row>
    <row r="20476" spans="1:5" x14ac:dyDescent="0.25">
      <c r="A20476" t="str">
        <f>HYPERLINK("https://www.773grp.com/globalSearch/UC2870DW-1/page-1", "UC2870DW-1")</f>
        <v>UC2870DW-1</v>
      </c>
      <c r="B20476" s="3" t="s">
        <v>112</v>
      </c>
      <c r="C20476" s="5">
        <v>985</v>
      </c>
      <c r="D20476" s="6">
        <v>16.79</v>
      </c>
      <c r="E20476" t="s">
        <v>6</v>
      </c>
    </row>
    <row r="20477" spans="1:5" x14ac:dyDescent="0.25">
      <c r="A20477" t="str">
        <f>HYPERLINK("https://www.773grp.com/globalSearch/UC3874DW-1/page-1", "UC3874DW-1")</f>
        <v>UC3874DW-1</v>
      </c>
      <c r="B20477" s="3" t="s">
        <v>112</v>
      </c>
      <c r="C20477" s="5">
        <v>33</v>
      </c>
      <c r="D20477" s="6">
        <v>16.989999999999998</v>
      </c>
      <c r="E20477" t="s">
        <v>6</v>
      </c>
    </row>
    <row r="20478" spans="1:5" x14ac:dyDescent="0.25">
      <c r="A20478" t="str">
        <f>HYPERLINK("https://www.773grp.com/globalSearch/UC3874DW-1/page-1", "UC3874DW-1")</f>
        <v>UC3874DW-1</v>
      </c>
      <c r="B20478" s="3" t="s">
        <v>112</v>
      </c>
      <c r="C20478" s="5">
        <v>36</v>
      </c>
      <c r="D20478" s="6">
        <v>16.989999999999998</v>
      </c>
      <c r="E20478" t="s">
        <v>6</v>
      </c>
    </row>
    <row r="20479" spans="1:5" x14ac:dyDescent="0.25">
      <c r="A20479" t="str">
        <f>HYPERLINK("https://www.773grp.com/globalSearch/UC3874DW-2/page-1", "UC3874DW-2")</f>
        <v>UC3874DW-2</v>
      </c>
      <c r="B20479" s="3" t="s">
        <v>112</v>
      </c>
      <c r="C20479" s="5">
        <v>5640</v>
      </c>
      <c r="D20479" s="6">
        <v>16.989999999999998</v>
      </c>
      <c r="E20479" t="s">
        <v>6</v>
      </c>
    </row>
    <row r="20480" spans="1:5" x14ac:dyDescent="0.25">
      <c r="A20480" t="str">
        <f>HYPERLINK("https://www.773grp.com/globalSearch/UC2526J/page-1", "UC2526J")</f>
        <v>UC2526J</v>
      </c>
      <c r="B20480" s="3" t="s">
        <v>112</v>
      </c>
      <c r="C20480" s="5">
        <v>92</v>
      </c>
      <c r="D20480" s="6">
        <v>17.16</v>
      </c>
      <c r="E20480" t="s">
        <v>6</v>
      </c>
    </row>
    <row r="20481" spans="1:5" x14ac:dyDescent="0.25">
      <c r="A20481" t="str">
        <f>HYPERLINK("https://www.773grp.com/globalSearch/UC3524AJ/page-1", "UC3524AJ")</f>
        <v>UC3524AJ</v>
      </c>
      <c r="B20481" s="3" t="s">
        <v>112</v>
      </c>
      <c r="C20481" s="5">
        <v>3798</v>
      </c>
      <c r="D20481" s="6">
        <v>17.16</v>
      </c>
      <c r="E20481" t="s">
        <v>6</v>
      </c>
    </row>
    <row r="20482" spans="1:5" x14ac:dyDescent="0.25">
      <c r="A20482" t="str">
        <f>HYPERLINK("https://www.773grp.com/globalSearch/UC3825BDW/page-1", "UC3825BDW")</f>
        <v>UC3825BDW</v>
      </c>
      <c r="B20482" s="3" t="s">
        <v>112</v>
      </c>
      <c r="C20482" s="5">
        <v>5640</v>
      </c>
      <c r="D20482" s="6">
        <v>17.940000000000001</v>
      </c>
      <c r="E20482" t="s">
        <v>6</v>
      </c>
    </row>
    <row r="20483" spans="1:5" x14ac:dyDescent="0.25">
      <c r="A20483" t="str">
        <f>HYPERLINK("https://www.773grp.com/globalSearch/UC3841N/page-1", "UC3841N")</f>
        <v>UC3841N</v>
      </c>
      <c r="B20483" s="3" t="s">
        <v>112</v>
      </c>
      <c r="C20483" s="5">
        <v>1000</v>
      </c>
      <c r="D20483" s="6">
        <v>20.25</v>
      </c>
      <c r="E20483" t="s">
        <v>6</v>
      </c>
    </row>
    <row r="20484" spans="1:5" x14ac:dyDescent="0.25">
      <c r="A20484" t="str">
        <f>HYPERLINK("https://www.773grp.com/globalSearch/UC2525AJ/page-1", "UC2525AJ")</f>
        <v>UC2525AJ</v>
      </c>
      <c r="B20484" s="3" t="s">
        <v>112</v>
      </c>
      <c r="C20484" s="5">
        <v>9166</v>
      </c>
      <c r="D20484" s="6">
        <v>20.7</v>
      </c>
      <c r="E20484" t="s">
        <v>6</v>
      </c>
    </row>
    <row r="20485" spans="1:5" x14ac:dyDescent="0.25">
      <c r="A20485" t="str">
        <f>HYPERLINK("https://www.773grp.com/globalSearch/UC2825BN/page-1", "UC2825BN")</f>
        <v>UC2825BN</v>
      </c>
      <c r="B20485" s="3" t="s">
        <v>112</v>
      </c>
      <c r="C20485" s="5">
        <v>4897</v>
      </c>
      <c r="D20485" s="6">
        <v>20.81</v>
      </c>
      <c r="E20485" t="s">
        <v>6</v>
      </c>
    </row>
    <row r="20486" spans="1:5" x14ac:dyDescent="0.25">
      <c r="A20486" t="str">
        <f>HYPERLINK("https://www.773grp.com/globalSearch/UC2824DWTR/page-1", "UC2824DWTR")</f>
        <v>UC2824DWTR</v>
      </c>
      <c r="B20486" s="3" t="s">
        <v>112</v>
      </c>
      <c r="C20486" s="5">
        <v>5608</v>
      </c>
      <c r="D20486" s="6">
        <v>20.96</v>
      </c>
      <c r="E20486" t="s">
        <v>6</v>
      </c>
    </row>
    <row r="20487" spans="1:5" x14ac:dyDescent="0.25">
      <c r="A20487" t="str">
        <f>HYPERLINK("https://www.773grp.com/globalSearch/UC3823ADW/page-1", "UC3823ADW")</f>
        <v>UC3823ADW</v>
      </c>
      <c r="B20487" s="3" t="s">
        <v>112</v>
      </c>
      <c r="C20487" s="5">
        <v>41655</v>
      </c>
      <c r="D20487" s="6">
        <v>21.46</v>
      </c>
      <c r="E20487" t="s">
        <v>6</v>
      </c>
    </row>
    <row r="20488" spans="1:5" x14ac:dyDescent="0.25">
      <c r="A20488" t="str">
        <f>HYPERLINK("https://www.773grp.com/globalSearch/UC3877DWP/page-1", "UC3877DWP")</f>
        <v>UC3877DWP</v>
      </c>
      <c r="B20488" s="3" t="s">
        <v>112</v>
      </c>
      <c r="C20488" s="5">
        <v>60</v>
      </c>
      <c r="D20488" s="6">
        <v>22.08</v>
      </c>
      <c r="E20488" t="s">
        <v>6</v>
      </c>
    </row>
    <row r="20489" spans="1:5" x14ac:dyDescent="0.25">
      <c r="A20489" t="str">
        <f>HYPERLINK("https://www.773grp.com/globalSearch/UCC2305N/page-1", "UCC2305N")</f>
        <v>UCC2305N</v>
      </c>
      <c r="B20489" s="3" t="s">
        <v>112</v>
      </c>
      <c r="C20489" s="5">
        <v>2</v>
      </c>
      <c r="D20489" s="6">
        <v>25.6</v>
      </c>
      <c r="E20489" t="s">
        <v>6</v>
      </c>
    </row>
    <row r="20490" spans="1:5" x14ac:dyDescent="0.25">
      <c r="A20490" t="str">
        <f>HYPERLINK("https://www.773grp.com/globalSearch/UC1842J883B/page-1", "UC1842J883B")</f>
        <v>UC1842J883B</v>
      </c>
      <c r="B20490" s="3" t="s">
        <v>112</v>
      </c>
      <c r="C20490" s="5">
        <v>275</v>
      </c>
      <c r="D20490" s="6">
        <v>26.8</v>
      </c>
      <c r="E20490" t="s">
        <v>6</v>
      </c>
    </row>
    <row r="20491" spans="1:5" x14ac:dyDescent="0.25">
      <c r="A20491" t="str">
        <f>HYPERLINK("https://www.773grp.com/globalSearch/UC3823BN/page-1", "UC3823BN")</f>
        <v>UC3823BN</v>
      </c>
      <c r="B20491" s="3" t="s">
        <v>112</v>
      </c>
      <c r="C20491" s="5">
        <v>25</v>
      </c>
      <c r="D20491" s="6">
        <v>28.94</v>
      </c>
      <c r="E20491" t="s">
        <v>6</v>
      </c>
    </row>
    <row r="20492" spans="1:5" x14ac:dyDescent="0.25">
      <c r="A20492" t="str">
        <f>HYPERLINK("https://www.773grp.com/globalSearch/UC3823BN/page-1", "UC3823BN")</f>
        <v>UC3823BN</v>
      </c>
      <c r="B20492" s="3" t="s">
        <v>112</v>
      </c>
      <c r="C20492" s="5">
        <v>775</v>
      </c>
      <c r="D20492" s="6">
        <v>28.94</v>
      </c>
      <c r="E20492" t="s">
        <v>6</v>
      </c>
    </row>
    <row r="20493" spans="1:5" x14ac:dyDescent="0.25">
      <c r="A20493" t="str">
        <f>HYPERLINK("https://www.773grp.com/globalSearch/UCC2803J/page-1", "UCC2803J")</f>
        <v>UCC2803J</v>
      </c>
      <c r="B20493" s="3" t="s">
        <v>112</v>
      </c>
      <c r="C20493" s="5">
        <v>1058</v>
      </c>
      <c r="D20493" s="6">
        <v>31.59</v>
      </c>
      <c r="E20493" t="s">
        <v>6</v>
      </c>
    </row>
    <row r="20494" spans="1:5" x14ac:dyDescent="0.25">
      <c r="A20494" t="str">
        <f>HYPERLINK("https://www.773grp.com/globalSearch/UC1527AJ-883B/page-1", "UC1527AJ-883B")</f>
        <v>UC1527AJ-883B</v>
      </c>
      <c r="B20494" s="3" t="s">
        <v>112</v>
      </c>
      <c r="C20494" s="5">
        <v>99</v>
      </c>
      <c r="D20494" s="6">
        <v>32.18</v>
      </c>
      <c r="E20494" t="s">
        <v>6</v>
      </c>
    </row>
    <row r="20495" spans="1:5" x14ac:dyDescent="0.25">
      <c r="A20495" t="str">
        <f>HYPERLINK("https://www.773grp.com/globalSearch/UC2851DW/page-1", "UC2851DW")</f>
        <v>UC2851DW</v>
      </c>
      <c r="B20495" s="3" t="s">
        <v>112</v>
      </c>
      <c r="C20495" s="5">
        <v>720</v>
      </c>
      <c r="D20495" s="6">
        <v>32.51</v>
      </c>
      <c r="E20495" t="s">
        <v>6</v>
      </c>
    </row>
    <row r="20496" spans="1:5" x14ac:dyDescent="0.25">
      <c r="A20496" t="str">
        <f>HYPERLINK("https://www.773grp.com/globalSearch/UC2577T-ADJ/page-1", "UC2577T-ADJ")</f>
        <v>UC2577T-ADJ</v>
      </c>
      <c r="B20496" s="3" t="s">
        <v>112</v>
      </c>
      <c r="C20496" s="5">
        <v>1</v>
      </c>
      <c r="D20496" s="6">
        <v>34.29</v>
      </c>
      <c r="E20496" t="s">
        <v>6</v>
      </c>
    </row>
    <row r="20497" spans="1:5" x14ac:dyDescent="0.25">
      <c r="A20497" t="str">
        <f>HYPERLINK("https://www.773grp.com/globalSearch/UC1844L883B/page-1", "UC1844L883B")</f>
        <v>UC1844L883B</v>
      </c>
      <c r="B20497" s="3" t="s">
        <v>112</v>
      </c>
      <c r="C20497" s="5">
        <v>8</v>
      </c>
      <c r="D20497" s="6">
        <v>35.4</v>
      </c>
      <c r="E20497" t="s">
        <v>6</v>
      </c>
    </row>
    <row r="20498" spans="1:5" x14ac:dyDescent="0.25">
      <c r="A20498" t="str">
        <f>HYPERLINK("https://www.773grp.com/globalSearch/UC2851N/page-1", "UC2851N")</f>
        <v>UC2851N</v>
      </c>
      <c r="B20498" s="3" t="s">
        <v>112</v>
      </c>
      <c r="C20498" s="5">
        <v>4</v>
      </c>
      <c r="D20498" s="6">
        <v>36.409999999999997</v>
      </c>
      <c r="E20498" t="s">
        <v>6</v>
      </c>
    </row>
    <row r="20499" spans="1:5" x14ac:dyDescent="0.25">
      <c r="A20499" t="str">
        <f>HYPERLINK("https://www.773grp.com/globalSearch/UC3851N/page-1", "UC3851N")</f>
        <v>UC3851N</v>
      </c>
      <c r="B20499" s="3" t="s">
        <v>112</v>
      </c>
      <c r="C20499" s="5">
        <v>21</v>
      </c>
      <c r="D20499" s="6">
        <v>36.409999999999997</v>
      </c>
      <c r="E20499" t="s">
        <v>6</v>
      </c>
    </row>
    <row r="20500" spans="1:5" x14ac:dyDescent="0.25">
      <c r="A20500" t="str">
        <f>HYPERLINK("https://www.773grp.com/globalSearch/UC1844AJ883B/page-1", "UC1844AJ883B")</f>
        <v>UC1844AJ883B</v>
      </c>
      <c r="B20500" s="3" t="s">
        <v>112</v>
      </c>
      <c r="C20500" s="5">
        <v>583</v>
      </c>
      <c r="D20500" s="6">
        <v>37.01</v>
      </c>
      <c r="E20500" t="s">
        <v>6</v>
      </c>
    </row>
    <row r="20501" spans="1:5" x14ac:dyDescent="0.25">
      <c r="A20501" t="str">
        <f>HYPERLINK("https://www.773grp.com/globalSearch/UC1854AJ/page-1", "UC1854AJ")</f>
        <v>UC1854AJ</v>
      </c>
      <c r="B20501" s="3" t="s">
        <v>112</v>
      </c>
      <c r="C20501" s="5">
        <v>21</v>
      </c>
      <c r="D20501" s="6">
        <v>37.380000000000003</v>
      </c>
      <c r="E20501" t="s">
        <v>6</v>
      </c>
    </row>
    <row r="20502" spans="1:5" x14ac:dyDescent="0.25">
      <c r="A20502" t="str">
        <f>HYPERLINK("https://www.773grp.com/globalSearch/UC1842AJ883B/page-1", "UC1842AJ883B")</f>
        <v>UC1842AJ883B</v>
      </c>
      <c r="B20502" s="3" t="s">
        <v>112</v>
      </c>
      <c r="C20502" s="5">
        <v>35</v>
      </c>
      <c r="D20502" s="6">
        <v>39.35</v>
      </c>
      <c r="E20502" t="s">
        <v>6</v>
      </c>
    </row>
    <row r="20503" spans="1:5" x14ac:dyDescent="0.25">
      <c r="A20503" t="str">
        <f>HYPERLINK("https://www.773grp.com/globalSearch/UCC1800J883B/page-1", "UCC1800J883B")</f>
        <v>UCC1800J883B</v>
      </c>
      <c r="B20503" s="3" t="s">
        <v>112</v>
      </c>
      <c r="C20503" s="5">
        <v>364</v>
      </c>
      <c r="D20503" s="6">
        <v>44.13</v>
      </c>
      <c r="E20503" t="s">
        <v>6</v>
      </c>
    </row>
    <row r="20504" spans="1:5" x14ac:dyDescent="0.25">
      <c r="A20504" t="str">
        <f>HYPERLINK("https://www.773grp.com/globalSearch/UC1845AL883B/page-1", "UC1845AL883B")</f>
        <v>UC1845AL883B</v>
      </c>
      <c r="B20504" s="3" t="s">
        <v>112</v>
      </c>
      <c r="C20504" s="5">
        <v>261</v>
      </c>
      <c r="D20504" s="6">
        <v>55.05</v>
      </c>
      <c r="E20504" t="s">
        <v>6</v>
      </c>
    </row>
    <row r="20505" spans="1:5" x14ac:dyDescent="0.25">
      <c r="A20505" t="str">
        <f>HYPERLINK("https://www.773grp.com/globalSearch/UCC1800L883B/page-1", "UCC1800L883B")</f>
        <v>UCC1800L883B</v>
      </c>
      <c r="B20505" s="3" t="s">
        <v>112</v>
      </c>
      <c r="C20505" s="5">
        <v>21</v>
      </c>
      <c r="D20505" s="6">
        <v>57.51</v>
      </c>
      <c r="E20505" t="s">
        <v>6</v>
      </c>
    </row>
    <row r="20506" spans="1:5" x14ac:dyDescent="0.25">
      <c r="A20506" t="str">
        <f>HYPERLINK("https://www.773grp.com/globalSearch/UC1825BJ/page-1", "UC1825BJ")</f>
        <v>UC1825BJ</v>
      </c>
      <c r="B20506" s="3" t="s">
        <v>112</v>
      </c>
      <c r="C20506" s="5">
        <v>2017</v>
      </c>
      <c r="D20506" s="6">
        <v>62.05</v>
      </c>
      <c r="E20506" t="s">
        <v>6</v>
      </c>
    </row>
    <row r="20507" spans="1:5" x14ac:dyDescent="0.25">
      <c r="A20507" t="str">
        <f>HYPERLINK("https://www.773grp.com/globalSearch/UC1842AL883B/page-1", "UC1842AL883B")</f>
        <v>UC1842AL883B</v>
      </c>
      <c r="B20507" s="3" t="s">
        <v>112</v>
      </c>
      <c r="C20507" s="5">
        <v>418</v>
      </c>
      <c r="D20507" s="6">
        <v>65.09</v>
      </c>
      <c r="E20507" t="s">
        <v>6</v>
      </c>
    </row>
    <row r="20508" spans="1:5" x14ac:dyDescent="0.25">
      <c r="A20508" t="str">
        <f>HYPERLINK("https://www.773grp.com/globalSearch/UC1856L20883B/page-1", "UC1856L20883B")</f>
        <v>UC1856L20883B</v>
      </c>
      <c r="B20508" s="3" t="s">
        <v>112</v>
      </c>
      <c r="C20508" s="5">
        <v>27</v>
      </c>
      <c r="D20508" s="6">
        <v>92.18</v>
      </c>
      <c r="E20508" t="s">
        <v>6</v>
      </c>
    </row>
    <row r="20509" spans="1:5" x14ac:dyDescent="0.25">
      <c r="A20509" t="str">
        <f>HYPERLINK("https://www.773grp.com/globalSearch/UC1825BJ883B/page-1", "UC1825BJ883B")</f>
        <v>UC1825BJ883B</v>
      </c>
      <c r="B20509" s="3" t="s">
        <v>112</v>
      </c>
      <c r="C20509" s="5">
        <v>1193</v>
      </c>
      <c r="D20509" s="6">
        <v>101.05</v>
      </c>
      <c r="E20509" t="s">
        <v>6</v>
      </c>
    </row>
    <row r="20510" spans="1:5" x14ac:dyDescent="0.25">
      <c r="A20510" t="str">
        <f>HYPERLINK("https://www.773grp.com/globalSearch/UC1847L883B/page-1", "UC1847L883B")</f>
        <v>UC1847L883B</v>
      </c>
      <c r="B20510" s="3" t="s">
        <v>112</v>
      </c>
      <c r="C20510" s="5">
        <v>243</v>
      </c>
      <c r="D20510" s="6">
        <v>134.84</v>
      </c>
      <c r="E20510" t="s">
        <v>6</v>
      </c>
    </row>
    <row r="20511" spans="1:5" x14ac:dyDescent="0.25">
      <c r="A20511" t="str">
        <f>HYPERLINK("https://www.773grp.com/globalSearch/UC1841L883B/page-1", "UC1841L883B")</f>
        <v>UC1841L883B</v>
      </c>
      <c r="B20511" s="3" t="s">
        <v>112</v>
      </c>
      <c r="C20511" s="5">
        <v>59</v>
      </c>
      <c r="D20511" s="6">
        <v>136.19</v>
      </c>
      <c r="E20511" t="s">
        <v>6</v>
      </c>
    </row>
    <row r="20512" spans="1:5" x14ac:dyDescent="0.25">
      <c r="A20512" t="str">
        <f>HYPERLINK("https://www.773grp.com/globalSearch/UC1854AJ883B/page-1", "UC1854AJ883B")</f>
        <v>UC1854AJ883B</v>
      </c>
      <c r="B20512" s="3" t="s">
        <v>112</v>
      </c>
      <c r="C20512" s="5">
        <v>41</v>
      </c>
      <c r="D20512" s="6">
        <v>194.1</v>
      </c>
      <c r="E20512" t="s">
        <v>6</v>
      </c>
    </row>
    <row r="20513" spans="1:5" x14ac:dyDescent="0.25">
      <c r="A20513" t="str">
        <f>HYPERLINK("https://www.773grp.com/globalSearch/UC1825BL883B/page-1", "UC1825BL883B")</f>
        <v>UC1825BL883B</v>
      </c>
      <c r="B20513" s="3" t="s">
        <v>112</v>
      </c>
      <c r="C20513" s="5">
        <v>254</v>
      </c>
      <c r="D20513" s="6">
        <v>195.75</v>
      </c>
      <c r="E20513" t="s">
        <v>6</v>
      </c>
    </row>
    <row r="20514" spans="1:5" x14ac:dyDescent="0.25">
      <c r="A20514" t="str">
        <f>HYPERLINK("https://www.773grp.com/globalSearch/OPA381AIDGKR/page-1", "OPA381AIDGKR")</f>
        <v>OPA381AIDGKR</v>
      </c>
      <c r="B20514" s="3" t="str">
        <f>HYPERLINK("https://www.773grp.com/manufacturer/texas-instruments?pageNo=7", "Texas Instruments")</f>
        <v>Texas Instruments</v>
      </c>
      <c r="C20514" s="5">
        <v>7500</v>
      </c>
      <c r="D20514" s="6">
        <v>3.95</v>
      </c>
      <c r="E20514" t="s">
        <v>56</v>
      </c>
    </row>
    <row r="20515" spans="1:5" x14ac:dyDescent="0.25">
      <c r="A20515" t="str">
        <f>HYPERLINK("https://www.773grp.com/globalSearch/OPA2381AIDGKT/page-1", "OPA2381AIDGKT")</f>
        <v>OPA2381AIDGKT</v>
      </c>
      <c r="B20515" s="3" t="s">
        <v>90</v>
      </c>
      <c r="C20515" s="5">
        <v>530</v>
      </c>
      <c r="D20515" s="6">
        <v>3.8</v>
      </c>
      <c r="E20515" t="s">
        <v>56</v>
      </c>
    </row>
    <row r="20516" spans="1:5" x14ac:dyDescent="0.25">
      <c r="A20516" t="str">
        <f>HYPERLINK("https://www.773grp.com/globalSearch/OPA2381AIDRBT/page-1", "OPA2381AIDRBT")</f>
        <v>OPA2381AIDRBT</v>
      </c>
      <c r="B20516" s="3" t="s">
        <v>90</v>
      </c>
      <c r="C20516" s="5">
        <v>4221</v>
      </c>
      <c r="D20516" s="6">
        <v>3.8</v>
      </c>
      <c r="E20516" t="s">
        <v>56</v>
      </c>
    </row>
    <row r="20517" spans="1:5" x14ac:dyDescent="0.25">
      <c r="A20517" t="str">
        <f>HYPERLINK("https://www.773grp.com/globalSearch/CC2500RTKR/page-1", "CC2500RTKR")</f>
        <v>CC2500RTKR</v>
      </c>
      <c r="B20517" s="3" t="str">
        <f>HYPERLINK("https://www.773grp.com/manufacturer/texas-instruments?pageNo=530", "Texas Instruments")</f>
        <v>Texas Instruments</v>
      </c>
      <c r="C20517" s="5">
        <v>14217</v>
      </c>
      <c r="D20517" s="6">
        <v>3.94</v>
      </c>
      <c r="E20517" t="s">
        <v>56</v>
      </c>
    </row>
    <row r="20518" spans="1:5" x14ac:dyDescent="0.25">
      <c r="A20518" t="str">
        <f>HYPERLINK("https://www.773grp.com/globalSearch/TPS657051YZHT/page-1", "TPS657051YZHT")</f>
        <v>TPS657051YZHT</v>
      </c>
      <c r="B20518" s="3" t="str">
        <f>HYPERLINK("https://www.773grp.com/manufacturer/texas-instruments?pageNo=672", "Texas Instruments")</f>
        <v>Texas Instruments</v>
      </c>
      <c r="C20518" s="5">
        <v>250</v>
      </c>
      <c r="D20518" s="6">
        <v>3.94</v>
      </c>
      <c r="E20518" t="s">
        <v>56</v>
      </c>
    </row>
    <row r="20519" spans="1:5" x14ac:dyDescent="0.25">
      <c r="A20519" t="str">
        <f>HYPERLINK("https://www.773grp.com/globalSearch/CC2550RST/page-1", "CC2550RST")</f>
        <v>CC2550RST</v>
      </c>
      <c r="B20519" s="3" t="s">
        <v>90</v>
      </c>
      <c r="C20519" s="5">
        <v>3914</v>
      </c>
      <c r="D20519" s="6">
        <v>4.2300000000000004</v>
      </c>
      <c r="E20519" t="s">
        <v>56</v>
      </c>
    </row>
    <row r="20520" spans="1:5" x14ac:dyDescent="0.25">
      <c r="A20520" t="str">
        <f>HYPERLINK("https://www.773grp.com/globalSearch/OPA381AIDGKT/page-1", "OPA381AIDGKT")</f>
        <v>OPA381AIDGKT</v>
      </c>
      <c r="B20520" s="3" t="s">
        <v>90</v>
      </c>
      <c r="C20520" s="5">
        <v>10225</v>
      </c>
      <c r="D20520" s="6">
        <v>4.74</v>
      </c>
      <c r="E20520" t="s">
        <v>56</v>
      </c>
    </row>
    <row r="20521" spans="1:5" x14ac:dyDescent="0.25">
      <c r="A20521" t="str">
        <f>HYPERLINK("https://www.773grp.com/globalSearch/OPA381AIDRBT/page-1", "OPA381AIDRBT")</f>
        <v>OPA381AIDRBT</v>
      </c>
      <c r="B20521" s="3" t="s">
        <v>90</v>
      </c>
      <c r="C20521" s="5">
        <v>15500</v>
      </c>
      <c r="D20521" s="6">
        <v>4.74</v>
      </c>
      <c r="E20521" t="s">
        <v>56</v>
      </c>
    </row>
    <row r="20522" spans="1:5" x14ac:dyDescent="0.25">
      <c r="A20522" t="str">
        <f>HYPERLINK("https://www.773grp.com/globalSearch/TRF8011PWP/page-1", "TRF8011PWP")</f>
        <v>TRF8011PWP</v>
      </c>
      <c r="B20522" s="3" t="s">
        <v>90</v>
      </c>
      <c r="C20522" s="5">
        <v>431</v>
      </c>
      <c r="D20522" s="6">
        <v>4.3</v>
      </c>
      <c r="E20522" t="s">
        <v>56</v>
      </c>
    </row>
    <row r="20523" spans="1:5" x14ac:dyDescent="0.25">
      <c r="A20523" t="str">
        <f>HYPERLINK("https://www.773grp.com/globalSearch/TSC2005IYZLR/page-1", "TSC2005IYZLR")</f>
        <v>TSC2005IYZLR</v>
      </c>
      <c r="B20523" s="3" t="str">
        <f>HYPERLINK("https://www.773grp.com/manufacturer/texas-instruments?pageNo=412", "Texas Instruments")</f>
        <v>Texas Instruments</v>
      </c>
      <c r="C20523" s="5">
        <v>15180</v>
      </c>
      <c r="D20523" s="6">
        <v>4.5</v>
      </c>
      <c r="E20523" t="s">
        <v>56</v>
      </c>
    </row>
    <row r="20524" spans="1:5" x14ac:dyDescent="0.25">
      <c r="A20524" t="str">
        <f>HYPERLINK("https://www.773grp.com/globalSearch/TPS9103PWR/page-1", "TPS9103PWR")</f>
        <v>TPS9103PWR</v>
      </c>
      <c r="B20524" s="3" t="s">
        <v>90</v>
      </c>
      <c r="C20524" s="5">
        <v>4000</v>
      </c>
      <c r="D20524" s="6">
        <v>4.68</v>
      </c>
      <c r="E20524" t="s">
        <v>56</v>
      </c>
    </row>
    <row r="20525" spans="1:5" x14ac:dyDescent="0.25">
      <c r="A20525" t="str">
        <f>HYPERLINK("https://www.773grp.com/globalSearch/CC2500RTK/page-1", "CC2500RTK")</f>
        <v>CC2500RTK</v>
      </c>
      <c r="B20525" s="3" t="s">
        <v>90</v>
      </c>
      <c r="C20525" s="5">
        <v>15</v>
      </c>
      <c r="D20525" s="6">
        <v>4.7300000000000004</v>
      </c>
      <c r="E20525" t="s">
        <v>56</v>
      </c>
    </row>
    <row r="20526" spans="1:5" x14ac:dyDescent="0.25">
      <c r="A20526" t="str">
        <f>HYPERLINK("https://www.773grp.com/globalSearch/CC1190RGVT/page-1", "CC1190RGVT")</f>
        <v>CC1190RGVT</v>
      </c>
      <c r="B20526" s="3" t="s">
        <v>90</v>
      </c>
      <c r="C20526" s="5">
        <v>65</v>
      </c>
      <c r="D20526" s="6">
        <v>4.93</v>
      </c>
      <c r="E20526" t="s">
        <v>56</v>
      </c>
    </row>
    <row r="20527" spans="1:5" x14ac:dyDescent="0.25">
      <c r="A20527" t="str">
        <f>HYPERLINK("https://www.773grp.com/globalSearch/TSC2005IYZLT/page-1", "TSC2005IYZLT")</f>
        <v>TSC2005IYZLT</v>
      </c>
      <c r="B20527" s="3" t="s">
        <v>90</v>
      </c>
      <c r="C20527" s="5">
        <v>2237</v>
      </c>
      <c r="D20527" s="6">
        <v>5.2</v>
      </c>
      <c r="E20527" t="s">
        <v>56</v>
      </c>
    </row>
    <row r="20528" spans="1:5" x14ac:dyDescent="0.25">
      <c r="A20528" t="str">
        <f>HYPERLINK("https://www.773grp.com/globalSearch/TPS65721RSNT/page-1", "TPS65721RSNT")</f>
        <v>TPS65721RSNT</v>
      </c>
      <c r="B20528" s="3" t="s">
        <v>90</v>
      </c>
      <c r="C20528" s="5">
        <v>750</v>
      </c>
      <c r="D20528" s="6">
        <v>5.35</v>
      </c>
      <c r="E20528" t="s">
        <v>56</v>
      </c>
    </row>
    <row r="20529" spans="1:5" x14ac:dyDescent="0.25">
      <c r="A20529" t="str">
        <f>HYPERLINK("https://www.773grp.com/globalSearch/OPA380AIDR/page-1", "OPA380AIDR")</f>
        <v>OPA380AIDR</v>
      </c>
      <c r="B20529" s="3" t="s">
        <v>90</v>
      </c>
      <c r="C20529" s="5">
        <v>44300</v>
      </c>
      <c r="D20529" s="6">
        <v>5.49</v>
      </c>
      <c r="E20529" t="s">
        <v>56</v>
      </c>
    </row>
    <row r="20530" spans="1:5" x14ac:dyDescent="0.25">
      <c r="A20530" t="str">
        <f>HYPERLINK("https://www.773grp.com/globalSearch/RI-TRP-RR2B-30/page-1", "RI-TRP-RR2B-30")</f>
        <v>RI-TRP-RR2B-30</v>
      </c>
      <c r="B20530" s="3" t="s">
        <v>90</v>
      </c>
      <c r="C20530" s="5">
        <v>16457</v>
      </c>
      <c r="D20530" s="6">
        <v>5.49</v>
      </c>
      <c r="E20530" t="s">
        <v>56</v>
      </c>
    </row>
    <row r="20531" spans="1:5" x14ac:dyDescent="0.25">
      <c r="A20531" t="str">
        <f>HYPERLINK("https://www.773grp.com/globalSearch/CC2520RHDT/page-1", "CC2520RHDT")</f>
        <v>CC2520RHDT</v>
      </c>
      <c r="B20531" s="3" t="s">
        <v>90</v>
      </c>
      <c r="C20531" s="5">
        <v>5</v>
      </c>
      <c r="D20531" s="6">
        <v>5.91</v>
      </c>
      <c r="E20531" t="s">
        <v>56</v>
      </c>
    </row>
    <row r="20532" spans="1:5" x14ac:dyDescent="0.25">
      <c r="A20532" t="str">
        <f>HYPERLINK("https://www.773grp.com/globalSearch/PCM3060PWR/page-1", "PCM3060PWR")</f>
        <v>PCM3060PWR</v>
      </c>
      <c r="B20532" s="3" t="s">
        <v>90</v>
      </c>
      <c r="C20532" s="5">
        <v>3700</v>
      </c>
      <c r="D20532" s="6">
        <v>6.33</v>
      </c>
      <c r="E20532" t="s">
        <v>56</v>
      </c>
    </row>
    <row r="20533" spans="1:5" x14ac:dyDescent="0.25">
      <c r="A20533" t="str">
        <f>HYPERLINK("https://www.773grp.com/globalSearch/TLV320AIC3104IRHBT/page-1", "TLV320AIC3104IRHBT")</f>
        <v>TLV320AIC3104IRHBT</v>
      </c>
      <c r="B20533" s="3" t="s">
        <v>90</v>
      </c>
      <c r="C20533" s="5">
        <v>2250</v>
      </c>
      <c r="D20533" s="6">
        <v>6.33</v>
      </c>
      <c r="E20533" t="s">
        <v>56</v>
      </c>
    </row>
    <row r="20534" spans="1:5" x14ac:dyDescent="0.25">
      <c r="A20534" t="str">
        <f>HYPERLINK("https://www.773grp.com/globalSearch/OPA380AID/page-1", "OPA380AID")</f>
        <v>OPA380AID</v>
      </c>
      <c r="B20534" s="3" t="str">
        <f>HYPERLINK("https://www.773grp.com/manufacturer/texas-instruments?pageNo=290", "Texas Instruments")</f>
        <v>Texas Instruments</v>
      </c>
      <c r="C20534" s="5">
        <v>23895</v>
      </c>
      <c r="D20534" s="6">
        <v>6.61</v>
      </c>
      <c r="E20534" t="s">
        <v>56</v>
      </c>
    </row>
    <row r="20535" spans="1:5" x14ac:dyDescent="0.25">
      <c r="A20535" t="str">
        <f>HYPERLINK("https://www.773grp.com/globalSearch/SN761633RTAR/page-1", "SN761633RTAR")</f>
        <v>SN761633RTAR</v>
      </c>
      <c r="B20535" s="3" t="str">
        <f>HYPERLINK("https://www.773grp.com/manufacturer/texas-instruments?pageNo=303", "Texas Instruments")</f>
        <v>Texas Instruments</v>
      </c>
      <c r="C20535" s="5">
        <v>24000</v>
      </c>
      <c r="D20535" s="6">
        <v>6.61</v>
      </c>
      <c r="E20535" t="s">
        <v>56</v>
      </c>
    </row>
    <row r="20536" spans="1:5" x14ac:dyDescent="0.25">
      <c r="A20536" t="str">
        <f>HYPERLINK("https://www.773grp.com/globalSearch/RI-TRP-RE2B-30/page-1", "RI-TRP-RE2B-30")</f>
        <v>RI-TRP-RE2B-30</v>
      </c>
      <c r="B20536" s="3" t="str">
        <f>HYPERLINK("https://www.773grp.com/manufacturer/texas-instruments?pageNo=716", "Texas Instruments")</f>
        <v>Texas Instruments</v>
      </c>
      <c r="C20536" s="5">
        <v>45802</v>
      </c>
      <c r="D20536" s="6">
        <v>6.95</v>
      </c>
      <c r="E20536" t="s">
        <v>56</v>
      </c>
    </row>
    <row r="20537" spans="1:5" x14ac:dyDescent="0.25">
      <c r="A20537" t="str">
        <f>HYPERLINK("https://www.773grp.com/globalSearch/CC430F5133IRGZ/page-1", "CC430F5133IRGZ")</f>
        <v>CC430F5133IRGZ</v>
      </c>
      <c r="B20537" s="3" t="str">
        <f>HYPERLINK("https://www.773grp.com/manufacturer/texas-instruments?pageNo=767", "Texas Instruments")</f>
        <v>Texas Instruments</v>
      </c>
      <c r="C20537" s="5">
        <v>86</v>
      </c>
      <c r="D20537" s="6">
        <v>7.04</v>
      </c>
      <c r="E20537" t="s">
        <v>56</v>
      </c>
    </row>
    <row r="20538" spans="1:5" x14ac:dyDescent="0.25">
      <c r="A20538" t="str">
        <f>HYPERLINK("https://www.773grp.com/globalSearch/OPA2380AIDGKR/page-1", "OPA2380AIDGKR")</f>
        <v>OPA2380AIDGKR</v>
      </c>
      <c r="B20538" s="3" t="str">
        <f>HYPERLINK("https://www.773grp.com/manufacturer/texas-instruments?pageNo=792", "Texas Instruments")</f>
        <v>Texas Instruments</v>
      </c>
      <c r="C20538" s="5">
        <v>32500</v>
      </c>
      <c r="D20538" s="6">
        <v>7.04</v>
      </c>
      <c r="E20538" t="s">
        <v>56</v>
      </c>
    </row>
    <row r="20539" spans="1:5" x14ac:dyDescent="0.25">
      <c r="A20539" t="str">
        <f>HYPERLINK("https://www.773grp.com/globalSearch/CC1120RHMT/page-1", "CC1120RHMT")</f>
        <v>CC1120RHMT</v>
      </c>
      <c r="B20539" s="3" t="str">
        <f>HYPERLINK("https://www.773grp.com/manufacturer/texas-instruments?pageNo=939", "Texas Instruments")</f>
        <v>Texas Instruments</v>
      </c>
      <c r="C20539" s="5">
        <v>103</v>
      </c>
      <c r="D20539" s="6">
        <v>7.13</v>
      </c>
      <c r="E20539" t="s">
        <v>56</v>
      </c>
    </row>
    <row r="20540" spans="1:5" x14ac:dyDescent="0.25">
      <c r="A20540" t="str">
        <f>HYPERLINK("https://www.773grp.com/globalSearch/UCC3751N/page-1", "UCC3751N")</f>
        <v>UCC3751N</v>
      </c>
      <c r="B20540" s="3" t="s">
        <v>90</v>
      </c>
      <c r="C20540" s="5">
        <v>7175</v>
      </c>
      <c r="D20540" s="6">
        <v>7.18</v>
      </c>
      <c r="E20540" t="s">
        <v>56</v>
      </c>
    </row>
    <row r="20541" spans="1:5" x14ac:dyDescent="0.25">
      <c r="A20541" t="str">
        <f>HYPERLINK("https://www.773grp.com/globalSearch/UCC3752D/page-1", "UCC3752D")</f>
        <v>UCC3752D</v>
      </c>
      <c r="B20541" s="3" t="s">
        <v>90</v>
      </c>
      <c r="C20541" s="5">
        <v>17879</v>
      </c>
      <c r="D20541" s="6">
        <v>7.18</v>
      </c>
      <c r="E20541" t="s">
        <v>56</v>
      </c>
    </row>
    <row r="20542" spans="1:5" x14ac:dyDescent="0.25">
      <c r="A20542" t="str">
        <f>HYPERLINK("https://www.773grp.com/globalSearch/UCC3752N/page-1", "UCC3752N")</f>
        <v>UCC3752N</v>
      </c>
      <c r="B20542" s="3" t="s">
        <v>90</v>
      </c>
      <c r="C20542" s="5">
        <v>3459</v>
      </c>
      <c r="D20542" s="6">
        <v>7.18</v>
      </c>
      <c r="E20542" t="s">
        <v>56</v>
      </c>
    </row>
    <row r="20543" spans="1:5" x14ac:dyDescent="0.25">
      <c r="A20543" t="str">
        <f>HYPERLINK("https://www.773grp.com/globalSearch/CC430F5135IRGZT/page-1", "CC430F5135IRGZT")</f>
        <v>CC430F5135IRGZT</v>
      </c>
      <c r="B20543" s="3" t="s">
        <v>90</v>
      </c>
      <c r="C20543" s="5">
        <v>500</v>
      </c>
      <c r="D20543" s="6">
        <v>7.31</v>
      </c>
      <c r="E20543" t="s">
        <v>56</v>
      </c>
    </row>
    <row r="20544" spans="1:5" x14ac:dyDescent="0.25">
      <c r="A20544" t="str">
        <f>HYPERLINK("https://www.773grp.com/globalSearch/TSC2000IPWR/page-1", "TSC2000IPWR")</f>
        <v>TSC2000IPWR</v>
      </c>
      <c r="B20544" s="3" t="s">
        <v>90</v>
      </c>
      <c r="C20544" s="5">
        <v>2000</v>
      </c>
      <c r="D20544" s="6">
        <v>7.43</v>
      </c>
      <c r="E20544" t="s">
        <v>56</v>
      </c>
    </row>
    <row r="20545" spans="1:5" x14ac:dyDescent="0.25">
      <c r="A20545" t="str">
        <f>HYPERLINK("https://www.773grp.com/globalSearch/TSC2200IRHBR/page-1", "TSC2200IRHBR")</f>
        <v>TSC2200IRHBR</v>
      </c>
      <c r="B20545" s="3" t="s">
        <v>90</v>
      </c>
      <c r="C20545" s="5">
        <v>45000</v>
      </c>
      <c r="D20545" s="6">
        <v>7.6</v>
      </c>
      <c r="E20545" t="s">
        <v>56</v>
      </c>
    </row>
    <row r="20546" spans="1:5" x14ac:dyDescent="0.25">
      <c r="A20546" t="str">
        <f>HYPERLINK("https://www.773grp.com/globalSearch/CC2530F64RHAR/page-1", "CC2530F64RHAR")</f>
        <v>CC2530F64RHAR</v>
      </c>
      <c r="B20546" s="3" t="s">
        <v>90</v>
      </c>
      <c r="C20546" s="5">
        <v>22500</v>
      </c>
      <c r="D20546" s="6">
        <v>8.15</v>
      </c>
      <c r="E20546" t="s">
        <v>56</v>
      </c>
    </row>
    <row r="20547" spans="1:5" x14ac:dyDescent="0.25">
      <c r="A20547" t="str">
        <f>HYPERLINK("https://www.773grp.com/globalSearch/OPA2380AIDGKT/page-1", "OPA2380AIDGKT")</f>
        <v>OPA2380AIDGKT</v>
      </c>
      <c r="B20547" s="3" t="s">
        <v>90</v>
      </c>
      <c r="C20547" s="5">
        <v>2107</v>
      </c>
      <c r="D20547" s="6">
        <v>8.15</v>
      </c>
      <c r="E20547" t="s">
        <v>56</v>
      </c>
    </row>
    <row r="20548" spans="1:5" x14ac:dyDescent="0.25">
      <c r="A20548" t="str">
        <f>HYPERLINK("https://www.773grp.com/globalSearch/CC2533F32RHAT/page-1", "CC2533F32RHAT")</f>
        <v>CC2533F32RHAT</v>
      </c>
      <c r="B20548" s="3" t="s">
        <v>90</v>
      </c>
      <c r="C20548" s="5">
        <v>1200</v>
      </c>
      <c r="D20548" s="6">
        <v>8.3000000000000007</v>
      </c>
      <c r="E20548" t="s">
        <v>56</v>
      </c>
    </row>
    <row r="20549" spans="1:5" x14ac:dyDescent="0.25">
      <c r="A20549" t="str">
        <f>HYPERLINK("https://www.773grp.com/globalSearch/UCC2751D/page-1", "UCC2751D")</f>
        <v>UCC2751D</v>
      </c>
      <c r="B20549" s="3" t="s">
        <v>90</v>
      </c>
      <c r="C20549" s="5">
        <v>9860</v>
      </c>
      <c r="D20549" s="6">
        <v>8.3000000000000007</v>
      </c>
      <c r="E20549" t="s">
        <v>56</v>
      </c>
    </row>
    <row r="20550" spans="1:5" x14ac:dyDescent="0.25">
      <c r="A20550" t="str">
        <f>HYPERLINK("https://www.773grp.com/globalSearch/UCC2751D/page-1", "UCC2751D")</f>
        <v>UCC2751D</v>
      </c>
      <c r="B20550" s="3" t="s">
        <v>90</v>
      </c>
      <c r="C20550" s="5">
        <v>475</v>
      </c>
      <c r="D20550" s="6">
        <v>8.3000000000000007</v>
      </c>
      <c r="E20550" t="s">
        <v>56</v>
      </c>
    </row>
    <row r="20551" spans="1:5" x14ac:dyDescent="0.25">
      <c r="A20551" t="str">
        <f>HYPERLINK("https://www.773grp.com/globalSearch/UCC3751D/page-1", "UCC3751D")</f>
        <v>UCC3751D</v>
      </c>
      <c r="B20551" s="3" t="s">
        <v>90</v>
      </c>
      <c r="C20551" s="5">
        <v>554</v>
      </c>
      <c r="D20551" s="6">
        <v>8.44</v>
      </c>
      <c r="E20551" t="s">
        <v>56</v>
      </c>
    </row>
    <row r="20552" spans="1:5" x14ac:dyDescent="0.25">
      <c r="A20552" t="str">
        <f>HYPERLINK("https://www.773grp.com/globalSearch/CC8520RHAT/page-1", "CC8520RHAT")</f>
        <v>CC8520RHAT</v>
      </c>
      <c r="B20552" s="3" t="s">
        <v>90</v>
      </c>
      <c r="C20552" s="5">
        <v>750</v>
      </c>
      <c r="D20552" s="6">
        <v>8.58</v>
      </c>
      <c r="E20552" t="s">
        <v>56</v>
      </c>
    </row>
    <row r="20553" spans="1:5" x14ac:dyDescent="0.25">
      <c r="A20553" t="str">
        <f>HYPERLINK("https://www.773grp.com/globalSearch/CC2533F64RHAT/page-1", "CC2533F64RHAT")</f>
        <v>CC2533F64RHAT</v>
      </c>
      <c r="B20553" s="3" t="s">
        <v>90</v>
      </c>
      <c r="C20553" s="5">
        <v>700</v>
      </c>
      <c r="D20553" s="6">
        <v>8.73</v>
      </c>
      <c r="E20553" t="s">
        <v>56</v>
      </c>
    </row>
    <row r="20554" spans="1:5" x14ac:dyDescent="0.25">
      <c r="A20554" t="str">
        <f>HYPERLINK("https://www.773grp.com/globalSearch/TLV320AD543PT/page-1", "TLV320AD543PT")</f>
        <v>TLV320AD543PT</v>
      </c>
      <c r="B20554" s="3" t="s">
        <v>90</v>
      </c>
      <c r="C20554" s="5">
        <v>2894</v>
      </c>
      <c r="D20554" s="6">
        <v>8.73</v>
      </c>
      <c r="E20554" t="s">
        <v>56</v>
      </c>
    </row>
    <row r="20555" spans="1:5" x14ac:dyDescent="0.25">
      <c r="A20555" t="str">
        <f>HYPERLINK("https://www.773grp.com/globalSearch/TSC2000IPW/page-1", "TSC2000IPW")</f>
        <v>TSC2000IPW</v>
      </c>
      <c r="B20555" s="3" t="s">
        <v>90</v>
      </c>
      <c r="C20555" s="5">
        <v>6160</v>
      </c>
      <c r="D20555" s="6">
        <v>8.91</v>
      </c>
      <c r="E20555" t="s">
        <v>56</v>
      </c>
    </row>
    <row r="20556" spans="1:5" x14ac:dyDescent="0.25">
      <c r="A20556" t="str">
        <f>HYPERLINK("https://www.773grp.com/globalSearch/TL852CN/page-1", "TL852CN")</f>
        <v>TL852CN</v>
      </c>
      <c r="B20556" s="3" t="s">
        <v>90</v>
      </c>
      <c r="C20556" s="5">
        <v>9532</v>
      </c>
      <c r="D20556" s="6">
        <v>8.98</v>
      </c>
      <c r="E20556" t="s">
        <v>56</v>
      </c>
    </row>
    <row r="20557" spans="1:5" x14ac:dyDescent="0.25">
      <c r="A20557" t="str">
        <f>HYPERLINK("https://www.773grp.com/globalSearch/CC2530F256RHAR/page-1", "CC2530F256RHAR")</f>
        <v>CC2530F256RHAR</v>
      </c>
      <c r="B20557" s="3" t="s">
        <v>90</v>
      </c>
      <c r="C20557" s="5">
        <v>16550</v>
      </c>
      <c r="D20557" s="6">
        <v>9</v>
      </c>
      <c r="E20557" t="s">
        <v>56</v>
      </c>
    </row>
    <row r="20558" spans="1:5" x14ac:dyDescent="0.25">
      <c r="A20558" t="str">
        <f>HYPERLINK("https://www.773grp.com/globalSearch/TSC2200IPW/page-1", "TSC2200IPW")</f>
        <v>TSC2200IPW</v>
      </c>
      <c r="B20558" s="3" t="s">
        <v>90</v>
      </c>
      <c r="C20558" s="5">
        <v>404</v>
      </c>
      <c r="D20558" s="6">
        <v>9.11</v>
      </c>
      <c r="E20558" t="s">
        <v>56</v>
      </c>
    </row>
    <row r="20559" spans="1:5" x14ac:dyDescent="0.25">
      <c r="A20559" t="str">
        <f>HYPERLINK("https://www.773grp.com/globalSearch/TSC2200IRHB/page-1", "TSC2200IRHB")</f>
        <v>TSC2200IRHB</v>
      </c>
      <c r="B20559" s="3" t="s">
        <v>90</v>
      </c>
      <c r="C20559" s="5">
        <v>4262</v>
      </c>
      <c r="D20559" s="6">
        <v>9.11</v>
      </c>
      <c r="E20559" t="s">
        <v>56</v>
      </c>
    </row>
    <row r="20560" spans="1:5" x14ac:dyDescent="0.25">
      <c r="A20560" t="str">
        <f>HYPERLINK("https://www.773grp.com/globalSearch/TRF1020PFB/page-1", "TRF1020PFB")</f>
        <v>TRF1020PFB</v>
      </c>
      <c r="B20560" s="3" t="s">
        <v>90</v>
      </c>
      <c r="C20560" s="5">
        <v>2976</v>
      </c>
      <c r="D20560" s="6">
        <v>9.31</v>
      </c>
      <c r="E20560" t="s">
        <v>56</v>
      </c>
    </row>
    <row r="20561" spans="1:5" x14ac:dyDescent="0.25">
      <c r="A20561" t="str">
        <f>HYPERLINK("https://www.773grp.com/globalSearch/TLC320AD545PT/page-1", "TLC320AD545PT")</f>
        <v>TLC320AD545PT</v>
      </c>
      <c r="B20561" s="3" t="s">
        <v>90</v>
      </c>
      <c r="C20561" s="5">
        <v>10127</v>
      </c>
      <c r="D20561" s="6">
        <v>9.34</v>
      </c>
      <c r="E20561" t="s">
        <v>56</v>
      </c>
    </row>
    <row r="20562" spans="1:5" x14ac:dyDescent="0.25">
      <c r="A20562" t="str">
        <f>HYPERLINK("https://www.773grp.com/globalSearch/CC2531F256RHAR/page-1", "CC2531F256RHAR")</f>
        <v>CC2531F256RHAR</v>
      </c>
      <c r="B20562" s="3" t="s">
        <v>90</v>
      </c>
      <c r="C20562" s="5">
        <v>32500</v>
      </c>
      <c r="D20562" s="6">
        <v>9.41</v>
      </c>
      <c r="E20562" t="s">
        <v>56</v>
      </c>
    </row>
    <row r="20563" spans="1:5" x14ac:dyDescent="0.25">
      <c r="A20563" t="str">
        <f>HYPERLINK("https://www.773grp.com/globalSearch/TL851CN/page-1", "TL851CN")</f>
        <v>TL851CN</v>
      </c>
      <c r="B20563" s="3" t="s">
        <v>90</v>
      </c>
      <c r="C20563" s="5">
        <v>92</v>
      </c>
      <c r="D20563" s="6">
        <v>9.49</v>
      </c>
      <c r="E20563" t="s">
        <v>56</v>
      </c>
    </row>
    <row r="20564" spans="1:5" x14ac:dyDescent="0.25">
      <c r="A20564" t="str">
        <f>HYPERLINK("https://www.773grp.com/globalSearch/PCM3501E-2K/page-1", "PCM3501E-2K")</f>
        <v>PCM3501E-2K</v>
      </c>
      <c r="B20564" s="3" t="s">
        <v>90</v>
      </c>
      <c r="C20564" s="5">
        <v>1700</v>
      </c>
      <c r="D20564" s="6">
        <v>9.6300000000000008</v>
      </c>
      <c r="E20564" t="s">
        <v>56</v>
      </c>
    </row>
    <row r="20565" spans="1:5" x14ac:dyDescent="0.25">
      <c r="A20565" t="str">
        <f>HYPERLINK("https://www.773grp.com/globalSearch/RI-TRP-WR2B-30/page-1", "RI-TRP-WR2B-30")</f>
        <v>RI-TRP-WR2B-30</v>
      </c>
      <c r="B20565" s="3" t="s">
        <v>90</v>
      </c>
      <c r="C20565" s="5">
        <v>1800</v>
      </c>
      <c r="D20565" s="6">
        <v>9.74</v>
      </c>
      <c r="E20565" t="s">
        <v>56</v>
      </c>
    </row>
    <row r="20566" spans="1:5" x14ac:dyDescent="0.25">
      <c r="A20566" t="str">
        <f>HYPERLINK("https://www.773grp.com/globalSearch/TLC320AD545PTR/page-1", "TLC320AD545PTR")</f>
        <v>TLC320AD545PTR</v>
      </c>
      <c r="B20566" s="3" t="s">
        <v>90</v>
      </c>
      <c r="C20566" s="5">
        <v>2000</v>
      </c>
      <c r="D20566" s="6">
        <v>9.83</v>
      </c>
      <c r="E20566" t="s">
        <v>56</v>
      </c>
    </row>
    <row r="20567" spans="1:5" x14ac:dyDescent="0.25">
      <c r="A20567" t="str">
        <f>HYPERLINK("https://www.773grp.com/globalSearch/CC2530F128RHAT/page-1", "CC2530F128RHAT")</f>
        <v>CC2530F128RHAT</v>
      </c>
      <c r="B20567" s="3" t="s">
        <v>90</v>
      </c>
      <c r="C20567" s="5">
        <v>250</v>
      </c>
      <c r="D20567" s="6">
        <v>9.84</v>
      </c>
      <c r="E20567" t="s">
        <v>56</v>
      </c>
    </row>
    <row r="20568" spans="1:5" x14ac:dyDescent="0.25">
      <c r="A20568" t="str">
        <f>HYPERLINK("https://www.773grp.com/globalSearch/TPS9104IPT/page-1", "TPS9104IPT")</f>
        <v>TPS9104IPT</v>
      </c>
      <c r="B20568" s="3" t="s">
        <v>90</v>
      </c>
      <c r="C20568" s="5">
        <v>1815</v>
      </c>
      <c r="D20568" s="6">
        <v>10.58</v>
      </c>
      <c r="E20568" t="s">
        <v>56</v>
      </c>
    </row>
    <row r="20569" spans="1:5" x14ac:dyDescent="0.25">
      <c r="A20569" t="str">
        <f>HYPERLINK("https://www.773grp.com/globalSearch/TPS9104IPTR/page-1", "TPS9104IPTR")</f>
        <v>TPS9104IPTR</v>
      </c>
      <c r="B20569" s="3" t="s">
        <v>90</v>
      </c>
      <c r="C20569" s="5">
        <v>9000</v>
      </c>
      <c r="D20569" s="6">
        <v>10.66</v>
      </c>
      <c r="E20569" t="s">
        <v>56</v>
      </c>
    </row>
    <row r="20570" spans="1:5" x14ac:dyDescent="0.25">
      <c r="A20570" t="str">
        <f>HYPERLINK("https://www.773grp.com/globalSearch/RI-TRP-R9QL-30/page-1", "RI-TRP-R9QL-30")</f>
        <v>RI-TRP-R9QL-30</v>
      </c>
      <c r="B20570" s="3" t="s">
        <v>90</v>
      </c>
      <c r="C20570" s="5">
        <v>200</v>
      </c>
      <c r="D20570" s="6">
        <v>10.75</v>
      </c>
      <c r="E20570" t="s">
        <v>56</v>
      </c>
    </row>
    <row r="20571" spans="1:5" x14ac:dyDescent="0.25">
      <c r="A20571" t="str">
        <f>HYPERLINK("https://www.773grp.com/globalSearch/CC2531F256RHAT/page-1", "CC2531F256RHAT")</f>
        <v>CC2531F256RHAT</v>
      </c>
      <c r="B20571" s="3" t="s">
        <v>90</v>
      </c>
      <c r="C20571" s="5">
        <v>17</v>
      </c>
      <c r="D20571" s="6">
        <v>10.84</v>
      </c>
      <c r="E20571" t="s">
        <v>56</v>
      </c>
    </row>
    <row r="20572" spans="1:5" x14ac:dyDescent="0.25">
      <c r="A20572" t="str">
        <f>HYPERLINK("https://www.773grp.com/globalSearch/CC2430F32RTCR/page-1", "CC2430F32RTCR")</f>
        <v>CC2430F32RTCR</v>
      </c>
      <c r="B20572" s="3" t="s">
        <v>90</v>
      </c>
      <c r="C20572" s="5">
        <v>20000</v>
      </c>
      <c r="D20572" s="6">
        <v>11.23</v>
      </c>
      <c r="E20572" t="s">
        <v>56</v>
      </c>
    </row>
    <row r="20573" spans="1:5" x14ac:dyDescent="0.25">
      <c r="A20573" t="str">
        <f>HYPERLINK("https://www.773grp.com/globalSearch/PCM3501E/page-1", "PCM3501E")</f>
        <v>PCM3501E</v>
      </c>
      <c r="B20573" s="3" t="s">
        <v>90</v>
      </c>
      <c r="C20573" s="5">
        <v>32</v>
      </c>
      <c r="D20573" s="6">
        <v>11.53</v>
      </c>
      <c r="E20573" t="s">
        <v>56</v>
      </c>
    </row>
    <row r="20574" spans="1:5" x14ac:dyDescent="0.25">
      <c r="A20574" t="str">
        <f>HYPERLINK("https://www.773grp.com/globalSearch/PCM3501E/page-1", "PCM3501E")</f>
        <v>PCM3501E</v>
      </c>
      <c r="B20574" s="3" t="s">
        <v>90</v>
      </c>
      <c r="C20574" s="5">
        <v>96</v>
      </c>
      <c r="D20574" s="6">
        <v>11.53</v>
      </c>
      <c r="E20574" t="s">
        <v>56</v>
      </c>
    </row>
    <row r="20575" spans="1:5" x14ac:dyDescent="0.25">
      <c r="A20575" t="str">
        <f>HYPERLINK("https://www.773grp.com/globalSearch/TLC320AD545IPT/page-1", "TLC320AD545IPT")</f>
        <v>TLC320AD545IPT</v>
      </c>
      <c r="B20575" s="3" t="s">
        <v>90</v>
      </c>
      <c r="C20575" s="5">
        <v>17749</v>
      </c>
      <c r="D20575" s="6">
        <v>11.78</v>
      </c>
      <c r="E20575" t="s">
        <v>56</v>
      </c>
    </row>
    <row r="20576" spans="1:5" x14ac:dyDescent="0.25">
      <c r="A20576" t="str">
        <f>HYPERLINK("https://www.773grp.com/globalSearch/TLV320AIC22CPT/page-1", "TLV320AIC22CPT")</f>
        <v>TLV320AIC22CPT</v>
      </c>
      <c r="B20576" s="3" t="s">
        <v>90</v>
      </c>
      <c r="C20576" s="5">
        <v>12</v>
      </c>
      <c r="D20576" s="6">
        <v>11.9</v>
      </c>
      <c r="E20576" t="s">
        <v>56</v>
      </c>
    </row>
    <row r="20577" spans="1:5" x14ac:dyDescent="0.25">
      <c r="A20577" t="str">
        <f>HYPERLINK("https://www.773grp.com/globalSearch/TLC320AD535PM/page-1", "TLC320AD535PM")</f>
        <v>TLC320AD535PM</v>
      </c>
      <c r="B20577" s="3" t="s">
        <v>90</v>
      </c>
      <c r="C20577" s="5">
        <v>1250</v>
      </c>
      <c r="D20577" s="6">
        <v>12.1</v>
      </c>
      <c r="E20577" t="s">
        <v>56</v>
      </c>
    </row>
    <row r="20578" spans="1:5" x14ac:dyDescent="0.25">
      <c r="A20578" t="str">
        <f>HYPERLINK("https://www.773grp.com/globalSearch/PCM3794ARHBR/page-1", "PCM3794ARHBR")</f>
        <v>PCM3794ARHBR</v>
      </c>
      <c r="B20578" s="3" t="str">
        <f>HYPERLINK("https://www.773grp.com/manufacturer/texas-instruments?pageNo=377", "Texas Instruments")</f>
        <v>Texas Instruments</v>
      </c>
      <c r="C20578" s="5">
        <v>9000</v>
      </c>
      <c r="D20578" s="6">
        <v>12.79</v>
      </c>
      <c r="E20578" t="s">
        <v>56</v>
      </c>
    </row>
    <row r="20579" spans="1:5" x14ac:dyDescent="0.25">
      <c r="A20579" t="str">
        <f>HYPERLINK("https://www.773grp.com/globalSearch/PCM3794RHBR/page-1", "PCM3794RHBR")</f>
        <v>PCM3794RHBR</v>
      </c>
      <c r="B20579" s="3" t="str">
        <f>HYPERLINK("https://www.773grp.com/manufacturer/texas-instruments?pageNo=378", "Texas Instruments")</f>
        <v>Texas Instruments</v>
      </c>
      <c r="C20579" s="5">
        <v>72000</v>
      </c>
      <c r="D20579" s="6">
        <v>12.79</v>
      </c>
      <c r="E20579" t="s">
        <v>56</v>
      </c>
    </row>
    <row r="20580" spans="1:5" x14ac:dyDescent="0.25">
      <c r="A20580" t="str">
        <f>HYPERLINK("https://www.773grp.com/globalSearch/TLC320AD535IPM/page-1", "TLC320AD535IPM")</f>
        <v>TLC320AD535IPM</v>
      </c>
      <c r="B20580" s="3" t="str">
        <f>HYPERLINK("https://www.773grp.com/manufacturer/texas-instruments?pageNo=471", "Texas Instruments")</f>
        <v>Texas Instruments</v>
      </c>
      <c r="C20580" s="5">
        <v>3960</v>
      </c>
      <c r="D20580" s="6">
        <v>12.96</v>
      </c>
      <c r="E20580" t="s">
        <v>56</v>
      </c>
    </row>
    <row r="20581" spans="1:5" x14ac:dyDescent="0.25">
      <c r="A20581" t="str">
        <f>HYPERLINK("https://www.773grp.com/globalSearch/CC2430F32RTC/page-1", "CC2430F32RTC")</f>
        <v>CC2430F32RTC</v>
      </c>
      <c r="B20581" s="3" t="str">
        <f>HYPERLINK("https://www.773grp.com/manufacturer/texas-instruments?pageNo=713", "Texas Instruments")</f>
        <v>Texas Instruments</v>
      </c>
      <c r="C20581" s="5">
        <v>202</v>
      </c>
      <c r="D20581" s="6">
        <v>13.46</v>
      </c>
      <c r="E20581" t="s">
        <v>56</v>
      </c>
    </row>
    <row r="20582" spans="1:5" x14ac:dyDescent="0.25">
      <c r="A20582" t="str">
        <f>HYPERLINK("https://www.773grp.com/globalSearch/PCM3793ARHBR/page-1", "PCM3793ARHBR")</f>
        <v>PCM3793ARHBR</v>
      </c>
      <c r="B20582" s="3" t="str">
        <f>HYPERLINK("https://www.773grp.com/manufacturer/texas-instruments?pageNo=775", "Texas Instruments")</f>
        <v>Texas Instruments</v>
      </c>
      <c r="C20582" s="5">
        <v>53900</v>
      </c>
      <c r="D20582" s="6">
        <v>13.55</v>
      </c>
      <c r="E20582" t="s">
        <v>56</v>
      </c>
    </row>
    <row r="20583" spans="1:5" x14ac:dyDescent="0.25">
      <c r="A20583" t="str">
        <f>HYPERLINK("https://www.773grp.com/globalSearch/PCM3793RHBR/page-1", "PCM3793RHBR")</f>
        <v>PCM3793RHBR</v>
      </c>
      <c r="B20583" s="3" t="str">
        <f>HYPERLINK("https://www.773grp.com/manufacturer/texas-instruments?pageNo=776", "Texas Instruments")</f>
        <v>Texas Instruments</v>
      </c>
      <c r="C20583" s="5">
        <v>35820</v>
      </c>
      <c r="D20583" s="6">
        <v>13.55</v>
      </c>
      <c r="E20583" t="s">
        <v>56</v>
      </c>
    </row>
    <row r="20584" spans="1:5" x14ac:dyDescent="0.25">
      <c r="A20584" t="str">
        <f>HYPERLINK("https://www.773grp.com/globalSearch/PCM3794ARHBT/page-1", "PCM3794ARHBT")</f>
        <v>PCM3794ARHBT</v>
      </c>
      <c r="B20584" s="3" t="s">
        <v>90</v>
      </c>
      <c r="C20584" s="5">
        <v>300</v>
      </c>
      <c r="D20584" s="6">
        <v>14.76</v>
      </c>
      <c r="E20584" t="s">
        <v>56</v>
      </c>
    </row>
    <row r="20585" spans="1:5" x14ac:dyDescent="0.25">
      <c r="A20585" t="str">
        <f>HYPERLINK("https://www.773grp.com/globalSearch/PCM3794RHBT/page-1", "PCM3794RHBT")</f>
        <v>PCM3794RHBT</v>
      </c>
      <c r="B20585" s="3" t="s">
        <v>90</v>
      </c>
      <c r="C20585" s="5">
        <v>3000</v>
      </c>
      <c r="D20585" s="6">
        <v>14.76</v>
      </c>
      <c r="E20585" t="s">
        <v>56</v>
      </c>
    </row>
    <row r="20586" spans="1:5" x14ac:dyDescent="0.25">
      <c r="A20586" t="str">
        <f>HYPERLINK("https://www.773grp.com/globalSearch/TSB14C01PM/page-1", "TSB14C01PM")</f>
        <v>TSB14C01PM</v>
      </c>
      <c r="B20586" s="3" t="s">
        <v>90</v>
      </c>
      <c r="C20586" s="5">
        <v>160</v>
      </c>
      <c r="D20586" s="6">
        <v>14.85</v>
      </c>
      <c r="E20586" t="s">
        <v>56</v>
      </c>
    </row>
    <row r="20587" spans="1:5" x14ac:dyDescent="0.25">
      <c r="A20587" t="str">
        <f>HYPERLINK("https://www.773grp.com/globalSearch/PCM3793ARHBT/page-1", "PCM3793ARHBT")</f>
        <v>PCM3793ARHBT</v>
      </c>
      <c r="B20587" s="3" t="s">
        <v>90</v>
      </c>
      <c r="C20587" s="5">
        <v>3500</v>
      </c>
      <c r="D20587" s="6">
        <v>15.61</v>
      </c>
      <c r="E20587" t="s">
        <v>56</v>
      </c>
    </row>
    <row r="20588" spans="1:5" x14ac:dyDescent="0.25">
      <c r="A20588" t="str">
        <f>HYPERLINK("https://www.773grp.com/globalSearch/PCM3793RHBT/page-1", "PCM3793RHBT")</f>
        <v>PCM3793RHBT</v>
      </c>
      <c r="B20588" s="3" t="s">
        <v>90</v>
      </c>
      <c r="C20588" s="5">
        <v>1750</v>
      </c>
      <c r="D20588" s="6">
        <v>15.61</v>
      </c>
      <c r="E20588" t="s">
        <v>56</v>
      </c>
    </row>
    <row r="20589" spans="1:5" x14ac:dyDescent="0.25">
      <c r="A20589" t="str">
        <f>HYPERLINK("https://www.773grp.com/globalSearch/CC2430F64RTC/page-1", "CC2430F64RTC")</f>
        <v>CC2430F64RTC</v>
      </c>
      <c r="B20589" s="3" t="s">
        <v>90</v>
      </c>
      <c r="C20589" s="5">
        <v>4337</v>
      </c>
      <c r="D20589" s="6">
        <v>16.84</v>
      </c>
      <c r="E20589" t="s">
        <v>56</v>
      </c>
    </row>
    <row r="20590" spans="1:5" x14ac:dyDescent="0.25">
      <c r="A20590" t="str">
        <f>HYPERLINK("https://www.773grp.com/globalSearch/TLK1002ARGER/page-1", "TLK1002ARGER")</f>
        <v>TLK1002ARGER</v>
      </c>
      <c r="B20590" s="3" t="s">
        <v>90</v>
      </c>
      <c r="C20590" s="5">
        <v>3000</v>
      </c>
      <c r="D20590" s="6">
        <v>16.88</v>
      </c>
      <c r="E20590" t="s">
        <v>56</v>
      </c>
    </row>
    <row r="20591" spans="1:5" x14ac:dyDescent="0.25">
      <c r="A20591" t="str">
        <f>HYPERLINK("https://www.773grp.com/globalSearch/CC2430ZF128RTCR/page-1", "CC2430ZF128RTCR")</f>
        <v>CC2430ZF128RTCR</v>
      </c>
      <c r="B20591" s="3" t="s">
        <v>90</v>
      </c>
      <c r="C20591" s="5">
        <v>20201</v>
      </c>
      <c r="D20591" s="6">
        <v>16.96</v>
      </c>
      <c r="E20591" t="s">
        <v>56</v>
      </c>
    </row>
    <row r="20592" spans="1:5" x14ac:dyDescent="0.25">
      <c r="A20592" t="str">
        <f>HYPERLINK("https://www.773grp.com/globalSearch/CC2430ZF128RTCR/page-1", "CC2430ZF128RTCR")</f>
        <v>CC2430ZF128RTCR</v>
      </c>
      <c r="B20592" s="3" t="s">
        <v>90</v>
      </c>
      <c r="C20592" s="5">
        <v>2516</v>
      </c>
      <c r="D20592" s="6">
        <v>16.96</v>
      </c>
      <c r="E20592" t="s">
        <v>56</v>
      </c>
    </row>
    <row r="20593" spans="1:5" x14ac:dyDescent="0.25">
      <c r="A20593" t="str">
        <f>HYPERLINK("https://www.773grp.com/globalSearch/CC2431RTCR/page-1", "CC2431RTCR")</f>
        <v>CC2431RTCR</v>
      </c>
      <c r="B20593" s="3" t="s">
        <v>90</v>
      </c>
      <c r="C20593" s="5">
        <v>1580</v>
      </c>
      <c r="D20593" s="6">
        <v>17.3</v>
      </c>
      <c r="E20593" t="s">
        <v>56</v>
      </c>
    </row>
    <row r="20594" spans="1:5" x14ac:dyDescent="0.25">
      <c r="A20594" t="str">
        <f>HYPERLINK("https://www.773grp.com/globalSearch/CC2431ZRTCR/page-1", "CC2431ZRTCR")</f>
        <v>CC2431ZRTCR</v>
      </c>
      <c r="B20594" s="3" t="s">
        <v>90</v>
      </c>
      <c r="C20594" s="5">
        <v>24500</v>
      </c>
      <c r="D20594" s="6">
        <v>17.3</v>
      </c>
      <c r="E20594" t="s">
        <v>56</v>
      </c>
    </row>
    <row r="20595" spans="1:5" x14ac:dyDescent="0.25">
      <c r="A20595" t="str">
        <f>HYPERLINK("https://www.773grp.com/globalSearch/CC2431ZRTCR/page-1", "CC2431ZRTCR")</f>
        <v>CC2431ZRTCR</v>
      </c>
      <c r="B20595" s="3" t="s">
        <v>90</v>
      </c>
      <c r="C20595" s="5">
        <v>6213</v>
      </c>
      <c r="D20595" s="6">
        <v>17.3</v>
      </c>
      <c r="E20595" t="s">
        <v>56</v>
      </c>
    </row>
    <row r="20596" spans="1:5" x14ac:dyDescent="0.25">
      <c r="A20596" t="str">
        <f>HYPERLINK("https://www.773grp.com/globalSearch/UCC5343M/page-1", "UCC5343M")</f>
        <v>UCC5343M</v>
      </c>
      <c r="B20596" s="3" t="s">
        <v>90</v>
      </c>
      <c r="C20596" s="5">
        <v>1428</v>
      </c>
      <c r="D20596" s="6">
        <v>17.329999999999998</v>
      </c>
      <c r="E20596" t="s">
        <v>56</v>
      </c>
    </row>
    <row r="20597" spans="1:5" x14ac:dyDescent="0.25">
      <c r="A20597" t="str">
        <f>HYPERLINK("https://www.773grp.com/globalSearch/SN75FC1000BPJD/page-1", "SN75FC1000BPJD")</f>
        <v>SN75FC1000BPJD</v>
      </c>
      <c r="B20597" s="3" t="s">
        <v>90</v>
      </c>
      <c r="C20597" s="5">
        <v>2060</v>
      </c>
      <c r="D20597" s="6">
        <v>18.190000000000001</v>
      </c>
      <c r="E20597" t="s">
        <v>56</v>
      </c>
    </row>
    <row r="20598" spans="1:5" x14ac:dyDescent="0.25">
      <c r="A20598" t="str">
        <f>HYPERLINK("https://www.773grp.com/globalSearch/SN75FC1000PJD/page-1", "SN75FC1000PJD")</f>
        <v>SN75FC1000PJD</v>
      </c>
      <c r="B20598" s="3" t="s">
        <v>90</v>
      </c>
      <c r="C20598" s="5">
        <v>675</v>
      </c>
      <c r="D20598" s="6">
        <v>18.190000000000001</v>
      </c>
      <c r="E20598" t="s">
        <v>56</v>
      </c>
    </row>
    <row r="20599" spans="1:5" x14ac:dyDescent="0.25">
      <c r="A20599" t="str">
        <f>HYPERLINK("https://www.773grp.com/globalSearch/CC2430F128RTC/page-1", "CC2430F128RTC")</f>
        <v>CC2430F128RTC</v>
      </c>
      <c r="B20599" s="3" t="s">
        <v>90</v>
      </c>
      <c r="C20599" s="5">
        <v>293</v>
      </c>
      <c r="D20599" s="6">
        <v>19.2</v>
      </c>
      <c r="E20599" t="s">
        <v>56</v>
      </c>
    </row>
    <row r="20600" spans="1:5" x14ac:dyDescent="0.25">
      <c r="A20600" t="str">
        <f>HYPERLINK("https://www.773grp.com/globalSearch/CC2430F128RTC/page-1", "CC2430F128RTC")</f>
        <v>CC2430F128RTC</v>
      </c>
      <c r="B20600" s="3" t="s">
        <v>90</v>
      </c>
      <c r="C20600" s="5">
        <v>50</v>
      </c>
      <c r="D20600" s="6">
        <v>19.2</v>
      </c>
      <c r="E20600" t="s">
        <v>56</v>
      </c>
    </row>
    <row r="20601" spans="1:5" x14ac:dyDescent="0.25">
      <c r="A20601" t="str">
        <f>HYPERLINK("https://www.773grp.com/globalSearch/CC2430ZF128RTC/page-1", "CC2430ZF128RTC")</f>
        <v>CC2430ZF128RTC</v>
      </c>
      <c r="B20601" s="3" t="s">
        <v>90</v>
      </c>
      <c r="C20601" s="5">
        <v>2188</v>
      </c>
      <c r="D20601" s="6">
        <v>19.2</v>
      </c>
      <c r="E20601" t="s">
        <v>56</v>
      </c>
    </row>
    <row r="20602" spans="1:5" x14ac:dyDescent="0.25">
      <c r="A20602" t="str">
        <f>HYPERLINK("https://www.773grp.com/globalSearch/TLK1002ARGET/page-1", "TLK1002ARGET")</f>
        <v>TLK1002ARGET</v>
      </c>
      <c r="B20602" s="3" t="s">
        <v>90</v>
      </c>
      <c r="C20602" s="5">
        <v>5051</v>
      </c>
      <c r="D20602" s="6">
        <v>19.41</v>
      </c>
      <c r="E20602" t="s">
        <v>56</v>
      </c>
    </row>
    <row r="20603" spans="1:5" x14ac:dyDescent="0.25">
      <c r="A20603" t="str">
        <f>HYPERLINK("https://www.773grp.com/globalSearch/UCC3750DWTR/page-1", "UCC3750DWTR")</f>
        <v>UCC3750DWTR</v>
      </c>
      <c r="B20603" s="3" t="s">
        <v>90</v>
      </c>
      <c r="C20603" s="5">
        <v>8000</v>
      </c>
      <c r="D20603" s="6">
        <v>19.41</v>
      </c>
      <c r="E20603" t="s">
        <v>56</v>
      </c>
    </row>
    <row r="20604" spans="1:5" x14ac:dyDescent="0.25">
      <c r="A20604" t="str">
        <f>HYPERLINK("https://www.773grp.com/globalSearch/CC2431RTC/page-1", "CC2431RTC")</f>
        <v>CC2431RTC</v>
      </c>
      <c r="B20604" s="3" t="s">
        <v>90</v>
      </c>
      <c r="C20604" s="5">
        <v>2461</v>
      </c>
      <c r="D20604" s="6">
        <v>20.81</v>
      </c>
      <c r="E20604" t="s">
        <v>56</v>
      </c>
    </row>
    <row r="20605" spans="1:5" x14ac:dyDescent="0.25">
      <c r="A20605" t="str">
        <f>HYPERLINK("https://www.773grp.com/globalSearch/CC2431ZRTC/page-1", "CC2431ZRTC")</f>
        <v>CC2431ZRTC</v>
      </c>
      <c r="B20605" s="3" t="s">
        <v>90</v>
      </c>
      <c r="C20605" s="5">
        <v>250</v>
      </c>
      <c r="D20605" s="6">
        <v>20.81</v>
      </c>
      <c r="E20605" t="s">
        <v>56</v>
      </c>
    </row>
    <row r="20606" spans="1:5" x14ac:dyDescent="0.25">
      <c r="A20606" t="str">
        <f>HYPERLINK("https://www.773grp.com/globalSearch/TLK4211EARGTT/page-1", "TLK4211EARGTT")</f>
        <v>TLK4211EARGTT</v>
      </c>
      <c r="B20606" s="3" t="s">
        <v>90</v>
      </c>
      <c r="C20606" s="5">
        <v>1250</v>
      </c>
      <c r="D20606" s="6">
        <v>20.81</v>
      </c>
      <c r="E20606" t="s">
        <v>56</v>
      </c>
    </row>
    <row r="20607" spans="1:5" x14ac:dyDescent="0.25">
      <c r="A20607" t="str">
        <f>HYPERLINK("https://www.773grp.com/globalSearch/TRF2432IRTQR/page-1", "TRF2432IRTQR")</f>
        <v>TRF2432IRTQR</v>
      </c>
      <c r="B20607" s="3" t="s">
        <v>90</v>
      </c>
      <c r="C20607" s="5">
        <v>18500</v>
      </c>
      <c r="D20607" s="6">
        <v>22.23</v>
      </c>
      <c r="E20607" t="s">
        <v>56</v>
      </c>
    </row>
    <row r="20608" spans="1:5" x14ac:dyDescent="0.25">
      <c r="A20608" t="str">
        <f>HYPERLINK("https://www.773grp.com/globalSearch/TLK1521IPAP/page-1", "TLK1521IPAP")</f>
        <v>TLK1521IPAP</v>
      </c>
      <c r="B20608" s="3" t="s">
        <v>90</v>
      </c>
      <c r="C20608" s="5">
        <v>37694</v>
      </c>
      <c r="D20608" s="6">
        <v>22.36</v>
      </c>
      <c r="E20608" t="s">
        <v>56</v>
      </c>
    </row>
    <row r="20609" spans="1:5" x14ac:dyDescent="0.25">
      <c r="A20609" t="str">
        <f>HYPERLINK("https://www.773grp.com/globalSearch/TLK1521IPAPG4/page-1", "TLK1521IPAPG4")</f>
        <v>TLK1521IPAPG4</v>
      </c>
      <c r="B20609" s="3" t="s">
        <v>90</v>
      </c>
      <c r="C20609" s="5">
        <v>60</v>
      </c>
      <c r="D20609" s="6">
        <v>22.36</v>
      </c>
      <c r="E20609" t="s">
        <v>56</v>
      </c>
    </row>
    <row r="20610" spans="1:5" x14ac:dyDescent="0.25">
      <c r="A20610" t="str">
        <f>HYPERLINK("https://www.773grp.com/globalSearch/TSB21LV03APM/page-1", "TSB21LV03APM")</f>
        <v>TSB21LV03APM</v>
      </c>
      <c r="B20610" s="3" t="s">
        <v>90</v>
      </c>
      <c r="C20610" s="5">
        <v>1573</v>
      </c>
      <c r="D20610" s="6">
        <v>22.53</v>
      </c>
      <c r="E20610" t="s">
        <v>56</v>
      </c>
    </row>
    <row r="20611" spans="1:5" x14ac:dyDescent="0.25">
      <c r="A20611" t="str">
        <f>HYPERLINK("https://www.773grp.com/globalSearch/SN65LVCP40RGZT/page-1", "SN65LVCP40RGZT")</f>
        <v>SN65LVCP40RGZT</v>
      </c>
      <c r="B20611" s="3" t="s">
        <v>90</v>
      </c>
      <c r="C20611" s="5">
        <v>250</v>
      </c>
      <c r="D20611" s="6">
        <v>22.65</v>
      </c>
      <c r="E20611" t="s">
        <v>56</v>
      </c>
    </row>
    <row r="20612" spans="1:5" x14ac:dyDescent="0.25">
      <c r="A20612" t="str">
        <f>HYPERLINK("https://www.773grp.com/globalSearch/CC2480A1RTCR/page-1", "CC2480A1RTCR")</f>
        <v>CC2480A1RTCR</v>
      </c>
      <c r="B20612" s="3" t="s">
        <v>90</v>
      </c>
      <c r="C20612" s="5">
        <v>8494</v>
      </c>
      <c r="D20612" s="6">
        <v>22.79</v>
      </c>
      <c r="E20612" t="s">
        <v>56</v>
      </c>
    </row>
    <row r="20613" spans="1:5" x14ac:dyDescent="0.25">
      <c r="A20613" t="str">
        <f>HYPERLINK("https://www.773grp.com/globalSearch/UCC3750DW/page-1", "UCC3750DW")</f>
        <v>UCC3750DW</v>
      </c>
      <c r="B20613" s="3" t="s">
        <v>90</v>
      </c>
      <c r="C20613" s="5">
        <v>11440</v>
      </c>
      <c r="D20613" s="6">
        <v>23.34</v>
      </c>
      <c r="E20613" t="s">
        <v>56</v>
      </c>
    </row>
    <row r="20614" spans="1:5" x14ac:dyDescent="0.25">
      <c r="A20614" t="str">
        <f>HYPERLINK("https://www.773grp.com/globalSearch/UCC3750DW/page-1", "UCC3750DW")</f>
        <v>UCC3750DW</v>
      </c>
      <c r="B20614" s="3" t="s">
        <v>90</v>
      </c>
      <c r="C20614" s="5">
        <v>1160</v>
      </c>
      <c r="D20614" s="6">
        <v>23.34</v>
      </c>
      <c r="E20614" t="s">
        <v>56</v>
      </c>
    </row>
    <row r="20615" spans="1:5" x14ac:dyDescent="0.25">
      <c r="A20615" t="str">
        <f>HYPERLINK("https://www.773grp.com/globalSearch/TPS658600ZQZR/page-1", "TPS658600ZQZR")</f>
        <v>TPS658600ZQZR</v>
      </c>
      <c r="B20615" s="3" t="s">
        <v>90</v>
      </c>
      <c r="C20615" s="5">
        <v>25000</v>
      </c>
      <c r="D20615" s="6">
        <v>24.48</v>
      </c>
      <c r="E20615" t="s">
        <v>56</v>
      </c>
    </row>
    <row r="20616" spans="1:5" x14ac:dyDescent="0.25">
      <c r="A20616" t="str">
        <f>HYPERLINK("https://www.773grp.com/globalSearch/SN65LVCP40RGZ/page-1", "SN65LVCP40RGZ")</f>
        <v>SN65LVCP40RGZ</v>
      </c>
      <c r="B20616" s="3" t="s">
        <v>90</v>
      </c>
      <c r="C20616" s="5">
        <v>21</v>
      </c>
      <c r="D20616" s="6">
        <v>25.31</v>
      </c>
      <c r="E20616" t="s">
        <v>56</v>
      </c>
    </row>
    <row r="20617" spans="1:5" x14ac:dyDescent="0.25">
      <c r="A20617" t="str">
        <f>HYPERLINK("https://www.773grp.com/globalSearch/TLK2541PFPR/page-1", "TLK2541PFPR")</f>
        <v>TLK2541PFPR</v>
      </c>
      <c r="B20617" s="3" t="s">
        <v>90</v>
      </c>
      <c r="C20617" s="5">
        <v>4000</v>
      </c>
      <c r="D20617" s="6">
        <v>25.31</v>
      </c>
      <c r="E20617" t="s">
        <v>56</v>
      </c>
    </row>
    <row r="20618" spans="1:5" x14ac:dyDescent="0.25">
      <c r="A20618" t="str">
        <f>HYPERLINK("https://www.773grp.com/globalSearch/TRF2432IRTQT/page-1", "TRF2432IRTQT")</f>
        <v>TRF2432IRTQT</v>
      </c>
      <c r="B20618" s="3" t="s">
        <v>90</v>
      </c>
      <c r="C20618" s="5">
        <v>3140</v>
      </c>
      <c r="D20618" s="6">
        <v>25.6</v>
      </c>
      <c r="E20618" t="s">
        <v>56</v>
      </c>
    </row>
    <row r="20619" spans="1:5" x14ac:dyDescent="0.25">
      <c r="A20619" t="str">
        <f>HYPERLINK("https://www.773grp.com/globalSearch/UCC3750N/page-1", "UCC3750N")</f>
        <v>UCC3750N</v>
      </c>
      <c r="B20619" s="3" t="s">
        <v>90</v>
      </c>
      <c r="C20619" s="5">
        <v>6991</v>
      </c>
      <c r="D20619" s="6">
        <v>26.13</v>
      </c>
      <c r="E20619" t="s">
        <v>56</v>
      </c>
    </row>
    <row r="20620" spans="1:5" x14ac:dyDescent="0.25">
      <c r="A20620" t="str">
        <f>HYPERLINK("https://www.773grp.com/globalSearch/UCC2750DWTR/page-1", "UCC2750DWTR")</f>
        <v>UCC2750DWTR</v>
      </c>
      <c r="B20620" s="3" t="s">
        <v>90</v>
      </c>
      <c r="C20620" s="5">
        <v>1000</v>
      </c>
      <c r="D20620" s="6">
        <v>26.16</v>
      </c>
      <c r="E20620" t="s">
        <v>56</v>
      </c>
    </row>
    <row r="20621" spans="1:5" x14ac:dyDescent="0.25">
      <c r="A20621" t="str">
        <f>HYPERLINK("https://www.773grp.com/globalSearch/ISO150AU/page-1", "ISO150AU")</f>
        <v>ISO150AU</v>
      </c>
      <c r="B20621" s="3" t="s">
        <v>90</v>
      </c>
      <c r="C20621" s="5">
        <v>14532</v>
      </c>
      <c r="D20621" s="6">
        <v>27.29</v>
      </c>
      <c r="E20621" t="s">
        <v>56</v>
      </c>
    </row>
    <row r="20622" spans="1:5" x14ac:dyDescent="0.25">
      <c r="A20622" t="str">
        <f>HYPERLINK("https://www.773grp.com/globalSearch/ISO150AUG4/page-1", "ISO150AUG4")</f>
        <v>ISO150AUG4</v>
      </c>
      <c r="B20622" s="3" t="s">
        <v>90</v>
      </c>
      <c r="C20622" s="5">
        <v>26</v>
      </c>
      <c r="D20622" s="6">
        <v>27.29</v>
      </c>
      <c r="E20622" t="s">
        <v>56</v>
      </c>
    </row>
    <row r="20623" spans="1:5" x14ac:dyDescent="0.25">
      <c r="A20623" t="str">
        <f>HYPERLINK("https://www.773grp.com/globalSearch/CC2480A1RTC/page-1", "CC2480A1RTC")</f>
        <v>CC2480A1RTC</v>
      </c>
      <c r="B20623" s="3" t="str">
        <f>HYPERLINK("https://www.773grp.com/manufacturer/texas-instruments?pageNo=9", "Texas Instruments")</f>
        <v>Texas Instruments</v>
      </c>
      <c r="C20623" s="5">
        <v>2054</v>
      </c>
      <c r="D20623" s="6">
        <v>27.43</v>
      </c>
      <c r="E20623" t="s">
        <v>56</v>
      </c>
    </row>
    <row r="20624" spans="1:5" x14ac:dyDescent="0.25">
      <c r="A20624" t="str">
        <f>HYPERLINK("https://www.773grp.com/globalSearch/TPS658600ZQZT/page-1", "TPS658600ZQZT")</f>
        <v>TPS658600ZQZT</v>
      </c>
      <c r="B20624" s="3" t="str">
        <f>HYPERLINK("https://www.773grp.com/manufacturer/texas-instruments?pageNo=196", "Texas Instruments")</f>
        <v>Texas Instruments</v>
      </c>
      <c r="C20624" s="5">
        <v>1750</v>
      </c>
      <c r="D20624" s="6">
        <v>28.26</v>
      </c>
      <c r="E20624" t="s">
        <v>56</v>
      </c>
    </row>
    <row r="20625" spans="1:5" x14ac:dyDescent="0.25">
      <c r="A20625" t="str">
        <f>HYPERLINK("https://www.773grp.com/globalSearch/TLK2541PFP/page-1", "TLK2541PFP")</f>
        <v>TLK2541PFP</v>
      </c>
      <c r="B20625" s="3" t="str">
        <f>HYPERLINK("https://www.773grp.com/manufacturer/texas-instruments?pageNo=385", "Texas Instruments")</f>
        <v>Texas Instruments</v>
      </c>
      <c r="C20625" s="5">
        <v>230</v>
      </c>
      <c r="D20625" s="6">
        <v>29.54</v>
      </c>
      <c r="E20625" t="s">
        <v>56</v>
      </c>
    </row>
    <row r="20626" spans="1:5" x14ac:dyDescent="0.25">
      <c r="A20626" t="str">
        <f>HYPERLINK("https://www.773grp.com/globalSearch/SN65LVCP418PAPT/page-1", "SN65LVCP418PAPT")</f>
        <v>SN65LVCP418PAPT</v>
      </c>
      <c r="B20626" s="3" t="str">
        <f>HYPERLINK("https://www.773grp.com/manufacturer/texas-instruments?pageNo=624", "Texas Instruments")</f>
        <v>Texas Instruments</v>
      </c>
      <c r="C20626" s="5">
        <v>1750</v>
      </c>
      <c r="D20626" s="6">
        <v>30.94</v>
      </c>
      <c r="E20626" t="s">
        <v>56</v>
      </c>
    </row>
    <row r="20627" spans="1:5" x14ac:dyDescent="0.25">
      <c r="A20627" t="str">
        <f>HYPERLINK("https://www.773grp.com/globalSearch/UCC2750DW/page-1", "UCC2750DW")</f>
        <v>UCC2750DW</v>
      </c>
      <c r="B20627" s="3" t="str">
        <f>HYPERLINK("https://www.773grp.com/manufacturer/texas-instruments?pageNo=734", "Texas Instruments")</f>
        <v>Texas Instruments</v>
      </c>
      <c r="C20627" s="5">
        <v>69</v>
      </c>
      <c r="D20627" s="6">
        <v>31.78</v>
      </c>
      <c r="E20627" t="s">
        <v>56</v>
      </c>
    </row>
    <row r="20628" spans="1:5" x14ac:dyDescent="0.25">
      <c r="A20628" t="str">
        <f>HYPERLINK("https://www.773grp.com/globalSearch/UCC2750DW/page-1", "UCC2750DW")</f>
        <v>UCC2750DW</v>
      </c>
      <c r="B20628" s="3" t="str">
        <f>HYPERLINK("https://www.773grp.com/manufacturer/texas-instruments?pageNo=735", "Texas Instruments")</f>
        <v>Texas Instruments</v>
      </c>
      <c r="C20628" s="5">
        <v>29</v>
      </c>
      <c r="D20628" s="6">
        <v>31.78</v>
      </c>
      <c r="E20628" t="s">
        <v>56</v>
      </c>
    </row>
    <row r="20629" spans="1:5" x14ac:dyDescent="0.25">
      <c r="A20629" t="str">
        <f>HYPERLINK("https://www.773grp.com/globalSearch/UCC2750DW/page-1", "UCC2750DW")</f>
        <v>UCC2750DW</v>
      </c>
      <c r="B20629" s="3" t="str">
        <f>HYPERLINK("https://www.773grp.com/manufacturer/texas-instruments?pageNo=736", "Texas Instruments")</f>
        <v>Texas Instruments</v>
      </c>
      <c r="C20629" s="5">
        <v>40</v>
      </c>
      <c r="D20629" s="6">
        <v>31.78</v>
      </c>
      <c r="E20629" t="s">
        <v>56</v>
      </c>
    </row>
    <row r="20630" spans="1:5" x14ac:dyDescent="0.25">
      <c r="A20630" t="str">
        <f>HYPERLINK("https://www.773grp.com/globalSearch/TLK1501IRCP/page-1", "TLK1501IRCP")</f>
        <v>TLK1501IRCP</v>
      </c>
      <c r="B20630" s="3" t="str">
        <f>HYPERLINK("https://www.773grp.com/manufacturer/texas-instruments?pageNo=871", "Texas Instruments")</f>
        <v>Texas Instruments</v>
      </c>
      <c r="C20630" s="5">
        <v>535</v>
      </c>
      <c r="D20630" s="6">
        <v>32.630000000000003</v>
      </c>
      <c r="E20630" t="s">
        <v>56</v>
      </c>
    </row>
    <row r="20631" spans="1:5" x14ac:dyDescent="0.25">
      <c r="A20631" t="str">
        <f>HYPERLINK("https://www.773grp.com/globalSearch/TLK2711JRZQE/page-1", "TLK2711JRZQE")</f>
        <v>TLK2711JRZQE</v>
      </c>
      <c r="B20631" s="3" t="s">
        <v>90</v>
      </c>
      <c r="C20631" s="5">
        <v>7045</v>
      </c>
      <c r="D20631" s="6">
        <v>34.04</v>
      </c>
      <c r="E20631" t="s">
        <v>56</v>
      </c>
    </row>
    <row r="20632" spans="1:5" x14ac:dyDescent="0.25">
      <c r="A20632" t="str">
        <f>HYPERLINK("https://www.773grp.com/globalSearch/TLK2501IRCP/page-1", "TLK2501IRCP")</f>
        <v>TLK2501IRCP</v>
      </c>
      <c r="B20632" s="3" t="s">
        <v>90</v>
      </c>
      <c r="C20632" s="5">
        <v>2737</v>
      </c>
      <c r="D20632" s="6">
        <v>36.700000000000003</v>
      </c>
      <c r="E20632" t="s">
        <v>56</v>
      </c>
    </row>
    <row r="20633" spans="1:5" x14ac:dyDescent="0.25">
      <c r="A20633" t="str">
        <f>HYPERLINK("https://www.773grp.com/globalSearch/TLK2501IRCPG4/page-1", "TLK2501IRCPG4")</f>
        <v>TLK2501IRCPG4</v>
      </c>
      <c r="B20633" s="3" t="s">
        <v>90</v>
      </c>
      <c r="C20633" s="5">
        <v>6</v>
      </c>
      <c r="D20633" s="6">
        <v>36.700000000000003</v>
      </c>
      <c r="E20633" t="s">
        <v>56</v>
      </c>
    </row>
    <row r="20634" spans="1:5" x14ac:dyDescent="0.25">
      <c r="A20634" t="str">
        <f>HYPERLINK("https://www.773grp.com/globalSearch/TRF2436IRTBT/page-1", "TRF2436IRTBT")</f>
        <v>TRF2436IRTBT</v>
      </c>
      <c r="B20634" s="3" t="s">
        <v>90</v>
      </c>
      <c r="C20634" s="5">
        <v>5380</v>
      </c>
      <c r="D20634" s="6">
        <v>39.200000000000003</v>
      </c>
      <c r="E20634" t="s">
        <v>56</v>
      </c>
    </row>
    <row r="20635" spans="1:5" x14ac:dyDescent="0.25">
      <c r="A20635" t="str">
        <f>HYPERLINK("https://www.773grp.com/globalSearch/TLK2711JRGQE/page-1", "TLK2711JRGQE")</f>
        <v>TLK2711JRGQE</v>
      </c>
      <c r="B20635" s="3" t="s">
        <v>90</v>
      </c>
      <c r="C20635" s="5">
        <v>1718</v>
      </c>
      <c r="D20635" s="6">
        <v>40.79</v>
      </c>
      <c r="E20635" t="s">
        <v>56</v>
      </c>
    </row>
    <row r="20636" spans="1:5" x14ac:dyDescent="0.25">
      <c r="A20636" t="str">
        <f>HYPERLINK("https://www.773grp.com/globalSearch/TLK2701IRCPR/page-1", "TLK2701IRCPR")</f>
        <v>TLK2701IRCPR</v>
      </c>
      <c r="B20636" s="3" t="s">
        <v>90</v>
      </c>
      <c r="C20636" s="5">
        <v>22000</v>
      </c>
      <c r="D20636" s="6">
        <v>42.19</v>
      </c>
      <c r="E20636" t="s">
        <v>56</v>
      </c>
    </row>
    <row r="20637" spans="1:5" x14ac:dyDescent="0.25">
      <c r="A20637" t="str">
        <f>HYPERLINK("https://www.773grp.com/globalSearch/TLK2711IRCP/page-1", "TLK2711IRCP")</f>
        <v>TLK2711IRCP</v>
      </c>
      <c r="B20637" s="3" t="s">
        <v>90</v>
      </c>
      <c r="C20637" s="5">
        <v>1204</v>
      </c>
      <c r="D20637" s="6">
        <v>48.65</v>
      </c>
      <c r="E20637" t="s">
        <v>56</v>
      </c>
    </row>
    <row r="20638" spans="1:5" x14ac:dyDescent="0.25">
      <c r="A20638" t="str">
        <f>HYPERLINK("https://www.773grp.com/globalSearch/TNETA1555DW/page-1", "TNETA1555DW")</f>
        <v>TNETA1555DW</v>
      </c>
      <c r="B20638" s="3" t="s">
        <v>90</v>
      </c>
      <c r="C20638" s="5">
        <v>16</v>
      </c>
      <c r="D20638" s="6">
        <v>51.68</v>
      </c>
      <c r="E20638" t="s">
        <v>56</v>
      </c>
    </row>
    <row r="20639" spans="1:5" x14ac:dyDescent="0.25">
      <c r="A20639" t="str">
        <f>HYPERLINK("https://www.773grp.com/globalSearch/TRF2443IPFP/page-1", "TRF2443IPFP")</f>
        <v>TRF2443IPFP</v>
      </c>
      <c r="B20639" s="3" t="s">
        <v>90</v>
      </c>
      <c r="C20639" s="5">
        <v>204</v>
      </c>
      <c r="D20639" s="6">
        <v>73.13</v>
      </c>
      <c r="E20639" t="s">
        <v>56</v>
      </c>
    </row>
    <row r="20640" spans="1:5" x14ac:dyDescent="0.25">
      <c r="A20640" t="str">
        <f>HYPERLINK("https://www.773grp.com/globalSearch/TLK4015IGPV/page-1", "TLK4015IGPV")</f>
        <v>TLK4015IGPV</v>
      </c>
      <c r="B20640" s="3" t="s">
        <v>90</v>
      </c>
      <c r="C20640" s="5">
        <v>303</v>
      </c>
      <c r="D20640" s="6">
        <v>77.34</v>
      </c>
      <c r="E20640" t="s">
        <v>56</v>
      </c>
    </row>
    <row r="20641" spans="1:5" x14ac:dyDescent="0.25">
      <c r="A20641" t="str">
        <f>HYPERLINK("https://www.773grp.com/globalSearch/TLK4015IZPV/page-1", "TLK4015IZPV")</f>
        <v>TLK4015IZPV</v>
      </c>
      <c r="B20641" s="3" t="s">
        <v>90</v>
      </c>
      <c r="C20641" s="5">
        <v>7434</v>
      </c>
      <c r="D20641" s="6">
        <v>77.34</v>
      </c>
      <c r="E20641" t="s">
        <v>56</v>
      </c>
    </row>
    <row r="20642" spans="1:5" x14ac:dyDescent="0.25">
      <c r="A20642" t="str">
        <f>HYPERLINK("https://www.773grp.com/globalSearch/TLK2500IRCP/page-1", "TLK2500IRCP")</f>
        <v>TLK2500IRCP</v>
      </c>
      <c r="B20642" s="3" t="s">
        <v>90</v>
      </c>
      <c r="C20642" s="5">
        <v>902</v>
      </c>
      <c r="D20642" s="6">
        <v>88.88</v>
      </c>
      <c r="E20642" t="s">
        <v>56</v>
      </c>
    </row>
    <row r="20643" spans="1:5" x14ac:dyDescent="0.25">
      <c r="A20643" t="str">
        <f>HYPERLINK("https://www.773grp.com/globalSearch/GC4016-PB/page-1", "GC4016-PB")</f>
        <v>GC4016-PB</v>
      </c>
      <c r="B20643" s="3" t="s">
        <v>90</v>
      </c>
      <c r="C20643" s="5">
        <v>2682</v>
      </c>
      <c r="D20643" s="6">
        <v>118.13</v>
      </c>
      <c r="E20643" t="s">
        <v>56</v>
      </c>
    </row>
    <row r="20644" spans="1:5" x14ac:dyDescent="0.25">
      <c r="A20644" t="str">
        <f>HYPERLINK("https://www.773grp.com/globalSearch/GC4016-PBZ/page-1", "GC4016-PBZ")</f>
        <v>GC4016-PBZ</v>
      </c>
      <c r="B20644" s="3" t="s">
        <v>90</v>
      </c>
      <c r="C20644" s="5">
        <v>1117</v>
      </c>
      <c r="D20644" s="6">
        <v>118.13</v>
      </c>
      <c r="E20644" t="s">
        <v>56</v>
      </c>
    </row>
    <row r="20645" spans="1:5" x14ac:dyDescent="0.25">
      <c r="A20645" t="str">
        <f>HYPERLINK("https://www.773grp.com/globalSearch/TLK3138GDU/page-1", "TLK3138GDU")</f>
        <v>TLK3138GDU</v>
      </c>
      <c r="B20645" s="3" t="s">
        <v>90</v>
      </c>
      <c r="C20645" s="5">
        <v>533</v>
      </c>
      <c r="D20645" s="6">
        <v>126.56</v>
      </c>
      <c r="E20645" t="s">
        <v>56</v>
      </c>
    </row>
    <row r="20646" spans="1:5" x14ac:dyDescent="0.25">
      <c r="A20646" t="str">
        <f>HYPERLINK("https://www.773grp.com/globalSearch/TLK3138ZDU/page-1", "TLK3138ZDU")</f>
        <v>TLK3138ZDU</v>
      </c>
      <c r="B20646" s="3" t="s">
        <v>90</v>
      </c>
      <c r="C20646" s="5">
        <v>460</v>
      </c>
      <c r="D20646" s="6">
        <v>126.56</v>
      </c>
      <c r="E20646" t="s">
        <v>56</v>
      </c>
    </row>
    <row r="20647" spans="1:5" x14ac:dyDescent="0.25">
      <c r="A20647" t="str">
        <f>HYPERLINK("https://www.773grp.com/globalSearch/GC4116-PB/page-1", "GC4116-PB")</f>
        <v>GC4116-PB</v>
      </c>
      <c r="B20647" s="3" t="str">
        <f>HYPERLINK("https://www.773grp.com/manufacturer/texas-instruments?pageNo=308", "Texas Instruments")</f>
        <v>Texas Instruments</v>
      </c>
      <c r="C20647" s="5">
        <v>2566</v>
      </c>
      <c r="D20647" s="6">
        <v>174.38</v>
      </c>
      <c r="E20647" t="s">
        <v>56</v>
      </c>
    </row>
    <row r="20648" spans="1:5" x14ac:dyDescent="0.25">
      <c r="A20648" t="str">
        <f>HYPERLINK("https://www.773grp.com/globalSearch/GC4116-PBZ/page-1", "GC4116-PBZ")</f>
        <v>GC4116-PBZ</v>
      </c>
      <c r="B20648" s="3" t="str">
        <f>HYPERLINK("https://www.773grp.com/manufacturer/texas-instruments?pageNo=309", "Texas Instruments")</f>
        <v>Texas Instruments</v>
      </c>
      <c r="C20648" s="5">
        <v>1514</v>
      </c>
      <c r="D20648" s="6">
        <v>174.38</v>
      </c>
      <c r="E20648" t="s">
        <v>56</v>
      </c>
    </row>
    <row r="20649" spans="1:5" x14ac:dyDescent="0.25">
      <c r="A20649" t="str">
        <f>HYPERLINK("https://www.773grp.com/globalSearch/GC3021-PQ/page-1", "GC3021-PQ")</f>
        <v>GC3021-PQ</v>
      </c>
      <c r="B20649" s="3" t="str">
        <f>HYPERLINK("https://www.773grp.com/manufacturer/texas-instruments?pageNo=664", "Texas Instruments")</f>
        <v>Texas Instruments</v>
      </c>
      <c r="C20649" s="5">
        <v>2078</v>
      </c>
      <c r="D20649" s="6">
        <v>218.51</v>
      </c>
      <c r="E20649" t="s">
        <v>56</v>
      </c>
    </row>
    <row r="20650" spans="1:5" x14ac:dyDescent="0.25">
      <c r="A20650" t="str">
        <f>HYPERLINK("https://www.773grp.com/globalSearch/GC3021A-PQ/page-1", "GC3021A-PQ")</f>
        <v>GC3021A-PQ</v>
      </c>
      <c r="B20650" s="3" t="s">
        <v>90</v>
      </c>
      <c r="C20650" s="5">
        <v>2295</v>
      </c>
      <c r="D20650" s="6">
        <v>328.53</v>
      </c>
      <c r="E20650" t="s">
        <v>56</v>
      </c>
    </row>
    <row r="20651" spans="1:5" x14ac:dyDescent="0.25">
      <c r="A20651" t="str">
        <f>HYPERLINK("https://www.773grp.com/globalSearch/UCC2751D/page-1", "UCC2751D")</f>
        <v>UCC2751D</v>
      </c>
      <c r="B20651" s="3" t="s">
        <v>112</v>
      </c>
      <c r="C20651" s="5">
        <v>3077</v>
      </c>
      <c r="D20651" s="6">
        <v>8.3000000000000007</v>
      </c>
      <c r="E20651" t="s">
        <v>56</v>
      </c>
    </row>
    <row r="20652" spans="1:5" x14ac:dyDescent="0.25">
      <c r="A20652" t="str">
        <f>HYPERLINK("https://www.773grp.com/globalSearch/UCC2752D/page-1", "UCC2752D")</f>
        <v>UCC2752D</v>
      </c>
      <c r="B20652" s="3" t="s">
        <v>112</v>
      </c>
      <c r="C20652" s="5">
        <v>3729</v>
      </c>
      <c r="D20652" s="6">
        <v>11.81</v>
      </c>
      <c r="E20652" t="s">
        <v>56</v>
      </c>
    </row>
    <row r="20653" spans="1:5" x14ac:dyDescent="0.25">
      <c r="A20653" t="str">
        <f>HYPERLINK("https://www.773grp.com/globalSearch/UCC3750DW/page-1", "UCC3750DW")</f>
        <v>UCC3750DW</v>
      </c>
      <c r="B20653" s="3" t="s">
        <v>112</v>
      </c>
      <c r="C20653" s="5">
        <v>100</v>
      </c>
      <c r="D20653" s="6">
        <v>23.34</v>
      </c>
      <c r="E20653" t="s">
        <v>56</v>
      </c>
    </row>
    <row r="20654" spans="1:5" x14ac:dyDescent="0.25">
      <c r="A20654" t="str">
        <f>HYPERLINK("https://www.773grp.com/globalSearch/UCC2750DW/page-1", "UCC2750DW")</f>
        <v>UCC2750DW</v>
      </c>
      <c r="B20654" s="3" t="s">
        <v>112</v>
      </c>
      <c r="C20654" s="5">
        <v>10</v>
      </c>
      <c r="D20654" s="6">
        <v>31.78</v>
      </c>
      <c r="E20654" t="s">
        <v>56</v>
      </c>
    </row>
    <row r="20655" spans="1:5" x14ac:dyDescent="0.25">
      <c r="A20655" t="str">
        <f>HYPERLINK("https://www.773grp.com/globalSearch/UCC2750DW/page-1", "UCC2750DW")</f>
        <v>UCC2750DW</v>
      </c>
      <c r="B20655" s="3" t="s">
        <v>112</v>
      </c>
      <c r="C20655" s="5">
        <v>245</v>
      </c>
      <c r="D20655" s="6">
        <v>31.78</v>
      </c>
      <c r="E20655" t="s">
        <v>56</v>
      </c>
    </row>
    <row r="20656" spans="1:5" x14ac:dyDescent="0.25">
      <c r="A20656" t="str">
        <f>HYPERLINK("https://www.773grp.com/globalSearch/KESRX01G-IG-QP2Q/page-1", "KESRX01G-IG-QP2Q")</f>
        <v>KESRX01G-IG-QP2Q</v>
      </c>
      <c r="B20656" s="3" t="s">
        <v>116</v>
      </c>
      <c r="C20656" s="5">
        <v>72500</v>
      </c>
      <c r="D20656" s="6">
        <v>6.19</v>
      </c>
      <c r="E20656" t="s">
        <v>56</v>
      </c>
    </row>
    <row r="20657" spans="1:5" x14ac:dyDescent="0.25">
      <c r="A20657" t="str">
        <f>HYPERLINK("https://www.773grp.com/globalSearch/KESRX04C-IG-QP1S/page-1", "KESRX04C-IG-QP1S")</f>
        <v>KESRX04C-IG-QP1S</v>
      </c>
      <c r="B20657" s="3" t="s">
        <v>116</v>
      </c>
      <c r="C20657" s="5">
        <v>3980</v>
      </c>
      <c r="D20657" s="6">
        <v>6.19</v>
      </c>
      <c r="E20657" t="s">
        <v>56</v>
      </c>
    </row>
    <row r="20658" spans="1:5" x14ac:dyDescent="0.25">
      <c r="A20658" t="str">
        <f>HYPERLINK("https://www.773grp.com/globalSearch/ACE9020B-KG-NP1S/page-1", "ACE9020B-KG-NP1S")</f>
        <v>ACE9020B-KG-NP1S</v>
      </c>
      <c r="B20658" s="3" t="s">
        <v>116</v>
      </c>
      <c r="C20658" s="5">
        <v>77</v>
      </c>
      <c r="D20658" s="6">
        <v>8.73</v>
      </c>
      <c r="E20658" t="s">
        <v>56</v>
      </c>
    </row>
    <row r="20659" spans="1:5" x14ac:dyDescent="0.25">
      <c r="A20659" t="str">
        <f>HYPERLINK("https://www.773grp.com/globalSearch/ACE9020B-KG-NP1T/page-1", "ACE9020B-KG-NP1T")</f>
        <v>ACE9020B-KG-NP1T</v>
      </c>
      <c r="B20659" s="3" t="s">
        <v>116</v>
      </c>
      <c r="C20659" s="5">
        <v>10000</v>
      </c>
      <c r="D20659" s="6">
        <v>8.73</v>
      </c>
      <c r="E20659" t="s">
        <v>56</v>
      </c>
    </row>
    <row r="20660" spans="1:5" x14ac:dyDescent="0.25">
      <c r="A20660" t="str">
        <f>HYPERLINK("https://www.773grp.com/globalSearch/GP2010-IG-GP2N/page-1", "GP2010-IG-GP2N")</f>
        <v>GP2010-IG-GP2N</v>
      </c>
      <c r="B20660" s="3" t="s">
        <v>116</v>
      </c>
      <c r="C20660" s="5">
        <v>7</v>
      </c>
      <c r="D20660" s="6">
        <v>13.39</v>
      </c>
      <c r="E20660" t="s">
        <v>56</v>
      </c>
    </row>
    <row r="20661" spans="1:5" x14ac:dyDescent="0.25">
      <c r="A20661" t="str">
        <f>HYPERLINK("https://www.773grp.com/globalSearch/ACE9030M-IW-FP1Q/page-1", "ACE9030M-IW-FP1Q")</f>
        <v>ACE9030M-IW-FP1Q</v>
      </c>
      <c r="B20661" s="3" t="s">
        <v>116</v>
      </c>
      <c r="C20661" s="5">
        <v>22000</v>
      </c>
      <c r="D20661" s="6">
        <v>15.75</v>
      </c>
      <c r="E20661" t="s">
        <v>56</v>
      </c>
    </row>
    <row r="20662" spans="1:5" x14ac:dyDescent="0.25">
      <c r="A20662" t="str">
        <f>HYPERLINK("https://www.773grp.com/globalSearch/ACE9040J-IW-FP1Q/page-1", "ACE9040J-IW-FP1Q")</f>
        <v>ACE9040J-IW-FP1Q</v>
      </c>
      <c r="B20662" s="3" t="s">
        <v>116</v>
      </c>
      <c r="C20662" s="5">
        <v>11000</v>
      </c>
      <c r="D20662" s="6">
        <v>15.75</v>
      </c>
      <c r="E20662" t="s">
        <v>56</v>
      </c>
    </row>
    <row r="20663" spans="1:5" x14ac:dyDescent="0.25">
      <c r="A20663" t="str">
        <f>HYPERLINK("https://www.773grp.com/globalSearch/ACE9040J-IW-FP2N/page-1", "ACE9040J-IW-FP2N")</f>
        <v>ACE9040J-IW-FP2N</v>
      </c>
      <c r="B20663" s="3" t="s">
        <v>116</v>
      </c>
      <c r="C20663" s="5">
        <v>1983</v>
      </c>
      <c r="D20663" s="6">
        <v>15.75</v>
      </c>
      <c r="E20663" t="s">
        <v>56</v>
      </c>
    </row>
    <row r="20664" spans="1:5" x14ac:dyDescent="0.25">
      <c r="A20664" t="str">
        <f>HYPERLINK("https://www.773grp.com/globalSearch/ACE9050C-IW-FP8Q/page-1", "ACE9050C-IW-FP8Q")</f>
        <v>ACE9050C-IW-FP8Q</v>
      </c>
      <c r="B20664" s="3" t="s">
        <v>116</v>
      </c>
      <c r="C20664" s="5">
        <v>2132</v>
      </c>
      <c r="D20664" s="6">
        <v>20.54</v>
      </c>
      <c r="E20664" t="s">
        <v>56</v>
      </c>
    </row>
    <row r="20665" spans="1:5" x14ac:dyDescent="0.25">
      <c r="A20665" t="str">
        <f>HYPERLINK("https://www.773grp.com/globalSearch/ACE9050D-IG-GP1N/page-1", "ACE9050D-IG-GP1N")</f>
        <v>ACE9050D-IG-GP1N</v>
      </c>
      <c r="B20665" s="3" t="s">
        <v>116</v>
      </c>
      <c r="C20665" s="5">
        <v>712</v>
      </c>
      <c r="D20665" s="6">
        <v>20.54</v>
      </c>
      <c r="E20665" t="s">
        <v>56</v>
      </c>
    </row>
    <row r="20666" spans="1:5" x14ac:dyDescent="0.25">
      <c r="A20666" t="str">
        <f>HYPERLINK("https://www.773grp.com/globalSearch/TCM1030P/page-1", "TCM1030P")</f>
        <v>TCM1030P</v>
      </c>
      <c r="B20666" s="3" t="str">
        <f>HYPERLINK("https://www.773grp.com/manufacturer/texas-instruments?pageNo=279", "Texas Instruments")</f>
        <v>Texas Instruments</v>
      </c>
      <c r="C20666" s="5">
        <v>6080</v>
      </c>
      <c r="D20666" s="6">
        <v>4.96</v>
      </c>
      <c r="E20666" t="s">
        <v>95</v>
      </c>
    </row>
    <row r="20667" spans="1:5" x14ac:dyDescent="0.25">
      <c r="A20667" t="str">
        <f>HYPERLINK("https://www.773grp.com/globalSearch/MT9080AP/page-1", "MT9080AP")</f>
        <v>MT9080AP</v>
      </c>
      <c r="B20667" s="3" t="s">
        <v>116</v>
      </c>
      <c r="C20667" s="5">
        <v>855</v>
      </c>
      <c r="D20667" s="6">
        <v>158.83000000000001</v>
      </c>
      <c r="E20667" t="s">
        <v>120</v>
      </c>
    </row>
    <row r="20668" spans="1:5" x14ac:dyDescent="0.25">
      <c r="A20668" t="str">
        <f>HYPERLINK("https://www.773grp.com/globalSearch/MT8841AS/page-1", "MT8841AS")</f>
        <v>MT8841AS</v>
      </c>
      <c r="B20668" s="3" t="s">
        <v>116</v>
      </c>
      <c r="C20668" s="5">
        <v>67</v>
      </c>
      <c r="D20668" s="6">
        <v>4.16</v>
      </c>
      <c r="E20668" t="s">
        <v>96</v>
      </c>
    </row>
    <row r="20669" spans="1:5" x14ac:dyDescent="0.25">
      <c r="A20669" t="str">
        <f>HYPERLINK("https://www.773grp.com/globalSearch/MV1815-2ABADP/page-1", "MV1815-2ABADP")</f>
        <v>MV1815-2ABADP</v>
      </c>
      <c r="B20669" s="3" t="s">
        <v>116</v>
      </c>
      <c r="C20669" s="5">
        <v>200</v>
      </c>
      <c r="D20669" s="6">
        <v>38.81</v>
      </c>
      <c r="E20669" t="s">
        <v>119</v>
      </c>
    </row>
    <row r="20670" spans="1:5" x14ac:dyDescent="0.25">
      <c r="A20670" t="str">
        <f>HYPERLINK("https://www.773grp.com/globalSearch/BQ3285S-SB2TR/page-1", "BQ3285S-SB2TR")</f>
        <v>BQ3285S-SB2TR</v>
      </c>
      <c r="B20670" s="3" t="s">
        <v>90</v>
      </c>
      <c r="C20670" s="5">
        <v>8800</v>
      </c>
      <c r="D20670" s="6">
        <v>5.91</v>
      </c>
      <c r="E20670" t="s">
        <v>70</v>
      </c>
    </row>
    <row r="20671" spans="1:5" x14ac:dyDescent="0.25">
      <c r="A20671" t="str">
        <f>HYPERLINK("https://www.773grp.com/globalSearch/BQ4285LS/page-1", "BQ4285LS")</f>
        <v>BQ4285LS</v>
      </c>
      <c r="B20671" s="3" t="s">
        <v>90</v>
      </c>
      <c r="C20671" s="5">
        <v>976</v>
      </c>
      <c r="D20671" s="6">
        <v>6.19</v>
      </c>
      <c r="E20671" t="s">
        <v>70</v>
      </c>
    </row>
    <row r="20672" spans="1:5" x14ac:dyDescent="0.25">
      <c r="A20672" t="str">
        <f>HYPERLINK("https://www.773grp.com/globalSearch/BQ3285ESSTR/page-1", "BQ3285ESSTR")</f>
        <v>BQ3285ESSTR</v>
      </c>
      <c r="B20672" s="3" t="s">
        <v>90</v>
      </c>
      <c r="C20672" s="5">
        <v>3000</v>
      </c>
      <c r="D20672" s="6">
        <v>6.21</v>
      </c>
      <c r="E20672" t="s">
        <v>70</v>
      </c>
    </row>
    <row r="20673" spans="1:5" x14ac:dyDescent="0.25">
      <c r="A20673" t="str">
        <f>HYPERLINK("https://www.773grp.com/globalSearch/BQ3285LDSSTR/page-1", "BQ3285LDSSTR")</f>
        <v>BQ3285LDSSTR</v>
      </c>
      <c r="B20673" s="3" t="s">
        <v>90</v>
      </c>
      <c r="C20673" s="5">
        <v>28345</v>
      </c>
      <c r="D20673" s="6">
        <v>6.21</v>
      </c>
      <c r="E20673" t="s">
        <v>70</v>
      </c>
    </row>
    <row r="20674" spans="1:5" x14ac:dyDescent="0.25">
      <c r="A20674" t="str">
        <f>HYPERLINK("https://www.773grp.com/globalSearch/BQ3285LFSS-A1TR/page-1", "BQ3285LFSS-A1TR")</f>
        <v>BQ3285LFSS-A1TR</v>
      </c>
      <c r="B20674" s="3" t="s">
        <v>90</v>
      </c>
      <c r="C20674" s="5">
        <v>627500</v>
      </c>
      <c r="D20674" s="6">
        <v>6.21</v>
      </c>
      <c r="E20674" t="s">
        <v>70</v>
      </c>
    </row>
    <row r="20675" spans="1:5" x14ac:dyDescent="0.25">
      <c r="A20675" t="str">
        <f>HYPERLINK("https://www.773grp.com/globalSearch/BQ3285EP/page-1", "BQ3285EP")</f>
        <v>BQ3285EP</v>
      </c>
      <c r="B20675" s="3" t="str">
        <f>HYPERLINK("https://www.773grp.com/manufacturer/texas-instruments?pageNo=588", "Texas Instruments")</f>
        <v>Texas Instruments</v>
      </c>
      <c r="C20675" s="5">
        <v>68568</v>
      </c>
      <c r="D20675" s="6">
        <v>6.84</v>
      </c>
      <c r="E20675" t="s">
        <v>70</v>
      </c>
    </row>
    <row r="20676" spans="1:5" x14ac:dyDescent="0.25">
      <c r="A20676" t="str">
        <f>HYPERLINK("https://www.773grp.com/globalSearch/BQ3285P-SB2/page-1", "BQ3285P-SB2")</f>
        <v>BQ3285P-SB2</v>
      </c>
      <c r="B20676" s="3" t="str">
        <f>HYPERLINK("https://www.773grp.com/manufacturer/texas-instruments?pageNo=589", "Texas Instruments")</f>
        <v>Texas Instruments</v>
      </c>
      <c r="C20676" s="5">
        <v>1346</v>
      </c>
      <c r="D20676" s="6">
        <v>6.84</v>
      </c>
      <c r="E20676" t="s">
        <v>70</v>
      </c>
    </row>
    <row r="20677" spans="1:5" x14ac:dyDescent="0.25">
      <c r="A20677" t="str">
        <f>HYPERLINK("https://www.773grp.com/globalSearch/BQ4802LYPWR/page-1", "BQ4802LYPWR")</f>
        <v>BQ4802LYPWR</v>
      </c>
      <c r="B20677" s="3" t="str">
        <f>HYPERLINK("https://www.773grp.com/manufacturer/texas-instruments?pageNo=766", "Texas Instruments")</f>
        <v>Texas Instruments</v>
      </c>
      <c r="C20677" s="5">
        <v>4000</v>
      </c>
      <c r="D20677" s="6">
        <v>7.04</v>
      </c>
      <c r="E20677" t="s">
        <v>70</v>
      </c>
    </row>
    <row r="20678" spans="1:5" x14ac:dyDescent="0.25">
      <c r="A20678" t="str">
        <f>HYPERLINK("https://www.773grp.com/globalSearch/BQ3285ES/page-1", "BQ3285ES")</f>
        <v>BQ3285ES</v>
      </c>
      <c r="B20678" s="3" t="s">
        <v>90</v>
      </c>
      <c r="C20678" s="5">
        <v>25</v>
      </c>
      <c r="D20678" s="6">
        <v>7.39</v>
      </c>
      <c r="E20678" t="s">
        <v>70</v>
      </c>
    </row>
    <row r="20679" spans="1:5" x14ac:dyDescent="0.25">
      <c r="A20679" t="str">
        <f>HYPERLINK("https://www.773grp.com/globalSearch/BQ3285ES/page-1", "BQ3285ES")</f>
        <v>BQ3285ES</v>
      </c>
      <c r="B20679" s="3" t="s">
        <v>90</v>
      </c>
      <c r="C20679" s="5">
        <v>675</v>
      </c>
      <c r="D20679" s="6">
        <v>7.39</v>
      </c>
      <c r="E20679" t="s">
        <v>70</v>
      </c>
    </row>
    <row r="20680" spans="1:5" x14ac:dyDescent="0.25">
      <c r="A20680" t="str">
        <f>HYPERLINK("https://www.773grp.com/globalSearch/BQ3285ESS/page-1", "BQ3285ESS")</f>
        <v>BQ3285ESS</v>
      </c>
      <c r="B20680" s="3" t="s">
        <v>90</v>
      </c>
      <c r="C20680" s="5">
        <v>7045</v>
      </c>
      <c r="D20680" s="6">
        <v>7.39</v>
      </c>
      <c r="E20680" t="s">
        <v>70</v>
      </c>
    </row>
    <row r="20681" spans="1:5" x14ac:dyDescent="0.25">
      <c r="A20681" t="str">
        <f>HYPERLINK("https://www.773grp.com/globalSearch/BQ3285ESS/page-1", "BQ3285ESS")</f>
        <v>BQ3285ESS</v>
      </c>
      <c r="B20681" s="3" t="s">
        <v>90</v>
      </c>
      <c r="C20681" s="5">
        <v>27911</v>
      </c>
      <c r="D20681" s="6">
        <v>7.39</v>
      </c>
      <c r="E20681" t="s">
        <v>70</v>
      </c>
    </row>
    <row r="20682" spans="1:5" x14ac:dyDescent="0.25">
      <c r="A20682" t="str">
        <f>HYPERLINK("https://www.773grp.com/globalSearch/BQ3285LDSS/page-1", "BQ3285LDSS")</f>
        <v>BQ3285LDSS</v>
      </c>
      <c r="B20682" s="3" t="s">
        <v>90</v>
      </c>
      <c r="C20682" s="5">
        <v>50</v>
      </c>
      <c r="D20682" s="6">
        <v>7.39</v>
      </c>
      <c r="E20682" t="s">
        <v>70</v>
      </c>
    </row>
    <row r="20683" spans="1:5" x14ac:dyDescent="0.25">
      <c r="A20683" t="str">
        <f>HYPERLINK("https://www.773grp.com/globalSearch/BQ3285LDSS/page-1", "BQ3285LDSS")</f>
        <v>BQ3285LDSS</v>
      </c>
      <c r="B20683" s="3" t="s">
        <v>90</v>
      </c>
      <c r="C20683" s="5">
        <v>12878</v>
      </c>
      <c r="D20683" s="6">
        <v>7.39</v>
      </c>
      <c r="E20683" t="s">
        <v>70</v>
      </c>
    </row>
    <row r="20684" spans="1:5" x14ac:dyDescent="0.25">
      <c r="A20684" t="str">
        <f>HYPERLINK("https://www.773grp.com/globalSearch/BQ3285LFSS-A1/page-1", "BQ3285LFSS-A1")</f>
        <v>BQ3285LFSS-A1</v>
      </c>
      <c r="B20684" s="3" t="s">
        <v>90</v>
      </c>
      <c r="C20684" s="5">
        <v>45900</v>
      </c>
      <c r="D20684" s="6">
        <v>7.39</v>
      </c>
      <c r="E20684" t="s">
        <v>70</v>
      </c>
    </row>
    <row r="20685" spans="1:5" x14ac:dyDescent="0.25">
      <c r="A20685" t="str">
        <f>HYPERLINK("https://www.773grp.com/globalSearch/BQ3285S-SB2/page-1", "BQ3285S-SB2")</f>
        <v>BQ3285S-SB2</v>
      </c>
      <c r="B20685" s="3" t="s">
        <v>90</v>
      </c>
      <c r="C20685" s="5">
        <v>275</v>
      </c>
      <c r="D20685" s="6">
        <v>7.39</v>
      </c>
      <c r="E20685" t="s">
        <v>70</v>
      </c>
    </row>
    <row r="20686" spans="1:5" x14ac:dyDescent="0.25">
      <c r="A20686" t="str">
        <f>HYPERLINK("https://www.773grp.com/globalSearch/BQ4845P-A4/page-1", "BQ4845P-A4")</f>
        <v>BQ4845P-A4</v>
      </c>
      <c r="B20686" s="3" t="s">
        <v>90</v>
      </c>
      <c r="C20686" s="5">
        <v>1660</v>
      </c>
      <c r="D20686" s="6">
        <v>7.39</v>
      </c>
      <c r="E20686" t="s">
        <v>70</v>
      </c>
    </row>
    <row r="20687" spans="1:5" x14ac:dyDescent="0.25">
      <c r="A20687" t="str">
        <f>HYPERLINK("https://www.773grp.com/globalSearch/BQ4845YS-A4NTR/page-1", "BQ4845YS-A4NTR")</f>
        <v>BQ4845YS-A4NTR</v>
      </c>
      <c r="B20687" s="3" t="s">
        <v>90</v>
      </c>
      <c r="C20687" s="5">
        <v>11005</v>
      </c>
      <c r="D20687" s="6">
        <v>7.39</v>
      </c>
      <c r="E20687" t="s">
        <v>70</v>
      </c>
    </row>
    <row r="20688" spans="1:5" x14ac:dyDescent="0.25">
      <c r="A20688" t="str">
        <f>HYPERLINK("https://www.773grp.com/globalSearch/BQ4845YS-A4TR/page-1", "BQ4845YS-A4TR")</f>
        <v>BQ4845YS-A4TR</v>
      </c>
      <c r="B20688" s="3" t="s">
        <v>90</v>
      </c>
      <c r="C20688" s="5">
        <v>1000</v>
      </c>
      <c r="D20688" s="6">
        <v>7.39</v>
      </c>
      <c r="E20688" t="s">
        <v>70</v>
      </c>
    </row>
    <row r="20689" spans="1:5" x14ac:dyDescent="0.25">
      <c r="A20689" t="str">
        <f>HYPERLINK("https://www.773grp.com/globalSearch/BQ4285EP/page-1", "BQ4285EP")</f>
        <v>BQ4285EP</v>
      </c>
      <c r="B20689" s="3" t="s">
        <v>90</v>
      </c>
      <c r="C20689" s="5">
        <v>106</v>
      </c>
      <c r="D20689" s="6">
        <v>8.58</v>
      </c>
      <c r="E20689" t="s">
        <v>70</v>
      </c>
    </row>
    <row r="20690" spans="1:5" x14ac:dyDescent="0.25">
      <c r="A20690" t="str">
        <f>HYPERLINK("https://www.773grp.com/globalSearch/BQ4285EP/page-1", "BQ4285EP")</f>
        <v>BQ4285EP</v>
      </c>
      <c r="B20690" s="3" t="s">
        <v>90</v>
      </c>
      <c r="C20690" s="5">
        <v>2755</v>
      </c>
      <c r="D20690" s="6">
        <v>8.58</v>
      </c>
      <c r="E20690" t="s">
        <v>70</v>
      </c>
    </row>
    <row r="20691" spans="1:5" x14ac:dyDescent="0.25">
      <c r="A20691" t="str">
        <f>HYPERLINK("https://www.773grp.com/globalSearch/BQ4285P-SB2/page-1", "BQ4285P-SB2")</f>
        <v>BQ4285P-SB2</v>
      </c>
      <c r="B20691" s="3" t="s">
        <v>90</v>
      </c>
      <c r="C20691" s="5">
        <v>24397</v>
      </c>
      <c r="D20691" s="6">
        <v>8.58</v>
      </c>
      <c r="E20691" t="s">
        <v>70</v>
      </c>
    </row>
    <row r="20692" spans="1:5" x14ac:dyDescent="0.25">
      <c r="A20692" t="str">
        <f>HYPERLINK("https://www.773grp.com/globalSearch/BQ4285S-SB2TR/page-1", "BQ4285S-SB2TR")</f>
        <v>BQ4285S-SB2TR</v>
      </c>
      <c r="B20692" s="3" t="s">
        <v>90</v>
      </c>
      <c r="C20692" s="5">
        <v>1999</v>
      </c>
      <c r="D20692" s="6">
        <v>8.58</v>
      </c>
      <c r="E20692" t="s">
        <v>70</v>
      </c>
    </row>
    <row r="20693" spans="1:5" x14ac:dyDescent="0.25">
      <c r="A20693" t="str">
        <f>HYPERLINK("https://www.773grp.com/globalSearch/BQ4845S-A4/page-1", "BQ4845S-A4")</f>
        <v>BQ4845S-A4</v>
      </c>
      <c r="B20693" s="3" t="s">
        <v>90</v>
      </c>
      <c r="C20693" s="5">
        <v>12690</v>
      </c>
      <c r="D20693" s="6">
        <v>8.81</v>
      </c>
      <c r="E20693" t="s">
        <v>70</v>
      </c>
    </row>
    <row r="20694" spans="1:5" x14ac:dyDescent="0.25">
      <c r="A20694" t="str">
        <f>HYPERLINK("https://www.773grp.com/globalSearch/BQ4845YS-A4/page-1", "BQ4845YS-A4")</f>
        <v>BQ4845YS-A4</v>
      </c>
      <c r="B20694" s="3" t="s">
        <v>90</v>
      </c>
      <c r="C20694" s="5">
        <v>260</v>
      </c>
      <c r="D20694" s="6">
        <v>8.81</v>
      </c>
      <c r="E20694" t="s">
        <v>70</v>
      </c>
    </row>
    <row r="20695" spans="1:5" x14ac:dyDescent="0.25">
      <c r="A20695" t="str">
        <f>HYPERLINK("https://www.773grp.com/globalSearch/BQ3285LCS/page-1", "BQ3285LCS")</f>
        <v>BQ3285LCS</v>
      </c>
      <c r="B20695" s="3" t="s">
        <v>90</v>
      </c>
      <c r="C20695" s="5">
        <v>2204</v>
      </c>
      <c r="D20695" s="6">
        <v>9.74</v>
      </c>
      <c r="E20695" t="s">
        <v>70</v>
      </c>
    </row>
    <row r="20696" spans="1:5" x14ac:dyDescent="0.25">
      <c r="A20696" t="str">
        <f>HYPERLINK("https://www.773grp.com/globalSearch/BQ3285ESS-N/page-1", "BQ3285ESS-N")</f>
        <v>BQ3285ESS-N</v>
      </c>
      <c r="B20696" s="3" t="s">
        <v>90</v>
      </c>
      <c r="C20696" s="5">
        <v>2373</v>
      </c>
      <c r="D20696" s="6">
        <v>10.3</v>
      </c>
      <c r="E20696" t="s">
        <v>70</v>
      </c>
    </row>
    <row r="20697" spans="1:5" x14ac:dyDescent="0.25">
      <c r="A20697" t="str">
        <f>HYPERLINK("https://www.773grp.com/globalSearch/BQ4802YDW/page-1", "BQ4802YDW")</f>
        <v>BQ4802YDW</v>
      </c>
      <c r="B20697" s="3" t="s">
        <v>90</v>
      </c>
      <c r="C20697" s="5">
        <v>12730</v>
      </c>
      <c r="D20697" s="6">
        <v>10.55</v>
      </c>
      <c r="E20697" t="s">
        <v>70</v>
      </c>
    </row>
    <row r="20698" spans="1:5" x14ac:dyDescent="0.25">
      <c r="A20698" t="str">
        <f>HYPERLINK("https://www.773grp.com/globalSearch/BQ4802YDW/page-1", "BQ4802YDW")</f>
        <v>BQ4802YDW</v>
      </c>
      <c r="B20698" s="3" t="s">
        <v>90</v>
      </c>
      <c r="C20698" s="5">
        <v>1350</v>
      </c>
      <c r="D20698" s="6">
        <v>10.55</v>
      </c>
      <c r="E20698" t="s">
        <v>70</v>
      </c>
    </row>
    <row r="20699" spans="1:5" x14ac:dyDescent="0.25">
      <c r="A20699" t="str">
        <f>HYPERLINK("https://www.773grp.com/globalSearch/BQ3285LSS/page-1", "BQ3285LSS")</f>
        <v>BQ3285LSS</v>
      </c>
      <c r="B20699" s="3" t="s">
        <v>90</v>
      </c>
      <c r="C20699" s="5">
        <v>148</v>
      </c>
      <c r="D20699" s="6">
        <v>11.28</v>
      </c>
      <c r="E20699" t="s">
        <v>70</v>
      </c>
    </row>
    <row r="20700" spans="1:5" x14ac:dyDescent="0.25">
      <c r="A20700" t="str">
        <f>HYPERLINK("https://www.773grp.com/globalSearch/BQ4802YDSH/page-1", "BQ4802YDSH")</f>
        <v>BQ4802YDSH</v>
      </c>
      <c r="B20700" s="3" t="str">
        <f>HYPERLINK("https://www.773grp.com/manufacturer/texas-instruments?pageNo=206", "Texas Instruments")</f>
        <v>Texas Instruments</v>
      </c>
      <c r="C20700" s="5">
        <v>1479</v>
      </c>
      <c r="D20700" s="6">
        <v>12.53</v>
      </c>
      <c r="E20700" t="s">
        <v>70</v>
      </c>
    </row>
    <row r="20701" spans="1:5" x14ac:dyDescent="0.25">
      <c r="A20701" t="str">
        <f>HYPERLINK("https://www.773grp.com/globalSearch/BQ3287MT-SB2/page-1", "BQ3287MT-SB2")</f>
        <v>BQ3287MT-SB2</v>
      </c>
      <c r="B20701" s="3" t="s">
        <v>90</v>
      </c>
      <c r="C20701" s="5">
        <v>22</v>
      </c>
      <c r="D20701" s="6">
        <v>20.09</v>
      </c>
      <c r="E20701" t="s">
        <v>70</v>
      </c>
    </row>
    <row r="20702" spans="1:5" x14ac:dyDescent="0.25">
      <c r="A20702" t="str">
        <f>HYPERLINK("https://www.773grp.com/globalSearch/BQ4847MT/page-1", "BQ4847MT")</f>
        <v>BQ4847MT</v>
      </c>
      <c r="B20702" s="3" t="str">
        <f>HYPERLINK("https://www.773grp.com/manufacturer/texas-instruments?pageNo=742", "Texas Instruments")</f>
        <v>Texas Instruments</v>
      </c>
      <c r="C20702" s="5">
        <v>2779</v>
      </c>
      <c r="D20702" s="6">
        <v>31.81</v>
      </c>
      <c r="E20702" t="s">
        <v>70</v>
      </c>
    </row>
    <row r="20703" spans="1:5" x14ac:dyDescent="0.25">
      <c r="A20703" t="str">
        <f>HYPERLINK("https://www.773grp.com/globalSearch/BQ4847YMT/page-1", "BQ4847YMT")</f>
        <v>BQ4847YMT</v>
      </c>
      <c r="B20703" s="3" t="s">
        <v>90</v>
      </c>
      <c r="C20703" s="5">
        <v>741</v>
      </c>
      <c r="D20703" s="6">
        <v>37.409999999999997</v>
      </c>
      <c r="E20703" t="s">
        <v>70</v>
      </c>
    </row>
    <row r="20704" spans="1:5" x14ac:dyDescent="0.25">
      <c r="A20704" t="str">
        <f>HYPERLINK("https://www.773grp.com/globalSearch/BQ4850YMA-85/page-1", "BQ4850YMA-85")</f>
        <v>BQ4850YMA-85</v>
      </c>
      <c r="B20704" s="3" t="s">
        <v>90</v>
      </c>
      <c r="C20704" s="5">
        <v>871</v>
      </c>
      <c r="D20704" s="6">
        <v>74</v>
      </c>
      <c r="E20704" t="s">
        <v>70</v>
      </c>
    </row>
    <row r="20705" spans="1:5" x14ac:dyDescent="0.25">
      <c r="A20705" t="str">
        <f>HYPERLINK("https://www.773grp.com/globalSearch/BQ4832YMA-85/page-1", "BQ4832YMA-85")</f>
        <v>BQ4832YMA-85</v>
      </c>
      <c r="B20705" s="3" t="s">
        <v>90</v>
      </c>
      <c r="C20705" s="5">
        <v>389</v>
      </c>
      <c r="D20705" s="6">
        <v>83.31</v>
      </c>
      <c r="E20705" t="s">
        <v>70</v>
      </c>
    </row>
    <row r="20706" spans="1:5" x14ac:dyDescent="0.25">
      <c r="A20706" t="str">
        <f>HYPERLINK("https://www.773grp.com/globalSearch/BQ4842YMA-85/page-1", "BQ4842YMA-85")</f>
        <v>BQ4842YMA-85</v>
      </c>
      <c r="B20706" s="3" t="s">
        <v>90</v>
      </c>
      <c r="C20706" s="5">
        <v>14</v>
      </c>
      <c r="D20706" s="6">
        <v>96.58</v>
      </c>
      <c r="E20706" t="s">
        <v>70</v>
      </c>
    </row>
    <row r="20707" spans="1:5" x14ac:dyDescent="0.25">
      <c r="A20707" t="str">
        <f>HYPERLINK("https://www.773grp.com/globalSearch/BQ4850YMA-85N/page-1", "BQ4850YMA-85N")</f>
        <v>BQ4850YMA-85N</v>
      </c>
      <c r="B20707" s="3" t="str">
        <f>HYPERLINK("https://www.773grp.com/manufacturer/texas-instruments?pageNo=174", "Texas Instruments")</f>
        <v>Texas Instruments</v>
      </c>
      <c r="C20707" s="5">
        <v>2205</v>
      </c>
      <c r="D20707" s="6">
        <v>150.97999999999999</v>
      </c>
      <c r="E20707" t="s">
        <v>70</v>
      </c>
    </row>
    <row r="20708" spans="1:5" x14ac:dyDescent="0.25">
      <c r="A20708" t="str">
        <f>HYPERLINK("https://www.773grp.com/globalSearch/BQ4852YMC-85/page-1", "BQ4852YMC-85")</f>
        <v>BQ4852YMC-85</v>
      </c>
      <c r="B20708" s="3" t="str">
        <f>HYPERLINK("https://www.773grp.com/manufacturer/texas-instruments?pageNo=404", "Texas Instruments")</f>
        <v>Texas Instruments</v>
      </c>
      <c r="C20708" s="5">
        <v>123</v>
      </c>
      <c r="D20708" s="6">
        <v>193.16</v>
      </c>
      <c r="E20708" t="s">
        <v>70</v>
      </c>
    </row>
    <row r="20709" spans="1:5" x14ac:dyDescent="0.25">
      <c r="A20709" t="str">
        <f>HYPERLINK("https://www.773grp.com/globalSearch/BQ4852YMC-85/page-1", "BQ4852YMC-85")</f>
        <v>BQ4852YMC-85</v>
      </c>
      <c r="B20709" s="3" t="str">
        <f>HYPERLINK("https://www.773grp.com/manufacturer/texas-instruments?pageNo=405", "Texas Instruments")</f>
        <v>Texas Instruments</v>
      </c>
      <c r="C20709" s="5">
        <v>396</v>
      </c>
      <c r="D20709" s="6">
        <v>193.16</v>
      </c>
      <c r="E20709" t="s">
        <v>70</v>
      </c>
    </row>
    <row r="20710" spans="1:5" x14ac:dyDescent="0.25">
      <c r="A20710" t="str">
        <f>HYPERLINK("https://www.773grp.com/globalSearch/Z0843004VSC/page-1", "Z0843004VSC")</f>
        <v>Z0843004VSC</v>
      </c>
      <c r="B20710" s="3" t="s">
        <v>121</v>
      </c>
      <c r="C20710" s="5">
        <v>67</v>
      </c>
      <c r="D20710" s="6">
        <v>3.34</v>
      </c>
      <c r="E20710" t="s">
        <v>70</v>
      </c>
    </row>
    <row r="20711" spans="1:5" x14ac:dyDescent="0.25">
      <c r="A20711" t="str">
        <f>HYPERLINK("https://www.773grp.com/globalSearch/Z0843006VSC/page-1", "Z0843006VSC")</f>
        <v>Z0843006VSC</v>
      </c>
      <c r="B20711" s="3" t="s">
        <v>121</v>
      </c>
      <c r="C20711" s="5">
        <v>13</v>
      </c>
      <c r="D20711" s="6">
        <v>3.34</v>
      </c>
      <c r="E20711" t="s">
        <v>70</v>
      </c>
    </row>
    <row r="20712" spans="1:5" x14ac:dyDescent="0.25">
      <c r="A20712" t="str">
        <f>HYPERLINK("https://www.773grp.com/globalSearch/Z84C3008FEG/page-1", "Z84C3008FEG")</f>
        <v>Z84C3008FEG</v>
      </c>
      <c r="B20712" s="3" t="s">
        <v>121</v>
      </c>
      <c r="C20712" s="5">
        <v>4</v>
      </c>
      <c r="D20712" s="6">
        <v>5.85</v>
      </c>
      <c r="E20712" t="s">
        <v>70</v>
      </c>
    </row>
    <row r="20713" spans="1:5" x14ac:dyDescent="0.25">
      <c r="A20713" t="str">
        <f>HYPERLINK("https://www.773grp.com/globalSearch/Z84C3010FEC/page-1", "Z84C3010FEC")</f>
        <v>Z84C3010FEC</v>
      </c>
      <c r="B20713" s="3" t="s">
        <v>121</v>
      </c>
      <c r="C20713" s="5">
        <v>117</v>
      </c>
      <c r="D20713" s="6">
        <v>5.85</v>
      </c>
      <c r="E20713" t="s">
        <v>70</v>
      </c>
    </row>
    <row r="20714" spans="1:5" x14ac:dyDescent="0.25">
      <c r="A20714" t="str">
        <f>HYPERLINK("https://www.773grp.com/globalSearch/SN761677DA/page-1", "SN761677DA")</f>
        <v>SN761677DA</v>
      </c>
      <c r="B20714" s="3" t="s">
        <v>90</v>
      </c>
      <c r="C20714" s="5">
        <v>5790</v>
      </c>
      <c r="D20714" s="6">
        <v>4.74</v>
      </c>
      <c r="E20714" t="s">
        <v>92</v>
      </c>
    </row>
    <row r="20715" spans="1:5" x14ac:dyDescent="0.25">
      <c r="A20715" t="str">
        <f>HYPERLINK("https://www.773grp.com/globalSearch/LM4040A10IDCKR/page-1", "LM4040A10IDCKR")</f>
        <v>LM4040A10IDCKR</v>
      </c>
      <c r="B20715" s="3" t="str">
        <f>HYPERLINK("https://www.773grp.com/manufacturer/texas-instruments?pageNo=481", "Texas Instruments")</f>
        <v>Texas Instruments</v>
      </c>
      <c r="C20715" s="5">
        <v>15000</v>
      </c>
      <c r="D20715" s="6">
        <v>3.66</v>
      </c>
      <c r="E20715" t="s">
        <v>14</v>
      </c>
    </row>
    <row r="20716" spans="1:5" x14ac:dyDescent="0.25">
      <c r="A20716" t="str">
        <f>HYPERLINK("https://www.773grp.com/globalSearch/LM4040A20IDBZR/page-1", "LM4040A20IDBZR")</f>
        <v>LM4040A20IDBZR</v>
      </c>
      <c r="B20716" s="3" t="str">
        <f>HYPERLINK("https://www.773grp.com/manufacturer/texas-instruments?pageNo=482", "Texas Instruments")</f>
        <v>Texas Instruments</v>
      </c>
      <c r="C20716" s="5">
        <v>12000</v>
      </c>
      <c r="D20716" s="6">
        <v>3.66</v>
      </c>
      <c r="E20716" t="s">
        <v>14</v>
      </c>
    </row>
    <row r="20717" spans="1:5" x14ac:dyDescent="0.25">
      <c r="A20717" t="str">
        <f>HYPERLINK("https://www.773grp.com/globalSearch/LM4040A20IDCKR/page-1", "LM4040A20IDCKR")</f>
        <v>LM4040A20IDCKR</v>
      </c>
      <c r="B20717" s="3" t="str">
        <f>HYPERLINK("https://www.773grp.com/manufacturer/texas-instruments?pageNo=483", "Texas Instruments")</f>
        <v>Texas Instruments</v>
      </c>
      <c r="C20717" s="5">
        <v>58700</v>
      </c>
      <c r="D20717" s="6">
        <v>3.66</v>
      </c>
      <c r="E20717" t="s">
        <v>14</v>
      </c>
    </row>
    <row r="20718" spans="1:5" x14ac:dyDescent="0.25">
      <c r="A20718" t="str">
        <f>HYPERLINK("https://www.773grp.com/globalSearch/LM4040A25IDBZR/page-1", "LM4040A25IDBZR")</f>
        <v>LM4040A25IDBZR</v>
      </c>
      <c r="B20718" s="3" t="str">
        <f>HYPERLINK("https://www.773grp.com/manufacturer/texas-instruments?pageNo=484", "Texas Instruments")</f>
        <v>Texas Instruments</v>
      </c>
      <c r="C20718" s="5">
        <v>15000</v>
      </c>
      <c r="D20718" s="6">
        <v>3.66</v>
      </c>
      <c r="E20718" t="s">
        <v>14</v>
      </c>
    </row>
    <row r="20719" spans="1:5" x14ac:dyDescent="0.25">
      <c r="A20719" t="str">
        <f>HYPERLINK("https://www.773grp.com/globalSearch/LM4040A30IDCKR/page-1", "LM4040A30IDCKR")</f>
        <v>LM4040A30IDCKR</v>
      </c>
      <c r="B20719" s="3" t="str">
        <f>HYPERLINK("https://www.773grp.com/manufacturer/texas-instruments?pageNo=485", "Texas Instruments")</f>
        <v>Texas Instruments</v>
      </c>
      <c r="C20719" s="5">
        <v>14000</v>
      </c>
      <c r="D20719" s="6">
        <v>3.66</v>
      </c>
      <c r="E20719" t="s">
        <v>14</v>
      </c>
    </row>
    <row r="20720" spans="1:5" x14ac:dyDescent="0.25">
      <c r="A20720" t="str">
        <f>HYPERLINK("https://www.773grp.com/globalSearch/LM4040A41IDBZR/page-1", "LM4040A41IDBZR")</f>
        <v>LM4040A41IDBZR</v>
      </c>
      <c r="B20720" s="3" t="str">
        <f>HYPERLINK("https://www.773grp.com/manufacturer/texas-instruments?pageNo=486", "Texas Instruments")</f>
        <v>Texas Instruments</v>
      </c>
      <c r="C20720" s="5">
        <v>12000</v>
      </c>
      <c r="D20720" s="6">
        <v>3.66</v>
      </c>
      <c r="E20720" t="s">
        <v>14</v>
      </c>
    </row>
    <row r="20721" spans="1:5" x14ac:dyDescent="0.25">
      <c r="A20721" t="str">
        <f>HYPERLINK("https://www.773grp.com/globalSearch/LM4040A41IDCKR/page-1", "LM4040A41IDCKR")</f>
        <v>LM4040A41IDCKR</v>
      </c>
      <c r="B20721" s="3" t="str">
        <f>HYPERLINK("https://www.773grp.com/manufacturer/texas-instruments?pageNo=487", "Texas Instruments")</f>
        <v>Texas Instruments</v>
      </c>
      <c r="C20721" s="5">
        <v>12000</v>
      </c>
      <c r="D20721" s="6">
        <v>3.66</v>
      </c>
      <c r="E20721" t="s">
        <v>14</v>
      </c>
    </row>
    <row r="20722" spans="1:5" x14ac:dyDescent="0.25">
      <c r="A20722" t="str">
        <f>HYPERLINK("https://www.773grp.com/globalSearch/LM4040A50IDCKR/page-1", "LM4040A50IDCKR")</f>
        <v>LM4040A50IDCKR</v>
      </c>
      <c r="B20722" s="3" t="str">
        <f>HYPERLINK("https://www.773grp.com/manufacturer/texas-instruments?pageNo=489", "Texas Instruments")</f>
        <v>Texas Instruments</v>
      </c>
      <c r="C20722" s="5">
        <v>15237</v>
      </c>
      <c r="D20722" s="6">
        <v>3.66</v>
      </c>
      <c r="E20722" t="s">
        <v>14</v>
      </c>
    </row>
    <row r="20723" spans="1:5" x14ac:dyDescent="0.25">
      <c r="A20723" t="str">
        <f>HYPERLINK("https://www.773grp.com/globalSearch/LM4040A82IDBZR/page-1", "LM4040A82IDBZR")</f>
        <v>LM4040A82IDBZR</v>
      </c>
      <c r="B20723" s="3" t="str">
        <f>HYPERLINK("https://www.773grp.com/manufacturer/texas-instruments?pageNo=491", "Texas Instruments")</f>
        <v>Texas Instruments</v>
      </c>
      <c r="C20723" s="5">
        <v>17451</v>
      </c>
      <c r="D20723" s="6">
        <v>3.66</v>
      </c>
      <c r="E20723" t="s">
        <v>14</v>
      </c>
    </row>
    <row r="20724" spans="1:5" x14ac:dyDescent="0.25">
      <c r="A20724" t="str">
        <f>HYPERLINK("https://www.773grp.com/globalSearch/LM4040A82IDCKR/page-1", "LM4040A82IDCKR")</f>
        <v>LM4040A82IDCKR</v>
      </c>
      <c r="B20724" s="3" t="str">
        <f>HYPERLINK("https://www.773grp.com/manufacturer/texas-instruments?pageNo=492", "Texas Instruments")</f>
        <v>Texas Instruments</v>
      </c>
      <c r="C20724" s="5">
        <v>9113</v>
      </c>
      <c r="D20724" s="6">
        <v>3.66</v>
      </c>
      <c r="E20724" t="s">
        <v>14</v>
      </c>
    </row>
    <row r="20725" spans="1:5" x14ac:dyDescent="0.25">
      <c r="A20725" t="str">
        <f>HYPERLINK("https://www.773grp.com/globalSearch/LM4040B10IDBZR/page-1", "LM4040B10IDBZR")</f>
        <v>LM4040B10IDBZR</v>
      </c>
      <c r="B20725" s="3" t="str">
        <f>HYPERLINK("https://www.773grp.com/manufacturer/texas-instruments?pageNo=865", "Texas Instruments")</f>
        <v>Texas Instruments</v>
      </c>
      <c r="C20725" s="5">
        <v>23925</v>
      </c>
      <c r="D20725" s="6">
        <v>4.1100000000000003</v>
      </c>
      <c r="E20725" t="s">
        <v>14</v>
      </c>
    </row>
    <row r="20726" spans="1:5" x14ac:dyDescent="0.25">
      <c r="A20726" t="str">
        <f>HYPERLINK("https://www.773grp.com/globalSearch/LM4040B10IDCKR/page-1", "LM4040B10IDCKR")</f>
        <v>LM4040B10IDCKR</v>
      </c>
      <c r="B20726" s="3" t="str">
        <f>HYPERLINK("https://www.773grp.com/manufacturer/texas-instruments?pageNo=866", "Texas Instruments")</f>
        <v>Texas Instruments</v>
      </c>
      <c r="C20726" s="5">
        <v>15000</v>
      </c>
      <c r="D20726" s="6">
        <v>4.1100000000000003</v>
      </c>
      <c r="E20726" t="s">
        <v>14</v>
      </c>
    </row>
    <row r="20727" spans="1:5" x14ac:dyDescent="0.25">
      <c r="A20727" t="str">
        <f>HYPERLINK("https://www.773grp.com/globalSearch/LM4040B20IDBZR/page-1", "LM4040B20IDBZR")</f>
        <v>LM4040B20IDBZR</v>
      </c>
      <c r="B20727" s="3" t="str">
        <f>HYPERLINK("https://www.773grp.com/manufacturer/texas-instruments?pageNo=867", "Texas Instruments")</f>
        <v>Texas Instruments</v>
      </c>
      <c r="C20727" s="5">
        <v>18000</v>
      </c>
      <c r="D20727" s="6">
        <v>4.1100000000000003</v>
      </c>
      <c r="E20727" t="s">
        <v>14</v>
      </c>
    </row>
    <row r="20728" spans="1:5" x14ac:dyDescent="0.25">
      <c r="A20728" t="str">
        <f>HYPERLINK("https://www.773grp.com/globalSearch/LM4040B20IDCKR/page-1", "LM4040B20IDCKR")</f>
        <v>LM4040B20IDCKR</v>
      </c>
      <c r="B20728" s="3" t="str">
        <f>HYPERLINK("https://www.773grp.com/manufacturer/texas-instruments?pageNo=868", "Texas Instruments")</f>
        <v>Texas Instruments</v>
      </c>
      <c r="C20728" s="5">
        <v>24000</v>
      </c>
      <c r="D20728" s="6">
        <v>4.1100000000000003</v>
      </c>
      <c r="E20728" t="s">
        <v>14</v>
      </c>
    </row>
    <row r="20729" spans="1:5" x14ac:dyDescent="0.25">
      <c r="A20729" t="str">
        <f>HYPERLINK("https://www.773grp.com/globalSearch/LM4040B25IDBZR/page-1", "LM4040B25IDBZR")</f>
        <v>LM4040B25IDBZR</v>
      </c>
      <c r="B20729" s="3" t="str">
        <f>HYPERLINK("https://www.773grp.com/manufacturer/texas-instruments?pageNo=869", "Texas Instruments")</f>
        <v>Texas Instruments</v>
      </c>
      <c r="C20729" s="5">
        <v>7943</v>
      </c>
      <c r="D20729" s="6">
        <v>4.1100000000000003</v>
      </c>
      <c r="E20729" t="s">
        <v>14</v>
      </c>
    </row>
    <row r="20730" spans="1:5" x14ac:dyDescent="0.25">
      <c r="A20730" t="str">
        <f>HYPERLINK("https://www.773grp.com/globalSearch/LM4040B25IDBZRG4/page-1", "LM4040B25IDBZRG4")</f>
        <v>LM4040B25IDBZRG4</v>
      </c>
      <c r="B20730" s="3" t="str">
        <f>HYPERLINK("https://www.773grp.com/manufacturer/texas-instruments?pageNo=870", "Texas Instruments")</f>
        <v>Texas Instruments</v>
      </c>
      <c r="C20730" s="5">
        <v>3000</v>
      </c>
      <c r="D20730" s="6">
        <v>4.1100000000000003</v>
      </c>
      <c r="E20730" t="s">
        <v>14</v>
      </c>
    </row>
    <row r="20731" spans="1:5" x14ac:dyDescent="0.25">
      <c r="A20731" t="str">
        <f>HYPERLINK("https://www.773grp.com/globalSearch/LM4040B25IDCKR/page-1", "LM4040B25IDCKR")</f>
        <v>LM4040B25IDCKR</v>
      </c>
      <c r="B20731" s="3" t="str">
        <f>HYPERLINK("https://www.773grp.com/manufacturer/texas-instruments?pageNo=871", "Texas Instruments")</f>
        <v>Texas Instruments</v>
      </c>
      <c r="C20731" s="5">
        <v>8311</v>
      </c>
      <c r="D20731" s="6">
        <v>4.1100000000000003</v>
      </c>
      <c r="E20731" t="s">
        <v>14</v>
      </c>
    </row>
    <row r="20732" spans="1:5" x14ac:dyDescent="0.25">
      <c r="A20732" t="str">
        <f>HYPERLINK("https://www.773grp.com/globalSearch/LM4040B30IDBZR/page-1", "LM4040B30IDBZR")</f>
        <v>LM4040B30IDBZR</v>
      </c>
      <c r="B20732" s="3" t="str">
        <f>HYPERLINK("https://www.773grp.com/manufacturer/texas-instruments?pageNo=872", "Texas Instruments")</f>
        <v>Texas Instruments</v>
      </c>
      <c r="C20732" s="5">
        <v>3000</v>
      </c>
      <c r="D20732" s="6">
        <v>4.1100000000000003</v>
      </c>
      <c r="E20732" t="s">
        <v>14</v>
      </c>
    </row>
    <row r="20733" spans="1:5" x14ac:dyDescent="0.25">
      <c r="A20733" t="str">
        <f>HYPERLINK("https://www.773grp.com/globalSearch/LM4040B30IDCKR/page-1", "LM4040B30IDCKR")</f>
        <v>LM4040B30IDCKR</v>
      </c>
      <c r="B20733" s="3" t="str">
        <f>HYPERLINK("https://www.773grp.com/manufacturer/texas-instruments?pageNo=873", "Texas Instruments")</f>
        <v>Texas Instruments</v>
      </c>
      <c r="C20733" s="5">
        <v>9000</v>
      </c>
      <c r="D20733" s="6">
        <v>4.1100000000000003</v>
      </c>
      <c r="E20733" t="s">
        <v>14</v>
      </c>
    </row>
    <row r="20734" spans="1:5" x14ac:dyDescent="0.25">
      <c r="A20734" t="str">
        <f>HYPERLINK("https://www.773grp.com/globalSearch/LM4040B41IDBZR/page-1", "LM4040B41IDBZR")</f>
        <v>LM4040B41IDBZR</v>
      </c>
      <c r="B20734" s="3" t="str">
        <f>HYPERLINK("https://www.773grp.com/manufacturer/texas-instruments?pageNo=874", "Texas Instruments")</f>
        <v>Texas Instruments</v>
      </c>
      <c r="C20734" s="5">
        <v>18000</v>
      </c>
      <c r="D20734" s="6">
        <v>4.1100000000000003</v>
      </c>
      <c r="E20734" t="s">
        <v>14</v>
      </c>
    </row>
    <row r="20735" spans="1:5" x14ac:dyDescent="0.25">
      <c r="A20735" t="str">
        <f>HYPERLINK("https://www.773grp.com/globalSearch/LM4040B41IDCKR/page-1", "LM4040B41IDCKR")</f>
        <v>LM4040B41IDCKR</v>
      </c>
      <c r="B20735" s="3" t="str">
        <f>HYPERLINK("https://www.773grp.com/manufacturer/texas-instruments?pageNo=875", "Texas Instruments")</f>
        <v>Texas Instruments</v>
      </c>
      <c r="C20735" s="5">
        <v>15000</v>
      </c>
      <c r="D20735" s="6">
        <v>4.1100000000000003</v>
      </c>
      <c r="E20735" t="s">
        <v>14</v>
      </c>
    </row>
    <row r="20736" spans="1:5" x14ac:dyDescent="0.25">
      <c r="A20736" t="str">
        <f>HYPERLINK("https://www.773grp.com/globalSearch/LM4040B50IDCKR/page-1", "LM4040B50IDCKR")</f>
        <v>LM4040B50IDCKR</v>
      </c>
      <c r="B20736" s="3" t="str">
        <f>HYPERLINK("https://www.773grp.com/manufacturer/texas-instruments?pageNo=876", "Texas Instruments")</f>
        <v>Texas Instruments</v>
      </c>
      <c r="C20736" s="5">
        <v>20923</v>
      </c>
      <c r="D20736" s="6">
        <v>4.1100000000000003</v>
      </c>
      <c r="E20736" t="s">
        <v>14</v>
      </c>
    </row>
    <row r="20737" spans="1:5" x14ac:dyDescent="0.25">
      <c r="A20737" t="str">
        <f>HYPERLINK("https://www.773grp.com/globalSearch/LM4040B82IDBZR/page-1", "LM4040B82IDBZR")</f>
        <v>LM4040B82IDBZR</v>
      </c>
      <c r="B20737" s="3" t="str">
        <f>HYPERLINK("https://www.773grp.com/manufacturer/texas-instruments?pageNo=877", "Texas Instruments")</f>
        <v>Texas Instruments</v>
      </c>
      <c r="C20737" s="5">
        <v>11994</v>
      </c>
      <c r="D20737" s="6">
        <v>4.1100000000000003</v>
      </c>
      <c r="E20737" t="s">
        <v>14</v>
      </c>
    </row>
    <row r="20738" spans="1:5" x14ac:dyDescent="0.25">
      <c r="A20738" t="str">
        <f>HYPERLINK("https://www.773grp.com/globalSearch/LM4040B82IDCKR/page-1", "LM4040B82IDCKR")</f>
        <v>LM4040B82IDCKR</v>
      </c>
      <c r="B20738" s="3" t="str">
        <f>HYPERLINK("https://www.773grp.com/manufacturer/texas-instruments?pageNo=878", "Texas Instruments")</f>
        <v>Texas Instruments</v>
      </c>
      <c r="C20738" s="5">
        <v>15000</v>
      </c>
      <c r="D20738" s="6">
        <v>4.1100000000000003</v>
      </c>
      <c r="E20738" t="s">
        <v>14</v>
      </c>
    </row>
    <row r="20739" spans="1:5" x14ac:dyDescent="0.25">
      <c r="A20739" t="str">
        <f>HYPERLINK("https://www.773grp.com/globalSearch/LM236DR-2-5/page-1", "LM236DR-2-5")</f>
        <v>LM236DR-2-5</v>
      </c>
      <c r="B20739" s="3" t="s">
        <v>90</v>
      </c>
      <c r="C20739" s="5">
        <v>9</v>
      </c>
      <c r="D20739" s="6">
        <v>4.16</v>
      </c>
      <c r="E20739" t="s">
        <v>14</v>
      </c>
    </row>
    <row r="20740" spans="1:5" x14ac:dyDescent="0.25">
      <c r="A20740" t="str">
        <f>HYPERLINK("https://www.773grp.com/globalSearch/LM336LPR-2-5/page-1", "LM336LPR-2-5")</f>
        <v>LM336LPR-2-5</v>
      </c>
      <c r="B20740" s="3" t="s">
        <v>90</v>
      </c>
      <c r="C20740" s="5">
        <v>50000</v>
      </c>
      <c r="D20740" s="6">
        <v>4.16</v>
      </c>
      <c r="E20740" t="s">
        <v>14</v>
      </c>
    </row>
    <row r="20741" spans="1:5" x14ac:dyDescent="0.25">
      <c r="A20741" t="str">
        <f>HYPERLINK("https://www.773grp.com/globalSearch/LT1004ILP-1-2/page-1", "LT1004ILP-1-2")</f>
        <v>LT1004ILP-1-2</v>
      </c>
      <c r="B20741" s="3" t="s">
        <v>90</v>
      </c>
      <c r="C20741" s="5">
        <v>8607</v>
      </c>
      <c r="D20741" s="6">
        <v>4.16</v>
      </c>
      <c r="E20741" t="s">
        <v>14</v>
      </c>
    </row>
    <row r="20742" spans="1:5" x14ac:dyDescent="0.25">
      <c r="A20742" t="str">
        <f>HYPERLINK("https://www.773grp.com/globalSearch/TL4050B10QDCKR/page-1", "TL4050B10QDCKR")</f>
        <v>TL4050B10QDCKR</v>
      </c>
      <c r="B20742" s="3" t="s">
        <v>90</v>
      </c>
      <c r="C20742" s="5">
        <v>6000</v>
      </c>
      <c r="D20742" s="6">
        <v>4.16</v>
      </c>
      <c r="E20742" t="s">
        <v>14</v>
      </c>
    </row>
    <row r="20743" spans="1:5" x14ac:dyDescent="0.25">
      <c r="A20743" t="str">
        <f>HYPERLINK("https://www.773grp.com/globalSearch/TL4050B25QDCKR/page-1", "TL4050B25QDCKR")</f>
        <v>TL4050B25QDCKR</v>
      </c>
      <c r="B20743" s="3" t="s">
        <v>90</v>
      </c>
      <c r="C20743" s="5">
        <v>12000</v>
      </c>
      <c r="D20743" s="6">
        <v>4.16</v>
      </c>
      <c r="E20743" t="s">
        <v>14</v>
      </c>
    </row>
    <row r="20744" spans="1:5" x14ac:dyDescent="0.25">
      <c r="A20744" t="str">
        <f>HYPERLINK("https://www.773grp.com/globalSearch/TL4050B41QDCKR/page-1", "TL4050B41QDCKR")</f>
        <v>TL4050B41QDCKR</v>
      </c>
      <c r="B20744" s="3" t="s">
        <v>90</v>
      </c>
      <c r="C20744" s="5">
        <v>6000</v>
      </c>
      <c r="D20744" s="6">
        <v>4.16</v>
      </c>
      <c r="E20744" t="s">
        <v>14</v>
      </c>
    </row>
    <row r="20745" spans="1:5" x14ac:dyDescent="0.25">
      <c r="A20745" t="str">
        <f>HYPERLINK("https://www.773grp.com/globalSearch/TL4050C41IDCKT/page-1", "TL4050C41IDCKT")</f>
        <v>TL4050C41IDCKT</v>
      </c>
      <c r="B20745" s="3" t="s">
        <v>90</v>
      </c>
      <c r="C20745" s="5">
        <v>500</v>
      </c>
      <c r="D20745" s="6">
        <v>4.16</v>
      </c>
      <c r="E20745" t="s">
        <v>14</v>
      </c>
    </row>
    <row r="20746" spans="1:5" x14ac:dyDescent="0.25">
      <c r="A20746" t="str">
        <f>HYPERLINK("https://www.773grp.com/globalSearch/TL4051B12QDCKR/page-1", "TL4051B12QDCKR")</f>
        <v>TL4051B12QDCKR</v>
      </c>
      <c r="B20746" s="3" t="s">
        <v>90</v>
      </c>
      <c r="C20746" s="5">
        <v>21000</v>
      </c>
      <c r="D20746" s="6">
        <v>4.16</v>
      </c>
      <c r="E20746" t="s">
        <v>14</v>
      </c>
    </row>
    <row r="20747" spans="1:5" x14ac:dyDescent="0.25">
      <c r="A20747" t="str">
        <f>HYPERLINK("https://www.773grp.com/globalSearch/TL4051BQDCKR/page-1", "TL4051BQDCKR")</f>
        <v>TL4051BQDCKR</v>
      </c>
      <c r="B20747" s="3" t="s">
        <v>90</v>
      </c>
      <c r="C20747" s="5">
        <v>12000</v>
      </c>
      <c r="D20747" s="6">
        <v>4.16</v>
      </c>
      <c r="E20747" t="s">
        <v>14</v>
      </c>
    </row>
    <row r="20748" spans="1:5" x14ac:dyDescent="0.25">
      <c r="A20748" t="str">
        <f>HYPERLINK("https://www.773grp.com/globalSearch/REF1004C-1.2/page-1", "REF1004C-1.2")</f>
        <v>REF1004C-1.2</v>
      </c>
      <c r="B20748" s="3" t="s">
        <v>90</v>
      </c>
      <c r="C20748" s="5">
        <v>32</v>
      </c>
      <c r="D20748" s="6">
        <v>3.8</v>
      </c>
      <c r="E20748" t="s">
        <v>14</v>
      </c>
    </row>
    <row r="20749" spans="1:5" x14ac:dyDescent="0.25">
      <c r="A20749" t="str">
        <f>HYPERLINK("https://www.773grp.com/globalSearch/REF1004C-1.2/page-1", "REF1004C-1.2")</f>
        <v>REF1004C-1.2</v>
      </c>
      <c r="B20749" s="3" t="s">
        <v>90</v>
      </c>
      <c r="C20749" s="5">
        <v>2549</v>
      </c>
      <c r="D20749" s="6">
        <v>3.8</v>
      </c>
      <c r="E20749" t="s">
        <v>14</v>
      </c>
    </row>
    <row r="20750" spans="1:5" x14ac:dyDescent="0.25">
      <c r="A20750" t="str">
        <f>HYPERLINK("https://www.773grp.com/globalSearch/REF1004C-2.5-2K5/page-1", "REF1004C-2.5-2K5")</f>
        <v>REF1004C-2.5-2K5</v>
      </c>
      <c r="B20750" s="3" t="s">
        <v>90</v>
      </c>
      <c r="C20750" s="5">
        <v>1500</v>
      </c>
      <c r="D20750" s="6">
        <v>3.8</v>
      </c>
      <c r="E20750" t="s">
        <v>14</v>
      </c>
    </row>
    <row r="20751" spans="1:5" x14ac:dyDescent="0.25">
      <c r="A20751" t="str">
        <f>HYPERLINK("https://www.773grp.com/globalSearch/REF5010AIDGKR/page-1", "REF5010AIDGKR")</f>
        <v>REF5010AIDGKR</v>
      </c>
      <c r="B20751" s="3" t="s">
        <v>90</v>
      </c>
      <c r="C20751" s="5">
        <v>1200</v>
      </c>
      <c r="D20751" s="6">
        <v>3.8</v>
      </c>
      <c r="E20751" t="s">
        <v>14</v>
      </c>
    </row>
    <row r="20752" spans="1:5" x14ac:dyDescent="0.25">
      <c r="A20752" t="str">
        <f>HYPERLINK("https://www.773grp.com/globalSearch/REF5020AIDR/page-1", "REF5020AIDR")</f>
        <v>REF5020AIDR</v>
      </c>
      <c r="B20752" s="3" t="s">
        <v>90</v>
      </c>
      <c r="C20752" s="5">
        <v>10590</v>
      </c>
      <c r="D20752" s="6">
        <v>3.8</v>
      </c>
      <c r="E20752" t="s">
        <v>14</v>
      </c>
    </row>
    <row r="20753" spans="1:5" x14ac:dyDescent="0.25">
      <c r="A20753" t="str">
        <f>HYPERLINK("https://www.773grp.com/globalSearch/REF5025AIDGKR/page-1", "REF5025AIDGKR")</f>
        <v>REF5025AIDGKR</v>
      </c>
      <c r="B20753" s="3" t="s">
        <v>90</v>
      </c>
      <c r="C20753" s="5">
        <v>9050</v>
      </c>
      <c r="D20753" s="6">
        <v>3.8</v>
      </c>
      <c r="E20753" t="s">
        <v>14</v>
      </c>
    </row>
    <row r="20754" spans="1:5" x14ac:dyDescent="0.25">
      <c r="A20754" t="str">
        <f>HYPERLINK("https://www.773grp.com/globalSearch/REF5030AIDGKR/page-1", "REF5030AIDGKR")</f>
        <v>REF5030AIDGKR</v>
      </c>
      <c r="B20754" s="3" t="s">
        <v>90</v>
      </c>
      <c r="C20754" s="5">
        <v>1450</v>
      </c>
      <c r="D20754" s="6">
        <v>3.8</v>
      </c>
      <c r="E20754" t="s">
        <v>14</v>
      </c>
    </row>
    <row r="20755" spans="1:5" x14ac:dyDescent="0.25">
      <c r="A20755" t="str">
        <f>HYPERLINK("https://www.773grp.com/globalSearch/REF5030AIDR/page-1", "REF5030AIDR")</f>
        <v>REF5030AIDR</v>
      </c>
      <c r="B20755" s="3" t="s">
        <v>90</v>
      </c>
      <c r="C20755" s="5">
        <v>4487</v>
      </c>
      <c r="D20755" s="6">
        <v>3.8</v>
      </c>
      <c r="E20755" t="s">
        <v>14</v>
      </c>
    </row>
    <row r="20756" spans="1:5" x14ac:dyDescent="0.25">
      <c r="A20756" t="str">
        <f>HYPERLINK("https://www.773grp.com/globalSearch/REF5040AIDR/page-1", "REF5040AIDR")</f>
        <v>REF5040AIDR</v>
      </c>
      <c r="B20756" s="3" t="s">
        <v>90</v>
      </c>
      <c r="C20756" s="5">
        <v>2436</v>
      </c>
      <c r="D20756" s="6">
        <v>3.8</v>
      </c>
      <c r="E20756" t="s">
        <v>14</v>
      </c>
    </row>
    <row r="20757" spans="1:5" x14ac:dyDescent="0.25">
      <c r="A20757" t="str">
        <f>HYPERLINK("https://www.773grp.com/globalSearch/REF5045AIDR/page-1", "REF5045AIDR")</f>
        <v>REF5045AIDR</v>
      </c>
      <c r="B20757" s="3" t="s">
        <v>90</v>
      </c>
      <c r="C20757" s="5">
        <v>2500</v>
      </c>
      <c r="D20757" s="6">
        <v>3.8</v>
      </c>
      <c r="E20757" t="s">
        <v>14</v>
      </c>
    </row>
    <row r="20758" spans="1:5" x14ac:dyDescent="0.25">
      <c r="A20758" t="str">
        <f>HYPERLINK("https://www.773grp.com/globalSearch/REF5050AIDGKR/page-1", "REF5050AIDGKR")</f>
        <v>REF5050AIDGKR</v>
      </c>
      <c r="B20758" s="3" t="s">
        <v>90</v>
      </c>
      <c r="C20758" s="5">
        <v>19500</v>
      </c>
      <c r="D20758" s="6">
        <v>3.8</v>
      </c>
      <c r="E20758" t="s">
        <v>14</v>
      </c>
    </row>
    <row r="20759" spans="1:5" x14ac:dyDescent="0.25">
      <c r="A20759" t="str">
        <f>HYPERLINK("https://www.773grp.com/globalSearch/REF5050AIDR/page-1", "REF5050AIDR")</f>
        <v>REF5050AIDR</v>
      </c>
      <c r="B20759" s="3" t="s">
        <v>90</v>
      </c>
      <c r="C20759" s="5">
        <v>10000</v>
      </c>
      <c r="D20759" s="6">
        <v>3.8</v>
      </c>
      <c r="E20759" t="s">
        <v>14</v>
      </c>
    </row>
    <row r="20760" spans="1:5" x14ac:dyDescent="0.25">
      <c r="A20760" t="str">
        <f>HYPERLINK("https://www.773grp.com/globalSearch/LT1004MLP-1-2/page-1", "LT1004MLP-1-2")</f>
        <v>LT1004MLP-1-2</v>
      </c>
      <c r="B20760" s="3" t="str">
        <f>HYPERLINK("https://www.773grp.com/manufacturer/texas-instruments?pageNo=413", "Texas Instruments")</f>
        <v>Texas Instruments</v>
      </c>
      <c r="C20760" s="5">
        <v>3913</v>
      </c>
      <c r="D20760" s="6">
        <v>3.89</v>
      </c>
      <c r="E20760" t="s">
        <v>14</v>
      </c>
    </row>
    <row r="20761" spans="1:5" x14ac:dyDescent="0.25">
      <c r="A20761" t="str">
        <f>HYPERLINK("https://www.773grp.com/globalSearch/TL1431QLP/page-1", "TL1431QLP")</f>
        <v>TL1431QLP</v>
      </c>
      <c r="B20761" s="3" t="str">
        <f>HYPERLINK("https://www.773grp.com/manufacturer/texas-instruments?pageNo=867", "Texas Instruments")</f>
        <v>Texas Instruments</v>
      </c>
      <c r="C20761" s="5">
        <v>130965</v>
      </c>
      <c r="D20761" s="6">
        <v>4.4400000000000004</v>
      </c>
      <c r="E20761" t="s">
        <v>14</v>
      </c>
    </row>
    <row r="20762" spans="1:5" x14ac:dyDescent="0.25">
      <c r="A20762" t="str">
        <f>HYPERLINK("https://www.773grp.com/globalSearch/TL1431QLPR/page-1", "TL1431QLPR")</f>
        <v>TL1431QLPR</v>
      </c>
      <c r="B20762" s="3" t="str">
        <f>HYPERLINK("https://www.773grp.com/manufacturer/texas-instruments?pageNo=868", "Texas Instruments")</f>
        <v>Texas Instruments</v>
      </c>
      <c r="C20762" s="5">
        <v>176900</v>
      </c>
      <c r="D20762" s="6">
        <v>4.4400000000000004</v>
      </c>
      <c r="E20762" t="s">
        <v>14</v>
      </c>
    </row>
    <row r="20763" spans="1:5" x14ac:dyDescent="0.25">
      <c r="A20763" t="str">
        <f>HYPERLINK("https://www.773grp.com/globalSearch/LM4041BIDBZT/page-1", "LM4041BIDBZT")</f>
        <v>LM4041BIDBZT</v>
      </c>
      <c r="B20763" s="3" t="s">
        <v>90</v>
      </c>
      <c r="C20763" s="5">
        <v>5250</v>
      </c>
      <c r="D20763" s="6">
        <v>4.49</v>
      </c>
      <c r="E20763" t="s">
        <v>14</v>
      </c>
    </row>
    <row r="20764" spans="1:5" x14ac:dyDescent="0.25">
      <c r="A20764" t="str">
        <f>HYPERLINK("https://www.773grp.com/globalSearch/REF3325AIDBZR/page-1", "REF3325AIDBZR")</f>
        <v>REF3325AIDBZR</v>
      </c>
      <c r="B20764" s="3" t="s">
        <v>90</v>
      </c>
      <c r="C20764" s="5">
        <v>3000</v>
      </c>
      <c r="D20764" s="6">
        <v>4.49</v>
      </c>
      <c r="E20764" t="s">
        <v>14</v>
      </c>
    </row>
    <row r="20765" spans="1:5" x14ac:dyDescent="0.25">
      <c r="A20765" t="str">
        <f>HYPERLINK("https://www.773grp.com/globalSearch/REF3333AIDBZR/page-1", "REF3333AIDBZR")</f>
        <v>REF3333AIDBZR</v>
      </c>
      <c r="B20765" s="3" t="s">
        <v>90</v>
      </c>
      <c r="C20765" s="5">
        <v>94500</v>
      </c>
      <c r="D20765" s="6">
        <v>4.49</v>
      </c>
      <c r="E20765" t="s">
        <v>14</v>
      </c>
    </row>
    <row r="20766" spans="1:5" x14ac:dyDescent="0.25">
      <c r="A20766" t="str">
        <f>HYPERLINK("https://www.773grp.com/globalSearch/REF3333AIDCKR/page-1", "REF3333AIDCKR")</f>
        <v>REF3333AIDCKR</v>
      </c>
      <c r="B20766" s="3" t="s">
        <v>90</v>
      </c>
      <c r="C20766" s="5">
        <v>30000</v>
      </c>
      <c r="D20766" s="6">
        <v>4.49</v>
      </c>
      <c r="E20766" t="s">
        <v>14</v>
      </c>
    </row>
    <row r="20767" spans="1:5" x14ac:dyDescent="0.25">
      <c r="A20767" t="str">
        <f>HYPERLINK("https://www.773grp.com/globalSearch/REF02AU-2K5/page-1", "REF02AU-2K5")</f>
        <v>REF02AU-2K5</v>
      </c>
      <c r="B20767" s="3" t="s">
        <v>90</v>
      </c>
      <c r="C20767" s="5">
        <v>2500</v>
      </c>
      <c r="D20767" s="6">
        <v>4.09</v>
      </c>
      <c r="E20767" t="s">
        <v>14</v>
      </c>
    </row>
    <row r="20768" spans="1:5" x14ac:dyDescent="0.25">
      <c r="A20768" t="str">
        <f>HYPERLINK("https://www.773grp.com/globalSearch/LM4041A12IDBZR/page-1", "LM4041A12IDBZR")</f>
        <v>LM4041A12IDBZR</v>
      </c>
      <c r="B20768" s="3" t="s">
        <v>90</v>
      </c>
      <c r="C20768" s="5">
        <v>21000</v>
      </c>
      <c r="D20768" s="6">
        <v>4.54</v>
      </c>
      <c r="E20768" t="s">
        <v>14</v>
      </c>
    </row>
    <row r="20769" spans="1:5" x14ac:dyDescent="0.25">
      <c r="A20769" t="str">
        <f>HYPERLINK("https://www.773grp.com/globalSearch/TL1431CLPM/page-1", "TL1431CLPM")</f>
        <v>TL1431CLPM</v>
      </c>
      <c r="B20769" s="3" t="s">
        <v>90</v>
      </c>
      <c r="C20769" s="5">
        <v>2000</v>
      </c>
      <c r="D20769" s="6">
        <v>4.54</v>
      </c>
      <c r="E20769" t="s">
        <v>14</v>
      </c>
    </row>
    <row r="20770" spans="1:5" x14ac:dyDescent="0.25">
      <c r="A20770" t="str">
        <f>HYPERLINK("https://www.773grp.com/globalSearch/TL4050B25IDCKT/page-1", "TL4050B25IDCKT")</f>
        <v>TL4050B25IDCKT</v>
      </c>
      <c r="B20770" s="3" t="s">
        <v>90</v>
      </c>
      <c r="C20770" s="5">
        <v>1250</v>
      </c>
      <c r="D20770" s="6">
        <v>4.54</v>
      </c>
      <c r="E20770" t="s">
        <v>14</v>
      </c>
    </row>
    <row r="20771" spans="1:5" x14ac:dyDescent="0.25">
      <c r="A20771" t="str">
        <f>HYPERLINK("https://www.773grp.com/globalSearch/TL4051CQDBZT/page-1", "TL4051CQDBZT")</f>
        <v>TL4051CQDBZT</v>
      </c>
      <c r="B20771" s="3" t="s">
        <v>90</v>
      </c>
      <c r="C20771" s="5">
        <v>500</v>
      </c>
      <c r="D20771" s="6">
        <v>4.54</v>
      </c>
      <c r="E20771" t="s">
        <v>14</v>
      </c>
    </row>
    <row r="20772" spans="1:5" x14ac:dyDescent="0.25">
      <c r="A20772" t="str">
        <f>HYPERLINK("https://www.773grp.com/globalSearch/TL430ILP/page-1", "TL430ILP")</f>
        <v>TL430ILP</v>
      </c>
      <c r="B20772" s="3" t="s">
        <v>90</v>
      </c>
      <c r="C20772" s="5">
        <v>5966</v>
      </c>
      <c r="D20772" s="6">
        <v>4.54</v>
      </c>
      <c r="E20772" t="s">
        <v>14</v>
      </c>
    </row>
    <row r="20773" spans="1:5" x14ac:dyDescent="0.25">
      <c r="A20773" t="str">
        <f>HYPERLINK("https://www.773grp.com/globalSearch/LM4040A25IDBZT/page-1", "LM4040A25IDBZT")</f>
        <v>LM4040A25IDBZT</v>
      </c>
      <c r="B20773" s="3" t="s">
        <v>90</v>
      </c>
      <c r="C20773" s="5">
        <v>116550</v>
      </c>
      <c r="D20773" s="6">
        <v>4.1900000000000004</v>
      </c>
      <c r="E20773" t="s">
        <v>14</v>
      </c>
    </row>
    <row r="20774" spans="1:5" x14ac:dyDescent="0.25">
      <c r="A20774" t="str">
        <f>HYPERLINK("https://www.773grp.com/globalSearch/LM4040A41IDBZT/page-1", "LM4040A41IDBZT")</f>
        <v>LM4040A41IDBZT</v>
      </c>
      <c r="B20774" s="3" t="s">
        <v>90</v>
      </c>
      <c r="C20774" s="5">
        <v>500</v>
      </c>
      <c r="D20774" s="6">
        <v>4.1900000000000004</v>
      </c>
      <c r="E20774" t="s">
        <v>14</v>
      </c>
    </row>
    <row r="20775" spans="1:5" x14ac:dyDescent="0.25">
      <c r="A20775" t="str">
        <f>HYPERLINK("https://www.773grp.com/globalSearch/LM4040A82IDBZT/page-1", "LM4040A82IDBZT")</f>
        <v>LM4040A82IDBZT</v>
      </c>
      <c r="B20775" s="3" t="s">
        <v>90</v>
      </c>
      <c r="C20775" s="5">
        <v>1000</v>
      </c>
      <c r="D20775" s="6">
        <v>4.1900000000000004</v>
      </c>
      <c r="E20775" t="s">
        <v>14</v>
      </c>
    </row>
    <row r="20776" spans="1:5" x14ac:dyDescent="0.25">
      <c r="A20776" t="str">
        <f>HYPERLINK("https://www.773grp.com/globalSearch/LT1004MDR-1-2/page-1", "LT1004MDR-1-2")</f>
        <v>LT1004MDR-1-2</v>
      </c>
      <c r="B20776" s="3" t="s">
        <v>90</v>
      </c>
      <c r="C20776" s="5">
        <v>7500</v>
      </c>
      <c r="D20776" s="6">
        <v>4.43</v>
      </c>
      <c r="E20776" t="s">
        <v>14</v>
      </c>
    </row>
    <row r="20777" spans="1:5" x14ac:dyDescent="0.25">
      <c r="A20777" t="str">
        <f>HYPERLINK("https://www.773grp.com/globalSearch/LM4041A12IDCKR/page-1", "LM4041A12IDCKR")</f>
        <v>LM4041A12IDCKR</v>
      </c>
      <c r="B20777" s="3" t="str">
        <f>HYPERLINK("https://www.773grp.com/manufacturer/texas-instruments?pageNo=34", "Texas Instruments")</f>
        <v>Texas Instruments</v>
      </c>
      <c r="C20777" s="5">
        <v>11690</v>
      </c>
      <c r="D20777" s="6">
        <v>4.91</v>
      </c>
      <c r="E20777" t="s">
        <v>14</v>
      </c>
    </row>
    <row r="20778" spans="1:5" x14ac:dyDescent="0.25">
      <c r="A20778" t="str">
        <f>HYPERLINK("https://www.773grp.com/globalSearch/TL4050A10IDBZR/page-1", "TL4050A10IDBZR")</f>
        <v>TL4050A10IDBZR</v>
      </c>
      <c r="B20778" s="3" t="str">
        <f>HYPERLINK("https://www.773grp.com/manufacturer/texas-instruments?pageNo=180", "Texas Instruments")</f>
        <v>Texas Instruments</v>
      </c>
      <c r="C20778" s="5">
        <v>18000</v>
      </c>
      <c r="D20778" s="6">
        <v>4.91</v>
      </c>
      <c r="E20778" t="s">
        <v>14</v>
      </c>
    </row>
    <row r="20779" spans="1:5" x14ac:dyDescent="0.25">
      <c r="A20779" t="str">
        <f>HYPERLINK("https://www.773grp.com/globalSearch/TL4050A25IDBZR/page-1", "TL4050A25IDBZR")</f>
        <v>TL4050A25IDBZR</v>
      </c>
      <c r="B20779" s="3" t="str">
        <f>HYPERLINK("https://www.773grp.com/manufacturer/texas-instruments?pageNo=181", "Texas Instruments")</f>
        <v>Texas Instruments</v>
      </c>
      <c r="C20779" s="5">
        <v>13300</v>
      </c>
      <c r="D20779" s="6">
        <v>4.91</v>
      </c>
      <c r="E20779" t="s">
        <v>14</v>
      </c>
    </row>
    <row r="20780" spans="1:5" x14ac:dyDescent="0.25">
      <c r="A20780" t="str">
        <f>HYPERLINK("https://www.773grp.com/globalSearch/TL4050A41IDBZR/page-1", "TL4050A41IDBZR")</f>
        <v>TL4050A41IDBZR</v>
      </c>
      <c r="B20780" s="3" t="str">
        <f>HYPERLINK("https://www.773grp.com/manufacturer/texas-instruments?pageNo=182", "Texas Instruments")</f>
        <v>Texas Instruments</v>
      </c>
      <c r="C20780" s="5">
        <v>11000</v>
      </c>
      <c r="D20780" s="6">
        <v>4.91</v>
      </c>
      <c r="E20780" t="s">
        <v>14</v>
      </c>
    </row>
    <row r="20781" spans="1:5" x14ac:dyDescent="0.25">
      <c r="A20781" t="str">
        <f>HYPERLINK("https://www.773grp.com/globalSearch/TL4050B25QDBZT/page-1", "TL4050B25QDBZT")</f>
        <v>TL4050B25QDBZT</v>
      </c>
      <c r="B20781" s="3" t="str">
        <f>HYPERLINK("https://www.773grp.com/manufacturer/texas-instruments?pageNo=183", "Texas Instruments")</f>
        <v>Texas Instruments</v>
      </c>
      <c r="C20781" s="5">
        <v>2500</v>
      </c>
      <c r="D20781" s="6">
        <v>4.91</v>
      </c>
      <c r="E20781" t="s">
        <v>14</v>
      </c>
    </row>
    <row r="20782" spans="1:5" x14ac:dyDescent="0.25">
      <c r="A20782" t="str">
        <f>HYPERLINK("https://www.773grp.com/globalSearch/TL4051A12IDBZR/page-1", "TL4051A12IDBZR")</f>
        <v>TL4051A12IDBZR</v>
      </c>
      <c r="B20782" s="3" t="str">
        <f>HYPERLINK("https://www.773grp.com/manufacturer/texas-instruments?pageNo=184", "Texas Instruments")</f>
        <v>Texas Instruments</v>
      </c>
      <c r="C20782" s="5">
        <v>17000</v>
      </c>
      <c r="D20782" s="6">
        <v>4.91</v>
      </c>
      <c r="E20782" t="s">
        <v>14</v>
      </c>
    </row>
    <row r="20783" spans="1:5" x14ac:dyDescent="0.25">
      <c r="A20783" t="str">
        <f>HYPERLINK("https://www.773grp.com/globalSearch/TL4051AIDBZR/page-1", "TL4051AIDBZR")</f>
        <v>TL4051AIDBZR</v>
      </c>
      <c r="B20783" s="3" t="str">
        <f>HYPERLINK("https://www.773grp.com/manufacturer/texas-instruments?pageNo=185", "Texas Instruments")</f>
        <v>Texas Instruments</v>
      </c>
      <c r="C20783" s="5">
        <v>14601</v>
      </c>
      <c r="D20783" s="6">
        <v>4.91</v>
      </c>
      <c r="E20783" t="s">
        <v>14</v>
      </c>
    </row>
    <row r="20784" spans="1:5" x14ac:dyDescent="0.25">
      <c r="A20784" t="str">
        <f>HYPERLINK("https://www.773grp.com/globalSearch/TL1431QDREP/page-1", "TL1431QDREP")</f>
        <v>TL1431QDREP</v>
      </c>
      <c r="B20784" s="3" t="str">
        <f>HYPERLINK("https://www.773grp.com/manufacturer/texas-instruments?pageNo=568", "Texas Instruments")</f>
        <v>Texas Instruments</v>
      </c>
      <c r="C20784" s="5">
        <v>2353</v>
      </c>
      <c r="D20784" s="6">
        <v>5.01</v>
      </c>
      <c r="E20784" t="s">
        <v>14</v>
      </c>
    </row>
    <row r="20785" spans="1:5" x14ac:dyDescent="0.25">
      <c r="A20785" t="str">
        <f>HYPERLINK("https://www.773grp.com/globalSearch/REF5010AID/page-1", "REF5010AID")</f>
        <v>REF5010AID</v>
      </c>
      <c r="B20785" s="3" t="s">
        <v>90</v>
      </c>
      <c r="C20785" s="5">
        <v>9151</v>
      </c>
      <c r="D20785" s="6">
        <v>4.6399999999999997</v>
      </c>
      <c r="E20785" t="s">
        <v>14</v>
      </c>
    </row>
    <row r="20786" spans="1:5" x14ac:dyDescent="0.25">
      <c r="A20786" t="str">
        <f>HYPERLINK("https://www.773grp.com/globalSearch/REF5020AID/page-1", "REF5020AID")</f>
        <v>REF5020AID</v>
      </c>
      <c r="B20786" s="3" t="s">
        <v>90</v>
      </c>
      <c r="C20786" s="5">
        <v>120</v>
      </c>
      <c r="D20786" s="6">
        <v>4.6399999999999997</v>
      </c>
      <c r="E20786" t="s">
        <v>14</v>
      </c>
    </row>
    <row r="20787" spans="1:5" x14ac:dyDescent="0.25">
      <c r="A20787" t="str">
        <f>HYPERLINK("https://www.773grp.com/globalSearch/REF5025AID/page-1", "REF5025AID")</f>
        <v>REF5025AID</v>
      </c>
      <c r="B20787" s="3" t="s">
        <v>90</v>
      </c>
      <c r="C20787" s="5">
        <v>128</v>
      </c>
      <c r="D20787" s="6">
        <v>4.6399999999999997</v>
      </c>
      <c r="E20787" t="s">
        <v>14</v>
      </c>
    </row>
    <row r="20788" spans="1:5" x14ac:dyDescent="0.25">
      <c r="A20788" t="str">
        <f>HYPERLINK("https://www.773grp.com/globalSearch/REF5025AIDG4/page-1", "REF5025AIDG4")</f>
        <v>REF5025AIDG4</v>
      </c>
      <c r="B20788" s="3" t="s">
        <v>90</v>
      </c>
      <c r="C20788" s="5">
        <v>225</v>
      </c>
      <c r="D20788" s="6">
        <v>4.6399999999999997</v>
      </c>
      <c r="E20788" t="s">
        <v>14</v>
      </c>
    </row>
    <row r="20789" spans="1:5" x14ac:dyDescent="0.25">
      <c r="A20789" t="str">
        <f>HYPERLINK("https://www.773grp.com/globalSearch/REF5030AID/page-1", "REF5030AID")</f>
        <v>REF5030AID</v>
      </c>
      <c r="B20789" s="3" t="s">
        <v>90</v>
      </c>
      <c r="C20789" s="5">
        <v>71</v>
      </c>
      <c r="D20789" s="6">
        <v>4.6399999999999997</v>
      </c>
      <c r="E20789" t="s">
        <v>14</v>
      </c>
    </row>
    <row r="20790" spans="1:5" x14ac:dyDescent="0.25">
      <c r="A20790" t="str">
        <f>HYPERLINK("https://www.773grp.com/globalSearch/REF5040AID/page-1", "REF5040AID")</f>
        <v>REF5040AID</v>
      </c>
      <c r="B20790" s="3" t="s">
        <v>90</v>
      </c>
      <c r="C20790" s="5">
        <v>1827</v>
      </c>
      <c r="D20790" s="6">
        <v>4.6399999999999997</v>
      </c>
      <c r="E20790" t="s">
        <v>14</v>
      </c>
    </row>
    <row r="20791" spans="1:5" x14ac:dyDescent="0.25">
      <c r="A20791" t="str">
        <f>HYPERLINK("https://www.773grp.com/globalSearch/REF5050AID/page-1", "REF5050AID")</f>
        <v>REF5050AID</v>
      </c>
      <c r="B20791" s="3" t="s">
        <v>90</v>
      </c>
      <c r="C20791" s="5">
        <v>237</v>
      </c>
      <c r="D20791" s="6">
        <v>4.6399999999999997</v>
      </c>
      <c r="E20791" t="s">
        <v>14</v>
      </c>
    </row>
    <row r="20792" spans="1:5" x14ac:dyDescent="0.25">
      <c r="A20792" t="str">
        <f>HYPERLINK("https://www.773grp.com/globalSearch/LM4040B20IDBZT/page-1", "LM4040B20IDBZT")</f>
        <v>LM4040B20IDBZT</v>
      </c>
      <c r="B20792" s="3" t="s">
        <v>90</v>
      </c>
      <c r="C20792" s="5">
        <v>750</v>
      </c>
      <c r="D20792" s="6">
        <v>5.16</v>
      </c>
      <c r="E20792" t="s">
        <v>14</v>
      </c>
    </row>
    <row r="20793" spans="1:5" x14ac:dyDescent="0.25">
      <c r="A20793" t="str">
        <f>HYPERLINK("https://www.773grp.com/globalSearch/LM4040B25IDBZT/page-1", "LM4040B25IDBZT")</f>
        <v>LM4040B25IDBZT</v>
      </c>
      <c r="B20793" s="3" t="s">
        <v>90</v>
      </c>
      <c r="C20793" s="5">
        <v>148950</v>
      </c>
      <c r="D20793" s="6">
        <v>5.16</v>
      </c>
      <c r="E20793" t="s">
        <v>14</v>
      </c>
    </row>
    <row r="20794" spans="1:5" x14ac:dyDescent="0.25">
      <c r="A20794" t="str">
        <f>HYPERLINK("https://www.773grp.com/globalSearch/LM4040B41IDBZT/page-1", "LM4040B41IDBZT")</f>
        <v>LM4040B41IDBZT</v>
      </c>
      <c r="B20794" s="3" t="s">
        <v>90</v>
      </c>
      <c r="C20794" s="5">
        <v>15651</v>
      </c>
      <c r="D20794" s="6">
        <v>5.16</v>
      </c>
      <c r="E20794" t="s">
        <v>14</v>
      </c>
    </row>
    <row r="20795" spans="1:5" x14ac:dyDescent="0.25">
      <c r="A20795" t="str">
        <f>HYPERLINK("https://www.773grp.com/globalSearch/LM4040B50IDBZT/page-1", "LM4040B50IDBZT")</f>
        <v>LM4040B50IDBZT</v>
      </c>
      <c r="B20795" s="3" t="s">
        <v>90</v>
      </c>
      <c r="C20795" s="5">
        <v>250</v>
      </c>
      <c r="D20795" s="6">
        <v>5.16</v>
      </c>
      <c r="E20795" t="s">
        <v>14</v>
      </c>
    </row>
    <row r="20796" spans="1:5" x14ac:dyDescent="0.25">
      <c r="A20796" t="str">
        <f>HYPERLINK("https://www.773grp.com/globalSearch/REF02AP/page-1", "REF02AP")</f>
        <v>REF02AP</v>
      </c>
      <c r="B20796" s="3" t="s">
        <v>90</v>
      </c>
      <c r="C20796" s="5">
        <v>46</v>
      </c>
      <c r="D20796" s="6">
        <v>4.6900000000000004</v>
      </c>
      <c r="E20796" t="s">
        <v>14</v>
      </c>
    </row>
    <row r="20797" spans="1:5" x14ac:dyDescent="0.25">
      <c r="A20797" t="str">
        <f>HYPERLINK("https://www.773grp.com/globalSearch/REF3120AIDBZR/page-1", "REF3120AIDBZR")</f>
        <v>REF3120AIDBZR</v>
      </c>
      <c r="B20797" s="3" t="s">
        <v>90</v>
      </c>
      <c r="C20797" s="5">
        <v>2370</v>
      </c>
      <c r="D20797" s="6">
        <v>5.21</v>
      </c>
      <c r="E20797" t="s">
        <v>14</v>
      </c>
    </row>
    <row r="20798" spans="1:5" x14ac:dyDescent="0.25">
      <c r="A20798" t="str">
        <f>HYPERLINK("https://www.773grp.com/globalSearch/REF3220AIDBVR/page-1", "REF3220AIDBVR")</f>
        <v>REF3220AIDBVR</v>
      </c>
      <c r="B20798" s="3" t="s">
        <v>90</v>
      </c>
      <c r="C20798" s="5">
        <v>9000</v>
      </c>
      <c r="D20798" s="6">
        <v>4.78</v>
      </c>
      <c r="E20798" t="s">
        <v>14</v>
      </c>
    </row>
    <row r="20799" spans="1:5" x14ac:dyDescent="0.25">
      <c r="A20799" t="str">
        <f>HYPERLINK("https://www.773grp.com/globalSearch/REF3230AIDBVR/page-1", "REF3230AIDBVR")</f>
        <v>REF3230AIDBVR</v>
      </c>
      <c r="B20799" s="3" t="s">
        <v>90</v>
      </c>
      <c r="C20799" s="5">
        <v>2700</v>
      </c>
      <c r="D20799" s="6">
        <v>4.78</v>
      </c>
      <c r="E20799" t="s">
        <v>14</v>
      </c>
    </row>
    <row r="20800" spans="1:5" x14ac:dyDescent="0.25">
      <c r="A20800" t="str">
        <f>HYPERLINK("https://www.773grp.com/globalSearch/REF3240AIDBVR/page-1", "REF3240AIDBVR")</f>
        <v>REF3240AIDBVR</v>
      </c>
      <c r="B20800" s="3" t="s">
        <v>90</v>
      </c>
      <c r="C20800" s="5">
        <v>3000</v>
      </c>
      <c r="D20800" s="6">
        <v>4.78</v>
      </c>
      <c r="E20800" t="s">
        <v>14</v>
      </c>
    </row>
    <row r="20801" spans="1:5" x14ac:dyDescent="0.25">
      <c r="A20801" t="str">
        <f>HYPERLINK("https://www.773grp.com/globalSearch/REF02AU/page-1", "REF02AU")</f>
        <v>REF02AU</v>
      </c>
      <c r="B20801" s="3" t="s">
        <v>90</v>
      </c>
      <c r="C20801" s="5">
        <v>500</v>
      </c>
      <c r="D20801" s="6">
        <v>4.93</v>
      </c>
      <c r="E20801" t="s">
        <v>14</v>
      </c>
    </row>
    <row r="20802" spans="1:5" x14ac:dyDescent="0.25">
      <c r="A20802" t="str">
        <f>HYPERLINK("https://www.773grp.com/globalSearch/REF02AUE4/page-1", "REF02AUE4")</f>
        <v>REF02AUE4</v>
      </c>
      <c r="B20802" s="3" t="s">
        <v>90</v>
      </c>
      <c r="C20802" s="5">
        <v>90</v>
      </c>
      <c r="D20802" s="6">
        <v>4.93</v>
      </c>
      <c r="E20802" t="s">
        <v>14</v>
      </c>
    </row>
    <row r="20803" spans="1:5" x14ac:dyDescent="0.25">
      <c r="A20803" t="str">
        <f>HYPERLINK("https://www.773grp.com/globalSearch/REF3212AIDBVT/page-1", "REF3212AIDBVT")</f>
        <v>REF3212AIDBVT</v>
      </c>
      <c r="B20803" s="3" t="s">
        <v>90</v>
      </c>
      <c r="C20803" s="5">
        <v>250</v>
      </c>
      <c r="D20803" s="6">
        <v>5.63</v>
      </c>
      <c r="E20803" t="s">
        <v>14</v>
      </c>
    </row>
    <row r="20804" spans="1:5" x14ac:dyDescent="0.25">
      <c r="A20804" t="str">
        <f>HYPERLINK("https://www.773grp.com/globalSearch/REF02BU-2K5/page-1", "REF02BU-2K5")</f>
        <v>REF02BU-2K5</v>
      </c>
      <c r="B20804" s="3" t="s">
        <v>90</v>
      </c>
      <c r="C20804" s="5">
        <v>2500</v>
      </c>
      <c r="D20804" s="6">
        <v>5.78</v>
      </c>
      <c r="E20804" t="s">
        <v>14</v>
      </c>
    </row>
    <row r="20805" spans="1:5" x14ac:dyDescent="0.25">
      <c r="A20805" t="str">
        <f>HYPERLINK("https://www.773grp.com/globalSearch/REF02BU/page-1", "REF02BU")</f>
        <v>REF02BU</v>
      </c>
      <c r="B20805" s="3" t="str">
        <f>HYPERLINK("https://www.773grp.com/manufacturer/texas-instruments?pageNo=291", "Texas Instruments")</f>
        <v>Texas Instruments</v>
      </c>
      <c r="C20805" s="5">
        <v>4900</v>
      </c>
      <c r="D20805" s="6">
        <v>6.61</v>
      </c>
      <c r="E20805" t="s">
        <v>14</v>
      </c>
    </row>
    <row r="20806" spans="1:5" x14ac:dyDescent="0.25">
      <c r="A20806" t="str">
        <f>HYPERLINK("https://www.773grp.com/globalSearch/REF02BUG4/page-1", "REF02BUG4")</f>
        <v>REF02BUG4</v>
      </c>
      <c r="B20806" s="3" t="str">
        <f>HYPERLINK("https://www.773grp.com/manufacturer/texas-instruments?pageNo=292", "Texas Instruments")</f>
        <v>Texas Instruments</v>
      </c>
      <c r="C20806" s="5">
        <v>240</v>
      </c>
      <c r="D20806" s="6">
        <v>6.61</v>
      </c>
      <c r="E20806" t="s">
        <v>14</v>
      </c>
    </row>
    <row r="20807" spans="1:5" x14ac:dyDescent="0.25">
      <c r="A20807" t="str">
        <f>HYPERLINK("https://www.773grp.com/globalSearch/REF1004I-2.5/page-1", "REF1004I-2.5")</f>
        <v>REF1004I-2.5</v>
      </c>
      <c r="B20807" s="3" t="s">
        <v>90</v>
      </c>
      <c r="C20807" s="5">
        <v>150</v>
      </c>
      <c r="D20807" s="6">
        <v>7.31</v>
      </c>
      <c r="E20807" t="s">
        <v>14</v>
      </c>
    </row>
    <row r="20808" spans="1:5" x14ac:dyDescent="0.25">
      <c r="A20808" t="str">
        <f>HYPERLINK("https://www.773grp.com/globalSearch/REF1004I-2.5-2K5/page-1", "REF1004I-2.5-2K5")</f>
        <v>REF1004I-2.5-2K5</v>
      </c>
      <c r="B20808" s="3" t="s">
        <v>90</v>
      </c>
      <c r="C20808" s="5">
        <v>1</v>
      </c>
      <c r="D20808" s="6">
        <v>7.31</v>
      </c>
      <c r="E20808" t="s">
        <v>14</v>
      </c>
    </row>
    <row r="20809" spans="1:5" x14ac:dyDescent="0.25">
      <c r="A20809" t="str">
        <f>HYPERLINK("https://www.773grp.com/globalSearch/REF02BP/page-1", "REF02BP")</f>
        <v>REF02BP</v>
      </c>
      <c r="B20809" s="3" t="s">
        <v>90</v>
      </c>
      <c r="C20809" s="5">
        <v>368</v>
      </c>
      <c r="D20809" s="6">
        <v>8.06</v>
      </c>
      <c r="E20809" t="s">
        <v>14</v>
      </c>
    </row>
    <row r="20810" spans="1:5" x14ac:dyDescent="0.25">
      <c r="A20810" t="str">
        <f>HYPERLINK("https://www.773grp.com/globalSearch/REF5010IDGKR/page-1", "REF5010IDGKR")</f>
        <v>REF5010IDGKR</v>
      </c>
      <c r="B20810" s="3" t="s">
        <v>90</v>
      </c>
      <c r="C20810" s="5">
        <v>7500</v>
      </c>
      <c r="D20810" s="6">
        <v>8.3000000000000007</v>
      </c>
      <c r="E20810" t="s">
        <v>14</v>
      </c>
    </row>
    <row r="20811" spans="1:5" x14ac:dyDescent="0.25">
      <c r="A20811" t="str">
        <f>HYPERLINK("https://www.773grp.com/globalSearch/REF5010IDR/page-1", "REF5010IDR")</f>
        <v>REF5010IDR</v>
      </c>
      <c r="B20811" s="3" t="s">
        <v>90</v>
      </c>
      <c r="C20811" s="5">
        <v>7500</v>
      </c>
      <c r="D20811" s="6">
        <v>8.3000000000000007</v>
      </c>
      <c r="E20811" t="s">
        <v>14</v>
      </c>
    </row>
    <row r="20812" spans="1:5" x14ac:dyDescent="0.25">
      <c r="A20812" t="str">
        <f>HYPERLINK("https://www.773grp.com/globalSearch/REF5020IDGKR/page-1", "REF5020IDGKR")</f>
        <v>REF5020IDGKR</v>
      </c>
      <c r="B20812" s="3" t="s">
        <v>90</v>
      </c>
      <c r="C20812" s="5">
        <v>14900</v>
      </c>
      <c r="D20812" s="6">
        <v>8.3000000000000007</v>
      </c>
      <c r="E20812" t="s">
        <v>14</v>
      </c>
    </row>
    <row r="20813" spans="1:5" x14ac:dyDescent="0.25">
      <c r="A20813" t="str">
        <f>HYPERLINK("https://www.773grp.com/globalSearch/REF5030IDGKR/page-1", "REF5030IDGKR")</f>
        <v>REF5030IDGKR</v>
      </c>
      <c r="B20813" s="3" t="s">
        <v>90</v>
      </c>
      <c r="C20813" s="5">
        <v>7117</v>
      </c>
      <c r="D20813" s="6">
        <v>8.3000000000000007</v>
      </c>
      <c r="E20813" t="s">
        <v>14</v>
      </c>
    </row>
    <row r="20814" spans="1:5" x14ac:dyDescent="0.25">
      <c r="A20814" t="str">
        <f>HYPERLINK("https://www.773grp.com/globalSearch/REF5040IDGKR/page-1", "REF5040IDGKR")</f>
        <v>REF5040IDGKR</v>
      </c>
      <c r="B20814" s="3" t="s">
        <v>90</v>
      </c>
      <c r="C20814" s="5">
        <v>362</v>
      </c>
      <c r="D20814" s="6">
        <v>8.3000000000000007</v>
      </c>
      <c r="E20814" t="s">
        <v>14</v>
      </c>
    </row>
    <row r="20815" spans="1:5" x14ac:dyDescent="0.25">
      <c r="A20815" t="str">
        <f>HYPERLINK("https://www.773grp.com/globalSearch/REF5045IDGKR/page-1", "REF5045IDGKR")</f>
        <v>REF5045IDGKR</v>
      </c>
      <c r="B20815" s="3" t="s">
        <v>90</v>
      </c>
      <c r="C20815" s="5">
        <v>10267</v>
      </c>
      <c r="D20815" s="6">
        <v>8.3000000000000007</v>
      </c>
      <c r="E20815" t="s">
        <v>14</v>
      </c>
    </row>
    <row r="20816" spans="1:5" x14ac:dyDescent="0.25">
      <c r="A20816" t="str">
        <f>HYPERLINK("https://www.773grp.com/globalSearch/REF5045IDR/page-1", "REF5045IDR")</f>
        <v>REF5045IDR</v>
      </c>
      <c r="B20816" s="3" t="s">
        <v>90</v>
      </c>
      <c r="C20816" s="5">
        <v>5000</v>
      </c>
      <c r="D20816" s="6">
        <v>8.3000000000000007</v>
      </c>
      <c r="E20816" t="s">
        <v>14</v>
      </c>
    </row>
    <row r="20817" spans="1:5" x14ac:dyDescent="0.25">
      <c r="A20817" t="str">
        <f>HYPERLINK("https://www.773grp.com/globalSearch/REF5050IDR/page-1", "REF5050IDR")</f>
        <v>REF5050IDR</v>
      </c>
      <c r="B20817" s="3" t="s">
        <v>90</v>
      </c>
      <c r="C20817" s="5">
        <v>7245</v>
      </c>
      <c r="D20817" s="6">
        <v>8.3000000000000007</v>
      </c>
      <c r="E20817" t="s">
        <v>14</v>
      </c>
    </row>
    <row r="20818" spans="1:5" x14ac:dyDescent="0.25">
      <c r="A20818" t="str">
        <f>HYPERLINK("https://www.773grp.com/globalSearch/REF5025IDGKT/page-1", "REF5025IDGKT")</f>
        <v>REF5025IDGKT</v>
      </c>
      <c r="B20818" s="3" t="s">
        <v>90</v>
      </c>
      <c r="C20818" s="5">
        <v>553</v>
      </c>
      <c r="D20818" s="6">
        <v>8.86</v>
      </c>
      <c r="E20818" t="s">
        <v>14</v>
      </c>
    </row>
    <row r="20819" spans="1:5" x14ac:dyDescent="0.25">
      <c r="A20819" t="str">
        <f>HYPERLINK("https://www.773grp.com/globalSearch/REF5050IDGKT/page-1", "REF5050IDGKT")</f>
        <v>REF5050IDGKT</v>
      </c>
      <c r="B20819" s="3" t="s">
        <v>90</v>
      </c>
      <c r="C20819" s="5">
        <v>6530</v>
      </c>
      <c r="D20819" s="6">
        <v>8.86</v>
      </c>
      <c r="E20819" t="s">
        <v>14</v>
      </c>
    </row>
    <row r="20820" spans="1:5" x14ac:dyDescent="0.25">
      <c r="A20820" t="str">
        <f>HYPERLINK("https://www.773grp.com/globalSearch/REF5020ID/page-1", "REF5020ID")</f>
        <v>REF5020ID</v>
      </c>
      <c r="B20820" s="3" t="s">
        <v>90</v>
      </c>
      <c r="C20820" s="5">
        <v>22268</v>
      </c>
      <c r="D20820" s="6">
        <v>9.15</v>
      </c>
      <c r="E20820" t="s">
        <v>14</v>
      </c>
    </row>
    <row r="20821" spans="1:5" x14ac:dyDescent="0.25">
      <c r="A20821" t="str">
        <f>HYPERLINK("https://www.773grp.com/globalSearch/REF5030ID/page-1", "REF5030ID")</f>
        <v>REF5030ID</v>
      </c>
      <c r="B20821" s="3" t="s">
        <v>90</v>
      </c>
      <c r="C20821" s="5">
        <v>1101</v>
      </c>
      <c r="D20821" s="6">
        <v>9.15</v>
      </c>
      <c r="E20821" t="s">
        <v>14</v>
      </c>
    </row>
    <row r="20822" spans="1:5" x14ac:dyDescent="0.25">
      <c r="A20822" t="str">
        <f>HYPERLINK("https://www.773grp.com/globalSearch/REF5040ID/page-1", "REF5040ID")</f>
        <v>REF5040ID</v>
      </c>
      <c r="B20822" s="3" t="s">
        <v>90</v>
      </c>
      <c r="C20822" s="5">
        <v>125</v>
      </c>
      <c r="D20822" s="6">
        <v>9.15</v>
      </c>
      <c r="E20822" t="s">
        <v>14</v>
      </c>
    </row>
    <row r="20823" spans="1:5" x14ac:dyDescent="0.25">
      <c r="A20823" t="str">
        <f>HYPERLINK("https://www.773grp.com/globalSearch/REF5045ID/page-1", "REF5045ID")</f>
        <v>REF5045ID</v>
      </c>
      <c r="B20823" s="3" t="s">
        <v>90</v>
      </c>
      <c r="C20823" s="5">
        <v>3150</v>
      </c>
      <c r="D20823" s="6">
        <v>9.15</v>
      </c>
      <c r="E20823" t="s">
        <v>14</v>
      </c>
    </row>
    <row r="20824" spans="1:5" x14ac:dyDescent="0.25">
      <c r="A20824" t="str">
        <f>HYPERLINK("https://www.773grp.com/globalSearch/REF102BU/page-1", "REF102BU")</f>
        <v>REF102BU</v>
      </c>
      <c r="B20824" s="3" t="s">
        <v>90</v>
      </c>
      <c r="C20824" s="5">
        <v>300</v>
      </c>
      <c r="D20824" s="6">
        <v>9.5399999999999991</v>
      </c>
      <c r="E20824" t="s">
        <v>14</v>
      </c>
    </row>
    <row r="20825" spans="1:5" x14ac:dyDescent="0.25">
      <c r="A20825" t="str">
        <f>HYPERLINK("https://www.773grp.com/globalSearch/REF102BU/page-1", "REF102BU")</f>
        <v>REF102BU</v>
      </c>
      <c r="B20825" s="3" t="s">
        <v>90</v>
      </c>
      <c r="C20825" s="5">
        <v>225</v>
      </c>
      <c r="D20825" s="6">
        <v>9.5399999999999991</v>
      </c>
      <c r="E20825" t="s">
        <v>14</v>
      </c>
    </row>
    <row r="20826" spans="1:5" x14ac:dyDescent="0.25">
      <c r="A20826" t="str">
        <f>HYPERLINK("https://www.773grp.com/globalSearch/REF102BU/page-1", "REF102BU")</f>
        <v>REF102BU</v>
      </c>
      <c r="B20826" s="3" t="s">
        <v>90</v>
      </c>
      <c r="C20826" s="5">
        <v>17</v>
      </c>
      <c r="D20826" s="6">
        <v>9.5399999999999991</v>
      </c>
      <c r="E20826" t="s">
        <v>14</v>
      </c>
    </row>
    <row r="20827" spans="1:5" x14ac:dyDescent="0.25">
      <c r="A20827" t="str">
        <f>HYPERLINK("https://www.773grp.com/globalSearch/REF102AM/page-1", "REF102AM")</f>
        <v>REF102AM</v>
      </c>
      <c r="B20827" s="3" t="s">
        <v>90</v>
      </c>
      <c r="C20827" s="5">
        <v>8812</v>
      </c>
      <c r="D20827" s="6">
        <v>9.99</v>
      </c>
      <c r="E20827" t="s">
        <v>14</v>
      </c>
    </row>
    <row r="20828" spans="1:5" x14ac:dyDescent="0.25">
      <c r="A20828" t="str">
        <f>HYPERLINK("https://www.773grp.com/globalSearch/UC29431D/page-1", "UC29431D")</f>
        <v>UC29431D</v>
      </c>
      <c r="B20828" s="3" t="str">
        <f>HYPERLINK("https://www.773grp.com/manufacturer/texas-instruments?pageNo=681", "Texas Instruments")</f>
        <v>Texas Instruments</v>
      </c>
      <c r="C20828" s="5">
        <v>15855</v>
      </c>
      <c r="D20828" s="6">
        <v>13.36</v>
      </c>
      <c r="E20828" t="s">
        <v>14</v>
      </c>
    </row>
    <row r="20829" spans="1:5" x14ac:dyDescent="0.25">
      <c r="A20829" t="str">
        <f>HYPERLINK("https://www.773grp.com/globalSearch/UC39431D/page-1", "UC39431D")</f>
        <v>UC39431D</v>
      </c>
      <c r="B20829" s="3" t="str">
        <f>HYPERLINK("https://www.773grp.com/manufacturer/texas-instruments?pageNo=682", "Texas Instruments")</f>
        <v>Texas Instruments</v>
      </c>
      <c r="C20829" s="5">
        <v>2616</v>
      </c>
      <c r="D20829" s="6">
        <v>13.36</v>
      </c>
      <c r="E20829" t="s">
        <v>14</v>
      </c>
    </row>
    <row r="20830" spans="1:5" x14ac:dyDescent="0.25">
      <c r="A20830" t="str">
        <f>HYPERLINK("https://www.773grp.com/globalSearch/REF102CUG4/page-1", "REF102CUG4")</f>
        <v>REF102CUG4</v>
      </c>
      <c r="B20830" s="3" t="str">
        <f>HYPERLINK("https://www.773grp.com/manufacturer/texas-instruments?pageNo=941", "Texas Instruments")</f>
        <v>Texas Instruments</v>
      </c>
      <c r="C20830" s="5">
        <v>43</v>
      </c>
      <c r="D20830" s="6">
        <v>13.89</v>
      </c>
      <c r="E20830" t="s">
        <v>14</v>
      </c>
    </row>
    <row r="20831" spans="1:5" x14ac:dyDescent="0.25">
      <c r="A20831" t="str">
        <f>HYPERLINK("https://www.773grp.com/globalSearch/UC39431N/page-1", "UC39431N")</f>
        <v>UC39431N</v>
      </c>
      <c r="B20831" s="3" t="s">
        <v>90</v>
      </c>
      <c r="C20831" s="5">
        <v>1748</v>
      </c>
      <c r="D20831" s="6">
        <v>15.33</v>
      </c>
      <c r="E20831" t="s">
        <v>14</v>
      </c>
    </row>
    <row r="20832" spans="1:5" x14ac:dyDescent="0.25">
      <c r="A20832" t="str">
        <f>HYPERLINK("https://www.773grp.com/globalSearch/UC39431N/page-1", "UC39431N")</f>
        <v>UC39431N</v>
      </c>
      <c r="B20832" s="3" t="s">
        <v>90</v>
      </c>
      <c r="C20832" s="5">
        <v>5866</v>
      </c>
      <c r="D20832" s="6">
        <v>15.33</v>
      </c>
      <c r="E20832" t="s">
        <v>14</v>
      </c>
    </row>
    <row r="20833" spans="1:5" x14ac:dyDescent="0.25">
      <c r="A20833" t="str">
        <f>HYPERLINK("https://www.773grp.com/globalSearch/5962-9962001QPA/page-1", "5962-9962001QPA")</f>
        <v>5962-9962001QPA</v>
      </c>
      <c r="B20833" s="3" t="s">
        <v>90</v>
      </c>
      <c r="C20833" s="5">
        <v>2015</v>
      </c>
      <c r="D20833" s="6">
        <v>55.8</v>
      </c>
      <c r="E20833" t="s">
        <v>14</v>
      </c>
    </row>
    <row r="20834" spans="1:5" x14ac:dyDescent="0.25">
      <c r="A20834" t="str">
        <f>HYPERLINK("https://www.773grp.com/globalSearch/TL1431MJGB/page-1", "TL1431MJGB")</f>
        <v>TL1431MJGB</v>
      </c>
      <c r="B20834" s="3" t="s">
        <v>90</v>
      </c>
      <c r="C20834" s="5">
        <v>12</v>
      </c>
      <c r="D20834" s="6">
        <v>55.8</v>
      </c>
      <c r="E20834" t="s">
        <v>14</v>
      </c>
    </row>
    <row r="20835" spans="1:5" x14ac:dyDescent="0.25">
      <c r="A20835" t="str">
        <f>HYPERLINK("https://www.773grp.com/globalSearch/5962-9962001VPA/page-1", "5962-9962001VPA")</f>
        <v>5962-9962001VPA</v>
      </c>
      <c r="B20835" s="3" t="s">
        <v>90</v>
      </c>
      <c r="C20835" s="5">
        <v>3</v>
      </c>
      <c r="D20835" s="6">
        <v>541.92999999999995</v>
      </c>
      <c r="E20835" t="s">
        <v>14</v>
      </c>
    </row>
    <row r="20836" spans="1:5" x14ac:dyDescent="0.25">
      <c r="A20836" t="str">
        <f>HYPERLINK("https://www.773grp.com/globalSearch/UCC391PW/page-1", "UCC391PW")</f>
        <v>UCC391PW</v>
      </c>
      <c r="B20836" s="3" t="s">
        <v>112</v>
      </c>
      <c r="C20836" s="5">
        <v>6700</v>
      </c>
      <c r="D20836" s="6">
        <v>3.6</v>
      </c>
      <c r="E20836" t="s">
        <v>14</v>
      </c>
    </row>
    <row r="20837" spans="1:5" x14ac:dyDescent="0.25">
      <c r="A20837" t="str">
        <f>HYPERLINK("https://www.773grp.com/globalSearch/X60003DIG3Z-41T1/page-1", "X60003DIG3Z-41T1")</f>
        <v>X60003DIG3Z-41T1</v>
      </c>
      <c r="B20837" s="3" t="s">
        <v>114</v>
      </c>
      <c r="C20837" s="5">
        <v>3000</v>
      </c>
      <c r="D20837" s="6">
        <v>4.01</v>
      </c>
      <c r="E20837" t="s">
        <v>14</v>
      </c>
    </row>
    <row r="20838" spans="1:5" x14ac:dyDescent="0.25">
      <c r="A20838" t="str">
        <f>HYPERLINK("https://www.773grp.com/globalSearch/X60003CIG3Z-41T1/page-1", "X60003CIG3Z-41T1")</f>
        <v>X60003CIG3Z-41T1</v>
      </c>
      <c r="B20838" s="3" t="s">
        <v>114</v>
      </c>
      <c r="C20838" s="5">
        <v>24000</v>
      </c>
      <c r="D20838" s="6">
        <v>6.16</v>
      </c>
      <c r="E20838" t="s">
        <v>14</v>
      </c>
    </row>
    <row r="20839" spans="1:5" x14ac:dyDescent="0.25">
      <c r="A20839" t="str">
        <f>HYPERLINK("https://www.773grp.com/globalSearch/X60003BIG3Z-50T1/page-1", "X60003BIG3Z-50T1")</f>
        <v>X60003BIG3Z-50T1</v>
      </c>
      <c r="B20839" s="3" t="s">
        <v>114</v>
      </c>
      <c r="C20839" s="5">
        <v>2925</v>
      </c>
      <c r="D20839" s="6">
        <v>9.56</v>
      </c>
      <c r="E20839" t="s">
        <v>14</v>
      </c>
    </row>
    <row r="20840" spans="1:5" x14ac:dyDescent="0.25">
      <c r="A20840" t="str">
        <f>HYPERLINK("https://www.773grp.com/globalSearch/OPA376AIDBVT/page-1", "OPA376AIDBVT")</f>
        <v>OPA376AIDBVT</v>
      </c>
      <c r="B20840" s="3" t="str">
        <f>HYPERLINK("https://www.773grp.com/manufacturer/texas-instruments?pageNo=5", "Texas Instruments")</f>
        <v>Texas Instruments</v>
      </c>
      <c r="C20840" s="5">
        <v>19750</v>
      </c>
      <c r="D20840" s="6">
        <v>3.95</v>
      </c>
      <c r="E20840" t="s">
        <v>122</v>
      </c>
    </row>
    <row r="20841" spans="1:5" x14ac:dyDescent="0.25">
      <c r="A20841" t="str">
        <f>HYPERLINK("https://www.773grp.com/globalSearch/OPA376AIDCKT/page-1", "OPA376AIDCKT")</f>
        <v>OPA376AIDCKT</v>
      </c>
      <c r="B20841" s="3" t="str">
        <f>HYPERLINK("https://www.773grp.com/manufacturer/texas-instruments?pageNo=6", "Texas Instruments")</f>
        <v>Texas Instruments</v>
      </c>
      <c r="C20841" s="5">
        <v>557</v>
      </c>
      <c r="D20841" s="6">
        <v>3.95</v>
      </c>
      <c r="E20841" t="s">
        <v>122</v>
      </c>
    </row>
    <row r="20842" spans="1:5" x14ac:dyDescent="0.25">
      <c r="A20842" t="str">
        <f>HYPERLINK("https://www.773grp.com/globalSearch/PCA9518DBR/page-1", "PCA9518DBR")</f>
        <v>PCA9518DBR</v>
      </c>
      <c r="B20842" s="3" t="str">
        <f>HYPERLINK("https://www.773grp.com/manufacturer/texas-instruments?pageNo=9", "Texas Instruments")</f>
        <v>Texas Instruments</v>
      </c>
      <c r="C20842" s="5">
        <v>2000</v>
      </c>
      <c r="D20842" s="6">
        <v>3.95</v>
      </c>
      <c r="E20842" t="s">
        <v>123</v>
      </c>
    </row>
    <row r="20843" spans="1:5" x14ac:dyDescent="0.25">
      <c r="A20843" t="str">
        <f>HYPERLINK("https://www.773grp.com/globalSearch/SN300919J/page-1", "SN300919J")</f>
        <v>SN300919J</v>
      </c>
      <c r="B20843" s="3" t="str">
        <f>HYPERLINK("https://www.773grp.com/manufacturer/texas-instruments?pageNo=15", "Texas Instruments")</f>
        <v>Texas Instruments</v>
      </c>
      <c r="C20843" s="5">
        <v>150</v>
      </c>
      <c r="D20843" s="6">
        <v>3.95</v>
      </c>
      <c r="E20843" t="s">
        <v>124</v>
      </c>
    </row>
    <row r="20844" spans="1:5" x14ac:dyDescent="0.25">
      <c r="A20844" t="str">
        <f>HYPERLINK("https://www.773grp.com/globalSearch/SN47996N/page-1", "SN47996N")</f>
        <v>SN47996N</v>
      </c>
      <c r="B20844" s="3" t="str">
        <f>HYPERLINK("https://www.773grp.com/manufacturer/texas-instruments?pageNo=16", "Texas Instruments")</f>
        <v>Texas Instruments</v>
      </c>
      <c r="C20844" s="5">
        <v>1950</v>
      </c>
      <c r="D20844" s="6">
        <v>3.95</v>
      </c>
      <c r="E20844" t="s">
        <v>125</v>
      </c>
    </row>
    <row r="20845" spans="1:5" x14ac:dyDescent="0.25">
      <c r="A20845" t="str">
        <f>HYPERLINK("https://www.773grp.com/globalSearch/SN72252N/page-1", "SN72252N")</f>
        <v>SN72252N</v>
      </c>
      <c r="B20845" s="3" t="str">
        <f>HYPERLINK("https://www.773grp.com/manufacturer/texas-instruments?pageNo=17", "Texas Instruments")</f>
        <v>Texas Instruments</v>
      </c>
      <c r="C20845" s="5">
        <v>1600</v>
      </c>
      <c r="D20845" s="6">
        <v>3.95</v>
      </c>
      <c r="E20845" t="s">
        <v>126</v>
      </c>
    </row>
    <row r="20846" spans="1:5" x14ac:dyDescent="0.25">
      <c r="A20846" t="str">
        <f>HYPERLINK("https://www.773grp.com/globalSearch/TL5001AQDG4/page-1", "TL5001AQDG4")</f>
        <v>TL5001AQDG4</v>
      </c>
      <c r="B20846" s="3" t="str">
        <f>HYPERLINK("https://www.773grp.com/manufacturer/texas-instruments?pageNo=27", "Texas Instruments")</f>
        <v>Texas Instruments</v>
      </c>
      <c r="C20846" s="5">
        <v>375</v>
      </c>
      <c r="D20846" s="6">
        <v>3.95</v>
      </c>
      <c r="E20846" t="s">
        <v>127</v>
      </c>
    </row>
    <row r="20847" spans="1:5" x14ac:dyDescent="0.25">
      <c r="A20847" t="str">
        <f>HYPERLINK("https://www.773grp.com/globalSearch/TL5001AQDRG4/page-1", "TL5001AQDRG4")</f>
        <v>TL5001AQDRG4</v>
      </c>
      <c r="B20847" s="3" t="str">
        <f>HYPERLINK("https://www.773grp.com/manufacturer/texas-instruments?pageNo=28", "Texas Instruments")</f>
        <v>Texas Instruments</v>
      </c>
      <c r="C20847" s="5">
        <v>7500</v>
      </c>
      <c r="D20847" s="6">
        <v>3.95</v>
      </c>
      <c r="E20847" t="s">
        <v>127</v>
      </c>
    </row>
    <row r="20848" spans="1:5" x14ac:dyDescent="0.25">
      <c r="A20848" t="str">
        <f>HYPERLINK("https://www.773grp.com/globalSearch/TLC2252AQDRG4Q1/page-1", "TLC2252AQDRG4Q1")</f>
        <v>TLC2252AQDRG4Q1</v>
      </c>
      <c r="B20848" s="3" t="str">
        <f>HYPERLINK("https://www.773grp.com/manufacturer/texas-instruments?pageNo=36", "Texas Instruments")</f>
        <v>Texas Instruments</v>
      </c>
      <c r="C20848" s="5">
        <v>10012</v>
      </c>
      <c r="D20848" s="6">
        <v>3.95</v>
      </c>
      <c r="E20848" t="s">
        <v>128</v>
      </c>
    </row>
    <row r="20849" spans="1:5" x14ac:dyDescent="0.25">
      <c r="A20849" t="str">
        <f>HYPERLINK("https://www.773grp.com/globalSearch/TLC2262CD/page-1", "TLC2262CD")</f>
        <v>TLC2262CD</v>
      </c>
      <c r="B20849" s="3" t="str">
        <f>HYPERLINK("https://www.773grp.com/manufacturer/texas-instruments?pageNo=47", "Texas Instruments")</f>
        <v>Texas Instruments</v>
      </c>
      <c r="C20849" s="5">
        <v>475</v>
      </c>
      <c r="D20849" s="6">
        <v>3.95</v>
      </c>
      <c r="E20849" t="s">
        <v>129</v>
      </c>
    </row>
    <row r="20850" spans="1:5" x14ac:dyDescent="0.25">
      <c r="A20850" t="str">
        <f>HYPERLINK("https://www.773grp.com/globalSearch/TLC2262CDG4/page-1", "TLC2262CDG4")</f>
        <v>TLC2262CDG4</v>
      </c>
      <c r="B20850" s="3" t="str">
        <f>HYPERLINK("https://www.773grp.com/manufacturer/texas-instruments?pageNo=48", "Texas Instruments")</f>
        <v>Texas Instruments</v>
      </c>
      <c r="C20850" s="5">
        <v>150</v>
      </c>
      <c r="D20850" s="6">
        <v>3.95</v>
      </c>
      <c r="E20850" t="s">
        <v>129</v>
      </c>
    </row>
    <row r="20851" spans="1:5" x14ac:dyDescent="0.25">
      <c r="A20851" t="str">
        <f>HYPERLINK("https://www.773grp.com/globalSearch/TLC2274IPWR/page-1", "TLC2274IPWR")</f>
        <v>TLC2274IPWR</v>
      </c>
      <c r="B20851" s="3" t="str">
        <f>HYPERLINK("https://www.773grp.com/manufacturer/texas-instruments?pageNo=55", "Texas Instruments")</f>
        <v>Texas Instruments</v>
      </c>
      <c r="C20851" s="5">
        <v>8000</v>
      </c>
      <c r="D20851" s="6">
        <v>3.95</v>
      </c>
      <c r="E20851" t="s">
        <v>128</v>
      </c>
    </row>
    <row r="20852" spans="1:5" x14ac:dyDescent="0.25">
      <c r="A20852" t="str">
        <f>HYPERLINK("https://www.773grp.com/globalSearch/TLC277CPSLE/page-1", "TLC277CPSLE")</f>
        <v>TLC277CPSLE</v>
      </c>
      <c r="B20852" s="3" t="str">
        <f>HYPERLINK("https://www.773grp.com/manufacturer/texas-instruments?pageNo=56", "Texas Instruments")</f>
        <v>Texas Instruments</v>
      </c>
      <c r="C20852" s="5">
        <v>3000</v>
      </c>
      <c r="D20852" s="6">
        <v>3.95</v>
      </c>
      <c r="E20852" t="s">
        <v>129</v>
      </c>
    </row>
    <row r="20853" spans="1:5" x14ac:dyDescent="0.25">
      <c r="A20853" t="str">
        <f>HYPERLINK("https://www.773grp.com/globalSearch/TLE2021AID/page-1", "TLE2021AID")</f>
        <v>TLE2021AID</v>
      </c>
      <c r="B20853" s="3" t="str">
        <f>HYPERLINK("https://www.773grp.com/manufacturer/texas-instruments?pageNo=64", "Texas Instruments")</f>
        <v>Texas Instruments</v>
      </c>
      <c r="C20853" s="5">
        <v>259</v>
      </c>
      <c r="D20853" s="6">
        <v>3.95</v>
      </c>
      <c r="E20853" t="s">
        <v>130</v>
      </c>
    </row>
    <row r="20854" spans="1:5" x14ac:dyDescent="0.25">
      <c r="A20854" t="str">
        <f>HYPERLINK("https://www.773grp.com/globalSearch/TLV2241IDBVT/page-1", "TLV2241IDBVT")</f>
        <v>TLV2241IDBVT</v>
      </c>
      <c r="B20854" s="3" t="str">
        <f>HYPERLINK("https://www.773grp.com/manufacturer/texas-instruments?pageNo=77", "Texas Instruments")</f>
        <v>Texas Instruments</v>
      </c>
      <c r="C20854" s="5">
        <v>250</v>
      </c>
      <c r="D20854" s="6">
        <v>3.95</v>
      </c>
      <c r="E20854" t="s">
        <v>131</v>
      </c>
    </row>
    <row r="20855" spans="1:5" x14ac:dyDescent="0.25">
      <c r="A20855" t="str">
        <f>HYPERLINK("https://www.773grp.com/globalSearch/TLV2374IPWR/page-1", "TLV2374IPWR")</f>
        <v>TLV2374IPWR</v>
      </c>
      <c r="B20855" s="3" t="str">
        <f>HYPERLINK("https://www.773grp.com/manufacturer/texas-instruments?pageNo=87", "Texas Instruments")</f>
        <v>Texas Instruments</v>
      </c>
      <c r="C20855" s="5">
        <v>2000</v>
      </c>
      <c r="D20855" s="6">
        <v>3.95</v>
      </c>
      <c r="E20855" t="s">
        <v>128</v>
      </c>
    </row>
    <row r="20856" spans="1:5" x14ac:dyDescent="0.25">
      <c r="A20856" t="str">
        <f>HYPERLINK("https://www.773grp.com/globalSearch/TLV2442AIDR/page-1", "TLV2442AIDR")</f>
        <v>TLV2442AIDR</v>
      </c>
      <c r="B20856" s="3" t="str">
        <f>HYPERLINK("https://www.773grp.com/manufacturer/texas-instruments?pageNo=88", "Texas Instruments")</f>
        <v>Texas Instruments</v>
      </c>
      <c r="C20856" s="5">
        <v>360</v>
      </c>
      <c r="D20856" s="6">
        <v>3.95</v>
      </c>
      <c r="E20856" t="s">
        <v>125</v>
      </c>
    </row>
    <row r="20857" spans="1:5" x14ac:dyDescent="0.25">
      <c r="A20857" t="str">
        <f>HYPERLINK("https://www.773grp.com/globalSearch/TLV3401IDBVT/page-1", "TLV3401IDBVT")</f>
        <v>TLV3401IDBVT</v>
      </c>
      <c r="B20857" s="3" t="str">
        <f>HYPERLINK("https://www.773grp.com/manufacturer/texas-instruments?pageNo=113", "Texas Instruments")</f>
        <v>Texas Instruments</v>
      </c>
      <c r="C20857" s="5">
        <v>1575</v>
      </c>
      <c r="D20857" s="6">
        <v>3.95</v>
      </c>
      <c r="E20857" t="s">
        <v>132</v>
      </c>
    </row>
    <row r="20858" spans="1:5" x14ac:dyDescent="0.25">
      <c r="A20858" t="str">
        <f>HYPERLINK("https://www.773grp.com/globalSearch/TPS2013APWR/page-1", "TPS2013APWR")</f>
        <v>TPS2013APWR</v>
      </c>
      <c r="B20858" s="3" t="str">
        <f>HYPERLINK("https://www.773grp.com/manufacturer/texas-instruments?pageNo=130", "Texas Instruments")</f>
        <v>Texas Instruments</v>
      </c>
      <c r="C20858" s="5">
        <v>630</v>
      </c>
      <c r="D20858" s="6">
        <v>3.95</v>
      </c>
      <c r="E20858" t="s">
        <v>133</v>
      </c>
    </row>
    <row r="20859" spans="1:5" x14ac:dyDescent="0.25">
      <c r="A20859" t="str">
        <f>HYPERLINK("https://www.773grp.com/globalSearch/TPS2061DGNG4/page-1", "TPS2061DGNG4")</f>
        <v>TPS2061DGNG4</v>
      </c>
      <c r="B20859" s="3" t="str">
        <f>HYPERLINK("https://www.773grp.com/manufacturer/texas-instruments?pageNo=132", "Texas Instruments")</f>
        <v>Texas Instruments</v>
      </c>
      <c r="C20859" s="5">
        <v>41</v>
      </c>
      <c r="D20859" s="6">
        <v>3.95</v>
      </c>
      <c r="E20859" t="s">
        <v>134</v>
      </c>
    </row>
    <row r="20860" spans="1:5" x14ac:dyDescent="0.25">
      <c r="A20860" t="str">
        <f>HYPERLINK("https://www.773grp.com/globalSearch/TPS2069CDBVT/page-1", "TPS2069CDBVT")</f>
        <v>TPS2069CDBVT</v>
      </c>
      <c r="B20860" s="3" t="str">
        <f>HYPERLINK("https://www.773grp.com/manufacturer/texas-instruments?pageNo=134", "Texas Instruments")</f>
        <v>Texas Instruments</v>
      </c>
      <c r="C20860" s="5">
        <v>1500</v>
      </c>
      <c r="D20860" s="6">
        <v>3.95</v>
      </c>
      <c r="E20860" t="s">
        <v>134</v>
      </c>
    </row>
    <row r="20861" spans="1:5" x14ac:dyDescent="0.25">
      <c r="A20861" t="str">
        <f>HYPERLINK("https://www.773grp.com/globalSearch/TPS2552DBVR-1/page-1", "TPS2552DBVR-1")</f>
        <v>TPS2552DBVR-1</v>
      </c>
      <c r="B20861" s="3" t="str">
        <f>HYPERLINK("https://www.773grp.com/manufacturer/texas-instruments?pageNo=142", "Texas Instruments")</f>
        <v>Texas Instruments</v>
      </c>
      <c r="C20861" s="5">
        <v>6000</v>
      </c>
      <c r="D20861" s="6">
        <v>3.95</v>
      </c>
      <c r="E20861" t="s">
        <v>135</v>
      </c>
    </row>
    <row r="20862" spans="1:5" x14ac:dyDescent="0.25">
      <c r="A20862" t="str">
        <f>HYPERLINK("https://www.773grp.com/globalSearch/TPS2553DRVR/page-1", "TPS2553DRVR")</f>
        <v>TPS2553DRVR</v>
      </c>
      <c r="B20862" s="3" t="str">
        <f>HYPERLINK("https://www.773grp.com/manufacturer/texas-instruments?pageNo=145", "Texas Instruments")</f>
        <v>Texas Instruments</v>
      </c>
      <c r="C20862" s="5">
        <v>51000</v>
      </c>
      <c r="D20862" s="6">
        <v>3.95</v>
      </c>
      <c r="E20862" t="s">
        <v>133</v>
      </c>
    </row>
    <row r="20863" spans="1:5" x14ac:dyDescent="0.25">
      <c r="A20863" t="str">
        <f>HYPERLINK("https://www.773grp.com/globalSearch/TPS2553DRVR-1/page-1", "TPS2553DRVR-1")</f>
        <v>TPS2553DRVR-1</v>
      </c>
      <c r="B20863" s="3" t="str">
        <f>HYPERLINK("https://www.773grp.com/manufacturer/texas-instruments?pageNo=146", "Texas Instruments")</f>
        <v>Texas Instruments</v>
      </c>
      <c r="C20863" s="5">
        <v>3000</v>
      </c>
      <c r="D20863" s="6">
        <v>3.95</v>
      </c>
      <c r="E20863" t="s">
        <v>136</v>
      </c>
    </row>
    <row r="20864" spans="1:5" x14ac:dyDescent="0.25">
      <c r="A20864" t="str">
        <f>HYPERLINK("https://www.773grp.com/globalSearch/TPS3813K33DBVR/page-1", "TPS3813K33DBVR")</f>
        <v>TPS3813K33DBVR</v>
      </c>
      <c r="B20864" s="3" t="str">
        <f>HYPERLINK("https://www.773grp.com/manufacturer/texas-instruments?pageNo=151", "Texas Instruments")</f>
        <v>Texas Instruments</v>
      </c>
      <c r="C20864" s="5">
        <v>6000</v>
      </c>
      <c r="D20864" s="6">
        <v>3.95</v>
      </c>
      <c r="E20864" t="s">
        <v>137</v>
      </c>
    </row>
    <row r="20865" spans="1:5" x14ac:dyDescent="0.25">
      <c r="A20865" t="str">
        <f>HYPERLINK("https://www.773grp.com/globalSearch/TPS3813L30DBVR/page-1", "TPS3813L30DBVR")</f>
        <v>TPS3813L30DBVR</v>
      </c>
      <c r="B20865" s="3" t="str">
        <f>HYPERLINK("https://www.773grp.com/manufacturer/texas-instruments?pageNo=152", "Texas Instruments")</f>
        <v>Texas Instruments</v>
      </c>
      <c r="C20865" s="5">
        <v>242</v>
      </c>
      <c r="D20865" s="6">
        <v>3.95</v>
      </c>
      <c r="E20865" t="s">
        <v>137</v>
      </c>
    </row>
    <row r="20866" spans="1:5" x14ac:dyDescent="0.25">
      <c r="A20866" t="str">
        <f>HYPERLINK("https://www.773grp.com/globalSearch/TPS3820-50DBVRQ1G4/page-1", "TPS3820-50DBVRQ1G4")</f>
        <v>TPS3820-50DBVRQ1G4</v>
      </c>
      <c r="B20866" s="3" t="str">
        <f>HYPERLINK("https://www.773grp.com/manufacturer/texas-instruments?pageNo=154", "Texas Instruments")</f>
        <v>Texas Instruments</v>
      </c>
      <c r="C20866" s="5">
        <v>15000</v>
      </c>
      <c r="D20866" s="6">
        <v>3.95</v>
      </c>
      <c r="E20866" t="s">
        <v>138</v>
      </c>
    </row>
    <row r="20867" spans="1:5" x14ac:dyDescent="0.25">
      <c r="A20867" t="str">
        <f>HYPERLINK("https://www.773grp.com/globalSearch/TPS3825-33QDBVRQ1/page-1", "TPS3825-33QDBVRQ1")</f>
        <v>TPS3825-33QDBVRQ1</v>
      </c>
      <c r="B20867" s="3" t="str">
        <f>HYPERLINK("https://www.773grp.com/manufacturer/texas-instruments?pageNo=155", "Texas Instruments")</f>
        <v>Texas Instruments</v>
      </c>
      <c r="C20867" s="5">
        <v>3000</v>
      </c>
      <c r="D20867" s="6">
        <v>3.95</v>
      </c>
      <c r="E20867" t="s">
        <v>138</v>
      </c>
    </row>
    <row r="20868" spans="1:5" x14ac:dyDescent="0.25">
      <c r="A20868" t="str">
        <f>HYPERLINK("https://www.773grp.com/globalSearch/TPS3828-50QDBVRG4Q/page-1", "TPS3828-50QDBVRG4Q")</f>
        <v>TPS3828-50QDBVRG4Q</v>
      </c>
      <c r="B20868" s="3" t="str">
        <f>HYPERLINK("https://www.773grp.com/manufacturer/texas-instruments?pageNo=157", "Texas Instruments")</f>
        <v>Texas Instruments</v>
      </c>
      <c r="C20868" s="5">
        <v>27000</v>
      </c>
      <c r="D20868" s="6">
        <v>3.95</v>
      </c>
      <c r="E20868" t="s">
        <v>139</v>
      </c>
    </row>
    <row r="20869" spans="1:5" x14ac:dyDescent="0.25">
      <c r="A20869" t="str">
        <f>HYPERLINK("https://www.773grp.com/globalSearch/TPS61045ADRBT/page-1", "TPS61045ADRBT")</f>
        <v>TPS61045ADRBT</v>
      </c>
      <c r="B20869" s="3" t="str">
        <f>HYPERLINK("https://www.773grp.com/manufacturer/texas-instruments?pageNo=161", "Texas Instruments")</f>
        <v>Texas Instruments</v>
      </c>
      <c r="C20869" s="5">
        <v>1750</v>
      </c>
      <c r="D20869" s="6">
        <v>3.95</v>
      </c>
      <c r="E20869" t="s">
        <v>140</v>
      </c>
    </row>
    <row r="20870" spans="1:5" x14ac:dyDescent="0.25">
      <c r="A20870" t="str">
        <f>HYPERLINK("https://www.773grp.com/globalSearch/TPS61165DRVR/page-1", "TPS61165DRVR")</f>
        <v>TPS61165DRVR</v>
      </c>
      <c r="B20870" s="3" t="str">
        <f>HYPERLINK("https://www.773grp.com/manufacturer/texas-instruments?pageNo=163", "Texas Instruments")</f>
        <v>Texas Instruments</v>
      </c>
      <c r="C20870" s="5">
        <v>3000</v>
      </c>
      <c r="D20870" s="6">
        <v>3.95</v>
      </c>
      <c r="E20870" t="s">
        <v>141</v>
      </c>
    </row>
    <row r="20871" spans="1:5" x14ac:dyDescent="0.25">
      <c r="A20871" t="str">
        <f>HYPERLINK("https://www.773grp.com/globalSearch/TPS61251DSGR/page-1", "TPS61251DSGR")</f>
        <v>TPS61251DSGR</v>
      </c>
      <c r="B20871" s="3" t="str">
        <f>HYPERLINK("https://www.773grp.com/manufacturer/texas-instruments?pageNo=164", "Texas Instruments")</f>
        <v>Texas Instruments</v>
      </c>
      <c r="C20871" s="5">
        <v>12000</v>
      </c>
      <c r="D20871" s="6">
        <v>3.95</v>
      </c>
      <c r="E20871" t="s">
        <v>142</v>
      </c>
    </row>
    <row r="20872" spans="1:5" x14ac:dyDescent="0.25">
      <c r="A20872" t="str">
        <f>HYPERLINK("https://www.773grp.com/globalSearch/TPS62260DRVT/page-1", "TPS62260DRVT")</f>
        <v>TPS62260DRVT</v>
      </c>
      <c r="B20872" s="3" t="str">
        <f>HYPERLINK("https://www.773grp.com/manufacturer/texas-instruments?pageNo=167", "Texas Instruments")</f>
        <v>Texas Instruments</v>
      </c>
      <c r="C20872" s="5">
        <v>702</v>
      </c>
      <c r="D20872" s="6">
        <v>3.95</v>
      </c>
      <c r="E20872" t="s">
        <v>143</v>
      </c>
    </row>
    <row r="20873" spans="1:5" x14ac:dyDescent="0.25">
      <c r="A20873" t="str">
        <f>HYPERLINK("https://www.773grp.com/globalSearch/TPS62624YFFT/page-1", "TPS62624YFFT")</f>
        <v>TPS62624YFFT</v>
      </c>
      <c r="B20873" s="3" t="str">
        <f>HYPERLINK("https://www.773grp.com/manufacturer/texas-instruments?pageNo=176", "Texas Instruments")</f>
        <v>Texas Instruments</v>
      </c>
      <c r="C20873" s="5">
        <v>250</v>
      </c>
      <c r="D20873" s="6">
        <v>3.95</v>
      </c>
      <c r="E20873" t="s">
        <v>144</v>
      </c>
    </row>
    <row r="20874" spans="1:5" x14ac:dyDescent="0.25">
      <c r="A20874" t="str">
        <f>HYPERLINK("https://www.773grp.com/globalSearch/TPS62625YFFT/page-1", "TPS62625YFFT")</f>
        <v>TPS62625YFFT</v>
      </c>
      <c r="B20874" s="3" t="str">
        <f>HYPERLINK("https://www.773grp.com/manufacturer/texas-instruments?pageNo=177", "Texas Instruments")</f>
        <v>Texas Instruments</v>
      </c>
      <c r="C20874" s="5">
        <v>200</v>
      </c>
      <c r="D20874" s="6">
        <v>3.95</v>
      </c>
      <c r="E20874" t="s">
        <v>145</v>
      </c>
    </row>
    <row r="20875" spans="1:5" x14ac:dyDescent="0.25">
      <c r="A20875" t="str">
        <f>HYPERLINK("https://www.773grp.com/globalSearch/TPS62671YFDT/page-1", "TPS62671YFDT")</f>
        <v>TPS62671YFDT</v>
      </c>
      <c r="B20875" s="3" t="str">
        <f>HYPERLINK("https://www.773grp.com/manufacturer/texas-instruments?pageNo=178", "Texas Instruments")</f>
        <v>Texas Instruments</v>
      </c>
      <c r="C20875" s="5">
        <v>2929</v>
      </c>
      <c r="D20875" s="6">
        <v>3.95</v>
      </c>
      <c r="E20875" t="s">
        <v>145</v>
      </c>
    </row>
    <row r="20876" spans="1:5" x14ac:dyDescent="0.25">
      <c r="A20876" t="str">
        <f>HYPERLINK("https://www.773grp.com/globalSearch/TPS62674YFDT/page-1", "TPS62674YFDT")</f>
        <v>TPS62674YFDT</v>
      </c>
      <c r="B20876" s="3" t="str">
        <f>HYPERLINK("https://www.773grp.com/manufacturer/texas-instruments?pageNo=179", "Texas Instruments")</f>
        <v>Texas Instruments</v>
      </c>
      <c r="C20876" s="5">
        <v>250</v>
      </c>
      <c r="D20876" s="6">
        <v>3.95</v>
      </c>
      <c r="E20876" t="s">
        <v>146</v>
      </c>
    </row>
    <row r="20877" spans="1:5" x14ac:dyDescent="0.25">
      <c r="A20877" t="str">
        <f>HYPERLINK("https://www.773grp.com/globalSearch/TPS73618DBVR/page-1", "TPS73618DBVR")</f>
        <v>TPS73618DBVR</v>
      </c>
      <c r="B20877" s="3" t="str">
        <f>HYPERLINK("https://www.773grp.com/manufacturer/texas-instruments?pageNo=185", "Texas Instruments")</f>
        <v>Texas Instruments</v>
      </c>
      <c r="C20877" s="5">
        <v>6205</v>
      </c>
      <c r="D20877" s="6">
        <v>3.95</v>
      </c>
      <c r="E20877" t="s">
        <v>145</v>
      </c>
    </row>
    <row r="20878" spans="1:5" x14ac:dyDescent="0.25">
      <c r="A20878" t="str">
        <f>HYPERLINK("https://www.773grp.com/globalSearch/TPS7433DR/page-1", "TPS7433DR")</f>
        <v>TPS7433DR</v>
      </c>
      <c r="B20878" s="3" t="str">
        <f>HYPERLINK("https://www.773grp.com/manufacturer/texas-instruments?pageNo=193", "Texas Instruments")</f>
        <v>Texas Instruments</v>
      </c>
      <c r="C20878" s="5">
        <v>15000</v>
      </c>
      <c r="D20878" s="6">
        <v>3.95</v>
      </c>
      <c r="E20878" t="s">
        <v>147</v>
      </c>
    </row>
    <row r="20879" spans="1:5" x14ac:dyDescent="0.25">
      <c r="A20879" t="str">
        <f>HYPERLINK("https://www.773grp.com/globalSearch/TPS76501QDRQ1/page-1", "TPS76501QDRQ1")</f>
        <v>TPS76501QDRQ1</v>
      </c>
      <c r="B20879" s="3" t="str">
        <f>HYPERLINK("https://www.773grp.com/manufacturer/texas-instruments?pageNo=195", "Texas Instruments")</f>
        <v>Texas Instruments</v>
      </c>
      <c r="C20879" s="5">
        <v>12500</v>
      </c>
      <c r="D20879" s="6">
        <v>3.95</v>
      </c>
      <c r="E20879" t="s">
        <v>145</v>
      </c>
    </row>
    <row r="20880" spans="1:5" x14ac:dyDescent="0.25">
      <c r="A20880" t="str">
        <f>HYPERLINK("https://www.773grp.com/globalSearch/TPS77115DGKR/page-1", "TPS77115DGKR")</f>
        <v>TPS77115DGKR</v>
      </c>
      <c r="B20880" s="3" t="str">
        <f>HYPERLINK("https://www.773grp.com/manufacturer/texas-instruments?pageNo=197", "Texas Instruments")</f>
        <v>Texas Instruments</v>
      </c>
      <c r="C20880" s="5">
        <v>2500</v>
      </c>
      <c r="D20880" s="6">
        <v>3.95</v>
      </c>
      <c r="E20880" t="s">
        <v>148</v>
      </c>
    </row>
    <row r="20881" spans="1:5" x14ac:dyDescent="0.25">
      <c r="A20881" t="str">
        <f>HYPERLINK("https://www.773grp.com/globalSearch/TSU6111ARSVR/page-1", "TSU6111ARSVR")</f>
        <v>TSU6111ARSVR</v>
      </c>
      <c r="B20881" s="3" t="str">
        <f>HYPERLINK("https://www.773grp.com/manufacturer/texas-instruments?pageNo=215", "Texas Instruments")</f>
        <v>Texas Instruments</v>
      </c>
      <c r="C20881" s="5">
        <v>3000</v>
      </c>
      <c r="D20881" s="6">
        <v>3.95</v>
      </c>
      <c r="E20881" t="s">
        <v>148</v>
      </c>
    </row>
    <row r="20882" spans="1:5" x14ac:dyDescent="0.25">
      <c r="A20882" t="str">
        <f>HYPERLINK("https://www.773grp.com/globalSearch/TSU6111RSVR/page-1", "TSU6111RSVR")</f>
        <v>TSU6111RSVR</v>
      </c>
      <c r="B20882" s="3" t="str">
        <f>HYPERLINK("https://www.773grp.com/manufacturer/texas-instruments?pageNo=216", "Texas Instruments")</f>
        <v>Texas Instruments</v>
      </c>
      <c r="C20882" s="5">
        <v>5700</v>
      </c>
      <c r="D20882" s="6">
        <v>3.95</v>
      </c>
      <c r="E20882" t="s">
        <v>149</v>
      </c>
    </row>
    <row r="20883" spans="1:5" x14ac:dyDescent="0.25">
      <c r="A20883" t="str">
        <f>HYPERLINK("https://www.773grp.com/globalSearch/UCC27325DGNR/page-1", "UCC27325DGNR")</f>
        <v>UCC27325DGNR</v>
      </c>
      <c r="B20883" s="3" t="str">
        <f>HYPERLINK("https://www.773grp.com/manufacturer/texas-instruments?pageNo=221", "Texas Instruments")</f>
        <v>Texas Instruments</v>
      </c>
      <c r="C20883" s="5">
        <v>2500</v>
      </c>
      <c r="D20883" s="6">
        <v>3.95</v>
      </c>
      <c r="E20883" t="s">
        <v>150</v>
      </c>
    </row>
    <row r="20884" spans="1:5" x14ac:dyDescent="0.25">
      <c r="A20884" t="str">
        <f>HYPERLINK("https://www.773grp.com/globalSearch/UCC27424DR/page-1", "UCC27424DR")</f>
        <v>UCC27424DR</v>
      </c>
      <c r="B20884" s="3" t="str">
        <f>HYPERLINK("https://www.773grp.com/manufacturer/texas-instruments?pageNo=225", "Texas Instruments")</f>
        <v>Texas Instruments</v>
      </c>
      <c r="C20884" s="5">
        <v>840</v>
      </c>
      <c r="D20884" s="6">
        <v>3.95</v>
      </c>
      <c r="E20884" t="s">
        <v>151</v>
      </c>
    </row>
    <row r="20885" spans="1:5" x14ac:dyDescent="0.25">
      <c r="A20885" t="str">
        <f>HYPERLINK("https://www.773grp.com/globalSearch/UCC27526DSDR/page-1", "UCC27526DSDR")</f>
        <v>UCC27526DSDR</v>
      </c>
      <c r="B20885" s="3" t="str">
        <f>HYPERLINK("https://www.773grp.com/manufacturer/texas-instruments?pageNo=228", "Texas Instruments")</f>
        <v>Texas Instruments</v>
      </c>
      <c r="C20885" s="5">
        <v>6000</v>
      </c>
      <c r="D20885" s="6">
        <v>3.95</v>
      </c>
      <c r="E20885" t="s">
        <v>152</v>
      </c>
    </row>
    <row r="20886" spans="1:5" x14ac:dyDescent="0.25">
      <c r="A20886" t="str">
        <f>HYPERLINK("https://www.773grp.com/globalSearch/UCC37325DGNR/page-1", "UCC37325DGNR")</f>
        <v>UCC37325DGNR</v>
      </c>
      <c r="B20886" s="3" t="str">
        <f>HYPERLINK("https://www.773grp.com/manufacturer/texas-instruments?pageNo=237", "Texas Instruments")</f>
        <v>Texas Instruments</v>
      </c>
      <c r="C20886" s="5">
        <v>1610</v>
      </c>
      <c r="D20886" s="6">
        <v>3.95</v>
      </c>
      <c r="E20886" t="s">
        <v>153</v>
      </c>
    </row>
    <row r="20887" spans="1:5" x14ac:dyDescent="0.25">
      <c r="A20887" t="str">
        <f>HYPERLINK("https://www.773grp.com/globalSearch/ADC0834CCWMX-NOPB/page-1", "ADC0834CCWMX-NOPB")</f>
        <v>ADC0834CCWMX-NOPB</v>
      </c>
      <c r="B20887" s="3" t="str">
        <f>HYPERLINK("https://www.773grp.com/manufacturer/texas-instruments?pageNo=243", "Texas Instruments")</f>
        <v>Texas Instruments</v>
      </c>
      <c r="C20887" s="5">
        <v>760</v>
      </c>
      <c r="D20887" s="6">
        <v>3.6</v>
      </c>
      <c r="E20887" t="s">
        <v>154</v>
      </c>
    </row>
    <row r="20888" spans="1:5" x14ac:dyDescent="0.25">
      <c r="A20888" t="str">
        <f>HYPERLINK("https://www.773grp.com/globalSearch/LM2990SX-12-NOPB/page-1", "LM2990SX-12-NOPB")</f>
        <v>LM2990SX-12-NOPB</v>
      </c>
      <c r="B20888" s="3" t="str">
        <f>HYPERLINK("https://www.773grp.com/manufacturer/texas-instruments?pageNo=245", "Texas Instruments")</f>
        <v>Texas Instruments</v>
      </c>
      <c r="C20888" s="5">
        <v>79</v>
      </c>
      <c r="D20888" s="6">
        <v>3.6</v>
      </c>
      <c r="E20888" t="s">
        <v>155</v>
      </c>
    </row>
    <row r="20889" spans="1:5" x14ac:dyDescent="0.25">
      <c r="A20889" t="str">
        <f>HYPERLINK("https://www.773grp.com/globalSearch/SN65LBC176QDRQ1/page-1", "SN65LBC176QDRQ1")</f>
        <v>SN65LBC176QDRQ1</v>
      </c>
      <c r="B20889" s="3" t="str">
        <f>HYPERLINK("https://www.773grp.com/manufacturer/texas-instruments?pageNo=246", "Texas Instruments")</f>
        <v>Texas Instruments</v>
      </c>
      <c r="C20889" s="5">
        <v>135000</v>
      </c>
      <c r="D20889" s="6">
        <v>3.6</v>
      </c>
      <c r="E20889" t="s">
        <v>156</v>
      </c>
    </row>
    <row r="20890" spans="1:5" x14ac:dyDescent="0.25">
      <c r="A20890" t="str">
        <f>HYPERLINK("https://www.773grp.com/globalSearch/SN74LVCR16245ADGG/page-1", "SN74LVCR16245ADGG")</f>
        <v>SN74LVCR16245ADGG</v>
      </c>
      <c r="B20890" s="3" t="str">
        <f>HYPERLINK("https://www.773grp.com/manufacturer/texas-instruments?pageNo=248", "Texas Instruments")</f>
        <v>Texas Instruments</v>
      </c>
      <c r="C20890" s="5">
        <v>200</v>
      </c>
      <c r="D20890" s="6">
        <v>3.6</v>
      </c>
      <c r="E20890" t="s">
        <v>157</v>
      </c>
    </row>
    <row r="20891" spans="1:5" x14ac:dyDescent="0.25">
      <c r="A20891" t="str">
        <f>HYPERLINK("https://www.773grp.com/globalSearch/TPS3307-18QDRQ1/page-1", "TPS3307-18QDRQ1")</f>
        <v>TPS3307-18QDRQ1</v>
      </c>
      <c r="B20891" s="3" t="str">
        <f>HYPERLINK("https://www.773grp.com/manufacturer/texas-instruments?pageNo=253", "Texas Instruments")</f>
        <v>Texas Instruments</v>
      </c>
      <c r="C20891" s="5">
        <v>2374</v>
      </c>
      <c r="D20891" s="6">
        <v>3.6</v>
      </c>
      <c r="E20891" t="s">
        <v>158</v>
      </c>
    </row>
    <row r="20892" spans="1:5" x14ac:dyDescent="0.25">
      <c r="A20892" t="str">
        <f>HYPERLINK("https://www.773grp.com/globalSearch/BQ24270YFFT/page-1", "BQ24270YFFT")</f>
        <v>BQ24270YFFT</v>
      </c>
      <c r="B20892" s="3" t="str">
        <f>HYPERLINK("https://www.773grp.com/manufacturer/texas-instruments?pageNo=272", "Texas Instruments")</f>
        <v>Texas Instruments</v>
      </c>
      <c r="C20892" s="5">
        <v>250</v>
      </c>
      <c r="D20892" s="6">
        <v>3.63</v>
      </c>
      <c r="E20892" t="s">
        <v>159</v>
      </c>
    </row>
    <row r="20893" spans="1:5" x14ac:dyDescent="0.25">
      <c r="A20893" t="str">
        <f>HYPERLINK("https://www.773grp.com/globalSearch/CD74AC646M/page-1", "CD74AC646M")</f>
        <v>CD74AC646M</v>
      </c>
      <c r="B20893" s="3" t="str">
        <f>HYPERLINK("https://www.773grp.com/manufacturer/texas-instruments?pageNo=273", "Texas Instruments")</f>
        <v>Texas Instruments</v>
      </c>
      <c r="C20893" s="5">
        <v>250</v>
      </c>
      <c r="D20893" s="6">
        <v>3.63</v>
      </c>
      <c r="E20893" t="s">
        <v>160</v>
      </c>
    </row>
    <row r="20894" spans="1:5" x14ac:dyDescent="0.25">
      <c r="A20894" t="str">
        <f>HYPERLINK("https://www.773grp.com/globalSearch/DS36C279M-NOPB/page-1", "DS36C279M-NOPB")</f>
        <v>DS36C279M-NOPB</v>
      </c>
      <c r="B20894" s="3" t="str">
        <f>HYPERLINK("https://www.773grp.com/manufacturer/texas-instruments?pageNo=276", "Texas Instruments")</f>
        <v>Texas Instruments</v>
      </c>
      <c r="C20894" s="5">
        <v>190</v>
      </c>
      <c r="D20894" s="6">
        <v>3.63</v>
      </c>
      <c r="E20894" t="s">
        <v>160</v>
      </c>
    </row>
    <row r="20895" spans="1:5" x14ac:dyDescent="0.25">
      <c r="A20895" t="str">
        <f>HYPERLINK("https://www.773grp.com/globalSearch/DS36C280M-NOPB/page-1", "DS36C280M-NOPB")</f>
        <v>DS36C280M-NOPB</v>
      </c>
      <c r="B20895" s="3" t="str">
        <f>HYPERLINK("https://www.773grp.com/manufacturer/texas-instruments?pageNo=277", "Texas Instruments")</f>
        <v>Texas Instruments</v>
      </c>
      <c r="C20895" s="5">
        <v>380</v>
      </c>
      <c r="D20895" s="6">
        <v>3.63</v>
      </c>
      <c r="E20895" t="s">
        <v>161</v>
      </c>
    </row>
    <row r="20896" spans="1:5" x14ac:dyDescent="0.25">
      <c r="A20896" t="str">
        <f>HYPERLINK("https://www.773grp.com/globalSearch/LP8725TLX-NOPB/page-1", "LP8725TLX-NOPB")</f>
        <v>LP8725TLX-NOPB</v>
      </c>
      <c r="B20896" s="3" t="str">
        <f>HYPERLINK("https://www.773grp.com/manufacturer/texas-instruments?pageNo=280", "Texas Instruments")</f>
        <v>Texas Instruments</v>
      </c>
      <c r="C20896" s="5">
        <v>3000</v>
      </c>
      <c r="D20896" s="6">
        <v>3.63</v>
      </c>
      <c r="E20896" t="s">
        <v>162</v>
      </c>
    </row>
    <row r="20897" spans="1:5" x14ac:dyDescent="0.25">
      <c r="A20897" t="str">
        <f>HYPERLINK("https://www.773grp.com/globalSearch/MAX208CDB/page-1", "MAX208CDB")</f>
        <v>MAX208CDB</v>
      </c>
      <c r="B20897" s="3" t="str">
        <f>HYPERLINK("https://www.773grp.com/manufacturer/texas-instruments?pageNo=283", "Texas Instruments")</f>
        <v>Texas Instruments</v>
      </c>
      <c r="C20897" s="5">
        <v>120</v>
      </c>
      <c r="D20897" s="6">
        <v>3.63</v>
      </c>
      <c r="E20897" t="s">
        <v>162</v>
      </c>
    </row>
    <row r="20898" spans="1:5" x14ac:dyDescent="0.25">
      <c r="A20898" t="str">
        <f>HYPERLINK("https://www.773grp.com/globalSearch/MAX208CDBG4/page-1", "MAX208CDBG4")</f>
        <v>MAX208CDBG4</v>
      </c>
      <c r="B20898" s="3" t="str">
        <f>HYPERLINK("https://www.773grp.com/manufacturer/texas-instruments?pageNo=284", "Texas Instruments")</f>
        <v>Texas Instruments</v>
      </c>
      <c r="C20898" s="5">
        <v>120</v>
      </c>
      <c r="D20898" s="6">
        <v>3.63</v>
      </c>
      <c r="E20898" t="s">
        <v>163</v>
      </c>
    </row>
    <row r="20899" spans="1:5" x14ac:dyDescent="0.25">
      <c r="A20899" t="str">
        <f>HYPERLINK("https://www.773grp.com/globalSearch/MAX3222EIDBR/page-1", "MAX3222EIDBR")</f>
        <v>MAX3222EIDBR</v>
      </c>
      <c r="B20899" s="3" t="str">
        <f>HYPERLINK("https://www.773grp.com/manufacturer/texas-instruments?pageNo=287", "Texas Instruments")</f>
        <v>Texas Instruments</v>
      </c>
      <c r="C20899" s="5">
        <v>1103</v>
      </c>
      <c r="D20899" s="6">
        <v>3.63</v>
      </c>
      <c r="E20899" t="s">
        <v>163</v>
      </c>
    </row>
    <row r="20900" spans="1:5" x14ac:dyDescent="0.25">
      <c r="A20900" t="str">
        <f>HYPERLINK("https://www.773grp.com/globalSearch/MAX3222EIPWR/page-1", "MAX3222EIPWR")</f>
        <v>MAX3222EIPWR</v>
      </c>
      <c r="B20900" s="3" t="str">
        <f>HYPERLINK("https://www.773grp.com/manufacturer/texas-instruments?pageNo=289", "Texas Instruments")</f>
        <v>Texas Instruments</v>
      </c>
      <c r="C20900" s="5">
        <v>1843</v>
      </c>
      <c r="D20900" s="6">
        <v>3.63</v>
      </c>
      <c r="E20900" t="s">
        <v>163</v>
      </c>
    </row>
    <row r="20901" spans="1:5" x14ac:dyDescent="0.25">
      <c r="A20901" t="str">
        <f>HYPERLINK("https://www.773grp.com/globalSearch/MAX3227IDBR/page-1", "MAX3227IDBR")</f>
        <v>MAX3227IDBR</v>
      </c>
      <c r="B20901" s="3" t="str">
        <f>HYPERLINK("https://www.773grp.com/manufacturer/texas-instruments?pageNo=293", "Texas Instruments")</f>
        <v>Texas Instruments</v>
      </c>
      <c r="C20901" s="5">
        <v>2000</v>
      </c>
      <c r="D20901" s="6">
        <v>3.63</v>
      </c>
      <c r="E20901" t="s">
        <v>164</v>
      </c>
    </row>
    <row r="20902" spans="1:5" x14ac:dyDescent="0.25">
      <c r="A20902" t="str">
        <f>HYPERLINK("https://www.773grp.com/globalSearch/PCF8575PWR/page-1", "PCF8575PWR")</f>
        <v>PCF8575PWR</v>
      </c>
      <c r="B20902" s="3" t="str">
        <f>HYPERLINK("https://www.773grp.com/manufacturer/texas-instruments?pageNo=310", "Texas Instruments")</f>
        <v>Texas Instruments</v>
      </c>
      <c r="C20902" s="5">
        <v>2000</v>
      </c>
      <c r="D20902" s="6">
        <v>3.63</v>
      </c>
      <c r="E20902" t="s">
        <v>165</v>
      </c>
    </row>
    <row r="20903" spans="1:5" x14ac:dyDescent="0.25">
      <c r="A20903" t="str">
        <f>HYPERLINK("https://www.773grp.com/globalSearch/SN101613P/page-1", "SN101613P")</f>
        <v>SN101613P</v>
      </c>
      <c r="B20903" s="3" t="str">
        <f>HYPERLINK("https://www.773grp.com/manufacturer/texas-instruments?pageNo=312", "Texas Instruments")</f>
        <v>Texas Instruments</v>
      </c>
      <c r="C20903" s="5">
        <v>10400</v>
      </c>
      <c r="D20903" s="6">
        <v>3.63</v>
      </c>
      <c r="E20903" t="s">
        <v>163</v>
      </c>
    </row>
    <row r="20904" spans="1:5" x14ac:dyDescent="0.25">
      <c r="A20904" t="str">
        <f>HYPERLINK("https://www.773grp.com/globalSearch/SN65C3232EPW/page-1", "SN65C3232EPW")</f>
        <v>SN65C3232EPW</v>
      </c>
      <c r="B20904" s="3" t="str">
        <f>HYPERLINK("https://www.773grp.com/manufacturer/texas-instruments?pageNo=320", "Texas Instruments")</f>
        <v>Texas Instruments</v>
      </c>
      <c r="C20904" s="5">
        <v>450</v>
      </c>
      <c r="D20904" s="6">
        <v>3.63</v>
      </c>
      <c r="E20904" t="s">
        <v>156</v>
      </c>
    </row>
    <row r="20905" spans="1:5" x14ac:dyDescent="0.25">
      <c r="A20905" t="str">
        <f>HYPERLINK("https://www.773grp.com/globalSearch/SN74ALS534ADB/page-1", "SN74ALS534ADB")</f>
        <v>SN74ALS534ADB</v>
      </c>
      <c r="B20905" s="3" t="str">
        <f>HYPERLINK("https://www.773grp.com/manufacturer/texas-instruments?pageNo=323", "Texas Instruments")</f>
        <v>Texas Instruments</v>
      </c>
      <c r="C20905" s="5">
        <v>3500</v>
      </c>
      <c r="D20905" s="6">
        <v>3.63</v>
      </c>
      <c r="E20905" t="s">
        <v>159</v>
      </c>
    </row>
    <row r="20906" spans="1:5" x14ac:dyDescent="0.25">
      <c r="A20906" t="str">
        <f>HYPERLINK("https://www.773grp.com/globalSearch/SN74AS244ADB/page-1", "SN74AS244ADB")</f>
        <v>SN74AS244ADB</v>
      </c>
      <c r="B20906" s="3" t="str">
        <f>HYPERLINK("https://www.773grp.com/manufacturer/texas-instruments?pageNo=328", "Texas Instruments")</f>
        <v>Texas Instruments</v>
      </c>
      <c r="C20906" s="5">
        <v>5282</v>
      </c>
      <c r="D20906" s="6">
        <v>3.63</v>
      </c>
      <c r="E20906" t="s">
        <v>159</v>
      </c>
    </row>
    <row r="20907" spans="1:5" x14ac:dyDescent="0.25">
      <c r="A20907" t="str">
        <f>HYPERLINK("https://www.773grp.com/globalSearch/SN74LVCH245N/page-1", "SN74LVCH245N")</f>
        <v>SN74LVCH245N</v>
      </c>
      <c r="B20907" s="3" t="str">
        <f>HYPERLINK("https://www.773grp.com/manufacturer/texas-instruments?pageNo=348", "Texas Instruments")</f>
        <v>Texas Instruments</v>
      </c>
      <c r="C20907" s="5">
        <v>2820</v>
      </c>
      <c r="D20907" s="6">
        <v>3.63</v>
      </c>
      <c r="E20907" t="s">
        <v>166</v>
      </c>
    </row>
    <row r="20908" spans="1:5" x14ac:dyDescent="0.25">
      <c r="A20908" t="str">
        <f>HYPERLINK("https://www.773grp.com/globalSearch/SN74LVT16245BZRDR/page-1", "SN74LVT16245BZRDR")</f>
        <v>SN74LVT16245BZRDR</v>
      </c>
      <c r="B20908" s="3" t="str">
        <f>HYPERLINK("https://www.773grp.com/manufacturer/texas-instruments?pageNo=362", "Texas Instruments")</f>
        <v>Texas Instruments</v>
      </c>
      <c r="C20908" s="5">
        <v>178</v>
      </c>
      <c r="D20908" s="6">
        <v>3.63</v>
      </c>
      <c r="E20908" t="s">
        <v>159</v>
      </c>
    </row>
    <row r="20909" spans="1:5" x14ac:dyDescent="0.25">
      <c r="A20909" t="str">
        <f>HYPERLINK("https://www.773grp.com/globalSearch/SN75113NE4/page-1", "SN75113NE4")</f>
        <v>SN75113NE4</v>
      </c>
      <c r="B20909" s="3" t="str">
        <f>HYPERLINK("https://www.773grp.com/manufacturer/texas-instruments?pageNo=375", "Texas Instruments")</f>
        <v>Texas Instruments</v>
      </c>
      <c r="C20909" s="5">
        <v>200</v>
      </c>
      <c r="D20909" s="6">
        <v>3.63</v>
      </c>
      <c r="E20909" t="s">
        <v>167</v>
      </c>
    </row>
    <row r="20910" spans="1:5" x14ac:dyDescent="0.25">
      <c r="A20910" t="str">
        <f>HYPERLINK("https://www.773grp.com/globalSearch/SN75114NE4/page-1", "SN75114NE4")</f>
        <v>SN75114NE4</v>
      </c>
      <c r="B20910" s="3" t="str">
        <f>HYPERLINK("https://www.773grp.com/manufacturer/texas-instruments?pageNo=377", "Texas Instruments")</f>
        <v>Texas Instruments</v>
      </c>
      <c r="C20910" s="5">
        <v>22</v>
      </c>
      <c r="D20910" s="6">
        <v>3.63</v>
      </c>
      <c r="E20910" t="s">
        <v>167</v>
      </c>
    </row>
    <row r="20911" spans="1:5" x14ac:dyDescent="0.25">
      <c r="A20911" t="str">
        <f>HYPERLINK("https://www.773grp.com/globalSearch/SN75124N3/page-1", "SN75124N3")</f>
        <v>SN75124N3</v>
      </c>
      <c r="B20911" s="3" t="str">
        <f>HYPERLINK("https://www.773grp.com/manufacturer/texas-instruments?pageNo=381", "Texas Instruments")</f>
        <v>Texas Instruments</v>
      </c>
      <c r="C20911" s="5">
        <v>500</v>
      </c>
      <c r="D20911" s="6">
        <v>3.63</v>
      </c>
      <c r="E20911" t="s">
        <v>168</v>
      </c>
    </row>
    <row r="20912" spans="1:5" x14ac:dyDescent="0.25">
      <c r="A20912" t="str">
        <f>HYPERLINK("https://www.773grp.com/globalSearch/SN7534050N/page-1", "SN7534050N")</f>
        <v>SN7534050N</v>
      </c>
      <c r="B20912" s="3" t="str">
        <f>HYPERLINK("https://www.773grp.com/manufacturer/texas-instruments?pageNo=394", "Texas Instruments")</f>
        <v>Texas Instruments</v>
      </c>
      <c r="C20912" s="5">
        <v>180</v>
      </c>
      <c r="D20912" s="6">
        <v>3.63</v>
      </c>
      <c r="E20912" t="s">
        <v>169</v>
      </c>
    </row>
    <row r="20913" spans="1:5" x14ac:dyDescent="0.25">
      <c r="A20913" t="str">
        <f>HYPERLINK("https://www.773grp.com/globalSearch/TL4050A50QDCKRQ1/page-1", "TL4050A50QDCKRQ1")</f>
        <v>TL4050A50QDCKRQ1</v>
      </c>
      <c r="B20913" s="3" t="str">
        <f>HYPERLINK("https://www.773grp.com/manufacturer/texas-instruments?pageNo=404", "Texas Instruments")</f>
        <v>Texas Instruments</v>
      </c>
      <c r="C20913" s="5">
        <v>9000</v>
      </c>
      <c r="D20913" s="6">
        <v>3.63</v>
      </c>
      <c r="E20913" t="s">
        <v>163</v>
      </c>
    </row>
    <row r="20914" spans="1:5" x14ac:dyDescent="0.25">
      <c r="A20914" t="str">
        <f>HYPERLINK("https://www.773grp.com/globalSearch/TRS3238ECDB/page-1", "TRS3238ECDB")</f>
        <v>TRS3238ECDB</v>
      </c>
      <c r="B20914" s="3" t="str">
        <f>HYPERLINK("https://www.773grp.com/manufacturer/texas-instruments?pageNo=417", "Texas Instruments")</f>
        <v>Texas Instruments</v>
      </c>
      <c r="C20914" s="5">
        <v>1450</v>
      </c>
      <c r="D20914" s="6">
        <v>3.63</v>
      </c>
      <c r="E20914" t="s">
        <v>163</v>
      </c>
    </row>
    <row r="20915" spans="1:5" x14ac:dyDescent="0.25">
      <c r="A20915" t="str">
        <f>HYPERLINK("https://www.773grp.com/globalSearch/TRS3238ECDW/page-1", "TRS3238ECDW")</f>
        <v>TRS3238ECDW</v>
      </c>
      <c r="B20915" s="3" t="str">
        <f>HYPERLINK("https://www.773grp.com/manufacturer/texas-instruments?pageNo=418", "Texas Instruments")</f>
        <v>Texas Instruments</v>
      </c>
      <c r="C20915" s="5">
        <v>880</v>
      </c>
      <c r="D20915" s="6">
        <v>3.63</v>
      </c>
      <c r="E20915" t="s">
        <v>163</v>
      </c>
    </row>
    <row r="20916" spans="1:5" x14ac:dyDescent="0.25">
      <c r="A20916" t="str">
        <f>HYPERLINK("https://www.773grp.com/globalSearch/TRSF3232ECD/page-1", "TRSF3232ECD")</f>
        <v>TRSF3232ECD</v>
      </c>
      <c r="B20916" s="3" t="str">
        <f>HYPERLINK("https://www.773grp.com/manufacturer/texas-instruments?pageNo=424", "Texas Instruments")</f>
        <v>Texas Instruments</v>
      </c>
      <c r="C20916" s="5">
        <v>120</v>
      </c>
      <c r="D20916" s="6">
        <v>3.63</v>
      </c>
      <c r="E20916" t="s">
        <v>163</v>
      </c>
    </row>
    <row r="20917" spans="1:5" x14ac:dyDescent="0.25">
      <c r="A20917" t="str">
        <f>HYPERLINK("https://www.773grp.com/globalSearch/TRSF3232ECDB/page-1", "TRSF3232ECDB")</f>
        <v>TRSF3232ECDB</v>
      </c>
      <c r="B20917" s="3" t="str">
        <f>HYPERLINK("https://www.773grp.com/manufacturer/texas-instruments?pageNo=425", "Texas Instruments")</f>
        <v>Texas Instruments</v>
      </c>
      <c r="C20917" s="5">
        <v>160</v>
      </c>
      <c r="D20917" s="6">
        <v>3.63</v>
      </c>
      <c r="E20917" t="s">
        <v>170</v>
      </c>
    </row>
    <row r="20918" spans="1:5" x14ac:dyDescent="0.25">
      <c r="A20918" t="str">
        <f>HYPERLINK("https://www.773grp.com/globalSearch/TRSF3232ECPW/page-1", "TRSF3232ECPW")</f>
        <v>TRSF3232ECPW</v>
      </c>
      <c r="B20918" s="3" t="str">
        <f>HYPERLINK("https://www.773grp.com/manufacturer/texas-instruments?pageNo=426", "Texas Instruments")</f>
        <v>Texas Instruments</v>
      </c>
      <c r="C20918" s="5">
        <v>360</v>
      </c>
      <c r="D20918" s="6">
        <v>3.63</v>
      </c>
      <c r="E20918" t="s">
        <v>145</v>
      </c>
    </row>
    <row r="20919" spans="1:5" x14ac:dyDescent="0.25">
      <c r="A20919" t="str">
        <f>HYPERLINK("https://www.773grp.com/globalSearch/DS90LV001TLD-NOPB/page-1", "DS90LV001TLD-NOPB")</f>
        <v>DS90LV001TLD-NOPB</v>
      </c>
      <c r="B20919" s="3" t="str">
        <f>HYPERLINK("https://www.773grp.com/manufacturer/texas-instruments?pageNo=434", "Texas Instruments")</f>
        <v>Texas Instruments</v>
      </c>
      <c r="C20919" s="5">
        <v>1000</v>
      </c>
      <c r="D20919" s="6">
        <v>4.01</v>
      </c>
      <c r="E20919" t="s">
        <v>159</v>
      </c>
    </row>
    <row r="20920" spans="1:5" x14ac:dyDescent="0.25">
      <c r="A20920" t="str">
        <f>HYPERLINK("https://www.773grp.com/globalSearch/LM1086IS-1.8-NOPB/page-1", "LM1086IS-1.8-NOPB")</f>
        <v>LM1086IS-1.8-NOPB</v>
      </c>
      <c r="B20920" s="3" t="str">
        <f>HYPERLINK("https://www.773grp.com/manufacturer/texas-instruments?pageNo=437", "Texas Instruments")</f>
        <v>Texas Instruments</v>
      </c>
      <c r="C20920" s="5">
        <v>225</v>
      </c>
      <c r="D20920" s="6">
        <v>4.01</v>
      </c>
      <c r="E20920" t="s">
        <v>159</v>
      </c>
    </row>
    <row r="20921" spans="1:5" x14ac:dyDescent="0.25">
      <c r="A20921" t="str">
        <f>HYPERLINK("https://www.773grp.com/globalSearch/SN300986N/page-1", "SN300986N")</f>
        <v>SN300986N</v>
      </c>
      <c r="B20921" s="3" t="str">
        <f>HYPERLINK("https://www.773grp.com/manufacturer/texas-instruments?pageNo=440", "Texas Instruments")</f>
        <v>Texas Instruments</v>
      </c>
      <c r="C20921" s="5">
        <v>6075</v>
      </c>
      <c r="D20921" s="6">
        <v>4.01</v>
      </c>
      <c r="E20921" t="s">
        <v>171</v>
      </c>
    </row>
    <row r="20922" spans="1:5" x14ac:dyDescent="0.25">
      <c r="A20922" t="str">
        <f>HYPERLINK("https://www.773grp.com/globalSearch/SN700077N/page-1", "SN700077N")</f>
        <v>SN700077N</v>
      </c>
      <c r="B20922" s="3" t="str">
        <f>HYPERLINK("https://www.773grp.com/manufacturer/texas-instruments?pageNo=442", "Texas Instruments")</f>
        <v>Texas Instruments</v>
      </c>
      <c r="C20922" s="5">
        <v>8</v>
      </c>
      <c r="D20922" s="6">
        <v>4.01</v>
      </c>
      <c r="E20922" t="s">
        <v>160</v>
      </c>
    </row>
    <row r="20923" spans="1:5" x14ac:dyDescent="0.25">
      <c r="A20923" t="str">
        <f>HYPERLINK("https://www.773grp.com/globalSearch/TL5001AQDRG4Q1/page-1", "TL5001AQDRG4Q1")</f>
        <v>TL5001AQDRG4Q1</v>
      </c>
      <c r="B20923" s="3" t="str">
        <f>HYPERLINK("https://www.773grp.com/manufacturer/texas-instruments?pageNo=446", "Texas Instruments")</f>
        <v>Texas Instruments</v>
      </c>
      <c r="C20923" s="5">
        <v>20171</v>
      </c>
      <c r="D20923" s="6">
        <v>4.01</v>
      </c>
      <c r="E20923" t="s">
        <v>45</v>
      </c>
    </row>
    <row r="20924" spans="1:5" x14ac:dyDescent="0.25">
      <c r="A20924" t="str">
        <f>HYPERLINK("https://www.773grp.com/globalSearch/TPS3824-50DBVT/page-1", "TPS3824-50DBVT")</f>
        <v>TPS3824-50DBVT</v>
      </c>
      <c r="B20924" s="3" t="str">
        <f>HYPERLINK("https://www.773grp.com/manufacturer/texas-instruments?pageNo=457", "Texas Instruments")</f>
        <v>Texas Instruments</v>
      </c>
      <c r="C20924" s="5">
        <v>4401</v>
      </c>
      <c r="D20924" s="6">
        <v>4.01</v>
      </c>
      <c r="E20924" t="s">
        <v>172</v>
      </c>
    </row>
    <row r="20925" spans="1:5" x14ac:dyDescent="0.25">
      <c r="A20925" t="str">
        <f>HYPERLINK("https://www.773grp.com/globalSearch/TPS54228D/page-1", "TPS54228D")</f>
        <v>TPS54228D</v>
      </c>
      <c r="B20925" s="3" t="str">
        <f>HYPERLINK("https://www.773grp.com/manufacturer/texas-instruments?pageNo=458", "Texas Instruments")</f>
        <v>Texas Instruments</v>
      </c>
      <c r="C20925" s="5">
        <v>1275</v>
      </c>
      <c r="D20925" s="6">
        <v>4.01</v>
      </c>
      <c r="E20925" t="s">
        <v>129</v>
      </c>
    </row>
    <row r="20926" spans="1:5" x14ac:dyDescent="0.25">
      <c r="A20926" t="str">
        <f>HYPERLINK("https://www.773grp.com/globalSearch/TPS62261TDRVRQ1/page-1", "TPS62261TDRVRQ1")</f>
        <v>TPS62261TDRVRQ1</v>
      </c>
      <c r="B20926" s="3" t="str">
        <f>HYPERLINK("https://www.773grp.com/manufacturer/texas-instruments?pageNo=459", "Texas Instruments")</f>
        <v>Texas Instruments</v>
      </c>
      <c r="C20926" s="5">
        <v>18000</v>
      </c>
      <c r="D20926" s="6">
        <v>4.01</v>
      </c>
      <c r="E20926" t="s">
        <v>173</v>
      </c>
    </row>
    <row r="20927" spans="1:5" x14ac:dyDescent="0.25">
      <c r="A20927" t="str">
        <f>HYPERLINK("https://www.773grp.com/globalSearch/TPS62262TDRVRQ1/page-1", "TPS62262TDRVRQ1")</f>
        <v>TPS62262TDRVRQ1</v>
      </c>
      <c r="B20927" s="3" t="str">
        <f>HYPERLINK("https://www.773grp.com/manufacturer/texas-instruments?pageNo=460", "Texas Instruments")</f>
        <v>Texas Instruments</v>
      </c>
      <c r="C20927" s="5">
        <v>12000</v>
      </c>
      <c r="D20927" s="6">
        <v>4.01</v>
      </c>
      <c r="E20927" t="s">
        <v>173</v>
      </c>
    </row>
    <row r="20928" spans="1:5" x14ac:dyDescent="0.25">
      <c r="A20928" t="str">
        <f>HYPERLINK("https://www.773grp.com/globalSearch/TPS62263TDRVRQ1/page-1", "TPS62263TDRVRQ1")</f>
        <v>TPS62263TDRVRQ1</v>
      </c>
      <c r="B20928" s="3" t="str">
        <f>HYPERLINK("https://www.773grp.com/manufacturer/texas-instruments?pageNo=461", "Texas Instruments")</f>
        <v>Texas Instruments</v>
      </c>
      <c r="C20928" s="5">
        <v>18000</v>
      </c>
      <c r="D20928" s="6">
        <v>4.01</v>
      </c>
      <c r="E20928" t="s">
        <v>173</v>
      </c>
    </row>
    <row r="20929" spans="1:5" x14ac:dyDescent="0.25">
      <c r="A20929" t="str">
        <f>HYPERLINK("https://www.773grp.com/globalSearch/TPS7A3725DRVT/page-1", "TPS7A3725DRVT")</f>
        <v>TPS7A3725DRVT</v>
      </c>
      <c r="B20929" s="3" t="str">
        <f>HYPERLINK("https://www.773grp.com/manufacturer/texas-instruments?pageNo=463", "Texas Instruments")</f>
        <v>Texas Instruments</v>
      </c>
      <c r="C20929" s="5">
        <v>500</v>
      </c>
      <c r="D20929" s="6">
        <v>4.01</v>
      </c>
      <c r="E20929" t="s">
        <v>174</v>
      </c>
    </row>
    <row r="20930" spans="1:5" x14ac:dyDescent="0.25">
      <c r="A20930" t="str">
        <f>HYPERLINK("https://www.773grp.com/globalSearch/CDCLVC1103PW/page-1", "CDCLVC1103PW")</f>
        <v>CDCLVC1103PW</v>
      </c>
      <c r="B20930" s="3" t="str">
        <f>HYPERLINK("https://www.773grp.com/manufacturer/texas-instruments?pageNo=468", "Texas Instruments")</f>
        <v>Texas Instruments</v>
      </c>
      <c r="C20930" s="5">
        <v>1050</v>
      </c>
      <c r="D20930" s="6">
        <v>3.66</v>
      </c>
      <c r="E20930" t="s">
        <v>7</v>
      </c>
    </row>
    <row r="20931" spans="1:5" x14ac:dyDescent="0.25">
      <c r="A20931" t="str">
        <f>HYPERLINK("https://www.773grp.com/globalSearch/INA826AIDRGT/page-1", "INA826AIDRGT")</f>
        <v>INA826AIDRGT</v>
      </c>
      <c r="B20931" s="3" t="str">
        <f>HYPERLINK("https://www.773grp.com/manufacturer/texas-instruments?pageNo=476", "Texas Instruments")</f>
        <v>Texas Instruments</v>
      </c>
      <c r="C20931" s="5">
        <v>2977</v>
      </c>
      <c r="D20931" s="6">
        <v>3.66</v>
      </c>
      <c r="E20931" t="s">
        <v>175</v>
      </c>
    </row>
    <row r="20932" spans="1:5" x14ac:dyDescent="0.25">
      <c r="A20932" t="str">
        <f>HYPERLINK("https://www.773grp.com/globalSearch/ISO7220CD/page-1", "ISO7220CD")</f>
        <v>ISO7220CD</v>
      </c>
      <c r="B20932" s="3" t="str">
        <f>HYPERLINK("https://www.773grp.com/manufacturer/texas-instruments?pageNo=477", "Texas Instruments")</f>
        <v>Texas Instruments</v>
      </c>
      <c r="C20932" s="5">
        <v>75</v>
      </c>
      <c r="D20932" s="6">
        <v>3.66</v>
      </c>
      <c r="E20932" t="s">
        <v>172</v>
      </c>
    </row>
    <row r="20933" spans="1:5" x14ac:dyDescent="0.25">
      <c r="A20933" t="str">
        <f>HYPERLINK("https://www.773grp.com/globalSearch/ISO7520CDW/page-1", "ISO7520CDW")</f>
        <v>ISO7520CDW</v>
      </c>
      <c r="B20933" s="3" t="str">
        <f>HYPERLINK("https://www.773grp.com/manufacturer/texas-instruments?pageNo=479", "Texas Instruments")</f>
        <v>Texas Instruments</v>
      </c>
      <c r="C20933" s="5">
        <v>125</v>
      </c>
      <c r="D20933" s="6">
        <v>3.66</v>
      </c>
      <c r="E20933" t="s">
        <v>176</v>
      </c>
    </row>
    <row r="20934" spans="1:5" x14ac:dyDescent="0.25">
      <c r="A20934" t="str">
        <f>HYPERLINK("https://www.773grp.com/globalSearch/LM2842YMK-ADJL-NOPB/page-1", "LM2842YMK-ADJL-NOPB")</f>
        <v>LM2842YMK-ADJL-NOPB</v>
      </c>
      <c r="B20934" s="3" t="str">
        <f>HYPERLINK("https://www.773grp.com/manufacturer/texas-instruments?pageNo=480", "Texas Instruments")</f>
        <v>Texas Instruments</v>
      </c>
      <c r="C20934" s="5">
        <v>214</v>
      </c>
      <c r="D20934" s="6">
        <v>3.66</v>
      </c>
      <c r="E20934" t="s">
        <v>177</v>
      </c>
    </row>
    <row r="20935" spans="1:5" x14ac:dyDescent="0.25">
      <c r="A20935" t="str">
        <f>HYPERLINK("https://www.773grp.com/globalSearch/LM4040A50IDBZR/page-1", "LM4040A50IDBZR")</f>
        <v>LM4040A50IDBZR</v>
      </c>
      <c r="B20935" s="3" t="str">
        <f>HYPERLINK("https://www.773grp.com/manufacturer/texas-instruments?pageNo=488", "Texas Instruments")</f>
        <v>Texas Instruments</v>
      </c>
      <c r="C20935" s="5">
        <v>1786</v>
      </c>
      <c r="D20935" s="6">
        <v>3.66</v>
      </c>
      <c r="E20935" t="s">
        <v>172</v>
      </c>
    </row>
    <row r="20936" spans="1:5" x14ac:dyDescent="0.25">
      <c r="A20936" t="str">
        <f>HYPERLINK("https://www.773grp.com/globalSearch/LM4040A50IDCKRG4/page-1", "LM4040A50IDCKRG4")</f>
        <v>LM4040A50IDCKRG4</v>
      </c>
      <c r="B20936" s="3" t="str">
        <f>HYPERLINK("https://www.773grp.com/manufacturer/texas-instruments?pageNo=490", "Texas Instruments")</f>
        <v>Texas Instruments</v>
      </c>
      <c r="C20936" s="5">
        <v>726</v>
      </c>
      <c r="D20936" s="6">
        <v>3.66</v>
      </c>
      <c r="E20936" t="s">
        <v>178</v>
      </c>
    </row>
    <row r="20937" spans="1:5" x14ac:dyDescent="0.25">
      <c r="A20937" t="str">
        <f>HYPERLINK("https://www.773grp.com/globalSearch/LM4132AMF-4.1-NOPB/page-1", "LM4132AMF-4.1-NOPB")</f>
        <v>LM4132AMF-4.1-NOPB</v>
      </c>
      <c r="B20937" s="3" t="str">
        <f>HYPERLINK("https://www.773grp.com/manufacturer/texas-instruments?pageNo=493", "Texas Instruments")</f>
        <v>Texas Instruments</v>
      </c>
      <c r="C20937" s="5">
        <v>1032</v>
      </c>
      <c r="D20937" s="6">
        <v>3.66</v>
      </c>
      <c r="E20937" t="s">
        <v>178</v>
      </c>
    </row>
    <row r="20938" spans="1:5" x14ac:dyDescent="0.25">
      <c r="A20938" t="str">
        <f>HYPERLINK("https://www.773grp.com/globalSearch/LM4132AMFX-2.5-NOPB/page-1", "LM4132AMFX-2.5-NOPB")</f>
        <v>LM4132AMFX-2.5-NOPB</v>
      </c>
      <c r="B20938" s="3" t="str">
        <f>HYPERLINK("https://www.773grp.com/manufacturer/texas-instruments?pageNo=494", "Texas Instruments")</f>
        <v>Texas Instruments</v>
      </c>
      <c r="C20938" s="5">
        <v>4650</v>
      </c>
      <c r="D20938" s="6">
        <v>3.66</v>
      </c>
      <c r="E20938" t="s">
        <v>179</v>
      </c>
    </row>
    <row r="20939" spans="1:5" x14ac:dyDescent="0.25">
      <c r="A20939" t="str">
        <f>HYPERLINK("https://www.773grp.com/globalSearch/LM5007SD-NOPB/page-1", "LM5007SD-NOPB")</f>
        <v>LM5007SD-NOPB</v>
      </c>
      <c r="B20939" s="3" t="str">
        <f>HYPERLINK("https://www.773grp.com/manufacturer/texas-instruments?pageNo=495", "Texas Instruments")</f>
        <v>Texas Instruments</v>
      </c>
      <c r="C20939" s="5">
        <v>1000</v>
      </c>
      <c r="D20939" s="6">
        <v>3.66</v>
      </c>
      <c r="E20939" t="s">
        <v>145</v>
      </c>
    </row>
    <row r="20940" spans="1:5" x14ac:dyDescent="0.25">
      <c r="A20940" t="str">
        <f>HYPERLINK("https://www.773grp.com/globalSearch/LM5041MTCX-NOPB/page-1", "LM5041MTCX-NOPB")</f>
        <v>LM5041MTCX-NOPB</v>
      </c>
      <c r="B20940" s="3" t="str">
        <f>HYPERLINK("https://www.773grp.com/manufacturer/texas-instruments?pageNo=496", "Texas Instruments")</f>
        <v>Texas Instruments</v>
      </c>
      <c r="C20940" s="5">
        <v>2500</v>
      </c>
      <c r="D20940" s="6">
        <v>3.66</v>
      </c>
      <c r="E20940" t="s">
        <v>133</v>
      </c>
    </row>
    <row r="20941" spans="1:5" x14ac:dyDescent="0.25">
      <c r="A20941" t="str">
        <f>HYPERLINK("https://www.773grp.com/globalSearch/LM5071MTX-80-NOPB/page-1", "LM5071MTX-80-NOPB")</f>
        <v>LM5071MTX-80-NOPB</v>
      </c>
      <c r="B20941" s="3" t="str">
        <f>HYPERLINK("https://www.773grp.com/manufacturer/texas-instruments?pageNo=497", "Texas Instruments")</f>
        <v>Texas Instruments</v>
      </c>
      <c r="C20941" s="5">
        <v>2500</v>
      </c>
      <c r="D20941" s="6">
        <v>3.66</v>
      </c>
      <c r="E20941" t="s">
        <v>133</v>
      </c>
    </row>
    <row r="20942" spans="1:5" x14ac:dyDescent="0.25">
      <c r="A20942" t="str">
        <f>HYPERLINK("https://www.773grp.com/globalSearch/MSP430F2112TRHBT/page-1", "MSP430F2112TRHBT")</f>
        <v>MSP430F2112TRHBT</v>
      </c>
      <c r="B20942" s="3" t="str">
        <f>HYPERLINK("https://www.773grp.com/manufacturer/texas-instruments?pageNo=501", "Texas Instruments")</f>
        <v>Texas Instruments</v>
      </c>
      <c r="C20942" s="5">
        <v>250</v>
      </c>
      <c r="D20942" s="6">
        <v>3.66</v>
      </c>
      <c r="E20942" t="s">
        <v>180</v>
      </c>
    </row>
    <row r="20943" spans="1:5" x14ac:dyDescent="0.25">
      <c r="A20943" t="str">
        <f>HYPERLINK("https://www.773grp.com/globalSearch/OPA2141AIDR/page-1", "OPA2141AIDR")</f>
        <v>OPA2141AIDR</v>
      </c>
      <c r="B20943" s="3" t="str">
        <f>HYPERLINK("https://www.773grp.com/manufacturer/texas-instruments?pageNo=511", "Texas Instruments")</f>
        <v>Texas Instruments</v>
      </c>
      <c r="C20943" s="5">
        <v>2500</v>
      </c>
      <c r="D20943" s="6">
        <v>3.66</v>
      </c>
      <c r="E20943" t="s">
        <v>157</v>
      </c>
    </row>
    <row r="20944" spans="1:5" x14ac:dyDescent="0.25">
      <c r="A20944" t="str">
        <f>HYPERLINK("https://www.773grp.com/globalSearch/OPA2180ID/page-1", "OPA2180ID")</f>
        <v>OPA2180ID</v>
      </c>
      <c r="B20944" s="3" t="str">
        <f>HYPERLINK("https://www.773grp.com/manufacturer/texas-instruments?pageNo=512", "Texas Instruments")</f>
        <v>Texas Instruments</v>
      </c>
      <c r="C20944" s="5">
        <v>1200</v>
      </c>
      <c r="D20944" s="6">
        <v>3.66</v>
      </c>
      <c r="E20944" t="s">
        <v>181</v>
      </c>
    </row>
    <row r="20945" spans="1:5" x14ac:dyDescent="0.25">
      <c r="A20945" t="str">
        <f>HYPERLINK("https://www.773grp.com/globalSearch/OPA2354AIDGKT/page-1", "OPA2354AIDGKT")</f>
        <v>OPA2354AIDGKT</v>
      </c>
      <c r="B20945" s="3" t="str">
        <f>HYPERLINK("https://www.773grp.com/manufacturer/texas-instruments?pageNo=515", "Texas Instruments")</f>
        <v>Texas Instruments</v>
      </c>
      <c r="C20945" s="5">
        <v>250</v>
      </c>
      <c r="D20945" s="6">
        <v>3.66</v>
      </c>
      <c r="E20945" t="s">
        <v>182</v>
      </c>
    </row>
    <row r="20946" spans="1:5" x14ac:dyDescent="0.25">
      <c r="A20946" t="str">
        <f>HYPERLINK("https://www.773grp.com/globalSearch/OPA2356AIDGK/page-1", "OPA2356AIDGK")</f>
        <v>OPA2356AIDGK</v>
      </c>
      <c r="B20946" s="3" t="str">
        <f>HYPERLINK("https://www.773grp.com/manufacturer/texas-instruments?pageNo=516", "Texas Instruments")</f>
        <v>Texas Instruments</v>
      </c>
      <c r="C20946" s="5">
        <v>213</v>
      </c>
      <c r="D20946" s="6">
        <v>3.66</v>
      </c>
      <c r="E20946" t="s">
        <v>182</v>
      </c>
    </row>
    <row r="20947" spans="1:5" x14ac:dyDescent="0.25">
      <c r="A20947" t="str">
        <f>HYPERLINK("https://www.773grp.com/globalSearch/OPA2357AIDGST/page-1", "OPA2357AIDGST")</f>
        <v>OPA2357AIDGST</v>
      </c>
      <c r="B20947" s="3" t="str">
        <f>HYPERLINK("https://www.773grp.com/manufacturer/texas-instruments?pageNo=517", "Texas Instruments")</f>
        <v>Texas Instruments</v>
      </c>
      <c r="C20947" s="5">
        <v>91250</v>
      </c>
      <c r="D20947" s="6">
        <v>3.66</v>
      </c>
      <c r="E20947" t="s">
        <v>182</v>
      </c>
    </row>
    <row r="20948" spans="1:5" x14ac:dyDescent="0.25">
      <c r="A20948" t="str">
        <f>HYPERLINK("https://www.773grp.com/globalSearch/SN28993DW/page-1", "SN28993DW")</f>
        <v>SN28993DW</v>
      </c>
      <c r="B20948" s="3" t="str">
        <f>HYPERLINK("https://www.773grp.com/manufacturer/texas-instruments?pageNo=538", "Texas Instruments")</f>
        <v>Texas Instruments</v>
      </c>
      <c r="C20948" s="5">
        <v>689</v>
      </c>
      <c r="D20948" s="6">
        <v>3.66</v>
      </c>
      <c r="E20948" t="s">
        <v>146</v>
      </c>
    </row>
    <row r="20949" spans="1:5" x14ac:dyDescent="0.25">
      <c r="A20949" t="str">
        <f>HYPERLINK("https://www.773grp.com/globalSearch/TLC372MDREP/page-1", "TLC372MDREP")</f>
        <v>TLC372MDREP</v>
      </c>
      <c r="B20949" s="3" t="str">
        <f>HYPERLINK("https://www.773grp.com/manufacturer/texas-instruments?pageNo=557", "Texas Instruments")</f>
        <v>Texas Instruments</v>
      </c>
      <c r="C20949" s="5">
        <v>1750</v>
      </c>
      <c r="D20949" s="6">
        <v>3.66</v>
      </c>
      <c r="E20949" t="s">
        <v>183</v>
      </c>
    </row>
    <row r="20950" spans="1:5" x14ac:dyDescent="0.25">
      <c r="A20950" t="str">
        <f>HYPERLINK("https://www.773grp.com/globalSearch/TLC5940RHBT/page-1", "TLC5940RHBT")</f>
        <v>TLC5940RHBT</v>
      </c>
      <c r="B20950" s="3" t="str">
        <f>HYPERLINK("https://www.773grp.com/manufacturer/texas-instruments?pageNo=559", "Texas Instruments")</f>
        <v>Texas Instruments</v>
      </c>
      <c r="C20950" s="5">
        <v>5000</v>
      </c>
      <c r="D20950" s="6">
        <v>3.66</v>
      </c>
      <c r="E20950" t="s">
        <v>184</v>
      </c>
    </row>
    <row r="20951" spans="1:5" x14ac:dyDescent="0.25">
      <c r="A20951" t="str">
        <f>HYPERLINK("https://www.773grp.com/globalSearch/TLE2022AMDG4/page-1", "TLE2022AMDG4")</f>
        <v>TLE2022AMDG4</v>
      </c>
      <c r="B20951" s="3" t="str">
        <f>HYPERLINK("https://www.773grp.com/manufacturer/texas-instruments?pageNo=563", "Texas Instruments")</f>
        <v>Texas Instruments</v>
      </c>
      <c r="C20951" s="5">
        <v>75</v>
      </c>
      <c r="D20951" s="6">
        <v>3.66</v>
      </c>
      <c r="E20951" t="s">
        <v>185</v>
      </c>
    </row>
    <row r="20952" spans="1:5" x14ac:dyDescent="0.25">
      <c r="A20952" t="str">
        <f>HYPERLINK("https://www.773grp.com/globalSearch/TLE2062MD/page-1", "TLE2062MD")</f>
        <v>TLE2062MD</v>
      </c>
      <c r="B20952" s="3" t="str">
        <f>HYPERLINK("https://www.773grp.com/manufacturer/texas-instruments?pageNo=564", "Texas Instruments")</f>
        <v>Texas Instruments</v>
      </c>
      <c r="C20952" s="5">
        <v>1511</v>
      </c>
      <c r="D20952" s="6">
        <v>3.66</v>
      </c>
      <c r="E20952" t="s">
        <v>185</v>
      </c>
    </row>
    <row r="20953" spans="1:5" x14ac:dyDescent="0.25">
      <c r="A20953" t="str">
        <f>HYPERLINK("https://www.773grp.com/globalSearch/TLV2254AIPW/page-1", "TLV2254AIPW")</f>
        <v>TLV2254AIPW</v>
      </c>
      <c r="B20953" s="3" t="str">
        <f>HYPERLINK("https://www.773grp.com/manufacturer/texas-instruments?pageNo=567", "Texas Instruments")</f>
        <v>Texas Instruments</v>
      </c>
      <c r="C20953" s="5">
        <v>155</v>
      </c>
      <c r="D20953" s="6">
        <v>3.66</v>
      </c>
      <c r="E20953" t="s">
        <v>181</v>
      </c>
    </row>
    <row r="20954" spans="1:5" x14ac:dyDescent="0.25">
      <c r="A20954" t="str">
        <f>HYPERLINK("https://www.773grp.com/globalSearch/TLV2264AQDG4/page-1", "TLV2264AQDG4")</f>
        <v>TLV2264AQDG4</v>
      </c>
      <c r="B20954" s="3" t="str">
        <f>HYPERLINK("https://www.773grp.com/manufacturer/texas-instruments?pageNo=569", "Texas Instruments")</f>
        <v>Texas Instruments</v>
      </c>
      <c r="C20954" s="5">
        <v>6400</v>
      </c>
      <c r="D20954" s="6">
        <v>3.66</v>
      </c>
      <c r="E20954" t="s">
        <v>186</v>
      </c>
    </row>
    <row r="20955" spans="1:5" x14ac:dyDescent="0.25">
      <c r="A20955" t="str">
        <f>HYPERLINK("https://www.773grp.com/globalSearch/TLV2464AQPWRG4Q1/page-1", "TLV2464AQPWRG4Q1")</f>
        <v>TLV2464AQPWRG4Q1</v>
      </c>
      <c r="B20955" s="3" t="str">
        <f>HYPERLINK("https://www.773grp.com/manufacturer/texas-instruments?pageNo=580", "Texas Instruments")</f>
        <v>Texas Instruments</v>
      </c>
      <c r="C20955" s="5">
        <v>101600</v>
      </c>
      <c r="D20955" s="6">
        <v>3.66</v>
      </c>
      <c r="E20955" t="s">
        <v>186</v>
      </c>
    </row>
    <row r="20956" spans="1:5" x14ac:dyDescent="0.25">
      <c r="A20956" t="str">
        <f>HYPERLINK("https://www.773grp.com/globalSearch/TLV2464IDG4/page-1", "TLV2464IDG4")</f>
        <v>TLV2464IDG4</v>
      </c>
      <c r="B20956" s="3" t="str">
        <f>HYPERLINK("https://www.773grp.com/manufacturer/texas-instruments?pageNo=582", "Texas Instruments")</f>
        <v>Texas Instruments</v>
      </c>
      <c r="C20956" s="5">
        <v>200</v>
      </c>
      <c r="D20956" s="6">
        <v>3.66</v>
      </c>
      <c r="E20956" t="s">
        <v>186</v>
      </c>
    </row>
    <row r="20957" spans="1:5" x14ac:dyDescent="0.25">
      <c r="A20957" t="str">
        <f>HYPERLINK("https://www.773grp.com/globalSearch/TLV2474QDRG4Q1/page-1", "TLV2474QDRG4Q1")</f>
        <v>TLV2474QDRG4Q1</v>
      </c>
      <c r="B20957" s="3" t="str">
        <f>HYPERLINK("https://www.773grp.com/manufacturer/texas-instruments?pageNo=585", "Texas Instruments")</f>
        <v>Texas Instruments</v>
      </c>
      <c r="C20957" s="5">
        <v>65000</v>
      </c>
      <c r="D20957" s="6">
        <v>3.66</v>
      </c>
      <c r="E20957" t="s">
        <v>186</v>
      </c>
    </row>
    <row r="20958" spans="1:5" x14ac:dyDescent="0.25">
      <c r="A20958" t="str">
        <f>HYPERLINK("https://www.773grp.com/globalSearch/TPA6013A4PWPR/page-1", "TPA6013A4PWPR")</f>
        <v>TPA6013A4PWPR</v>
      </c>
      <c r="B20958" s="3" t="str">
        <f>HYPERLINK("https://www.773grp.com/manufacturer/texas-instruments?pageNo=608", "Texas Instruments")</f>
        <v>Texas Instruments</v>
      </c>
      <c r="C20958" s="5">
        <v>900</v>
      </c>
      <c r="D20958" s="6">
        <v>3.66</v>
      </c>
      <c r="E20958" t="s">
        <v>180</v>
      </c>
    </row>
    <row r="20959" spans="1:5" x14ac:dyDescent="0.25">
      <c r="A20959" t="str">
        <f>HYPERLINK("https://www.773grp.com/globalSearch/TPS2105DBVT/page-1", "TPS2105DBVT")</f>
        <v>TPS2105DBVT</v>
      </c>
      <c r="B20959" s="3" t="str">
        <f>HYPERLINK("https://www.773grp.com/manufacturer/texas-instruments?pageNo=616", "Texas Instruments")</f>
        <v>Texas Instruments</v>
      </c>
      <c r="C20959" s="5">
        <v>340</v>
      </c>
      <c r="D20959" s="6">
        <v>3.66</v>
      </c>
      <c r="E20959" t="s">
        <v>180</v>
      </c>
    </row>
    <row r="20960" spans="1:5" x14ac:dyDescent="0.25">
      <c r="A20960" t="str">
        <f>HYPERLINK("https://www.773grp.com/globalSearch/TPS2231MRGPT/page-1", "TPS2231MRGPT")</f>
        <v>TPS2231MRGPT</v>
      </c>
      <c r="B20960" s="3" t="str">
        <f>HYPERLINK("https://www.773grp.com/manufacturer/texas-instruments?pageNo=617", "Texas Instruments")</f>
        <v>Texas Instruments</v>
      </c>
      <c r="C20960" s="5">
        <v>1750</v>
      </c>
      <c r="D20960" s="6">
        <v>3.66</v>
      </c>
      <c r="E20960" t="s">
        <v>180</v>
      </c>
    </row>
    <row r="20961" spans="1:5" x14ac:dyDescent="0.25">
      <c r="A20961" t="str">
        <f>HYPERLINK("https://www.773grp.com/globalSearch/TPS2231MRGPT-1/page-1", "TPS2231MRGPT-1")</f>
        <v>TPS2231MRGPT-1</v>
      </c>
      <c r="B20961" s="3" t="str">
        <f>HYPERLINK("https://www.773grp.com/manufacturer/texas-instruments?pageNo=618", "Texas Instruments")</f>
        <v>Texas Instruments</v>
      </c>
      <c r="C20961" s="5">
        <v>1500</v>
      </c>
      <c r="D20961" s="6">
        <v>3.66</v>
      </c>
      <c r="E20961" t="s">
        <v>45</v>
      </c>
    </row>
    <row r="20962" spans="1:5" x14ac:dyDescent="0.25">
      <c r="A20962" t="str">
        <f>HYPERLINK("https://www.773grp.com/globalSearch/TPS23756PWPR/page-1", "TPS23756PWPR")</f>
        <v>TPS23756PWPR</v>
      </c>
      <c r="B20962" s="3" t="str">
        <f>HYPERLINK("https://www.773grp.com/manufacturer/texas-instruments?pageNo=620", "Texas Instruments")</f>
        <v>Texas Instruments</v>
      </c>
      <c r="C20962" s="5">
        <v>2000</v>
      </c>
      <c r="D20962" s="6">
        <v>3.66</v>
      </c>
      <c r="E20962" t="s">
        <v>172</v>
      </c>
    </row>
    <row r="20963" spans="1:5" x14ac:dyDescent="0.25">
      <c r="A20963" t="str">
        <f>HYPERLINK("https://www.773grp.com/globalSearch/TPS3620-50DGKT/page-1", "TPS3620-50DGKT")</f>
        <v>TPS3620-50DGKT</v>
      </c>
      <c r="B20963" s="3" t="str">
        <f>HYPERLINK("https://www.773grp.com/manufacturer/texas-instruments?pageNo=632", "Texas Instruments")</f>
        <v>Texas Instruments</v>
      </c>
      <c r="C20963" s="5">
        <v>222</v>
      </c>
      <c r="D20963" s="6">
        <v>3.66</v>
      </c>
      <c r="E20963" t="s">
        <v>129</v>
      </c>
    </row>
    <row r="20964" spans="1:5" x14ac:dyDescent="0.25">
      <c r="A20964" t="str">
        <f>HYPERLINK("https://www.773grp.com/globalSearch/TPS54426PWP/page-1", "TPS54426PWP")</f>
        <v>TPS54426PWP</v>
      </c>
      <c r="B20964" s="3" t="str">
        <f>HYPERLINK("https://www.773grp.com/manufacturer/texas-instruments?pageNo=635", "Texas Instruments")</f>
        <v>Texas Instruments</v>
      </c>
      <c r="C20964" s="5">
        <v>310</v>
      </c>
      <c r="D20964" s="6">
        <v>3.66</v>
      </c>
      <c r="E20964" t="s">
        <v>173</v>
      </c>
    </row>
    <row r="20965" spans="1:5" x14ac:dyDescent="0.25">
      <c r="A20965" t="str">
        <f>HYPERLINK("https://www.773grp.com/globalSearch/TPS54527DDA/page-1", "TPS54527DDA")</f>
        <v>TPS54527DDA</v>
      </c>
      <c r="B20965" s="3" t="str">
        <f>HYPERLINK("https://www.773grp.com/manufacturer/texas-instruments?pageNo=636", "Texas Instruments")</f>
        <v>Texas Instruments</v>
      </c>
      <c r="C20965" s="5">
        <v>1500</v>
      </c>
      <c r="D20965" s="6">
        <v>3.66</v>
      </c>
      <c r="E20965" t="s">
        <v>173</v>
      </c>
    </row>
    <row r="20966" spans="1:5" x14ac:dyDescent="0.25">
      <c r="A20966" t="str">
        <f>HYPERLINK("https://www.773grp.com/globalSearch/TPS61199PWPR/page-1", "TPS61199PWPR")</f>
        <v>TPS61199PWPR</v>
      </c>
      <c r="B20966" s="3" t="str">
        <f>HYPERLINK("https://www.773grp.com/manufacturer/texas-instruments?pageNo=637", "Texas Instruments")</f>
        <v>Texas Instruments</v>
      </c>
      <c r="C20966" s="5">
        <v>8000</v>
      </c>
      <c r="D20966" s="6">
        <v>3.66</v>
      </c>
      <c r="E20966" t="s">
        <v>173</v>
      </c>
    </row>
    <row r="20967" spans="1:5" x14ac:dyDescent="0.25">
      <c r="A20967" t="str">
        <f>HYPERLINK("https://www.773grp.com/globalSearch/TPS62110RSAR/page-1", "TPS62110RSAR")</f>
        <v>TPS62110RSAR</v>
      </c>
      <c r="B20967" s="3" t="str">
        <f>HYPERLINK("https://www.773grp.com/manufacturer/texas-instruments?pageNo=638", "Texas Instruments")</f>
        <v>Texas Instruments</v>
      </c>
      <c r="C20967" s="5">
        <v>3000</v>
      </c>
      <c r="D20967" s="6">
        <v>3.66</v>
      </c>
      <c r="E20967" t="s">
        <v>187</v>
      </c>
    </row>
    <row r="20968" spans="1:5" x14ac:dyDescent="0.25">
      <c r="A20968" t="str">
        <f>HYPERLINK("https://www.773grp.com/globalSearch/TPS62110RSARG4/page-1", "TPS62110RSARG4")</f>
        <v>TPS62110RSARG4</v>
      </c>
      <c r="B20968" s="3" t="str">
        <f>HYPERLINK("https://www.773grp.com/manufacturer/texas-instruments?pageNo=639", "Texas Instruments")</f>
        <v>Texas Instruments</v>
      </c>
      <c r="C20968" s="5">
        <v>2315</v>
      </c>
      <c r="D20968" s="6">
        <v>3.66</v>
      </c>
      <c r="E20968" t="s">
        <v>159</v>
      </c>
    </row>
    <row r="20969" spans="1:5" x14ac:dyDescent="0.25">
      <c r="A20969" t="str">
        <f>HYPERLINK("https://www.773grp.com/globalSearch/TPS62111RSAR/page-1", "TPS62111RSAR")</f>
        <v>TPS62111RSAR</v>
      </c>
      <c r="B20969" s="3" t="str">
        <f>HYPERLINK("https://www.773grp.com/manufacturer/texas-instruments?pageNo=640", "Texas Instruments")</f>
        <v>Texas Instruments</v>
      </c>
      <c r="C20969" s="5">
        <v>2087</v>
      </c>
      <c r="D20969" s="6">
        <v>3.66</v>
      </c>
      <c r="E20969" t="s">
        <v>141</v>
      </c>
    </row>
    <row r="20970" spans="1:5" x14ac:dyDescent="0.25">
      <c r="A20970" t="str">
        <f>HYPERLINK("https://www.773grp.com/globalSearch/TPS62112RSARG4/page-1", "TPS62112RSARG4")</f>
        <v>TPS62112RSARG4</v>
      </c>
      <c r="B20970" s="3" t="str">
        <f>HYPERLINK("https://www.773grp.com/manufacturer/texas-instruments?pageNo=642", "Texas Instruments")</f>
        <v>Texas Instruments</v>
      </c>
      <c r="C20970" s="5">
        <v>1093</v>
      </c>
      <c r="D20970" s="6">
        <v>3.66</v>
      </c>
      <c r="E20970" t="s">
        <v>129</v>
      </c>
    </row>
    <row r="20971" spans="1:5" x14ac:dyDescent="0.25">
      <c r="A20971" t="str">
        <f>HYPERLINK("https://www.773grp.com/globalSearch/TPS62113RSAR/page-1", "TPS62113RSAR")</f>
        <v>TPS62113RSAR</v>
      </c>
      <c r="B20971" s="3" t="str">
        <f>HYPERLINK("https://www.773grp.com/manufacturer/texas-instruments?pageNo=643", "Texas Instruments")</f>
        <v>Texas Instruments</v>
      </c>
      <c r="C20971" s="5">
        <v>3000</v>
      </c>
      <c r="D20971" s="6">
        <v>3.66</v>
      </c>
      <c r="E20971" t="s">
        <v>188</v>
      </c>
    </row>
    <row r="20972" spans="1:5" x14ac:dyDescent="0.25">
      <c r="A20972" t="str">
        <f>HYPERLINK("https://www.773grp.com/globalSearch/TPS65100PWPR/page-1", "TPS65100PWPR")</f>
        <v>TPS65100PWPR</v>
      </c>
      <c r="B20972" s="3" t="str">
        <f>HYPERLINK("https://www.773grp.com/manufacturer/texas-instruments?pageNo=644", "Texas Instruments")</f>
        <v>Texas Instruments</v>
      </c>
      <c r="C20972" s="5">
        <v>12000</v>
      </c>
      <c r="D20972" s="6">
        <v>3.66</v>
      </c>
      <c r="E20972" t="s">
        <v>7</v>
      </c>
    </row>
    <row r="20973" spans="1:5" x14ac:dyDescent="0.25">
      <c r="A20973" t="str">
        <f>HYPERLINK("https://www.773grp.com/globalSearch/TPS65100PWPR/page-1", "TPS65100PWPR")</f>
        <v>TPS65100PWPR</v>
      </c>
      <c r="B20973" s="3" t="str">
        <f>HYPERLINK("https://www.773grp.com/manufacturer/texas-instruments?pageNo=645", "Texas Instruments")</f>
        <v>Texas Instruments</v>
      </c>
      <c r="C20973" s="5">
        <v>8000</v>
      </c>
      <c r="D20973" s="6">
        <v>3.66</v>
      </c>
      <c r="E20973" t="s">
        <v>189</v>
      </c>
    </row>
    <row r="20974" spans="1:5" x14ac:dyDescent="0.25">
      <c r="A20974" t="str">
        <f>HYPERLINK("https://www.773grp.com/globalSearch/TPS7A4525DCQR/page-1", "TPS7A4525DCQR")</f>
        <v>TPS7A4525DCQR</v>
      </c>
      <c r="B20974" s="3" t="str">
        <f>HYPERLINK("https://www.773grp.com/manufacturer/texas-instruments?pageNo=655", "Texas Instruments")</f>
        <v>Texas Instruments</v>
      </c>
      <c r="C20974" s="5">
        <v>1150</v>
      </c>
      <c r="D20974" s="6">
        <v>3.66</v>
      </c>
      <c r="E20974" t="s">
        <v>145</v>
      </c>
    </row>
    <row r="20975" spans="1:5" x14ac:dyDescent="0.25">
      <c r="A20975" t="str">
        <f>HYPERLINK("https://www.773grp.com/globalSearch/TPS7A4901DGNT/page-1", "TPS7A4901DGNT")</f>
        <v>TPS7A4901DGNT</v>
      </c>
      <c r="B20975" s="3" t="str">
        <f>HYPERLINK("https://www.773grp.com/manufacturer/texas-instruments?pageNo=657", "Texas Instruments")</f>
        <v>Texas Instruments</v>
      </c>
      <c r="C20975" s="5">
        <v>250</v>
      </c>
      <c r="D20975" s="6">
        <v>3.66</v>
      </c>
      <c r="E20975" t="s">
        <v>168</v>
      </c>
    </row>
    <row r="20976" spans="1:5" x14ac:dyDescent="0.25">
      <c r="A20976" t="str">
        <f>HYPERLINK("https://www.773grp.com/globalSearch/TPS7A6333QPWPRQ1/page-1", "TPS7A6333QPWPRQ1")</f>
        <v>TPS7A6333QPWPRQ1</v>
      </c>
      <c r="B20976" s="3" t="str">
        <f>HYPERLINK("https://www.773grp.com/manufacturer/texas-instruments?pageNo=658", "Texas Instruments")</f>
        <v>Texas Instruments</v>
      </c>
      <c r="C20976" s="5">
        <v>1042</v>
      </c>
      <c r="D20976" s="6">
        <v>3.66</v>
      </c>
      <c r="E20976" t="s">
        <v>169</v>
      </c>
    </row>
    <row r="20977" spans="1:5" x14ac:dyDescent="0.25">
      <c r="A20977" t="str">
        <f>HYPERLINK("https://www.773grp.com/globalSearch/TSS721D/page-1", "TSS721D")</f>
        <v>TSS721D</v>
      </c>
      <c r="B20977" s="3" t="str">
        <f>HYPERLINK("https://www.773grp.com/manufacturer/texas-instruments?pageNo=660", "Texas Instruments")</f>
        <v>Texas Instruments</v>
      </c>
      <c r="C20977" s="5">
        <v>192</v>
      </c>
      <c r="D20977" s="6">
        <v>3.66</v>
      </c>
      <c r="E20977" t="s">
        <v>181</v>
      </c>
    </row>
    <row r="20978" spans="1:5" x14ac:dyDescent="0.25">
      <c r="A20978" t="str">
        <f>HYPERLINK("https://www.773grp.com/globalSearch/TTPS72525KTTR/page-1", "TTPS72525KTTR")</f>
        <v>TTPS72525KTTR</v>
      </c>
      <c r="B20978" s="3" t="str">
        <f>HYPERLINK("https://www.773grp.com/manufacturer/texas-instruments?pageNo=661", "Texas Instruments")</f>
        <v>Texas Instruments</v>
      </c>
      <c r="C20978" s="5">
        <v>500</v>
      </c>
      <c r="D20978" s="6">
        <v>3.66</v>
      </c>
      <c r="E20978" t="s">
        <v>181</v>
      </c>
    </row>
    <row r="20979" spans="1:5" x14ac:dyDescent="0.25">
      <c r="A20979" t="str">
        <f>HYPERLINK("https://www.773grp.com/globalSearch/TXS4558RUKR/page-1", "TXS4558RUKR")</f>
        <v>TXS4558RUKR</v>
      </c>
      <c r="B20979" s="3" t="str">
        <f>HYPERLINK("https://www.773grp.com/manufacturer/texas-instruments?pageNo=663", "Texas Instruments")</f>
        <v>Texas Instruments</v>
      </c>
      <c r="C20979" s="5">
        <v>120671</v>
      </c>
      <c r="D20979" s="6">
        <v>3.66</v>
      </c>
      <c r="E20979" t="s">
        <v>163</v>
      </c>
    </row>
    <row r="20980" spans="1:5" x14ac:dyDescent="0.25">
      <c r="A20980" t="str">
        <f>HYPERLINK("https://www.773grp.com/globalSearch/UC2844AD-81433/page-1", "UC2844AD-81433")</f>
        <v>UC2844AD-81433</v>
      </c>
      <c r="B20980" s="3" t="str">
        <f>HYPERLINK("https://www.773grp.com/manufacturer/texas-instruments?pageNo=664", "Texas Instruments")</f>
        <v>Texas Instruments</v>
      </c>
      <c r="C20980" s="5">
        <v>278</v>
      </c>
      <c r="D20980" s="6">
        <v>3.66</v>
      </c>
      <c r="E20980" t="s">
        <v>190</v>
      </c>
    </row>
    <row r="20981" spans="1:5" x14ac:dyDescent="0.25">
      <c r="A20981" t="str">
        <f>HYPERLINK("https://www.773grp.com/globalSearch/UCC27201DDAR/page-1", "UCC27201DDAR")</f>
        <v>UCC27201DDAR</v>
      </c>
      <c r="B20981" s="3" t="str">
        <f>HYPERLINK("https://www.773grp.com/manufacturer/texas-instruments?pageNo=670", "Texas Instruments")</f>
        <v>Texas Instruments</v>
      </c>
      <c r="C20981" s="5">
        <v>404</v>
      </c>
      <c r="D20981" s="6">
        <v>3.66</v>
      </c>
      <c r="E20981" t="s">
        <v>163</v>
      </c>
    </row>
    <row r="20982" spans="1:5" x14ac:dyDescent="0.25">
      <c r="A20982" t="str">
        <f>HYPERLINK("https://www.773grp.com/globalSearch/UCC27201DR/page-1", "UCC27201DR")</f>
        <v>UCC27201DR</v>
      </c>
      <c r="B20982" s="3" t="str">
        <f>HYPERLINK("https://www.773grp.com/manufacturer/texas-instruments?pageNo=671", "Texas Instruments")</f>
        <v>Texas Instruments</v>
      </c>
      <c r="C20982" s="5">
        <v>5000</v>
      </c>
      <c r="D20982" s="6">
        <v>3.66</v>
      </c>
      <c r="E20982" t="s">
        <v>189</v>
      </c>
    </row>
    <row r="20983" spans="1:5" x14ac:dyDescent="0.25">
      <c r="A20983" t="str">
        <f>HYPERLINK("https://www.773grp.com/globalSearch/UCC27201DRMR/page-1", "UCC27201DRMR")</f>
        <v>UCC27201DRMR</v>
      </c>
      <c r="B20983" s="3" t="str">
        <f>HYPERLINK("https://www.773grp.com/manufacturer/texas-instruments?pageNo=672", "Texas Instruments")</f>
        <v>Texas Instruments</v>
      </c>
      <c r="C20983" s="5">
        <v>1778</v>
      </c>
      <c r="D20983" s="6">
        <v>3.66</v>
      </c>
      <c r="E20983" t="s">
        <v>186</v>
      </c>
    </row>
    <row r="20984" spans="1:5" x14ac:dyDescent="0.25">
      <c r="A20984" t="str">
        <f>HYPERLINK("https://www.773grp.com/globalSearch/UCC27321D/page-1", "UCC27321D")</f>
        <v>UCC27321D</v>
      </c>
      <c r="B20984" s="3" t="str">
        <f>HYPERLINK("https://www.773grp.com/manufacturer/texas-instruments?pageNo=673", "Texas Instruments")</f>
        <v>Texas Instruments</v>
      </c>
      <c r="C20984" s="5">
        <v>75</v>
      </c>
      <c r="D20984" s="6">
        <v>3.66</v>
      </c>
      <c r="E20984" t="s">
        <v>189</v>
      </c>
    </row>
    <row r="20985" spans="1:5" x14ac:dyDescent="0.25">
      <c r="A20985" t="str">
        <f>HYPERLINK("https://www.773grp.com/globalSearch/UCC27322TDGKREP/page-1", "UCC27322TDGKREP")</f>
        <v>UCC27322TDGKREP</v>
      </c>
      <c r="B20985" s="3" t="str">
        <f>HYPERLINK("https://www.773grp.com/manufacturer/texas-instruments?pageNo=674", "Texas Instruments")</f>
        <v>Texas Instruments</v>
      </c>
      <c r="C20985" s="5">
        <v>5000</v>
      </c>
      <c r="D20985" s="6">
        <v>3.66</v>
      </c>
      <c r="E20985" t="s">
        <v>186</v>
      </c>
    </row>
    <row r="20986" spans="1:5" x14ac:dyDescent="0.25">
      <c r="A20986" t="str">
        <f>HYPERLINK("https://www.773grp.com/globalSearch/UCC2800QDRQ1/page-1", "UCC2800QDRQ1")</f>
        <v>UCC2800QDRQ1</v>
      </c>
      <c r="B20986" s="3" t="str">
        <f>HYPERLINK("https://www.773grp.com/manufacturer/texas-instruments?pageNo=675", "Texas Instruments")</f>
        <v>Texas Instruments</v>
      </c>
      <c r="C20986" s="5">
        <v>17117</v>
      </c>
      <c r="D20986" s="6">
        <v>3.66</v>
      </c>
      <c r="E20986" t="s">
        <v>171</v>
      </c>
    </row>
    <row r="20987" spans="1:5" x14ac:dyDescent="0.25">
      <c r="A20987" t="str">
        <f>HYPERLINK("https://www.773grp.com/globalSearch/UCC2802QDRQ1/page-1", "UCC2802QDRQ1")</f>
        <v>UCC2802QDRQ1</v>
      </c>
      <c r="B20987" s="3" t="str">
        <f>HYPERLINK("https://www.773grp.com/manufacturer/texas-instruments?pageNo=677", "Texas Instruments")</f>
        <v>Texas Instruments</v>
      </c>
      <c r="C20987" s="5">
        <v>30000</v>
      </c>
      <c r="D20987" s="6">
        <v>3.66</v>
      </c>
      <c r="E20987" t="s">
        <v>191</v>
      </c>
    </row>
    <row r="20988" spans="1:5" x14ac:dyDescent="0.25">
      <c r="A20988" t="str">
        <f>HYPERLINK("https://www.773grp.com/globalSearch/UCC2805QDRQ1/page-1", "UCC2805QDRQ1")</f>
        <v>UCC2805QDRQ1</v>
      </c>
      <c r="B20988" s="3" t="str">
        <f>HYPERLINK("https://www.773grp.com/manufacturer/texas-instruments?pageNo=679", "Texas Instruments")</f>
        <v>Texas Instruments</v>
      </c>
      <c r="C20988" s="5">
        <v>12500</v>
      </c>
      <c r="D20988" s="6">
        <v>3.66</v>
      </c>
      <c r="E20988" t="s">
        <v>179</v>
      </c>
    </row>
    <row r="20989" spans="1:5" x14ac:dyDescent="0.25">
      <c r="A20989" t="str">
        <f>HYPERLINK("https://www.773grp.com/globalSearch/UCC3808APWTR-2/page-1", "UCC3808APWTR-2")</f>
        <v>UCC3808APWTR-2</v>
      </c>
      <c r="B20989" s="3" t="str">
        <f>HYPERLINK("https://www.773grp.com/manufacturer/texas-instruments?pageNo=685", "Texas Instruments")</f>
        <v>Texas Instruments</v>
      </c>
      <c r="C20989" s="5">
        <v>14000</v>
      </c>
      <c r="D20989" s="6">
        <v>3.66</v>
      </c>
      <c r="E20989" t="s">
        <v>172</v>
      </c>
    </row>
    <row r="20990" spans="1:5" x14ac:dyDescent="0.25">
      <c r="A20990" t="str">
        <f>HYPERLINK("https://www.773grp.com/globalSearch/2U3824-33QDBVRG4Q1/page-1", "2U3824-33QDBVRG4Q1")</f>
        <v>2U3824-33QDBVRG4Q1</v>
      </c>
      <c r="B20990" s="3" t="str">
        <f>HYPERLINK("https://www.773grp.com/manufacturer/texas-instruments?pageNo=690", "Texas Instruments")</f>
        <v>Texas Instruments</v>
      </c>
      <c r="C20990" s="5">
        <v>183000</v>
      </c>
      <c r="D20990" s="6">
        <v>4.0599999999999996</v>
      </c>
      <c r="E20990" t="s">
        <v>172</v>
      </c>
    </row>
    <row r="20991" spans="1:5" x14ac:dyDescent="0.25">
      <c r="A20991" t="str">
        <f>HYPERLINK("https://www.773grp.com/globalSearch/LM3489MM/page-1", "LM3489MM")</f>
        <v>LM3489MM</v>
      </c>
      <c r="B20991" s="3" t="str">
        <f>HYPERLINK("https://www.773grp.com/manufacturer/texas-instruments?pageNo=692", "Texas Instruments")</f>
        <v>Texas Instruments</v>
      </c>
      <c r="C20991" s="5">
        <v>1000</v>
      </c>
      <c r="D20991" s="6">
        <v>4.0599999999999996</v>
      </c>
      <c r="E20991" t="s">
        <v>168</v>
      </c>
    </row>
    <row r="20992" spans="1:5" x14ac:dyDescent="0.25">
      <c r="A20992" t="str">
        <f>HYPERLINK("https://www.773grp.com/globalSearch/LMC6482IMM/page-1", "LMC6482IMM")</f>
        <v>LMC6482IMM</v>
      </c>
      <c r="B20992" s="3" t="str">
        <f>HYPERLINK("https://www.773grp.com/manufacturer/texas-instruments?pageNo=693", "Texas Instruments")</f>
        <v>Texas Instruments</v>
      </c>
      <c r="C20992" s="5">
        <v>93</v>
      </c>
      <c r="D20992" s="6">
        <v>4.0599999999999996</v>
      </c>
      <c r="E20992" t="s">
        <v>159</v>
      </c>
    </row>
    <row r="20993" spans="1:5" x14ac:dyDescent="0.25">
      <c r="A20993" t="str">
        <f>HYPERLINK("https://www.773grp.com/globalSearch/LP38500TS-ADJ-NOPB/page-1", "LP38500TS-ADJ-NOPB")</f>
        <v>LP38500TS-ADJ-NOPB</v>
      </c>
      <c r="B20993" s="3" t="str">
        <f>HYPERLINK("https://www.773grp.com/manufacturer/texas-instruments?pageNo=694", "Texas Instruments")</f>
        <v>Texas Instruments</v>
      </c>
      <c r="C20993" s="5">
        <v>315</v>
      </c>
      <c r="D20993" s="6">
        <v>4.0599999999999996</v>
      </c>
      <c r="E20993" t="s">
        <v>163</v>
      </c>
    </row>
    <row r="20994" spans="1:5" x14ac:dyDescent="0.25">
      <c r="A20994" t="str">
        <f>HYPERLINK("https://www.773grp.com/globalSearch/REG1117-2.85-2K5/page-1", "REG1117-2.85-2K5")</f>
        <v>REG1117-2.85-2K5</v>
      </c>
      <c r="B20994" s="3" t="str">
        <f>HYPERLINK("https://www.773grp.com/manufacturer/texas-instruments?pageNo=696", "Texas Instruments")</f>
        <v>Texas Instruments</v>
      </c>
      <c r="C20994" s="5">
        <v>4094</v>
      </c>
      <c r="D20994" s="6">
        <v>4.0599999999999996</v>
      </c>
      <c r="E20994" t="s">
        <v>163</v>
      </c>
    </row>
    <row r="20995" spans="1:5" x14ac:dyDescent="0.25">
      <c r="A20995" t="str">
        <f>HYPERLINK("https://www.773grp.com/globalSearch/SN74AS86ANS/page-1", "SN74AS86ANS")</f>
        <v>SN74AS86ANS</v>
      </c>
      <c r="B20995" s="3" t="str">
        <f>HYPERLINK("https://www.773grp.com/manufacturer/texas-instruments?pageNo=702", "Texas Instruments")</f>
        <v>Texas Instruments</v>
      </c>
      <c r="C20995" s="5">
        <v>1800</v>
      </c>
      <c r="D20995" s="6">
        <v>4.0599999999999996</v>
      </c>
      <c r="E20995" t="s">
        <v>163</v>
      </c>
    </row>
    <row r="20996" spans="1:5" x14ac:dyDescent="0.25">
      <c r="A20996" t="str">
        <f>HYPERLINK("https://www.773grp.com/globalSearch/TPS3823-25QDBVRQ1/page-1", "TPS3823-25QDBVRQ1")</f>
        <v>TPS3823-25QDBVRQ1</v>
      </c>
      <c r="B20996" s="3" t="str">
        <f>HYPERLINK("https://www.773grp.com/manufacturer/texas-instruments?pageNo=710", "Texas Instruments")</f>
        <v>Texas Instruments</v>
      </c>
      <c r="C20996" s="5">
        <v>9000</v>
      </c>
      <c r="D20996" s="6">
        <v>4.0599999999999996</v>
      </c>
      <c r="E20996" t="s">
        <v>192</v>
      </c>
    </row>
    <row r="20997" spans="1:5" x14ac:dyDescent="0.25">
      <c r="A20997" t="str">
        <f>HYPERLINK("https://www.773grp.com/globalSearch/TPS3823-33QDBVRQ1/page-1", "TPS3823-33QDBVRQ1")</f>
        <v>TPS3823-33QDBVRQ1</v>
      </c>
      <c r="B20997" s="3" t="str">
        <f>HYPERLINK("https://www.773grp.com/manufacturer/texas-instruments?pageNo=712", "Texas Instruments")</f>
        <v>Texas Instruments</v>
      </c>
      <c r="C20997" s="5">
        <v>4875</v>
      </c>
      <c r="D20997" s="6">
        <v>4.0599999999999996</v>
      </c>
      <c r="E20997" t="s">
        <v>187</v>
      </c>
    </row>
    <row r="20998" spans="1:5" x14ac:dyDescent="0.25">
      <c r="A20998" t="str">
        <f>HYPERLINK("https://www.773grp.com/globalSearch/TPS3824-50QDBVRQ1/page-1", "TPS3824-50QDBVRQ1")</f>
        <v>TPS3824-50QDBVRQ1</v>
      </c>
      <c r="B20998" s="3" t="str">
        <f>HYPERLINK("https://www.773grp.com/manufacturer/texas-instruments?pageNo=714", "Texas Instruments")</f>
        <v>Texas Instruments</v>
      </c>
      <c r="C20998" s="5">
        <v>15000</v>
      </c>
      <c r="D20998" s="6">
        <v>4.0599999999999996</v>
      </c>
      <c r="E20998" t="s">
        <v>166</v>
      </c>
    </row>
    <row r="20999" spans="1:5" x14ac:dyDescent="0.25">
      <c r="A20999" t="str">
        <f>HYPERLINK("https://www.773grp.com/globalSearch/PCM1803ADBG4/page-1", "PCM1803ADBG4")</f>
        <v>PCM1803ADBG4</v>
      </c>
      <c r="B20999" s="3" t="str">
        <f>HYPERLINK("https://www.773grp.com/manufacturer/texas-instruments?pageNo=723", "Texas Instruments")</f>
        <v>Texas Instruments</v>
      </c>
      <c r="C20999" s="5">
        <v>110</v>
      </c>
      <c r="D20999" s="6">
        <v>3.68</v>
      </c>
      <c r="E20999" t="s">
        <v>157</v>
      </c>
    </row>
    <row r="21000" spans="1:5" x14ac:dyDescent="0.25">
      <c r="A21000" t="str">
        <f>HYPERLINK("https://www.773grp.com/globalSearch/SN65LBC182D/page-1", "SN65LBC182D")</f>
        <v>SN65LBC182D</v>
      </c>
      <c r="B21000" s="3" t="str">
        <f>HYPERLINK("https://www.773grp.com/manufacturer/texas-instruments?pageNo=729", "Texas Instruments")</f>
        <v>Texas Instruments</v>
      </c>
      <c r="C21000" s="5">
        <v>75</v>
      </c>
      <c r="D21000" s="6">
        <v>3.68</v>
      </c>
      <c r="E21000" t="s">
        <v>162</v>
      </c>
    </row>
    <row r="21001" spans="1:5" x14ac:dyDescent="0.25">
      <c r="A21001" t="str">
        <f>HYPERLINK("https://www.773grp.com/globalSearch/TCM9054N/page-1", "TCM9054N")</f>
        <v>TCM9054N</v>
      </c>
      <c r="B21001" s="3" t="str">
        <f>HYPERLINK("https://www.773grp.com/manufacturer/texas-instruments?pageNo=744", "Texas Instruments")</f>
        <v>Texas Instruments</v>
      </c>
      <c r="C21001" s="5">
        <v>16160</v>
      </c>
      <c r="D21001" s="6">
        <v>3.68</v>
      </c>
      <c r="E21001" t="s">
        <v>7</v>
      </c>
    </row>
    <row r="21002" spans="1:5" x14ac:dyDescent="0.25">
      <c r="A21002" t="str">
        <f>HYPERLINK("https://www.773grp.com/globalSearch/TLC5940RHBR/page-1", "TLC5940RHBR")</f>
        <v>TLC5940RHBR</v>
      </c>
      <c r="B21002" s="3" t="str">
        <f>HYPERLINK("https://www.773grp.com/manufacturer/texas-instruments?pageNo=746", "Texas Instruments")</f>
        <v>Texas Instruments</v>
      </c>
      <c r="C21002" s="5">
        <v>1813</v>
      </c>
      <c r="D21002" s="6">
        <v>3.68</v>
      </c>
      <c r="E21002" t="s">
        <v>7</v>
      </c>
    </row>
    <row r="21003" spans="1:5" x14ac:dyDescent="0.25">
      <c r="A21003" t="str">
        <f>HYPERLINK("https://www.773grp.com/globalSearch/TLE2082AIP/page-1", "TLE2082AIP")</f>
        <v>TLE2082AIP</v>
      </c>
      <c r="B21003" s="3" t="str">
        <f>HYPERLINK("https://www.773grp.com/manufacturer/texas-instruments?pageNo=747", "Texas Instruments")</f>
        <v>Texas Instruments</v>
      </c>
      <c r="C21003" s="5">
        <v>28400</v>
      </c>
      <c r="D21003" s="6">
        <v>3.68</v>
      </c>
      <c r="E21003" t="s">
        <v>128</v>
      </c>
    </row>
    <row r="21004" spans="1:5" x14ac:dyDescent="0.25">
      <c r="A21004" t="str">
        <f>HYPERLINK("https://www.773grp.com/globalSearch/TPS62040DGQ/page-1", "TPS62040DGQ")</f>
        <v>TPS62040DGQ</v>
      </c>
      <c r="B21004" s="3" t="str">
        <f>HYPERLINK("https://www.773grp.com/manufacturer/texas-instruments?pageNo=772", "Texas Instruments")</f>
        <v>Texas Instruments</v>
      </c>
      <c r="C21004" s="5">
        <v>5</v>
      </c>
      <c r="D21004" s="6">
        <v>3.68</v>
      </c>
      <c r="E21004" t="s">
        <v>128</v>
      </c>
    </row>
    <row r="21005" spans="1:5" x14ac:dyDescent="0.25">
      <c r="A21005" t="str">
        <f>HYPERLINK("https://www.773grp.com/globalSearch/TUSB2046BIRHBR/page-1", "TUSB2046BIRHBR")</f>
        <v>TUSB2046BIRHBR</v>
      </c>
      <c r="B21005" s="3" t="str">
        <f>HYPERLINK("https://www.773grp.com/manufacturer/texas-instruments?pageNo=801", "Texas Instruments")</f>
        <v>Texas Instruments</v>
      </c>
      <c r="C21005" s="5">
        <v>6005</v>
      </c>
      <c r="D21005" s="6">
        <v>3.68</v>
      </c>
      <c r="E21005" t="s">
        <v>146</v>
      </c>
    </row>
    <row r="21006" spans="1:5" x14ac:dyDescent="0.25">
      <c r="A21006" t="str">
        <f>HYPERLINK("https://www.773grp.com/globalSearch/TUSB2046BIVFR/page-1", "TUSB2046BIVFR")</f>
        <v>TUSB2046BIVFR</v>
      </c>
      <c r="B21006" s="3" t="str">
        <f>HYPERLINK("https://www.773grp.com/manufacturer/texas-instruments?pageNo=802", "Texas Instruments")</f>
        <v>Texas Instruments</v>
      </c>
      <c r="C21006" s="5">
        <v>10000</v>
      </c>
      <c r="D21006" s="6">
        <v>3.68</v>
      </c>
      <c r="E21006" t="s">
        <v>163</v>
      </c>
    </row>
    <row r="21007" spans="1:5" x14ac:dyDescent="0.25">
      <c r="A21007" t="str">
        <f>HYPERLINK("https://www.773grp.com/globalSearch/LM6511IM-NOPB/page-1", "LM6511IM-NOPB")</f>
        <v>LM6511IM-NOPB</v>
      </c>
      <c r="B21007" s="3" t="str">
        <f>HYPERLINK("https://www.773grp.com/manufacturer/texas-instruments?pageNo=816", "Texas Instruments")</f>
        <v>Texas Instruments</v>
      </c>
      <c r="C21007" s="5">
        <v>95</v>
      </c>
      <c r="D21007" s="6">
        <v>3.71</v>
      </c>
      <c r="E21007" t="s">
        <v>146</v>
      </c>
    </row>
    <row r="21008" spans="1:5" x14ac:dyDescent="0.25">
      <c r="A21008" t="str">
        <f>HYPERLINK("https://www.773grp.com/globalSearch/LME49720MA-NOPB/page-1", "LME49720MA-NOPB")</f>
        <v>LME49720MA-NOPB</v>
      </c>
      <c r="B21008" s="3" t="str">
        <f>HYPERLINK("https://www.773grp.com/manufacturer/texas-instruments?pageNo=817", "Texas Instruments")</f>
        <v>Texas Instruments</v>
      </c>
      <c r="C21008" s="5">
        <v>285</v>
      </c>
      <c r="D21008" s="6">
        <v>3.71</v>
      </c>
      <c r="E21008" t="s">
        <v>171</v>
      </c>
    </row>
    <row r="21009" spans="1:5" x14ac:dyDescent="0.25">
      <c r="A21009" t="str">
        <f>HYPERLINK("https://www.773grp.com/globalSearch/LME49860NA-NOPB/page-1", "LME49860NA-NOPB")</f>
        <v>LME49860NA-NOPB</v>
      </c>
      <c r="B21009" s="3" t="str">
        <f>HYPERLINK("https://www.773grp.com/manufacturer/texas-instruments?pageNo=818", "Texas Instruments")</f>
        <v>Texas Instruments</v>
      </c>
      <c r="C21009" s="5">
        <v>160</v>
      </c>
      <c r="D21009" s="6">
        <v>3.71</v>
      </c>
      <c r="E21009" t="s">
        <v>7</v>
      </c>
    </row>
    <row r="21010" spans="1:5" x14ac:dyDescent="0.25">
      <c r="A21010" t="str">
        <f>HYPERLINK("https://www.773grp.com/globalSearch/LME49860NA-NOPB/page-1", "LME49860NA-NOPB")</f>
        <v>LME49860NA-NOPB</v>
      </c>
      <c r="B21010" s="3" t="str">
        <f>HYPERLINK("https://www.773grp.com/manufacturer/texas-instruments?pageNo=819", "Texas Instruments")</f>
        <v>Texas Instruments</v>
      </c>
      <c r="C21010" s="5">
        <v>480</v>
      </c>
      <c r="D21010" s="6">
        <v>3.71</v>
      </c>
      <c r="E21010" t="s">
        <v>166</v>
      </c>
    </row>
    <row r="21011" spans="1:5" x14ac:dyDescent="0.25">
      <c r="A21011" t="str">
        <f>HYPERLINK("https://www.773grp.com/globalSearch/LMS1587CS-ADJ/page-1", "LMS1587CS-ADJ")</f>
        <v>LMS1587CS-ADJ</v>
      </c>
      <c r="B21011" s="3" t="str">
        <f>HYPERLINK("https://www.773grp.com/manufacturer/texas-instruments?pageNo=820", "Texas Instruments")</f>
        <v>Texas Instruments</v>
      </c>
      <c r="C21011" s="5">
        <v>74</v>
      </c>
      <c r="D21011" s="6">
        <v>3.71</v>
      </c>
      <c r="E21011" t="s">
        <v>146</v>
      </c>
    </row>
    <row r="21012" spans="1:5" x14ac:dyDescent="0.25">
      <c r="A21012" t="str">
        <f>HYPERLINK("https://www.773grp.com/globalSearch/OPA1664AID/page-1", "OPA1664AID")</f>
        <v>OPA1664AID</v>
      </c>
      <c r="B21012" s="3" t="str">
        <f>HYPERLINK("https://www.773grp.com/manufacturer/texas-instruments?pageNo=821", "Texas Instruments")</f>
        <v>Texas Instruments</v>
      </c>
      <c r="C21012" s="5">
        <v>45</v>
      </c>
      <c r="D21012" s="6">
        <v>3.71</v>
      </c>
      <c r="E21012" t="s">
        <v>146</v>
      </c>
    </row>
    <row r="21013" spans="1:5" x14ac:dyDescent="0.25">
      <c r="A21013" t="str">
        <f>HYPERLINK("https://www.773grp.com/globalSearch/OPA1664AIPW/page-1", "OPA1664AIPW")</f>
        <v>OPA1664AIPW</v>
      </c>
      <c r="B21013" s="3" t="str">
        <f>HYPERLINK("https://www.773grp.com/manufacturer/texas-instruments?pageNo=822", "Texas Instruments")</f>
        <v>Texas Instruments</v>
      </c>
      <c r="C21013" s="5">
        <v>180</v>
      </c>
      <c r="D21013" s="6">
        <v>3.71</v>
      </c>
      <c r="E21013" t="s">
        <v>157</v>
      </c>
    </row>
    <row r="21014" spans="1:5" x14ac:dyDescent="0.25">
      <c r="A21014" t="str">
        <f>HYPERLINK("https://www.773grp.com/globalSearch/OPA277UA/page-1", "OPA277UA")</f>
        <v>OPA277UA</v>
      </c>
      <c r="B21014" s="3" t="str">
        <f>HYPERLINK("https://www.773grp.com/manufacturer/texas-instruments?pageNo=824", "Texas Instruments")</f>
        <v>Texas Instruments</v>
      </c>
      <c r="C21014" s="5">
        <v>58405</v>
      </c>
      <c r="D21014" s="6">
        <v>3.71</v>
      </c>
      <c r="E21014" t="s">
        <v>157</v>
      </c>
    </row>
    <row r="21015" spans="1:5" x14ac:dyDescent="0.25">
      <c r="A21015" t="str">
        <f>HYPERLINK("https://www.773grp.com/globalSearch/OPA2890IDGSR/page-1", "OPA2890IDGSR")</f>
        <v>OPA2890IDGSR</v>
      </c>
      <c r="B21015" s="3" t="str">
        <f>HYPERLINK("https://www.773grp.com/manufacturer/texas-instruments?pageNo=825", "Texas Instruments")</f>
        <v>Texas Instruments</v>
      </c>
      <c r="C21015" s="5">
        <v>20000</v>
      </c>
      <c r="D21015" s="6">
        <v>3.71</v>
      </c>
      <c r="E21015" t="s">
        <v>193</v>
      </c>
    </row>
    <row r="21016" spans="1:5" x14ac:dyDescent="0.25">
      <c r="A21016" t="str">
        <f>HYPERLINK("https://www.773grp.com/globalSearch/PCM5100PW/page-1", "PCM5100PW")</f>
        <v>PCM5100PW</v>
      </c>
      <c r="B21016" s="3" t="str">
        <f>HYPERLINK("https://www.773grp.com/manufacturer/texas-instruments?pageNo=829", "Texas Instruments")</f>
        <v>Texas Instruments</v>
      </c>
      <c r="C21016" s="5">
        <v>700</v>
      </c>
      <c r="D21016" s="6">
        <v>3.71</v>
      </c>
      <c r="E21016" t="s">
        <v>181</v>
      </c>
    </row>
    <row r="21017" spans="1:5" x14ac:dyDescent="0.25">
      <c r="A21017" t="str">
        <f>HYPERLINK("https://www.773grp.com/globalSearch/THS4531AID/page-1", "THS4531AID")</f>
        <v>THS4531AID</v>
      </c>
      <c r="B21017" s="3" t="str">
        <f>HYPERLINK("https://www.773grp.com/manufacturer/texas-instruments?pageNo=835", "Texas Instruments")</f>
        <v>Texas Instruments</v>
      </c>
      <c r="C21017" s="5">
        <v>300</v>
      </c>
      <c r="D21017" s="6">
        <v>3.71</v>
      </c>
      <c r="E21017" t="s">
        <v>194</v>
      </c>
    </row>
    <row r="21018" spans="1:5" x14ac:dyDescent="0.25">
      <c r="A21018" t="str">
        <f>HYPERLINK("https://www.773grp.com/globalSearch/TLC5960DA/page-1", "TLC5960DA")</f>
        <v>TLC5960DA</v>
      </c>
      <c r="B21018" s="3" t="str">
        <f>HYPERLINK("https://www.773grp.com/manufacturer/texas-instruments?pageNo=836", "Texas Instruments")</f>
        <v>Texas Instruments</v>
      </c>
      <c r="C21018" s="5">
        <v>5452</v>
      </c>
      <c r="D21018" s="6">
        <v>3.71</v>
      </c>
      <c r="E21018" t="s">
        <v>159</v>
      </c>
    </row>
    <row r="21019" spans="1:5" x14ac:dyDescent="0.25">
      <c r="A21019" t="str">
        <f>HYPERLINK("https://www.773grp.com/globalSearch/TPS2231MRGPT-3/page-1", "TPS2231MRGPT-3")</f>
        <v>TPS2231MRGPT-3</v>
      </c>
      <c r="B21019" s="3" t="str">
        <f>HYPERLINK("https://www.773grp.com/manufacturer/texas-instruments?pageNo=837", "Texas Instruments")</f>
        <v>Texas Instruments</v>
      </c>
      <c r="C21019" s="5">
        <v>486</v>
      </c>
      <c r="D21019" s="6">
        <v>3.71</v>
      </c>
      <c r="E21019" t="s">
        <v>195</v>
      </c>
    </row>
    <row r="21020" spans="1:5" x14ac:dyDescent="0.25">
      <c r="A21020" t="str">
        <f>HYPERLINK("https://www.773grp.com/globalSearch/TPS23751PWP/page-1", "TPS23751PWP")</f>
        <v>TPS23751PWP</v>
      </c>
      <c r="B21020" s="3" t="str">
        <f>HYPERLINK("https://www.773grp.com/manufacturer/texas-instruments?pageNo=838", "Texas Instruments")</f>
        <v>Texas Instruments</v>
      </c>
      <c r="C21020" s="5">
        <v>277</v>
      </c>
      <c r="D21020" s="6">
        <v>3.71</v>
      </c>
      <c r="E21020" t="s">
        <v>191</v>
      </c>
    </row>
    <row r="21021" spans="1:5" x14ac:dyDescent="0.25">
      <c r="A21021" t="str">
        <f>HYPERLINK("https://www.773grp.com/globalSearch/TPS23752PWP/page-1", "TPS23752PWP")</f>
        <v>TPS23752PWP</v>
      </c>
      <c r="B21021" s="3" t="str">
        <f>HYPERLINK("https://www.773grp.com/manufacturer/texas-instruments?pageNo=839", "Texas Instruments")</f>
        <v>Texas Instruments</v>
      </c>
      <c r="C21021" s="5">
        <v>280</v>
      </c>
      <c r="D21021" s="6">
        <v>3.71</v>
      </c>
      <c r="E21021" t="s">
        <v>7</v>
      </c>
    </row>
    <row r="21022" spans="1:5" x14ac:dyDescent="0.25">
      <c r="A21022" t="str">
        <f>HYPERLINK("https://www.773grp.com/globalSearch/TPS54528DDA/page-1", "TPS54528DDA")</f>
        <v>TPS54528DDA</v>
      </c>
      <c r="B21022" s="3" t="str">
        <f>HYPERLINK("https://www.773grp.com/manufacturer/texas-instruments?pageNo=841", "Texas Instruments")</f>
        <v>Texas Instruments</v>
      </c>
      <c r="C21022" s="5">
        <v>5314</v>
      </c>
      <c r="D21022" s="6">
        <v>3.71</v>
      </c>
      <c r="E21022" t="s">
        <v>166</v>
      </c>
    </row>
    <row r="21023" spans="1:5" x14ac:dyDescent="0.25">
      <c r="A21023" t="str">
        <f>HYPERLINK("https://www.773grp.com/globalSearch/TPS59116RGET/page-1", "TPS59116RGET")</f>
        <v>TPS59116RGET</v>
      </c>
      <c r="B21023" s="3" t="str">
        <f>HYPERLINK("https://www.773grp.com/manufacturer/texas-instruments?pageNo=842", "Texas Instruments")</f>
        <v>Texas Instruments</v>
      </c>
      <c r="C21023" s="5">
        <v>23500</v>
      </c>
      <c r="D21023" s="6">
        <v>3.71</v>
      </c>
      <c r="E21023" t="s">
        <v>192</v>
      </c>
    </row>
    <row r="21024" spans="1:5" x14ac:dyDescent="0.25">
      <c r="A21024" t="str">
        <f>HYPERLINK("https://www.773grp.com/globalSearch/TPS82670SipexT/page-1", "TPS82670SipexT")</f>
        <v>TPS82670SipexT</v>
      </c>
      <c r="B21024" s="3" t="str">
        <f>HYPERLINK("https://www.773grp.com/manufacturer/texas-instruments?pageNo=852", "Texas Instruments")</f>
        <v>Texas Instruments</v>
      </c>
      <c r="C21024" s="5">
        <v>484</v>
      </c>
      <c r="D21024" s="6">
        <v>3.71</v>
      </c>
      <c r="E21024" t="s">
        <v>196</v>
      </c>
    </row>
    <row r="21025" spans="1:5" x14ac:dyDescent="0.25">
      <c r="A21025" t="str">
        <f>HYPERLINK("https://www.773grp.com/globalSearch/TPS82671SipexT/page-1", "TPS82671SipexT")</f>
        <v>TPS82671SipexT</v>
      </c>
      <c r="B21025" s="3" t="str">
        <f>HYPERLINK("https://www.773grp.com/manufacturer/texas-instruments?pageNo=853", "Texas Instruments")</f>
        <v>Texas Instruments</v>
      </c>
      <c r="C21025" s="5">
        <v>500</v>
      </c>
      <c r="D21025" s="6">
        <v>3.71</v>
      </c>
      <c r="E21025" t="s">
        <v>166</v>
      </c>
    </row>
    <row r="21026" spans="1:5" x14ac:dyDescent="0.25">
      <c r="A21026" t="str">
        <f>HYPERLINK("https://www.773grp.com/globalSearch/TPS82673SipexT/page-1", "TPS82673SipexT")</f>
        <v>TPS82673SipexT</v>
      </c>
      <c r="B21026" s="3" t="str">
        <f>HYPERLINK("https://www.773grp.com/manufacturer/texas-instruments?pageNo=854", "Texas Instruments")</f>
        <v>Texas Instruments</v>
      </c>
      <c r="C21026" s="5">
        <v>484</v>
      </c>
      <c r="D21026" s="6">
        <v>3.71</v>
      </c>
      <c r="E21026" t="s">
        <v>145</v>
      </c>
    </row>
    <row r="21027" spans="1:5" x14ac:dyDescent="0.25">
      <c r="A21027" t="str">
        <f>HYPERLINK("https://www.773grp.com/globalSearch/TPS82674SipexT/page-1", "TPS82674SipexT")</f>
        <v>TPS82674SipexT</v>
      </c>
      <c r="B21027" s="3" t="str">
        <f>HYPERLINK("https://www.773grp.com/manufacturer/texas-instruments?pageNo=855", "Texas Instruments")</f>
        <v>Texas Instruments</v>
      </c>
      <c r="C21027" s="5">
        <v>750</v>
      </c>
      <c r="D21027" s="6">
        <v>3.71</v>
      </c>
      <c r="E21027" t="s">
        <v>181</v>
      </c>
    </row>
    <row r="21028" spans="1:5" x14ac:dyDescent="0.25">
      <c r="A21028" t="str">
        <f>HYPERLINK("https://www.773grp.com/globalSearch/TPS82676SipexT/page-1", "TPS82676SipexT")</f>
        <v>TPS82676SipexT</v>
      </c>
      <c r="B21028" s="3" t="str">
        <f>HYPERLINK("https://www.773grp.com/manufacturer/texas-instruments?pageNo=857", "Texas Instruments")</f>
        <v>Texas Instruments</v>
      </c>
      <c r="C21028" s="5">
        <v>750</v>
      </c>
      <c r="D21028" s="6">
        <v>3.71</v>
      </c>
      <c r="E21028" t="s">
        <v>157</v>
      </c>
    </row>
    <row r="21029" spans="1:5" x14ac:dyDescent="0.25">
      <c r="A21029" t="str">
        <f>HYPERLINK("https://www.773grp.com/globalSearch/DS14C89AM/page-1", "DS14C89AM")</f>
        <v>DS14C89AM</v>
      </c>
      <c r="B21029" s="3" t="str">
        <f>HYPERLINK("https://www.773grp.com/manufacturer/texas-instruments?pageNo=861", "Texas Instruments")</f>
        <v>Texas Instruments</v>
      </c>
      <c r="C21029" s="5">
        <v>275</v>
      </c>
      <c r="D21029" s="6">
        <v>4.1100000000000003</v>
      </c>
      <c r="E21029" t="s">
        <v>163</v>
      </c>
    </row>
    <row r="21030" spans="1:5" x14ac:dyDescent="0.25">
      <c r="A21030" t="str">
        <f>HYPERLINK("https://www.773grp.com/globalSearch/LM2940CSX-12/page-1", "LM2940CSX-12")</f>
        <v>LM2940CSX-12</v>
      </c>
      <c r="B21030" s="3" t="str">
        <f>HYPERLINK("https://www.773grp.com/manufacturer/texas-instruments?pageNo=862", "Texas Instruments")</f>
        <v>Texas Instruments</v>
      </c>
      <c r="C21030" s="5">
        <v>455</v>
      </c>
      <c r="D21030" s="6">
        <v>4.1100000000000003</v>
      </c>
      <c r="E21030" t="s">
        <v>172</v>
      </c>
    </row>
    <row r="21031" spans="1:5" x14ac:dyDescent="0.25">
      <c r="A21031" t="str">
        <f>HYPERLINK("https://www.773grp.com/globalSearch/LM3447MT-NOPB/page-1", "LM3447MT-NOPB")</f>
        <v>LM3447MT-NOPB</v>
      </c>
      <c r="B21031" s="3" t="str">
        <f>HYPERLINK("https://www.773grp.com/manufacturer/texas-instruments?pageNo=863", "Texas Instruments")</f>
        <v>Texas Instruments</v>
      </c>
      <c r="C21031" s="5">
        <v>496</v>
      </c>
      <c r="D21031" s="6">
        <v>4.1100000000000003</v>
      </c>
      <c r="E21031" t="s">
        <v>166</v>
      </c>
    </row>
    <row r="21032" spans="1:5" x14ac:dyDescent="0.25">
      <c r="A21032" t="str">
        <f>HYPERLINK("https://www.773grp.com/globalSearch/LM4040AIM3X-2.5/page-1", "LM4040AIM3X-2.5")</f>
        <v>LM4040AIM3X-2.5</v>
      </c>
      <c r="B21032" s="3" t="str">
        <f>HYPERLINK("https://www.773grp.com/manufacturer/texas-instruments?pageNo=864", "Texas Instruments")</f>
        <v>Texas Instruments</v>
      </c>
      <c r="C21032" s="5">
        <v>6000</v>
      </c>
      <c r="D21032" s="6">
        <v>4.1100000000000003</v>
      </c>
      <c r="E21032" t="s">
        <v>160</v>
      </c>
    </row>
    <row r="21033" spans="1:5" x14ac:dyDescent="0.25">
      <c r="A21033" t="str">
        <f>HYPERLINK("https://www.773grp.com/globalSearch/LM4132EMF-2.0-NOPB/page-1", "LM4132EMF-2.0-NOPB")</f>
        <v>LM4132EMF-2.0-NOPB</v>
      </c>
      <c r="B21033" s="3" t="str">
        <f>HYPERLINK("https://www.773grp.com/manufacturer/texas-instruments?pageNo=879", "Texas Instruments")</f>
        <v>Texas Instruments</v>
      </c>
      <c r="C21033" s="5">
        <v>10</v>
      </c>
      <c r="D21033" s="6">
        <v>4.1100000000000003</v>
      </c>
      <c r="E21033" t="s">
        <v>171</v>
      </c>
    </row>
    <row r="21034" spans="1:5" x14ac:dyDescent="0.25">
      <c r="A21034" t="str">
        <f>HYPERLINK("https://www.773grp.com/globalSearch/LM4132EMF-4.1-NOPB/page-1", "LM4132EMF-4.1-NOPB")</f>
        <v>LM4132EMF-4.1-NOPB</v>
      </c>
      <c r="B21034" s="3" t="str">
        <f>HYPERLINK("https://www.773grp.com/manufacturer/texas-instruments?pageNo=880", "Texas Instruments")</f>
        <v>Texas Instruments</v>
      </c>
      <c r="C21034" s="5">
        <v>110</v>
      </c>
      <c r="D21034" s="6">
        <v>4.1100000000000003</v>
      </c>
      <c r="E21034" t="s">
        <v>192</v>
      </c>
    </row>
    <row r="21035" spans="1:5" x14ac:dyDescent="0.25">
      <c r="A21035" t="str">
        <f>HYPERLINK("https://www.773grp.com/globalSearch/LME49721MA-NOPB/page-1", "LME49721MA-NOPB")</f>
        <v>LME49721MA-NOPB</v>
      </c>
      <c r="B21035" s="3" t="str">
        <f>HYPERLINK("https://www.773grp.com/manufacturer/texas-instruments?pageNo=881", "Texas Instruments")</f>
        <v>Texas Instruments</v>
      </c>
      <c r="C21035" s="5">
        <v>55</v>
      </c>
      <c r="D21035" s="6">
        <v>4.1100000000000003</v>
      </c>
      <c r="E21035" t="s">
        <v>171</v>
      </c>
    </row>
    <row r="21036" spans="1:5" x14ac:dyDescent="0.25">
      <c r="A21036" t="str">
        <f>HYPERLINK("https://www.773grp.com/globalSearch/SN74HC659NT/page-1", "SN74HC659NT")</f>
        <v>SN74HC659NT</v>
      </c>
      <c r="B21036" s="3" t="str">
        <f>HYPERLINK("https://www.773grp.com/manufacturer/texas-instruments?pageNo=899", "Texas Instruments")</f>
        <v>Texas Instruments</v>
      </c>
      <c r="C21036" s="5">
        <v>4080</v>
      </c>
      <c r="D21036" s="6">
        <v>4.1100000000000003</v>
      </c>
      <c r="E21036" t="s">
        <v>171</v>
      </c>
    </row>
    <row r="21037" spans="1:5" x14ac:dyDescent="0.25">
      <c r="A21037" t="str">
        <f>HYPERLINK("https://www.773grp.com/globalSearch/SN74HC664NT/page-1", "SN74HC664NT")</f>
        <v>SN74HC664NT</v>
      </c>
      <c r="B21037" s="3" t="str">
        <f>HYPERLINK("https://www.773grp.com/manufacturer/texas-instruments?pageNo=900", "Texas Instruments")</f>
        <v>Texas Instruments</v>
      </c>
      <c r="C21037" s="5">
        <v>2970</v>
      </c>
      <c r="D21037" s="6">
        <v>4.1100000000000003</v>
      </c>
      <c r="E21037" t="s">
        <v>160</v>
      </c>
    </row>
    <row r="21038" spans="1:5" x14ac:dyDescent="0.25">
      <c r="A21038" t="str">
        <f>HYPERLINK("https://www.773grp.com/globalSearch/TCL7725IP/page-1", "TCL7725IP")</f>
        <v>TCL7725IP</v>
      </c>
      <c r="B21038" s="3" t="str">
        <f>HYPERLINK("https://www.773grp.com/manufacturer/texas-instruments?pageNo=902", "Texas Instruments")</f>
        <v>Texas Instruments</v>
      </c>
      <c r="C21038" s="5">
        <v>1800</v>
      </c>
      <c r="D21038" s="6">
        <v>4.1100000000000003</v>
      </c>
      <c r="E21038" t="s">
        <v>179</v>
      </c>
    </row>
    <row r="21039" spans="1:5" x14ac:dyDescent="0.25">
      <c r="A21039" t="str">
        <f>HYPERLINK("https://www.773grp.com/globalSearch/TL5001ACD/page-1", "TL5001ACD")</f>
        <v>TL5001ACD</v>
      </c>
      <c r="B21039" s="3" t="str">
        <f>HYPERLINK("https://www.773grp.com/manufacturer/texas-instruments?pageNo=903", "Texas Instruments")</f>
        <v>Texas Instruments</v>
      </c>
      <c r="C21039" s="5">
        <v>11</v>
      </c>
      <c r="D21039" s="6">
        <v>4.1100000000000003</v>
      </c>
      <c r="E21039" t="s">
        <v>161</v>
      </c>
    </row>
    <row r="21040" spans="1:5" x14ac:dyDescent="0.25">
      <c r="A21040" t="str">
        <f>HYPERLINK("https://www.773grp.com/globalSearch/TPS2060CDGN/page-1", "TPS2060CDGN")</f>
        <v>TPS2060CDGN</v>
      </c>
      <c r="B21040" s="3" t="str">
        <f>HYPERLINK("https://www.773grp.com/manufacturer/texas-instruments?pageNo=914", "Texas Instruments")</f>
        <v>Texas Instruments</v>
      </c>
      <c r="C21040" s="5">
        <v>2508</v>
      </c>
      <c r="D21040" s="6">
        <v>4.1100000000000003</v>
      </c>
      <c r="E21040" t="s">
        <v>182</v>
      </c>
    </row>
    <row r="21041" spans="1:5" x14ac:dyDescent="0.25">
      <c r="A21041" t="str">
        <f>HYPERLINK("https://www.773grp.com/globalSearch/TPS2062CDRBT-2/page-1", "TPS2062CDRBT-2")</f>
        <v>TPS2062CDRBT-2</v>
      </c>
      <c r="B21041" s="3" t="str">
        <f>HYPERLINK("https://www.773grp.com/manufacturer/texas-instruments?pageNo=915", "Texas Instruments")</f>
        <v>Texas Instruments</v>
      </c>
      <c r="C21041" s="5">
        <v>1000</v>
      </c>
      <c r="D21041" s="6">
        <v>4.1100000000000003</v>
      </c>
      <c r="E21041" t="s">
        <v>173</v>
      </c>
    </row>
    <row r="21042" spans="1:5" x14ac:dyDescent="0.25">
      <c r="A21042" t="str">
        <f>HYPERLINK("https://www.773grp.com/globalSearch/TPS2068CDGN/page-1", "TPS2068CDGN")</f>
        <v>TPS2068CDGN</v>
      </c>
      <c r="B21042" s="3" t="str">
        <f>HYPERLINK("https://www.773grp.com/manufacturer/texas-instruments?pageNo=916", "Texas Instruments")</f>
        <v>Texas Instruments</v>
      </c>
      <c r="C21042" s="5">
        <v>1200</v>
      </c>
      <c r="D21042" s="6">
        <v>4.1100000000000003</v>
      </c>
      <c r="E21042" t="s">
        <v>197</v>
      </c>
    </row>
    <row r="21043" spans="1:5" x14ac:dyDescent="0.25">
      <c r="A21043" t="str">
        <f>HYPERLINK("https://www.773grp.com/globalSearch/TPS2069CDGN-2/page-1", "TPS2069CDGN-2")</f>
        <v>TPS2069CDGN-2</v>
      </c>
      <c r="B21043" s="3" t="str">
        <f>HYPERLINK("https://www.773grp.com/manufacturer/texas-instruments?pageNo=917", "Texas Instruments")</f>
        <v>Texas Instruments</v>
      </c>
      <c r="C21043" s="5">
        <v>800</v>
      </c>
      <c r="D21043" s="6">
        <v>4.1100000000000003</v>
      </c>
      <c r="E21043" t="s">
        <v>163</v>
      </c>
    </row>
    <row r="21044" spans="1:5" x14ac:dyDescent="0.25">
      <c r="A21044" t="str">
        <f>HYPERLINK("https://www.773grp.com/globalSearch/TPS2511DGN/page-1", "TPS2511DGN")</f>
        <v>TPS2511DGN</v>
      </c>
      <c r="B21044" s="3" t="str">
        <f>HYPERLINK("https://www.773grp.com/manufacturer/texas-instruments?pageNo=918", "Texas Instruments")</f>
        <v>Texas Instruments</v>
      </c>
      <c r="C21044" s="5">
        <v>320</v>
      </c>
      <c r="D21044" s="6">
        <v>4.1100000000000003</v>
      </c>
      <c r="E21044" t="s">
        <v>163</v>
      </c>
    </row>
    <row r="21045" spans="1:5" x14ac:dyDescent="0.25">
      <c r="A21045" t="str">
        <f>HYPERLINK("https://www.773grp.com/globalSearch/TPS3808G18DBVT/page-1", "TPS3808G18DBVT")</f>
        <v>TPS3808G18DBVT</v>
      </c>
      <c r="B21045" s="3" t="str">
        <f>HYPERLINK("https://www.773grp.com/manufacturer/texas-instruments?pageNo=921", "Texas Instruments")</f>
        <v>Texas Instruments</v>
      </c>
      <c r="C21045" s="5">
        <v>50</v>
      </c>
      <c r="D21045" s="6">
        <v>4.1100000000000003</v>
      </c>
      <c r="E21045" t="s">
        <v>192</v>
      </c>
    </row>
    <row r="21046" spans="1:5" x14ac:dyDescent="0.25">
      <c r="A21046" t="str">
        <f>HYPERLINK("https://www.773grp.com/globalSearch/TPS3808G19DBVT/page-1", "TPS3808G19DBVT")</f>
        <v>TPS3808G19DBVT</v>
      </c>
      <c r="B21046" s="3" t="str">
        <f>HYPERLINK("https://www.773grp.com/manufacturer/texas-instruments?pageNo=922", "Texas Instruments")</f>
        <v>Texas Instruments</v>
      </c>
      <c r="C21046" s="5">
        <v>250</v>
      </c>
      <c r="D21046" s="6">
        <v>4.1100000000000003</v>
      </c>
      <c r="E21046" t="s">
        <v>163</v>
      </c>
    </row>
    <row r="21047" spans="1:5" x14ac:dyDescent="0.25">
      <c r="A21047" t="str">
        <f>HYPERLINK("https://www.773grp.com/globalSearch/TPS3808G30DBVT/page-1", "TPS3808G30DBVT")</f>
        <v>TPS3808G30DBVT</v>
      </c>
      <c r="B21047" s="3" t="str">
        <f>HYPERLINK("https://www.773grp.com/manufacturer/texas-instruments?pageNo=924", "Texas Instruments")</f>
        <v>Texas Instruments</v>
      </c>
      <c r="C21047" s="5">
        <v>1000</v>
      </c>
      <c r="D21047" s="6">
        <v>4.1100000000000003</v>
      </c>
      <c r="E21047" t="s">
        <v>7</v>
      </c>
    </row>
    <row r="21048" spans="1:5" x14ac:dyDescent="0.25">
      <c r="A21048" t="str">
        <f>HYPERLINK("https://www.773grp.com/globalSearch/TPS3808G33DBVT/page-1", "TPS3808G33DBVT")</f>
        <v>TPS3808G33DBVT</v>
      </c>
      <c r="B21048" s="3" t="str">
        <f>HYPERLINK("https://www.773grp.com/manufacturer/texas-instruments?pageNo=925", "Texas Instruments")</f>
        <v>Texas Instruments</v>
      </c>
      <c r="C21048" s="5">
        <v>7250</v>
      </c>
      <c r="D21048" s="6">
        <v>4.1100000000000003</v>
      </c>
      <c r="E21048" t="s">
        <v>198</v>
      </c>
    </row>
    <row r="21049" spans="1:5" x14ac:dyDescent="0.25">
      <c r="A21049" t="str">
        <f>HYPERLINK("https://www.773grp.com/globalSearch/TPS54226RGTR/page-1", "TPS54226RGTR")</f>
        <v>TPS54226RGTR</v>
      </c>
      <c r="B21049" s="3" t="str">
        <f>HYPERLINK("https://www.773grp.com/manufacturer/texas-instruments?pageNo=926", "Texas Instruments")</f>
        <v>Texas Instruments</v>
      </c>
      <c r="C21049" s="5">
        <v>2570</v>
      </c>
      <c r="D21049" s="6">
        <v>4.1100000000000003</v>
      </c>
      <c r="E21049" t="s">
        <v>191</v>
      </c>
    </row>
    <row r="21050" spans="1:5" x14ac:dyDescent="0.25">
      <c r="A21050" t="str">
        <f>HYPERLINK("https://www.773grp.com/globalSearch/TPS54331DDA/page-1", "TPS54331DDA")</f>
        <v>TPS54331DDA</v>
      </c>
      <c r="B21050" s="3" t="str">
        <f>HYPERLINK("https://www.773grp.com/manufacturer/texas-instruments?pageNo=927", "Texas Instruments")</f>
        <v>Texas Instruments</v>
      </c>
      <c r="C21050" s="5">
        <v>600</v>
      </c>
      <c r="D21050" s="6">
        <v>4.1100000000000003</v>
      </c>
      <c r="E21050" t="s">
        <v>157</v>
      </c>
    </row>
    <row r="21051" spans="1:5" x14ac:dyDescent="0.25">
      <c r="A21051" t="str">
        <f>HYPERLINK("https://www.773grp.com/globalSearch/TPS60140PWP/page-1", "TPS60140PWP")</f>
        <v>TPS60140PWP</v>
      </c>
      <c r="B21051" s="3" t="str">
        <f>HYPERLINK("https://www.773grp.com/manufacturer/texas-instruments?pageNo=929", "Texas Instruments")</f>
        <v>Texas Instruments</v>
      </c>
      <c r="C21051" s="5">
        <v>16470</v>
      </c>
      <c r="D21051" s="6">
        <v>4.1100000000000003</v>
      </c>
      <c r="E21051" t="s">
        <v>157</v>
      </c>
    </row>
    <row r="21052" spans="1:5" x14ac:dyDescent="0.25">
      <c r="A21052" t="str">
        <f>HYPERLINK("https://www.773grp.com/globalSearch/TPS60210DGS/page-1", "TPS60210DGS")</f>
        <v>TPS60210DGS</v>
      </c>
      <c r="B21052" s="3" t="str">
        <f>HYPERLINK("https://www.773grp.com/manufacturer/texas-instruments?pageNo=934", "Texas Instruments")</f>
        <v>Texas Instruments</v>
      </c>
      <c r="C21052" s="5">
        <v>80</v>
      </c>
      <c r="D21052" s="6">
        <v>4.1100000000000003</v>
      </c>
      <c r="E21052" t="s">
        <v>172</v>
      </c>
    </row>
    <row r="21053" spans="1:5" x14ac:dyDescent="0.25">
      <c r="A21053" t="str">
        <f>HYPERLINK("https://www.773grp.com/globalSearch/74HCT7046AM96/page-1", "74HCT7046AM96")</f>
        <v>74HCT7046AM96</v>
      </c>
      <c r="B21053" s="3" t="str">
        <f>HYPERLINK("https://www.773grp.com/manufacturer/texas-instruments?pageNo=940", "Texas Instruments")</f>
        <v>Texas Instruments</v>
      </c>
      <c r="C21053" s="5">
        <v>2500</v>
      </c>
      <c r="D21053" s="6">
        <v>3.75</v>
      </c>
      <c r="E21053" t="s">
        <v>179</v>
      </c>
    </row>
    <row r="21054" spans="1:5" x14ac:dyDescent="0.25">
      <c r="A21054" t="str">
        <f>HYPERLINK("https://www.773grp.com/globalSearch/ISO7221CQDRQ1/page-1", "ISO7221CQDRQ1")</f>
        <v>ISO7221CQDRQ1</v>
      </c>
      <c r="B21054" s="3" t="str">
        <f>HYPERLINK("https://www.773grp.com/manufacturer/texas-instruments?pageNo=942", "Texas Instruments")</f>
        <v>Texas Instruments</v>
      </c>
      <c r="C21054" s="5">
        <v>4953</v>
      </c>
      <c r="D21054" s="6">
        <v>3.75</v>
      </c>
      <c r="E21054" t="s">
        <v>145</v>
      </c>
    </row>
    <row r="21055" spans="1:5" x14ac:dyDescent="0.25">
      <c r="A21055" t="str">
        <f>HYPERLINK("https://www.773grp.com/globalSearch/LM5067MM-2-NOPB/page-1", "LM5067MM-2-NOPB")</f>
        <v>LM5067MM-2-NOPB</v>
      </c>
      <c r="B21055" s="3" t="str">
        <f>HYPERLINK("https://www.773grp.com/manufacturer/texas-instruments?pageNo=943", "Texas Instruments")</f>
        <v>Texas Instruments</v>
      </c>
      <c r="C21055" s="5">
        <v>754</v>
      </c>
      <c r="D21055" s="6">
        <v>3.75</v>
      </c>
      <c r="E21055" t="s">
        <v>199</v>
      </c>
    </row>
    <row r="21056" spans="1:5" x14ac:dyDescent="0.25">
      <c r="A21056" t="str">
        <f>HYPERLINK("https://www.773grp.com/globalSearch/LMV842QMM-NOPB/page-1", "LMV842QMM-NOPB")</f>
        <v>LMV842QMM-NOPB</v>
      </c>
      <c r="B21056" s="3" t="str">
        <f>HYPERLINK("https://www.773grp.com/manufacturer/texas-instruments?pageNo=944", "Texas Instruments")</f>
        <v>Texas Instruments</v>
      </c>
      <c r="C21056" s="5">
        <v>122</v>
      </c>
      <c r="D21056" s="6">
        <v>3.75</v>
      </c>
      <c r="E21056" t="s">
        <v>160</v>
      </c>
    </row>
    <row r="21057" spans="1:5" x14ac:dyDescent="0.25">
      <c r="A21057" t="str">
        <f>HYPERLINK("https://www.773grp.com/globalSearch/SN102982NE/page-1", "SN102982NE")</f>
        <v>SN102982NE</v>
      </c>
      <c r="B21057" s="3" t="str">
        <f>HYPERLINK("https://www.773grp.com/manufacturer/texas-instruments?pageNo=945", "Texas Instruments")</f>
        <v>Texas Instruments</v>
      </c>
      <c r="C21057" s="5">
        <v>2675</v>
      </c>
      <c r="D21057" s="6">
        <v>3.75</v>
      </c>
      <c r="E21057" t="s">
        <v>198</v>
      </c>
    </row>
    <row r="21058" spans="1:5" x14ac:dyDescent="0.25">
      <c r="A21058" t="str">
        <f>HYPERLINK("https://www.773grp.com/globalSearch/SN23178N/page-1", "SN23178N")</f>
        <v>SN23178N</v>
      </c>
      <c r="B21058" s="3" t="str">
        <f>HYPERLINK("https://www.773grp.com/manufacturer/texas-instruments?pageNo=946", "Texas Instruments")</f>
        <v>Texas Instruments</v>
      </c>
      <c r="C21058" s="5">
        <v>125</v>
      </c>
      <c r="D21058" s="6">
        <v>3.75</v>
      </c>
      <c r="E21058" t="s">
        <v>195</v>
      </c>
    </row>
    <row r="21059" spans="1:5" x14ac:dyDescent="0.25">
      <c r="A21059" t="str">
        <f>HYPERLINK("https://www.773grp.com/globalSearch/SN65C189DR/page-1", "SN65C189DR")</f>
        <v>SN65C189DR</v>
      </c>
      <c r="B21059" s="3" t="str">
        <f>HYPERLINK("https://www.773grp.com/manufacturer/texas-instruments?pageNo=951", "Texas Instruments")</f>
        <v>Texas Instruments</v>
      </c>
      <c r="C21059" s="5">
        <v>7500</v>
      </c>
      <c r="D21059" s="6">
        <v>3.75</v>
      </c>
      <c r="E21059" t="s">
        <v>157</v>
      </c>
    </row>
    <row r="21060" spans="1:5" x14ac:dyDescent="0.25">
      <c r="A21060" t="str">
        <f>HYPERLINK("https://www.773grp.com/globalSearch/SN74HCT534DW/page-1", "SN74HCT534DW")</f>
        <v>SN74HCT534DW</v>
      </c>
      <c r="B21060" s="3" t="str">
        <f>HYPERLINK("https://www.773grp.com/manufacturer/texas-instruments?pageNo=954", "Texas Instruments")</f>
        <v>Texas Instruments</v>
      </c>
      <c r="C21060" s="5">
        <v>300</v>
      </c>
      <c r="D21060" s="6">
        <v>3.75</v>
      </c>
      <c r="E21060" t="s">
        <v>163</v>
      </c>
    </row>
    <row r="21061" spans="1:5" x14ac:dyDescent="0.25">
      <c r="A21061" t="str">
        <f>HYPERLINK("https://www.773grp.com/globalSearch/TPA0212PWPG4/page-1", "TPA0212PWPG4")</f>
        <v>TPA0212PWPG4</v>
      </c>
      <c r="B21061" s="3" t="str">
        <f>HYPERLINK("https://www.773grp.com/manufacturer/texas-instruments?pageNo=960", "Texas Instruments")</f>
        <v>Texas Instruments</v>
      </c>
      <c r="C21061" s="5">
        <v>220</v>
      </c>
      <c r="D21061" s="6">
        <v>3.75</v>
      </c>
      <c r="E21061" t="s">
        <v>155</v>
      </c>
    </row>
    <row r="21062" spans="1:5" x14ac:dyDescent="0.25">
      <c r="A21062" t="str">
        <f>HYPERLINK("https://www.773grp.com/globalSearch/74FCT162240CTPACT/page-1", "74FCT162240CTPACT")</f>
        <v>74FCT162240CTPACT</v>
      </c>
      <c r="B21062" s="3" t="str">
        <f>HYPERLINK("https://www.773grp.com/manufacturer/texas-instruments?pageNo=963", "Texas Instruments")</f>
        <v>Texas Instruments</v>
      </c>
      <c r="C21062" s="5">
        <v>6000</v>
      </c>
      <c r="D21062" s="6">
        <v>4.16</v>
      </c>
      <c r="E21062" t="s">
        <v>159</v>
      </c>
    </row>
    <row r="21063" spans="1:5" x14ac:dyDescent="0.25">
      <c r="A21063" t="str">
        <f>HYPERLINK("https://www.773grp.com/globalSearch/74FCT162374ATPVC/page-1", "74FCT162374ATPVC")</f>
        <v>74FCT162374ATPVC</v>
      </c>
      <c r="B21063" s="3" t="str">
        <f>HYPERLINK("https://www.773grp.com/manufacturer/texas-instruments?pageNo=964", "Texas Instruments")</f>
        <v>Texas Instruments</v>
      </c>
      <c r="C21063" s="5">
        <v>475</v>
      </c>
      <c r="D21063" s="6">
        <v>4.16</v>
      </c>
      <c r="E21063" t="s">
        <v>187</v>
      </c>
    </row>
    <row r="21064" spans="1:5" x14ac:dyDescent="0.25">
      <c r="A21064" t="str">
        <f>HYPERLINK("https://www.773grp.com/globalSearch/74FCT162374ATPVCG4/page-1", "74FCT162374ATPVCG4")</f>
        <v>74FCT162374ATPVCG4</v>
      </c>
      <c r="B21064" s="3" t="str">
        <f>HYPERLINK("https://www.773grp.com/manufacturer/texas-instruments?pageNo=965", "Texas Instruments")</f>
        <v>Texas Instruments</v>
      </c>
      <c r="C21064" s="5">
        <v>471</v>
      </c>
      <c r="D21064" s="6">
        <v>4.16</v>
      </c>
      <c r="E21064" t="s">
        <v>199</v>
      </c>
    </row>
    <row r="21065" spans="1:5" x14ac:dyDescent="0.25">
      <c r="A21065" t="str">
        <f>HYPERLINK("https://www.773grp.com/globalSearch/74FCT162652ATPVC/page-1", "74FCT162652ATPVC")</f>
        <v>74FCT162652ATPVC</v>
      </c>
      <c r="B21065" s="3" t="str">
        <f>HYPERLINK("https://www.773grp.com/manufacturer/texas-instruments?pageNo=966", "Texas Instruments")</f>
        <v>Texas Instruments</v>
      </c>
      <c r="C21065" s="5">
        <v>260</v>
      </c>
      <c r="D21065" s="6">
        <v>4.16</v>
      </c>
      <c r="E21065" t="s">
        <v>181</v>
      </c>
    </row>
    <row r="21066" spans="1:5" x14ac:dyDescent="0.25">
      <c r="A21066" t="str">
        <f>HYPERLINK("https://www.773grp.com/globalSearch/AM26LV32ID/page-1", "AM26LV32ID")</f>
        <v>AM26LV32ID</v>
      </c>
      <c r="B21066" s="3" t="str">
        <f>HYPERLINK("https://www.773grp.com/manufacturer/texas-instruments?pageNo=969", "Texas Instruments")</f>
        <v>Texas Instruments</v>
      </c>
      <c r="C21066" s="5">
        <v>280</v>
      </c>
      <c r="D21066" s="6">
        <v>4.16</v>
      </c>
      <c r="E21066" t="s">
        <v>166</v>
      </c>
    </row>
    <row r="21067" spans="1:5" x14ac:dyDescent="0.25">
      <c r="A21067" t="str">
        <f>HYPERLINK("https://www.773grp.com/globalSearch/CD4086BMT/page-1", "CD4086BMT")</f>
        <v>CD4086BMT</v>
      </c>
      <c r="B21067" s="3" t="str">
        <f>HYPERLINK("https://www.773grp.com/manufacturer/texas-instruments?pageNo=975", "Texas Instruments")</f>
        <v>Texas Instruments</v>
      </c>
      <c r="C21067" s="5">
        <v>250</v>
      </c>
      <c r="D21067" s="6">
        <v>4.16</v>
      </c>
      <c r="E21067" t="s">
        <v>166</v>
      </c>
    </row>
    <row r="21068" spans="1:5" x14ac:dyDescent="0.25">
      <c r="A21068" t="str">
        <f>HYPERLINK("https://www.773grp.com/globalSearch/CD74AC623NS/page-1", "CD74AC623NS")</f>
        <v>CD74AC623NS</v>
      </c>
      <c r="B21068" s="3" t="str">
        <f>HYPERLINK("https://www.773grp.com/manufacturer/texas-instruments?pageNo=978", "Texas Instruments")</f>
        <v>Texas Instruments</v>
      </c>
      <c r="C21068" s="5">
        <v>2502</v>
      </c>
      <c r="D21068" s="6">
        <v>4.16</v>
      </c>
      <c r="E21068" t="s">
        <v>194</v>
      </c>
    </row>
    <row r="21069" spans="1:5" x14ac:dyDescent="0.25">
      <c r="A21069" t="str">
        <f>HYPERLINK("https://www.773grp.com/globalSearch/CD74HC93EE4/page-1", "CD74HC93EE4")</f>
        <v>CD74HC93EE4</v>
      </c>
      <c r="B21069" s="3" t="s">
        <v>90</v>
      </c>
      <c r="C21069" s="5">
        <v>25</v>
      </c>
      <c r="D21069" s="6">
        <v>4.16</v>
      </c>
      <c r="E21069" t="s">
        <v>181</v>
      </c>
    </row>
    <row r="21070" spans="1:5" x14ac:dyDescent="0.25">
      <c r="A21070" t="str">
        <f>HYPERLINK("https://www.773grp.com/globalSearch/DRV11873PWPR/page-1", "DRV11873PWPR")</f>
        <v>DRV11873PWPR</v>
      </c>
      <c r="B21070" s="3" t="s">
        <v>90</v>
      </c>
      <c r="C21070" s="5">
        <v>2000</v>
      </c>
      <c r="D21070" s="6">
        <v>4.16</v>
      </c>
      <c r="E21070" t="s">
        <v>166</v>
      </c>
    </row>
    <row r="21071" spans="1:5" x14ac:dyDescent="0.25">
      <c r="A21071" t="str">
        <f>HYPERLINK("https://www.773grp.com/globalSearch/LM2574MX-3.3-NOPB/page-1", "LM2574MX-3.3-NOPB")</f>
        <v>LM2574MX-3.3-NOPB</v>
      </c>
      <c r="B21071" s="3" t="s">
        <v>90</v>
      </c>
      <c r="C21071" s="5">
        <v>100</v>
      </c>
      <c r="D21071" s="6">
        <v>4.16</v>
      </c>
      <c r="E21071" t="s">
        <v>192</v>
      </c>
    </row>
    <row r="21072" spans="1:5" x14ac:dyDescent="0.25">
      <c r="A21072" t="str">
        <f>HYPERLINK("https://www.773grp.com/globalSearch/LM350T/page-1", "LM350T")</f>
        <v>LM350T</v>
      </c>
      <c r="B21072" s="3" t="s">
        <v>90</v>
      </c>
      <c r="C21072" s="5">
        <v>541</v>
      </c>
      <c r="D21072" s="6">
        <v>4.16</v>
      </c>
      <c r="E21072" t="s">
        <v>181</v>
      </c>
    </row>
    <row r="21073" spans="1:5" x14ac:dyDescent="0.25">
      <c r="A21073" t="str">
        <f>HYPERLINK("https://www.773grp.com/globalSearch/LM4861MX/page-1", "LM4861MX")</f>
        <v>LM4861MX</v>
      </c>
      <c r="B21073" s="3" t="s">
        <v>90</v>
      </c>
      <c r="C21073" s="5">
        <v>2500</v>
      </c>
      <c r="D21073" s="6">
        <v>4.16</v>
      </c>
      <c r="E21073" t="s">
        <v>200</v>
      </c>
    </row>
    <row r="21074" spans="1:5" x14ac:dyDescent="0.25">
      <c r="A21074" t="str">
        <f>HYPERLINK("https://www.773grp.com/globalSearch/LM9061MX-NOPB/page-1", "LM9061MX-NOPB")</f>
        <v>LM9061MX-NOPB</v>
      </c>
      <c r="B21074" s="3" t="s">
        <v>90</v>
      </c>
      <c r="C21074" s="5">
        <v>4740</v>
      </c>
      <c r="D21074" s="6">
        <v>4.16</v>
      </c>
      <c r="E21074" t="s">
        <v>179</v>
      </c>
    </row>
    <row r="21075" spans="1:5" x14ac:dyDescent="0.25">
      <c r="A21075" t="str">
        <f>HYPERLINK("https://www.773grp.com/globalSearch/LM9061MX-NOPB/page-1", "LM9061MX-NOPB")</f>
        <v>LM9061MX-NOPB</v>
      </c>
      <c r="B21075" s="3" t="s">
        <v>90</v>
      </c>
      <c r="C21075" s="5">
        <v>2500</v>
      </c>
      <c r="D21075" s="6">
        <v>4.16</v>
      </c>
      <c r="E21075" t="s">
        <v>179</v>
      </c>
    </row>
    <row r="21076" spans="1:5" x14ac:dyDescent="0.25">
      <c r="A21076" t="str">
        <f>HYPERLINK("https://www.773grp.com/globalSearch/MAX3221CPWR/page-1", "MAX3221CPWR")</f>
        <v>MAX3221CPWR</v>
      </c>
      <c r="B21076" s="3" t="s">
        <v>90</v>
      </c>
      <c r="C21076" s="5">
        <v>2000</v>
      </c>
      <c r="D21076" s="6">
        <v>4.16</v>
      </c>
      <c r="E21076" t="s">
        <v>201</v>
      </c>
    </row>
    <row r="21077" spans="1:5" x14ac:dyDescent="0.25">
      <c r="A21077" t="str">
        <f>HYPERLINK("https://www.773grp.com/globalSearch/MAX3243CDBR/page-1", "MAX3243CDBR")</f>
        <v>MAX3243CDBR</v>
      </c>
      <c r="B21077" s="3" t="s">
        <v>90</v>
      </c>
      <c r="C21077" s="5">
        <v>16000</v>
      </c>
      <c r="D21077" s="6">
        <v>4.16</v>
      </c>
      <c r="E21077" t="s">
        <v>202</v>
      </c>
    </row>
    <row r="21078" spans="1:5" x14ac:dyDescent="0.25">
      <c r="A21078" t="str">
        <f>HYPERLINK("https://www.773grp.com/globalSearch/MAX3243ECRHBR/page-1", "MAX3243ECRHBR")</f>
        <v>MAX3243ECRHBR</v>
      </c>
      <c r="B21078" s="3" t="s">
        <v>90</v>
      </c>
      <c r="C21078" s="5">
        <v>1298</v>
      </c>
      <c r="D21078" s="6">
        <v>4.16</v>
      </c>
      <c r="E21078" t="s">
        <v>203</v>
      </c>
    </row>
    <row r="21079" spans="1:5" x14ac:dyDescent="0.25">
      <c r="A21079" t="str">
        <f>HYPERLINK("https://www.773grp.com/globalSearch/MAX3243IPWRDL/page-1", "MAX3243IPWRDL")</f>
        <v>MAX3243IPWRDL</v>
      </c>
      <c r="B21079" s="3" t="s">
        <v>90</v>
      </c>
      <c r="C21079" s="5">
        <v>4000</v>
      </c>
      <c r="D21079" s="6">
        <v>4.16</v>
      </c>
      <c r="E21079" t="s">
        <v>204</v>
      </c>
    </row>
    <row r="21080" spans="1:5" x14ac:dyDescent="0.25">
      <c r="A21080" t="str">
        <f>HYPERLINK("https://www.773grp.com/globalSearch/SN250037DWR/page-1", "SN250037DWR")</f>
        <v>SN250037DWR</v>
      </c>
      <c r="B21080" s="3" t="s">
        <v>90</v>
      </c>
      <c r="C21080" s="5">
        <v>1000</v>
      </c>
      <c r="D21080" s="6">
        <v>4.16</v>
      </c>
      <c r="E21080" t="s">
        <v>205</v>
      </c>
    </row>
    <row r="21081" spans="1:5" x14ac:dyDescent="0.25">
      <c r="A21081" t="str">
        <f>HYPERLINK("https://www.773grp.com/globalSearch/SN65C1168PWR/page-1", "SN65C1168PWR")</f>
        <v>SN65C1168PWR</v>
      </c>
      <c r="B21081" s="3" t="s">
        <v>90</v>
      </c>
      <c r="C21081" s="5">
        <v>580</v>
      </c>
      <c r="D21081" s="6">
        <v>4.16</v>
      </c>
      <c r="E21081" t="s">
        <v>206</v>
      </c>
    </row>
    <row r="21082" spans="1:5" x14ac:dyDescent="0.25">
      <c r="A21082" t="str">
        <f>HYPERLINK("https://www.773grp.com/globalSearch/SN74AC533NSR/page-1", "SN74AC533NSR")</f>
        <v>SN74AC533NSR</v>
      </c>
      <c r="B21082" s="3" t="s">
        <v>90</v>
      </c>
      <c r="C21082" s="5">
        <v>4000</v>
      </c>
      <c r="D21082" s="6">
        <v>4.16</v>
      </c>
      <c r="E21082" t="s">
        <v>207</v>
      </c>
    </row>
    <row r="21083" spans="1:5" x14ac:dyDescent="0.25">
      <c r="A21083" t="str">
        <f>HYPERLINK("https://www.773grp.com/globalSearch/SN74AHC16373DLR/page-1", "SN74AHC16373DLR")</f>
        <v>SN74AHC16373DLR</v>
      </c>
      <c r="B21083" s="3" t="s">
        <v>90</v>
      </c>
      <c r="C21083" s="5">
        <v>4400</v>
      </c>
      <c r="D21083" s="6">
        <v>4.16</v>
      </c>
      <c r="E21083" t="s">
        <v>208</v>
      </c>
    </row>
    <row r="21084" spans="1:5" x14ac:dyDescent="0.25">
      <c r="A21084" t="str">
        <f>HYPERLINK("https://www.773grp.com/globalSearch/SN74ALS253NSR/page-1", "SN74ALS253NSR")</f>
        <v>SN74ALS253NSR</v>
      </c>
      <c r="B21084" s="3" t="s">
        <v>90</v>
      </c>
      <c r="C21084" s="5">
        <v>4000</v>
      </c>
      <c r="D21084" s="6">
        <v>4.16</v>
      </c>
      <c r="E21084" t="s">
        <v>209</v>
      </c>
    </row>
    <row r="21085" spans="1:5" x14ac:dyDescent="0.25">
      <c r="A21085" t="str">
        <f>HYPERLINK("https://www.773grp.com/globalSearch/SN74ALS541NE4/page-1", "SN74ALS541NE4")</f>
        <v>SN74ALS541NE4</v>
      </c>
      <c r="B21085" s="3" t="s">
        <v>90</v>
      </c>
      <c r="C21085" s="5">
        <v>100</v>
      </c>
      <c r="D21085" s="6">
        <v>4.16</v>
      </c>
      <c r="E21085" t="s">
        <v>210</v>
      </c>
    </row>
    <row r="21086" spans="1:5" x14ac:dyDescent="0.25">
      <c r="A21086" t="str">
        <f>HYPERLINK("https://www.773grp.com/globalSearch/SN74ALS541NSR/page-1", "SN74ALS541NSR")</f>
        <v>SN74ALS541NSR</v>
      </c>
      <c r="B21086" s="3" t="s">
        <v>90</v>
      </c>
      <c r="C21086" s="5">
        <v>92</v>
      </c>
      <c r="D21086" s="6">
        <v>4.16</v>
      </c>
      <c r="E21086" t="s">
        <v>211</v>
      </c>
    </row>
    <row r="21087" spans="1:5" x14ac:dyDescent="0.25">
      <c r="A21087" t="str">
        <f>HYPERLINK("https://www.773grp.com/globalSearch/SN74ALS576BDW/page-1", "SN74ALS576BDW")</f>
        <v>SN74ALS576BDW</v>
      </c>
      <c r="B21087" s="3" t="s">
        <v>90</v>
      </c>
      <c r="C21087" s="5">
        <v>525</v>
      </c>
      <c r="D21087" s="6">
        <v>4.16</v>
      </c>
      <c r="E21087" t="s">
        <v>212</v>
      </c>
    </row>
    <row r="21088" spans="1:5" x14ac:dyDescent="0.25">
      <c r="A21088" t="str">
        <f>HYPERLINK("https://www.773grp.com/globalSearch/SN74ALVCH1622600L/page-1", "SN74ALVCH1622600L")</f>
        <v>SN74ALVCH1622600L</v>
      </c>
      <c r="B21088" s="3" t="s">
        <v>90</v>
      </c>
      <c r="C21088" s="5">
        <v>20</v>
      </c>
      <c r="D21088" s="6">
        <v>4.16</v>
      </c>
      <c r="E21088" t="s">
        <v>213</v>
      </c>
    </row>
    <row r="21089" spans="1:5" x14ac:dyDescent="0.25">
      <c r="A21089" t="str">
        <f>HYPERLINK("https://www.773grp.com/globalSearch/SN74ALVCH162374GR/page-1", "SN74ALVCH162374GR")</f>
        <v>SN74ALVCH162374GR</v>
      </c>
      <c r="B21089" s="3" t="s">
        <v>90</v>
      </c>
      <c r="C21089" s="5">
        <v>1355</v>
      </c>
      <c r="D21089" s="6">
        <v>4.16</v>
      </c>
      <c r="E21089" t="s">
        <v>214</v>
      </c>
    </row>
    <row r="21090" spans="1:5" x14ac:dyDescent="0.25">
      <c r="A21090" t="str">
        <f>HYPERLINK("https://www.773grp.com/globalSearch/SN74ALVCH16245DGVR/page-1", "SN74ALVCH16245DGVR")</f>
        <v>SN74ALVCH16245DGVR</v>
      </c>
      <c r="B21090" s="3" t="s">
        <v>90</v>
      </c>
      <c r="C21090" s="5">
        <v>1900</v>
      </c>
      <c r="D21090" s="6">
        <v>4.16</v>
      </c>
      <c r="E21090" t="s">
        <v>215</v>
      </c>
    </row>
    <row r="21091" spans="1:5" x14ac:dyDescent="0.25">
      <c r="A21091" t="str">
        <f>HYPERLINK("https://www.773grp.com/globalSearch/SN74CBT16214CDLR/page-1", "SN74CBT16214CDLR")</f>
        <v>SN74CBT16214CDLR</v>
      </c>
      <c r="B21091" s="3" t="s">
        <v>90</v>
      </c>
      <c r="C21091" s="5">
        <v>125</v>
      </c>
      <c r="D21091" s="6">
        <v>4.16</v>
      </c>
      <c r="E21091" t="s">
        <v>216</v>
      </c>
    </row>
    <row r="21092" spans="1:5" x14ac:dyDescent="0.25">
      <c r="A21092" t="str">
        <f>HYPERLINK("https://www.773grp.com/globalSearch/SN74CBT16233DGVR/page-1", "SN74CBT16233DGVR")</f>
        <v>SN74CBT16233DGVR</v>
      </c>
      <c r="B21092" s="3" t="s">
        <v>90</v>
      </c>
      <c r="C21092" s="5">
        <v>4000</v>
      </c>
      <c r="D21092" s="6">
        <v>4.16</v>
      </c>
      <c r="E21092" t="s">
        <v>217</v>
      </c>
    </row>
    <row r="21093" spans="1:5" x14ac:dyDescent="0.25">
      <c r="A21093" t="str">
        <f>HYPERLINK("https://www.773grp.com/globalSearch/SN74HC640PW/page-1", "SN74HC640PW")</f>
        <v>SN74HC640PW</v>
      </c>
      <c r="B21093" s="3" t="s">
        <v>90</v>
      </c>
      <c r="C21093" s="5">
        <v>770</v>
      </c>
      <c r="D21093" s="6">
        <v>4.16</v>
      </c>
      <c r="E21093" t="s">
        <v>218</v>
      </c>
    </row>
    <row r="21094" spans="1:5" x14ac:dyDescent="0.25">
      <c r="A21094" t="str">
        <f>HYPERLINK("https://www.773grp.com/globalSearch/SN74LVCHR16245AGR/page-1", "SN74LVCHR16245AGR")</f>
        <v>SN74LVCHR16245AGR</v>
      </c>
      <c r="B21094" s="3" t="s">
        <v>90</v>
      </c>
      <c r="C21094" s="5">
        <v>1474</v>
      </c>
      <c r="D21094" s="6">
        <v>4.16</v>
      </c>
      <c r="E21094" t="s">
        <v>213</v>
      </c>
    </row>
    <row r="21095" spans="1:5" x14ac:dyDescent="0.25">
      <c r="A21095" t="str">
        <f>HYPERLINK("https://www.773grp.com/globalSearch/SN74LVT125QDRQ1/page-1", "SN74LVT125QDRQ1")</f>
        <v>SN74LVT125QDRQ1</v>
      </c>
      <c r="B21095" s="3" t="s">
        <v>90</v>
      </c>
      <c r="C21095" s="5">
        <v>2500</v>
      </c>
      <c r="D21095" s="6">
        <v>4.16</v>
      </c>
      <c r="E21095" t="s">
        <v>219</v>
      </c>
    </row>
    <row r="21096" spans="1:5" x14ac:dyDescent="0.25">
      <c r="A21096" t="str">
        <f>HYPERLINK("https://www.773grp.com/globalSearch/SN74LVT125QPWRG4Q1/page-1", "SN74LVT125QPWRG4Q1")</f>
        <v>SN74LVT125QPWRG4Q1</v>
      </c>
      <c r="B21096" s="3" t="s">
        <v>90</v>
      </c>
      <c r="C21096" s="5">
        <v>5994</v>
      </c>
      <c r="D21096" s="6">
        <v>4.16</v>
      </c>
      <c r="E21096" t="s">
        <v>220</v>
      </c>
    </row>
    <row r="21097" spans="1:5" x14ac:dyDescent="0.25">
      <c r="A21097" t="str">
        <f>HYPERLINK("https://www.773grp.com/globalSearch/SN75C1167NSR/page-1", "SN75C1167NSR")</f>
        <v>SN75C1167NSR</v>
      </c>
      <c r="B21097" s="3" t="s">
        <v>90</v>
      </c>
      <c r="C21097" s="5">
        <v>2000</v>
      </c>
      <c r="D21097" s="6">
        <v>4.16</v>
      </c>
      <c r="E21097" t="s">
        <v>202</v>
      </c>
    </row>
    <row r="21098" spans="1:5" x14ac:dyDescent="0.25">
      <c r="A21098" t="str">
        <f>HYPERLINK("https://www.773grp.com/globalSearch/SN75C1168DB/page-1", "SN75C1168DB")</f>
        <v>SN75C1168DB</v>
      </c>
      <c r="B21098" s="3" t="s">
        <v>90</v>
      </c>
      <c r="C21098" s="5">
        <v>240</v>
      </c>
      <c r="D21098" s="6">
        <v>4.16</v>
      </c>
      <c r="E21098" t="s">
        <v>201</v>
      </c>
    </row>
    <row r="21099" spans="1:5" x14ac:dyDescent="0.25">
      <c r="A21099" t="str">
        <f>HYPERLINK("https://www.773grp.com/globalSearch/TL4050B50QDBZRQ1/page-1", "TL4050B50QDBZRQ1")</f>
        <v>TL4050B50QDBZRQ1</v>
      </c>
      <c r="B21099" s="3" t="s">
        <v>90</v>
      </c>
      <c r="C21099" s="5">
        <v>42000</v>
      </c>
      <c r="D21099" s="6">
        <v>4.16</v>
      </c>
      <c r="E21099" t="s">
        <v>14</v>
      </c>
    </row>
    <row r="21100" spans="1:5" x14ac:dyDescent="0.25">
      <c r="A21100" t="str">
        <f>HYPERLINK("https://www.773grp.com/globalSearch/TL4050B50QDCKR/page-1", "TL4050B50QDCKR")</f>
        <v>TL4050B50QDCKR</v>
      </c>
      <c r="B21100" s="3" t="s">
        <v>90</v>
      </c>
      <c r="C21100" s="5">
        <v>21000</v>
      </c>
      <c r="D21100" s="6">
        <v>4.16</v>
      </c>
      <c r="E21100" t="s">
        <v>14</v>
      </c>
    </row>
    <row r="21101" spans="1:5" x14ac:dyDescent="0.25">
      <c r="A21101" t="str">
        <f>HYPERLINK("https://www.773grp.com/globalSearch/TL4050C50IDCKT/page-1", "TL4050C50IDCKT")</f>
        <v>TL4050C50IDCKT</v>
      </c>
      <c r="B21101" s="3" t="s">
        <v>90</v>
      </c>
      <c r="C21101" s="5">
        <v>13000</v>
      </c>
      <c r="D21101" s="6">
        <v>4.16</v>
      </c>
      <c r="E21101" t="s">
        <v>221</v>
      </c>
    </row>
    <row r="21102" spans="1:5" x14ac:dyDescent="0.25">
      <c r="A21102" t="str">
        <f>HYPERLINK("https://www.773grp.com/globalSearch/TL4051B12IDBZT/page-1", "TL4051B12IDBZT")</f>
        <v>TL4051B12IDBZT</v>
      </c>
      <c r="B21102" s="3" t="s">
        <v>90</v>
      </c>
      <c r="C21102" s="5">
        <v>250</v>
      </c>
      <c r="D21102" s="6">
        <v>4.16</v>
      </c>
      <c r="E21102" t="s">
        <v>221</v>
      </c>
    </row>
    <row r="21103" spans="1:5" x14ac:dyDescent="0.25">
      <c r="A21103" t="str">
        <f>HYPERLINK("https://www.773grp.com/globalSearch/TL592BPSR/page-1", "TL592BPSR")</f>
        <v>TL592BPSR</v>
      </c>
      <c r="B21103" s="3" t="s">
        <v>90</v>
      </c>
      <c r="C21103" s="5">
        <v>2000</v>
      </c>
      <c r="D21103" s="6">
        <v>4.16</v>
      </c>
      <c r="E21103" t="s">
        <v>222</v>
      </c>
    </row>
    <row r="21104" spans="1:5" x14ac:dyDescent="0.25">
      <c r="A21104" t="str">
        <f>HYPERLINK("https://www.773grp.com/globalSearch/TPS3700DSET/page-1", "TPS3700DSET")</f>
        <v>TPS3700DSET</v>
      </c>
      <c r="B21104" s="3" t="s">
        <v>90</v>
      </c>
      <c r="C21104" s="5">
        <v>47</v>
      </c>
      <c r="D21104" s="6">
        <v>4.16</v>
      </c>
      <c r="E21104" t="s">
        <v>223</v>
      </c>
    </row>
    <row r="21105" spans="1:5" x14ac:dyDescent="0.25">
      <c r="A21105" t="str">
        <f>HYPERLINK("https://www.773grp.com/globalSearch/TPS62590DRVR/page-1", "TPS62590DRVR")</f>
        <v>TPS62590DRVR</v>
      </c>
      <c r="B21105" s="3" t="s">
        <v>90</v>
      </c>
      <c r="C21105" s="5">
        <v>3000</v>
      </c>
      <c r="D21105" s="6">
        <v>4.16</v>
      </c>
      <c r="E21105" t="s">
        <v>224</v>
      </c>
    </row>
    <row r="21106" spans="1:5" x14ac:dyDescent="0.25">
      <c r="A21106" t="str">
        <f>HYPERLINK("https://www.773grp.com/globalSearch/TRS3243ECPWR/page-1", "TRS3243ECPWR")</f>
        <v>TRS3243ECPWR</v>
      </c>
      <c r="B21106" s="3" t="s">
        <v>90</v>
      </c>
      <c r="C21106" s="5">
        <v>795</v>
      </c>
      <c r="D21106" s="6">
        <v>4.16</v>
      </c>
      <c r="E21106" t="s">
        <v>201</v>
      </c>
    </row>
    <row r="21107" spans="1:5" x14ac:dyDescent="0.25">
      <c r="A21107" t="str">
        <f>HYPERLINK("https://www.773grp.com/globalSearch/TS3L100PWR/page-1", "TS3L100PWR")</f>
        <v>TS3L100PWR</v>
      </c>
      <c r="B21107" s="3" t="s">
        <v>90</v>
      </c>
      <c r="C21107" s="5">
        <v>2000</v>
      </c>
      <c r="D21107" s="6">
        <v>4.16</v>
      </c>
      <c r="E21107" t="s">
        <v>209</v>
      </c>
    </row>
    <row r="21108" spans="1:5" x14ac:dyDescent="0.25">
      <c r="A21108" t="str">
        <f>HYPERLINK("https://www.773grp.com/globalSearch/LM7171AIMX-NOPB/page-1", "LM7171AIMX-NOPB")</f>
        <v>LM7171AIMX-NOPB</v>
      </c>
      <c r="B21108" s="3" t="s">
        <v>90</v>
      </c>
      <c r="C21108" s="5">
        <v>2500</v>
      </c>
      <c r="D21108" s="6">
        <v>3.76</v>
      </c>
      <c r="E21108" t="s">
        <v>225</v>
      </c>
    </row>
    <row r="21109" spans="1:5" x14ac:dyDescent="0.25">
      <c r="A21109" t="str">
        <f>HYPERLINK("https://www.773grp.com/globalSearch/LM8261M5/page-1", "LM8261M5")</f>
        <v>LM8261M5</v>
      </c>
      <c r="B21109" s="3" t="s">
        <v>90</v>
      </c>
      <c r="C21109" s="5">
        <v>4000</v>
      </c>
      <c r="D21109" s="6">
        <v>3.76</v>
      </c>
      <c r="E21109" t="s">
        <v>226</v>
      </c>
    </row>
    <row r="21110" spans="1:5" x14ac:dyDescent="0.25">
      <c r="A21110" t="str">
        <f>HYPERLINK("https://www.773grp.com/globalSearch/SN104436N/page-1", "SN104436N")</f>
        <v>SN104436N</v>
      </c>
      <c r="B21110" s="3" t="s">
        <v>90</v>
      </c>
      <c r="C21110" s="5">
        <v>9654</v>
      </c>
      <c r="D21110" s="6">
        <v>3.76</v>
      </c>
      <c r="E21110" t="s">
        <v>227</v>
      </c>
    </row>
    <row r="21111" spans="1:5" x14ac:dyDescent="0.25">
      <c r="A21111" t="str">
        <f>HYPERLINK("https://www.773grp.com/globalSearch/TLC2274NSR-MATM/page-1", "TLC2274NSR-MATM")</f>
        <v>TLC2274NSR-MATM</v>
      </c>
      <c r="B21111" s="3" t="s">
        <v>90</v>
      </c>
      <c r="C21111" s="5">
        <v>6000</v>
      </c>
      <c r="D21111" s="6">
        <v>3.76</v>
      </c>
      <c r="E21111" t="s">
        <v>228</v>
      </c>
    </row>
    <row r="21112" spans="1:5" x14ac:dyDescent="0.25">
      <c r="A21112" t="str">
        <f>HYPERLINK("https://www.773grp.com/globalSearch/TSL-235/page-1", "TSL-235")</f>
        <v>TSL-235</v>
      </c>
      <c r="B21112" s="3" t="s">
        <v>90</v>
      </c>
      <c r="C21112" s="5">
        <v>2</v>
      </c>
      <c r="D21112" s="6">
        <v>3.76</v>
      </c>
      <c r="E21112" t="s">
        <v>229</v>
      </c>
    </row>
    <row r="21113" spans="1:5" x14ac:dyDescent="0.25">
      <c r="A21113" t="str">
        <f>HYPERLINK("https://www.773grp.com/globalSearch/ADS1015QDGSRQ1/page-1", "ADS1015QDGSRQ1")</f>
        <v>ADS1015QDGSRQ1</v>
      </c>
      <c r="B21113" s="3" t="s">
        <v>90</v>
      </c>
      <c r="C21113" s="5">
        <v>2500</v>
      </c>
      <c r="D21113" s="6">
        <v>3.8</v>
      </c>
      <c r="E21113" t="s">
        <v>230</v>
      </c>
    </row>
    <row r="21114" spans="1:5" x14ac:dyDescent="0.25">
      <c r="A21114" t="str">
        <f>HYPERLINK("https://www.773grp.com/globalSearch/LM3429Q1MH-NOPB/page-1", "LM3429Q1MH-NOPB")</f>
        <v>LM3429Q1MH-NOPB</v>
      </c>
      <c r="B21114" s="3" t="s">
        <v>90</v>
      </c>
      <c r="C21114" s="5">
        <v>890</v>
      </c>
      <c r="D21114" s="6">
        <v>3.8</v>
      </c>
      <c r="E21114" t="s">
        <v>231</v>
      </c>
    </row>
    <row r="21115" spans="1:5" x14ac:dyDescent="0.25">
      <c r="A21115" t="str">
        <f>HYPERLINK("https://www.773grp.com/globalSearch/LMP2022MAX-NOPB/page-1", "LMP2022MAX-NOPB")</f>
        <v>LMP2022MAX-NOPB</v>
      </c>
      <c r="B21115" s="3" t="s">
        <v>90</v>
      </c>
      <c r="C21115" s="5">
        <v>2500</v>
      </c>
      <c r="D21115" s="6">
        <v>3.8</v>
      </c>
      <c r="E21115" t="s">
        <v>232</v>
      </c>
    </row>
    <row r="21116" spans="1:5" x14ac:dyDescent="0.25">
      <c r="A21116" t="str">
        <f>HYPERLINK("https://www.773grp.com/globalSearch/OPA192IDR/page-1", "OPA192IDR")</f>
        <v>OPA192IDR</v>
      </c>
      <c r="B21116" s="3" t="s">
        <v>90</v>
      </c>
      <c r="C21116" s="5">
        <v>736</v>
      </c>
      <c r="D21116" s="6">
        <v>3.8</v>
      </c>
      <c r="E21116" t="s">
        <v>233</v>
      </c>
    </row>
    <row r="21117" spans="1:5" x14ac:dyDescent="0.25">
      <c r="A21117" t="str">
        <f>HYPERLINK("https://www.773grp.com/globalSearch/OPA2131UJ-2K5/page-1", "OPA2131UJ-2K5")</f>
        <v>OPA2131UJ-2K5</v>
      </c>
      <c r="B21117" s="3" t="s">
        <v>90</v>
      </c>
      <c r="C21117" s="5">
        <v>37428</v>
      </c>
      <c r="D21117" s="6">
        <v>3.8</v>
      </c>
      <c r="E21117" t="s">
        <v>234</v>
      </c>
    </row>
    <row r="21118" spans="1:5" x14ac:dyDescent="0.25">
      <c r="A21118" t="str">
        <f>HYPERLINK("https://www.773grp.com/globalSearch/OPA2356AIDGKT/page-1", "OPA2356AIDGKT")</f>
        <v>OPA2356AIDGKT</v>
      </c>
      <c r="B21118" s="3" t="s">
        <v>90</v>
      </c>
      <c r="C21118" s="5">
        <v>219</v>
      </c>
      <c r="D21118" s="6">
        <v>3.8</v>
      </c>
      <c r="E21118" t="s">
        <v>232</v>
      </c>
    </row>
    <row r="21119" spans="1:5" x14ac:dyDescent="0.25">
      <c r="A21119" t="str">
        <f>HYPERLINK("https://www.773grp.com/globalSearch/OPA2835IDR/page-1", "OPA2835IDR")</f>
        <v>OPA2835IDR</v>
      </c>
      <c r="B21119" s="3" t="s">
        <v>90</v>
      </c>
      <c r="C21119" s="5">
        <v>2500</v>
      </c>
      <c r="D21119" s="6">
        <v>3.8</v>
      </c>
      <c r="E21119" t="s">
        <v>235</v>
      </c>
    </row>
    <row r="21120" spans="1:5" x14ac:dyDescent="0.25">
      <c r="A21120" t="str">
        <f>HYPERLINK("https://www.773grp.com/globalSearch/PCA9535PWR/page-1", "PCA9535PWR")</f>
        <v>PCA9535PWR</v>
      </c>
      <c r="B21120" s="3" t="s">
        <v>90</v>
      </c>
      <c r="C21120" s="5">
        <v>2598</v>
      </c>
      <c r="D21120" s="6">
        <v>3.8</v>
      </c>
      <c r="E21120" t="s">
        <v>236</v>
      </c>
    </row>
    <row r="21121" spans="1:5" x14ac:dyDescent="0.25">
      <c r="A21121" t="str">
        <f>HYPERLINK("https://www.773grp.com/globalSearch/PCA9535RTWR/page-1", "PCA9535RTWR")</f>
        <v>PCA9535RTWR</v>
      </c>
      <c r="B21121" s="3" t="s">
        <v>90</v>
      </c>
      <c r="C21121" s="5">
        <v>1180</v>
      </c>
      <c r="D21121" s="6">
        <v>3.8</v>
      </c>
      <c r="E21121" t="s">
        <v>14</v>
      </c>
    </row>
    <row r="21122" spans="1:5" x14ac:dyDescent="0.25">
      <c r="A21122" t="str">
        <f>HYPERLINK("https://www.773grp.com/globalSearch/REF5020AIDGKR/page-1", "REF5020AIDGKR")</f>
        <v>REF5020AIDGKR</v>
      </c>
      <c r="B21122" s="3" t="s">
        <v>90</v>
      </c>
      <c r="C21122" s="5">
        <v>2020</v>
      </c>
      <c r="D21122" s="6">
        <v>3.8</v>
      </c>
      <c r="E21122" t="s">
        <v>14</v>
      </c>
    </row>
    <row r="21123" spans="1:5" x14ac:dyDescent="0.25">
      <c r="A21123" t="str">
        <f>HYPERLINK("https://www.773grp.com/globalSearch/REF5025AIDR/page-1", "REF5025AIDR")</f>
        <v>REF5025AIDR</v>
      </c>
      <c r="B21123" s="3" t="s">
        <v>90</v>
      </c>
      <c r="C21123" s="5">
        <v>2500</v>
      </c>
      <c r="D21123" s="6">
        <v>3.8</v>
      </c>
      <c r="E21123" t="s">
        <v>237</v>
      </c>
    </row>
    <row r="21124" spans="1:5" x14ac:dyDescent="0.25">
      <c r="A21124" t="str">
        <f>HYPERLINK("https://www.773grp.com/globalSearch/SN65HVD3086EDGSR/page-1", "SN65HVD3086EDGSR")</f>
        <v>SN65HVD3086EDGSR</v>
      </c>
      <c r="B21124" s="3" t="s">
        <v>90</v>
      </c>
      <c r="C21124" s="5">
        <v>5000</v>
      </c>
      <c r="D21124" s="6">
        <v>3.8</v>
      </c>
      <c r="E21124" t="s">
        <v>237</v>
      </c>
    </row>
    <row r="21125" spans="1:5" x14ac:dyDescent="0.25">
      <c r="A21125" t="str">
        <f>HYPERLINK("https://www.773grp.com/globalSearch/SN65HVD3086EDR/page-1", "SN65HVD3086EDR")</f>
        <v>SN65HVD3086EDR</v>
      </c>
      <c r="B21125" s="3" t="s">
        <v>90</v>
      </c>
      <c r="C21125" s="5">
        <v>2500</v>
      </c>
      <c r="D21125" s="6">
        <v>3.8</v>
      </c>
      <c r="E21125" t="s">
        <v>238</v>
      </c>
    </row>
    <row r="21126" spans="1:5" x14ac:dyDescent="0.25">
      <c r="A21126" t="str">
        <f>HYPERLINK("https://www.773grp.com/globalSearch/SN74ABT16373ADGG/page-1", "SN74ABT16373ADGG")</f>
        <v>SN74ABT16373ADGG</v>
      </c>
      <c r="B21126" s="3" t="s">
        <v>90</v>
      </c>
      <c r="C21126" s="5">
        <v>960</v>
      </c>
      <c r="D21126" s="6">
        <v>3.8</v>
      </c>
      <c r="E21126" t="s">
        <v>216</v>
      </c>
    </row>
    <row r="21127" spans="1:5" x14ac:dyDescent="0.25">
      <c r="A21127" t="str">
        <f>HYPERLINK("https://www.773grp.com/globalSearch/SN74CBT16245DGG/page-1", "SN74CBT16245DGG")</f>
        <v>SN74CBT16245DGG</v>
      </c>
      <c r="B21127" s="3" t="s">
        <v>90</v>
      </c>
      <c r="C21127" s="5">
        <v>970</v>
      </c>
      <c r="D21127" s="6">
        <v>3.8</v>
      </c>
      <c r="E21127" t="s">
        <v>239</v>
      </c>
    </row>
    <row r="21128" spans="1:5" x14ac:dyDescent="0.25">
      <c r="A21128" t="str">
        <f>HYPERLINK("https://www.773grp.com/globalSearch/THS4051IDG4/page-1", "THS4051IDG4")</f>
        <v>THS4051IDG4</v>
      </c>
      <c r="B21128" s="3" t="s">
        <v>90</v>
      </c>
      <c r="C21128" s="5">
        <v>68</v>
      </c>
      <c r="D21128" s="6">
        <v>3.8</v>
      </c>
      <c r="E21128" t="s">
        <v>240</v>
      </c>
    </row>
    <row r="21129" spans="1:5" x14ac:dyDescent="0.25">
      <c r="A21129" t="str">
        <f>HYPERLINK("https://www.773grp.com/globalSearch/TL1963A-33DCQT/page-1", "TL1963A-33DCQT")</f>
        <v>TL1963A-33DCQT</v>
      </c>
      <c r="B21129" s="3" t="s">
        <v>90</v>
      </c>
      <c r="C21129" s="5">
        <v>250</v>
      </c>
      <c r="D21129" s="6">
        <v>3.8</v>
      </c>
      <c r="E21129" t="s">
        <v>241</v>
      </c>
    </row>
    <row r="21130" spans="1:5" x14ac:dyDescent="0.25">
      <c r="A21130" t="str">
        <f>HYPERLINK("https://www.773grp.com/globalSearch/TL1963ADCQT/page-1", "TL1963ADCQT")</f>
        <v>TL1963ADCQT</v>
      </c>
      <c r="B21130" s="3" t="s">
        <v>90</v>
      </c>
      <c r="C21130" s="5">
        <v>20</v>
      </c>
      <c r="D21130" s="6">
        <v>3.8</v>
      </c>
      <c r="E21130" t="s">
        <v>224</v>
      </c>
    </row>
    <row r="21131" spans="1:5" x14ac:dyDescent="0.25">
      <c r="A21131" t="str">
        <f>HYPERLINK("https://www.773grp.com/globalSearch/TL2575HV-05QKTTRQ1/page-1", "TL2575HV-05QKTTRQ1")</f>
        <v>TL2575HV-05QKTTRQ1</v>
      </c>
      <c r="B21131" s="3" t="s">
        <v>90</v>
      </c>
      <c r="C21131" s="5">
        <v>14895</v>
      </c>
      <c r="D21131" s="6">
        <v>3.8</v>
      </c>
      <c r="E21131" t="s">
        <v>240</v>
      </c>
    </row>
    <row r="21132" spans="1:5" x14ac:dyDescent="0.25">
      <c r="A21132" t="str">
        <f>HYPERLINK("https://www.773grp.com/globalSearch/TL2575HV-33QKTTRQ1/page-1", "TL2575HV-33QKTTRQ1")</f>
        <v>TL2575HV-33QKTTRQ1</v>
      </c>
      <c r="B21132" s="3" t="s">
        <v>90</v>
      </c>
      <c r="C21132" s="5">
        <v>1000</v>
      </c>
      <c r="D21132" s="6">
        <v>3.8</v>
      </c>
      <c r="E21132" t="s">
        <v>228</v>
      </c>
    </row>
    <row r="21133" spans="1:5" x14ac:dyDescent="0.25">
      <c r="A21133" t="str">
        <f>HYPERLINK("https://www.773grp.com/globalSearch/TLV2454AIPW/page-1", "TLV2454AIPW")</f>
        <v>TLV2454AIPW</v>
      </c>
      <c r="B21133" s="3" t="s">
        <v>90</v>
      </c>
      <c r="C21133" s="5">
        <v>380</v>
      </c>
      <c r="D21133" s="6">
        <v>3.8</v>
      </c>
      <c r="E21133" t="s">
        <v>242</v>
      </c>
    </row>
    <row r="21134" spans="1:5" x14ac:dyDescent="0.25">
      <c r="A21134" t="str">
        <f>HYPERLINK("https://www.773grp.com/globalSearch/TLV2464AIDG4/page-1", "TLV2464AIDG4")</f>
        <v>TLV2464AIDG4</v>
      </c>
      <c r="B21134" s="3" t="s">
        <v>90</v>
      </c>
      <c r="C21134" s="5">
        <v>102</v>
      </c>
      <c r="D21134" s="6">
        <v>3.8</v>
      </c>
      <c r="E21134" t="s">
        <v>243</v>
      </c>
    </row>
    <row r="21135" spans="1:5" x14ac:dyDescent="0.25">
      <c r="A21135" t="str">
        <f>HYPERLINK("https://www.773grp.com/globalSearch/TLV3404ID/page-1", "TLV3404ID")</f>
        <v>TLV3404ID</v>
      </c>
      <c r="B21135" s="3" t="s">
        <v>90</v>
      </c>
      <c r="C21135" s="5">
        <v>280</v>
      </c>
      <c r="D21135" s="6">
        <v>3.8</v>
      </c>
      <c r="E21135" t="s">
        <v>244</v>
      </c>
    </row>
    <row r="21136" spans="1:5" x14ac:dyDescent="0.25">
      <c r="A21136" t="str">
        <f>HYPERLINK("https://www.773grp.com/globalSearch/TMDS261BPAGR/page-1", "TMDS261BPAGR")</f>
        <v>TMDS261BPAGR</v>
      </c>
      <c r="B21136" s="3" t="s">
        <v>90</v>
      </c>
      <c r="C21136" s="5">
        <v>126000</v>
      </c>
      <c r="D21136" s="6">
        <v>3.8</v>
      </c>
      <c r="E21136" t="s">
        <v>28</v>
      </c>
    </row>
    <row r="21137" spans="1:5" x14ac:dyDescent="0.25">
      <c r="A21137" t="str">
        <f>HYPERLINK("https://www.773grp.com/globalSearch/TPA0222PWPR/page-1", "TPA0222PWPR")</f>
        <v>TPA0222PWPR</v>
      </c>
      <c r="B21137" s="3" t="s">
        <v>90</v>
      </c>
      <c r="C21137" s="5">
        <v>6000</v>
      </c>
      <c r="D21137" s="6">
        <v>3.8</v>
      </c>
      <c r="E21137" t="s">
        <v>245</v>
      </c>
    </row>
    <row r="21138" spans="1:5" x14ac:dyDescent="0.25">
      <c r="A21138" t="str">
        <f>HYPERLINK("https://www.773grp.com/globalSearch/TPIC6A596DWRG4/page-1", "TPIC6A596DWRG4")</f>
        <v>TPIC6A596DWRG4</v>
      </c>
      <c r="B21138" s="3" t="s">
        <v>90</v>
      </c>
      <c r="C21138" s="5">
        <v>2000</v>
      </c>
      <c r="D21138" s="6">
        <v>3.8</v>
      </c>
      <c r="E21138" t="s">
        <v>245</v>
      </c>
    </row>
    <row r="21139" spans="1:5" x14ac:dyDescent="0.25">
      <c r="A21139" t="str">
        <f>HYPERLINK("https://www.773grp.com/globalSearch/TPS2321IDR/page-1", "TPS2321IDR")</f>
        <v>TPS2321IDR</v>
      </c>
      <c r="B21139" s="3" t="s">
        <v>90</v>
      </c>
      <c r="C21139" s="5">
        <v>40000</v>
      </c>
      <c r="D21139" s="6">
        <v>3.8</v>
      </c>
      <c r="E21139" t="s">
        <v>246</v>
      </c>
    </row>
    <row r="21140" spans="1:5" x14ac:dyDescent="0.25">
      <c r="A21140" t="str">
        <f>HYPERLINK("https://www.773grp.com/globalSearch/TPS23753APW/page-1", "TPS23753APW")</f>
        <v>TPS23753APW</v>
      </c>
      <c r="B21140" s="3" t="s">
        <v>90</v>
      </c>
      <c r="C21140" s="5">
        <v>180</v>
      </c>
      <c r="D21140" s="6">
        <v>3.8</v>
      </c>
      <c r="E21140" t="s">
        <v>240</v>
      </c>
    </row>
    <row r="21141" spans="1:5" x14ac:dyDescent="0.25">
      <c r="A21141" t="str">
        <f>HYPERLINK("https://www.773grp.com/globalSearch/TPS23753PW/page-1", "TPS23753PW")</f>
        <v>TPS23753PW</v>
      </c>
      <c r="B21141" s="3" t="s">
        <v>90</v>
      </c>
      <c r="C21141" s="5">
        <v>90</v>
      </c>
      <c r="D21141" s="6">
        <v>3.8</v>
      </c>
      <c r="E21141" t="s">
        <v>240</v>
      </c>
    </row>
    <row r="21142" spans="1:5" x14ac:dyDescent="0.25">
      <c r="A21142" t="str">
        <f>HYPERLINK("https://www.773grp.com/globalSearch/TPS24700DGK/page-1", "TPS24700DGK")</f>
        <v>TPS24700DGK</v>
      </c>
      <c r="B21142" s="3" t="s">
        <v>90</v>
      </c>
      <c r="C21142" s="5">
        <v>11120</v>
      </c>
      <c r="D21142" s="6">
        <v>3.8</v>
      </c>
      <c r="E21142" t="s">
        <v>247</v>
      </c>
    </row>
    <row r="21143" spans="1:5" x14ac:dyDescent="0.25">
      <c r="A21143" t="str">
        <f>HYPERLINK("https://www.773grp.com/globalSearch/TPS72518DCQ/page-1", "TPS72518DCQ")</f>
        <v>TPS72518DCQ</v>
      </c>
      <c r="B21143" s="3" t="s">
        <v>90</v>
      </c>
      <c r="C21143" s="5">
        <v>6686</v>
      </c>
      <c r="D21143" s="6">
        <v>3.8</v>
      </c>
      <c r="E21143" t="s">
        <v>247</v>
      </c>
    </row>
    <row r="21144" spans="1:5" x14ac:dyDescent="0.25">
      <c r="A21144" t="str">
        <f>HYPERLINK("https://www.773grp.com/globalSearch/TPS72525DCQ/page-1", "TPS72525DCQ")</f>
        <v>TPS72525DCQ</v>
      </c>
      <c r="B21144" s="3" t="s">
        <v>90</v>
      </c>
      <c r="C21144" s="5">
        <v>4870</v>
      </c>
      <c r="D21144" s="6">
        <v>3.8</v>
      </c>
      <c r="E21144" t="s">
        <v>248</v>
      </c>
    </row>
    <row r="21145" spans="1:5" x14ac:dyDescent="0.25">
      <c r="A21145" t="str">
        <f>HYPERLINK("https://www.773grp.com/globalSearch/TPS72615DCQ/page-1", "TPS72615DCQ")</f>
        <v>TPS72615DCQ</v>
      </c>
      <c r="B21145" s="3" t="s">
        <v>90</v>
      </c>
      <c r="C21145" s="5">
        <v>3978</v>
      </c>
      <c r="D21145" s="6">
        <v>3.8</v>
      </c>
      <c r="E21145" t="s">
        <v>14</v>
      </c>
    </row>
    <row r="21146" spans="1:5" x14ac:dyDescent="0.25">
      <c r="A21146" t="str">
        <f>HYPERLINK("https://www.773grp.com/globalSearch/TPS72615DCQG4/page-1", "TPS72615DCQG4")</f>
        <v>TPS72615DCQG4</v>
      </c>
      <c r="B21146" s="3" t="s">
        <v>90</v>
      </c>
      <c r="C21146" s="5">
        <v>227</v>
      </c>
      <c r="D21146" s="6">
        <v>3.8</v>
      </c>
      <c r="E21146" t="s">
        <v>248</v>
      </c>
    </row>
    <row r="21147" spans="1:5" x14ac:dyDescent="0.25">
      <c r="A21147" t="str">
        <f>HYPERLINK("https://www.773grp.com/globalSearch/UC28023DWR/page-1", "UC28023DWR")</f>
        <v>UC28023DWR</v>
      </c>
      <c r="B21147" s="3" t="s">
        <v>90</v>
      </c>
      <c r="C21147" s="5">
        <v>10000</v>
      </c>
      <c r="D21147" s="6">
        <v>3.8</v>
      </c>
      <c r="E21147" t="s">
        <v>237</v>
      </c>
    </row>
    <row r="21148" spans="1:5" x14ac:dyDescent="0.25">
      <c r="A21148" t="str">
        <f>HYPERLINK("https://www.773grp.com/globalSearch/UC3854BDWTR/page-1", "UC3854BDWTR")</f>
        <v>UC3854BDWTR</v>
      </c>
      <c r="B21148" s="3" t="s">
        <v>90</v>
      </c>
      <c r="C21148" s="5">
        <v>8000</v>
      </c>
      <c r="D21148" s="6">
        <v>3.8</v>
      </c>
      <c r="E21148" t="s">
        <v>249</v>
      </c>
    </row>
    <row r="21149" spans="1:5" x14ac:dyDescent="0.25">
      <c r="A21149" t="str">
        <f>HYPERLINK("https://www.773grp.com/globalSearch/UCC2818AQDRQ1/page-1", "UCC2818AQDRQ1")</f>
        <v>UCC2818AQDRQ1</v>
      </c>
      <c r="B21149" s="3" t="s">
        <v>90</v>
      </c>
      <c r="C21149" s="5">
        <v>15000</v>
      </c>
      <c r="D21149" s="6">
        <v>3.8</v>
      </c>
      <c r="E21149" t="s">
        <v>231</v>
      </c>
    </row>
    <row r="21150" spans="1:5" x14ac:dyDescent="0.25">
      <c r="A21150" t="str">
        <f>HYPERLINK("https://www.773grp.com/globalSearch/UCC3803D-81102/page-1", "UCC3803D-81102")</f>
        <v>UCC3803D-81102</v>
      </c>
      <c r="B21150" s="3" t="s">
        <v>90</v>
      </c>
      <c r="C21150" s="5">
        <v>1000</v>
      </c>
      <c r="D21150" s="6">
        <v>3.8</v>
      </c>
      <c r="E21150" t="s">
        <v>79</v>
      </c>
    </row>
    <row r="21151" spans="1:5" x14ac:dyDescent="0.25">
      <c r="A21151" t="str">
        <f>HYPERLINK("https://www.773grp.com/globalSearch/UCC38086D/page-1", "UCC38086D")</f>
        <v>UCC38086D</v>
      </c>
      <c r="B21151" s="3" t="s">
        <v>90</v>
      </c>
      <c r="C21151" s="5">
        <v>25</v>
      </c>
      <c r="D21151" s="6">
        <v>3.8</v>
      </c>
      <c r="E21151" t="s">
        <v>224</v>
      </c>
    </row>
    <row r="21152" spans="1:5" x14ac:dyDescent="0.25">
      <c r="A21152" t="str">
        <f>HYPERLINK("https://www.773grp.com/globalSearch/AM26LV32EMDREP/page-1", "AM26LV32EMDREP")</f>
        <v>AM26LV32EMDREP</v>
      </c>
      <c r="B21152" s="3" t="s">
        <v>90</v>
      </c>
      <c r="C21152" s="5">
        <v>1900</v>
      </c>
      <c r="D21152" s="6">
        <v>4.2300000000000004</v>
      </c>
      <c r="E21152" t="s">
        <v>237</v>
      </c>
    </row>
    <row r="21153" spans="1:5" x14ac:dyDescent="0.25">
      <c r="A21153" t="str">
        <f>HYPERLINK("https://www.773grp.com/globalSearch/BQ77PL157APW-4225/page-1", "BQ77PL157APW-4225")</f>
        <v>BQ77PL157APW-4225</v>
      </c>
      <c r="B21153" s="3" t="s">
        <v>90</v>
      </c>
      <c r="C21153" s="5">
        <v>2240</v>
      </c>
      <c r="D21153" s="6">
        <v>4.2300000000000004</v>
      </c>
      <c r="E21153" t="s">
        <v>237</v>
      </c>
    </row>
    <row r="21154" spans="1:5" x14ac:dyDescent="0.25">
      <c r="A21154" t="str">
        <f>HYPERLINK("https://www.773grp.com/globalSearch/CD74HC534E/page-1", "CD74HC534E")</f>
        <v>CD74HC534E</v>
      </c>
      <c r="B21154" s="3" t="s">
        <v>90</v>
      </c>
      <c r="C21154" s="5">
        <v>540</v>
      </c>
      <c r="D21154" s="6">
        <v>4.2300000000000004</v>
      </c>
      <c r="E21154" t="s">
        <v>224</v>
      </c>
    </row>
    <row r="21155" spans="1:5" x14ac:dyDescent="0.25">
      <c r="A21155" t="str">
        <f>HYPERLINK("https://www.773grp.com/globalSearch/DRV2603RUNT/page-1", "DRV2603RUNT")</f>
        <v>DRV2603RUNT</v>
      </c>
      <c r="B21155" s="3" t="s">
        <v>90</v>
      </c>
      <c r="C21155" s="5">
        <v>250</v>
      </c>
      <c r="D21155" s="6">
        <v>4.2300000000000004</v>
      </c>
      <c r="E21155" t="s">
        <v>250</v>
      </c>
    </row>
    <row r="21156" spans="1:5" x14ac:dyDescent="0.25">
      <c r="A21156" t="str">
        <f>HYPERLINK("https://www.773grp.com/globalSearch/INA168NA-3K/page-1", "INA168NA-3K")</f>
        <v>INA168NA-3K</v>
      </c>
      <c r="B21156" s="3" t="s">
        <v>90</v>
      </c>
      <c r="C21156" s="5">
        <v>15000</v>
      </c>
      <c r="D21156" s="6">
        <v>4.2300000000000004</v>
      </c>
      <c r="E21156" t="s">
        <v>247</v>
      </c>
    </row>
    <row r="21157" spans="1:5" x14ac:dyDescent="0.25">
      <c r="A21157" t="str">
        <f>HYPERLINK("https://www.773grp.com/globalSearch/INA213AQDCKRQ1/page-1", "INA213AQDCKRQ1")</f>
        <v>INA213AQDCKRQ1</v>
      </c>
      <c r="B21157" s="3" t="s">
        <v>90</v>
      </c>
      <c r="C21157" s="5">
        <v>33650</v>
      </c>
      <c r="D21157" s="6">
        <v>4.2300000000000004</v>
      </c>
      <c r="E21157" t="s">
        <v>247</v>
      </c>
    </row>
    <row r="21158" spans="1:5" x14ac:dyDescent="0.25">
      <c r="A21158" t="str">
        <f>HYPERLINK("https://www.773grp.com/globalSearch/INA214AQDCKRQ1/page-1", "INA214AQDCKRQ1")</f>
        <v>INA214AQDCKRQ1</v>
      </c>
      <c r="B21158" s="3" t="s">
        <v>90</v>
      </c>
      <c r="C21158" s="5">
        <v>15000</v>
      </c>
      <c r="D21158" s="6">
        <v>4.2300000000000004</v>
      </c>
      <c r="E21158" t="s">
        <v>250</v>
      </c>
    </row>
    <row r="21159" spans="1:5" x14ac:dyDescent="0.25">
      <c r="A21159" t="str">
        <f>HYPERLINK("https://www.773grp.com/globalSearch/LM3414HVSD-NOPB/page-1", "LM3414HVSD-NOPB")</f>
        <v>LM3414HVSD-NOPB</v>
      </c>
      <c r="B21159" s="3" t="s">
        <v>90</v>
      </c>
      <c r="C21159" s="5">
        <v>1000</v>
      </c>
      <c r="D21159" s="6">
        <v>4.2300000000000004</v>
      </c>
      <c r="E21159" t="s">
        <v>231</v>
      </c>
    </row>
    <row r="21160" spans="1:5" x14ac:dyDescent="0.25">
      <c r="A21160" t="str">
        <f>HYPERLINK("https://www.773grp.com/globalSearch/LM4030BMF-4.096-NOPB/page-1", "LM4030BMF-4.096-NOPB")</f>
        <v>LM4030BMF-4.096-NOPB</v>
      </c>
      <c r="B21160" s="3" t="s">
        <v>90</v>
      </c>
      <c r="C21160" s="5">
        <v>461</v>
      </c>
      <c r="D21160" s="6">
        <v>4.2300000000000004</v>
      </c>
      <c r="E21160" t="s">
        <v>251</v>
      </c>
    </row>
    <row r="21161" spans="1:5" x14ac:dyDescent="0.25">
      <c r="A21161" t="str">
        <f>HYPERLINK("https://www.773grp.com/globalSearch/LM5020MM-1-NOPB/page-1", "LM5020MM-1-NOPB")</f>
        <v>LM5020MM-1-NOPB</v>
      </c>
      <c r="B21161" s="3" t="s">
        <v>90</v>
      </c>
      <c r="C21161" s="5">
        <v>2000</v>
      </c>
      <c r="D21161" s="6">
        <v>4.2300000000000004</v>
      </c>
      <c r="E21161" t="s">
        <v>248</v>
      </c>
    </row>
    <row r="21162" spans="1:5" x14ac:dyDescent="0.25">
      <c r="A21162" t="str">
        <f>HYPERLINK("https://www.773grp.com/globalSearch/LMC6482AIMX-S7002212/page-1", "LMC6482AIMX-S7002212")</f>
        <v>LMC6482AIMX-S7002212</v>
      </c>
      <c r="B21162" s="3" t="s">
        <v>90</v>
      </c>
      <c r="C21162" s="5">
        <v>7500</v>
      </c>
      <c r="D21162" s="6">
        <v>4.2300000000000004</v>
      </c>
      <c r="E21162" t="s">
        <v>252</v>
      </c>
    </row>
    <row r="21163" spans="1:5" x14ac:dyDescent="0.25">
      <c r="A21163" t="str">
        <f>HYPERLINK("https://www.773grp.com/globalSearch/LMC7225IM5/page-1", "LMC7225IM5")</f>
        <v>LMC7225IM5</v>
      </c>
      <c r="B21163" s="3" t="s">
        <v>90</v>
      </c>
      <c r="C21163" s="5">
        <v>251</v>
      </c>
      <c r="D21163" s="6">
        <v>4.2300000000000004</v>
      </c>
      <c r="E21163" t="s">
        <v>45</v>
      </c>
    </row>
    <row r="21164" spans="1:5" x14ac:dyDescent="0.25">
      <c r="A21164" t="str">
        <f>HYPERLINK("https://www.773grp.com/globalSearch/LMH2120UMX-NOPB/page-1", "LMH2120UMX-NOPB")</f>
        <v>LMH2120UMX-NOPB</v>
      </c>
      <c r="B21164" s="3" t="s">
        <v>90</v>
      </c>
      <c r="C21164" s="5">
        <v>3000</v>
      </c>
      <c r="D21164" s="6">
        <v>4.2300000000000004</v>
      </c>
      <c r="E21164" t="s">
        <v>45</v>
      </c>
    </row>
    <row r="21165" spans="1:5" x14ac:dyDescent="0.25">
      <c r="A21165" t="str">
        <f>HYPERLINK("https://www.773grp.com/globalSearch/LMP7711MK-NOPB/page-1", "LMP7711MK-NOPB")</f>
        <v>LMP7711MK-NOPB</v>
      </c>
      <c r="B21165" s="3" t="s">
        <v>90</v>
      </c>
      <c r="C21165" s="5">
        <v>735</v>
      </c>
      <c r="D21165" s="6">
        <v>4.2300000000000004</v>
      </c>
      <c r="E21165" t="s">
        <v>45</v>
      </c>
    </row>
    <row r="21166" spans="1:5" x14ac:dyDescent="0.25">
      <c r="A21166" t="str">
        <f>HYPERLINK("https://www.773grp.com/globalSearch/LMR12010XMK-NOPB/page-1", "LMR12010XMK-NOPB")</f>
        <v>LMR12010XMK-NOPB</v>
      </c>
      <c r="B21166" s="3" t="s">
        <v>90</v>
      </c>
      <c r="C21166" s="5">
        <v>170</v>
      </c>
      <c r="D21166" s="6">
        <v>4.2300000000000004</v>
      </c>
      <c r="E21166" t="s">
        <v>253</v>
      </c>
    </row>
    <row r="21167" spans="1:5" x14ac:dyDescent="0.25">
      <c r="A21167" t="str">
        <f>HYPERLINK("https://www.773grp.com/globalSearch/LP2987IM-5.0-NOPB/page-1", "LP2987IM-5.0-NOPB")</f>
        <v>LP2987IM-5.0-NOPB</v>
      </c>
      <c r="B21167" s="3" t="s">
        <v>90</v>
      </c>
      <c r="C21167" s="5">
        <v>285</v>
      </c>
      <c r="D21167" s="6">
        <v>4.2300000000000004</v>
      </c>
      <c r="E21167" t="s">
        <v>250</v>
      </c>
    </row>
    <row r="21168" spans="1:5" x14ac:dyDescent="0.25">
      <c r="A21168" t="str">
        <f>HYPERLINK("https://www.773grp.com/globalSearch/LP38501TSX-ADJ-NOPB/page-1", "LP38501TSX-ADJ-NOPB")</f>
        <v>LP38501TSX-ADJ-NOPB</v>
      </c>
      <c r="B21168" s="3" t="s">
        <v>90</v>
      </c>
      <c r="C21168" s="5">
        <v>158</v>
      </c>
      <c r="D21168" s="6">
        <v>4.2300000000000004</v>
      </c>
      <c r="E21168" t="s">
        <v>254</v>
      </c>
    </row>
    <row r="21169" spans="1:5" x14ac:dyDescent="0.25">
      <c r="A21169" t="str">
        <f>HYPERLINK("https://www.773grp.com/globalSearch/MSP430G2403IPW28/page-1", "MSP430G2403IPW28")</f>
        <v>MSP430G2403IPW28</v>
      </c>
      <c r="B21169" s="3" t="s">
        <v>90</v>
      </c>
      <c r="C21169" s="5">
        <v>200</v>
      </c>
      <c r="D21169" s="6">
        <v>4.2300000000000004</v>
      </c>
      <c r="E21169" t="s">
        <v>237</v>
      </c>
    </row>
    <row r="21170" spans="1:5" x14ac:dyDescent="0.25">
      <c r="A21170" t="str">
        <f>HYPERLINK("https://www.773grp.com/globalSearch/MSP430G2413IPW28R/page-1", "MSP430G2413IPW28R")</f>
        <v>MSP430G2413IPW28R</v>
      </c>
      <c r="B21170" s="3" t="s">
        <v>90</v>
      </c>
      <c r="C21170" s="5">
        <v>2000</v>
      </c>
      <c r="D21170" s="6">
        <v>4.2300000000000004</v>
      </c>
      <c r="E21170" t="s">
        <v>255</v>
      </c>
    </row>
    <row r="21171" spans="1:5" x14ac:dyDescent="0.25">
      <c r="A21171" t="str">
        <f>HYPERLINK("https://www.773grp.com/globalSearch/MSP430G2433IPW20/page-1", "MSP430G2433IPW20")</f>
        <v>MSP430G2433IPW20</v>
      </c>
      <c r="B21171" s="3" t="s">
        <v>90</v>
      </c>
      <c r="C21171" s="5">
        <v>175</v>
      </c>
      <c r="D21171" s="6">
        <v>4.2300000000000004</v>
      </c>
      <c r="E21171" t="s">
        <v>255</v>
      </c>
    </row>
    <row r="21172" spans="1:5" x14ac:dyDescent="0.25">
      <c r="A21172" t="str">
        <f>HYPERLINK("https://www.773grp.com/globalSearch/N75150P/page-1", "N75150P")</f>
        <v>N75150P</v>
      </c>
      <c r="B21172" s="3" t="s">
        <v>90</v>
      </c>
      <c r="C21172" s="5">
        <v>7750</v>
      </c>
      <c r="D21172" s="6">
        <v>4.2300000000000004</v>
      </c>
      <c r="E21172" t="s">
        <v>237</v>
      </c>
    </row>
    <row r="21173" spans="1:5" x14ac:dyDescent="0.25">
      <c r="A21173" t="str">
        <f>HYPERLINK("https://www.773grp.com/globalSearch/OPA1652AID/page-1", "OPA1652AID")</f>
        <v>OPA1652AID</v>
      </c>
      <c r="B21173" s="3" t="s">
        <v>90</v>
      </c>
      <c r="C21173" s="5">
        <v>1425</v>
      </c>
      <c r="D21173" s="6">
        <v>4.2300000000000004</v>
      </c>
      <c r="E21173" t="s">
        <v>228</v>
      </c>
    </row>
    <row r="21174" spans="1:5" x14ac:dyDescent="0.25">
      <c r="A21174" t="str">
        <f>HYPERLINK("https://www.773grp.com/globalSearch/OPA2137EA-250/page-1", "OPA2137EA-250")</f>
        <v>OPA2137EA-250</v>
      </c>
      <c r="B21174" s="3" t="s">
        <v>90</v>
      </c>
      <c r="C21174" s="5">
        <v>488</v>
      </c>
      <c r="D21174" s="6">
        <v>4.2300000000000004</v>
      </c>
      <c r="E21174" t="s">
        <v>7</v>
      </c>
    </row>
    <row r="21175" spans="1:5" x14ac:dyDescent="0.25">
      <c r="A21175" t="str">
        <f>HYPERLINK("https://www.773grp.com/globalSearch/OPA2137EA-250G4/page-1", "OPA2137EA-250G4")</f>
        <v>OPA2137EA-250G4</v>
      </c>
      <c r="B21175" s="3" t="s">
        <v>90</v>
      </c>
      <c r="C21175" s="5">
        <v>210</v>
      </c>
      <c r="D21175" s="6">
        <v>4.2300000000000004</v>
      </c>
      <c r="E21175" t="s">
        <v>233</v>
      </c>
    </row>
    <row r="21176" spans="1:5" x14ac:dyDescent="0.25">
      <c r="A21176" t="str">
        <f>HYPERLINK("https://www.773grp.com/globalSearch/OPA354AQDBVRQ1/page-1", "OPA354AQDBVRQ1")</f>
        <v>OPA354AQDBVRQ1</v>
      </c>
      <c r="B21176" s="3" t="s">
        <v>90</v>
      </c>
      <c r="C21176" s="5">
        <v>18000</v>
      </c>
      <c r="D21176" s="6">
        <v>4.2300000000000004</v>
      </c>
      <c r="E21176" t="s">
        <v>256</v>
      </c>
    </row>
    <row r="21177" spans="1:5" x14ac:dyDescent="0.25">
      <c r="A21177" t="str">
        <f>HYPERLINK("https://www.773grp.com/globalSearch/OPA365AID/page-1", "OPA365AID")</f>
        <v>OPA365AID</v>
      </c>
      <c r="B21177" s="3" t="str">
        <f>HYPERLINK("https://www.773grp.com/manufacturer/texas-instruments?pageNo=1", "Texas Instruments")</f>
        <v>Texas Instruments</v>
      </c>
      <c r="C21177" s="5">
        <v>6</v>
      </c>
      <c r="D21177" s="6">
        <v>4.2300000000000004</v>
      </c>
      <c r="E21177" t="s">
        <v>224</v>
      </c>
    </row>
    <row r="21178" spans="1:5" x14ac:dyDescent="0.25">
      <c r="A21178" t="str">
        <f>HYPERLINK("https://www.773grp.com/globalSearch/OPA365AQDBVRQ1/page-1", "OPA365AQDBVRQ1")</f>
        <v>OPA365AQDBVRQ1</v>
      </c>
      <c r="B21178" s="3" t="str">
        <f>HYPERLINK("https://www.773grp.com/manufacturer/texas-instruments?pageNo=2", "Texas Instruments")</f>
        <v>Texas Instruments</v>
      </c>
      <c r="C21178" s="5">
        <v>15000</v>
      </c>
      <c r="D21178" s="6">
        <v>4.2300000000000004</v>
      </c>
      <c r="E21178" t="s">
        <v>224</v>
      </c>
    </row>
    <row r="21179" spans="1:5" x14ac:dyDescent="0.25">
      <c r="A21179" t="str">
        <f>HYPERLINK("https://www.773grp.com/globalSearch/SN28959ADPH/page-1", "SN28959ADPH")</f>
        <v>SN28959ADPH</v>
      </c>
      <c r="B21179" s="3" t="str">
        <f>HYPERLINK("https://www.773grp.com/manufacturer/texas-instruments?pageNo=11", "Texas Instruments")</f>
        <v>Texas Instruments</v>
      </c>
      <c r="C21179" s="5">
        <v>4000</v>
      </c>
      <c r="D21179" s="6">
        <v>4.2300000000000004</v>
      </c>
      <c r="E21179" t="s">
        <v>252</v>
      </c>
    </row>
    <row r="21180" spans="1:5" x14ac:dyDescent="0.25">
      <c r="A21180" t="str">
        <f>HYPERLINK("https://www.773grp.com/globalSearch/SN300927N/page-1", "SN300927N")</f>
        <v>SN300927N</v>
      </c>
      <c r="B21180" s="3" t="str">
        <f>HYPERLINK("https://www.773grp.com/manufacturer/texas-instruments?pageNo=12", "Texas Instruments")</f>
        <v>Texas Instruments</v>
      </c>
      <c r="C21180" s="5">
        <v>4452</v>
      </c>
      <c r="D21180" s="6">
        <v>4.2300000000000004</v>
      </c>
      <c r="E21180" t="s">
        <v>248</v>
      </c>
    </row>
    <row r="21181" spans="1:5" x14ac:dyDescent="0.25">
      <c r="A21181" t="str">
        <f>HYPERLINK("https://www.773grp.com/globalSearch/SN6501DBVR/page-1", "SN6501DBVR")</f>
        <v>SN6501DBVR</v>
      </c>
      <c r="B21181" s="3" t="str">
        <f>HYPERLINK("https://www.773grp.com/manufacturer/texas-instruments?pageNo=13", "Texas Instruments")</f>
        <v>Texas Instruments</v>
      </c>
      <c r="C21181" s="5">
        <v>3000</v>
      </c>
      <c r="D21181" s="6">
        <v>4.2300000000000004</v>
      </c>
      <c r="E21181" t="s">
        <v>228</v>
      </c>
    </row>
    <row r="21182" spans="1:5" x14ac:dyDescent="0.25">
      <c r="A21182" t="str">
        <f>HYPERLINK("https://www.773grp.com/globalSearch/SN74ALS1008DR/page-1", "SN74ALS1008DR")</f>
        <v>SN74ALS1008DR</v>
      </c>
      <c r="B21182" s="3" t="str">
        <f>HYPERLINK("https://www.773grp.com/manufacturer/texas-instruments?pageNo=15", "Texas Instruments")</f>
        <v>Texas Instruments</v>
      </c>
      <c r="C21182" s="5">
        <v>5000</v>
      </c>
      <c r="D21182" s="6">
        <v>4.2300000000000004</v>
      </c>
      <c r="E21182" t="s">
        <v>248</v>
      </c>
    </row>
    <row r="21183" spans="1:5" x14ac:dyDescent="0.25">
      <c r="A21183" t="str">
        <f>HYPERLINK("https://www.773grp.com/globalSearch/SN74AVCA406DGG/page-1", "SN74AVCA406DGG")</f>
        <v>SN74AVCA406DGG</v>
      </c>
      <c r="B21183" s="3" t="str">
        <f>HYPERLINK("https://www.773grp.com/manufacturer/texas-instruments?pageNo=16", "Texas Instruments")</f>
        <v>Texas Instruments</v>
      </c>
      <c r="C21183" s="5">
        <v>2423</v>
      </c>
      <c r="D21183" s="6">
        <v>4.2300000000000004</v>
      </c>
      <c r="E21183" t="s">
        <v>248</v>
      </c>
    </row>
    <row r="21184" spans="1:5" x14ac:dyDescent="0.25">
      <c r="A21184" t="str">
        <f>HYPERLINK("https://www.773grp.com/globalSearch/SN74LVCZ16245ADGG/page-1", "SN74LVCZ16245ADGG")</f>
        <v>SN74LVCZ16245ADGG</v>
      </c>
      <c r="B21184" s="3" t="str">
        <f>HYPERLINK("https://www.773grp.com/manufacturer/texas-instruments?pageNo=22", "Texas Instruments")</f>
        <v>Texas Instruments</v>
      </c>
      <c r="C21184" s="5">
        <v>1280</v>
      </c>
      <c r="D21184" s="6">
        <v>4.2300000000000004</v>
      </c>
      <c r="E21184" t="s">
        <v>247</v>
      </c>
    </row>
    <row r="21185" spans="1:5" x14ac:dyDescent="0.25">
      <c r="A21185" t="str">
        <f>HYPERLINK("https://www.773grp.com/globalSearch/TCA9539RTWR/page-1", "TCA9539RTWR")</f>
        <v>TCA9539RTWR</v>
      </c>
      <c r="B21185" s="3" t="str">
        <f>HYPERLINK("https://www.773grp.com/manufacturer/texas-instruments?pageNo=26", "Texas Instruments")</f>
        <v>Texas Instruments</v>
      </c>
      <c r="C21185" s="5">
        <v>68</v>
      </c>
      <c r="D21185" s="6">
        <v>4.2300000000000004</v>
      </c>
      <c r="E21185" t="s">
        <v>247</v>
      </c>
    </row>
    <row r="21186" spans="1:5" x14ac:dyDescent="0.25">
      <c r="A21186" t="str">
        <f>HYPERLINK("https://www.773grp.com/globalSearch/TIBPAL16L8-25CDW/page-1", "TIBPAL16L8-25CDW")</f>
        <v>TIBPAL16L8-25CDW</v>
      </c>
      <c r="B21186" s="3" t="str">
        <f>HYPERLINK("https://www.773grp.com/manufacturer/texas-instruments?pageNo=28", "Texas Instruments")</f>
        <v>Texas Instruments</v>
      </c>
      <c r="C21186" s="5">
        <v>2750</v>
      </c>
      <c r="D21186" s="6">
        <v>4.2300000000000004</v>
      </c>
      <c r="E21186" t="s">
        <v>231</v>
      </c>
    </row>
    <row r="21187" spans="1:5" x14ac:dyDescent="0.25">
      <c r="A21187" t="str">
        <f>HYPERLINK("https://www.773grp.com/globalSearch/TLC072CDG4/page-1", "TLC072CDG4")</f>
        <v>TLC072CDG4</v>
      </c>
      <c r="B21187" s="3" t="str">
        <f>HYPERLINK("https://www.773grp.com/manufacturer/texas-instruments?pageNo=36", "Texas Instruments")</f>
        <v>Texas Instruments</v>
      </c>
      <c r="C21187" s="5">
        <v>281</v>
      </c>
      <c r="D21187" s="6">
        <v>4.2300000000000004</v>
      </c>
      <c r="E21187" t="s">
        <v>249</v>
      </c>
    </row>
    <row r="21188" spans="1:5" x14ac:dyDescent="0.25">
      <c r="A21188" t="str">
        <f>HYPERLINK("https://www.773grp.com/globalSearch/TLC072QDRQ1/page-1", "TLC072QDRQ1")</f>
        <v>TLC072QDRQ1</v>
      </c>
      <c r="B21188" s="3" t="str">
        <f>HYPERLINK("https://www.773grp.com/manufacturer/texas-instruments?pageNo=40", "Texas Instruments")</f>
        <v>Texas Instruments</v>
      </c>
      <c r="C21188" s="5">
        <v>17500</v>
      </c>
      <c r="D21188" s="6">
        <v>4.2300000000000004</v>
      </c>
      <c r="E21188" t="s">
        <v>249</v>
      </c>
    </row>
    <row r="21189" spans="1:5" x14ac:dyDescent="0.25">
      <c r="A21189" t="str">
        <f>HYPERLINK("https://www.773grp.com/globalSearch/TLC2254AIPWR/page-1", "TLC2254AIPWR")</f>
        <v>TLC2254AIPWR</v>
      </c>
      <c r="B21189" s="3" t="str">
        <f>HYPERLINK("https://www.773grp.com/manufacturer/texas-instruments?pageNo=57", "Texas Instruments")</f>
        <v>Texas Instruments</v>
      </c>
      <c r="C21189" s="5">
        <v>1000</v>
      </c>
      <c r="D21189" s="6">
        <v>4.2300000000000004</v>
      </c>
      <c r="E21189" t="s">
        <v>240</v>
      </c>
    </row>
    <row r="21190" spans="1:5" x14ac:dyDescent="0.25">
      <c r="A21190" t="str">
        <f>HYPERLINK("https://www.773grp.com/globalSearch/TLC2272QDR/page-1", "TLC2272QDR")</f>
        <v>TLC2272QDR</v>
      </c>
      <c r="B21190" s="3" t="str">
        <f>HYPERLINK("https://www.773grp.com/manufacturer/texas-instruments?pageNo=66", "Texas Instruments")</f>
        <v>Texas Instruments</v>
      </c>
      <c r="C21190" s="5">
        <v>2500</v>
      </c>
      <c r="D21190" s="6">
        <v>4.2300000000000004</v>
      </c>
      <c r="E21190" t="s">
        <v>257</v>
      </c>
    </row>
    <row r="21191" spans="1:5" x14ac:dyDescent="0.25">
      <c r="A21191" t="str">
        <f>HYPERLINK("https://www.773grp.com/globalSearch/TLC2272QPWRG4/page-1", "TLC2272QPWRG4")</f>
        <v>TLC2272QPWRG4</v>
      </c>
      <c r="B21191" s="3" t="str">
        <f>HYPERLINK("https://www.773grp.com/manufacturer/texas-instruments?pageNo=67", "Texas Instruments")</f>
        <v>Texas Instruments</v>
      </c>
      <c r="C21191" s="5">
        <v>4000</v>
      </c>
      <c r="D21191" s="6">
        <v>4.2300000000000004</v>
      </c>
      <c r="E21191" t="s">
        <v>258</v>
      </c>
    </row>
    <row r="21192" spans="1:5" x14ac:dyDescent="0.25">
      <c r="A21192" t="str">
        <f>HYPERLINK("https://www.773grp.com/globalSearch/TLC2274ACPWR/page-1", "TLC2274ACPWR")</f>
        <v>TLC2274ACPWR</v>
      </c>
      <c r="B21192" s="3" t="str">
        <f>HYPERLINK("https://www.773grp.com/manufacturer/texas-instruments?pageNo=68", "Texas Instruments")</f>
        <v>Texas Instruments</v>
      </c>
      <c r="C21192" s="5">
        <v>1513</v>
      </c>
      <c r="D21192" s="6">
        <v>4.2300000000000004</v>
      </c>
      <c r="E21192" t="s">
        <v>259</v>
      </c>
    </row>
    <row r="21193" spans="1:5" x14ac:dyDescent="0.25">
      <c r="A21193" t="str">
        <f>HYPERLINK("https://www.773grp.com/globalSearch/TLC59108IPWR/page-1", "TLC59108IPWR")</f>
        <v>TLC59108IPWR</v>
      </c>
      <c r="B21193" s="3" t="str">
        <f>HYPERLINK("https://www.773grp.com/manufacturer/texas-instruments?pageNo=72", "Texas Instruments")</f>
        <v>Texas Instruments</v>
      </c>
      <c r="C21193" s="5">
        <v>2000</v>
      </c>
      <c r="D21193" s="6">
        <v>4.2300000000000004</v>
      </c>
      <c r="E21193" t="s">
        <v>228</v>
      </c>
    </row>
    <row r="21194" spans="1:5" x14ac:dyDescent="0.25">
      <c r="A21194" t="str">
        <f>HYPERLINK("https://www.773grp.com/globalSearch/TLV2252AIDG4/page-1", "TLV2252AIDG4")</f>
        <v>TLV2252AIDG4</v>
      </c>
      <c r="B21194" s="3" t="str">
        <f>HYPERLINK("https://www.773grp.com/manufacturer/texas-instruments?pageNo=79", "Texas Instruments")</f>
        <v>Texas Instruments</v>
      </c>
      <c r="C21194" s="5">
        <v>452</v>
      </c>
      <c r="D21194" s="6">
        <v>4.2300000000000004</v>
      </c>
      <c r="E21194" t="s">
        <v>242</v>
      </c>
    </row>
    <row r="21195" spans="1:5" x14ac:dyDescent="0.25">
      <c r="A21195" t="str">
        <f>HYPERLINK("https://www.773grp.com/globalSearch/TLV2252AIPW/page-1", "TLV2252AIPW")</f>
        <v>TLV2252AIPW</v>
      </c>
      <c r="B21195" s="3" t="str">
        <f>HYPERLINK("https://www.773grp.com/manufacturer/texas-instruments?pageNo=81", "Texas Instruments")</f>
        <v>Texas Instruments</v>
      </c>
      <c r="C21195" s="5">
        <v>5700</v>
      </c>
      <c r="D21195" s="6">
        <v>4.2300000000000004</v>
      </c>
      <c r="E21195" t="s">
        <v>260</v>
      </c>
    </row>
    <row r="21196" spans="1:5" x14ac:dyDescent="0.25">
      <c r="A21196" t="str">
        <f>HYPERLINK("https://www.773grp.com/globalSearch/TLV2252AIPWG4/page-1", "TLV2252AIPWG4")</f>
        <v>TLV2252AIPWG4</v>
      </c>
      <c r="B21196" s="3" t="str">
        <f>HYPERLINK("https://www.773grp.com/manufacturer/texas-instruments?pageNo=82", "Texas Instruments")</f>
        <v>Texas Instruments</v>
      </c>
      <c r="C21196" s="5">
        <v>100</v>
      </c>
      <c r="D21196" s="6">
        <v>4.2300000000000004</v>
      </c>
      <c r="E21196" t="s">
        <v>224</v>
      </c>
    </row>
    <row r="21197" spans="1:5" x14ac:dyDescent="0.25">
      <c r="A21197" t="str">
        <f>HYPERLINK("https://www.773grp.com/globalSearch/TLV2252ID/page-1", "TLV2252ID")</f>
        <v>TLV2252ID</v>
      </c>
      <c r="B21197" s="3" t="str">
        <f>HYPERLINK("https://www.773grp.com/manufacturer/texas-instruments?pageNo=83", "Texas Instruments")</f>
        <v>Texas Instruments</v>
      </c>
      <c r="C21197" s="5">
        <v>1725</v>
      </c>
      <c r="D21197" s="6">
        <v>4.2300000000000004</v>
      </c>
      <c r="E21197" t="s">
        <v>224</v>
      </c>
    </row>
    <row r="21198" spans="1:5" x14ac:dyDescent="0.25">
      <c r="A21198" t="str">
        <f>HYPERLINK("https://www.773grp.com/globalSearch/TLV2372IDGK/page-1", "TLV2372IDGK")</f>
        <v>TLV2372IDGK</v>
      </c>
      <c r="B21198" s="3" t="str">
        <f>HYPERLINK("https://www.773grp.com/manufacturer/texas-instruments?pageNo=89", "Texas Instruments")</f>
        <v>Texas Instruments</v>
      </c>
      <c r="C21198" s="5">
        <v>240</v>
      </c>
      <c r="D21198" s="6">
        <v>4.2300000000000004</v>
      </c>
      <c r="E21198" t="s">
        <v>259</v>
      </c>
    </row>
    <row r="21199" spans="1:5" x14ac:dyDescent="0.25">
      <c r="A21199" t="str">
        <f>HYPERLINK("https://www.773grp.com/globalSearch/TLV2373IDGSR/page-1", "TLV2373IDGSR")</f>
        <v>TLV2373IDGSR</v>
      </c>
      <c r="B21199" s="3" t="str">
        <f>HYPERLINK("https://www.773grp.com/manufacturer/texas-instruments?pageNo=92", "Texas Instruments")</f>
        <v>Texas Instruments</v>
      </c>
      <c r="C21199" s="5">
        <v>2500</v>
      </c>
      <c r="D21199" s="6">
        <v>4.2300000000000004</v>
      </c>
      <c r="E21199" t="s">
        <v>249</v>
      </c>
    </row>
    <row r="21200" spans="1:5" x14ac:dyDescent="0.25">
      <c r="A21200" t="str">
        <f>HYPERLINK("https://www.773grp.com/globalSearch/TLV2422AIPWR/page-1", "TLV2422AIPWR")</f>
        <v>TLV2422AIPWR</v>
      </c>
      <c r="B21200" s="3" t="str">
        <f>HYPERLINK("https://www.773grp.com/manufacturer/texas-instruments?pageNo=98", "Texas Instruments")</f>
        <v>Texas Instruments</v>
      </c>
      <c r="C21200" s="5">
        <v>4000</v>
      </c>
      <c r="D21200" s="6">
        <v>4.2300000000000004</v>
      </c>
      <c r="E21200" t="s">
        <v>249</v>
      </c>
    </row>
    <row r="21201" spans="1:5" x14ac:dyDescent="0.25">
      <c r="A21201" t="str">
        <f>HYPERLINK("https://www.773grp.com/globalSearch/TLV2452CDGKR/page-1", "TLV2452CDGKR")</f>
        <v>TLV2452CDGKR</v>
      </c>
      <c r="B21201" s="3" t="str">
        <f>HYPERLINK("https://www.773grp.com/manufacturer/texas-instruments?pageNo=105", "Texas Instruments")</f>
        <v>Texas Instruments</v>
      </c>
      <c r="C21201" s="5">
        <v>849</v>
      </c>
      <c r="D21201" s="6">
        <v>4.2300000000000004</v>
      </c>
      <c r="E21201" t="s">
        <v>240</v>
      </c>
    </row>
    <row r="21202" spans="1:5" x14ac:dyDescent="0.25">
      <c r="A21202" t="str">
        <f>HYPERLINK("https://www.773grp.com/globalSearch/TLV2472CDGNR/page-1", "TLV2472CDGNR")</f>
        <v>TLV2472CDGNR</v>
      </c>
      <c r="B21202" s="3" t="str">
        <f>HYPERLINK("https://www.773grp.com/manufacturer/texas-instruments?pageNo=111", "Texas Instruments")</f>
        <v>Texas Instruments</v>
      </c>
      <c r="C21202" s="5">
        <v>25000</v>
      </c>
      <c r="D21202" s="6">
        <v>4.2300000000000004</v>
      </c>
      <c r="E21202" t="s">
        <v>228</v>
      </c>
    </row>
    <row r="21203" spans="1:5" x14ac:dyDescent="0.25">
      <c r="A21203" t="str">
        <f>HYPERLINK("https://www.773grp.com/globalSearch/TPS2069CDGN/page-1", "TPS2069CDGN")</f>
        <v>TPS2069CDGN</v>
      </c>
      <c r="B21203" s="3" t="str">
        <f>HYPERLINK("https://www.773grp.com/manufacturer/texas-instruments?pageNo=143", "Texas Instruments")</f>
        <v>Texas Instruments</v>
      </c>
      <c r="C21203" s="5">
        <v>480</v>
      </c>
      <c r="D21203" s="6">
        <v>4.2300000000000004</v>
      </c>
      <c r="E21203" t="s">
        <v>45</v>
      </c>
    </row>
    <row r="21204" spans="1:5" x14ac:dyDescent="0.25">
      <c r="A21204" t="str">
        <f>HYPERLINK("https://www.773grp.com/globalSearch/TPS2092D/page-1", "TPS2092D")</f>
        <v>TPS2092D</v>
      </c>
      <c r="B21204" s="3" t="str">
        <f>HYPERLINK("https://www.773grp.com/manufacturer/texas-instruments?pageNo=148", "Texas Instruments")</f>
        <v>Texas Instruments</v>
      </c>
      <c r="C21204" s="5">
        <v>150</v>
      </c>
      <c r="D21204" s="6">
        <v>4.2300000000000004</v>
      </c>
      <c r="E21204" t="s">
        <v>233</v>
      </c>
    </row>
    <row r="21205" spans="1:5" x14ac:dyDescent="0.25">
      <c r="A21205" t="str">
        <f>HYPERLINK("https://www.773grp.com/globalSearch/TPS2400DBVR/page-1", "TPS2400DBVR")</f>
        <v>TPS2400DBVR</v>
      </c>
      <c r="B21205" s="3" t="str">
        <f>HYPERLINK("https://www.773grp.com/manufacturer/texas-instruments?pageNo=150", "Texas Instruments")</f>
        <v>Texas Instruments</v>
      </c>
      <c r="C21205" s="5">
        <v>1016</v>
      </c>
      <c r="D21205" s="6">
        <v>4.2300000000000004</v>
      </c>
      <c r="E21205" t="s">
        <v>254</v>
      </c>
    </row>
    <row r="21206" spans="1:5" x14ac:dyDescent="0.25">
      <c r="A21206" t="str">
        <f>HYPERLINK("https://www.773grp.com/globalSearch/TPS2814DG4/page-1", "TPS2814DG4")</f>
        <v>TPS2814DG4</v>
      </c>
      <c r="B21206" s="3" t="str">
        <f>HYPERLINK("https://www.773grp.com/manufacturer/texas-instruments?pageNo=152", "Texas Instruments")</f>
        <v>Texas Instruments</v>
      </c>
      <c r="C21206" s="5">
        <v>115</v>
      </c>
      <c r="D21206" s="6">
        <v>4.2300000000000004</v>
      </c>
      <c r="E21206" t="s">
        <v>225</v>
      </c>
    </row>
    <row r="21207" spans="1:5" x14ac:dyDescent="0.25">
      <c r="A21207" t="str">
        <f>HYPERLINK("https://www.773grp.com/globalSearch/TPS3126E18DBVR/page-1", "TPS3126E18DBVR")</f>
        <v>TPS3126E18DBVR</v>
      </c>
      <c r="B21207" s="3" t="str">
        <f>HYPERLINK("https://www.773grp.com/manufacturer/texas-instruments?pageNo=154", "Texas Instruments")</f>
        <v>Texas Instruments</v>
      </c>
      <c r="C21207" s="5">
        <v>1123</v>
      </c>
      <c r="D21207" s="6">
        <v>4.2300000000000004</v>
      </c>
      <c r="E21207" t="s">
        <v>261</v>
      </c>
    </row>
    <row r="21208" spans="1:5" x14ac:dyDescent="0.25">
      <c r="A21208" t="str">
        <f>HYPERLINK("https://www.773grp.com/globalSearch/TPS3808G125QDBVRQ1/page-1", "TPS3808G125QDBVRQ1")</f>
        <v>TPS3808G125QDBVRQ1</v>
      </c>
      <c r="B21208" s="3" t="str">
        <f>HYPERLINK("https://www.773grp.com/manufacturer/texas-instruments?pageNo=156", "Texas Instruments")</f>
        <v>Texas Instruments</v>
      </c>
      <c r="C21208" s="5">
        <v>12000</v>
      </c>
      <c r="D21208" s="6">
        <v>4.2300000000000004</v>
      </c>
      <c r="E21208" t="s">
        <v>262</v>
      </c>
    </row>
    <row r="21209" spans="1:5" x14ac:dyDescent="0.25">
      <c r="A21209" t="str">
        <f>HYPERLINK("https://www.773grp.com/globalSearch/TPS3808G12QDBVRQ1/page-1", "TPS3808G12QDBVRQ1")</f>
        <v>TPS3808G12QDBVRQ1</v>
      </c>
      <c r="B21209" s="3" t="str">
        <f>HYPERLINK("https://www.773grp.com/manufacturer/texas-instruments?pageNo=158", "Texas Instruments")</f>
        <v>Texas Instruments</v>
      </c>
      <c r="C21209" s="5">
        <v>69000</v>
      </c>
      <c r="D21209" s="6">
        <v>4.2300000000000004</v>
      </c>
      <c r="E21209" t="s">
        <v>223</v>
      </c>
    </row>
    <row r="21210" spans="1:5" x14ac:dyDescent="0.25">
      <c r="A21210" t="str">
        <f>HYPERLINK("https://www.773grp.com/globalSearch/TPS3808G18DRVT/page-1", "TPS3808G18DRVT")</f>
        <v>TPS3808G18DRVT</v>
      </c>
      <c r="B21210" s="3" t="str">
        <f>HYPERLINK("https://www.773grp.com/manufacturer/texas-instruments?pageNo=159", "Texas Instruments")</f>
        <v>Texas Instruments</v>
      </c>
      <c r="C21210" s="5">
        <v>500</v>
      </c>
      <c r="D21210" s="6">
        <v>4.2300000000000004</v>
      </c>
      <c r="E21210" t="s">
        <v>219</v>
      </c>
    </row>
    <row r="21211" spans="1:5" x14ac:dyDescent="0.25">
      <c r="A21211" t="str">
        <f>HYPERLINK("https://www.773grp.com/globalSearch/TPS3808G30QDBVRQ1/page-1", "TPS3808G30QDBVRQ1")</f>
        <v>TPS3808G30QDBVRQ1</v>
      </c>
      <c r="B21211" s="3" t="str">
        <f>HYPERLINK("https://www.773grp.com/manufacturer/texas-instruments?pageNo=161", "Texas Instruments")</f>
        <v>Texas Instruments</v>
      </c>
      <c r="C21211" s="5">
        <v>6000</v>
      </c>
      <c r="D21211" s="6">
        <v>4.2300000000000004</v>
      </c>
      <c r="E21211" t="s">
        <v>263</v>
      </c>
    </row>
    <row r="21212" spans="1:5" x14ac:dyDescent="0.25">
      <c r="A21212" t="str">
        <f>HYPERLINK("https://www.773grp.com/globalSearch/TPS3808G33QDBVRQ1/page-1", "TPS3808G33QDBVRQ1")</f>
        <v>TPS3808G33QDBVRQ1</v>
      </c>
      <c r="B21212" s="3" t="str">
        <f>HYPERLINK("https://www.773grp.com/manufacturer/texas-instruments?pageNo=162", "Texas Instruments")</f>
        <v>Texas Instruments</v>
      </c>
      <c r="C21212" s="5">
        <v>43154</v>
      </c>
      <c r="D21212" s="6">
        <v>4.2300000000000004</v>
      </c>
      <c r="E21212" t="s">
        <v>237</v>
      </c>
    </row>
    <row r="21213" spans="1:5" x14ac:dyDescent="0.25">
      <c r="A21213" t="str">
        <f>HYPERLINK("https://www.773grp.com/globalSearch/TPS3838K33DB4/page-1", "TPS3838K33DB4")</f>
        <v>TPS3838K33DB4</v>
      </c>
      <c r="B21213" s="3" t="str">
        <f>HYPERLINK("https://www.773grp.com/manufacturer/texas-instruments?pageNo=164", "Texas Instruments")</f>
        <v>Texas Instruments</v>
      </c>
      <c r="C21213" s="5">
        <v>6</v>
      </c>
      <c r="D21213" s="6">
        <v>4.2300000000000004</v>
      </c>
      <c r="E21213" t="s">
        <v>249</v>
      </c>
    </row>
    <row r="21214" spans="1:5" x14ac:dyDescent="0.25">
      <c r="A21214" t="str">
        <f>HYPERLINK("https://www.773grp.com/globalSearch/TPS40210DRCR/page-1", "TPS40210DRCR")</f>
        <v>TPS40210DRCR</v>
      </c>
      <c r="B21214" s="3" t="str">
        <f>HYPERLINK("https://www.773grp.com/manufacturer/texas-instruments?pageNo=165", "Texas Instruments")</f>
        <v>Texas Instruments</v>
      </c>
      <c r="C21214" s="5">
        <v>18000</v>
      </c>
      <c r="D21214" s="6">
        <v>4.2300000000000004</v>
      </c>
      <c r="E21214" t="s">
        <v>219</v>
      </c>
    </row>
    <row r="21215" spans="1:5" x14ac:dyDescent="0.25">
      <c r="A21215" t="str">
        <f>HYPERLINK("https://www.773grp.com/globalSearch/TPS60124PWPR/page-1", "TPS60124PWPR")</f>
        <v>TPS60124PWPR</v>
      </c>
      <c r="B21215" s="3" t="str">
        <f>HYPERLINK("https://www.773grp.com/manufacturer/texas-instruments?pageNo=170", "Texas Instruments")</f>
        <v>Texas Instruments</v>
      </c>
      <c r="C21215" s="5">
        <v>6000</v>
      </c>
      <c r="D21215" s="6">
        <v>4.2300000000000004</v>
      </c>
      <c r="E21215" t="s">
        <v>248</v>
      </c>
    </row>
    <row r="21216" spans="1:5" x14ac:dyDescent="0.25">
      <c r="A21216" t="str">
        <f>HYPERLINK("https://www.773grp.com/globalSearch/TPS60125PWP/page-1", "TPS60125PWP")</f>
        <v>TPS60125PWP</v>
      </c>
      <c r="B21216" s="3" t="str">
        <f>HYPERLINK("https://www.773grp.com/manufacturer/texas-instruments?pageNo=171", "Texas Instruments")</f>
        <v>Texas Instruments</v>
      </c>
      <c r="C21216" s="5">
        <v>770</v>
      </c>
      <c r="D21216" s="6">
        <v>4.2300000000000004</v>
      </c>
      <c r="E21216" t="s">
        <v>248</v>
      </c>
    </row>
    <row r="21217" spans="1:5" x14ac:dyDescent="0.25">
      <c r="A21217" t="str">
        <f>HYPERLINK("https://www.773grp.com/globalSearch/TPS61020DRCR/page-1", "TPS61020DRCR")</f>
        <v>TPS61020DRCR</v>
      </c>
      <c r="B21217" s="3" t="str">
        <f>HYPERLINK("https://www.773grp.com/manufacturer/texas-instruments?pageNo=182", "Texas Instruments")</f>
        <v>Texas Instruments</v>
      </c>
      <c r="C21217" s="5">
        <v>9388</v>
      </c>
      <c r="D21217" s="6">
        <v>4.2300000000000004</v>
      </c>
      <c r="E21217" t="s">
        <v>248</v>
      </c>
    </row>
    <row r="21218" spans="1:5" x14ac:dyDescent="0.25">
      <c r="A21218" t="str">
        <f>HYPERLINK("https://www.773grp.com/globalSearch/TPS62206DBVR/page-1", "TPS62206DBVR")</f>
        <v>TPS62206DBVR</v>
      </c>
      <c r="B21218" s="3" t="str">
        <f>HYPERLINK("https://www.773grp.com/manufacturer/texas-instruments?pageNo=190", "Texas Instruments")</f>
        <v>Texas Instruments</v>
      </c>
      <c r="C21218" s="5">
        <v>12000</v>
      </c>
      <c r="D21218" s="6">
        <v>4.2300000000000004</v>
      </c>
      <c r="E21218" t="s">
        <v>224</v>
      </c>
    </row>
    <row r="21219" spans="1:5" x14ac:dyDescent="0.25">
      <c r="A21219" t="str">
        <f>HYPERLINK("https://www.773grp.com/globalSearch/TPS62290DRVR/page-1", "TPS62290DRVR")</f>
        <v>TPS62290DRVR</v>
      </c>
      <c r="B21219" s="3" t="str">
        <f>HYPERLINK("https://www.773grp.com/manufacturer/texas-instruments?pageNo=191", "Texas Instruments")</f>
        <v>Texas Instruments</v>
      </c>
      <c r="C21219" s="5">
        <v>6000</v>
      </c>
      <c r="D21219" s="6">
        <v>4.2300000000000004</v>
      </c>
      <c r="E21219" t="s">
        <v>240</v>
      </c>
    </row>
    <row r="21220" spans="1:5" x14ac:dyDescent="0.25">
      <c r="A21220" t="str">
        <f>HYPERLINK("https://www.773grp.com/globalSearch/TPS62293DRVR/page-1", "TPS62293DRVR")</f>
        <v>TPS62293DRVR</v>
      </c>
      <c r="B21220" s="3" t="str">
        <f>HYPERLINK("https://www.773grp.com/manufacturer/texas-instruments?pageNo=193", "Texas Instruments")</f>
        <v>Texas Instruments</v>
      </c>
      <c r="C21220" s="5">
        <v>9000</v>
      </c>
      <c r="D21220" s="6">
        <v>4.2300000000000004</v>
      </c>
      <c r="E21220" t="s">
        <v>240</v>
      </c>
    </row>
    <row r="21221" spans="1:5" x14ac:dyDescent="0.25">
      <c r="A21221" t="str">
        <f>HYPERLINK("https://www.773grp.com/globalSearch/TPS65194RGER/page-1", "TPS65194RGER")</f>
        <v>TPS65194RGER</v>
      </c>
      <c r="B21221" s="3" t="str">
        <f>HYPERLINK("https://www.773grp.com/manufacturer/texas-instruments?pageNo=195", "Texas Instruments")</f>
        <v>Texas Instruments</v>
      </c>
      <c r="C21221" s="5">
        <v>3000</v>
      </c>
      <c r="D21221" s="6">
        <v>4.2300000000000004</v>
      </c>
      <c r="E21221" t="s">
        <v>248</v>
      </c>
    </row>
    <row r="21222" spans="1:5" x14ac:dyDescent="0.25">
      <c r="A21222" t="str">
        <f>HYPERLINK("https://www.773grp.com/globalSearch/TPS73601DRBR/page-1", "TPS73601DRBR")</f>
        <v>TPS73601DRBR</v>
      </c>
      <c r="B21222" s="3" t="str">
        <f>HYPERLINK("https://www.773grp.com/manufacturer/texas-instruments?pageNo=200", "Texas Instruments")</f>
        <v>Texas Instruments</v>
      </c>
      <c r="C21222" s="5">
        <v>1589</v>
      </c>
      <c r="D21222" s="6">
        <v>4.2300000000000004</v>
      </c>
      <c r="E21222" t="s">
        <v>14</v>
      </c>
    </row>
    <row r="21223" spans="1:5" x14ac:dyDescent="0.25">
      <c r="A21223" t="str">
        <f>HYPERLINK("https://www.773grp.com/globalSearch/TPS79433DCQG4/page-1", "TPS79433DCQG4")</f>
        <v>TPS79433DCQG4</v>
      </c>
      <c r="B21223" s="3" t="str">
        <f>HYPERLINK("https://www.773grp.com/manufacturer/texas-instruments?pageNo=218", "Texas Instruments")</f>
        <v>Texas Instruments</v>
      </c>
      <c r="C21223" s="5">
        <v>130</v>
      </c>
      <c r="D21223" s="6">
        <v>4.2300000000000004</v>
      </c>
      <c r="E21223" t="s">
        <v>240</v>
      </c>
    </row>
    <row r="21224" spans="1:5" x14ac:dyDescent="0.25">
      <c r="A21224" t="str">
        <f>HYPERLINK("https://www.773grp.com/globalSearch/TWL3025BGQW/page-1", "TWL3025BGQW")</f>
        <v>TWL3025BGQW</v>
      </c>
      <c r="B21224" s="3" t="str">
        <f>HYPERLINK("https://www.773grp.com/manufacturer/texas-instruments?pageNo=220", "Texas Instruments")</f>
        <v>Texas Instruments</v>
      </c>
      <c r="C21224" s="5">
        <v>2803</v>
      </c>
      <c r="D21224" s="6">
        <v>4.2300000000000004</v>
      </c>
      <c r="E21224" t="s">
        <v>248</v>
      </c>
    </row>
    <row r="21225" spans="1:5" x14ac:dyDescent="0.25">
      <c r="A21225" t="str">
        <f>HYPERLINK("https://www.773grp.com/globalSearch/TXB0108YS/page-1", "TXB0108YS")</f>
        <v>TXB0108YS</v>
      </c>
      <c r="B21225" s="3" t="str">
        <f>HYPERLINK("https://www.773grp.com/manufacturer/texas-instruments?pageNo=223", "Texas Instruments")</f>
        <v>Texas Instruments</v>
      </c>
      <c r="C21225" s="5">
        <v>165494</v>
      </c>
      <c r="D21225" s="6">
        <v>4.2300000000000004</v>
      </c>
      <c r="E21225" t="s">
        <v>240</v>
      </c>
    </row>
    <row r="21226" spans="1:5" x14ac:dyDescent="0.25">
      <c r="A21226" t="str">
        <f>HYPERLINK("https://www.773grp.com/globalSearch/TXS0108ERGYR/page-1", "TXS0108ERGYR")</f>
        <v>TXS0108ERGYR</v>
      </c>
      <c r="B21226" s="3" t="str">
        <f>HYPERLINK("https://www.773grp.com/manufacturer/texas-instruments?pageNo=225", "Texas Instruments")</f>
        <v>Texas Instruments</v>
      </c>
      <c r="C21226" s="5">
        <v>3000</v>
      </c>
      <c r="D21226" s="6">
        <v>4.2300000000000004</v>
      </c>
      <c r="E21226" t="s">
        <v>224</v>
      </c>
    </row>
    <row r="21227" spans="1:5" x14ac:dyDescent="0.25">
      <c r="A21227" t="str">
        <f>HYPERLINK("https://www.773grp.com/globalSearch/UC2524ADWG4/page-1", "UC2524ADWG4")</f>
        <v>UC2524ADWG4</v>
      </c>
      <c r="B21227" s="3" t="str">
        <f>HYPERLINK("https://www.773grp.com/manufacturer/texas-instruments?pageNo=228", "Texas Instruments")</f>
        <v>Texas Instruments</v>
      </c>
      <c r="C21227" s="5">
        <v>120</v>
      </c>
      <c r="D21227" s="6">
        <v>4.2300000000000004</v>
      </c>
      <c r="E21227" t="s">
        <v>244</v>
      </c>
    </row>
    <row r="21228" spans="1:5" x14ac:dyDescent="0.25">
      <c r="A21228" t="str">
        <f>HYPERLINK("https://www.773grp.com/globalSearch/UC3525ADW/page-1", "UC3525ADW")</f>
        <v>UC3525ADW</v>
      </c>
      <c r="B21228" s="3" t="str">
        <f>HYPERLINK("https://www.773grp.com/manufacturer/texas-instruments?pageNo=231", "Texas Instruments")</f>
        <v>Texas Instruments</v>
      </c>
      <c r="C21228" s="5">
        <v>480</v>
      </c>
      <c r="D21228" s="6">
        <v>4.2300000000000004</v>
      </c>
      <c r="E21228" t="s">
        <v>254</v>
      </c>
    </row>
    <row r="21229" spans="1:5" x14ac:dyDescent="0.25">
      <c r="A21229" t="str">
        <f>HYPERLINK("https://www.773grp.com/globalSearch/UC3843AD-F/page-1", "UC3843AD-F")</f>
        <v>UC3843AD-F</v>
      </c>
      <c r="B21229" s="3" t="str">
        <f>HYPERLINK("https://www.773grp.com/manufacturer/texas-instruments?pageNo=236", "Texas Instruments")</f>
        <v>Texas Instruments</v>
      </c>
      <c r="C21229" s="5">
        <v>300</v>
      </c>
      <c r="D21229" s="6">
        <v>4.2300000000000004</v>
      </c>
      <c r="E21229" t="s">
        <v>248</v>
      </c>
    </row>
    <row r="21230" spans="1:5" x14ac:dyDescent="0.25">
      <c r="A21230" t="str">
        <f>HYPERLINK("https://www.773grp.com/globalSearch/MAX3223EIDB/page-1", "MAX3223EIDB")</f>
        <v>MAX3223EIDB</v>
      </c>
      <c r="B21230" s="3" t="str">
        <f>HYPERLINK("https://www.773grp.com/manufacturer/texas-instruments?pageNo=245", "Texas Instruments")</f>
        <v>Texas Instruments</v>
      </c>
      <c r="C21230" s="5">
        <v>130</v>
      </c>
      <c r="D21230" s="6">
        <v>3.83</v>
      </c>
      <c r="E21230" t="s">
        <v>248</v>
      </c>
    </row>
    <row r="21231" spans="1:5" x14ac:dyDescent="0.25">
      <c r="A21231" t="str">
        <f>HYPERLINK("https://www.773grp.com/globalSearch/MAX3223IPWG4/page-1", "MAX3223IPWG4")</f>
        <v>MAX3223IPWG4</v>
      </c>
      <c r="B21231" s="3" t="str">
        <f>HYPERLINK("https://www.773grp.com/manufacturer/texas-instruments?pageNo=250", "Texas Instruments")</f>
        <v>Texas Instruments</v>
      </c>
      <c r="C21231" s="5">
        <v>140</v>
      </c>
      <c r="D21231" s="6">
        <v>3.83</v>
      </c>
      <c r="E21231" t="s">
        <v>254</v>
      </c>
    </row>
    <row r="21232" spans="1:5" x14ac:dyDescent="0.25">
      <c r="A21232" t="str">
        <f>HYPERLINK("https://www.773grp.com/globalSearch/SN65ALS180DRCT/page-1", "SN65ALS180DRCT")</f>
        <v>SN65ALS180DRCT</v>
      </c>
      <c r="B21232" s="3" t="str">
        <f>HYPERLINK("https://www.773grp.com/manufacturer/texas-instruments?pageNo=253", "Texas Instruments")</f>
        <v>Texas Instruments</v>
      </c>
      <c r="C21232" s="5">
        <v>5000</v>
      </c>
      <c r="D21232" s="6">
        <v>3.83</v>
      </c>
      <c r="E21232" t="s">
        <v>264</v>
      </c>
    </row>
    <row r="21233" spans="1:5" x14ac:dyDescent="0.25">
      <c r="A21233" t="str">
        <f>HYPERLINK("https://www.773grp.com/globalSearch/SN74128NSR/page-1", "SN74128NSR")</f>
        <v>SN74128NSR</v>
      </c>
      <c r="B21233" s="3" t="str">
        <f>HYPERLINK("https://www.773grp.com/manufacturer/texas-instruments?pageNo=260", "Texas Instruments")</f>
        <v>Texas Instruments</v>
      </c>
      <c r="C21233" s="5">
        <v>4000</v>
      </c>
      <c r="D21233" s="6">
        <v>3.83</v>
      </c>
      <c r="E21233" t="s">
        <v>254</v>
      </c>
    </row>
    <row r="21234" spans="1:5" x14ac:dyDescent="0.25">
      <c r="A21234" t="str">
        <f>HYPERLINK("https://www.773grp.com/globalSearch/SN74ABT16827DGGR/page-1", "SN74ABT16827DGGR")</f>
        <v>SN74ABT16827DGGR</v>
      </c>
      <c r="B21234" s="3" t="str">
        <f>HYPERLINK("https://www.773grp.com/manufacturer/texas-instruments?pageNo=264", "Texas Instruments")</f>
        <v>Texas Instruments</v>
      </c>
      <c r="C21234" s="5">
        <v>2000</v>
      </c>
      <c r="D21234" s="6">
        <v>3.83</v>
      </c>
      <c r="E21234" t="s">
        <v>224</v>
      </c>
    </row>
    <row r="21235" spans="1:5" x14ac:dyDescent="0.25">
      <c r="A21235" t="str">
        <f>HYPERLINK("https://www.773grp.com/globalSearch/SN74AS194NS/page-1", "SN74AS194NS")</f>
        <v>SN74AS194NS</v>
      </c>
      <c r="B21235" s="3" t="str">
        <f>HYPERLINK("https://www.773grp.com/manufacturer/texas-instruments?pageNo=275", "Texas Instruments")</f>
        <v>Texas Instruments</v>
      </c>
      <c r="C21235" s="5">
        <v>8550</v>
      </c>
      <c r="D21235" s="6">
        <v>3.83</v>
      </c>
      <c r="E21235" t="s">
        <v>265</v>
      </c>
    </row>
    <row r="21236" spans="1:5" x14ac:dyDescent="0.25">
      <c r="A21236" t="str">
        <f>HYPERLINK("https://www.773grp.com/globalSearch/SN74S140NSR/page-1", "SN74S140NSR")</f>
        <v>SN74S140NSR</v>
      </c>
      <c r="B21236" s="3" t="str">
        <f>HYPERLINK("https://www.773grp.com/manufacturer/texas-instruments?pageNo=289", "Texas Instruments")</f>
        <v>Texas Instruments</v>
      </c>
      <c r="C21236" s="5">
        <v>17975</v>
      </c>
      <c r="D21236" s="6">
        <v>3.83</v>
      </c>
      <c r="E21236" t="s">
        <v>219</v>
      </c>
    </row>
    <row r="21237" spans="1:5" x14ac:dyDescent="0.25">
      <c r="A21237" t="str">
        <f>HYPERLINK("https://www.773grp.com/globalSearch/TP3064BW/page-1", "TP3064BW")</f>
        <v>TP3064BW</v>
      </c>
      <c r="B21237" s="3" t="str">
        <f>HYPERLINK("https://www.773grp.com/manufacturer/texas-instruments?pageNo=304", "Texas Instruments")</f>
        <v>Texas Instruments</v>
      </c>
      <c r="C21237" s="5">
        <v>5</v>
      </c>
      <c r="D21237" s="6">
        <v>3.83</v>
      </c>
      <c r="E21237" t="s">
        <v>266</v>
      </c>
    </row>
    <row r="21238" spans="1:5" x14ac:dyDescent="0.25">
      <c r="A21238" t="str">
        <f>HYPERLINK("https://www.773grp.com/globalSearch/TRS3223EIDW/page-1", "TRS3223EIDW")</f>
        <v>TRS3223EIDW</v>
      </c>
      <c r="B21238" s="3" t="str">
        <f>HYPERLINK("https://www.773grp.com/manufacturer/texas-instruments?pageNo=314", "Texas Instruments")</f>
        <v>Texas Instruments</v>
      </c>
      <c r="C21238" s="5">
        <v>3700</v>
      </c>
      <c r="D21238" s="6">
        <v>3.83</v>
      </c>
      <c r="E21238" t="s">
        <v>267</v>
      </c>
    </row>
    <row r="21239" spans="1:5" x14ac:dyDescent="0.25">
      <c r="A21239" t="str">
        <f>HYPERLINK("https://www.773grp.com/globalSearch/LMP8602QMME-NOPB/page-1", "LMP8602QMME-NOPB")</f>
        <v>LMP8602QMME-NOPB</v>
      </c>
      <c r="B21239" s="3" t="str">
        <f>HYPERLINK("https://www.773grp.com/manufacturer/texas-instruments?pageNo=317", "Texas Instruments")</f>
        <v>Texas Instruments</v>
      </c>
      <c r="C21239" s="5">
        <v>100</v>
      </c>
      <c r="D21239" s="6">
        <v>3.85</v>
      </c>
      <c r="E21239" t="s">
        <v>244</v>
      </c>
    </row>
    <row r="21240" spans="1:5" x14ac:dyDescent="0.25">
      <c r="A21240" t="str">
        <f>HYPERLINK("https://www.773grp.com/globalSearch/SN40180J/page-1", "SN40180J")</f>
        <v>SN40180J</v>
      </c>
      <c r="B21240" s="3" t="str">
        <f>HYPERLINK("https://www.773grp.com/manufacturer/texas-instruments?pageNo=328", "Texas Instruments")</f>
        <v>Texas Instruments</v>
      </c>
      <c r="C21240" s="5">
        <v>148</v>
      </c>
      <c r="D21240" s="6">
        <v>3.85</v>
      </c>
      <c r="E21240" t="s">
        <v>79</v>
      </c>
    </row>
    <row r="21241" spans="1:5" x14ac:dyDescent="0.25">
      <c r="A21241" t="str">
        <f>HYPERLINK("https://www.773grp.com/globalSearch/SN74ALS158NS/page-1", "SN74ALS158NS")</f>
        <v>SN74ALS158NS</v>
      </c>
      <c r="B21241" s="3" t="str">
        <f>HYPERLINK("https://www.773grp.com/manufacturer/texas-instruments?pageNo=340", "Texas Instruments")</f>
        <v>Texas Instruments</v>
      </c>
      <c r="C21241" s="5">
        <v>6950</v>
      </c>
      <c r="D21241" s="6">
        <v>3.85</v>
      </c>
      <c r="E21241" t="s">
        <v>240</v>
      </c>
    </row>
    <row r="21242" spans="1:5" x14ac:dyDescent="0.25">
      <c r="A21242" t="str">
        <f>HYPERLINK("https://www.773grp.com/globalSearch/LM25085MYE-NOPB/page-1", "LM25085MYE-NOPB")</f>
        <v>LM25085MYE-NOPB</v>
      </c>
      <c r="B21242" s="3" t="str">
        <f>HYPERLINK("https://www.773grp.com/manufacturer/texas-instruments?pageNo=363", "Texas Instruments")</f>
        <v>Texas Instruments</v>
      </c>
      <c r="C21242" s="5">
        <v>210</v>
      </c>
      <c r="D21242" s="6">
        <v>4.28</v>
      </c>
      <c r="E21242" t="s">
        <v>224</v>
      </c>
    </row>
    <row r="21243" spans="1:5" x14ac:dyDescent="0.25">
      <c r="A21243" t="str">
        <f>HYPERLINK("https://www.773grp.com/globalSearch/LM2940IMP-9.0-NOPB/page-1", "LM2940IMP-9.0-NOPB")</f>
        <v>LM2940IMP-9.0-NOPB</v>
      </c>
      <c r="B21243" s="3" t="str">
        <f>HYPERLINK("https://www.773grp.com/manufacturer/texas-instruments?pageNo=364", "Texas Instruments")</f>
        <v>Texas Instruments</v>
      </c>
      <c r="C21243" s="5">
        <v>942</v>
      </c>
      <c r="D21243" s="6">
        <v>4.28</v>
      </c>
      <c r="E21243" t="s">
        <v>265</v>
      </c>
    </row>
    <row r="21244" spans="1:5" x14ac:dyDescent="0.25">
      <c r="A21244" t="str">
        <f>HYPERLINK("https://www.773grp.com/globalSearch/LM338T-NOPB/page-1", "LM338T-NOPB")</f>
        <v>LM338T-NOPB</v>
      </c>
      <c r="B21244" s="3" t="str">
        <f>HYPERLINK("https://www.773grp.com/manufacturer/texas-instruments?pageNo=365", "Texas Instruments")</f>
        <v>Texas Instruments</v>
      </c>
      <c r="C21244" s="5">
        <v>3780</v>
      </c>
      <c r="D21244" s="6">
        <v>4.28</v>
      </c>
      <c r="E21244" t="s">
        <v>263</v>
      </c>
    </row>
    <row r="21245" spans="1:5" x14ac:dyDescent="0.25">
      <c r="A21245" t="str">
        <f>HYPERLINK("https://www.773grp.com/globalSearch/LM385BXZ-2.5-NOPB/page-1", "LM385BXZ-2.5-NOPB")</f>
        <v>LM385BXZ-2.5-NOPB</v>
      </c>
      <c r="B21245" s="3" t="str">
        <f>HYPERLINK("https://www.773grp.com/manufacturer/texas-instruments?pageNo=366", "Texas Instruments")</f>
        <v>Texas Instruments</v>
      </c>
      <c r="C21245" s="5">
        <v>1749</v>
      </c>
      <c r="D21245" s="6">
        <v>4.28</v>
      </c>
      <c r="E21245" t="s">
        <v>14</v>
      </c>
    </row>
    <row r="21246" spans="1:5" x14ac:dyDescent="0.25">
      <c r="A21246" t="str">
        <f>HYPERLINK("https://www.773grp.com/globalSearch/LMH6611MKE-NOPB/page-1", "LMH6611MKE-NOPB")</f>
        <v>LMH6611MKE-NOPB</v>
      </c>
      <c r="B21246" s="3" t="str">
        <f>HYPERLINK("https://www.773grp.com/manufacturer/texas-instruments?pageNo=367", "Texas Instruments")</f>
        <v>Texas Instruments</v>
      </c>
      <c r="C21246" s="5">
        <v>169</v>
      </c>
      <c r="D21246" s="6">
        <v>4.28</v>
      </c>
      <c r="E21246" t="s">
        <v>237</v>
      </c>
    </row>
    <row r="21247" spans="1:5" x14ac:dyDescent="0.25">
      <c r="A21247" t="str">
        <f>HYPERLINK("https://www.773grp.com/globalSearch/LMH6654MF-NOPB/page-1", "LMH6654MF-NOPB")</f>
        <v>LMH6654MF-NOPB</v>
      </c>
      <c r="B21247" s="3" t="str">
        <f>HYPERLINK("https://www.773grp.com/manufacturer/texas-instruments?pageNo=368", "Texas Instruments")</f>
        <v>Texas Instruments</v>
      </c>
      <c r="C21247" s="5">
        <v>50</v>
      </c>
      <c r="D21247" s="6">
        <v>4.28</v>
      </c>
      <c r="E21247" t="s">
        <v>233</v>
      </c>
    </row>
    <row r="21248" spans="1:5" x14ac:dyDescent="0.25">
      <c r="A21248" t="str">
        <f>HYPERLINK("https://www.773grp.com/globalSearch/SN74HC541APWLE/page-1", "SN74HC541APWLE")</f>
        <v>SN74HC541APWLE</v>
      </c>
      <c r="B21248" s="3" t="str">
        <f>HYPERLINK("https://www.773grp.com/manufacturer/texas-instruments?pageNo=375", "Texas Instruments")</f>
        <v>Texas Instruments</v>
      </c>
      <c r="C21248" s="5">
        <v>1000</v>
      </c>
      <c r="D21248" s="6">
        <v>4.28</v>
      </c>
      <c r="E21248" t="s">
        <v>268</v>
      </c>
    </row>
    <row r="21249" spans="1:5" x14ac:dyDescent="0.25">
      <c r="A21249" t="str">
        <f>HYPERLINK("https://www.773grp.com/globalSearch/TLV62065DSGT/page-1", "TLV62065DSGT")</f>
        <v>TLV62065DSGT</v>
      </c>
      <c r="B21249" s="3" t="str">
        <f>HYPERLINK("https://www.773grp.com/manufacturer/texas-instruments?pageNo=382", "Texas Instruments")</f>
        <v>Texas Instruments</v>
      </c>
      <c r="C21249" s="5">
        <v>10500</v>
      </c>
      <c r="D21249" s="6">
        <v>4.28</v>
      </c>
      <c r="E21249" t="s">
        <v>269</v>
      </c>
    </row>
    <row r="21250" spans="1:5" x14ac:dyDescent="0.25">
      <c r="A21250" t="str">
        <f>HYPERLINK("https://www.773grp.com/globalSearch/TPS54228DRCT/page-1", "TPS54228DRCT")</f>
        <v>TPS54228DRCT</v>
      </c>
      <c r="B21250" s="3" t="str">
        <f>HYPERLINK("https://www.773grp.com/manufacturer/texas-instruments?pageNo=384", "Texas Instruments")</f>
        <v>Texas Instruments</v>
      </c>
      <c r="C21250" s="5">
        <v>500</v>
      </c>
      <c r="D21250" s="6">
        <v>4.28</v>
      </c>
      <c r="E21250" t="s">
        <v>201</v>
      </c>
    </row>
    <row r="21251" spans="1:5" x14ac:dyDescent="0.25">
      <c r="A21251" t="str">
        <f>HYPERLINK("https://www.773grp.com/globalSearch/UCC28C43P/page-1", "UCC28C43P")</f>
        <v>UCC28C43P</v>
      </c>
      <c r="B21251" s="3" t="str">
        <f>HYPERLINK("https://www.773grp.com/manufacturer/texas-instruments?pageNo=394", "Texas Instruments")</f>
        <v>Texas Instruments</v>
      </c>
      <c r="C21251" s="5">
        <v>100</v>
      </c>
      <c r="D21251" s="6">
        <v>4.28</v>
      </c>
      <c r="E21251" t="s">
        <v>252</v>
      </c>
    </row>
    <row r="21252" spans="1:5" x14ac:dyDescent="0.25">
      <c r="A21252" t="str">
        <f>HYPERLINK("https://www.773grp.com/globalSearch/UCC38C43PG4/page-1", "UCC38C43PG4")</f>
        <v>UCC38C43PG4</v>
      </c>
      <c r="B21252" s="3" t="str">
        <f>HYPERLINK("https://www.773grp.com/manufacturer/texas-instruments?pageNo=400", "Texas Instruments")</f>
        <v>Texas Instruments</v>
      </c>
      <c r="C21252" s="5">
        <v>69</v>
      </c>
      <c r="D21252" s="6">
        <v>4.28</v>
      </c>
      <c r="E21252" t="s">
        <v>249</v>
      </c>
    </row>
    <row r="21253" spans="1:5" x14ac:dyDescent="0.25">
      <c r="A21253" t="str">
        <f>HYPERLINK("https://www.773grp.com/globalSearch/LMH6720MA/page-1", "LMH6720MA")</f>
        <v>LMH6720MA</v>
      </c>
      <c r="B21253" s="3" t="str">
        <f>HYPERLINK("https://www.773grp.com/manufacturer/texas-instruments?pageNo=409", "Texas Instruments")</f>
        <v>Texas Instruments</v>
      </c>
      <c r="C21253" s="5">
        <v>20520</v>
      </c>
      <c r="D21253" s="6">
        <v>3.89</v>
      </c>
      <c r="E21253" t="s">
        <v>219</v>
      </c>
    </row>
    <row r="21254" spans="1:5" x14ac:dyDescent="0.25">
      <c r="A21254" t="str">
        <f>HYPERLINK("https://www.773grp.com/globalSearch/LP3875ESX-ADJ-NOPB/page-1", "LP3875ESX-ADJ-NOPB")</f>
        <v>LP3875ESX-ADJ-NOPB</v>
      </c>
      <c r="B21254" s="3" t="str">
        <f>HYPERLINK("https://www.773grp.com/manufacturer/texas-instruments?pageNo=410", "Texas Instruments")</f>
        <v>Texas Instruments</v>
      </c>
      <c r="C21254" s="5">
        <v>1400</v>
      </c>
      <c r="D21254" s="6">
        <v>3.89</v>
      </c>
      <c r="E21254" t="s">
        <v>242</v>
      </c>
    </row>
    <row r="21255" spans="1:5" x14ac:dyDescent="0.25">
      <c r="A21255" t="str">
        <f>HYPERLINK("https://www.773grp.com/globalSearch/LP3965ESX-1.8-NOPB/page-1", "LP3965ESX-1.8-NOPB")</f>
        <v>LP3965ESX-1.8-NOPB</v>
      </c>
      <c r="B21255" s="3" t="str">
        <f>HYPERLINK("https://www.773grp.com/manufacturer/texas-instruments?pageNo=411", "Texas Instruments")</f>
        <v>Texas Instruments</v>
      </c>
      <c r="C21255" s="5">
        <v>500</v>
      </c>
      <c r="D21255" s="6">
        <v>3.89</v>
      </c>
      <c r="E21255" t="s">
        <v>219</v>
      </c>
    </row>
    <row r="21256" spans="1:5" x14ac:dyDescent="0.25">
      <c r="A21256" t="str">
        <f>HYPERLINK("https://www.773grp.com/globalSearch/LP3965ESX-ADJ-NOPB/page-1", "LP3965ESX-ADJ-NOPB")</f>
        <v>LP3965ESX-ADJ-NOPB</v>
      </c>
      <c r="B21256" s="3" t="str">
        <f>HYPERLINK("https://www.773grp.com/manufacturer/texas-instruments?pageNo=412", "Texas Instruments")</f>
        <v>Texas Instruments</v>
      </c>
      <c r="C21256" s="5">
        <v>3000</v>
      </c>
      <c r="D21256" s="6">
        <v>3.89</v>
      </c>
      <c r="E21256" t="s">
        <v>248</v>
      </c>
    </row>
    <row r="21257" spans="1:5" x14ac:dyDescent="0.25">
      <c r="A21257" t="str">
        <f>HYPERLINK("https://www.773grp.com/globalSearch/REF1117-2.85/page-1", "REF1117-2.85")</f>
        <v>REF1117-2.85</v>
      </c>
      <c r="B21257" s="3" t="str">
        <f>HYPERLINK("https://www.773grp.com/manufacturer/texas-instruments?pageNo=418", "Texas Instruments")</f>
        <v>Texas Instruments</v>
      </c>
      <c r="C21257" s="5">
        <v>10121</v>
      </c>
      <c r="D21257" s="6">
        <v>3.89</v>
      </c>
      <c r="E21257" t="s">
        <v>263</v>
      </c>
    </row>
    <row r="21258" spans="1:5" x14ac:dyDescent="0.25">
      <c r="A21258" t="str">
        <f>HYPERLINK("https://www.773grp.com/globalSearch/REG1117-1/page-1", "REG1117-1")</f>
        <v>REG1117-1</v>
      </c>
      <c r="B21258" s="3" t="str">
        <f>HYPERLINK("https://www.773grp.com/manufacturer/texas-instruments?pageNo=419", "Texas Instruments")</f>
        <v>Texas Instruments</v>
      </c>
      <c r="C21258" s="5">
        <v>3935</v>
      </c>
      <c r="D21258" s="6">
        <v>3.89</v>
      </c>
      <c r="E21258" t="s">
        <v>224</v>
      </c>
    </row>
    <row r="21259" spans="1:5" x14ac:dyDescent="0.25">
      <c r="A21259" t="str">
        <f>HYPERLINK("https://www.773grp.com/globalSearch/SN65ELT21DGK/page-1", "SN65ELT21DGK")</f>
        <v>SN65ELT21DGK</v>
      </c>
      <c r="B21259" s="3" t="str">
        <f>HYPERLINK("https://www.773grp.com/manufacturer/texas-instruments?pageNo=422", "Texas Instruments")</f>
        <v>Texas Instruments</v>
      </c>
      <c r="C21259" s="5">
        <v>160</v>
      </c>
      <c r="D21259" s="6">
        <v>3.89</v>
      </c>
      <c r="E21259" t="s">
        <v>263</v>
      </c>
    </row>
    <row r="21260" spans="1:5" x14ac:dyDescent="0.25">
      <c r="A21260" t="str">
        <f>HYPERLINK("https://www.773grp.com/globalSearch/SN75LBC175D/page-1", "SN75LBC175D")</f>
        <v>SN75LBC175D</v>
      </c>
      <c r="B21260" s="3" t="str">
        <f>HYPERLINK("https://www.773grp.com/manufacturer/texas-instruments?pageNo=426", "Texas Instruments")</f>
        <v>Texas Instruments</v>
      </c>
      <c r="C21260" s="5">
        <v>222</v>
      </c>
      <c r="D21260" s="6">
        <v>3.89</v>
      </c>
      <c r="E21260" t="s">
        <v>209</v>
      </c>
    </row>
    <row r="21261" spans="1:5" x14ac:dyDescent="0.25">
      <c r="A21261" t="str">
        <f>HYPERLINK("https://www.773grp.com/globalSearch/SNJ54AHCT02JQ/page-1", "SNJ54AHCT02JQ")</f>
        <v>SNJ54AHCT02JQ</v>
      </c>
      <c r="B21261" s="3" t="str">
        <f>HYPERLINK("https://www.773grp.com/manufacturer/texas-instruments?pageNo=427", "Texas Instruments")</f>
        <v>Texas Instruments</v>
      </c>
      <c r="C21261" s="5">
        <v>62</v>
      </c>
      <c r="D21261" s="6">
        <v>3.89</v>
      </c>
      <c r="E21261" t="s">
        <v>224</v>
      </c>
    </row>
    <row r="21262" spans="1:5" x14ac:dyDescent="0.25">
      <c r="A21262" t="str">
        <f>HYPERLINK("https://www.773grp.com/globalSearch/TL1454ACNSR/page-1", "TL1454ACNSR")</f>
        <v>TL1454ACNSR</v>
      </c>
      <c r="B21262" s="3" t="str">
        <f>HYPERLINK("https://www.773grp.com/manufacturer/texas-instruments?pageNo=433", "Texas Instruments")</f>
        <v>Texas Instruments</v>
      </c>
      <c r="C21262" s="5">
        <v>8000</v>
      </c>
      <c r="D21262" s="6">
        <v>3.89</v>
      </c>
      <c r="E21262" t="s">
        <v>248</v>
      </c>
    </row>
    <row r="21263" spans="1:5" x14ac:dyDescent="0.25">
      <c r="A21263" t="str">
        <f>HYPERLINK("https://www.773grp.com/globalSearch/TLC0843CD/page-1", "TLC0843CD")</f>
        <v>TLC0843CD</v>
      </c>
      <c r="B21263" s="3" t="str">
        <f>HYPERLINK("https://www.773grp.com/manufacturer/texas-instruments?pageNo=435", "Texas Instruments")</f>
        <v>Texas Instruments</v>
      </c>
      <c r="C21263" s="5">
        <v>25</v>
      </c>
      <c r="D21263" s="6">
        <v>3.89</v>
      </c>
      <c r="E21263" t="s">
        <v>248</v>
      </c>
    </row>
    <row r="21264" spans="1:5" x14ac:dyDescent="0.25">
      <c r="A21264" t="str">
        <f>HYPERLINK("https://www.773grp.com/globalSearch/TLC5920DLG4/page-1", "TLC5920DLG4")</f>
        <v>TLC5920DLG4</v>
      </c>
      <c r="B21264" s="3" t="str">
        <f>HYPERLINK("https://www.773grp.com/manufacturer/texas-instruments?pageNo=437", "Texas Instruments")</f>
        <v>Texas Instruments</v>
      </c>
      <c r="C21264" s="5">
        <v>94</v>
      </c>
      <c r="D21264" s="6">
        <v>3.89</v>
      </c>
      <c r="E21264" t="s">
        <v>268</v>
      </c>
    </row>
    <row r="21265" spans="1:5" x14ac:dyDescent="0.25">
      <c r="A21265" t="str">
        <f>HYPERLINK("https://www.773grp.com/globalSearch/TPS2813PE4/page-1", "TPS2813PE4")</f>
        <v>TPS2813PE4</v>
      </c>
      <c r="B21265" s="3" t="str">
        <f>HYPERLINK("https://www.773grp.com/manufacturer/texas-instruments?pageNo=440", "Texas Instruments")</f>
        <v>Texas Instruments</v>
      </c>
      <c r="C21265" s="5">
        <v>600</v>
      </c>
      <c r="D21265" s="6">
        <v>3.89</v>
      </c>
      <c r="E21265" t="s">
        <v>219</v>
      </c>
    </row>
    <row r="21266" spans="1:5" x14ac:dyDescent="0.25">
      <c r="A21266" t="str">
        <f>HYPERLINK("https://www.773grp.com/globalSearch/TPS51275CRUKT/page-1", "TPS51275CRUKT")</f>
        <v>TPS51275CRUKT</v>
      </c>
      <c r="B21266" s="3" t="str">
        <f>HYPERLINK("https://www.773grp.com/manufacturer/texas-instruments?pageNo=442", "Texas Instruments")</f>
        <v>Texas Instruments</v>
      </c>
      <c r="C21266" s="5">
        <v>30</v>
      </c>
      <c r="D21266" s="6">
        <v>3.89</v>
      </c>
      <c r="E21266" t="s">
        <v>248</v>
      </c>
    </row>
    <row r="21267" spans="1:5" x14ac:dyDescent="0.25">
      <c r="A21267" t="str">
        <f>HYPERLINK("https://www.773grp.com/globalSearch/TPS54294PWP/page-1", "TPS54294PWP")</f>
        <v>TPS54294PWP</v>
      </c>
      <c r="B21267" s="3" t="str">
        <f>HYPERLINK("https://www.773grp.com/manufacturer/texas-instruments?pageNo=444", "Texas Instruments")</f>
        <v>Texas Instruments</v>
      </c>
      <c r="C21267" s="5">
        <v>450</v>
      </c>
      <c r="D21267" s="6">
        <v>3.89</v>
      </c>
      <c r="E21267" t="s">
        <v>248</v>
      </c>
    </row>
    <row r="21268" spans="1:5" x14ac:dyDescent="0.25">
      <c r="A21268" t="str">
        <f>HYPERLINK("https://www.773grp.com/globalSearch/TPS76701QPWPG4/page-1", "TPS76701QPWPG4")</f>
        <v>TPS76701QPWPG4</v>
      </c>
      <c r="B21268" s="3" t="str">
        <f>HYPERLINK("https://www.773grp.com/manufacturer/texas-instruments?pageNo=462", "Texas Instruments")</f>
        <v>Texas Instruments</v>
      </c>
      <c r="C21268" s="5">
        <v>140</v>
      </c>
      <c r="D21268" s="6">
        <v>3.89</v>
      </c>
      <c r="E21268" t="s">
        <v>219</v>
      </c>
    </row>
    <row r="21269" spans="1:5" x14ac:dyDescent="0.25">
      <c r="A21269" t="str">
        <f>HYPERLINK("https://www.773grp.com/globalSearch/LM2937IMP-10/page-1", "LM2937IMP-10")</f>
        <v>LM2937IMP-10</v>
      </c>
      <c r="B21269" s="3" t="str">
        <f>HYPERLINK("https://www.773grp.com/manufacturer/texas-instruments?pageNo=475", "Texas Instruments")</f>
        <v>Texas Instruments</v>
      </c>
      <c r="C21269" s="5">
        <v>1000</v>
      </c>
      <c r="D21269" s="6">
        <v>4.33</v>
      </c>
      <c r="E21269" t="s">
        <v>224</v>
      </c>
    </row>
    <row r="21270" spans="1:5" x14ac:dyDescent="0.25">
      <c r="A21270" t="str">
        <f>HYPERLINK("https://www.773grp.com/globalSearch/LM2937IMP-3.3/page-1", "LM2937IMP-3.3")</f>
        <v>LM2937IMP-3.3</v>
      </c>
      <c r="B21270" s="3" t="str">
        <f>HYPERLINK("https://www.773grp.com/manufacturer/texas-instruments?pageNo=476", "Texas Instruments")</f>
        <v>Texas Instruments</v>
      </c>
      <c r="C21270" s="5">
        <v>1000</v>
      </c>
      <c r="D21270" s="6">
        <v>4.33</v>
      </c>
      <c r="E21270" t="s">
        <v>248</v>
      </c>
    </row>
    <row r="21271" spans="1:5" x14ac:dyDescent="0.25">
      <c r="A21271" t="str">
        <f>HYPERLINK("https://www.773grp.com/globalSearch/LM2937IMPX-8.0/page-1", "LM2937IMPX-8.0")</f>
        <v>LM2937IMPX-8.0</v>
      </c>
      <c r="B21271" s="3" t="str">
        <f>HYPERLINK("https://www.773grp.com/manufacturer/texas-instruments?pageNo=477", "Texas Instruments")</f>
        <v>Texas Instruments</v>
      </c>
      <c r="C21271" s="5">
        <v>6000</v>
      </c>
      <c r="D21271" s="6">
        <v>4.33</v>
      </c>
      <c r="E21271" t="s">
        <v>248</v>
      </c>
    </row>
    <row r="21272" spans="1:5" x14ac:dyDescent="0.25">
      <c r="A21272" t="str">
        <f>HYPERLINK("https://www.773grp.com/globalSearch/LM2940CS-12-NOPB/page-1", "LM2940CS-12-NOPB")</f>
        <v>LM2940CS-12-NOPB</v>
      </c>
      <c r="B21272" s="3" t="str">
        <f>HYPERLINK("https://www.773grp.com/manufacturer/texas-instruments?pageNo=478", "Texas Instruments")</f>
        <v>Texas Instruments</v>
      </c>
      <c r="C21272" s="5">
        <v>45</v>
      </c>
      <c r="D21272" s="6">
        <v>4.33</v>
      </c>
      <c r="E21272" t="s">
        <v>270</v>
      </c>
    </row>
    <row r="21273" spans="1:5" x14ac:dyDescent="0.25">
      <c r="A21273" t="str">
        <f>HYPERLINK("https://www.773grp.com/globalSearch/LM5111-3MX/page-1", "LM5111-3MX")</f>
        <v>LM5111-3MX</v>
      </c>
      <c r="B21273" s="3" t="str">
        <f>HYPERLINK("https://www.773grp.com/manufacturer/texas-instruments?pageNo=479", "Texas Instruments")</f>
        <v>Texas Instruments</v>
      </c>
      <c r="C21273" s="5">
        <v>2500</v>
      </c>
      <c r="D21273" s="6">
        <v>4.33</v>
      </c>
      <c r="E21273" t="s">
        <v>231</v>
      </c>
    </row>
    <row r="21274" spans="1:5" x14ac:dyDescent="0.25">
      <c r="A21274" t="str">
        <f>HYPERLINK("https://www.773grp.com/globalSearch/LPC661IM-NOPB/page-1", "LPC661IM-NOPB")</f>
        <v>LPC661IM-NOPB</v>
      </c>
      <c r="B21274" s="3" t="str">
        <f>HYPERLINK("https://www.773grp.com/manufacturer/texas-instruments?pageNo=480", "Texas Instruments")</f>
        <v>Texas Instruments</v>
      </c>
      <c r="C21274" s="5">
        <v>1425</v>
      </c>
      <c r="D21274" s="6">
        <v>4.33</v>
      </c>
      <c r="E21274" t="s">
        <v>271</v>
      </c>
    </row>
    <row r="21275" spans="1:5" x14ac:dyDescent="0.25">
      <c r="A21275" t="str">
        <f>HYPERLINK("https://www.773grp.com/globalSearch/TCM5094N/page-1", "TCM5094N")</f>
        <v>TCM5094N</v>
      </c>
      <c r="B21275" s="3" t="str">
        <f>HYPERLINK("https://www.773grp.com/manufacturer/texas-instruments?pageNo=484", "Texas Instruments")</f>
        <v>Texas Instruments</v>
      </c>
      <c r="C21275" s="5">
        <v>71109</v>
      </c>
      <c r="D21275" s="6">
        <v>4.33</v>
      </c>
      <c r="E21275" t="s">
        <v>272</v>
      </c>
    </row>
    <row r="21276" spans="1:5" x14ac:dyDescent="0.25">
      <c r="A21276" t="str">
        <f>HYPERLINK("https://www.773grp.com/globalSearch/TPS2062CDGN/page-1", "TPS2062CDGN")</f>
        <v>TPS2062CDGN</v>
      </c>
      <c r="B21276" s="3" t="str">
        <f>HYPERLINK("https://www.773grp.com/manufacturer/texas-instruments?pageNo=486", "Texas Instruments")</f>
        <v>Texas Instruments</v>
      </c>
      <c r="C21276" s="5">
        <v>15004</v>
      </c>
      <c r="D21276" s="6">
        <v>4.33</v>
      </c>
      <c r="E21276" t="s">
        <v>224</v>
      </c>
    </row>
    <row r="21277" spans="1:5" x14ac:dyDescent="0.25">
      <c r="A21277" t="str">
        <f>HYPERLINK("https://www.773grp.com/globalSearch/TPS2064CDGN/page-1", "TPS2064CDGN")</f>
        <v>TPS2064CDGN</v>
      </c>
      <c r="B21277" s="3" t="str">
        <f>HYPERLINK("https://www.773grp.com/manufacturer/texas-instruments?pageNo=487", "Texas Instruments")</f>
        <v>Texas Instruments</v>
      </c>
      <c r="C21277" s="5">
        <v>15280</v>
      </c>
      <c r="D21277" s="6">
        <v>4.33</v>
      </c>
      <c r="E21277" t="s">
        <v>244</v>
      </c>
    </row>
    <row r="21278" spans="1:5" x14ac:dyDescent="0.25">
      <c r="A21278" t="str">
        <f>HYPERLINK("https://www.773grp.com/globalSearch/TPS2066CDGN/page-1", "TPS2066CDGN")</f>
        <v>TPS2066CDGN</v>
      </c>
      <c r="B21278" s="3" t="str">
        <f>HYPERLINK("https://www.773grp.com/manufacturer/texas-instruments?pageNo=488", "Texas Instruments")</f>
        <v>Texas Instruments</v>
      </c>
      <c r="C21278" s="5">
        <v>48311</v>
      </c>
      <c r="D21278" s="6">
        <v>4.33</v>
      </c>
      <c r="E21278" t="s">
        <v>252</v>
      </c>
    </row>
    <row r="21279" spans="1:5" x14ac:dyDescent="0.25">
      <c r="A21279" t="str">
        <f>HYPERLINK("https://www.773grp.com/globalSearch/LM2575M-5.0/page-1", "LM2575M-5.0")</f>
        <v>LM2575M-5.0</v>
      </c>
      <c r="B21279" s="3" t="str">
        <f>HYPERLINK("https://www.773grp.com/manufacturer/texas-instruments?pageNo=489", "Texas Instruments")</f>
        <v>Texas Instruments</v>
      </c>
      <c r="C21279" s="5">
        <v>5</v>
      </c>
      <c r="D21279" s="6">
        <v>3.91</v>
      </c>
      <c r="E21279" t="s">
        <v>273</v>
      </c>
    </row>
    <row r="21280" spans="1:5" x14ac:dyDescent="0.25">
      <c r="A21280" t="str">
        <f>HYPERLINK("https://www.773grp.com/globalSearch/LMH6646MM/page-1", "LMH6646MM")</f>
        <v>LMH6646MM</v>
      </c>
      <c r="B21280" s="3" t="str">
        <f>HYPERLINK("https://www.773grp.com/manufacturer/texas-instruments?pageNo=490", "Texas Instruments")</f>
        <v>Texas Instruments</v>
      </c>
      <c r="C21280" s="5">
        <v>3</v>
      </c>
      <c r="D21280" s="6">
        <v>3.91</v>
      </c>
      <c r="E21280" t="s">
        <v>248</v>
      </c>
    </row>
    <row r="21281" spans="1:5" x14ac:dyDescent="0.25">
      <c r="A21281" t="str">
        <f>HYPERLINK("https://www.773grp.com/globalSearch/SN700288N/page-1", "SN700288N")</f>
        <v>SN700288N</v>
      </c>
      <c r="B21281" s="3" t="str">
        <f>HYPERLINK("https://www.773grp.com/manufacturer/texas-instruments?pageNo=497", "Texas Instruments")</f>
        <v>Texas Instruments</v>
      </c>
      <c r="C21281" s="5">
        <v>6120</v>
      </c>
      <c r="D21281" s="6">
        <v>3.91</v>
      </c>
      <c r="E21281" t="s">
        <v>224</v>
      </c>
    </row>
    <row r="21282" spans="1:5" x14ac:dyDescent="0.25">
      <c r="A21282" t="str">
        <f>HYPERLINK("https://www.773grp.com/globalSearch/SN700358N/page-1", "SN700358N")</f>
        <v>SN700358N</v>
      </c>
      <c r="B21282" s="3" t="str">
        <f>HYPERLINK("https://www.773grp.com/manufacturer/texas-instruments?pageNo=498", "Texas Instruments")</f>
        <v>Texas Instruments</v>
      </c>
      <c r="C21282" s="5">
        <v>2960</v>
      </c>
      <c r="D21282" s="6">
        <v>3.91</v>
      </c>
      <c r="E21282" t="s">
        <v>233</v>
      </c>
    </row>
    <row r="21283" spans="1:5" x14ac:dyDescent="0.25">
      <c r="A21283" t="str">
        <f>HYPERLINK("https://www.773grp.com/globalSearch/SN700526DR/page-1", "SN700526DR")</f>
        <v>SN700526DR</v>
      </c>
      <c r="B21283" s="3" t="str">
        <f>HYPERLINK("https://www.773grp.com/manufacturer/texas-instruments?pageNo=499", "Texas Instruments")</f>
        <v>Texas Instruments</v>
      </c>
      <c r="C21283" s="5">
        <v>15000</v>
      </c>
      <c r="D21283" s="6">
        <v>3.91</v>
      </c>
      <c r="E21283" t="s">
        <v>233</v>
      </c>
    </row>
    <row r="21284" spans="1:5" x14ac:dyDescent="0.25">
      <c r="A21284" t="str">
        <f>HYPERLINK("https://www.773grp.com/globalSearch/THS4521IDGKT/page-1", "THS4521IDGKT")</f>
        <v>THS4521IDGKT</v>
      </c>
      <c r="B21284" s="3" t="str">
        <f>HYPERLINK("https://www.773grp.com/manufacturer/texas-instruments?pageNo=501", "Texas Instruments")</f>
        <v>Texas Instruments</v>
      </c>
      <c r="C21284" s="5">
        <v>210</v>
      </c>
      <c r="D21284" s="6">
        <v>3.91</v>
      </c>
      <c r="E21284" t="s">
        <v>270</v>
      </c>
    </row>
    <row r="21285" spans="1:5" x14ac:dyDescent="0.25">
      <c r="A21285" t="str">
        <f>HYPERLINK("https://www.773grp.com/globalSearch/TIR1000IPWR/page-1", "TIR1000IPWR")</f>
        <v>TIR1000IPWR</v>
      </c>
      <c r="B21285" s="3" t="str">
        <f>HYPERLINK("https://www.773grp.com/manufacturer/texas-instruments?pageNo=502", "Texas Instruments")</f>
        <v>Texas Instruments</v>
      </c>
      <c r="C21285" s="5">
        <v>2000</v>
      </c>
      <c r="D21285" s="6">
        <v>3.91</v>
      </c>
      <c r="E21285" t="s">
        <v>274</v>
      </c>
    </row>
    <row r="21286" spans="1:5" x14ac:dyDescent="0.25">
      <c r="A21286" t="str">
        <f>HYPERLINK("https://www.773grp.com/globalSearch/BQ29310PW/page-1", "BQ29310PW")</f>
        <v>BQ29310PW</v>
      </c>
      <c r="B21286" s="3" t="str">
        <f>HYPERLINK("https://www.773grp.com/manufacturer/texas-instruments?pageNo=529", "Texas Instruments")</f>
        <v>Texas Instruments</v>
      </c>
      <c r="C21286" s="5">
        <v>1620</v>
      </c>
      <c r="D21286" s="6">
        <v>3.94</v>
      </c>
      <c r="E21286" t="s">
        <v>233</v>
      </c>
    </row>
    <row r="21287" spans="1:5" x14ac:dyDescent="0.25">
      <c r="A21287" t="str">
        <f>HYPERLINK("https://www.773grp.com/globalSearch/DRV8834PWP/page-1", "DRV8834PWP")</f>
        <v>DRV8834PWP</v>
      </c>
      <c r="B21287" s="3" t="str">
        <f>HYPERLINK("https://www.773grp.com/manufacturer/texas-instruments?pageNo=536", "Texas Instruments")</f>
        <v>Texas Instruments</v>
      </c>
      <c r="C21287" s="5">
        <v>2830</v>
      </c>
      <c r="D21287" s="6">
        <v>3.94</v>
      </c>
      <c r="E21287" t="s">
        <v>244</v>
      </c>
    </row>
    <row r="21288" spans="1:5" x14ac:dyDescent="0.25">
      <c r="A21288" t="str">
        <f>HYPERLINK("https://www.773grp.com/globalSearch/HCP2730/page-1", "HCP2730")</f>
        <v>HCP2730</v>
      </c>
      <c r="B21288" s="3" t="str">
        <f>HYPERLINK("https://www.773grp.com/manufacturer/texas-instruments?pageNo=537", "Texas Instruments")</f>
        <v>Texas Instruments</v>
      </c>
      <c r="C21288" s="5">
        <v>3250</v>
      </c>
      <c r="D21288" s="6">
        <v>3.94</v>
      </c>
      <c r="E21288" t="s">
        <v>275</v>
      </c>
    </row>
    <row r="21289" spans="1:5" x14ac:dyDescent="0.25">
      <c r="A21289" t="str">
        <f>HYPERLINK("https://www.773grp.com/globalSearch/ISO7230CDWR/page-1", "ISO7230CDWR")</f>
        <v>ISO7230CDWR</v>
      </c>
      <c r="B21289" s="3" t="str">
        <f>HYPERLINK("https://www.773grp.com/manufacturer/texas-instruments?pageNo=546", "Texas Instruments")</f>
        <v>Texas Instruments</v>
      </c>
      <c r="C21289" s="5">
        <v>8000</v>
      </c>
      <c r="D21289" s="6">
        <v>3.94</v>
      </c>
      <c r="E21289" t="s">
        <v>248</v>
      </c>
    </row>
    <row r="21290" spans="1:5" x14ac:dyDescent="0.25">
      <c r="A21290" t="str">
        <f>HYPERLINK("https://www.773grp.com/globalSearch/LM27342QMY-NOPB/page-1", "LM27342QMY-NOPB")</f>
        <v>LM27342QMY-NOPB</v>
      </c>
      <c r="B21290" s="3" t="str">
        <f>HYPERLINK("https://www.773grp.com/manufacturer/texas-instruments?pageNo=547", "Texas Instruments")</f>
        <v>Texas Instruments</v>
      </c>
      <c r="C21290" s="5">
        <v>108</v>
      </c>
      <c r="D21290" s="6">
        <v>3.94</v>
      </c>
      <c r="E21290" t="s">
        <v>273</v>
      </c>
    </row>
    <row r="21291" spans="1:5" x14ac:dyDescent="0.25">
      <c r="A21291" t="str">
        <f>HYPERLINK("https://www.773grp.com/globalSearch/LM5006MM-NOPB/page-1", "LM5006MM-NOPB")</f>
        <v>LM5006MM-NOPB</v>
      </c>
      <c r="B21291" s="3" t="str">
        <f>HYPERLINK("https://www.773grp.com/manufacturer/texas-instruments?pageNo=548", "Texas Instruments")</f>
        <v>Texas Instruments</v>
      </c>
      <c r="C21291" s="5">
        <v>249</v>
      </c>
      <c r="D21291" s="6">
        <v>3.94</v>
      </c>
      <c r="E21291" t="s">
        <v>219</v>
      </c>
    </row>
    <row r="21292" spans="1:5" x14ac:dyDescent="0.25">
      <c r="A21292" t="str">
        <f>HYPERLINK("https://www.773grp.com/globalSearch/LM5018SD-NOPB/page-1", "LM5018SD-NOPB")</f>
        <v>LM5018SD-NOPB</v>
      </c>
      <c r="B21292" s="3" t="str">
        <f>HYPERLINK("https://www.773grp.com/manufacturer/texas-instruments?pageNo=549", "Texas Instruments")</f>
        <v>Texas Instruments</v>
      </c>
      <c r="C21292" s="5">
        <v>1000</v>
      </c>
      <c r="D21292" s="6">
        <v>3.94</v>
      </c>
      <c r="E21292" t="s">
        <v>263</v>
      </c>
    </row>
    <row r="21293" spans="1:5" x14ac:dyDescent="0.25">
      <c r="A21293" t="str">
        <f>HYPERLINK("https://www.773grp.com/globalSearch/LM6132AIMX-NOPB/page-1", "LM6132AIMX-NOPB")</f>
        <v>LM6132AIMX-NOPB</v>
      </c>
      <c r="B21293" s="3" t="str">
        <f>HYPERLINK("https://www.773grp.com/manufacturer/texas-instruments?pageNo=550", "Texas Instruments")</f>
        <v>Texas Instruments</v>
      </c>
      <c r="C21293" s="5">
        <v>2500</v>
      </c>
      <c r="D21293" s="6">
        <v>3.94</v>
      </c>
      <c r="E21293" t="s">
        <v>245</v>
      </c>
    </row>
    <row r="21294" spans="1:5" x14ac:dyDescent="0.25">
      <c r="A21294" t="str">
        <f>HYPERLINK("https://www.773grp.com/globalSearch/MSP430F2122IPW/page-1", "MSP430F2122IPW")</f>
        <v>MSP430F2122IPW</v>
      </c>
      <c r="B21294" s="3" t="str">
        <f>HYPERLINK("https://www.773grp.com/manufacturer/texas-instruments?pageNo=556", "Texas Instruments")</f>
        <v>Texas Instruments</v>
      </c>
      <c r="C21294" s="5">
        <v>10</v>
      </c>
      <c r="D21294" s="6">
        <v>3.94</v>
      </c>
      <c r="E21294" t="s">
        <v>273</v>
      </c>
    </row>
    <row r="21295" spans="1:5" x14ac:dyDescent="0.25">
      <c r="A21295" t="str">
        <f>HYPERLINK("https://www.773grp.com/globalSearch/MSP430F2122IRHBR/page-1", "MSP430F2122IRHBR")</f>
        <v>MSP430F2122IRHBR</v>
      </c>
      <c r="B21295" s="3" t="str">
        <f>HYPERLINK("https://www.773grp.com/manufacturer/texas-instruments?pageNo=558", "Texas Instruments")</f>
        <v>Texas Instruments</v>
      </c>
      <c r="C21295" s="5">
        <v>60000</v>
      </c>
      <c r="D21295" s="6">
        <v>3.94</v>
      </c>
      <c r="E21295" t="s">
        <v>219</v>
      </c>
    </row>
    <row r="21296" spans="1:5" x14ac:dyDescent="0.25">
      <c r="A21296" t="str">
        <f>HYPERLINK("https://www.773grp.com/globalSearch/OPA1642AIDGKR/page-1", "OPA1642AIDGKR")</f>
        <v>OPA1642AIDGKR</v>
      </c>
      <c r="B21296" s="3" t="str">
        <f>HYPERLINK("https://www.773grp.com/manufacturer/texas-instruments?pageNo=563", "Texas Instruments")</f>
        <v>Texas Instruments</v>
      </c>
      <c r="C21296" s="5">
        <v>2500</v>
      </c>
      <c r="D21296" s="6">
        <v>3.94</v>
      </c>
      <c r="E21296" t="s">
        <v>254</v>
      </c>
    </row>
    <row r="21297" spans="1:5" x14ac:dyDescent="0.25">
      <c r="A21297" t="str">
        <f>HYPERLINK("https://www.773grp.com/globalSearch/OPA1642AIDR/page-1", "OPA1642AIDR")</f>
        <v>OPA1642AIDR</v>
      </c>
      <c r="B21297" s="3" t="str">
        <f>HYPERLINK("https://www.773grp.com/manufacturer/texas-instruments?pageNo=564", "Texas Instruments")</f>
        <v>Texas Instruments</v>
      </c>
      <c r="C21297" s="5">
        <v>5000</v>
      </c>
      <c r="D21297" s="6">
        <v>3.94</v>
      </c>
      <c r="E21297" t="s">
        <v>245</v>
      </c>
    </row>
    <row r="21298" spans="1:5" x14ac:dyDescent="0.25">
      <c r="A21298" t="str">
        <f>HYPERLINK("https://www.773grp.com/globalSearch/OPA2188AIDGKR/page-1", "OPA2188AIDGKR")</f>
        <v>OPA2188AIDGKR</v>
      </c>
      <c r="B21298" s="3" t="str">
        <f>HYPERLINK("https://www.773grp.com/manufacturer/texas-instruments?pageNo=565", "Texas Instruments")</f>
        <v>Texas Instruments</v>
      </c>
      <c r="C21298" s="5">
        <v>24945</v>
      </c>
      <c r="D21298" s="6">
        <v>3.94</v>
      </c>
      <c r="E21298" t="s">
        <v>219</v>
      </c>
    </row>
    <row r="21299" spans="1:5" x14ac:dyDescent="0.25">
      <c r="A21299" t="str">
        <f>HYPERLINK("https://www.773grp.com/globalSearch/OPA4376AIPWR/page-1", "OPA4376AIPWR")</f>
        <v>OPA4376AIPWR</v>
      </c>
      <c r="B21299" s="3" t="str">
        <f>HYPERLINK("https://www.773grp.com/manufacturer/texas-instruments?pageNo=573", "Texas Instruments")</f>
        <v>Texas Instruments</v>
      </c>
      <c r="C21299" s="5">
        <v>8532</v>
      </c>
      <c r="D21299" s="6">
        <v>3.94</v>
      </c>
      <c r="E21299" t="s">
        <v>275</v>
      </c>
    </row>
    <row r="21300" spans="1:5" x14ac:dyDescent="0.25">
      <c r="A21300" t="str">
        <f>HYPERLINK("https://www.773grp.com/globalSearch/OPA4727AIPWR/page-1", "OPA4727AIPWR")</f>
        <v>OPA4727AIPWR</v>
      </c>
      <c r="B21300" s="3" t="str">
        <f>HYPERLINK("https://www.773grp.com/manufacturer/texas-instruments?pageNo=574", "Texas Instruments")</f>
        <v>Texas Instruments</v>
      </c>
      <c r="C21300" s="5">
        <v>2000</v>
      </c>
      <c r="D21300" s="6">
        <v>3.94</v>
      </c>
      <c r="E21300" t="s">
        <v>249</v>
      </c>
    </row>
    <row r="21301" spans="1:5" x14ac:dyDescent="0.25">
      <c r="A21301" t="str">
        <f>HYPERLINK("https://www.773grp.com/globalSearch/PCA9539PWR/page-1", "PCA9539PWR")</f>
        <v>PCA9539PWR</v>
      </c>
      <c r="B21301" s="3" t="str">
        <f>HYPERLINK("https://www.773grp.com/manufacturer/texas-instruments?pageNo=576", "Texas Instruments")</f>
        <v>Texas Instruments</v>
      </c>
      <c r="C21301" s="5">
        <v>372</v>
      </c>
      <c r="D21301" s="6">
        <v>3.94</v>
      </c>
      <c r="E21301" t="s">
        <v>224</v>
      </c>
    </row>
    <row r="21302" spans="1:5" x14ac:dyDescent="0.25">
      <c r="A21302" t="str">
        <f>HYPERLINK("https://www.773grp.com/globalSearch/PCM1681TPWPRQ1/page-1", "PCM1681TPWPRQ1")</f>
        <v>PCM1681TPWPRQ1</v>
      </c>
      <c r="B21302" s="3" t="str">
        <f>HYPERLINK("https://www.773grp.com/manufacturer/texas-instruments?pageNo=578", "Texas Instruments")</f>
        <v>Texas Instruments</v>
      </c>
      <c r="C21302" s="5">
        <v>2000</v>
      </c>
      <c r="D21302" s="6">
        <v>3.94</v>
      </c>
      <c r="E21302" t="s">
        <v>240</v>
      </c>
    </row>
    <row r="21303" spans="1:5" x14ac:dyDescent="0.25">
      <c r="A21303" t="str">
        <f>HYPERLINK("https://www.773grp.com/globalSearch/SN65HVD22DR/page-1", "SN65HVD22DR")</f>
        <v>SN65HVD22DR</v>
      </c>
      <c r="B21303" s="3" t="str">
        <f>HYPERLINK("https://www.773grp.com/manufacturer/texas-instruments?pageNo=583", "Texas Instruments")</f>
        <v>Texas Instruments</v>
      </c>
      <c r="C21303" s="5">
        <v>4985</v>
      </c>
      <c r="D21303" s="6">
        <v>3.94</v>
      </c>
      <c r="E21303" t="s">
        <v>276</v>
      </c>
    </row>
    <row r="21304" spans="1:5" x14ac:dyDescent="0.25">
      <c r="A21304" t="str">
        <f>HYPERLINK("https://www.773grp.com/globalSearch/SN65HVD3088EDGKR/page-1", "SN65HVD3088EDGKR")</f>
        <v>SN65HVD3088EDGKR</v>
      </c>
      <c r="B21304" s="3" t="str">
        <f>HYPERLINK("https://www.773grp.com/manufacturer/texas-instruments?pageNo=584", "Texas Instruments")</f>
        <v>Texas Instruments</v>
      </c>
      <c r="C21304" s="5">
        <v>15838</v>
      </c>
      <c r="D21304" s="6">
        <v>3.94</v>
      </c>
      <c r="E21304" t="s">
        <v>263</v>
      </c>
    </row>
    <row r="21305" spans="1:5" x14ac:dyDescent="0.25">
      <c r="A21305" t="str">
        <f>HYPERLINK("https://www.773grp.com/globalSearch/SN65MLVD200ADG4/page-1", "SN65MLVD200ADG4")</f>
        <v>SN65MLVD200ADG4</v>
      </c>
      <c r="B21305" s="3" t="str">
        <f>HYPERLINK("https://www.773grp.com/manufacturer/texas-instruments?pageNo=586", "Texas Instruments")</f>
        <v>Texas Instruments</v>
      </c>
      <c r="C21305" s="5">
        <v>296</v>
      </c>
      <c r="D21305" s="6">
        <v>3.94</v>
      </c>
      <c r="E21305" t="s">
        <v>224</v>
      </c>
    </row>
    <row r="21306" spans="1:5" x14ac:dyDescent="0.25">
      <c r="A21306" t="str">
        <f>HYPERLINK("https://www.773grp.com/globalSearch/SN75121NSR/page-1", "SN75121NSR")</f>
        <v>SN75121NSR</v>
      </c>
      <c r="B21306" s="3" t="str">
        <f>HYPERLINK("https://www.773grp.com/manufacturer/texas-instruments?pageNo=596", "Texas Instruments")</f>
        <v>Texas Instruments</v>
      </c>
      <c r="C21306" s="5">
        <v>1387</v>
      </c>
      <c r="D21306" s="6">
        <v>3.94</v>
      </c>
      <c r="E21306" t="s">
        <v>249</v>
      </c>
    </row>
    <row r="21307" spans="1:5" x14ac:dyDescent="0.25">
      <c r="A21307" t="str">
        <f>HYPERLINK("https://www.773grp.com/globalSearch/SN75C3232DB/page-1", "SN75C3232DB")</f>
        <v>SN75C3232DB</v>
      </c>
      <c r="B21307" s="3" t="str">
        <f>HYPERLINK("https://www.773grp.com/manufacturer/texas-instruments?pageNo=599", "Texas Instruments")</f>
        <v>Texas Instruments</v>
      </c>
      <c r="C21307" s="5">
        <v>640</v>
      </c>
      <c r="D21307" s="6">
        <v>3.94</v>
      </c>
      <c r="E21307" t="s">
        <v>224</v>
      </c>
    </row>
    <row r="21308" spans="1:5" x14ac:dyDescent="0.25">
      <c r="A21308" t="str">
        <f>HYPERLINK("https://www.773grp.com/globalSearch/SN75HVD1176DR/page-1", "SN75HVD1176DR")</f>
        <v>SN75HVD1176DR</v>
      </c>
      <c r="B21308" s="3" t="str">
        <f>HYPERLINK("https://www.773grp.com/manufacturer/texas-instruments?pageNo=601", "Texas Instruments")</f>
        <v>Texas Instruments</v>
      </c>
      <c r="C21308" s="5">
        <v>1701</v>
      </c>
      <c r="D21308" s="6">
        <v>3.94</v>
      </c>
      <c r="E21308" t="s">
        <v>255</v>
      </c>
    </row>
    <row r="21309" spans="1:5" x14ac:dyDescent="0.25">
      <c r="A21309" t="str">
        <f>HYPERLINK("https://www.773grp.com/globalSearch/SN75LVCP412RTJR/page-1", "SN75LVCP412RTJR")</f>
        <v>SN75LVCP412RTJR</v>
      </c>
      <c r="B21309" s="3" t="str">
        <f>HYPERLINK("https://www.773grp.com/manufacturer/texas-instruments?pageNo=603", "Texas Instruments")</f>
        <v>Texas Instruments</v>
      </c>
      <c r="C21309" s="5">
        <v>24000</v>
      </c>
      <c r="D21309" s="6">
        <v>3.94</v>
      </c>
      <c r="E21309" t="s">
        <v>263</v>
      </c>
    </row>
    <row r="21310" spans="1:5" x14ac:dyDescent="0.25">
      <c r="A21310" t="str">
        <f>HYPERLINK("https://www.773grp.com/globalSearch/TCA6416PW/page-1", "TCA6416PW")</f>
        <v>TCA6416PW</v>
      </c>
      <c r="B21310" s="3" t="str">
        <f>HYPERLINK("https://www.773grp.com/manufacturer/texas-instruments?pageNo=607", "Texas Instruments")</f>
        <v>Texas Instruments</v>
      </c>
      <c r="C21310" s="5">
        <v>22560</v>
      </c>
      <c r="D21310" s="6">
        <v>3.94</v>
      </c>
      <c r="E21310" t="s">
        <v>7</v>
      </c>
    </row>
    <row r="21311" spans="1:5" x14ac:dyDescent="0.25">
      <c r="A21311" t="str">
        <f>HYPERLINK("https://www.773grp.com/globalSearch/THS6214IRHFR/page-1", "THS6214IRHFR")</f>
        <v>THS6214IRHFR</v>
      </c>
      <c r="B21311" s="3" t="str">
        <f>HYPERLINK("https://www.773grp.com/manufacturer/texas-instruments?pageNo=613", "Texas Instruments")</f>
        <v>Texas Instruments</v>
      </c>
      <c r="C21311" s="5">
        <v>6000</v>
      </c>
      <c r="D21311" s="6">
        <v>3.94</v>
      </c>
      <c r="E21311" t="s">
        <v>263</v>
      </c>
    </row>
    <row r="21312" spans="1:5" x14ac:dyDescent="0.25">
      <c r="A21312" t="str">
        <f>HYPERLINK("https://www.773grp.com/globalSearch/TLV0831C/page-1", "TLV0831C")</f>
        <v>TLV0831C</v>
      </c>
      <c r="B21312" s="3" t="str">
        <f>HYPERLINK("https://www.773grp.com/manufacturer/texas-instruments?pageNo=619", "Texas Instruments")</f>
        <v>Texas Instruments</v>
      </c>
      <c r="C21312" s="5">
        <v>800</v>
      </c>
      <c r="D21312" s="6">
        <v>3.94</v>
      </c>
      <c r="E21312" t="s">
        <v>249</v>
      </c>
    </row>
    <row r="21313" spans="1:5" x14ac:dyDescent="0.25">
      <c r="A21313" t="str">
        <f>HYPERLINK("https://www.773grp.com/globalSearch/TLV5606IDGKRG4/page-1", "TLV5606IDGKRG4")</f>
        <v>TLV5606IDGKRG4</v>
      </c>
      <c r="B21313" s="3" t="str">
        <f>HYPERLINK("https://www.773grp.com/manufacturer/texas-instruments?pageNo=640", "Texas Instruments")</f>
        <v>Texas Instruments</v>
      </c>
      <c r="C21313" s="5">
        <v>335</v>
      </c>
      <c r="D21313" s="6">
        <v>3.94</v>
      </c>
      <c r="E21313" t="s">
        <v>252</v>
      </c>
    </row>
    <row r="21314" spans="1:5" x14ac:dyDescent="0.25">
      <c r="A21314" t="str">
        <f>HYPERLINK("https://www.773grp.com/globalSearch/TPIC6259DWRG4/page-1", "TPIC6259DWRG4")</f>
        <v>TPIC6259DWRG4</v>
      </c>
      <c r="B21314" s="3" t="str">
        <f>HYPERLINK("https://www.773grp.com/manufacturer/texas-instruments?pageNo=645", "Texas Instruments")</f>
        <v>Texas Instruments</v>
      </c>
      <c r="C21314" s="5">
        <v>2000</v>
      </c>
      <c r="D21314" s="6">
        <v>3.94</v>
      </c>
      <c r="E21314" t="s">
        <v>224</v>
      </c>
    </row>
    <row r="21315" spans="1:5" x14ac:dyDescent="0.25">
      <c r="A21315" t="str">
        <f>HYPERLINK("https://www.773grp.com/globalSearch/TPS2043ADR/page-1", "TPS2043ADR")</f>
        <v>TPS2043ADR</v>
      </c>
      <c r="B21315" s="3" t="str">
        <f>HYPERLINK("https://www.773grp.com/manufacturer/texas-instruments?pageNo=648", "Texas Instruments")</f>
        <v>Texas Instruments</v>
      </c>
      <c r="C21315" s="5">
        <v>1525</v>
      </c>
      <c r="D21315" s="6">
        <v>3.94</v>
      </c>
      <c r="E21315" t="s">
        <v>276</v>
      </c>
    </row>
    <row r="21316" spans="1:5" x14ac:dyDescent="0.25">
      <c r="A21316" t="str">
        <f>HYPERLINK("https://www.773grp.com/globalSearch/TPS2500DRCT/page-1", "TPS2500DRCT")</f>
        <v>TPS2500DRCT</v>
      </c>
      <c r="B21316" s="3" t="str">
        <f>HYPERLINK("https://www.773grp.com/manufacturer/texas-instruments?pageNo=652", "Texas Instruments")</f>
        <v>Texas Instruments</v>
      </c>
      <c r="C21316" s="5">
        <v>1000</v>
      </c>
      <c r="D21316" s="6">
        <v>3.94</v>
      </c>
      <c r="E21316" t="s">
        <v>263</v>
      </c>
    </row>
    <row r="21317" spans="1:5" x14ac:dyDescent="0.25">
      <c r="A21317" t="str">
        <f>HYPERLINK("https://www.773grp.com/globalSearch/TPS2501DRCT/page-1", "TPS2501DRCT")</f>
        <v>TPS2501DRCT</v>
      </c>
      <c r="B21317" s="3" t="str">
        <f>HYPERLINK("https://www.773grp.com/manufacturer/texas-instruments?pageNo=653", "Texas Instruments")</f>
        <v>Texas Instruments</v>
      </c>
      <c r="C21317" s="5">
        <v>250</v>
      </c>
      <c r="D21317" s="6">
        <v>3.94</v>
      </c>
      <c r="E21317" t="s">
        <v>224</v>
      </c>
    </row>
    <row r="21318" spans="1:5" x14ac:dyDescent="0.25">
      <c r="A21318" t="str">
        <f>HYPERLINK("https://www.773grp.com/globalSearch/TPS61170QDRVRQ1/page-1", "TPS61170QDRVRQ1")</f>
        <v>TPS61170QDRVRQ1</v>
      </c>
      <c r="B21318" s="3" t="str">
        <f>HYPERLINK("https://www.773grp.com/manufacturer/texas-instruments?pageNo=664", "Texas Instruments")</f>
        <v>Texas Instruments</v>
      </c>
      <c r="C21318" s="5">
        <v>3000</v>
      </c>
      <c r="D21318" s="6">
        <v>3.94</v>
      </c>
      <c r="E21318" t="s">
        <v>224</v>
      </c>
    </row>
    <row r="21319" spans="1:5" x14ac:dyDescent="0.25">
      <c r="A21319" t="str">
        <f>HYPERLINK("https://www.773grp.com/globalSearch/TPS650001RTER/page-1", "TPS650001RTER")</f>
        <v>TPS650001RTER</v>
      </c>
      <c r="B21319" s="3" t="str">
        <f>HYPERLINK("https://www.773grp.com/manufacturer/texas-instruments?pageNo=666", "Texas Instruments")</f>
        <v>Texas Instruments</v>
      </c>
      <c r="C21319" s="5">
        <v>6000</v>
      </c>
      <c r="D21319" s="6">
        <v>3.94</v>
      </c>
      <c r="E21319" t="s">
        <v>224</v>
      </c>
    </row>
    <row r="21320" spans="1:5" x14ac:dyDescent="0.25">
      <c r="A21320" t="str">
        <f>HYPERLINK("https://www.773grp.com/globalSearch/TPS650003RTER/page-1", "TPS650003RTER")</f>
        <v>TPS650003RTER</v>
      </c>
      <c r="B21320" s="3" t="str">
        <f>HYPERLINK("https://www.773grp.com/manufacturer/texas-instruments?pageNo=667", "Texas Instruments")</f>
        <v>Texas Instruments</v>
      </c>
      <c r="C21320" s="5">
        <v>42000</v>
      </c>
      <c r="D21320" s="6">
        <v>3.94</v>
      </c>
      <c r="E21320" t="s">
        <v>224</v>
      </c>
    </row>
    <row r="21321" spans="1:5" x14ac:dyDescent="0.25">
      <c r="A21321" t="str">
        <f>HYPERLINK("https://www.773grp.com/globalSearch/TPS650006RTER/page-1", "TPS650006RTER")</f>
        <v>TPS650006RTER</v>
      </c>
      <c r="B21321" s="3" t="str">
        <f>HYPERLINK("https://www.773grp.com/manufacturer/texas-instruments?pageNo=668", "Texas Instruments")</f>
        <v>Texas Instruments</v>
      </c>
      <c r="C21321" s="5">
        <v>69000</v>
      </c>
      <c r="D21321" s="6">
        <v>3.94</v>
      </c>
      <c r="E21321" t="s">
        <v>233</v>
      </c>
    </row>
    <row r="21322" spans="1:5" x14ac:dyDescent="0.25">
      <c r="A21322" t="str">
        <f>HYPERLINK("https://www.773grp.com/globalSearch/TPS657052YZHT/page-1", "TPS657052YZHT")</f>
        <v>TPS657052YZHT</v>
      </c>
      <c r="B21322" s="3" t="str">
        <f>HYPERLINK("https://www.773grp.com/manufacturer/texas-instruments?pageNo=673", "Texas Instruments")</f>
        <v>Texas Instruments</v>
      </c>
      <c r="C21322" s="5">
        <v>125</v>
      </c>
      <c r="D21322" s="6">
        <v>3.94</v>
      </c>
      <c r="E21322" t="s">
        <v>275</v>
      </c>
    </row>
    <row r="21323" spans="1:5" x14ac:dyDescent="0.25">
      <c r="A21323" t="str">
        <f>HYPERLINK("https://www.773grp.com/globalSearch/TPS70702PWP/page-1", "TPS70702PWP")</f>
        <v>TPS70702PWP</v>
      </c>
      <c r="B21323" s="3" t="str">
        <f>HYPERLINK("https://www.773grp.com/manufacturer/texas-instruments?pageNo=674", "Texas Instruments")</f>
        <v>Texas Instruments</v>
      </c>
      <c r="C21323" s="5">
        <v>110</v>
      </c>
      <c r="D21323" s="6">
        <v>3.94</v>
      </c>
      <c r="E21323" t="s">
        <v>7</v>
      </c>
    </row>
    <row r="21324" spans="1:5" x14ac:dyDescent="0.25">
      <c r="A21324" t="str">
        <f>HYPERLINK("https://www.773grp.com/globalSearch/TPS715A01DRBT-NM/page-1", "TPS715A01DRBT-NM")</f>
        <v>TPS715A01DRBT-NM</v>
      </c>
      <c r="B21324" s="3" t="str">
        <f>HYPERLINK("https://www.773grp.com/manufacturer/texas-instruments?pageNo=676", "Texas Instruments")</f>
        <v>Texas Instruments</v>
      </c>
      <c r="C21324" s="5">
        <v>250</v>
      </c>
      <c r="D21324" s="6">
        <v>3.94</v>
      </c>
      <c r="E21324" t="s">
        <v>224</v>
      </c>
    </row>
    <row r="21325" spans="1:5" x14ac:dyDescent="0.25">
      <c r="A21325" t="str">
        <f>HYPERLINK("https://www.773grp.com/globalSearch/TPS7A1601DGNR/page-1", "TPS7A1601DGNR")</f>
        <v>TPS7A1601DGNR</v>
      </c>
      <c r="B21325" s="3" t="str">
        <f>HYPERLINK("https://www.773grp.com/manufacturer/texas-instruments?pageNo=678", "Texas Instruments")</f>
        <v>Texas Instruments</v>
      </c>
      <c r="C21325" s="5">
        <v>2500</v>
      </c>
      <c r="D21325" s="6">
        <v>3.94</v>
      </c>
      <c r="E21325" t="s">
        <v>7</v>
      </c>
    </row>
    <row r="21326" spans="1:5" x14ac:dyDescent="0.25">
      <c r="A21326" t="str">
        <f>HYPERLINK("https://www.773grp.com/globalSearch/TPS7A1650DGNR/page-1", "TPS7A1650DGNR")</f>
        <v>TPS7A1650DGNR</v>
      </c>
      <c r="B21326" s="3" t="str">
        <f>HYPERLINK("https://www.773grp.com/manufacturer/texas-instruments?pageNo=679", "Texas Instruments")</f>
        <v>Texas Instruments</v>
      </c>
      <c r="C21326" s="5">
        <v>4960</v>
      </c>
      <c r="D21326" s="6">
        <v>3.94</v>
      </c>
      <c r="E21326" t="s">
        <v>276</v>
      </c>
    </row>
    <row r="21327" spans="1:5" x14ac:dyDescent="0.25">
      <c r="A21327" t="str">
        <f>HYPERLINK("https://www.773grp.com/globalSearch/TS3V713ELRTGR/page-1", "TS3V713ELRTGR")</f>
        <v>TS3V713ELRTGR</v>
      </c>
      <c r="B21327" s="3" t="str">
        <f>HYPERLINK("https://www.773grp.com/manufacturer/texas-instruments?pageNo=682", "Texas Instruments")</f>
        <v>Texas Instruments</v>
      </c>
      <c r="C21327" s="5">
        <v>6000</v>
      </c>
      <c r="D21327" s="6">
        <v>3.94</v>
      </c>
      <c r="E21327" t="s">
        <v>275</v>
      </c>
    </row>
    <row r="21328" spans="1:5" x14ac:dyDescent="0.25">
      <c r="A21328" t="str">
        <f>HYPERLINK("https://www.773grp.com/globalSearch/UCC27322DGN/page-1", "UCC27322DGN")</f>
        <v>UCC27322DGN</v>
      </c>
      <c r="B21328" s="3" t="str">
        <f>HYPERLINK("https://www.773grp.com/manufacturer/texas-instruments?pageNo=687", "Texas Instruments")</f>
        <v>Texas Instruments</v>
      </c>
      <c r="C21328" s="5">
        <v>20</v>
      </c>
      <c r="D21328" s="6">
        <v>3.94</v>
      </c>
      <c r="E21328" t="s">
        <v>7</v>
      </c>
    </row>
    <row r="21329" spans="1:5" x14ac:dyDescent="0.25">
      <c r="A21329" t="str">
        <f>HYPERLINK("https://www.773grp.com/globalSearch/UCC28083D/page-1", "UCC28083D")</f>
        <v>UCC28083D</v>
      </c>
      <c r="B21329" s="3" t="str">
        <f>HYPERLINK("https://www.773grp.com/manufacturer/texas-instruments?pageNo=698", "Texas Instruments")</f>
        <v>Texas Instruments</v>
      </c>
      <c r="C21329" s="5">
        <v>65</v>
      </c>
      <c r="D21329" s="6">
        <v>3.94</v>
      </c>
      <c r="E21329" t="s">
        <v>249</v>
      </c>
    </row>
    <row r="21330" spans="1:5" x14ac:dyDescent="0.25">
      <c r="A21330" t="str">
        <f>HYPERLINK("https://www.773grp.com/globalSearch/UCC28084PW/page-1", "UCC28084PW")</f>
        <v>UCC28084PW</v>
      </c>
      <c r="B21330" s="3" t="str">
        <f>HYPERLINK("https://www.773grp.com/manufacturer/texas-instruments?pageNo=701", "Texas Instruments")</f>
        <v>Texas Instruments</v>
      </c>
      <c r="C21330" s="5">
        <v>1950</v>
      </c>
      <c r="D21330" s="6">
        <v>3.94</v>
      </c>
      <c r="E21330" t="s">
        <v>277</v>
      </c>
    </row>
    <row r="21331" spans="1:5" x14ac:dyDescent="0.25">
      <c r="A21331" t="str">
        <f>HYPERLINK("https://www.773grp.com/globalSearch/WM0831CD/page-1", "WM0831CD")</f>
        <v>WM0831CD</v>
      </c>
      <c r="B21331" s="3" t="str">
        <f>HYPERLINK("https://www.773grp.com/manufacturer/texas-instruments?pageNo=719", "Texas Instruments")</f>
        <v>Texas Instruments</v>
      </c>
      <c r="C21331" s="5">
        <v>3000</v>
      </c>
      <c r="D21331" s="6">
        <v>3.94</v>
      </c>
      <c r="E21331" t="s">
        <v>270</v>
      </c>
    </row>
    <row r="21332" spans="1:5" x14ac:dyDescent="0.25">
      <c r="A21332" t="str">
        <f>HYPERLINK("https://www.773grp.com/globalSearch/74ALVC164245ZRDR/page-1", "74ALVC164245ZRDR")</f>
        <v>74ALVC164245ZRDR</v>
      </c>
      <c r="B21332" s="3" t="str">
        <f>HYPERLINK("https://www.773grp.com/manufacturer/texas-instruments?pageNo=721", "Texas Instruments")</f>
        <v>Texas Instruments</v>
      </c>
      <c r="C21332" s="5">
        <v>4000</v>
      </c>
      <c r="D21332" s="6">
        <v>3.96</v>
      </c>
      <c r="E21332" t="s">
        <v>276</v>
      </c>
    </row>
    <row r="21333" spans="1:5" x14ac:dyDescent="0.25">
      <c r="A21333" t="str">
        <f>HYPERLINK("https://www.773grp.com/globalSearch/CD74HC4059M96/page-1", "CD74HC4059M96")</f>
        <v>CD74HC4059M96</v>
      </c>
      <c r="B21333" s="3" t="str">
        <f>HYPERLINK("https://www.773grp.com/manufacturer/texas-instruments?pageNo=722", "Texas Instruments")</f>
        <v>Texas Instruments</v>
      </c>
      <c r="C21333" s="5">
        <v>2000</v>
      </c>
      <c r="D21333" s="6">
        <v>3.96</v>
      </c>
      <c r="E21333" t="s">
        <v>7</v>
      </c>
    </row>
    <row r="21334" spans="1:5" x14ac:dyDescent="0.25">
      <c r="A21334" t="str">
        <f>HYPERLINK("https://www.773grp.com/globalSearch/CXD9835TNDBTR/page-1", "CXD9835TNDBTR")</f>
        <v>CXD9835TNDBTR</v>
      </c>
      <c r="B21334" s="3" t="str">
        <f>HYPERLINK("https://www.773grp.com/manufacturer/texas-instruments?pageNo=725", "Texas Instruments")</f>
        <v>Texas Instruments</v>
      </c>
      <c r="C21334" s="5">
        <v>2000</v>
      </c>
      <c r="D21334" s="6">
        <v>3.96</v>
      </c>
      <c r="E21334" t="s">
        <v>224</v>
      </c>
    </row>
    <row r="21335" spans="1:5" x14ac:dyDescent="0.25">
      <c r="A21335" t="str">
        <f>HYPERLINK("https://www.773grp.com/globalSearch/DS90C032TM/page-1", "DS90C032TM")</f>
        <v>DS90C032TM</v>
      </c>
      <c r="B21335" s="3" t="str">
        <f>HYPERLINK("https://www.773grp.com/manufacturer/texas-instruments?pageNo=726", "Texas Instruments")</f>
        <v>Texas Instruments</v>
      </c>
      <c r="C21335" s="5">
        <v>2224</v>
      </c>
      <c r="D21335" s="6">
        <v>3.96</v>
      </c>
      <c r="E21335" t="s">
        <v>278</v>
      </c>
    </row>
    <row r="21336" spans="1:5" x14ac:dyDescent="0.25">
      <c r="A21336" t="str">
        <f>HYPERLINK("https://www.773grp.com/globalSearch/DS91C176TMAX-NOPB/page-1", "DS91C176TMAX-NOPB")</f>
        <v>DS91C176TMAX-NOPB</v>
      </c>
      <c r="B21336" s="3" t="str">
        <f>HYPERLINK("https://www.773grp.com/manufacturer/texas-instruments?pageNo=727", "Texas Instruments")</f>
        <v>Texas Instruments</v>
      </c>
      <c r="C21336" s="5">
        <v>4</v>
      </c>
      <c r="D21336" s="6">
        <v>3.96</v>
      </c>
      <c r="E21336" t="s">
        <v>272</v>
      </c>
    </row>
    <row r="21337" spans="1:5" x14ac:dyDescent="0.25">
      <c r="A21337" t="str">
        <f>HYPERLINK("https://www.773grp.com/globalSearch/LMP8601QMA-NOPB/page-1", "LMP8601QMA-NOPB")</f>
        <v>LMP8601QMA-NOPB</v>
      </c>
      <c r="B21337" s="3" t="str">
        <f>HYPERLINK("https://www.773grp.com/manufacturer/texas-instruments?pageNo=728", "Texas Instruments")</f>
        <v>Texas Instruments</v>
      </c>
      <c r="C21337" s="5">
        <v>1000</v>
      </c>
      <c r="D21337" s="6">
        <v>3.96</v>
      </c>
      <c r="E21337" t="s">
        <v>223</v>
      </c>
    </row>
    <row r="21338" spans="1:5" x14ac:dyDescent="0.25">
      <c r="A21338" t="str">
        <f>HYPERLINK("https://www.773grp.com/globalSearch/SN74ALVC164245KR/page-1", "SN74ALVC164245KR")</f>
        <v>SN74ALVC164245KR</v>
      </c>
      <c r="B21338" s="3" t="str">
        <f>HYPERLINK("https://www.773grp.com/manufacturer/texas-instruments?pageNo=732", "Texas Instruments")</f>
        <v>Texas Instruments</v>
      </c>
      <c r="C21338" s="5">
        <v>900</v>
      </c>
      <c r="D21338" s="6">
        <v>3.96</v>
      </c>
      <c r="E21338" t="s">
        <v>249</v>
      </c>
    </row>
    <row r="21339" spans="1:5" x14ac:dyDescent="0.25">
      <c r="A21339" t="str">
        <f>HYPERLINK("https://www.773grp.com/globalSearch/SN74ALVTHR16245KR/page-1", "SN74ALVTHR16245KR")</f>
        <v>SN74ALVTHR16245KR</v>
      </c>
      <c r="B21339" s="3" t="str">
        <f>HYPERLINK("https://www.773grp.com/manufacturer/texas-instruments?pageNo=733", "Texas Instruments")</f>
        <v>Texas Instruments</v>
      </c>
      <c r="C21339" s="5">
        <v>1000</v>
      </c>
      <c r="D21339" s="6">
        <v>3.96</v>
      </c>
      <c r="E21339" t="s">
        <v>247</v>
      </c>
    </row>
    <row r="21340" spans="1:5" x14ac:dyDescent="0.25">
      <c r="A21340" t="str">
        <f>HYPERLINK("https://www.773grp.com/globalSearch/SN75C3238DBR/page-1", "SN75C3238DBR")</f>
        <v>SN75C3238DBR</v>
      </c>
      <c r="B21340" s="3" t="str">
        <f>HYPERLINK("https://www.773grp.com/manufacturer/texas-instruments?pageNo=741", "Texas Instruments")</f>
        <v>Texas Instruments</v>
      </c>
      <c r="C21340" s="5">
        <v>834</v>
      </c>
      <c r="D21340" s="6">
        <v>3.96</v>
      </c>
      <c r="E21340" t="s">
        <v>7</v>
      </c>
    </row>
    <row r="21341" spans="1:5" x14ac:dyDescent="0.25">
      <c r="A21341" t="str">
        <f>HYPERLINK("https://www.773grp.com/globalSearch/DS34LV86TMX-NOPB/page-1", "DS34LV86TMX-NOPB")</f>
        <v>DS34LV86TMX-NOPB</v>
      </c>
      <c r="B21341" s="3" t="str">
        <f>HYPERLINK("https://www.773grp.com/manufacturer/texas-instruments?pageNo=777", "Texas Instruments")</f>
        <v>Texas Instruments</v>
      </c>
      <c r="C21341" s="5">
        <v>1078</v>
      </c>
      <c r="D21341" s="6">
        <v>4.38</v>
      </c>
      <c r="E21341" t="s">
        <v>263</v>
      </c>
    </row>
    <row r="21342" spans="1:5" x14ac:dyDescent="0.25">
      <c r="A21342" t="str">
        <f>HYPERLINK("https://www.773grp.com/globalSearch/LMS4684LD-NOPB/page-1", "LMS4684LD-NOPB")</f>
        <v>LMS4684LD-NOPB</v>
      </c>
      <c r="B21342" s="3" t="str">
        <f>HYPERLINK("https://www.773grp.com/manufacturer/texas-instruments?pageNo=778", "Texas Instruments")</f>
        <v>Texas Instruments</v>
      </c>
      <c r="C21342" s="5">
        <v>3000</v>
      </c>
      <c r="D21342" s="6">
        <v>4.38</v>
      </c>
      <c r="E21342" t="s">
        <v>224</v>
      </c>
    </row>
    <row r="21343" spans="1:5" x14ac:dyDescent="0.25">
      <c r="A21343" t="str">
        <f>HYPERLINK("https://www.773grp.com/globalSearch/LP2995MR/page-1", "LP2995MR")</f>
        <v>LP2995MR</v>
      </c>
      <c r="B21343" s="3" t="str">
        <f>HYPERLINK("https://www.773grp.com/manufacturer/texas-instruments?pageNo=779", "Texas Instruments")</f>
        <v>Texas Instruments</v>
      </c>
      <c r="C21343" s="5">
        <v>500</v>
      </c>
      <c r="D21343" s="6">
        <v>4.38</v>
      </c>
      <c r="E21343" t="s">
        <v>7</v>
      </c>
    </row>
    <row r="21344" spans="1:5" x14ac:dyDescent="0.25">
      <c r="A21344" t="str">
        <f>HYPERLINK("https://www.773grp.com/globalSearch/SN74ALS1005NS/page-1", "SN74ALS1005NS")</f>
        <v>SN74ALS1005NS</v>
      </c>
      <c r="B21344" s="3" t="str">
        <f>HYPERLINK("https://www.773grp.com/manufacturer/texas-instruments?pageNo=785", "Texas Instruments")</f>
        <v>Texas Instruments</v>
      </c>
      <c r="C21344" s="5">
        <v>2550</v>
      </c>
      <c r="D21344" s="6">
        <v>4.38</v>
      </c>
      <c r="E21344" t="s">
        <v>276</v>
      </c>
    </row>
    <row r="21345" spans="1:5" x14ac:dyDescent="0.25">
      <c r="A21345" t="str">
        <f>HYPERLINK("https://www.773grp.com/globalSearch/SN74ALS1035NS/page-1", "SN74ALS1035NS")</f>
        <v>SN74ALS1035NS</v>
      </c>
      <c r="B21345" s="3" t="str">
        <f>HYPERLINK("https://www.773grp.com/manufacturer/texas-instruments?pageNo=786", "Texas Instruments")</f>
        <v>Texas Instruments</v>
      </c>
      <c r="C21345" s="5">
        <v>1950</v>
      </c>
      <c r="D21345" s="6">
        <v>4.38</v>
      </c>
      <c r="E21345" t="s">
        <v>7</v>
      </c>
    </row>
    <row r="21346" spans="1:5" x14ac:dyDescent="0.25">
      <c r="A21346" t="str">
        <f>HYPERLINK("https://www.773grp.com/globalSearch/SN74AVT2245PWLE/page-1", "SN74AVT2245PWLE")</f>
        <v>SN74AVT2245PWLE</v>
      </c>
      <c r="B21346" s="3" t="str">
        <f>HYPERLINK("https://www.773grp.com/manufacturer/texas-instruments?pageNo=787", "Texas Instruments")</f>
        <v>Texas Instruments</v>
      </c>
      <c r="C21346" s="5">
        <v>2000</v>
      </c>
      <c r="D21346" s="6">
        <v>4.38</v>
      </c>
      <c r="E21346" t="s">
        <v>224</v>
      </c>
    </row>
    <row r="21347" spans="1:5" x14ac:dyDescent="0.25">
      <c r="A21347" t="str">
        <f>HYPERLINK("https://www.773grp.com/globalSearch/SN74S260NS/page-1", "SN74S260NS")</f>
        <v>SN74S260NS</v>
      </c>
      <c r="B21347" s="3" t="str">
        <f>HYPERLINK("https://www.773grp.com/manufacturer/texas-instruments?pageNo=794", "Texas Instruments")</f>
        <v>Texas Instruments</v>
      </c>
      <c r="C21347" s="5">
        <v>11700</v>
      </c>
      <c r="D21347" s="6">
        <v>4.38</v>
      </c>
      <c r="E21347" t="s">
        <v>7</v>
      </c>
    </row>
    <row r="21348" spans="1:5" x14ac:dyDescent="0.25">
      <c r="A21348" t="str">
        <f>HYPERLINK("https://www.773grp.com/globalSearch/TL026PS-MAND/page-1", "TL026PS-MAND")</f>
        <v>TL026PS-MAND</v>
      </c>
      <c r="B21348" s="3" t="str">
        <f>HYPERLINK("https://www.773grp.com/manufacturer/texas-instruments?pageNo=795", "Texas Instruments")</f>
        <v>Texas Instruments</v>
      </c>
      <c r="C21348" s="5">
        <v>2354</v>
      </c>
      <c r="D21348" s="6">
        <v>4.38</v>
      </c>
      <c r="E21348" t="s">
        <v>276</v>
      </c>
    </row>
    <row r="21349" spans="1:5" x14ac:dyDescent="0.25">
      <c r="A21349" t="str">
        <f>HYPERLINK("https://www.773grp.com/globalSearch/TPL0102-100RUCR/page-1", "TPL0102-100RUCR")</f>
        <v>TPL0102-100RUCR</v>
      </c>
      <c r="B21349" s="3" t="str">
        <f>HYPERLINK("https://www.773grp.com/manufacturer/texas-instruments?pageNo=798", "Texas Instruments")</f>
        <v>Texas Instruments</v>
      </c>
      <c r="C21349" s="5">
        <v>2130</v>
      </c>
      <c r="D21349" s="6">
        <v>4.38</v>
      </c>
      <c r="E21349" t="s">
        <v>7</v>
      </c>
    </row>
    <row r="21350" spans="1:5" x14ac:dyDescent="0.25">
      <c r="A21350" t="str">
        <f>HYPERLINK("https://www.773grp.com/globalSearch/TPS2540RTET/page-1", "TPS2540RTET")</f>
        <v>TPS2540RTET</v>
      </c>
      <c r="B21350" s="3" t="str">
        <f>HYPERLINK("https://www.773grp.com/manufacturer/texas-instruments?pageNo=800", "Texas Instruments")</f>
        <v>Texas Instruments</v>
      </c>
      <c r="C21350" s="5">
        <v>464</v>
      </c>
      <c r="D21350" s="6">
        <v>4.38</v>
      </c>
      <c r="E21350" t="s">
        <v>223</v>
      </c>
    </row>
    <row r="21351" spans="1:5" x14ac:dyDescent="0.25">
      <c r="A21351" t="str">
        <f>HYPERLINK("https://www.773grp.com/globalSearch/TPS2541RTET/page-1", "TPS2541RTET")</f>
        <v>TPS2541RTET</v>
      </c>
      <c r="B21351" s="3" t="str">
        <f>HYPERLINK("https://www.773grp.com/manufacturer/texas-instruments?pageNo=801", "Texas Instruments")</f>
        <v>Texas Instruments</v>
      </c>
      <c r="C21351" s="5">
        <v>250</v>
      </c>
      <c r="D21351" s="6">
        <v>4.38</v>
      </c>
      <c r="E21351" t="s">
        <v>249</v>
      </c>
    </row>
    <row r="21352" spans="1:5" x14ac:dyDescent="0.25">
      <c r="A21352" t="str">
        <f>HYPERLINK("https://www.773grp.com/globalSearch/TPS3707-25DGNR/page-1", "TPS3707-25DGNR")</f>
        <v>TPS3707-25DGNR</v>
      </c>
      <c r="B21352" s="3" t="str">
        <f>HYPERLINK("https://www.773grp.com/manufacturer/texas-instruments?pageNo=807", "Texas Instruments")</f>
        <v>Texas Instruments</v>
      </c>
      <c r="C21352" s="5">
        <v>15000</v>
      </c>
      <c r="D21352" s="6">
        <v>4.38</v>
      </c>
      <c r="E21352" t="s">
        <v>244</v>
      </c>
    </row>
    <row r="21353" spans="1:5" x14ac:dyDescent="0.25">
      <c r="A21353" t="str">
        <f>HYPERLINK("https://www.773grp.com/globalSearch/TPS3707-50DGNR/page-1", "TPS3707-50DGNR")</f>
        <v>TPS3707-50DGNR</v>
      </c>
      <c r="B21353" s="3" t="str">
        <f>HYPERLINK("https://www.773grp.com/manufacturer/texas-instruments?pageNo=812", "Texas Instruments")</f>
        <v>Texas Instruments</v>
      </c>
      <c r="C21353" s="5">
        <v>8272</v>
      </c>
      <c r="D21353" s="6">
        <v>4.38</v>
      </c>
      <c r="E21353" t="s">
        <v>244</v>
      </c>
    </row>
    <row r="21354" spans="1:5" x14ac:dyDescent="0.25">
      <c r="A21354" t="str">
        <f>HYPERLINK("https://www.773grp.com/globalSearch/TPS62080ADSGR/page-1", "TPS62080ADSGR")</f>
        <v>TPS62080ADSGR</v>
      </c>
      <c r="B21354" s="3" t="str">
        <f>HYPERLINK("https://www.773grp.com/manufacturer/texas-instruments?pageNo=813", "Texas Instruments")</f>
        <v>Texas Instruments</v>
      </c>
      <c r="C21354" s="5">
        <v>3000</v>
      </c>
      <c r="D21354" s="6">
        <v>4.38</v>
      </c>
      <c r="E21354" t="s">
        <v>7</v>
      </c>
    </row>
    <row r="21355" spans="1:5" x14ac:dyDescent="0.25">
      <c r="A21355" t="str">
        <f>HYPERLINK("https://www.773grp.com/globalSearch/BQ26230PW/page-1", "BQ26230PW")</f>
        <v>BQ26230PW</v>
      </c>
      <c r="B21355" s="3" t="str">
        <f>HYPERLINK("https://www.773grp.com/manufacturer/texas-instruments?pageNo=817", "Texas Instruments")</f>
        <v>Texas Instruments</v>
      </c>
      <c r="C21355" s="5">
        <v>8550</v>
      </c>
      <c r="D21355" s="6">
        <v>4</v>
      </c>
      <c r="E21355" t="s">
        <v>275</v>
      </c>
    </row>
    <row r="21356" spans="1:5" x14ac:dyDescent="0.25">
      <c r="A21356" t="str">
        <f>HYPERLINK("https://www.773grp.com/globalSearch/LM48100QMH-NOPB/page-1", "LM48100QMH-NOPB")</f>
        <v>LM48100QMH-NOPB</v>
      </c>
      <c r="B21356" s="3" t="str">
        <f>HYPERLINK("https://www.773grp.com/manufacturer/texas-instruments?pageNo=818", "Texas Instruments")</f>
        <v>Texas Instruments</v>
      </c>
      <c r="C21356" s="5">
        <v>250</v>
      </c>
      <c r="D21356" s="6">
        <v>4</v>
      </c>
      <c r="E21356" t="s">
        <v>248</v>
      </c>
    </row>
    <row r="21357" spans="1:5" x14ac:dyDescent="0.25">
      <c r="A21357" t="str">
        <f>HYPERLINK("https://www.773grp.com/globalSearch/LM6171AIMX-NOPB/page-1", "LM6171AIMX-NOPB")</f>
        <v>LM6171AIMX-NOPB</v>
      </c>
      <c r="B21357" s="3" t="str">
        <f>HYPERLINK("https://www.773grp.com/manufacturer/texas-instruments?pageNo=819", "Texas Instruments")</f>
        <v>Texas Instruments</v>
      </c>
      <c r="C21357" s="5">
        <v>12500</v>
      </c>
      <c r="D21357" s="6">
        <v>4</v>
      </c>
      <c r="E21357" t="s">
        <v>7</v>
      </c>
    </row>
    <row r="21358" spans="1:5" x14ac:dyDescent="0.25">
      <c r="A21358" t="str">
        <f>HYPERLINK("https://www.773grp.com/globalSearch/LMH6628MAX-NOPB/page-1", "LMH6628MAX-NOPB")</f>
        <v>LMH6628MAX-NOPB</v>
      </c>
      <c r="B21358" s="3" t="str">
        <f>HYPERLINK("https://www.773grp.com/manufacturer/texas-instruments?pageNo=820", "Texas Instruments")</f>
        <v>Texas Instruments</v>
      </c>
      <c r="C21358" s="5">
        <v>4900</v>
      </c>
      <c r="D21358" s="6">
        <v>4</v>
      </c>
      <c r="E21358" t="s">
        <v>224</v>
      </c>
    </row>
    <row r="21359" spans="1:5" x14ac:dyDescent="0.25">
      <c r="A21359" t="str">
        <f>HYPERLINK("https://www.773grp.com/globalSearch/TLE2037MDG4/page-1", "TLE2037MDG4")</f>
        <v>TLE2037MDG4</v>
      </c>
      <c r="B21359" s="3" t="str">
        <f>HYPERLINK("https://www.773grp.com/manufacturer/texas-instruments?pageNo=831", "Texas Instruments")</f>
        <v>Texas Instruments</v>
      </c>
      <c r="C21359" s="5">
        <v>3150</v>
      </c>
      <c r="D21359" s="6">
        <v>4</v>
      </c>
      <c r="E21359" t="s">
        <v>224</v>
      </c>
    </row>
    <row r="21360" spans="1:5" x14ac:dyDescent="0.25">
      <c r="A21360" t="str">
        <f>HYPERLINK("https://www.773grp.com/globalSearch/74ACT11174-0001/page-1", "74ACT11174-0001")</f>
        <v>74ACT11174-0001</v>
      </c>
      <c r="B21360" s="3" t="str">
        <f>HYPERLINK("https://www.773grp.com/manufacturer/texas-instruments?pageNo=840", "Texas Instruments")</f>
        <v>Texas Instruments</v>
      </c>
      <c r="C21360" s="5">
        <v>350</v>
      </c>
      <c r="D21360" s="6">
        <v>4.4400000000000004</v>
      </c>
      <c r="E21360" t="s">
        <v>224</v>
      </c>
    </row>
    <row r="21361" spans="1:5" x14ac:dyDescent="0.25">
      <c r="A21361" t="str">
        <f>HYPERLINK("https://www.773grp.com/globalSearch/ADCS7478AIMF-NOPB/page-1", "ADCS7478AIMF-NOPB")</f>
        <v>ADCS7478AIMF-NOPB</v>
      </c>
      <c r="B21361" s="3" t="str">
        <f>HYPERLINK("https://www.773grp.com/manufacturer/texas-instruments?pageNo=841", "Texas Instruments")</f>
        <v>Texas Instruments</v>
      </c>
      <c r="C21361" s="5">
        <v>1</v>
      </c>
      <c r="D21361" s="6">
        <v>4.4400000000000004</v>
      </c>
      <c r="E21361" t="s">
        <v>7</v>
      </c>
    </row>
    <row r="21362" spans="1:5" x14ac:dyDescent="0.25">
      <c r="A21362" t="str">
        <f>HYPERLINK("https://www.773grp.com/globalSearch/DAC0808LCN/page-1", "DAC0808LCN")</f>
        <v>DAC0808LCN</v>
      </c>
      <c r="B21362" s="3" t="str">
        <f>HYPERLINK("https://www.773grp.com/manufacturer/texas-instruments?pageNo=848", "Texas Instruments")</f>
        <v>Texas Instruments</v>
      </c>
      <c r="C21362" s="5">
        <v>742</v>
      </c>
      <c r="D21362" s="6">
        <v>4.4400000000000004</v>
      </c>
      <c r="E21362" t="s">
        <v>7</v>
      </c>
    </row>
    <row r="21363" spans="1:5" x14ac:dyDescent="0.25">
      <c r="A21363" t="str">
        <f>HYPERLINK("https://www.773grp.com/globalSearch/DS1487MX-NOPB/page-1", "DS1487MX-NOPB")</f>
        <v>DS1487MX-NOPB</v>
      </c>
      <c r="B21363" s="3" t="str">
        <f>HYPERLINK("https://www.773grp.com/manufacturer/texas-instruments?pageNo=849", "Texas Instruments")</f>
        <v>Texas Instruments</v>
      </c>
      <c r="C21363" s="5">
        <v>7500</v>
      </c>
      <c r="D21363" s="6">
        <v>4.4400000000000004</v>
      </c>
      <c r="E21363" t="s">
        <v>275</v>
      </c>
    </row>
    <row r="21364" spans="1:5" x14ac:dyDescent="0.25">
      <c r="A21364" t="str">
        <f>HYPERLINK("https://www.773grp.com/globalSearch/LM2705MF-ADJ/page-1", "LM2705MF-ADJ")</f>
        <v>LM2705MF-ADJ</v>
      </c>
      <c r="B21364" s="3" t="str">
        <f>HYPERLINK("https://www.773grp.com/manufacturer/texas-instruments?pageNo=850", "Texas Instruments")</f>
        <v>Texas Instruments</v>
      </c>
      <c r="C21364" s="5">
        <v>2000</v>
      </c>
      <c r="D21364" s="6">
        <v>4.4400000000000004</v>
      </c>
      <c r="E21364" t="s">
        <v>224</v>
      </c>
    </row>
    <row r="21365" spans="1:5" x14ac:dyDescent="0.25">
      <c r="A21365" t="str">
        <f>HYPERLINK("https://www.773grp.com/globalSearch/LM2936HVBMA-5.0-NOPB/page-1", "LM2936HVBMA-5.0-NOPB")</f>
        <v>LM2936HVBMA-5.0-NOPB</v>
      </c>
      <c r="B21365" s="3" t="str">
        <f>HYPERLINK("https://www.773grp.com/manufacturer/texas-instruments?pageNo=851", "Texas Instruments")</f>
        <v>Texas Instruments</v>
      </c>
      <c r="C21365" s="5">
        <v>190</v>
      </c>
      <c r="D21365" s="6">
        <v>4.4400000000000004</v>
      </c>
      <c r="E21365" t="s">
        <v>7</v>
      </c>
    </row>
    <row r="21366" spans="1:5" x14ac:dyDescent="0.25">
      <c r="A21366" t="str">
        <f>HYPERLINK("https://www.773grp.com/globalSearch/LM7301IM5-NOPB/page-1", "LM7301IM5-NOPB")</f>
        <v>LM7301IM5-NOPB</v>
      </c>
      <c r="B21366" s="3" t="str">
        <f>HYPERLINK("https://www.773grp.com/manufacturer/texas-instruments?pageNo=852", "Texas Instruments")</f>
        <v>Texas Instruments</v>
      </c>
      <c r="C21366" s="5">
        <v>93</v>
      </c>
      <c r="D21366" s="6">
        <v>4.4400000000000004</v>
      </c>
      <c r="E21366" t="s">
        <v>275</v>
      </c>
    </row>
    <row r="21367" spans="1:5" x14ac:dyDescent="0.25">
      <c r="A21367" t="str">
        <f>HYPERLINK("https://www.773grp.com/globalSearch/LM74CIM-3/page-1", "LM74CIM-3")</f>
        <v>LM74CIM-3</v>
      </c>
      <c r="B21367" s="3" t="str">
        <f>HYPERLINK("https://www.773grp.com/manufacturer/texas-instruments?pageNo=853", "Texas Instruments")</f>
        <v>Texas Instruments</v>
      </c>
      <c r="C21367" s="5">
        <v>95</v>
      </c>
      <c r="D21367" s="6">
        <v>4.4400000000000004</v>
      </c>
      <c r="E21367" t="s">
        <v>7</v>
      </c>
    </row>
    <row r="21368" spans="1:5" x14ac:dyDescent="0.25">
      <c r="A21368" t="str">
        <f>HYPERLINK("https://www.773grp.com/globalSearch/LM75BIMM-3/page-1", "LM75BIMM-3")</f>
        <v>LM75BIMM-3</v>
      </c>
      <c r="B21368" s="3" t="str">
        <f>HYPERLINK("https://www.773grp.com/manufacturer/texas-instruments?pageNo=854", "Texas Instruments")</f>
        <v>Texas Instruments</v>
      </c>
      <c r="C21368" s="5">
        <v>3000</v>
      </c>
      <c r="D21368" s="6">
        <v>4.4400000000000004</v>
      </c>
      <c r="E21368" t="s">
        <v>273</v>
      </c>
    </row>
    <row r="21369" spans="1:5" x14ac:dyDescent="0.25">
      <c r="A21369" t="str">
        <f>HYPERLINK("https://www.773grp.com/globalSearch/LMP2231BMFE-NOPB/page-1", "LMP2231BMFE-NOPB")</f>
        <v>LMP2231BMFE-NOPB</v>
      </c>
      <c r="B21369" s="3" t="str">
        <f>HYPERLINK("https://www.773grp.com/manufacturer/texas-instruments?pageNo=855", "Texas Instruments")</f>
        <v>Texas Instruments</v>
      </c>
      <c r="C21369" s="5">
        <v>226</v>
      </c>
      <c r="D21369" s="6">
        <v>4.4400000000000004</v>
      </c>
      <c r="E21369" t="s">
        <v>275</v>
      </c>
    </row>
    <row r="21370" spans="1:5" x14ac:dyDescent="0.25">
      <c r="A21370" t="str">
        <f>HYPERLINK("https://www.773grp.com/globalSearch/LMP2231BMFE-NOPB/page-1", "LMP2231BMFE-NOPB")</f>
        <v>LMP2231BMFE-NOPB</v>
      </c>
      <c r="B21370" s="3" t="str">
        <f>HYPERLINK("https://www.773grp.com/manufacturer/texas-instruments?pageNo=856", "Texas Instruments")</f>
        <v>Texas Instruments</v>
      </c>
      <c r="C21370" s="5">
        <v>12</v>
      </c>
      <c r="D21370" s="6">
        <v>4.4400000000000004</v>
      </c>
      <c r="E21370" t="s">
        <v>7</v>
      </c>
    </row>
    <row r="21371" spans="1:5" x14ac:dyDescent="0.25">
      <c r="A21371" t="str">
        <f>HYPERLINK("https://www.773grp.com/globalSearch/LP3943ISQ-NOPB/page-1", "LP3943ISQ-NOPB")</f>
        <v>LP3943ISQ-NOPB</v>
      </c>
      <c r="B21371" s="3" t="str">
        <f>HYPERLINK("https://www.773grp.com/manufacturer/texas-instruments?pageNo=857", "Texas Instruments")</f>
        <v>Texas Instruments</v>
      </c>
      <c r="C21371" s="5">
        <v>1000</v>
      </c>
      <c r="D21371" s="6">
        <v>4.4400000000000004</v>
      </c>
      <c r="E21371" t="s">
        <v>279</v>
      </c>
    </row>
    <row r="21372" spans="1:5" x14ac:dyDescent="0.25">
      <c r="A21372" t="str">
        <f>HYPERLINK("https://www.773grp.com/globalSearch/SN65LVDS9638DR/page-1", "SN65LVDS9638DR")</f>
        <v>SN65LVDS9638DR</v>
      </c>
      <c r="B21372" s="3" t="str">
        <f>HYPERLINK("https://www.773grp.com/manufacturer/texas-instruments?pageNo=861", "Texas Instruments")</f>
        <v>Texas Instruments</v>
      </c>
      <c r="C21372" s="5">
        <v>2500</v>
      </c>
      <c r="D21372" s="6">
        <v>4.4400000000000004</v>
      </c>
      <c r="E21372" t="s">
        <v>248</v>
      </c>
    </row>
    <row r="21373" spans="1:5" x14ac:dyDescent="0.25">
      <c r="A21373" t="str">
        <f>HYPERLINK("https://www.773grp.com/globalSearch/SN74ABT541BDBR/page-1", "SN74ABT541BDBR")</f>
        <v>SN74ABT541BDBR</v>
      </c>
      <c r="B21373" s="3" t="str">
        <f>HYPERLINK("https://www.773grp.com/manufacturer/texas-instruments?pageNo=862", "Texas Instruments")</f>
        <v>Texas Instruments</v>
      </c>
      <c r="C21373" s="5">
        <v>3240</v>
      </c>
      <c r="D21373" s="6">
        <v>4.4400000000000004</v>
      </c>
      <c r="E21373" t="s">
        <v>248</v>
      </c>
    </row>
    <row r="21374" spans="1:5" x14ac:dyDescent="0.25">
      <c r="A21374" t="str">
        <f>HYPERLINK("https://www.773grp.com/globalSearch/SN74AHC244MPWREP/page-1", "SN74AHC244MPWREP")</f>
        <v>SN74AHC244MPWREP</v>
      </c>
      <c r="B21374" s="3" t="str">
        <f>HYPERLINK("https://www.773grp.com/manufacturer/texas-instruments?pageNo=863", "Texas Instruments")</f>
        <v>Texas Instruments</v>
      </c>
      <c r="C21374" s="5">
        <v>1200</v>
      </c>
      <c r="D21374" s="6">
        <v>4.4400000000000004</v>
      </c>
      <c r="E21374" t="s">
        <v>242</v>
      </c>
    </row>
    <row r="21375" spans="1:5" x14ac:dyDescent="0.25">
      <c r="A21375" t="str">
        <f>HYPERLINK("https://www.773grp.com/globalSearch/SN74AHC244MPWREPG4/page-1", "SN74AHC244MPWREPG4")</f>
        <v>SN74AHC244MPWREPG4</v>
      </c>
      <c r="B21375" s="3" t="str">
        <f>HYPERLINK("https://www.773grp.com/manufacturer/texas-instruments?pageNo=864", "Texas Instruments")</f>
        <v>Texas Instruments</v>
      </c>
      <c r="C21375" s="5">
        <v>87</v>
      </c>
      <c r="D21375" s="6">
        <v>4.4400000000000004</v>
      </c>
      <c r="E21375" t="s">
        <v>7</v>
      </c>
    </row>
    <row r="21376" spans="1:5" x14ac:dyDescent="0.25">
      <c r="A21376" t="str">
        <f>HYPERLINK("https://www.773grp.com/globalSearch/SNAHC16541DLR/page-1", "SNAHC16541DLR")</f>
        <v>SNAHC16541DLR</v>
      </c>
      <c r="B21376" s="3" t="str">
        <f>HYPERLINK("https://www.773grp.com/manufacturer/texas-instruments?pageNo=865", "Texas Instruments")</f>
        <v>Texas Instruments</v>
      </c>
      <c r="C21376" s="5">
        <v>1000</v>
      </c>
      <c r="D21376" s="6">
        <v>4.4400000000000004</v>
      </c>
      <c r="E21376" t="s">
        <v>7</v>
      </c>
    </row>
    <row r="21377" spans="1:5" x14ac:dyDescent="0.25">
      <c r="A21377" t="str">
        <f>HYPERLINK("https://www.773grp.com/globalSearch/TLC227CD/page-1", "TLC227CD")</f>
        <v>TLC227CD</v>
      </c>
      <c r="B21377" s="3" t="str">
        <f>HYPERLINK("https://www.773grp.com/manufacturer/texas-instruments?pageNo=869", "Texas Instruments")</f>
        <v>Texas Instruments</v>
      </c>
      <c r="C21377" s="5">
        <v>10</v>
      </c>
      <c r="D21377" s="6">
        <v>4.4400000000000004</v>
      </c>
      <c r="E21377" t="s">
        <v>248</v>
      </c>
    </row>
    <row r="21378" spans="1:5" x14ac:dyDescent="0.25">
      <c r="A21378" t="str">
        <f>HYPERLINK("https://www.773grp.com/globalSearch/TPS2042BD/page-1", "TPS2042BD")</f>
        <v>TPS2042BD</v>
      </c>
      <c r="B21378" s="3" t="str">
        <f>HYPERLINK("https://www.773grp.com/manufacturer/texas-instruments?pageNo=873", "Texas Instruments")</f>
        <v>Texas Instruments</v>
      </c>
      <c r="C21378" s="5">
        <v>3000</v>
      </c>
      <c r="D21378" s="6">
        <v>4.4400000000000004</v>
      </c>
      <c r="E21378" t="s">
        <v>242</v>
      </c>
    </row>
    <row r="21379" spans="1:5" x14ac:dyDescent="0.25">
      <c r="A21379" t="str">
        <f>HYPERLINK("https://www.773grp.com/globalSearch/TPS3813I50QDBVRQ1/page-1", "TPS3813I50QDBVRQ1")</f>
        <v>TPS3813I50QDBVRQ1</v>
      </c>
      <c r="B21379" s="3" t="str">
        <f>HYPERLINK("https://www.773grp.com/manufacturer/texas-instruments?pageNo=877", "Texas Instruments")</f>
        <v>Texas Instruments</v>
      </c>
      <c r="C21379" s="5">
        <v>12000</v>
      </c>
      <c r="D21379" s="6">
        <v>4.4400000000000004</v>
      </c>
      <c r="E21379" t="s">
        <v>248</v>
      </c>
    </row>
    <row r="21380" spans="1:5" x14ac:dyDescent="0.25">
      <c r="A21380" t="str">
        <f>HYPERLINK("https://www.773grp.com/globalSearch/TPS3813K33QDBVRQ1/page-1", "TPS3813K33QDBVRQ1")</f>
        <v>TPS3813K33QDBVRQ1</v>
      </c>
      <c r="B21380" s="3" t="str">
        <f>HYPERLINK("https://www.773grp.com/manufacturer/texas-instruments?pageNo=878", "Texas Instruments")</f>
        <v>Texas Instruments</v>
      </c>
      <c r="C21380" s="5">
        <v>3000</v>
      </c>
      <c r="D21380" s="6">
        <v>4.4400000000000004</v>
      </c>
      <c r="E21380" t="s">
        <v>249</v>
      </c>
    </row>
    <row r="21381" spans="1:5" x14ac:dyDescent="0.25">
      <c r="A21381" t="str">
        <f>HYPERLINK("https://www.773grp.com/globalSearch/TPS62222DDCT/page-1", "TPS62222DDCT")</f>
        <v>TPS62222DDCT</v>
      </c>
      <c r="B21381" s="3" t="str">
        <f>HYPERLINK("https://www.773grp.com/manufacturer/texas-instruments?pageNo=887", "Texas Instruments")</f>
        <v>Texas Instruments</v>
      </c>
      <c r="C21381" s="5">
        <v>1250</v>
      </c>
      <c r="D21381" s="6">
        <v>4.4400000000000004</v>
      </c>
      <c r="E21381" t="s">
        <v>242</v>
      </c>
    </row>
    <row r="21382" spans="1:5" x14ac:dyDescent="0.25">
      <c r="A21382" t="str">
        <f>HYPERLINK("https://www.773grp.com/globalSearch/TPS62228DDCT/page-1", "TPS62228DDCT")</f>
        <v>TPS62228DDCT</v>
      </c>
      <c r="B21382" s="3" t="str">
        <f>HYPERLINK("https://www.773grp.com/manufacturer/texas-instruments?pageNo=892", "Texas Instruments")</f>
        <v>Texas Instruments</v>
      </c>
      <c r="C21382" s="5">
        <v>2000</v>
      </c>
      <c r="D21382" s="6">
        <v>4.4400000000000004</v>
      </c>
      <c r="E21382" t="s">
        <v>274</v>
      </c>
    </row>
    <row r="21383" spans="1:5" x14ac:dyDescent="0.25">
      <c r="A21383" t="str">
        <f>HYPERLINK("https://www.773grp.com/globalSearch/TPS7A7001DDA/page-1", "TPS7A7001DDA")</f>
        <v>TPS7A7001DDA</v>
      </c>
      <c r="B21383" s="3" t="str">
        <f>HYPERLINK("https://www.773grp.com/manufacturer/texas-instruments?pageNo=894", "Texas Instruments")</f>
        <v>Texas Instruments</v>
      </c>
      <c r="C21383" s="5">
        <v>75</v>
      </c>
      <c r="D21383" s="6">
        <v>4.4400000000000004</v>
      </c>
      <c r="E21383" t="s">
        <v>275</v>
      </c>
    </row>
    <row r="21384" spans="1:5" x14ac:dyDescent="0.25">
      <c r="A21384" t="str">
        <f>HYPERLINK("https://www.773grp.com/globalSearch/AMZ6C31CN/page-1", "AMZ6C31CN")</f>
        <v>AMZ6C31CN</v>
      </c>
      <c r="B21384" s="3" t="str">
        <f>HYPERLINK("https://www.773grp.com/manufacturer/texas-instruments?pageNo=897", "Texas Instruments")</f>
        <v>Texas Instruments</v>
      </c>
      <c r="C21384" s="5">
        <v>1</v>
      </c>
      <c r="D21384" s="6">
        <v>4.01</v>
      </c>
      <c r="E21384" t="s">
        <v>248</v>
      </c>
    </row>
    <row r="21385" spans="1:5" x14ac:dyDescent="0.25">
      <c r="A21385" t="str">
        <f>HYPERLINK("https://www.773grp.com/globalSearch/CD74HC640M/page-1", "CD74HC640M")</f>
        <v>CD74HC640M</v>
      </c>
      <c r="B21385" s="3" t="str">
        <f>HYPERLINK("https://www.773grp.com/manufacturer/texas-instruments?pageNo=899", "Texas Instruments")</f>
        <v>Texas Instruments</v>
      </c>
      <c r="C21385" s="5">
        <v>800</v>
      </c>
      <c r="D21385" s="6">
        <v>4.01</v>
      </c>
      <c r="E21385" t="s">
        <v>248</v>
      </c>
    </row>
    <row r="21386" spans="1:5" x14ac:dyDescent="0.25">
      <c r="A21386" t="str">
        <f>HYPERLINK("https://www.773grp.com/globalSearch/LM293JG4/page-1", "LM293JG4")</f>
        <v>LM293JG4</v>
      </c>
      <c r="B21386" s="3" t="str">
        <f>HYPERLINK("https://www.773grp.com/manufacturer/texas-instruments?pageNo=911", "Texas Instruments")</f>
        <v>Texas Instruments</v>
      </c>
      <c r="C21386" s="5">
        <v>10819</v>
      </c>
      <c r="D21386" s="6">
        <v>4.01</v>
      </c>
      <c r="E21386" t="s">
        <v>7</v>
      </c>
    </row>
    <row r="21387" spans="1:5" x14ac:dyDescent="0.25">
      <c r="A21387" t="str">
        <f>HYPERLINK("https://www.773grp.com/globalSearch/LM359M-NOPB/page-1", "LM359M-NOPB")</f>
        <v>LM359M-NOPB</v>
      </c>
      <c r="B21387" s="3" t="str">
        <f>HYPERLINK("https://www.773grp.com/manufacturer/texas-instruments?pageNo=912", "Texas Instruments")</f>
        <v>Texas Instruments</v>
      </c>
      <c r="C21387" s="5">
        <v>10</v>
      </c>
      <c r="D21387" s="6">
        <v>4.01</v>
      </c>
      <c r="E21387" t="s">
        <v>248</v>
      </c>
    </row>
    <row r="21388" spans="1:5" x14ac:dyDescent="0.25">
      <c r="A21388" t="str">
        <f>HYPERLINK("https://www.773grp.com/globalSearch/MAX3222CDWG4/page-1", "MAX3222CDWG4")</f>
        <v>MAX3222CDWG4</v>
      </c>
      <c r="B21388" s="3" t="str">
        <f>HYPERLINK("https://www.773grp.com/manufacturer/texas-instruments?pageNo=915", "Texas Instruments")</f>
        <v>Texas Instruments</v>
      </c>
      <c r="C21388" s="5">
        <v>175</v>
      </c>
      <c r="D21388" s="6">
        <v>4.01</v>
      </c>
      <c r="E21388" t="s">
        <v>224</v>
      </c>
    </row>
    <row r="21389" spans="1:5" x14ac:dyDescent="0.25">
      <c r="A21389" t="str">
        <f>HYPERLINK("https://www.773grp.com/globalSearch/MAX3222CPW/page-1", "MAX3222CPW")</f>
        <v>MAX3222CPW</v>
      </c>
      <c r="B21389" s="3" t="str">
        <f>HYPERLINK("https://www.773grp.com/manufacturer/texas-instruments?pageNo=916", "Texas Instruments")</f>
        <v>Texas Instruments</v>
      </c>
      <c r="C21389" s="5">
        <v>80</v>
      </c>
      <c r="D21389" s="6">
        <v>4.01</v>
      </c>
      <c r="E21389" t="s">
        <v>276</v>
      </c>
    </row>
    <row r="21390" spans="1:5" x14ac:dyDescent="0.25">
      <c r="A21390" t="str">
        <f>HYPERLINK("https://www.773grp.com/globalSearch/MAX3237ECDBG4/page-1", "MAX3237ECDBG4")</f>
        <v>MAX3237ECDBG4</v>
      </c>
      <c r="B21390" s="3" t="str">
        <f>HYPERLINK("https://www.773grp.com/manufacturer/texas-instruments?pageNo=922", "Texas Instruments")</f>
        <v>Texas Instruments</v>
      </c>
      <c r="C21390" s="5">
        <v>300</v>
      </c>
      <c r="D21390" s="6">
        <v>4.01</v>
      </c>
      <c r="E21390" t="s">
        <v>224</v>
      </c>
    </row>
    <row r="21391" spans="1:5" x14ac:dyDescent="0.25">
      <c r="A21391" t="str">
        <f>HYPERLINK("https://www.773grp.com/globalSearch/MAX3238IDBG4Q1/page-1", "MAX3238IDBG4Q1")</f>
        <v>MAX3238IDBG4Q1</v>
      </c>
      <c r="B21391" s="3" t="str">
        <f>HYPERLINK("https://www.773grp.com/manufacturer/texas-instruments?pageNo=929", "Texas Instruments")</f>
        <v>Texas Instruments</v>
      </c>
      <c r="C21391" s="5">
        <v>2900</v>
      </c>
      <c r="D21391" s="6">
        <v>4.01</v>
      </c>
      <c r="E21391" t="s">
        <v>7</v>
      </c>
    </row>
    <row r="21392" spans="1:5" x14ac:dyDescent="0.25">
      <c r="A21392" t="str">
        <f>HYPERLINK("https://www.773grp.com/globalSearch/MAX3238IPWG4Q1/page-1", "MAX3238IPWG4Q1")</f>
        <v>MAX3238IPWG4Q1</v>
      </c>
      <c r="B21392" s="3" t="str">
        <f>HYPERLINK("https://www.773grp.com/manufacturer/texas-instruments?pageNo=932", "Texas Instruments")</f>
        <v>Texas Instruments</v>
      </c>
      <c r="C21392" s="5">
        <v>1650</v>
      </c>
      <c r="D21392" s="6">
        <v>4.01</v>
      </c>
      <c r="E21392" t="s">
        <v>275</v>
      </c>
    </row>
    <row r="21393" spans="1:5" x14ac:dyDescent="0.25">
      <c r="A21393" t="str">
        <f>HYPERLINK("https://www.773grp.com/globalSearch/SN74AS240ANS/page-1", "SN74AS240ANS")</f>
        <v>SN74AS240ANS</v>
      </c>
      <c r="B21393" s="3" t="str">
        <f>HYPERLINK("https://www.773grp.com/manufacturer/texas-instruments?pageNo=958", "Texas Instruments")</f>
        <v>Texas Instruments</v>
      </c>
      <c r="C21393" s="5">
        <v>4630</v>
      </c>
      <c r="D21393" s="6">
        <v>4.01</v>
      </c>
      <c r="E21393" t="s">
        <v>248</v>
      </c>
    </row>
    <row r="21394" spans="1:5" x14ac:dyDescent="0.25">
      <c r="A21394" t="str">
        <f>HYPERLINK("https://www.773grp.com/globalSearch/SN74AS374N-J/page-1", "SN74AS374N-J")</f>
        <v>SN74AS374N-J</v>
      </c>
      <c r="B21394" s="3" t="str">
        <f>HYPERLINK("https://www.773grp.com/manufacturer/texas-instruments?pageNo=961", "Texas Instruments")</f>
        <v>Texas Instruments</v>
      </c>
      <c r="C21394" s="5">
        <v>5340</v>
      </c>
      <c r="D21394" s="6">
        <v>4.01</v>
      </c>
      <c r="E21394" t="s">
        <v>275</v>
      </c>
    </row>
    <row r="21395" spans="1:5" x14ac:dyDescent="0.25">
      <c r="A21395" t="str">
        <f>HYPERLINK("https://www.773grp.com/globalSearch/SN74AVC16834DGVR/page-1", "SN74AVC16834DGVR")</f>
        <v>SN74AVC16834DGVR</v>
      </c>
      <c r="B21395" s="3" t="str">
        <f>HYPERLINK("https://www.773grp.com/manufacturer/texas-instruments?pageNo=963", "Texas Instruments")</f>
        <v>Texas Instruments</v>
      </c>
      <c r="C21395" s="5">
        <v>4000</v>
      </c>
      <c r="D21395" s="6">
        <v>4.01</v>
      </c>
      <c r="E21395" t="s">
        <v>242</v>
      </c>
    </row>
    <row r="21396" spans="1:5" x14ac:dyDescent="0.25">
      <c r="A21396" t="str">
        <f>HYPERLINK("https://www.773grp.com/globalSearch/SN74LS641DWR/page-1", "SN74LS641DWR")</f>
        <v>SN74LS641DWR</v>
      </c>
      <c r="B21396" s="3" t="str">
        <f>HYPERLINK("https://www.773grp.com/manufacturer/texas-instruments?pageNo=973", "Texas Instruments")</f>
        <v>Texas Instruments</v>
      </c>
      <c r="C21396" s="5">
        <v>4000</v>
      </c>
      <c r="D21396" s="6">
        <v>4.01</v>
      </c>
      <c r="E21396" t="s">
        <v>273</v>
      </c>
    </row>
    <row r="21397" spans="1:5" x14ac:dyDescent="0.25">
      <c r="A21397" t="str">
        <f>HYPERLINK("https://www.773grp.com/globalSearch/SN75114DE4/page-1", "SN75114DE4")</f>
        <v>SN75114DE4</v>
      </c>
      <c r="B21397" s="3" t="s">
        <v>90</v>
      </c>
      <c r="C21397" s="5">
        <v>254</v>
      </c>
      <c r="D21397" s="6">
        <v>4.01</v>
      </c>
      <c r="E21397" t="s">
        <v>224</v>
      </c>
    </row>
    <row r="21398" spans="1:5" x14ac:dyDescent="0.25">
      <c r="A21398" t="str">
        <f>HYPERLINK("https://www.773grp.com/globalSearch/SN75C3243DWR/page-1", "SN75C3243DWR")</f>
        <v>SN75C3243DWR</v>
      </c>
      <c r="B21398" s="3" t="s">
        <v>90</v>
      </c>
      <c r="C21398" s="5">
        <v>82</v>
      </c>
      <c r="D21398" s="6">
        <v>4.01</v>
      </c>
      <c r="E21398" t="s">
        <v>279</v>
      </c>
    </row>
    <row r="21399" spans="1:5" x14ac:dyDescent="0.25">
      <c r="A21399" t="str">
        <f>HYPERLINK("https://www.773grp.com/globalSearch/SN78568N/page-1", "SN78568N")</f>
        <v>SN78568N</v>
      </c>
      <c r="B21399" s="3" t="s">
        <v>90</v>
      </c>
      <c r="C21399" s="5">
        <v>10050</v>
      </c>
      <c r="D21399" s="6">
        <v>4.01</v>
      </c>
      <c r="E21399" t="s">
        <v>248</v>
      </c>
    </row>
    <row r="21400" spans="1:5" x14ac:dyDescent="0.25">
      <c r="A21400" t="str">
        <f>HYPERLINK("https://www.773grp.com/globalSearch/SN79377N/page-1", "SN79377N")</f>
        <v>SN79377N</v>
      </c>
      <c r="B21400" s="3" t="s">
        <v>90</v>
      </c>
      <c r="C21400" s="5">
        <v>36064</v>
      </c>
      <c r="D21400" s="6">
        <v>4.01</v>
      </c>
      <c r="E21400" t="s">
        <v>219</v>
      </c>
    </row>
    <row r="21401" spans="1:5" x14ac:dyDescent="0.25">
      <c r="A21401" t="str">
        <f>HYPERLINK("https://www.773grp.com/globalSearch/TRS3222ECDW/page-1", "TRS3222ECDW")</f>
        <v>TRS3222ECDW</v>
      </c>
      <c r="B21401" s="3" t="s">
        <v>90</v>
      </c>
      <c r="C21401" s="5">
        <v>3300</v>
      </c>
      <c r="D21401" s="6">
        <v>4.01</v>
      </c>
      <c r="E21401" t="s">
        <v>242</v>
      </c>
    </row>
    <row r="21402" spans="1:5" x14ac:dyDescent="0.25">
      <c r="A21402" t="str">
        <f>HYPERLINK("https://www.773grp.com/globalSearch/TRS3227ECDB/page-1", "TRS3227ECDB")</f>
        <v>TRS3227ECDB</v>
      </c>
      <c r="B21402" s="3" t="s">
        <v>90</v>
      </c>
      <c r="C21402" s="5">
        <v>2157</v>
      </c>
      <c r="D21402" s="6">
        <v>4.01</v>
      </c>
      <c r="E21402" t="s">
        <v>275</v>
      </c>
    </row>
    <row r="21403" spans="1:5" x14ac:dyDescent="0.25">
      <c r="A21403" t="str">
        <f>HYPERLINK("https://www.773grp.com/globalSearch/TRS3237ECDW/page-1", "TRS3237ECDW")</f>
        <v>TRS3237ECDW</v>
      </c>
      <c r="B21403" s="3" t="s">
        <v>90</v>
      </c>
      <c r="C21403" s="5">
        <v>100</v>
      </c>
      <c r="D21403" s="6">
        <v>4.01</v>
      </c>
      <c r="E21403" t="s">
        <v>219</v>
      </c>
    </row>
    <row r="21404" spans="1:5" x14ac:dyDescent="0.25">
      <c r="A21404" t="str">
        <f>HYPERLINK("https://www.773grp.com/globalSearch/TRS3238EIDW/page-1", "TRS3238EIDW")</f>
        <v>TRS3238EIDW</v>
      </c>
      <c r="B21404" s="3" t="s">
        <v>90</v>
      </c>
      <c r="C21404" s="5">
        <v>380</v>
      </c>
      <c r="D21404" s="6">
        <v>4.01</v>
      </c>
      <c r="E21404" t="s">
        <v>7</v>
      </c>
    </row>
    <row r="21405" spans="1:5" x14ac:dyDescent="0.25">
      <c r="A21405" t="str">
        <f>HYPERLINK("https://www.773grp.com/globalSearch/TUSB2046BVF/page-1", "TUSB2046BVF")</f>
        <v>TUSB2046BVF</v>
      </c>
      <c r="B21405" s="3" t="s">
        <v>90</v>
      </c>
      <c r="C21405" s="5">
        <v>15258</v>
      </c>
      <c r="D21405" s="6">
        <v>4.01</v>
      </c>
      <c r="E21405" t="s">
        <v>242</v>
      </c>
    </row>
    <row r="21406" spans="1:5" x14ac:dyDescent="0.25">
      <c r="A21406" t="str">
        <f>HYPERLINK("https://www.773grp.com/globalSearch/WM0834LCD/page-1", "WM0834LCD")</f>
        <v>WM0834LCD</v>
      </c>
      <c r="B21406" s="3" t="s">
        <v>90</v>
      </c>
      <c r="C21406" s="5">
        <v>3424</v>
      </c>
      <c r="D21406" s="6">
        <v>4.01</v>
      </c>
      <c r="E21406" t="s">
        <v>242</v>
      </c>
    </row>
    <row r="21407" spans="1:5" x14ac:dyDescent="0.25">
      <c r="A21407" t="str">
        <f>HYPERLINK("https://www.773grp.com/globalSearch/LM20143MHE-NOPB/page-1", "LM20143MHE-NOPB")</f>
        <v>LM20143MHE-NOPB</v>
      </c>
      <c r="B21407" s="3" t="s">
        <v>90</v>
      </c>
      <c r="C21407" s="5">
        <v>250</v>
      </c>
      <c r="D21407" s="6">
        <v>4.05</v>
      </c>
      <c r="E21407" t="s">
        <v>275</v>
      </c>
    </row>
    <row r="21408" spans="1:5" x14ac:dyDescent="0.25">
      <c r="A21408" t="str">
        <f>HYPERLINK("https://www.773grp.com/globalSearch/LM2594M-3.3-NOPB/page-1", "LM2594M-3.3-NOPB")</f>
        <v>LM2594M-3.3-NOPB</v>
      </c>
      <c r="B21408" s="3" t="s">
        <v>90</v>
      </c>
      <c r="C21408" s="5">
        <v>190</v>
      </c>
      <c r="D21408" s="6">
        <v>4.05</v>
      </c>
      <c r="E21408" t="s">
        <v>7</v>
      </c>
    </row>
    <row r="21409" spans="1:5" x14ac:dyDescent="0.25">
      <c r="A21409" t="str">
        <f>HYPERLINK("https://www.773grp.com/globalSearch/SN700747DWR/page-1", "SN700747DWR")</f>
        <v>SN700747DWR</v>
      </c>
      <c r="B21409" s="3" t="s">
        <v>90</v>
      </c>
      <c r="C21409" s="5">
        <v>2000</v>
      </c>
      <c r="D21409" s="6">
        <v>4.05</v>
      </c>
      <c r="E21409" t="s">
        <v>242</v>
      </c>
    </row>
    <row r="21410" spans="1:5" x14ac:dyDescent="0.25">
      <c r="A21410" t="str">
        <f>HYPERLINK("https://www.773grp.com/globalSearch/TCM9114N/page-1", "TCM9114N")</f>
        <v>TCM9114N</v>
      </c>
      <c r="B21410" s="3" t="s">
        <v>90</v>
      </c>
      <c r="C21410" s="5">
        <v>133817</v>
      </c>
      <c r="D21410" s="6">
        <v>4.05</v>
      </c>
      <c r="E21410" t="s">
        <v>242</v>
      </c>
    </row>
    <row r="21411" spans="1:5" x14ac:dyDescent="0.25">
      <c r="A21411" t="str">
        <f>HYPERLINK("https://www.773grp.com/globalSearch/TLE2037AQDRQ1/page-1", "TLE2037AQDRQ1")</f>
        <v>TLE2037AQDRQ1</v>
      </c>
      <c r="B21411" s="3" t="s">
        <v>90</v>
      </c>
      <c r="C21411" s="5">
        <v>2500</v>
      </c>
      <c r="D21411" s="6">
        <v>4.05</v>
      </c>
      <c r="E21411" t="s">
        <v>219</v>
      </c>
    </row>
    <row r="21412" spans="1:5" x14ac:dyDescent="0.25">
      <c r="A21412" t="str">
        <f>HYPERLINK("https://www.773grp.com/globalSearch/TLV2772ACD/page-1", "TLV2772ACD")</f>
        <v>TLV2772ACD</v>
      </c>
      <c r="B21412" s="3" t="s">
        <v>90</v>
      </c>
      <c r="C21412" s="5">
        <v>750</v>
      </c>
      <c r="D21412" s="6">
        <v>4.05</v>
      </c>
      <c r="E21412" t="s">
        <v>7</v>
      </c>
    </row>
    <row r="21413" spans="1:5" x14ac:dyDescent="0.25">
      <c r="A21413" t="str">
        <f>HYPERLINK("https://www.773grp.com/globalSearch/TPS54525PWP/page-1", "TPS54525PWP")</f>
        <v>TPS54525PWP</v>
      </c>
      <c r="B21413" s="3" t="s">
        <v>90</v>
      </c>
      <c r="C21413" s="5">
        <v>933</v>
      </c>
      <c r="D21413" s="6">
        <v>4.05</v>
      </c>
      <c r="E21413" t="s">
        <v>275</v>
      </c>
    </row>
    <row r="21414" spans="1:5" x14ac:dyDescent="0.25">
      <c r="A21414" t="str">
        <f>HYPERLINK("https://www.773grp.com/globalSearch/TPS63002DRCT/page-1", "TPS63002DRCT")</f>
        <v>TPS63002DRCT</v>
      </c>
      <c r="B21414" s="3" t="s">
        <v>90</v>
      </c>
      <c r="C21414" s="5">
        <v>142</v>
      </c>
      <c r="D21414" s="6">
        <v>4.05</v>
      </c>
      <c r="E21414" t="s">
        <v>274</v>
      </c>
    </row>
    <row r="21415" spans="1:5" x14ac:dyDescent="0.25">
      <c r="A21415" t="str">
        <f>HYPERLINK("https://www.773grp.com/globalSearch/UCC27322PE4/page-1", "UCC27322PE4")</f>
        <v>UCC27322PE4</v>
      </c>
      <c r="B21415" s="3" t="s">
        <v>90</v>
      </c>
      <c r="C21415" s="5">
        <v>100</v>
      </c>
      <c r="D21415" s="6">
        <v>4.05</v>
      </c>
      <c r="E21415" t="s">
        <v>275</v>
      </c>
    </row>
    <row r="21416" spans="1:5" x14ac:dyDescent="0.25">
      <c r="A21416" t="str">
        <f>HYPERLINK("https://www.773grp.com/globalSearch/BQ24204DGNR/page-1", "BQ24204DGNR")</f>
        <v>BQ24204DGNR</v>
      </c>
      <c r="B21416" s="3" t="s">
        <v>90</v>
      </c>
      <c r="C21416" s="5">
        <v>20000</v>
      </c>
      <c r="D21416" s="6">
        <v>4.49</v>
      </c>
      <c r="E21416" t="s">
        <v>274</v>
      </c>
    </row>
    <row r="21417" spans="1:5" x14ac:dyDescent="0.25">
      <c r="A21417" t="str">
        <f>HYPERLINK("https://www.773grp.com/globalSearch/DRV603PWR/page-1", "DRV603PWR")</f>
        <v>DRV603PWR</v>
      </c>
      <c r="B21417" s="3" t="s">
        <v>90</v>
      </c>
      <c r="C21417" s="5">
        <v>6000</v>
      </c>
      <c r="D21417" s="6">
        <v>4.49</v>
      </c>
      <c r="E21417" t="s">
        <v>248</v>
      </c>
    </row>
    <row r="21418" spans="1:5" x14ac:dyDescent="0.25">
      <c r="A21418" t="str">
        <f>HYPERLINK("https://www.773grp.com/globalSearch/DS8922AM/page-1", "DS8922AM")</f>
        <v>DS8922AM</v>
      </c>
      <c r="B21418" s="3" t="s">
        <v>90</v>
      </c>
      <c r="C21418" s="5">
        <v>70</v>
      </c>
      <c r="D21418" s="6">
        <v>4.49</v>
      </c>
      <c r="E21418" t="s">
        <v>242</v>
      </c>
    </row>
    <row r="21419" spans="1:5" x14ac:dyDescent="0.25">
      <c r="A21419" t="str">
        <f>HYPERLINK("https://www.773grp.com/globalSearch/ISO7420DR/page-1", "ISO7420DR")</f>
        <v>ISO7420DR</v>
      </c>
      <c r="B21419" s="3" t="s">
        <v>90</v>
      </c>
      <c r="C21419" s="5">
        <v>5000</v>
      </c>
      <c r="D21419" s="6">
        <v>4.49</v>
      </c>
      <c r="E21419" t="s">
        <v>242</v>
      </c>
    </row>
    <row r="21420" spans="1:5" x14ac:dyDescent="0.25">
      <c r="A21420" t="str">
        <f>HYPERLINK("https://www.773grp.com/globalSearch/LM2737MTCX-NOPB/page-1", "LM2737MTCX-NOPB")</f>
        <v>LM2737MTCX-NOPB</v>
      </c>
      <c r="B21420" s="3" t="s">
        <v>90</v>
      </c>
      <c r="C21420" s="5">
        <v>2500</v>
      </c>
      <c r="D21420" s="6">
        <v>4.49</v>
      </c>
      <c r="E21420" t="s">
        <v>248</v>
      </c>
    </row>
    <row r="21421" spans="1:5" x14ac:dyDescent="0.25">
      <c r="A21421" t="str">
        <f>HYPERLINK("https://www.773grp.com/globalSearch/LM3402HVMM-NOPB/page-1", "LM3402HVMM-NOPB")</f>
        <v>LM3402HVMM-NOPB</v>
      </c>
      <c r="B21421" s="3" t="s">
        <v>90</v>
      </c>
      <c r="C21421" s="5">
        <v>4000</v>
      </c>
      <c r="D21421" s="6">
        <v>4.49</v>
      </c>
      <c r="E21421" t="s">
        <v>242</v>
      </c>
    </row>
    <row r="21422" spans="1:5" x14ac:dyDescent="0.25">
      <c r="A21422" t="str">
        <f>HYPERLINK("https://www.773grp.com/globalSearch/LM3402HVMM-NOPB/page-1", "LM3402HVMM-NOPB")</f>
        <v>LM3402HVMM-NOPB</v>
      </c>
      <c r="B21422" s="3" t="s">
        <v>90</v>
      </c>
      <c r="C21422" s="5">
        <v>925</v>
      </c>
      <c r="D21422" s="6">
        <v>4.49</v>
      </c>
      <c r="E21422" t="s">
        <v>275</v>
      </c>
    </row>
    <row r="21423" spans="1:5" x14ac:dyDescent="0.25">
      <c r="A21423" t="str">
        <f>HYPERLINK("https://www.773grp.com/globalSearch/LM3402HVMMX-NOPB/page-1", "LM3402HVMMX-NOPB")</f>
        <v>LM3402HVMMX-NOPB</v>
      </c>
      <c r="B21423" s="3" t="s">
        <v>90</v>
      </c>
      <c r="C21423" s="5">
        <v>3500</v>
      </c>
      <c r="D21423" s="6">
        <v>4.49</v>
      </c>
      <c r="E21423" t="s">
        <v>242</v>
      </c>
    </row>
    <row r="21424" spans="1:5" x14ac:dyDescent="0.25">
      <c r="A21424" t="str">
        <f>HYPERLINK("https://www.773grp.com/globalSearch/LM4050BEM3-5.0-NOPB/page-1", "LM4050BEM3-5.0-NOPB")</f>
        <v>LM4050BEM3-5.0-NOPB</v>
      </c>
      <c r="B21424" s="3" t="s">
        <v>90</v>
      </c>
      <c r="C21424" s="5">
        <v>220</v>
      </c>
      <c r="D21424" s="6">
        <v>4.49</v>
      </c>
      <c r="E21424" t="s">
        <v>248</v>
      </c>
    </row>
    <row r="21425" spans="1:5" x14ac:dyDescent="0.25">
      <c r="A21425" t="str">
        <f>HYPERLINK("https://www.773grp.com/globalSearch/LM4121AIM5-1.2-NOPB/page-1", "LM4121AIM5-1.2-NOPB")</f>
        <v>LM4121AIM5-1.2-NOPB</v>
      </c>
      <c r="B21425" s="3" t="s">
        <v>90</v>
      </c>
      <c r="C21425" s="5">
        <v>101</v>
      </c>
      <c r="D21425" s="6">
        <v>4.49</v>
      </c>
      <c r="E21425" t="s">
        <v>7</v>
      </c>
    </row>
    <row r="21426" spans="1:5" x14ac:dyDescent="0.25">
      <c r="A21426" t="str">
        <f>HYPERLINK("https://www.773grp.com/globalSearch/LM5033MM-NOPB/page-1", "LM5033MM-NOPB")</f>
        <v>LM5033MM-NOPB</v>
      </c>
      <c r="B21426" s="3" t="s">
        <v>90</v>
      </c>
      <c r="C21426" s="5">
        <v>3262</v>
      </c>
      <c r="D21426" s="6">
        <v>4.49</v>
      </c>
      <c r="E21426" t="s">
        <v>242</v>
      </c>
    </row>
    <row r="21427" spans="1:5" x14ac:dyDescent="0.25">
      <c r="A21427" t="str">
        <f>HYPERLINK("https://www.773grp.com/globalSearch/LM5085MY-NOPB/page-1", "LM5085MY-NOPB")</f>
        <v>LM5085MY-NOPB</v>
      </c>
      <c r="B21427" s="3" t="s">
        <v>90</v>
      </c>
      <c r="C21427" s="5">
        <v>956</v>
      </c>
      <c r="D21427" s="6">
        <v>4.49</v>
      </c>
      <c r="E21427" t="s">
        <v>242</v>
      </c>
    </row>
    <row r="21428" spans="1:5" x14ac:dyDescent="0.25">
      <c r="A21428" t="str">
        <f>HYPERLINK("https://www.773grp.com/globalSearch/LM86CIMM/page-1", "LM86CIMM")</f>
        <v>LM86CIMM</v>
      </c>
      <c r="B21428" s="3" t="s">
        <v>90</v>
      </c>
      <c r="C21428" s="5">
        <v>222</v>
      </c>
      <c r="D21428" s="6">
        <v>4.49</v>
      </c>
      <c r="E21428" t="s">
        <v>242</v>
      </c>
    </row>
    <row r="21429" spans="1:5" x14ac:dyDescent="0.25">
      <c r="A21429" t="str">
        <f>HYPERLINK("https://www.773grp.com/globalSearch/LMH6639MF/page-1", "LMH6639MF")</f>
        <v>LMH6639MF</v>
      </c>
      <c r="B21429" s="3" t="s">
        <v>90</v>
      </c>
      <c r="C21429" s="5">
        <v>424</v>
      </c>
      <c r="D21429" s="6">
        <v>4.49</v>
      </c>
      <c r="E21429" t="s">
        <v>274</v>
      </c>
    </row>
    <row r="21430" spans="1:5" x14ac:dyDescent="0.25">
      <c r="A21430" t="str">
        <f>HYPERLINK("https://www.773grp.com/globalSearch/LP38841S-0.8-NOPB/page-1", "LP38841S-0.8-NOPB")</f>
        <v>LP38841S-0.8-NOPB</v>
      </c>
      <c r="B21430" s="3" t="s">
        <v>90</v>
      </c>
      <c r="C21430" s="5">
        <v>200</v>
      </c>
      <c r="D21430" s="6">
        <v>4.49</v>
      </c>
      <c r="E21430" t="s">
        <v>248</v>
      </c>
    </row>
    <row r="21431" spans="1:5" x14ac:dyDescent="0.25">
      <c r="A21431" t="str">
        <f>HYPERLINK("https://www.773grp.com/globalSearch/MSP430F2012IPW/page-1", "MSP430F2012IPW")</f>
        <v>MSP430F2012IPW</v>
      </c>
      <c r="B21431" s="3" t="s">
        <v>90</v>
      </c>
      <c r="C21431" s="5">
        <v>3990</v>
      </c>
      <c r="D21431" s="6">
        <v>4.49</v>
      </c>
      <c r="E21431" t="s">
        <v>248</v>
      </c>
    </row>
    <row r="21432" spans="1:5" x14ac:dyDescent="0.25">
      <c r="A21432" t="str">
        <f>HYPERLINK("https://www.773grp.com/globalSearch/MSP430F2012IPWR/page-1", "MSP430F2012IPWR")</f>
        <v>MSP430F2012IPWR</v>
      </c>
      <c r="B21432" s="3" t="s">
        <v>90</v>
      </c>
      <c r="C21432" s="5">
        <v>2000</v>
      </c>
      <c r="D21432" s="6">
        <v>4.49</v>
      </c>
      <c r="E21432" t="s">
        <v>242</v>
      </c>
    </row>
    <row r="21433" spans="1:5" x14ac:dyDescent="0.25">
      <c r="A21433" t="str">
        <f>HYPERLINK("https://www.773grp.com/globalSearch/MSP430F2012IRSAR/page-1", "MSP430F2012IRSAR")</f>
        <v>MSP430F2012IRSAR</v>
      </c>
      <c r="B21433" s="3" t="s">
        <v>90</v>
      </c>
      <c r="C21433" s="5">
        <v>3500</v>
      </c>
      <c r="D21433" s="6">
        <v>4.49</v>
      </c>
      <c r="E21433" t="s">
        <v>7</v>
      </c>
    </row>
    <row r="21434" spans="1:5" x14ac:dyDescent="0.25">
      <c r="A21434" t="str">
        <f>HYPERLINK("https://www.773grp.com/globalSearch/OPA2322SAIDGSR/page-1", "OPA2322SAIDGSR")</f>
        <v>OPA2322SAIDGSR</v>
      </c>
      <c r="B21434" s="3" t="s">
        <v>90</v>
      </c>
      <c r="C21434" s="5">
        <v>319</v>
      </c>
      <c r="D21434" s="6">
        <v>4.49</v>
      </c>
      <c r="E21434" t="s">
        <v>242</v>
      </c>
    </row>
    <row r="21435" spans="1:5" x14ac:dyDescent="0.25">
      <c r="A21435" t="str">
        <f>HYPERLINK("https://www.773grp.com/globalSearch/REF3312AIDBZR/page-1", "REF3312AIDBZR")</f>
        <v>REF3312AIDBZR</v>
      </c>
      <c r="B21435" s="3" t="s">
        <v>90</v>
      </c>
      <c r="C21435" s="5">
        <v>3044</v>
      </c>
      <c r="D21435" s="6">
        <v>4.49</v>
      </c>
      <c r="E21435" t="s">
        <v>242</v>
      </c>
    </row>
    <row r="21436" spans="1:5" x14ac:dyDescent="0.25">
      <c r="A21436" t="str">
        <f>HYPERLINK("https://www.773grp.com/globalSearch/REF3318AIDBZR/page-1", "REF3318AIDBZR")</f>
        <v>REF3318AIDBZR</v>
      </c>
      <c r="B21436" s="3" t="s">
        <v>90</v>
      </c>
      <c r="C21436" s="5">
        <v>434</v>
      </c>
      <c r="D21436" s="6">
        <v>4.49</v>
      </c>
      <c r="E21436" t="s">
        <v>242</v>
      </c>
    </row>
    <row r="21437" spans="1:5" x14ac:dyDescent="0.25">
      <c r="A21437" t="str">
        <f>HYPERLINK("https://www.773grp.com/globalSearch/REF3330AIDBZR/page-1", "REF3330AIDBZR")</f>
        <v>REF3330AIDBZR</v>
      </c>
      <c r="B21437" s="3" t="s">
        <v>90</v>
      </c>
      <c r="C21437" s="5">
        <v>2500</v>
      </c>
      <c r="D21437" s="6">
        <v>4.49</v>
      </c>
      <c r="E21437" t="s">
        <v>7</v>
      </c>
    </row>
    <row r="21438" spans="1:5" x14ac:dyDescent="0.25">
      <c r="A21438" t="str">
        <f>HYPERLINK("https://www.773grp.com/globalSearch/SN200224J/page-1", "SN200224J")</f>
        <v>SN200224J</v>
      </c>
      <c r="B21438" s="3" t="s">
        <v>90</v>
      </c>
      <c r="C21438" s="5">
        <v>10</v>
      </c>
      <c r="D21438" s="6">
        <v>4.49</v>
      </c>
      <c r="E21438" t="s">
        <v>248</v>
      </c>
    </row>
    <row r="21439" spans="1:5" x14ac:dyDescent="0.25">
      <c r="A21439" t="str">
        <f>HYPERLINK("https://www.773grp.com/globalSearch/SN32386DWR/page-1", "SN32386DWR")</f>
        <v>SN32386DWR</v>
      </c>
      <c r="B21439" s="3" t="s">
        <v>90</v>
      </c>
      <c r="C21439" s="5">
        <v>1000</v>
      </c>
      <c r="D21439" s="6">
        <v>4.49</v>
      </c>
      <c r="E21439" t="s">
        <v>242</v>
      </c>
    </row>
    <row r="21440" spans="1:5" x14ac:dyDescent="0.25">
      <c r="A21440" t="str">
        <f>HYPERLINK("https://www.773grp.com/globalSearch/SN65HVD232D/page-1", "SN65HVD232D")</f>
        <v>SN65HVD232D</v>
      </c>
      <c r="B21440" s="3" t="s">
        <v>90</v>
      </c>
      <c r="C21440" s="5">
        <v>150</v>
      </c>
      <c r="D21440" s="6">
        <v>4.49</v>
      </c>
      <c r="E21440" t="s">
        <v>7</v>
      </c>
    </row>
    <row r="21441" spans="1:5" x14ac:dyDescent="0.25">
      <c r="A21441" t="str">
        <f>HYPERLINK("https://www.773grp.com/globalSearch/SN70276J/page-1", "SN70276J")</f>
        <v>SN70276J</v>
      </c>
      <c r="B21441" s="3" t="s">
        <v>90</v>
      </c>
      <c r="C21441" s="5">
        <v>78</v>
      </c>
      <c r="D21441" s="6">
        <v>4.49</v>
      </c>
      <c r="E21441" t="s">
        <v>248</v>
      </c>
    </row>
    <row r="21442" spans="1:5" x14ac:dyDescent="0.25">
      <c r="A21442" t="str">
        <f>HYPERLINK("https://www.773grp.com/globalSearch/SN74AHCT244MDWREP/page-1", "SN74AHCT244MDWREP")</f>
        <v>SN74AHCT244MDWREP</v>
      </c>
      <c r="B21442" s="3" t="s">
        <v>90</v>
      </c>
      <c r="C21442" s="5">
        <v>1667</v>
      </c>
      <c r="D21442" s="6">
        <v>4.49</v>
      </c>
      <c r="E21442" t="s">
        <v>274</v>
      </c>
    </row>
    <row r="21443" spans="1:5" x14ac:dyDescent="0.25">
      <c r="A21443" t="str">
        <f>HYPERLINK("https://www.773grp.com/globalSearch/SN74LVC16373AGQLR/page-1", "SN74LVC16373AGQLR")</f>
        <v>SN74LVC16373AGQLR</v>
      </c>
      <c r="B21443" s="3" t="s">
        <v>90</v>
      </c>
      <c r="C21443" s="5">
        <v>2000</v>
      </c>
      <c r="D21443" s="6">
        <v>4.49</v>
      </c>
      <c r="E21443" t="s">
        <v>242</v>
      </c>
    </row>
    <row r="21444" spans="1:5" x14ac:dyDescent="0.25">
      <c r="A21444" t="str">
        <f>HYPERLINK("https://www.773grp.com/globalSearch/SN74LVT16244BDGG/page-1", "SN74LVT16244BDGG")</f>
        <v>SN74LVT16244BDGG</v>
      </c>
      <c r="B21444" s="3" t="s">
        <v>90</v>
      </c>
      <c r="C21444" s="5">
        <v>520</v>
      </c>
      <c r="D21444" s="6">
        <v>4.49</v>
      </c>
      <c r="E21444" t="s">
        <v>7</v>
      </c>
    </row>
    <row r="21445" spans="1:5" x14ac:dyDescent="0.25">
      <c r="A21445" t="str">
        <f>HYPERLINK("https://www.773grp.com/globalSearch/SN74SSTV16857DGG/page-1", "SN74SSTV16857DGG")</f>
        <v>SN74SSTV16857DGG</v>
      </c>
      <c r="B21445" s="3" t="s">
        <v>90</v>
      </c>
      <c r="C21445" s="5">
        <v>3040</v>
      </c>
      <c r="D21445" s="6">
        <v>4.49</v>
      </c>
      <c r="E21445" t="s">
        <v>242</v>
      </c>
    </row>
    <row r="21446" spans="1:5" x14ac:dyDescent="0.25">
      <c r="A21446" t="str">
        <f>HYPERLINK("https://www.773grp.com/globalSearch/SN75LP185AN/page-1", "SN75LP185AN")</f>
        <v>SN75LP185AN</v>
      </c>
      <c r="B21446" s="3" t="s">
        <v>90</v>
      </c>
      <c r="C21446" s="5">
        <v>1300</v>
      </c>
      <c r="D21446" s="6">
        <v>4.49</v>
      </c>
      <c r="E21446" t="s">
        <v>248</v>
      </c>
    </row>
    <row r="21447" spans="1:5" x14ac:dyDescent="0.25">
      <c r="A21447" t="str">
        <f>HYPERLINK("https://www.773grp.com/globalSearch/THS7372IPW/page-1", "THS7372IPW")</f>
        <v>THS7372IPW</v>
      </c>
      <c r="B21447" s="3" t="s">
        <v>90</v>
      </c>
      <c r="C21447" s="5">
        <v>137</v>
      </c>
      <c r="D21447" s="6">
        <v>4.49</v>
      </c>
      <c r="E21447" t="s">
        <v>248</v>
      </c>
    </row>
    <row r="21448" spans="1:5" x14ac:dyDescent="0.25">
      <c r="A21448" t="str">
        <f>HYPERLINK("https://www.773grp.com/globalSearch/TL750M12QKTTRQ1/page-1", "TL750M12QKTTRQ1")</f>
        <v>TL750M12QKTTRQ1</v>
      </c>
      <c r="B21448" s="3" t="s">
        <v>90</v>
      </c>
      <c r="C21448" s="5">
        <v>1000</v>
      </c>
      <c r="D21448" s="6">
        <v>4.49</v>
      </c>
      <c r="E21448" t="s">
        <v>274</v>
      </c>
    </row>
    <row r="21449" spans="1:5" x14ac:dyDescent="0.25">
      <c r="A21449" t="str">
        <f>HYPERLINK("https://www.773grp.com/globalSearch/TLC072ID/page-1", "TLC072ID")</f>
        <v>TLC072ID</v>
      </c>
      <c r="B21449" s="3" t="s">
        <v>90</v>
      </c>
      <c r="C21449" s="5">
        <v>786</v>
      </c>
      <c r="D21449" s="6">
        <v>4.49</v>
      </c>
      <c r="E21449" t="s">
        <v>242</v>
      </c>
    </row>
    <row r="21450" spans="1:5" x14ac:dyDescent="0.25">
      <c r="A21450" t="str">
        <f>HYPERLINK("https://www.773grp.com/globalSearch/TLC2254CD/page-1", "TLC2254CD")</f>
        <v>TLC2254CD</v>
      </c>
      <c r="B21450" s="3" t="s">
        <v>90</v>
      </c>
      <c r="C21450" s="5">
        <v>1157</v>
      </c>
      <c r="D21450" s="6">
        <v>4.49</v>
      </c>
      <c r="E21450" t="s">
        <v>274</v>
      </c>
    </row>
    <row r="21451" spans="1:5" x14ac:dyDescent="0.25">
      <c r="A21451" t="str">
        <f>HYPERLINK("https://www.773grp.com/globalSearch/TLC2254CPW/page-1", "TLC2254CPW")</f>
        <v>TLC2254CPW</v>
      </c>
      <c r="B21451" s="3" t="s">
        <v>90</v>
      </c>
      <c r="C21451" s="5">
        <v>450</v>
      </c>
      <c r="D21451" s="6">
        <v>4.49</v>
      </c>
      <c r="E21451" t="s">
        <v>7</v>
      </c>
    </row>
    <row r="21452" spans="1:5" x14ac:dyDescent="0.25">
      <c r="A21452" t="str">
        <f>HYPERLINK("https://www.773grp.com/globalSearch/TLC2254QD/page-1", "TLC2254QD")</f>
        <v>TLC2254QD</v>
      </c>
      <c r="B21452" s="3" t="s">
        <v>90</v>
      </c>
      <c r="C21452" s="5">
        <v>4300</v>
      </c>
      <c r="D21452" s="6">
        <v>4.49</v>
      </c>
      <c r="E21452" t="s">
        <v>274</v>
      </c>
    </row>
    <row r="21453" spans="1:5" x14ac:dyDescent="0.25">
      <c r="A21453" t="str">
        <f>HYPERLINK("https://www.773grp.com/globalSearch/TLC2264IN/page-1", "TLC2264IN")</f>
        <v>TLC2264IN</v>
      </c>
      <c r="B21453" s="3" t="s">
        <v>90</v>
      </c>
      <c r="C21453" s="5">
        <v>41</v>
      </c>
      <c r="D21453" s="6">
        <v>4.49</v>
      </c>
      <c r="E21453" t="s">
        <v>7</v>
      </c>
    </row>
    <row r="21454" spans="1:5" x14ac:dyDescent="0.25">
      <c r="A21454" t="str">
        <f>HYPERLINK("https://www.773grp.com/globalSearch/TLC2272ACDG4/page-1", "TLC2272ACDG4")</f>
        <v>TLC2272ACDG4</v>
      </c>
      <c r="B21454" s="3" t="s">
        <v>90</v>
      </c>
      <c r="C21454" s="5">
        <v>188</v>
      </c>
      <c r="D21454" s="6">
        <v>4.49</v>
      </c>
      <c r="E21454" t="s">
        <v>248</v>
      </c>
    </row>
    <row r="21455" spans="1:5" x14ac:dyDescent="0.25">
      <c r="A21455" t="str">
        <f>HYPERLINK("https://www.773grp.com/globalSearch/TLC2272ACPW/page-1", "TLC2272ACPW")</f>
        <v>TLC2272ACPW</v>
      </c>
      <c r="B21455" s="3" t="s">
        <v>90</v>
      </c>
      <c r="C21455" s="5">
        <v>230</v>
      </c>
      <c r="D21455" s="6">
        <v>4.49</v>
      </c>
      <c r="E21455" t="s">
        <v>242</v>
      </c>
    </row>
    <row r="21456" spans="1:5" x14ac:dyDescent="0.25">
      <c r="A21456" t="str">
        <f>HYPERLINK("https://www.773grp.com/globalSearch/TLC2272AIP/page-1", "TLC2272AIP")</f>
        <v>TLC2272AIP</v>
      </c>
      <c r="B21456" s="3" t="s">
        <v>90</v>
      </c>
      <c r="C21456" s="5">
        <v>22650</v>
      </c>
      <c r="D21456" s="6">
        <v>4.49</v>
      </c>
      <c r="E21456" t="s">
        <v>248</v>
      </c>
    </row>
    <row r="21457" spans="1:5" x14ac:dyDescent="0.25">
      <c r="A21457" t="str">
        <f>HYPERLINK("https://www.773grp.com/globalSearch/TLC2272AIPE4/page-1", "TLC2272AIPE4")</f>
        <v>TLC2272AIPE4</v>
      </c>
      <c r="B21457" s="3" t="s">
        <v>90</v>
      </c>
      <c r="C21457" s="5">
        <v>50</v>
      </c>
      <c r="D21457" s="6">
        <v>4.49</v>
      </c>
      <c r="E21457" t="s">
        <v>7</v>
      </c>
    </row>
    <row r="21458" spans="1:5" x14ac:dyDescent="0.25">
      <c r="A21458" t="str">
        <f>HYPERLINK("https://www.773grp.com/globalSearch/TLC2272QPWRQ1/page-1", "TLC2272QPWRQ1")</f>
        <v>TLC2272QPWRQ1</v>
      </c>
      <c r="B21458" s="3" t="s">
        <v>90</v>
      </c>
      <c r="C21458" s="5">
        <v>2000</v>
      </c>
      <c r="D21458" s="6">
        <v>4.49</v>
      </c>
      <c r="E21458" t="s">
        <v>242</v>
      </c>
    </row>
    <row r="21459" spans="1:5" x14ac:dyDescent="0.25">
      <c r="A21459" t="str">
        <f>HYPERLINK("https://www.773grp.com/globalSearch/TLC2274AIDR/page-1", "TLC2274AIDR")</f>
        <v>TLC2274AIDR</v>
      </c>
      <c r="B21459" s="3" t="s">
        <v>90</v>
      </c>
      <c r="C21459" s="5">
        <v>3485</v>
      </c>
      <c r="D21459" s="6">
        <v>4.49</v>
      </c>
      <c r="E21459" t="s">
        <v>248</v>
      </c>
    </row>
    <row r="21460" spans="1:5" x14ac:dyDescent="0.25">
      <c r="A21460" t="str">
        <f>HYPERLINK("https://www.773grp.com/globalSearch/TLC2274CPW/page-1", "TLC2274CPW")</f>
        <v>TLC2274CPW</v>
      </c>
      <c r="B21460" s="3" t="s">
        <v>90</v>
      </c>
      <c r="C21460" s="5">
        <v>900</v>
      </c>
      <c r="D21460" s="6">
        <v>4.49</v>
      </c>
      <c r="E21460" t="s">
        <v>274</v>
      </c>
    </row>
    <row r="21461" spans="1:5" x14ac:dyDescent="0.25">
      <c r="A21461" t="str">
        <f>HYPERLINK("https://www.773grp.com/globalSearch/TLC2274QDR/page-1", "TLC2274QDR")</f>
        <v>TLC2274QDR</v>
      </c>
      <c r="B21461" s="3" t="s">
        <v>90</v>
      </c>
      <c r="C21461" s="5">
        <v>1880</v>
      </c>
      <c r="D21461" s="6">
        <v>4.49</v>
      </c>
      <c r="E21461" t="s">
        <v>274</v>
      </c>
    </row>
    <row r="21462" spans="1:5" x14ac:dyDescent="0.25">
      <c r="A21462" t="str">
        <f>HYPERLINK("https://www.773grp.com/globalSearch/TLC59213AIN/page-1", "TLC59213AIN")</f>
        <v>TLC59213AIN</v>
      </c>
      <c r="B21462" s="3" t="s">
        <v>90</v>
      </c>
      <c r="C21462" s="5">
        <v>285</v>
      </c>
      <c r="D21462" s="6">
        <v>4.49</v>
      </c>
      <c r="E21462" t="s">
        <v>248</v>
      </c>
    </row>
    <row r="21463" spans="1:5" x14ac:dyDescent="0.25">
      <c r="A21463" t="str">
        <f>HYPERLINK("https://www.773grp.com/globalSearch/TLC5926QPWPRQ1/page-1", "TLC5926QPWPRQ1")</f>
        <v>TLC5926QPWPRQ1</v>
      </c>
      <c r="B21463" s="3" t="s">
        <v>90</v>
      </c>
      <c r="C21463" s="5">
        <v>2000</v>
      </c>
      <c r="D21463" s="6">
        <v>4.49</v>
      </c>
      <c r="E21463" t="s">
        <v>248</v>
      </c>
    </row>
    <row r="21464" spans="1:5" x14ac:dyDescent="0.25">
      <c r="A21464" t="str">
        <f>HYPERLINK("https://www.773grp.com/globalSearch/TLE2022QDRG4Q1/page-1", "TLE2022QDRG4Q1")</f>
        <v>TLE2022QDRG4Q1</v>
      </c>
      <c r="B21464" s="3" t="s">
        <v>90</v>
      </c>
      <c r="C21464" s="5">
        <v>5000</v>
      </c>
      <c r="D21464" s="6">
        <v>4.49</v>
      </c>
      <c r="E21464" t="s">
        <v>7</v>
      </c>
    </row>
    <row r="21465" spans="1:5" x14ac:dyDescent="0.25">
      <c r="A21465" t="str">
        <f>HYPERLINK("https://www.773grp.com/globalSearch/TLE2061IDG4/page-1", "TLE2061IDG4")</f>
        <v>TLE2061IDG4</v>
      </c>
      <c r="B21465" s="3" t="s">
        <v>90</v>
      </c>
      <c r="C21465" s="5">
        <v>75</v>
      </c>
      <c r="D21465" s="6">
        <v>4.49</v>
      </c>
      <c r="E21465" t="s">
        <v>248</v>
      </c>
    </row>
    <row r="21466" spans="1:5" x14ac:dyDescent="0.25">
      <c r="A21466" t="str">
        <f>HYPERLINK("https://www.773grp.com/globalSearch/TLV2262AIPWR/page-1", "TLV2262AIPWR")</f>
        <v>TLV2262AIPWR</v>
      </c>
      <c r="B21466" s="3" t="s">
        <v>90</v>
      </c>
      <c r="C21466" s="5">
        <v>529</v>
      </c>
      <c r="D21466" s="6">
        <v>4.49</v>
      </c>
      <c r="E21466" t="s">
        <v>242</v>
      </c>
    </row>
    <row r="21467" spans="1:5" x14ac:dyDescent="0.25">
      <c r="A21467" t="str">
        <f>HYPERLINK("https://www.773grp.com/globalSearch/TLV2375IDR/page-1", "TLV2375IDR")</f>
        <v>TLV2375IDR</v>
      </c>
      <c r="B21467" s="3" t="s">
        <v>90</v>
      </c>
      <c r="C21467" s="5">
        <v>320</v>
      </c>
      <c r="D21467" s="6">
        <v>4.49</v>
      </c>
      <c r="E21467" t="s">
        <v>7</v>
      </c>
    </row>
    <row r="21468" spans="1:5" x14ac:dyDescent="0.25">
      <c r="A21468" t="str">
        <f>HYPERLINK("https://www.773grp.com/globalSearch/TLV2422AQDR/page-1", "TLV2422AQDR")</f>
        <v>TLV2422AQDR</v>
      </c>
      <c r="B21468" s="3" t="s">
        <v>90</v>
      </c>
      <c r="C21468" s="5">
        <v>2500</v>
      </c>
      <c r="D21468" s="6">
        <v>4.49</v>
      </c>
      <c r="E21468" t="s">
        <v>248</v>
      </c>
    </row>
    <row r="21469" spans="1:5" x14ac:dyDescent="0.25">
      <c r="A21469" t="str">
        <f>HYPERLINK("https://www.773grp.com/globalSearch/TLV2442AQDRG4Q1/page-1", "TLV2442AQDRG4Q1")</f>
        <v>TLV2442AQDRG4Q1</v>
      </c>
      <c r="B21469" s="3" t="s">
        <v>90</v>
      </c>
      <c r="C21469" s="5">
        <v>2500</v>
      </c>
      <c r="D21469" s="6">
        <v>4.49</v>
      </c>
      <c r="E21469" t="s">
        <v>242</v>
      </c>
    </row>
    <row r="21470" spans="1:5" x14ac:dyDescent="0.25">
      <c r="A21470" t="str">
        <f>HYPERLINK("https://www.773grp.com/globalSearch/TLV2442AQDRQ1/page-1", "TLV2442AQDRQ1")</f>
        <v>TLV2442AQDRQ1</v>
      </c>
      <c r="B21470" s="3" t="s">
        <v>90</v>
      </c>
      <c r="C21470" s="5">
        <v>2500</v>
      </c>
      <c r="D21470" s="6">
        <v>4.49</v>
      </c>
      <c r="E21470" t="s">
        <v>7</v>
      </c>
    </row>
    <row r="21471" spans="1:5" x14ac:dyDescent="0.25">
      <c r="A21471" t="str">
        <f>HYPERLINK("https://www.773grp.com/globalSearch/TLV2452IDGKR/page-1", "TLV2452IDGKR")</f>
        <v>TLV2452IDGKR</v>
      </c>
      <c r="B21471" s="3" t="s">
        <v>90</v>
      </c>
      <c r="C21471" s="5">
        <v>560</v>
      </c>
      <c r="D21471" s="6">
        <v>4.49</v>
      </c>
      <c r="E21471" t="s">
        <v>242</v>
      </c>
    </row>
    <row r="21472" spans="1:5" x14ac:dyDescent="0.25">
      <c r="A21472" t="str">
        <f>HYPERLINK("https://www.773grp.com/globalSearch/TLV2452IDR/page-1", "TLV2452IDR")</f>
        <v>TLV2452IDR</v>
      </c>
      <c r="B21472" s="3" t="s">
        <v>90</v>
      </c>
      <c r="C21472" s="5">
        <v>912</v>
      </c>
      <c r="D21472" s="6">
        <v>4.49</v>
      </c>
      <c r="E21472" t="s">
        <v>242</v>
      </c>
    </row>
    <row r="21473" spans="1:5" x14ac:dyDescent="0.25">
      <c r="A21473" t="str">
        <f>HYPERLINK("https://www.773grp.com/globalSearch/TLV2462IDGKR/page-1", "TLV2462IDGKR")</f>
        <v>TLV2462IDGKR</v>
      </c>
      <c r="B21473" s="3" t="s">
        <v>90</v>
      </c>
      <c r="C21473" s="5">
        <v>1000</v>
      </c>
      <c r="D21473" s="6">
        <v>4.49</v>
      </c>
      <c r="E21473" t="s">
        <v>274</v>
      </c>
    </row>
    <row r="21474" spans="1:5" x14ac:dyDescent="0.25">
      <c r="A21474" t="str">
        <f>HYPERLINK("https://www.773grp.com/globalSearch/TPA2080D1YZGT/page-1", "TPA2080D1YZGT")</f>
        <v>TPA2080D1YZGT</v>
      </c>
      <c r="B21474" s="3" t="s">
        <v>90</v>
      </c>
      <c r="C21474" s="5">
        <v>911</v>
      </c>
      <c r="D21474" s="6">
        <v>4.49</v>
      </c>
      <c r="E21474" t="s">
        <v>242</v>
      </c>
    </row>
    <row r="21475" spans="1:5" x14ac:dyDescent="0.25">
      <c r="A21475" t="str">
        <f>HYPERLINK("https://www.773grp.com/globalSearch/TPA3110D2PWPR/page-1", "TPA3110D2PWPR")</f>
        <v>TPA3110D2PWPR</v>
      </c>
      <c r="B21475" s="3" t="s">
        <v>90</v>
      </c>
      <c r="C21475" s="5">
        <v>24000</v>
      </c>
      <c r="D21475" s="6">
        <v>4.49</v>
      </c>
      <c r="E21475" t="s">
        <v>248</v>
      </c>
    </row>
    <row r="21476" spans="1:5" x14ac:dyDescent="0.25">
      <c r="A21476" t="str">
        <f>HYPERLINK("https://www.773grp.com/globalSearch/TPS2068IDGNRQ1/page-1", "TPS2068IDGNRQ1")</f>
        <v>TPS2068IDGNRQ1</v>
      </c>
      <c r="B21476" s="3" t="s">
        <v>90</v>
      </c>
      <c r="C21476" s="5">
        <v>47500</v>
      </c>
      <c r="D21476" s="6">
        <v>4.49</v>
      </c>
      <c r="E21476" t="s">
        <v>7</v>
      </c>
    </row>
    <row r="21477" spans="1:5" x14ac:dyDescent="0.25">
      <c r="A21477" t="str">
        <f>HYPERLINK("https://www.773grp.com/globalSearch/TPS2115ADRBT/page-1", "TPS2115ADRBT")</f>
        <v>TPS2115ADRBT</v>
      </c>
      <c r="B21477" s="3" t="s">
        <v>90</v>
      </c>
      <c r="C21477" s="5">
        <v>1000</v>
      </c>
      <c r="D21477" s="6">
        <v>4.49</v>
      </c>
      <c r="E21477" t="s">
        <v>242</v>
      </c>
    </row>
    <row r="21478" spans="1:5" x14ac:dyDescent="0.25">
      <c r="A21478" t="str">
        <f>HYPERLINK("https://www.773grp.com/globalSearch/TPS2421-1DDAR/page-1", "TPS2421-1DDAR")</f>
        <v>TPS2421-1DDAR</v>
      </c>
      <c r="B21478" s="3" t="s">
        <v>90</v>
      </c>
      <c r="C21478" s="5">
        <v>4950</v>
      </c>
      <c r="D21478" s="6">
        <v>4.49</v>
      </c>
      <c r="E21478" t="s">
        <v>242</v>
      </c>
    </row>
    <row r="21479" spans="1:5" x14ac:dyDescent="0.25">
      <c r="A21479" t="str">
        <f>HYPERLINK("https://www.773grp.com/globalSearch/TPS3124J12DBVR/page-1", "TPS3124J12DBVR")</f>
        <v>TPS3124J12DBVR</v>
      </c>
      <c r="B21479" s="3" t="s">
        <v>90</v>
      </c>
      <c r="C21479" s="5">
        <v>12000</v>
      </c>
      <c r="D21479" s="6">
        <v>4.49</v>
      </c>
      <c r="E21479" t="s">
        <v>7</v>
      </c>
    </row>
    <row r="21480" spans="1:5" x14ac:dyDescent="0.25">
      <c r="A21480" t="str">
        <f>HYPERLINK("https://www.773grp.com/globalSearch/TPS3124J18DBVR/page-1", "TPS3124J18DBVR")</f>
        <v>TPS3124J18DBVR</v>
      </c>
      <c r="B21480" s="3" t="s">
        <v>90</v>
      </c>
      <c r="C21480" s="5">
        <v>12000</v>
      </c>
      <c r="D21480" s="6">
        <v>4.49</v>
      </c>
      <c r="E21480" t="s">
        <v>248</v>
      </c>
    </row>
    <row r="21481" spans="1:5" x14ac:dyDescent="0.25">
      <c r="A21481" t="str">
        <f>HYPERLINK("https://www.773grp.com/globalSearch/TPS3128E15DBVR/page-1", "TPS3128E15DBVR")</f>
        <v>TPS3128E15DBVR</v>
      </c>
      <c r="B21481" s="3" t="s">
        <v>90</v>
      </c>
      <c r="C21481" s="5">
        <v>12000</v>
      </c>
      <c r="D21481" s="6">
        <v>4.49</v>
      </c>
      <c r="E21481" t="s">
        <v>242</v>
      </c>
    </row>
    <row r="21482" spans="1:5" x14ac:dyDescent="0.25">
      <c r="A21482" t="str">
        <f>HYPERLINK("https://www.773grp.com/globalSearch/TPS3808G33QDBVRMO/page-1", "TPS3808G33QDBVRMO")</f>
        <v>TPS3808G33QDBVRMO</v>
      </c>
      <c r="B21482" s="3" t="s">
        <v>90</v>
      </c>
      <c r="C21482" s="5">
        <v>6000</v>
      </c>
      <c r="D21482" s="6">
        <v>4.49</v>
      </c>
      <c r="E21482" t="s">
        <v>242</v>
      </c>
    </row>
    <row r="21483" spans="1:5" x14ac:dyDescent="0.25">
      <c r="A21483" t="str">
        <f>HYPERLINK("https://www.773grp.com/globalSearch/TPS3813L30DBVT/page-1", "TPS3813L30DBVT")</f>
        <v>TPS3813L30DBVT</v>
      </c>
      <c r="B21483" s="3" t="s">
        <v>90</v>
      </c>
      <c r="C21483" s="5">
        <v>243</v>
      </c>
      <c r="D21483" s="6">
        <v>4.49</v>
      </c>
      <c r="E21483" t="s">
        <v>248</v>
      </c>
    </row>
    <row r="21484" spans="1:5" x14ac:dyDescent="0.25">
      <c r="A21484" t="str">
        <f>HYPERLINK("https://www.773grp.com/globalSearch/TPS3836E18DBVR/page-1", "TPS3836E18DBVR")</f>
        <v>TPS3836E18DBVR</v>
      </c>
      <c r="B21484" s="3" t="s">
        <v>90</v>
      </c>
      <c r="C21484" s="5">
        <v>17840</v>
      </c>
      <c r="D21484" s="6">
        <v>4.49</v>
      </c>
      <c r="E21484" t="s">
        <v>7</v>
      </c>
    </row>
    <row r="21485" spans="1:5" x14ac:dyDescent="0.25">
      <c r="A21485" t="str">
        <f>HYPERLINK("https://www.773grp.com/globalSearch/TPS3836K33DBVR/page-1", "TPS3836K33DBVR")</f>
        <v>TPS3836K33DBVR</v>
      </c>
      <c r="B21485" s="3" t="s">
        <v>90</v>
      </c>
      <c r="C21485" s="5">
        <v>2798</v>
      </c>
      <c r="D21485" s="6">
        <v>4.49</v>
      </c>
      <c r="E21485" t="s">
        <v>274</v>
      </c>
    </row>
    <row r="21486" spans="1:5" x14ac:dyDescent="0.25">
      <c r="A21486" t="str">
        <f>HYPERLINK("https://www.773grp.com/globalSearch/TPS386596L33DGKR/page-1", "TPS386596L33DGKR")</f>
        <v>TPS386596L33DGKR</v>
      </c>
      <c r="B21486" s="3" t="s">
        <v>90</v>
      </c>
      <c r="C21486" s="5">
        <v>4750</v>
      </c>
      <c r="D21486" s="6">
        <v>4.49</v>
      </c>
      <c r="E21486" t="s">
        <v>248</v>
      </c>
    </row>
    <row r="21487" spans="1:5" x14ac:dyDescent="0.25">
      <c r="A21487" t="str">
        <f>HYPERLINK("https://www.773grp.com/globalSearch/TPS40041DRBR/page-1", "TPS40041DRBR")</f>
        <v>TPS40041DRBR</v>
      </c>
      <c r="B21487" s="3" t="s">
        <v>90</v>
      </c>
      <c r="C21487" s="5">
        <v>24750</v>
      </c>
      <c r="D21487" s="6">
        <v>4.49</v>
      </c>
      <c r="E21487" t="s">
        <v>242</v>
      </c>
    </row>
    <row r="21488" spans="1:5" x14ac:dyDescent="0.25">
      <c r="A21488" t="str">
        <f>HYPERLINK("https://www.773grp.com/globalSearch/TPS62061DSGR/page-1", "TPS62061DSGR")</f>
        <v>TPS62061DSGR</v>
      </c>
      <c r="B21488" s="3" t="s">
        <v>90</v>
      </c>
      <c r="C21488" s="5">
        <v>9000</v>
      </c>
      <c r="D21488" s="6">
        <v>4.49</v>
      </c>
      <c r="E21488" t="s">
        <v>274</v>
      </c>
    </row>
    <row r="21489" spans="1:5" x14ac:dyDescent="0.25">
      <c r="A21489" t="str">
        <f>HYPERLINK("https://www.773grp.com/globalSearch/TPS62401DRCRG4/page-1", "TPS62401DRCRG4")</f>
        <v>TPS62401DRCRG4</v>
      </c>
      <c r="B21489" s="3" t="s">
        <v>90</v>
      </c>
      <c r="C21489" s="5">
        <v>86</v>
      </c>
      <c r="D21489" s="6">
        <v>4.49</v>
      </c>
      <c r="E21489" t="s">
        <v>248</v>
      </c>
    </row>
    <row r="21490" spans="1:5" x14ac:dyDescent="0.25">
      <c r="A21490" t="str">
        <f>HYPERLINK("https://www.773grp.com/globalSearch/TPS65137ADSCR/page-1", "TPS65137ADSCR")</f>
        <v>TPS65137ADSCR</v>
      </c>
      <c r="B21490" s="3" t="s">
        <v>90</v>
      </c>
      <c r="C21490" s="5">
        <v>237000</v>
      </c>
      <c r="D21490" s="6">
        <v>4.49</v>
      </c>
      <c r="E21490" t="s">
        <v>7</v>
      </c>
    </row>
    <row r="21491" spans="1:5" x14ac:dyDescent="0.25">
      <c r="A21491" t="str">
        <f>HYPERLINK("https://www.773grp.com/globalSearch/TPS73630DCQR/page-1", "TPS73630DCQR")</f>
        <v>TPS73630DCQR</v>
      </c>
      <c r="B21491" s="3" t="s">
        <v>90</v>
      </c>
      <c r="C21491" s="5">
        <v>2500</v>
      </c>
      <c r="D21491" s="6">
        <v>4.49</v>
      </c>
      <c r="E21491" t="s">
        <v>242</v>
      </c>
    </row>
    <row r="21492" spans="1:5" x14ac:dyDescent="0.25">
      <c r="A21492" t="str">
        <f>HYPERLINK("https://www.773grp.com/globalSearch/TPS77301DGK/page-1", "TPS77301DGK")</f>
        <v>TPS77301DGK</v>
      </c>
      <c r="B21492" s="3" t="s">
        <v>90</v>
      </c>
      <c r="C21492" s="5">
        <v>5</v>
      </c>
      <c r="D21492" s="6">
        <v>4.49</v>
      </c>
      <c r="E21492" t="s">
        <v>274</v>
      </c>
    </row>
    <row r="21493" spans="1:5" x14ac:dyDescent="0.25">
      <c r="A21493" t="str">
        <f>HYPERLINK("https://www.773grp.com/globalSearch/TPS77601QPWPRG4Q1/page-1", "TPS77601QPWPRG4Q1")</f>
        <v>TPS77601QPWPRG4Q1</v>
      </c>
      <c r="B21493" s="3" t="s">
        <v>90</v>
      </c>
      <c r="C21493" s="5">
        <v>2000</v>
      </c>
      <c r="D21493" s="6">
        <v>4.49</v>
      </c>
      <c r="E21493" t="s">
        <v>7</v>
      </c>
    </row>
    <row r="21494" spans="1:5" x14ac:dyDescent="0.25">
      <c r="A21494" t="str">
        <f>HYPERLINK("https://www.773grp.com/globalSearch/V62-04702-01XE/page-1", "V62-04702-01XE")</f>
        <v>V62-04702-01XE</v>
      </c>
      <c r="B21494" s="3" t="s">
        <v>90</v>
      </c>
      <c r="C21494" s="5">
        <v>710</v>
      </c>
      <c r="D21494" s="6">
        <v>4.49</v>
      </c>
      <c r="E21494" t="s">
        <v>242</v>
      </c>
    </row>
    <row r="21495" spans="1:5" x14ac:dyDescent="0.25">
      <c r="A21495" t="str">
        <f>HYPERLINK("https://www.773grp.com/globalSearch/ADC121S051CIMF-NOPB/page-1", "ADC121S051CIMF-NOPB")</f>
        <v>ADC121S051CIMF-NOPB</v>
      </c>
      <c r="B21495" s="3" t="s">
        <v>90</v>
      </c>
      <c r="C21495" s="5">
        <v>989</v>
      </c>
      <c r="D21495" s="6">
        <v>4.09</v>
      </c>
      <c r="E21495" t="s">
        <v>248</v>
      </c>
    </row>
    <row r="21496" spans="1:5" x14ac:dyDescent="0.25">
      <c r="A21496" t="str">
        <f>HYPERLINK("https://www.773grp.com/globalSearch/ADC121S051CISD-NOPB/page-1", "ADC121S051CISD-NOPB")</f>
        <v>ADC121S051CISD-NOPB</v>
      </c>
      <c r="B21496" s="3" t="s">
        <v>90</v>
      </c>
      <c r="C21496" s="5">
        <v>2000</v>
      </c>
      <c r="D21496" s="6">
        <v>4.09</v>
      </c>
      <c r="E21496" t="s">
        <v>7</v>
      </c>
    </row>
    <row r="21497" spans="1:5" x14ac:dyDescent="0.25">
      <c r="A21497" t="str">
        <f>HYPERLINK("https://www.773grp.com/globalSearch/CC110LRTKR/page-1", "CC110LRTKR")</f>
        <v>CC110LRTKR</v>
      </c>
      <c r="B21497" s="3" t="s">
        <v>90</v>
      </c>
      <c r="C21497" s="5">
        <v>3000</v>
      </c>
      <c r="D21497" s="6">
        <v>4.09</v>
      </c>
      <c r="E21497" t="s">
        <v>248</v>
      </c>
    </row>
    <row r="21498" spans="1:5" x14ac:dyDescent="0.25">
      <c r="A21498" t="str">
        <f>HYPERLINK("https://www.773grp.com/globalSearch/CC113LRTKT/page-1", "CC113LRTKT")</f>
        <v>CC113LRTKT</v>
      </c>
      <c r="B21498" s="3" t="s">
        <v>90</v>
      </c>
      <c r="C21498" s="5">
        <v>750</v>
      </c>
      <c r="D21498" s="6">
        <v>4.09</v>
      </c>
      <c r="E21498" t="s">
        <v>7</v>
      </c>
    </row>
    <row r="21499" spans="1:5" x14ac:dyDescent="0.25">
      <c r="A21499" t="str">
        <f>HYPERLINK("https://www.773grp.com/globalSearch/DRV8800RTYT/page-1", "DRV8800RTYT")</f>
        <v>DRV8800RTYT</v>
      </c>
      <c r="B21499" s="3" t="s">
        <v>90</v>
      </c>
      <c r="C21499" s="5">
        <v>348</v>
      </c>
      <c r="D21499" s="6">
        <v>4.09</v>
      </c>
      <c r="E21499" t="s">
        <v>242</v>
      </c>
    </row>
    <row r="21500" spans="1:5" x14ac:dyDescent="0.25">
      <c r="A21500" t="str">
        <f>HYPERLINK("https://www.773grp.com/globalSearch/ISO7220MD/page-1", "ISO7220MD")</f>
        <v>ISO7220MD</v>
      </c>
      <c r="B21500" s="3" t="s">
        <v>90</v>
      </c>
      <c r="C21500" s="5">
        <v>142</v>
      </c>
      <c r="D21500" s="6">
        <v>4.09</v>
      </c>
      <c r="E21500" t="s">
        <v>248</v>
      </c>
    </row>
    <row r="21501" spans="1:5" x14ac:dyDescent="0.25">
      <c r="A21501" t="str">
        <f>HYPERLINK("https://www.773grp.com/globalSearch/ISO7221MD/page-1", "ISO7221MD")</f>
        <v>ISO7221MD</v>
      </c>
      <c r="B21501" s="3" t="s">
        <v>90</v>
      </c>
      <c r="C21501" s="5">
        <v>380</v>
      </c>
      <c r="D21501" s="6">
        <v>4.09</v>
      </c>
      <c r="E21501" t="s">
        <v>274</v>
      </c>
    </row>
    <row r="21502" spans="1:5" x14ac:dyDescent="0.25">
      <c r="A21502" t="str">
        <f>HYPERLINK("https://www.773grp.com/globalSearch/MSP430A151IRHBT/page-1", "MSP430A151IRHBT")</f>
        <v>MSP430A151IRHBT</v>
      </c>
      <c r="B21502" s="3" t="s">
        <v>90</v>
      </c>
      <c r="C21502" s="5">
        <v>88</v>
      </c>
      <c r="D21502" s="6">
        <v>4.09</v>
      </c>
      <c r="E21502" t="s">
        <v>242</v>
      </c>
    </row>
    <row r="21503" spans="1:5" x14ac:dyDescent="0.25">
      <c r="A21503" t="str">
        <f>HYPERLINK("https://www.773grp.com/globalSearch/OPA1602AIDGKR/page-1", "OPA1602AIDGKR")</f>
        <v>OPA1602AIDGKR</v>
      </c>
      <c r="B21503" s="3" t="s">
        <v>90</v>
      </c>
      <c r="C21503" s="5">
        <v>85</v>
      </c>
      <c r="D21503" s="6">
        <v>4.09</v>
      </c>
      <c r="E21503" t="s">
        <v>274</v>
      </c>
    </row>
    <row r="21504" spans="1:5" x14ac:dyDescent="0.25">
      <c r="A21504" t="str">
        <f>HYPERLINK("https://www.773grp.com/globalSearch/OPA2340EA-2K5/page-1", "OPA2340EA-2K5")</f>
        <v>OPA2340EA-2K5</v>
      </c>
      <c r="B21504" s="3" t="s">
        <v>90</v>
      </c>
      <c r="C21504" s="5">
        <v>6959</v>
      </c>
      <c r="D21504" s="6">
        <v>4.09</v>
      </c>
      <c r="E21504" t="s">
        <v>248</v>
      </c>
    </row>
    <row r="21505" spans="1:5" x14ac:dyDescent="0.25">
      <c r="A21505" t="str">
        <f>HYPERLINK("https://www.773grp.com/globalSearch/OPA37GU/page-1", "OPA37GU")</f>
        <v>OPA37GU</v>
      </c>
      <c r="B21505" s="3" t="s">
        <v>90</v>
      </c>
      <c r="C21505" s="5">
        <v>4350</v>
      </c>
      <c r="D21505" s="6">
        <v>4.09</v>
      </c>
      <c r="E21505" t="s">
        <v>248</v>
      </c>
    </row>
    <row r="21506" spans="1:5" x14ac:dyDescent="0.25">
      <c r="A21506" t="str">
        <f>HYPERLINK("https://www.773grp.com/globalSearch/OPA4330AIDR/page-1", "OPA4330AIDR")</f>
        <v>OPA4330AIDR</v>
      </c>
      <c r="B21506" s="3" t="s">
        <v>90</v>
      </c>
      <c r="C21506" s="5">
        <v>2500</v>
      </c>
      <c r="D21506" s="6">
        <v>4.09</v>
      </c>
      <c r="E21506" t="s">
        <v>248</v>
      </c>
    </row>
    <row r="21507" spans="1:5" x14ac:dyDescent="0.25">
      <c r="A21507" t="str">
        <f>HYPERLINK("https://www.773grp.com/globalSearch/OPA4344UAG4/page-1", "OPA4344UAG4")</f>
        <v>OPA4344UAG4</v>
      </c>
      <c r="B21507" s="3" t="s">
        <v>90</v>
      </c>
      <c r="C21507" s="5">
        <v>34</v>
      </c>
      <c r="D21507" s="6">
        <v>4.09</v>
      </c>
      <c r="E21507" t="s">
        <v>248</v>
      </c>
    </row>
    <row r="21508" spans="1:5" x14ac:dyDescent="0.25">
      <c r="A21508" t="str">
        <f>HYPERLINK("https://www.773grp.com/globalSearch/SN65EL11DGK/page-1", "SN65EL11DGK")</f>
        <v>SN65EL11DGK</v>
      </c>
      <c r="B21508" s="3" t="s">
        <v>90</v>
      </c>
      <c r="C21508" s="5">
        <v>107</v>
      </c>
      <c r="D21508" s="6">
        <v>4.09</v>
      </c>
      <c r="E21508" t="s">
        <v>7</v>
      </c>
    </row>
    <row r="21509" spans="1:5" x14ac:dyDescent="0.25">
      <c r="A21509" t="str">
        <f>HYPERLINK("https://www.773grp.com/globalSearch/SN65HVD35DR/page-1", "SN65HVD35DR")</f>
        <v>SN65HVD35DR</v>
      </c>
      <c r="B21509" s="3" t="s">
        <v>90</v>
      </c>
      <c r="C21509" s="5">
        <v>2440</v>
      </c>
      <c r="D21509" s="6">
        <v>4.09</v>
      </c>
      <c r="E21509" t="s">
        <v>242</v>
      </c>
    </row>
    <row r="21510" spans="1:5" x14ac:dyDescent="0.25">
      <c r="A21510" t="str">
        <f>HYPERLINK("https://www.773grp.com/globalSearch/SN65HVD96D/page-1", "SN65HVD96D")</f>
        <v>SN65HVD96D</v>
      </c>
      <c r="B21510" s="3" t="s">
        <v>90</v>
      </c>
      <c r="C21510" s="5">
        <v>1425</v>
      </c>
      <c r="D21510" s="6">
        <v>4.09</v>
      </c>
      <c r="E21510" t="s">
        <v>248</v>
      </c>
    </row>
    <row r="21511" spans="1:5" x14ac:dyDescent="0.25">
      <c r="A21511" t="str">
        <f>HYPERLINK("https://www.773grp.com/globalSearch/SN65LVEL11DGK/page-1", "SN65LVEL11DGK")</f>
        <v>SN65LVEL11DGK</v>
      </c>
      <c r="B21511" s="3" t="s">
        <v>90</v>
      </c>
      <c r="C21511" s="5">
        <v>101</v>
      </c>
      <c r="D21511" s="6">
        <v>4.09</v>
      </c>
      <c r="E21511" t="s">
        <v>7</v>
      </c>
    </row>
    <row r="21512" spans="1:5" x14ac:dyDescent="0.25">
      <c r="A21512" t="str">
        <f>HYPERLINK("https://www.773grp.com/globalSearch/SR1622AAA4DBTR/page-1", "SR1622AAA4DBTR")</f>
        <v>SR1622AAA4DBTR</v>
      </c>
      <c r="B21512" s="3" t="s">
        <v>90</v>
      </c>
      <c r="C21512" s="5">
        <v>6690</v>
      </c>
      <c r="D21512" s="6">
        <v>4.09</v>
      </c>
      <c r="E21512" t="s">
        <v>248</v>
      </c>
    </row>
    <row r="21513" spans="1:5" x14ac:dyDescent="0.25">
      <c r="A21513" t="str">
        <f>HYPERLINK("https://www.773grp.com/globalSearch/TLE2062ACDR/page-1", "TLE2062ACDR")</f>
        <v>TLE2062ACDR</v>
      </c>
      <c r="B21513" s="3" t="s">
        <v>90</v>
      </c>
      <c r="C21513" s="5">
        <v>1894</v>
      </c>
      <c r="D21513" s="6">
        <v>4.09</v>
      </c>
      <c r="E21513" t="s">
        <v>248</v>
      </c>
    </row>
    <row r="21514" spans="1:5" x14ac:dyDescent="0.25">
      <c r="A21514" t="str">
        <f>HYPERLINK("https://www.773grp.com/globalSearch/TLV2475CDR/page-1", "TLV2475CDR")</f>
        <v>TLV2475CDR</v>
      </c>
      <c r="B21514" s="3" t="s">
        <v>90</v>
      </c>
      <c r="C21514" s="5">
        <v>25000</v>
      </c>
      <c r="D21514" s="6">
        <v>4.09</v>
      </c>
      <c r="E21514" t="s">
        <v>248</v>
      </c>
    </row>
    <row r="21515" spans="1:5" x14ac:dyDescent="0.25">
      <c r="A21515" t="str">
        <f>HYPERLINK("https://www.773grp.com/globalSearch/TPS2330ID/page-1", "TPS2330ID")</f>
        <v>TPS2330ID</v>
      </c>
      <c r="B21515" s="3" t="s">
        <v>90</v>
      </c>
      <c r="C21515" s="5">
        <v>596</v>
      </c>
      <c r="D21515" s="6">
        <v>4.09</v>
      </c>
      <c r="E21515" t="s">
        <v>248</v>
      </c>
    </row>
    <row r="21516" spans="1:5" x14ac:dyDescent="0.25">
      <c r="A21516" t="str">
        <f>HYPERLINK("https://www.773grp.com/globalSearch/TPS23757PW/page-1", "TPS23757PW")</f>
        <v>TPS23757PW</v>
      </c>
      <c r="B21516" s="3" t="s">
        <v>90</v>
      </c>
      <c r="C21516" s="5">
        <v>178</v>
      </c>
      <c r="D21516" s="6">
        <v>4.09</v>
      </c>
      <c r="E21516" t="s">
        <v>248</v>
      </c>
    </row>
    <row r="21517" spans="1:5" x14ac:dyDescent="0.25">
      <c r="A21517" t="str">
        <f>HYPERLINK("https://www.773grp.com/globalSearch/TPS2412D/page-1", "TPS2412D")</f>
        <v>TPS2412D</v>
      </c>
      <c r="B21517" s="3" t="s">
        <v>90</v>
      </c>
      <c r="C21517" s="5">
        <v>75</v>
      </c>
      <c r="D21517" s="6">
        <v>4.09</v>
      </c>
      <c r="E21517" t="s">
        <v>248</v>
      </c>
    </row>
    <row r="21518" spans="1:5" x14ac:dyDescent="0.25">
      <c r="A21518" t="str">
        <f>HYPERLINK("https://www.773grp.com/globalSearch/TPS51610RHBT/page-1", "TPS51610RHBT")</f>
        <v>TPS51610RHBT</v>
      </c>
      <c r="B21518" s="3" t="s">
        <v>90</v>
      </c>
      <c r="C21518" s="5">
        <v>2500</v>
      </c>
      <c r="D21518" s="6">
        <v>4.09</v>
      </c>
      <c r="E21518" t="s">
        <v>7</v>
      </c>
    </row>
    <row r="21519" spans="1:5" x14ac:dyDescent="0.25">
      <c r="A21519" t="str">
        <f>HYPERLINK("https://www.773grp.com/globalSearch/TPS54060DGQR/page-1", "TPS54060DGQR")</f>
        <v>TPS54060DGQR</v>
      </c>
      <c r="B21519" s="3" t="s">
        <v>90</v>
      </c>
      <c r="C21519" s="5">
        <v>37500</v>
      </c>
      <c r="D21519" s="6">
        <v>4.09</v>
      </c>
      <c r="E21519" t="s">
        <v>7</v>
      </c>
    </row>
    <row r="21520" spans="1:5" x14ac:dyDescent="0.25">
      <c r="A21520" t="str">
        <f>HYPERLINK("https://www.773grp.com/globalSearch/TPS54526RSAT/page-1", "TPS54526RSAT")</f>
        <v>TPS54526RSAT</v>
      </c>
      <c r="B21520" s="3" t="s">
        <v>90</v>
      </c>
      <c r="C21520" s="5">
        <v>250</v>
      </c>
      <c r="D21520" s="6">
        <v>4.09</v>
      </c>
      <c r="E21520" t="s">
        <v>248</v>
      </c>
    </row>
    <row r="21521" spans="1:5" x14ac:dyDescent="0.25">
      <c r="A21521" t="str">
        <f>HYPERLINK("https://www.773grp.com/globalSearch/TPS62361BYZHT/page-1", "TPS62361BYZHT")</f>
        <v>TPS62361BYZHT</v>
      </c>
      <c r="B21521" s="3" t="s">
        <v>90</v>
      </c>
      <c r="C21521" s="5">
        <v>359</v>
      </c>
      <c r="D21521" s="6">
        <v>4.09</v>
      </c>
      <c r="E21521" t="s">
        <v>248</v>
      </c>
    </row>
    <row r="21522" spans="1:5" x14ac:dyDescent="0.25">
      <c r="A21522" t="str">
        <f>HYPERLINK("https://www.773grp.com/globalSearch/TPS62363YZHT/page-1", "TPS62363YZHT")</f>
        <v>TPS62363YZHT</v>
      </c>
      <c r="B21522" s="3" t="s">
        <v>90</v>
      </c>
      <c r="C21522" s="5">
        <v>200</v>
      </c>
      <c r="D21522" s="6">
        <v>4.09</v>
      </c>
      <c r="E21522" t="s">
        <v>248</v>
      </c>
    </row>
    <row r="21523" spans="1:5" x14ac:dyDescent="0.25">
      <c r="A21523" t="str">
        <f>HYPERLINK("https://www.773grp.com/globalSearch/TPS7A3401DGNR/page-1", "TPS7A3401DGNR")</f>
        <v>TPS7A3401DGNR</v>
      </c>
      <c r="B21523" s="3" t="s">
        <v>90</v>
      </c>
      <c r="C21523" s="5">
        <v>2260</v>
      </c>
      <c r="D21523" s="6">
        <v>4.09</v>
      </c>
      <c r="E21523" t="s">
        <v>7</v>
      </c>
    </row>
    <row r="21524" spans="1:5" x14ac:dyDescent="0.25">
      <c r="A21524" t="str">
        <f>HYPERLINK("https://www.773grp.com/globalSearch/TPS7A4501DCQT/page-1", "TPS7A4501DCQT")</f>
        <v>TPS7A4501DCQT</v>
      </c>
      <c r="B21524" s="3" t="s">
        <v>90</v>
      </c>
      <c r="C21524" s="5">
        <v>250</v>
      </c>
      <c r="D21524" s="6">
        <v>4.09</v>
      </c>
      <c r="E21524" t="s">
        <v>248</v>
      </c>
    </row>
    <row r="21525" spans="1:5" x14ac:dyDescent="0.25">
      <c r="A21525" t="str">
        <f>HYPERLINK("https://www.773grp.com/globalSearch/TXS02326RGER/page-1", "TXS02326RGER")</f>
        <v>TXS02326RGER</v>
      </c>
      <c r="B21525" s="3" t="s">
        <v>90</v>
      </c>
      <c r="C21525" s="5">
        <v>5996</v>
      </c>
      <c r="D21525" s="6">
        <v>4.09</v>
      </c>
      <c r="E21525" t="s">
        <v>7</v>
      </c>
    </row>
    <row r="21526" spans="1:5" x14ac:dyDescent="0.25">
      <c r="A21526" t="str">
        <f>HYPERLINK("https://www.773grp.com/globalSearch/UC2853AD/page-1", "UC2853AD")</f>
        <v>UC2853AD</v>
      </c>
      <c r="B21526" s="3" t="s">
        <v>90</v>
      </c>
      <c r="C21526" s="5">
        <v>4925</v>
      </c>
      <c r="D21526" s="6">
        <v>4.09</v>
      </c>
      <c r="E21526" t="s">
        <v>248</v>
      </c>
    </row>
    <row r="21527" spans="1:5" x14ac:dyDescent="0.25">
      <c r="A21527" t="str">
        <f>HYPERLINK("https://www.773grp.com/globalSearch/UC2853DTR/page-1", "UC2853DTR")</f>
        <v>UC2853DTR</v>
      </c>
      <c r="B21527" s="3" t="s">
        <v>90</v>
      </c>
      <c r="C21527" s="5">
        <v>2500</v>
      </c>
      <c r="D21527" s="6">
        <v>4.09</v>
      </c>
      <c r="E21527" t="s">
        <v>7</v>
      </c>
    </row>
    <row r="21528" spans="1:5" x14ac:dyDescent="0.25">
      <c r="A21528" t="str">
        <f>HYPERLINK("https://www.773grp.com/globalSearch/UCC3803DTR-81102/page-1", "UCC3803DTR-81102")</f>
        <v>UCC3803DTR-81102</v>
      </c>
      <c r="B21528" s="3" t="s">
        <v>90</v>
      </c>
      <c r="C21528" s="5">
        <v>25000</v>
      </c>
      <c r="D21528" s="6">
        <v>4.09</v>
      </c>
      <c r="E21528" t="s">
        <v>7</v>
      </c>
    </row>
    <row r="21529" spans="1:5" x14ac:dyDescent="0.25">
      <c r="A21529" t="str">
        <f>HYPERLINK("https://www.773grp.com/globalSearch/UCC5606DP-81217/page-1", "UCC5606DP-81217")</f>
        <v>UCC5606DP-81217</v>
      </c>
      <c r="B21529" s="3" t="s">
        <v>90</v>
      </c>
      <c r="C21529" s="5">
        <v>3600</v>
      </c>
      <c r="D21529" s="6">
        <v>4.09</v>
      </c>
      <c r="E21529" t="s">
        <v>242</v>
      </c>
    </row>
    <row r="21530" spans="1:5" x14ac:dyDescent="0.25">
      <c r="A21530" t="str">
        <f>HYPERLINK("https://www.773grp.com/globalSearch/74AC11008NSR/page-1", "74AC11008NSR")</f>
        <v>74AC11008NSR</v>
      </c>
      <c r="B21530" s="3" t="s">
        <v>90</v>
      </c>
      <c r="C21530" s="5">
        <v>6000</v>
      </c>
      <c r="D21530" s="6">
        <v>4.54</v>
      </c>
      <c r="E21530" t="s">
        <v>7</v>
      </c>
    </row>
    <row r="21531" spans="1:5" x14ac:dyDescent="0.25">
      <c r="A21531" t="str">
        <f>HYPERLINK("https://www.773grp.com/globalSearch/AM26LV32EIRGYR/page-1", "AM26LV32EIRGYR")</f>
        <v>AM26LV32EIRGYR</v>
      </c>
      <c r="B21531" s="3" t="s">
        <v>90</v>
      </c>
      <c r="C21531" s="5">
        <v>1908</v>
      </c>
      <c r="D21531" s="6">
        <v>4.54</v>
      </c>
      <c r="E21531" t="s">
        <v>248</v>
      </c>
    </row>
    <row r="21532" spans="1:5" x14ac:dyDescent="0.25">
      <c r="A21532" t="str">
        <f>HYPERLINK("https://www.773grp.com/globalSearch/LM25085AMME-NOPB/page-1", "LM25085AMME-NOPB")</f>
        <v>LM25085AMME-NOPB</v>
      </c>
      <c r="B21532" s="3" t="s">
        <v>90</v>
      </c>
      <c r="C21532" s="5">
        <v>224</v>
      </c>
      <c r="D21532" s="6">
        <v>4.54</v>
      </c>
      <c r="E21532" t="s">
        <v>248</v>
      </c>
    </row>
    <row r="21533" spans="1:5" x14ac:dyDescent="0.25">
      <c r="A21533" t="str">
        <f>HYPERLINK("https://www.773grp.com/globalSearch/LM25085AMME-NOPB/page-1", "LM25085AMME-NOPB")</f>
        <v>LM25085AMME-NOPB</v>
      </c>
      <c r="B21533" s="3" t="s">
        <v>90</v>
      </c>
      <c r="C21533" s="5">
        <v>3</v>
      </c>
      <c r="D21533" s="6">
        <v>4.54</v>
      </c>
      <c r="E21533" t="s">
        <v>248</v>
      </c>
    </row>
    <row r="21534" spans="1:5" x14ac:dyDescent="0.25">
      <c r="A21534" t="str">
        <f>HYPERLINK("https://www.773grp.com/globalSearch/LMP7715MFE-NOPB/page-1", "LMP7715MFE-NOPB")</f>
        <v>LMP7715MFE-NOPB</v>
      </c>
      <c r="B21534" s="3" t="s">
        <v>90</v>
      </c>
      <c r="C21534" s="5">
        <v>250</v>
      </c>
      <c r="D21534" s="6">
        <v>4.54</v>
      </c>
      <c r="E21534" t="s">
        <v>7</v>
      </c>
    </row>
    <row r="21535" spans="1:5" x14ac:dyDescent="0.25">
      <c r="A21535" t="str">
        <f>HYPERLINK("https://www.773grp.com/globalSearch/PCA9545APWT/page-1", "PCA9545APWT")</f>
        <v>PCA9545APWT</v>
      </c>
      <c r="B21535" s="3" t="s">
        <v>90</v>
      </c>
      <c r="C21535" s="5">
        <v>200</v>
      </c>
      <c r="D21535" s="6">
        <v>4.54</v>
      </c>
      <c r="E21535" t="s">
        <v>248</v>
      </c>
    </row>
    <row r="21536" spans="1:5" x14ac:dyDescent="0.25">
      <c r="A21536" t="str">
        <f>HYPERLINK("https://www.773grp.com/globalSearch/PCF8574PWR/page-1", "PCF8574PWR")</f>
        <v>PCF8574PWR</v>
      </c>
      <c r="B21536" s="3" t="s">
        <v>90</v>
      </c>
      <c r="C21536" s="5">
        <v>4000</v>
      </c>
      <c r="D21536" s="6">
        <v>4.54</v>
      </c>
      <c r="E21536" t="s">
        <v>7</v>
      </c>
    </row>
    <row r="21537" spans="1:5" x14ac:dyDescent="0.25">
      <c r="A21537" t="str">
        <f>HYPERLINK("https://www.773grp.com/globalSearch/SN103368NE/page-1", "SN103368NE")</f>
        <v>SN103368NE</v>
      </c>
      <c r="B21537" s="3" t="s">
        <v>90</v>
      </c>
      <c r="C21537" s="5">
        <v>16085</v>
      </c>
      <c r="D21537" s="6">
        <v>4.54</v>
      </c>
      <c r="E21537" t="s">
        <v>248</v>
      </c>
    </row>
    <row r="21538" spans="1:5" x14ac:dyDescent="0.25">
      <c r="A21538" t="str">
        <f>HYPERLINK("https://www.773grp.com/globalSearch/SN104056LPR/page-1", "SN104056LPR")</f>
        <v>SN104056LPR</v>
      </c>
      <c r="B21538" s="3" t="s">
        <v>90</v>
      </c>
      <c r="C21538" s="5">
        <v>8000</v>
      </c>
      <c r="D21538" s="6">
        <v>4.54</v>
      </c>
      <c r="E21538" t="s">
        <v>7</v>
      </c>
    </row>
    <row r="21539" spans="1:5" x14ac:dyDescent="0.25">
      <c r="A21539" t="str">
        <f>HYPERLINK("https://www.773grp.com/globalSearch/SN65C1168NSR/page-1", "SN65C1168NSR")</f>
        <v>SN65C1168NSR</v>
      </c>
      <c r="B21539" s="3" t="s">
        <v>90</v>
      </c>
      <c r="C21539" s="5">
        <v>700</v>
      </c>
      <c r="D21539" s="6">
        <v>4.54</v>
      </c>
      <c r="E21539" t="s">
        <v>248</v>
      </c>
    </row>
    <row r="21540" spans="1:5" x14ac:dyDescent="0.25">
      <c r="A21540" t="str">
        <f>HYPERLINK("https://www.773grp.com/globalSearch/SN74ABT646ANS/page-1", "SN74ABT646ANS")</f>
        <v>SN74ABT646ANS</v>
      </c>
      <c r="B21540" s="3" t="s">
        <v>90</v>
      </c>
      <c r="C21540" s="5">
        <v>5882</v>
      </c>
      <c r="D21540" s="6">
        <v>4.54</v>
      </c>
      <c r="E21540" t="s">
        <v>248</v>
      </c>
    </row>
    <row r="21541" spans="1:5" x14ac:dyDescent="0.25">
      <c r="A21541" t="str">
        <f>HYPERLINK("https://www.773grp.com/globalSearch/SN74CBT16211ADGGR/page-1", "SN74CBT16211ADGGR")</f>
        <v>SN74CBT16211ADGGR</v>
      </c>
      <c r="B21541" s="3" t="s">
        <v>90</v>
      </c>
      <c r="C21541" s="5">
        <v>2000</v>
      </c>
      <c r="D21541" s="6">
        <v>4.54</v>
      </c>
      <c r="E21541" t="s">
        <v>7</v>
      </c>
    </row>
    <row r="21542" spans="1:5" x14ac:dyDescent="0.25">
      <c r="A21542" t="str">
        <f>HYPERLINK("https://www.773grp.com/globalSearch/SN74HC658NT/page-1", "SN74HC658NT")</f>
        <v>SN74HC658NT</v>
      </c>
      <c r="B21542" s="3" t="s">
        <v>90</v>
      </c>
      <c r="C21542" s="5">
        <v>3330</v>
      </c>
      <c r="D21542" s="6">
        <v>4.54</v>
      </c>
      <c r="E21542" t="s">
        <v>248</v>
      </c>
    </row>
    <row r="21543" spans="1:5" x14ac:dyDescent="0.25">
      <c r="A21543" t="str">
        <f>HYPERLINK("https://www.773grp.com/globalSearch/SN74LS107ADR/page-1", "SN74LS107ADR")</f>
        <v>SN74LS107ADR</v>
      </c>
      <c r="B21543" s="3" t="s">
        <v>90</v>
      </c>
      <c r="C21543" s="5">
        <v>2500</v>
      </c>
      <c r="D21543" s="6">
        <v>4.54</v>
      </c>
      <c r="E21543" t="s">
        <v>242</v>
      </c>
    </row>
    <row r="21544" spans="1:5" x14ac:dyDescent="0.25">
      <c r="A21544" t="str">
        <f>HYPERLINK("https://www.773grp.com/globalSearch/SN74LVC16244AGRDR/page-1", "SN74LVC16244AGRDR")</f>
        <v>SN74LVC16244AGRDR</v>
      </c>
      <c r="B21544" s="3" t="s">
        <v>90</v>
      </c>
      <c r="C21544" s="5">
        <v>6950</v>
      </c>
      <c r="D21544" s="6">
        <v>4.54</v>
      </c>
      <c r="E21544" t="s">
        <v>7</v>
      </c>
    </row>
    <row r="21545" spans="1:5" x14ac:dyDescent="0.25">
      <c r="A21545" t="str">
        <f>HYPERLINK("https://www.773grp.com/globalSearch/SN74LVCH16245AZRDR/page-1", "SN74LVCH16245AZRDR")</f>
        <v>SN74LVCH16245AZRDR</v>
      </c>
      <c r="B21545" s="3" t="s">
        <v>90</v>
      </c>
      <c r="C21545" s="5">
        <v>4000</v>
      </c>
      <c r="D21545" s="6">
        <v>4.54</v>
      </c>
      <c r="E21545" t="s">
        <v>248</v>
      </c>
    </row>
    <row r="21546" spans="1:5" x14ac:dyDescent="0.25">
      <c r="A21546" t="str">
        <f>HYPERLINK("https://www.773grp.com/globalSearch/SN74LVCH16373AZQLR/page-1", "SN74LVCH16373AZQLR")</f>
        <v>SN74LVCH16373AZQLR</v>
      </c>
      <c r="B21546" s="3" t="s">
        <v>90</v>
      </c>
      <c r="C21546" s="5">
        <v>1000</v>
      </c>
      <c r="D21546" s="6">
        <v>4.54</v>
      </c>
      <c r="E21546" t="s">
        <v>248</v>
      </c>
    </row>
    <row r="21547" spans="1:5" x14ac:dyDescent="0.25">
      <c r="A21547" t="str">
        <f>HYPERLINK("https://www.773grp.com/globalSearch/SN74LVCH16374AZQLR/page-1", "SN74LVCH16374AZQLR")</f>
        <v>SN74LVCH16374AZQLR</v>
      </c>
      <c r="B21547" s="3" t="s">
        <v>90</v>
      </c>
      <c r="C21547" s="5">
        <v>1000</v>
      </c>
      <c r="D21547" s="6">
        <v>4.54</v>
      </c>
      <c r="E21547" t="s">
        <v>248</v>
      </c>
    </row>
    <row r="21548" spans="1:5" x14ac:dyDescent="0.25">
      <c r="A21548" t="str">
        <f>HYPERLINK("https://www.773grp.com/globalSearch/SN74LVT162244ADGGR/page-1", "SN74LVT162244ADGGR")</f>
        <v>SN74LVT162244ADGGR</v>
      </c>
      <c r="B21548" s="3" t="s">
        <v>90</v>
      </c>
      <c r="C21548" s="5">
        <v>3802</v>
      </c>
      <c r="D21548" s="6">
        <v>4.54</v>
      </c>
      <c r="E21548" t="s">
        <v>7</v>
      </c>
    </row>
    <row r="21549" spans="1:5" x14ac:dyDescent="0.25">
      <c r="A21549" t="str">
        <f>HYPERLINK("https://www.773grp.com/globalSearch/SN74LVT162244ADGV/page-1", "SN74LVT162244ADGV")</f>
        <v>SN74LVT162244ADGV</v>
      </c>
      <c r="B21549" s="3" t="s">
        <v>90</v>
      </c>
      <c r="C21549" s="5">
        <v>2000</v>
      </c>
      <c r="D21549" s="6">
        <v>4.54</v>
      </c>
      <c r="E21549" t="s">
        <v>248</v>
      </c>
    </row>
    <row r="21550" spans="1:5" x14ac:dyDescent="0.25">
      <c r="A21550" t="str">
        <f>HYPERLINK("https://www.773grp.com/globalSearch/SN74LVT16244BDGVR/page-1", "SN74LVT16244BDGVR")</f>
        <v>SN74LVT16244BDGVR</v>
      </c>
      <c r="B21550" s="3" t="s">
        <v>90</v>
      </c>
      <c r="C21550" s="5">
        <v>1396</v>
      </c>
      <c r="D21550" s="6">
        <v>4.54</v>
      </c>
      <c r="E21550" t="s">
        <v>7</v>
      </c>
    </row>
    <row r="21551" spans="1:5" x14ac:dyDescent="0.25">
      <c r="A21551" t="str">
        <f>HYPERLINK("https://www.773grp.com/globalSearch/SN74LVT16245BDGGR/page-1", "SN74LVT16245BDGGR")</f>
        <v>SN74LVT16245BDGGR</v>
      </c>
      <c r="B21551" s="3" t="s">
        <v>90</v>
      </c>
      <c r="C21551" s="5">
        <v>6000</v>
      </c>
      <c r="D21551" s="6">
        <v>4.54</v>
      </c>
      <c r="E21551" t="s">
        <v>7</v>
      </c>
    </row>
    <row r="21552" spans="1:5" x14ac:dyDescent="0.25">
      <c r="A21552" t="str">
        <f>HYPERLINK("https://www.773grp.com/globalSearch/SN74LVT16245BDGGRE4/page-1", "SN74LVT16245BDGGRE4")</f>
        <v>SN74LVT16245BDGGRE4</v>
      </c>
      <c r="B21552" s="3" t="s">
        <v>90</v>
      </c>
      <c r="C21552" s="5">
        <v>4000</v>
      </c>
      <c r="D21552" s="6">
        <v>4.54</v>
      </c>
      <c r="E21552" t="s">
        <v>248</v>
      </c>
    </row>
    <row r="21553" spans="1:5" x14ac:dyDescent="0.25">
      <c r="A21553" t="str">
        <f>HYPERLINK("https://www.773grp.com/globalSearch/SNJ54HC75J/page-1", "SNJ54HC75J")</f>
        <v>SNJ54HC75J</v>
      </c>
      <c r="B21553" s="3" t="s">
        <v>90</v>
      </c>
      <c r="C21553" s="5">
        <v>62</v>
      </c>
      <c r="D21553" s="6">
        <v>4.54</v>
      </c>
      <c r="E21553" t="s">
        <v>242</v>
      </c>
    </row>
    <row r="21554" spans="1:5" x14ac:dyDescent="0.25">
      <c r="A21554" t="str">
        <f>HYPERLINK("https://www.773grp.com/globalSearch/TL052IDR/page-1", "TL052IDR")</f>
        <v>TL052IDR</v>
      </c>
      <c r="B21554" s="3" t="s">
        <v>90</v>
      </c>
      <c r="C21554" s="5">
        <v>2500</v>
      </c>
      <c r="D21554" s="6">
        <v>4.54</v>
      </c>
      <c r="E21554" t="s">
        <v>248</v>
      </c>
    </row>
    <row r="21555" spans="1:5" x14ac:dyDescent="0.25">
      <c r="A21555" t="str">
        <f>HYPERLINK("https://www.773grp.com/globalSearch/TL2575-ADJIKTTR/page-1", "TL2575-ADJIKTTR")</f>
        <v>TL2575-ADJIKTTR</v>
      </c>
      <c r="B21555" s="3" t="s">
        <v>90</v>
      </c>
      <c r="C21555" s="5">
        <v>479</v>
      </c>
      <c r="D21555" s="6">
        <v>4.54</v>
      </c>
      <c r="E21555" t="s">
        <v>248</v>
      </c>
    </row>
    <row r="21556" spans="1:5" x14ac:dyDescent="0.25">
      <c r="A21556" t="str">
        <f>HYPERLINK("https://www.773grp.com/globalSearch/TLV2374INE4/page-1", "TLV2374INE4")</f>
        <v>TLV2374INE4</v>
      </c>
      <c r="B21556" s="3" t="s">
        <v>90</v>
      </c>
      <c r="C21556" s="5">
        <v>200</v>
      </c>
      <c r="D21556" s="6">
        <v>4.54</v>
      </c>
      <c r="E21556" t="s">
        <v>248</v>
      </c>
    </row>
    <row r="21557" spans="1:5" x14ac:dyDescent="0.25">
      <c r="A21557" t="str">
        <f>HYPERLINK("https://www.773grp.com/globalSearch/TPA0211DGNG4/page-1", "TPA0211DGNG4")</f>
        <v>TPA0211DGNG4</v>
      </c>
      <c r="B21557" s="3" t="s">
        <v>90</v>
      </c>
      <c r="C21557" s="5">
        <v>345</v>
      </c>
      <c r="D21557" s="6">
        <v>4.54</v>
      </c>
      <c r="E21557" t="s">
        <v>248</v>
      </c>
    </row>
    <row r="21558" spans="1:5" x14ac:dyDescent="0.25">
      <c r="A21558" t="str">
        <f>HYPERLINK("https://www.773grp.com/globalSearch/TPS2066ADRBT/page-1", "TPS2066ADRBT")</f>
        <v>TPS2066ADRBT</v>
      </c>
      <c r="B21558" s="3" t="s">
        <v>90</v>
      </c>
      <c r="C21558" s="5">
        <v>9750</v>
      </c>
      <c r="D21558" s="6">
        <v>4.54</v>
      </c>
      <c r="E21558" t="s">
        <v>248</v>
      </c>
    </row>
    <row r="21559" spans="1:5" x14ac:dyDescent="0.25">
      <c r="A21559" t="str">
        <f>HYPERLINK("https://www.773grp.com/globalSearch/TPS2552DBVT-1/page-1", "TPS2552DBVT-1")</f>
        <v>TPS2552DBVT-1</v>
      </c>
      <c r="B21559" s="3" t="s">
        <v>90</v>
      </c>
      <c r="C21559" s="5">
        <v>500</v>
      </c>
      <c r="D21559" s="6">
        <v>4.54</v>
      </c>
      <c r="E21559" t="s">
        <v>248</v>
      </c>
    </row>
    <row r="21560" spans="1:5" x14ac:dyDescent="0.25">
      <c r="A21560" t="str">
        <f>HYPERLINK("https://www.773grp.com/globalSearch/TPS61254YFFT/page-1", "TPS61254YFFT")</f>
        <v>TPS61254YFFT</v>
      </c>
      <c r="B21560" s="3" t="s">
        <v>90</v>
      </c>
      <c r="C21560" s="5">
        <v>250</v>
      </c>
      <c r="D21560" s="6">
        <v>4.54</v>
      </c>
      <c r="E21560" t="s">
        <v>248</v>
      </c>
    </row>
    <row r="21561" spans="1:5" x14ac:dyDescent="0.25">
      <c r="A21561" t="str">
        <f>HYPERLINK("https://www.773grp.com/globalSearch/TPS62701YZFT/page-1", "TPS62701YZFT")</f>
        <v>TPS62701YZFT</v>
      </c>
      <c r="B21561" s="3" t="s">
        <v>90</v>
      </c>
      <c r="C21561" s="5">
        <v>5500</v>
      </c>
      <c r="D21561" s="6">
        <v>4.54</v>
      </c>
      <c r="E21561" t="s">
        <v>248</v>
      </c>
    </row>
    <row r="21562" spans="1:5" x14ac:dyDescent="0.25">
      <c r="A21562" t="str">
        <f>HYPERLINK("https://www.773grp.com/globalSearch/TRS3232ECDWR/page-1", "TRS3232ECDWR")</f>
        <v>TRS3232ECDWR</v>
      </c>
      <c r="B21562" s="3" t="s">
        <v>90</v>
      </c>
      <c r="C21562" s="5">
        <v>2000</v>
      </c>
      <c r="D21562" s="6">
        <v>4.54</v>
      </c>
      <c r="E21562" t="s">
        <v>7</v>
      </c>
    </row>
    <row r="21563" spans="1:5" x14ac:dyDescent="0.25">
      <c r="A21563" t="str">
        <f>HYPERLINK("https://www.773grp.com/globalSearch/TRS3232ECPWR/page-1", "TRS3232ECPWR")</f>
        <v>TRS3232ECPWR</v>
      </c>
      <c r="B21563" s="3" t="s">
        <v>90</v>
      </c>
      <c r="C21563" s="5">
        <v>1275</v>
      </c>
      <c r="D21563" s="6">
        <v>4.54</v>
      </c>
      <c r="E21563" t="s">
        <v>248</v>
      </c>
    </row>
    <row r="21564" spans="1:5" x14ac:dyDescent="0.25">
      <c r="A21564" t="str">
        <f>HYPERLINK("https://www.773grp.com/globalSearch/UCC27323PE4/page-1", "UCC27323PE4")</f>
        <v>UCC27323PE4</v>
      </c>
      <c r="B21564" s="3" t="s">
        <v>90</v>
      </c>
      <c r="C21564" s="5">
        <v>285</v>
      </c>
      <c r="D21564" s="6">
        <v>4.54</v>
      </c>
      <c r="E21564" t="s">
        <v>248</v>
      </c>
    </row>
    <row r="21565" spans="1:5" x14ac:dyDescent="0.25">
      <c r="A21565" t="str">
        <f>HYPERLINK("https://www.773grp.com/globalSearch/UCC27423PE4/page-1", "UCC27423PE4")</f>
        <v>UCC27423PE4</v>
      </c>
      <c r="B21565" s="3" t="s">
        <v>90</v>
      </c>
      <c r="C21565" s="5">
        <v>250</v>
      </c>
      <c r="D21565" s="6">
        <v>4.54</v>
      </c>
      <c r="E21565" t="s">
        <v>248</v>
      </c>
    </row>
    <row r="21566" spans="1:5" x14ac:dyDescent="0.25">
      <c r="A21566" t="str">
        <f>HYPERLINK("https://www.773grp.com/globalSearch/UCC27524DSDT/page-1", "UCC27524DSDT")</f>
        <v>UCC27524DSDT</v>
      </c>
      <c r="B21566" s="3" t="s">
        <v>90</v>
      </c>
      <c r="C21566" s="5">
        <v>190</v>
      </c>
      <c r="D21566" s="6">
        <v>4.54</v>
      </c>
      <c r="E21566" t="s">
        <v>248</v>
      </c>
    </row>
    <row r="21567" spans="1:5" x14ac:dyDescent="0.25">
      <c r="A21567" t="str">
        <f>HYPERLINK("https://www.773grp.com/globalSearch/UCC27524P/page-1", "UCC27524P")</f>
        <v>UCC27524P</v>
      </c>
      <c r="B21567" s="3" t="s">
        <v>90</v>
      </c>
      <c r="C21567" s="5">
        <v>750</v>
      </c>
      <c r="D21567" s="6">
        <v>4.54</v>
      </c>
      <c r="E21567" t="s">
        <v>248</v>
      </c>
    </row>
    <row r="21568" spans="1:5" x14ac:dyDescent="0.25">
      <c r="A21568" t="str">
        <f>HYPERLINK("https://www.773grp.com/globalSearch/UCC27526DSDT/page-1", "UCC27526DSDT")</f>
        <v>UCC27526DSDT</v>
      </c>
      <c r="B21568" s="3" t="s">
        <v>90</v>
      </c>
      <c r="C21568" s="5">
        <v>1250</v>
      </c>
      <c r="D21568" s="6">
        <v>4.54</v>
      </c>
      <c r="E21568" t="s">
        <v>248</v>
      </c>
    </row>
    <row r="21569" spans="1:5" x14ac:dyDescent="0.25">
      <c r="A21569" t="str">
        <f>HYPERLINK("https://www.773grp.com/globalSearch/UCC27531DBVT/page-1", "UCC27531DBVT")</f>
        <v>UCC27531DBVT</v>
      </c>
      <c r="B21569" s="3" t="s">
        <v>90</v>
      </c>
      <c r="C21569" s="5">
        <v>500</v>
      </c>
      <c r="D21569" s="6">
        <v>4.54</v>
      </c>
      <c r="E21569" t="s">
        <v>248</v>
      </c>
    </row>
    <row r="21570" spans="1:5" x14ac:dyDescent="0.25">
      <c r="A21570" t="str">
        <f>HYPERLINK("https://www.773grp.com/globalSearch/UCC37324PE4/page-1", "UCC37324PE4")</f>
        <v>UCC37324PE4</v>
      </c>
      <c r="B21570" s="3" t="s">
        <v>90</v>
      </c>
      <c r="C21570" s="5">
        <v>350</v>
      </c>
      <c r="D21570" s="6">
        <v>4.54</v>
      </c>
      <c r="E21570" t="s">
        <v>248</v>
      </c>
    </row>
    <row r="21571" spans="1:5" x14ac:dyDescent="0.25">
      <c r="A21571" t="str">
        <f>HYPERLINK("https://www.773grp.com/globalSearch/LM8262MM/page-1", "LM8262MM")</f>
        <v>LM8262MM</v>
      </c>
      <c r="B21571" s="3" t="s">
        <v>90</v>
      </c>
      <c r="C21571" s="5">
        <v>96</v>
      </c>
      <c r="D21571" s="6">
        <v>4.0999999999999996</v>
      </c>
      <c r="E21571" t="s">
        <v>248</v>
      </c>
    </row>
    <row r="21572" spans="1:5" x14ac:dyDescent="0.25">
      <c r="A21572" t="str">
        <f>HYPERLINK("https://www.773grp.com/globalSearch/SN104662DBXR/page-1", "SN104662DBXR")</f>
        <v>SN104662DBXR</v>
      </c>
      <c r="B21572" s="3" t="s">
        <v>90</v>
      </c>
      <c r="C21572" s="5">
        <v>506878</v>
      </c>
      <c r="D21572" s="6">
        <v>4.0999999999999996</v>
      </c>
      <c r="E21572" t="s">
        <v>248</v>
      </c>
    </row>
    <row r="21573" spans="1:5" x14ac:dyDescent="0.25">
      <c r="A21573" t="str">
        <f>HYPERLINK("https://www.773grp.com/globalSearch/SN65LBC176ADR/page-1", "SN65LBC176ADR")</f>
        <v>SN65LBC176ADR</v>
      </c>
      <c r="B21573" s="3" t="s">
        <v>90</v>
      </c>
      <c r="C21573" s="5">
        <v>5000</v>
      </c>
      <c r="D21573" s="6">
        <v>4.0999999999999996</v>
      </c>
      <c r="E21573" t="s">
        <v>248</v>
      </c>
    </row>
    <row r="21574" spans="1:5" x14ac:dyDescent="0.25">
      <c r="A21574" t="str">
        <f>HYPERLINK("https://www.773grp.com/globalSearch/SR1711AAA4DBT/page-1", "SR1711AAA4DBT")</f>
        <v>SR1711AAA4DBT</v>
      </c>
      <c r="B21574" s="3" t="s">
        <v>90</v>
      </c>
      <c r="C21574" s="5">
        <v>590</v>
      </c>
      <c r="D21574" s="6">
        <v>4.0999999999999996</v>
      </c>
      <c r="E21574" t="s">
        <v>248</v>
      </c>
    </row>
    <row r="21575" spans="1:5" x14ac:dyDescent="0.25">
      <c r="A21575" t="str">
        <f>HYPERLINK("https://www.773grp.com/globalSearch/SR1711ABA4DBT/page-1", "SR1711ABA4DBT")</f>
        <v>SR1711ABA4DBT</v>
      </c>
      <c r="B21575" s="3" t="s">
        <v>90</v>
      </c>
      <c r="C21575" s="5">
        <v>354</v>
      </c>
      <c r="D21575" s="6">
        <v>4.0999999999999996</v>
      </c>
      <c r="E21575" t="s">
        <v>248</v>
      </c>
    </row>
    <row r="21576" spans="1:5" x14ac:dyDescent="0.25">
      <c r="A21576" t="str">
        <f>HYPERLINK("https://www.773grp.com/globalSearch/TCM9055N/page-1", "TCM9055N")</f>
        <v>TCM9055N</v>
      </c>
      <c r="B21576" s="3" t="s">
        <v>90</v>
      </c>
      <c r="C21576" s="5">
        <v>48</v>
      </c>
      <c r="D21576" s="6">
        <v>4.0999999999999996</v>
      </c>
      <c r="E21576" t="s">
        <v>248</v>
      </c>
    </row>
    <row r="21577" spans="1:5" x14ac:dyDescent="0.25">
      <c r="A21577" t="str">
        <f>HYPERLINK("https://www.773grp.com/globalSearch/TPS54060ADRCT/page-1", "TPS54060ADRCT")</f>
        <v>TPS54060ADRCT</v>
      </c>
      <c r="B21577" s="3" t="s">
        <v>90</v>
      </c>
      <c r="C21577" s="5">
        <v>500</v>
      </c>
      <c r="D21577" s="6">
        <v>4.0999999999999996</v>
      </c>
      <c r="E21577" t="s">
        <v>248</v>
      </c>
    </row>
    <row r="21578" spans="1:5" x14ac:dyDescent="0.25">
      <c r="A21578" t="str">
        <f>HYPERLINK("https://www.773grp.com/globalSearch/TPS63000IDRCRQ1/page-1", "TPS63000IDRCRQ1")</f>
        <v>TPS63000IDRCRQ1</v>
      </c>
      <c r="B21578" s="3" t="s">
        <v>90</v>
      </c>
      <c r="C21578" s="5">
        <v>14396</v>
      </c>
      <c r="D21578" s="6">
        <v>4.0999999999999996</v>
      </c>
      <c r="E21578" t="s">
        <v>248</v>
      </c>
    </row>
    <row r="21579" spans="1:5" x14ac:dyDescent="0.25">
      <c r="A21579" t="str">
        <f>HYPERLINK("https://www.773grp.com/globalSearch/ADC0838CCN/page-1", "ADC0838CCN")</f>
        <v>ADC0838CCN</v>
      </c>
      <c r="B21579" s="3" t="s">
        <v>90</v>
      </c>
      <c r="C21579" s="5">
        <v>522</v>
      </c>
      <c r="D21579" s="6">
        <v>4.1399999999999997</v>
      </c>
      <c r="E21579" t="s">
        <v>248</v>
      </c>
    </row>
    <row r="21580" spans="1:5" x14ac:dyDescent="0.25">
      <c r="A21580" t="str">
        <f>HYPERLINK("https://www.773grp.com/globalSearch/SN54LS295BJ-SCA/page-1", "SN54LS295BJ-SCA")</f>
        <v>SN54LS295BJ-SCA</v>
      </c>
      <c r="B21580" s="3" t="s">
        <v>90</v>
      </c>
      <c r="C21580" s="5">
        <v>36</v>
      </c>
      <c r="D21580" s="6">
        <v>4.1399999999999997</v>
      </c>
      <c r="E21580" t="s">
        <v>248</v>
      </c>
    </row>
    <row r="21581" spans="1:5" x14ac:dyDescent="0.25">
      <c r="A21581" t="str">
        <f>HYPERLINK("https://www.773grp.com/globalSearch/SN74AS244ANS/page-1", "SN74AS244ANS")</f>
        <v>SN74AS244ANS</v>
      </c>
      <c r="B21581" s="3" t="s">
        <v>90</v>
      </c>
      <c r="C21581" s="5">
        <v>3160</v>
      </c>
      <c r="D21581" s="6">
        <v>4.1399999999999997</v>
      </c>
      <c r="E21581" t="s">
        <v>248</v>
      </c>
    </row>
    <row r="21582" spans="1:5" x14ac:dyDescent="0.25">
      <c r="A21582" t="str">
        <f>HYPERLINK("https://www.773grp.com/globalSearch/SN74AS245NS/page-1", "SN74AS245NS")</f>
        <v>SN74AS245NS</v>
      </c>
      <c r="B21582" s="3" t="s">
        <v>90</v>
      </c>
      <c r="C21582" s="5">
        <v>1680</v>
      </c>
      <c r="D21582" s="6">
        <v>4.1399999999999997</v>
      </c>
      <c r="E21582" t="s">
        <v>248</v>
      </c>
    </row>
    <row r="21583" spans="1:5" x14ac:dyDescent="0.25">
      <c r="A21583" t="str">
        <f>HYPERLINK("https://www.773grp.com/globalSearch/SN74AVCAH164245G/page-1", "SN74AVCAH164245G")</f>
        <v>SN74AVCAH164245G</v>
      </c>
      <c r="B21583" s="3" t="s">
        <v>90</v>
      </c>
      <c r="C21583" s="5">
        <v>334</v>
      </c>
      <c r="D21583" s="6">
        <v>4.1399999999999997</v>
      </c>
      <c r="E21583" t="s">
        <v>248</v>
      </c>
    </row>
    <row r="21584" spans="1:5" x14ac:dyDescent="0.25">
      <c r="A21584" t="str">
        <f>HYPERLINK("https://www.773grp.com/globalSearch/SN75LBC182P/page-1", "SN75LBC182P")</f>
        <v>SN75LBC182P</v>
      </c>
      <c r="B21584" s="3" t="s">
        <v>90</v>
      </c>
      <c r="C21584" s="5">
        <v>400</v>
      </c>
      <c r="D21584" s="6">
        <v>4.1399999999999997</v>
      </c>
      <c r="E21584" t="s">
        <v>248</v>
      </c>
    </row>
    <row r="21585" spans="1:5" x14ac:dyDescent="0.25">
      <c r="A21585" t="str">
        <f>HYPERLINK("https://www.773grp.com/globalSearch/SN75LBC182PE4/page-1", "SN75LBC182PE4")</f>
        <v>SN75LBC182PE4</v>
      </c>
      <c r="B21585" s="3" t="s">
        <v>90</v>
      </c>
      <c r="C21585" s="5">
        <v>300</v>
      </c>
      <c r="D21585" s="6">
        <v>4.1399999999999997</v>
      </c>
      <c r="E21585" t="s">
        <v>248</v>
      </c>
    </row>
    <row r="21586" spans="1:5" x14ac:dyDescent="0.25">
      <c r="A21586" t="str">
        <f>HYPERLINK("https://www.773grp.com/globalSearch/CSD87351ZQ5D/page-1", "CSD87351ZQ5D")</f>
        <v>CSD87351ZQ5D</v>
      </c>
      <c r="B21586" s="3" t="s">
        <v>90</v>
      </c>
      <c r="C21586" s="5">
        <v>2500</v>
      </c>
      <c r="D21586" s="6">
        <v>4.59</v>
      </c>
      <c r="E21586" t="s">
        <v>248</v>
      </c>
    </row>
    <row r="21587" spans="1:5" x14ac:dyDescent="0.25">
      <c r="A21587" t="str">
        <f>HYPERLINK("https://www.773grp.com/globalSearch/LMV7235M5/page-1", "LMV7235M5")</f>
        <v>LMV7235M5</v>
      </c>
      <c r="B21587" s="3" t="s">
        <v>90</v>
      </c>
      <c r="C21587" s="5">
        <v>403</v>
      </c>
      <c r="D21587" s="6">
        <v>4.59</v>
      </c>
      <c r="E21587" t="s">
        <v>248</v>
      </c>
    </row>
    <row r="21588" spans="1:5" x14ac:dyDescent="0.25">
      <c r="A21588" t="str">
        <f>HYPERLINK("https://www.773grp.com/globalSearch/OCI934/page-1", "OCI934")</f>
        <v>OCI934</v>
      </c>
      <c r="B21588" s="3" t="s">
        <v>90</v>
      </c>
      <c r="C21588" s="5">
        <v>14100</v>
      </c>
      <c r="D21588" s="6">
        <v>4.59</v>
      </c>
      <c r="E21588" t="s">
        <v>248</v>
      </c>
    </row>
    <row r="21589" spans="1:5" x14ac:dyDescent="0.25">
      <c r="A21589" t="str">
        <f>HYPERLINK("https://www.773grp.com/globalSearch/SN74ALS1034NS/page-1", "SN74ALS1034NS")</f>
        <v>SN74ALS1034NS</v>
      </c>
      <c r="B21589" s="3" t="s">
        <v>90</v>
      </c>
      <c r="C21589" s="5">
        <v>14950</v>
      </c>
      <c r="D21589" s="6">
        <v>4.59</v>
      </c>
      <c r="E21589" t="s">
        <v>248</v>
      </c>
    </row>
    <row r="21590" spans="1:5" x14ac:dyDescent="0.25">
      <c r="A21590" t="str">
        <f>HYPERLINK("https://www.773grp.com/globalSearch/SN74S151NS/page-1", "SN74S151NS")</f>
        <v>SN74S151NS</v>
      </c>
      <c r="B21590" s="3" t="s">
        <v>90</v>
      </c>
      <c r="C21590" s="5">
        <v>1700</v>
      </c>
      <c r="D21590" s="6">
        <v>4.59</v>
      </c>
      <c r="E21590" t="s">
        <v>248</v>
      </c>
    </row>
    <row r="21591" spans="1:5" x14ac:dyDescent="0.25">
      <c r="A21591" t="str">
        <f>HYPERLINK("https://www.773grp.com/globalSearch/TPS62651YFFR/page-1", "TPS62651YFFR")</f>
        <v>TPS62651YFFR</v>
      </c>
      <c r="B21591" s="3" t="s">
        <v>90</v>
      </c>
      <c r="C21591" s="5">
        <v>6000</v>
      </c>
      <c r="D21591" s="6">
        <v>4.59</v>
      </c>
      <c r="E21591" t="s">
        <v>248</v>
      </c>
    </row>
    <row r="21592" spans="1:5" x14ac:dyDescent="0.25">
      <c r="A21592" t="str">
        <f>HYPERLINK("https://www.773grp.com/globalSearch/TPA2000D1TPWRQ1/page-1", "TPA2000D1TPWRQ1")</f>
        <v>TPA2000D1TPWRQ1</v>
      </c>
      <c r="B21592" s="3" t="s">
        <v>90</v>
      </c>
      <c r="C21592" s="5">
        <v>2000</v>
      </c>
      <c r="D21592" s="6">
        <v>4.16</v>
      </c>
      <c r="E21592" t="s">
        <v>248</v>
      </c>
    </row>
    <row r="21593" spans="1:5" x14ac:dyDescent="0.25">
      <c r="A21593" t="str">
        <f>HYPERLINK("https://www.773grp.com/globalSearch/TUSB2036AVF/page-1", "TUSB2036AVF")</f>
        <v>TUSB2036AVF</v>
      </c>
      <c r="B21593" s="3" t="s">
        <v>90</v>
      </c>
      <c r="C21593" s="5">
        <v>10145</v>
      </c>
      <c r="D21593" s="6">
        <v>4.16</v>
      </c>
      <c r="E21593" t="s">
        <v>248</v>
      </c>
    </row>
    <row r="21594" spans="1:5" x14ac:dyDescent="0.25">
      <c r="A21594" t="str">
        <f>HYPERLINK("https://www.773grp.com/globalSearch/LM25007MM/page-1", "LM25007MM")</f>
        <v>LM25007MM</v>
      </c>
      <c r="B21594" s="3" t="s">
        <v>90</v>
      </c>
      <c r="C21594" s="5">
        <v>3000</v>
      </c>
      <c r="D21594" s="6">
        <v>4.1900000000000004</v>
      </c>
      <c r="E21594" t="s">
        <v>248</v>
      </c>
    </row>
    <row r="21595" spans="1:5" x14ac:dyDescent="0.25">
      <c r="A21595" t="str">
        <f>HYPERLINK("https://www.773grp.com/globalSearch/LM2611AMF/page-1", "LM2611AMF")</f>
        <v>LM2611AMF</v>
      </c>
      <c r="B21595" s="3" t="s">
        <v>90</v>
      </c>
      <c r="C21595" s="5">
        <v>159</v>
      </c>
      <c r="D21595" s="6">
        <v>4.1900000000000004</v>
      </c>
      <c r="E21595" t="s">
        <v>248</v>
      </c>
    </row>
    <row r="21596" spans="1:5" x14ac:dyDescent="0.25">
      <c r="A21596" t="str">
        <f>HYPERLINK("https://www.773grp.com/globalSearch/LM4040A20IDBZT/page-1", "LM4040A20IDBZT")</f>
        <v>LM4040A20IDBZT</v>
      </c>
      <c r="B21596" s="3" t="s">
        <v>90</v>
      </c>
      <c r="C21596" s="5">
        <v>212</v>
      </c>
      <c r="D21596" s="6">
        <v>4.1900000000000004</v>
      </c>
      <c r="E21596" t="s">
        <v>248</v>
      </c>
    </row>
    <row r="21597" spans="1:5" x14ac:dyDescent="0.25">
      <c r="A21597" t="str">
        <f>HYPERLINK("https://www.773grp.com/globalSearch/LM6132BIN/page-1", "LM6132BIN")</f>
        <v>LM6132BIN</v>
      </c>
      <c r="B21597" s="3" t="s">
        <v>90</v>
      </c>
      <c r="C21597" s="5">
        <v>120</v>
      </c>
      <c r="D21597" s="6">
        <v>4.1900000000000004</v>
      </c>
      <c r="E21597" t="s">
        <v>248</v>
      </c>
    </row>
    <row r="21598" spans="1:5" x14ac:dyDescent="0.25">
      <c r="A21598" t="str">
        <f>HYPERLINK("https://www.773grp.com/globalSearch/LP3962ES-3.3-NOPB/page-1", "LP3962ES-3.3-NOPB")</f>
        <v>LP3962ES-3.3-NOPB</v>
      </c>
      <c r="B21598" s="3" t="s">
        <v>90</v>
      </c>
      <c r="C21598" s="5">
        <v>180</v>
      </c>
      <c r="D21598" s="6">
        <v>4.1900000000000004</v>
      </c>
      <c r="E21598" t="s">
        <v>248</v>
      </c>
    </row>
    <row r="21599" spans="1:5" x14ac:dyDescent="0.25">
      <c r="A21599" t="str">
        <f>HYPERLINK("https://www.773grp.com/globalSearch/SN301151DWR/page-1", "SN301151DWR")</f>
        <v>SN301151DWR</v>
      </c>
      <c r="B21599" s="3" t="s">
        <v>90</v>
      </c>
      <c r="C21599" s="5">
        <v>4000</v>
      </c>
      <c r="D21599" s="6">
        <v>4.1900000000000004</v>
      </c>
      <c r="E21599" t="s">
        <v>248</v>
      </c>
    </row>
    <row r="21600" spans="1:5" x14ac:dyDescent="0.25">
      <c r="A21600" t="str">
        <f>HYPERLINK("https://www.773grp.com/globalSearch/SN74ALS580BNS/page-1", "SN74ALS580BNS")</f>
        <v>SN74ALS580BNS</v>
      </c>
      <c r="B21600" s="3" t="s">
        <v>90</v>
      </c>
      <c r="C21600" s="5">
        <v>3410</v>
      </c>
      <c r="D21600" s="6">
        <v>4.1900000000000004</v>
      </c>
      <c r="E21600" t="s">
        <v>248</v>
      </c>
    </row>
    <row r="21601" spans="1:5" x14ac:dyDescent="0.25">
      <c r="A21601" t="str">
        <f>HYPERLINK("https://www.773grp.com/globalSearch/SN74AS175BNS/page-1", "SN74AS175BNS")</f>
        <v>SN74AS175BNS</v>
      </c>
      <c r="B21601" s="3" t="s">
        <v>90</v>
      </c>
      <c r="C21601" s="5">
        <v>3900</v>
      </c>
      <c r="D21601" s="6">
        <v>4.1900000000000004</v>
      </c>
      <c r="E21601" t="s">
        <v>248</v>
      </c>
    </row>
    <row r="21602" spans="1:5" x14ac:dyDescent="0.25">
      <c r="A21602" t="str">
        <f>HYPERLINK("https://www.773grp.com/globalSearch/TLC0831IDR/page-1", "TLC0831IDR")</f>
        <v>TLC0831IDR</v>
      </c>
      <c r="B21602" s="3" t="s">
        <v>90</v>
      </c>
      <c r="C21602" s="5">
        <v>2500</v>
      </c>
      <c r="D21602" s="6">
        <v>4.1900000000000004</v>
      </c>
      <c r="E21602" t="s">
        <v>248</v>
      </c>
    </row>
    <row r="21603" spans="1:5" x14ac:dyDescent="0.25">
      <c r="A21603" t="str">
        <f>HYPERLINK("https://www.773grp.com/globalSearch/TLS2271BDGGR/page-1", "TLS2271BDGGR")</f>
        <v>TLS2271BDGGR</v>
      </c>
      <c r="B21603" s="3" t="s">
        <v>90</v>
      </c>
      <c r="C21603" s="5">
        <v>2515</v>
      </c>
      <c r="D21603" s="6">
        <v>4.1900000000000004</v>
      </c>
      <c r="E21603" t="s">
        <v>248</v>
      </c>
    </row>
    <row r="21604" spans="1:5" x14ac:dyDescent="0.25">
      <c r="A21604" t="str">
        <f>HYPERLINK("https://www.773grp.com/globalSearch/TPS54060QDGQRQ1/page-1", "TPS54060QDGQRQ1")</f>
        <v>TPS54060QDGQRQ1</v>
      </c>
      <c r="B21604" s="3" t="s">
        <v>90</v>
      </c>
      <c r="C21604" s="5">
        <v>7400</v>
      </c>
      <c r="D21604" s="6">
        <v>4.1900000000000004</v>
      </c>
      <c r="E21604" t="s">
        <v>248</v>
      </c>
    </row>
    <row r="21605" spans="1:5" x14ac:dyDescent="0.25">
      <c r="A21605" t="str">
        <f>HYPERLINK("https://www.773grp.com/globalSearch/TPS54240DGQR/page-1", "TPS54240DGQR")</f>
        <v>TPS54240DGQR</v>
      </c>
      <c r="B21605" s="3" t="s">
        <v>90</v>
      </c>
      <c r="C21605" s="5">
        <v>22500</v>
      </c>
      <c r="D21605" s="6">
        <v>4.1900000000000004</v>
      </c>
      <c r="E21605" t="s">
        <v>248</v>
      </c>
    </row>
    <row r="21606" spans="1:5" x14ac:dyDescent="0.25">
      <c r="A21606" t="str">
        <f>HYPERLINK("https://www.773grp.com/globalSearch/TPS71025CD/page-1", "TPS71025CD")</f>
        <v>TPS71025CD</v>
      </c>
      <c r="B21606" s="3" t="s">
        <v>90</v>
      </c>
      <c r="C21606" s="5">
        <v>7500</v>
      </c>
      <c r="D21606" s="6">
        <v>4.1900000000000004</v>
      </c>
      <c r="E21606" t="s">
        <v>248</v>
      </c>
    </row>
    <row r="21607" spans="1:5" x14ac:dyDescent="0.25">
      <c r="A21607" t="str">
        <f>HYPERLINK("https://www.773grp.com/globalSearch/TPS71025CP/page-1", "TPS71025CP")</f>
        <v>TPS71025CP</v>
      </c>
      <c r="B21607" s="3" t="s">
        <v>90</v>
      </c>
      <c r="C21607" s="5">
        <v>7000</v>
      </c>
      <c r="D21607" s="6">
        <v>4.1900000000000004</v>
      </c>
      <c r="E21607" t="s">
        <v>248</v>
      </c>
    </row>
    <row r="21608" spans="1:5" x14ac:dyDescent="0.25">
      <c r="A21608" t="str">
        <f>HYPERLINK("https://www.773grp.com/globalSearch/UCC38084PG4/page-1", "UCC38084PG4")</f>
        <v>UCC38084PG4</v>
      </c>
      <c r="B21608" s="3" t="s">
        <v>90</v>
      </c>
      <c r="C21608" s="5">
        <v>246</v>
      </c>
      <c r="D21608" s="6">
        <v>4.1900000000000004</v>
      </c>
      <c r="E21608" t="s">
        <v>248</v>
      </c>
    </row>
    <row r="21609" spans="1:5" x14ac:dyDescent="0.25">
      <c r="A21609" t="str">
        <f>HYPERLINK("https://www.773grp.com/globalSearch/LM2940S-10-NOPB/page-1", "LM2940S-10-NOPB")</f>
        <v>LM2940S-10-NOPB</v>
      </c>
      <c r="B21609" s="3" t="s">
        <v>90</v>
      </c>
      <c r="C21609" s="5">
        <v>13</v>
      </c>
      <c r="D21609" s="6">
        <v>4.6399999999999997</v>
      </c>
      <c r="E21609" t="s">
        <v>248</v>
      </c>
    </row>
    <row r="21610" spans="1:5" x14ac:dyDescent="0.25">
      <c r="A21610" t="str">
        <f>HYPERLINK("https://www.773grp.com/globalSearch/LM3526M-L/page-1", "LM3526M-L")</f>
        <v>LM3526M-L</v>
      </c>
      <c r="B21610" s="3" t="s">
        <v>90</v>
      </c>
      <c r="C21610" s="5">
        <v>1330</v>
      </c>
      <c r="D21610" s="6">
        <v>4.6399999999999997</v>
      </c>
      <c r="E21610" t="s">
        <v>248</v>
      </c>
    </row>
    <row r="21611" spans="1:5" x14ac:dyDescent="0.25">
      <c r="A21611" t="str">
        <f>HYPERLINK("https://www.773grp.com/globalSearch/LM4132CMF-2.5-NOPB/page-1", "LM4132CMF-2.5-NOPB")</f>
        <v>LM4132CMF-2.5-NOPB</v>
      </c>
      <c r="B21611" s="3" t="s">
        <v>90</v>
      </c>
      <c r="C21611" s="5">
        <v>240</v>
      </c>
      <c r="D21611" s="6">
        <v>4.6399999999999997</v>
      </c>
      <c r="E21611" t="s">
        <v>248</v>
      </c>
    </row>
    <row r="21612" spans="1:5" x14ac:dyDescent="0.25">
      <c r="A21612" t="str">
        <f>HYPERLINK("https://www.773grp.com/globalSearch/LM4132CMF-4.1-NOPB/page-1", "LM4132CMF-4.1-NOPB")</f>
        <v>LM4132CMF-4.1-NOPB</v>
      </c>
      <c r="B21612" s="3" t="s">
        <v>90</v>
      </c>
      <c r="C21612" s="5">
        <v>2000</v>
      </c>
      <c r="D21612" s="6">
        <v>4.6399999999999997</v>
      </c>
      <c r="E21612" t="s">
        <v>248</v>
      </c>
    </row>
    <row r="21613" spans="1:5" x14ac:dyDescent="0.25">
      <c r="A21613" t="str">
        <f>HYPERLINK("https://www.773grp.com/globalSearch/LMC6482AIN/page-1", "LMC6482AIN")</f>
        <v>LMC6482AIN</v>
      </c>
      <c r="B21613" s="3" t="s">
        <v>90</v>
      </c>
      <c r="C21613" s="5">
        <v>10</v>
      </c>
      <c r="D21613" s="6">
        <v>4.6399999999999997</v>
      </c>
      <c r="E21613" t="s">
        <v>248</v>
      </c>
    </row>
    <row r="21614" spans="1:5" x14ac:dyDescent="0.25">
      <c r="A21614" t="str">
        <f>HYPERLINK("https://www.773grp.com/globalSearch/LMH6714MA-NOPB/page-1", "LMH6714MA-NOPB")</f>
        <v>LMH6714MA-NOPB</v>
      </c>
      <c r="B21614" s="3" t="s">
        <v>90</v>
      </c>
      <c r="C21614" s="5">
        <v>6555</v>
      </c>
      <c r="D21614" s="6">
        <v>4.6399999999999997</v>
      </c>
      <c r="E21614" t="s">
        <v>248</v>
      </c>
    </row>
    <row r="21615" spans="1:5" x14ac:dyDescent="0.25">
      <c r="A21615" t="str">
        <f>HYPERLINK("https://www.773grp.com/globalSearch/PCA9546ADWG4/page-1", "PCA9546ADWG4")</f>
        <v>PCA9546ADWG4</v>
      </c>
      <c r="B21615" s="3" t="s">
        <v>90</v>
      </c>
      <c r="C21615" s="5">
        <v>100</v>
      </c>
      <c r="D21615" s="6">
        <v>4.6399999999999997</v>
      </c>
      <c r="E21615" t="s">
        <v>248</v>
      </c>
    </row>
    <row r="21616" spans="1:5" x14ac:dyDescent="0.25">
      <c r="A21616" t="str">
        <f>HYPERLINK("https://www.773grp.com/globalSearch/SN65HVD232QDG4/page-1", "SN65HVD232QDG4")</f>
        <v>SN65HVD232QDG4</v>
      </c>
      <c r="B21616" s="3" t="s">
        <v>90</v>
      </c>
      <c r="C21616" s="5">
        <v>225</v>
      </c>
      <c r="D21616" s="6">
        <v>4.6399999999999997</v>
      </c>
      <c r="E21616" t="s">
        <v>248</v>
      </c>
    </row>
    <row r="21617" spans="1:5" x14ac:dyDescent="0.25">
      <c r="A21617" t="str">
        <f>HYPERLINK("https://www.773grp.com/globalSearch/SN74LVCH16244AZRDR/page-1", "SN74LVCH16244AZRDR")</f>
        <v>SN74LVCH16244AZRDR</v>
      </c>
      <c r="B21617" s="3" t="s">
        <v>90</v>
      </c>
      <c r="C21617" s="5">
        <v>42565</v>
      </c>
      <c r="D21617" s="6">
        <v>4.6399999999999997</v>
      </c>
      <c r="E21617" t="s">
        <v>248</v>
      </c>
    </row>
    <row r="21618" spans="1:5" x14ac:dyDescent="0.25">
      <c r="A21618" t="str">
        <f>HYPERLINK("https://www.773grp.com/globalSearch/TLV2322PWLE/page-1", "TLV2322PWLE")</f>
        <v>TLV2322PWLE</v>
      </c>
      <c r="B21618" s="3" t="s">
        <v>90</v>
      </c>
      <c r="C21618" s="5">
        <v>2000</v>
      </c>
      <c r="D21618" s="6">
        <v>4.6399999999999997</v>
      </c>
      <c r="E21618" t="s">
        <v>248</v>
      </c>
    </row>
    <row r="21619" spans="1:5" x14ac:dyDescent="0.25">
      <c r="A21619" t="str">
        <f>HYPERLINK("https://www.773grp.com/globalSearch/TLV2473CDR/page-1", "TLV2473CDR")</f>
        <v>TLV2473CDR</v>
      </c>
      <c r="B21619" s="3" t="s">
        <v>90</v>
      </c>
      <c r="C21619" s="5">
        <v>7800</v>
      </c>
      <c r="D21619" s="6">
        <v>4.6399999999999997</v>
      </c>
      <c r="E21619" t="s">
        <v>248</v>
      </c>
    </row>
    <row r="21620" spans="1:5" x14ac:dyDescent="0.25">
      <c r="A21620" t="str">
        <f>HYPERLINK("https://www.773grp.com/globalSearch/TPS2062DG4/page-1", "TPS2062DG4")</f>
        <v>TPS2062DG4</v>
      </c>
      <c r="B21620" s="3" t="s">
        <v>90</v>
      </c>
      <c r="C21620" s="5">
        <v>10441</v>
      </c>
      <c r="D21620" s="6">
        <v>4.6399999999999997</v>
      </c>
      <c r="E21620" t="s">
        <v>248</v>
      </c>
    </row>
    <row r="21621" spans="1:5" x14ac:dyDescent="0.25">
      <c r="A21621" t="str">
        <f>HYPERLINK("https://www.773grp.com/globalSearch/TPS2068DGN/page-1", "TPS2068DGN")</f>
        <v>TPS2068DGN</v>
      </c>
      <c r="B21621" s="3" t="s">
        <v>90</v>
      </c>
      <c r="C21621" s="5">
        <v>128</v>
      </c>
      <c r="D21621" s="6">
        <v>4.6399999999999997</v>
      </c>
      <c r="E21621" t="s">
        <v>248</v>
      </c>
    </row>
    <row r="21622" spans="1:5" x14ac:dyDescent="0.25">
      <c r="A21622" t="str">
        <f>HYPERLINK("https://www.773grp.com/globalSearch/TPS40200DG4/page-1", "TPS40200DG4")</f>
        <v>TPS40200DG4</v>
      </c>
      <c r="B21622" s="3" t="s">
        <v>90</v>
      </c>
      <c r="C21622" s="5">
        <v>836</v>
      </c>
      <c r="D21622" s="6">
        <v>4.6399999999999997</v>
      </c>
      <c r="E21622" t="s">
        <v>248</v>
      </c>
    </row>
    <row r="21623" spans="1:5" x14ac:dyDescent="0.25">
      <c r="A21623" t="str">
        <f>HYPERLINK("https://www.773grp.com/globalSearch/TPS54062DGKR/page-1", "TPS54062DGKR")</f>
        <v>TPS54062DGKR</v>
      </c>
      <c r="B21623" s="3" t="s">
        <v>90</v>
      </c>
      <c r="C21623" s="5">
        <v>9483</v>
      </c>
      <c r="D21623" s="6">
        <v>4.6399999999999997</v>
      </c>
      <c r="E21623" t="s">
        <v>248</v>
      </c>
    </row>
    <row r="21624" spans="1:5" x14ac:dyDescent="0.25">
      <c r="A21624" t="str">
        <f>HYPERLINK("https://www.773grp.com/globalSearch/TPS54062DRBR/page-1", "TPS54062DRBR")</f>
        <v>TPS54062DRBR</v>
      </c>
      <c r="B21624" s="3" t="s">
        <v>90</v>
      </c>
      <c r="C21624" s="5">
        <v>3000</v>
      </c>
      <c r="D21624" s="6">
        <v>4.6399999999999997</v>
      </c>
      <c r="E21624" t="s">
        <v>248</v>
      </c>
    </row>
    <row r="21625" spans="1:5" x14ac:dyDescent="0.25">
      <c r="A21625" t="str">
        <f>HYPERLINK("https://www.773grp.com/globalSearch/TPS54329DDA/page-1", "TPS54329DDA")</f>
        <v>TPS54329DDA</v>
      </c>
      <c r="B21625" s="3" t="s">
        <v>90</v>
      </c>
      <c r="C21625" s="5">
        <v>140</v>
      </c>
      <c r="D21625" s="6">
        <v>4.6399999999999997</v>
      </c>
      <c r="E21625" t="s">
        <v>248</v>
      </c>
    </row>
    <row r="21626" spans="1:5" x14ac:dyDescent="0.25">
      <c r="A21626" t="str">
        <f>HYPERLINK("https://www.773grp.com/globalSearch/TPS77618D/page-1", "TPS77618D")</f>
        <v>TPS77618D</v>
      </c>
      <c r="B21626" s="3" t="s">
        <v>90</v>
      </c>
      <c r="C21626" s="5">
        <v>363</v>
      </c>
      <c r="D21626" s="6">
        <v>4.6399999999999997</v>
      </c>
      <c r="E21626" t="s">
        <v>248</v>
      </c>
    </row>
    <row r="21627" spans="1:5" x14ac:dyDescent="0.25">
      <c r="A21627" t="str">
        <f>HYPERLINK("https://www.773grp.com/globalSearch/TPS77625D/page-1", "TPS77625D")</f>
        <v>TPS77625D</v>
      </c>
      <c r="B21627" s="3" t="s">
        <v>90</v>
      </c>
      <c r="C21627" s="5">
        <v>155</v>
      </c>
      <c r="D21627" s="6">
        <v>4.6399999999999997</v>
      </c>
      <c r="E21627" t="s">
        <v>248</v>
      </c>
    </row>
    <row r="21628" spans="1:5" x14ac:dyDescent="0.25">
      <c r="A21628" t="str">
        <f>HYPERLINK("https://www.773grp.com/globalSearch/UCC27324QDRQ1/page-1", "UCC27324QDRQ1")</f>
        <v>UCC27324QDRQ1</v>
      </c>
      <c r="B21628" s="3" t="s">
        <v>90</v>
      </c>
      <c r="C21628" s="5">
        <v>2500</v>
      </c>
      <c r="D21628" s="6">
        <v>4.6399999999999997</v>
      </c>
      <c r="E21628" t="s">
        <v>248</v>
      </c>
    </row>
    <row r="21629" spans="1:5" x14ac:dyDescent="0.25">
      <c r="A21629" t="str">
        <f>HYPERLINK("https://www.773grp.com/globalSearch/UCC27424QDRQ1/page-1", "UCC27424QDRQ1")</f>
        <v>UCC27424QDRQ1</v>
      </c>
      <c r="B21629" s="3" t="s">
        <v>90</v>
      </c>
      <c r="C21629" s="5">
        <v>3790</v>
      </c>
      <c r="D21629" s="6">
        <v>4.6399999999999997</v>
      </c>
      <c r="E21629" t="s">
        <v>248</v>
      </c>
    </row>
    <row r="21630" spans="1:5" x14ac:dyDescent="0.25">
      <c r="A21630" t="str">
        <f>HYPERLINK("https://www.773grp.com/globalSearch/UCC27425QDRQ1/page-1", "UCC27425QDRQ1")</f>
        <v>UCC27425QDRQ1</v>
      </c>
      <c r="B21630" s="3" t="s">
        <v>90</v>
      </c>
      <c r="C21630" s="5">
        <v>15000</v>
      </c>
      <c r="D21630" s="6">
        <v>4.6399999999999997</v>
      </c>
      <c r="E21630" t="s">
        <v>248</v>
      </c>
    </row>
    <row r="21631" spans="1:5" x14ac:dyDescent="0.25">
      <c r="A21631" t="str">
        <f>HYPERLINK("https://www.773grp.com/globalSearch/ADC1175CIMTC-NOPB/page-1", "ADC1175CIMTC-NOPB")</f>
        <v>ADC1175CIMTC-NOPB</v>
      </c>
      <c r="B21631" s="3" t="s">
        <v>90</v>
      </c>
      <c r="C21631" s="5">
        <v>123</v>
      </c>
      <c r="D21631" s="6">
        <v>4.2300000000000004</v>
      </c>
      <c r="E21631" t="s">
        <v>248</v>
      </c>
    </row>
    <row r="21632" spans="1:5" x14ac:dyDescent="0.25">
      <c r="A21632" t="str">
        <f>HYPERLINK("https://www.773grp.com/globalSearch/ADS7830IPWR/page-1", "ADS7830IPWR")</f>
        <v>ADS7830IPWR</v>
      </c>
      <c r="B21632" s="3" t="s">
        <v>90</v>
      </c>
      <c r="C21632" s="5">
        <v>2500</v>
      </c>
      <c r="D21632" s="6">
        <v>4.2300000000000004</v>
      </c>
      <c r="E21632" t="s">
        <v>248</v>
      </c>
    </row>
    <row r="21633" spans="1:5" x14ac:dyDescent="0.25">
      <c r="A21633" t="str">
        <f>HYPERLINK("https://www.773grp.com/globalSearch/ADS7887SDBVR/page-1", "ADS7887SDBVR")</f>
        <v>ADS7887SDBVR</v>
      </c>
      <c r="B21633" s="3" t="s">
        <v>90</v>
      </c>
      <c r="C21633" s="5">
        <v>26840</v>
      </c>
      <c r="D21633" s="6">
        <v>4.2300000000000004</v>
      </c>
      <c r="E21633" t="s">
        <v>248</v>
      </c>
    </row>
    <row r="21634" spans="1:5" x14ac:dyDescent="0.25">
      <c r="A21634" t="str">
        <f>HYPERLINK("https://www.773grp.com/globalSearch/ADS7887SDCKR/page-1", "ADS7887SDCKR")</f>
        <v>ADS7887SDCKR</v>
      </c>
      <c r="B21634" s="3" t="s">
        <v>90</v>
      </c>
      <c r="C21634" s="5">
        <v>18000</v>
      </c>
      <c r="D21634" s="6">
        <v>4.2300000000000004</v>
      </c>
      <c r="E21634" t="s">
        <v>248</v>
      </c>
    </row>
    <row r="21635" spans="1:5" x14ac:dyDescent="0.25">
      <c r="A21635" t="str">
        <f>HYPERLINK("https://www.773grp.com/globalSearch/CC1190RGVR/page-1", "CC1190RGVR")</f>
        <v>CC1190RGVR</v>
      </c>
      <c r="B21635" s="3" t="s">
        <v>90</v>
      </c>
      <c r="C21635" s="5">
        <v>40000</v>
      </c>
      <c r="D21635" s="6">
        <v>4.2300000000000004</v>
      </c>
      <c r="E21635" t="s">
        <v>248</v>
      </c>
    </row>
    <row r="21636" spans="1:5" x14ac:dyDescent="0.25">
      <c r="A21636" t="str">
        <f>HYPERLINK("https://www.773grp.com/globalSearch/DRV8800PWP/page-1", "DRV8800PWP")</f>
        <v>DRV8800PWP</v>
      </c>
      <c r="B21636" s="3" t="s">
        <v>90</v>
      </c>
      <c r="C21636" s="5">
        <v>1980</v>
      </c>
      <c r="D21636" s="6">
        <v>4.2300000000000004</v>
      </c>
      <c r="E21636" t="s">
        <v>248</v>
      </c>
    </row>
    <row r="21637" spans="1:5" x14ac:dyDescent="0.25">
      <c r="A21637" t="str">
        <f>HYPERLINK("https://www.773grp.com/globalSearch/DRV8806PWP/page-1", "DRV8806PWP")</f>
        <v>DRV8806PWP</v>
      </c>
      <c r="B21637" s="3" t="s">
        <v>90</v>
      </c>
      <c r="C21637" s="5">
        <v>270</v>
      </c>
      <c r="D21637" s="6">
        <v>4.2300000000000004</v>
      </c>
      <c r="E21637" t="s">
        <v>248</v>
      </c>
    </row>
    <row r="21638" spans="1:5" x14ac:dyDescent="0.25">
      <c r="A21638" t="str">
        <f>HYPERLINK("https://www.773grp.com/globalSearch/INA133U-2K5/page-1", "INA133U-2K5")</f>
        <v>INA133U-2K5</v>
      </c>
      <c r="B21638" s="3" t="s">
        <v>90</v>
      </c>
      <c r="C21638" s="5">
        <v>2500</v>
      </c>
      <c r="D21638" s="6">
        <v>4.2300000000000004</v>
      </c>
      <c r="E21638" t="s">
        <v>248</v>
      </c>
    </row>
    <row r="21639" spans="1:5" x14ac:dyDescent="0.25">
      <c r="A21639" t="str">
        <f>HYPERLINK("https://www.773grp.com/globalSearch/ISO7231ADWR/page-1", "ISO7231ADWR")</f>
        <v>ISO7231ADWR</v>
      </c>
      <c r="B21639" s="3" t="s">
        <v>90</v>
      </c>
      <c r="C21639" s="5">
        <v>2000</v>
      </c>
      <c r="D21639" s="6">
        <v>4.2300000000000004</v>
      </c>
      <c r="E21639" t="s">
        <v>248</v>
      </c>
    </row>
    <row r="21640" spans="1:5" x14ac:dyDescent="0.25">
      <c r="A21640" t="str">
        <f>HYPERLINK("https://www.773grp.com/globalSearch/LM340-10KC/page-1", "LM340-10KC")</f>
        <v>LM340-10KC</v>
      </c>
      <c r="B21640" s="3" t="s">
        <v>90</v>
      </c>
      <c r="C21640" s="5">
        <v>3024</v>
      </c>
      <c r="D21640" s="6">
        <v>4.2300000000000004</v>
      </c>
      <c r="E21640" t="s">
        <v>248</v>
      </c>
    </row>
    <row r="21641" spans="1:5" x14ac:dyDescent="0.25">
      <c r="A21641" t="str">
        <f>HYPERLINK("https://www.773grp.com/globalSearch/LM5051MA-NOPB/page-1", "LM5051MA-NOPB")</f>
        <v>LM5051MA-NOPB</v>
      </c>
      <c r="B21641" s="3" t="s">
        <v>90</v>
      </c>
      <c r="C21641" s="5">
        <v>285</v>
      </c>
      <c r="D21641" s="6">
        <v>4.2300000000000004</v>
      </c>
      <c r="E21641" t="s">
        <v>248</v>
      </c>
    </row>
    <row r="21642" spans="1:5" x14ac:dyDescent="0.25">
      <c r="A21642" t="str">
        <f>HYPERLINK("https://www.773grp.com/globalSearch/MAX3222CDB/page-1", "MAX3222CDB")</f>
        <v>MAX3222CDB</v>
      </c>
      <c r="B21642" s="3" t="s">
        <v>90</v>
      </c>
      <c r="C21642" s="5">
        <v>1695</v>
      </c>
      <c r="D21642" s="6">
        <v>4.2300000000000004</v>
      </c>
      <c r="E21642" t="s">
        <v>248</v>
      </c>
    </row>
    <row r="21643" spans="1:5" x14ac:dyDescent="0.25">
      <c r="A21643" t="str">
        <f>HYPERLINK("https://www.773grp.com/globalSearch/MAX3222IDWG4/page-1", "MAX3222IDWG4")</f>
        <v>MAX3222IDWG4</v>
      </c>
      <c r="B21643" s="3" t="s">
        <v>90</v>
      </c>
      <c r="C21643" s="5">
        <v>125</v>
      </c>
      <c r="D21643" s="6">
        <v>4.2300000000000004</v>
      </c>
      <c r="E21643" t="s">
        <v>248</v>
      </c>
    </row>
    <row r="21644" spans="1:5" x14ac:dyDescent="0.25">
      <c r="A21644" t="str">
        <f>HYPERLINK("https://www.773grp.com/globalSearch/MAX3222IPW/page-1", "MAX3222IPW")</f>
        <v>MAX3222IPW</v>
      </c>
      <c r="B21644" s="3" t="s">
        <v>90</v>
      </c>
      <c r="C21644" s="5">
        <v>250</v>
      </c>
      <c r="D21644" s="6">
        <v>4.2300000000000004</v>
      </c>
      <c r="E21644" t="s">
        <v>248</v>
      </c>
    </row>
    <row r="21645" spans="1:5" x14ac:dyDescent="0.25">
      <c r="A21645" t="str">
        <f>HYPERLINK("https://www.773grp.com/globalSearch/MSP430F4132IPMR/page-1", "MSP430F4132IPMR")</f>
        <v>MSP430F4132IPMR</v>
      </c>
      <c r="B21645" s="3" t="s">
        <v>90</v>
      </c>
      <c r="C21645" s="5">
        <v>22000</v>
      </c>
      <c r="D21645" s="6">
        <v>4.2300000000000004</v>
      </c>
      <c r="E21645" t="s">
        <v>248</v>
      </c>
    </row>
    <row r="21646" spans="1:5" x14ac:dyDescent="0.25">
      <c r="A21646" t="str">
        <f>HYPERLINK("https://www.773grp.com/globalSearch/MSP430F415IPM/page-1", "MSP430F415IPM")</f>
        <v>MSP430F415IPM</v>
      </c>
      <c r="B21646" s="3" t="s">
        <v>90</v>
      </c>
      <c r="C21646" s="5">
        <v>2421</v>
      </c>
      <c r="D21646" s="6">
        <v>4.2300000000000004</v>
      </c>
      <c r="E21646" t="s">
        <v>248</v>
      </c>
    </row>
    <row r="21647" spans="1:5" x14ac:dyDescent="0.25">
      <c r="A21647" t="str">
        <f>HYPERLINK("https://www.773grp.com/globalSearch/MSP430F415IPMR/page-1", "MSP430F415IPMR")</f>
        <v>MSP430F415IPMR</v>
      </c>
      <c r="B21647" s="3" t="s">
        <v>90</v>
      </c>
      <c r="C21647" s="5">
        <v>1000</v>
      </c>
      <c r="D21647" s="6">
        <v>4.2300000000000004</v>
      </c>
      <c r="E21647" t="s">
        <v>248</v>
      </c>
    </row>
    <row r="21648" spans="1:5" x14ac:dyDescent="0.25">
      <c r="A21648" t="str">
        <f>HYPERLINK("https://www.773grp.com/globalSearch/MSP430F5152IRSBT/page-1", "MSP430F5152IRSBT")</f>
        <v>MSP430F5152IRSBT</v>
      </c>
      <c r="B21648" s="3" t="s">
        <v>90</v>
      </c>
      <c r="C21648" s="5">
        <v>500</v>
      </c>
      <c r="D21648" s="6">
        <v>4.2300000000000004</v>
      </c>
      <c r="E21648" t="s">
        <v>248</v>
      </c>
    </row>
    <row r="21649" spans="1:5" x14ac:dyDescent="0.25">
      <c r="A21649" t="str">
        <f>HYPERLINK("https://www.773grp.com/globalSearch/OPA227UA/page-1", "OPA227UA")</f>
        <v>OPA227UA</v>
      </c>
      <c r="B21649" s="3" t="s">
        <v>90</v>
      </c>
      <c r="C21649" s="5">
        <v>8625</v>
      </c>
      <c r="D21649" s="6">
        <v>4.2300000000000004</v>
      </c>
      <c r="E21649" t="s">
        <v>248</v>
      </c>
    </row>
    <row r="21650" spans="1:5" x14ac:dyDescent="0.25">
      <c r="A21650" t="str">
        <f>HYPERLINK("https://www.773grp.com/globalSearch/OPA227UA/page-1", "OPA227UA")</f>
        <v>OPA227UA</v>
      </c>
      <c r="B21650" s="3" t="s">
        <v>90</v>
      </c>
      <c r="C21650" s="5">
        <v>525</v>
      </c>
      <c r="D21650" s="6">
        <v>4.2300000000000004</v>
      </c>
    </row>
    <row r="21651" spans="1:5" x14ac:dyDescent="0.25">
      <c r="A21651" t="str">
        <f>HYPERLINK("https://www.773grp.com/globalSearch/OPA2333AIDRBR/page-1", "OPA2333AIDRBR")</f>
        <v>OPA2333AIDRBR</v>
      </c>
      <c r="B21651" s="3" t="s">
        <v>90</v>
      </c>
      <c r="C21651" s="5">
        <v>477000</v>
      </c>
      <c r="D21651" s="6">
        <v>4.2300000000000004</v>
      </c>
    </row>
    <row r="21652" spans="1:5" x14ac:dyDescent="0.25">
      <c r="A21652" t="str">
        <f>HYPERLINK("https://www.773grp.com/globalSearch/OPA2355DGSA/page-1", "OPA2355DGSA")</f>
        <v>OPA2355DGSA</v>
      </c>
      <c r="B21652" s="3" t="s">
        <v>90</v>
      </c>
      <c r="C21652" s="5">
        <v>85</v>
      </c>
      <c r="D21652" s="6">
        <v>4.2300000000000004</v>
      </c>
    </row>
    <row r="21653" spans="1:5" x14ac:dyDescent="0.25">
      <c r="A21653" t="str">
        <f>HYPERLINK("https://www.773grp.com/globalSearch/OPA2835ID/page-1", "OPA2835ID")</f>
        <v>OPA2835ID</v>
      </c>
      <c r="B21653" s="3" t="s">
        <v>90</v>
      </c>
      <c r="C21653" s="5">
        <v>348</v>
      </c>
      <c r="D21653" s="6">
        <v>4.2300000000000004</v>
      </c>
    </row>
    <row r="21654" spans="1:5" x14ac:dyDescent="0.25">
      <c r="A21654" t="str">
        <f>HYPERLINK("https://www.773grp.com/globalSearch/OPA2835IDGS/page-1", "OPA2835IDGS")</f>
        <v>OPA2835IDGS</v>
      </c>
      <c r="B21654" s="3" t="s">
        <v>90</v>
      </c>
      <c r="C21654" s="5">
        <v>74</v>
      </c>
      <c r="D21654" s="6">
        <v>4.2300000000000004</v>
      </c>
    </row>
    <row r="21655" spans="1:5" x14ac:dyDescent="0.25">
      <c r="A21655" t="str">
        <f>HYPERLINK("https://www.773grp.com/globalSearch/OPA2836IDGSR/page-1", "OPA2836IDGSR")</f>
        <v>OPA2836IDGSR</v>
      </c>
      <c r="B21655" s="3" t="s">
        <v>90</v>
      </c>
      <c r="C21655" s="5">
        <v>2500</v>
      </c>
      <c r="D21655" s="6">
        <v>4.2300000000000004</v>
      </c>
    </row>
    <row r="21656" spans="1:5" x14ac:dyDescent="0.25">
      <c r="A21656" t="str">
        <f>HYPERLINK("https://www.773grp.com/globalSearch/OPA4322AIPW/page-1", "OPA4322AIPW")</f>
        <v>OPA4322AIPW</v>
      </c>
      <c r="B21656" s="3" t="s">
        <v>90</v>
      </c>
      <c r="C21656" s="5">
        <v>1600</v>
      </c>
      <c r="D21656" s="6">
        <v>4.2300000000000004</v>
      </c>
    </row>
    <row r="21657" spans="1:5" x14ac:dyDescent="0.25">
      <c r="A21657" t="str">
        <f>HYPERLINK("https://www.773grp.com/globalSearch/OPA704NA-250G4/page-1", "OPA704NA-250G4")</f>
        <v>OPA704NA-250G4</v>
      </c>
      <c r="B21657" s="3" t="s">
        <v>90</v>
      </c>
      <c r="C21657" s="5">
        <v>1000</v>
      </c>
      <c r="D21657" s="6">
        <v>4.2300000000000004</v>
      </c>
    </row>
    <row r="21658" spans="1:5" x14ac:dyDescent="0.25">
      <c r="A21658" t="str">
        <f>HYPERLINK("https://www.773grp.com/globalSearch/OPA734AIDG4/page-1", "OPA734AIDG4")</f>
        <v>OPA734AIDG4</v>
      </c>
      <c r="B21658" s="3" t="s">
        <v>90</v>
      </c>
      <c r="C21658" s="5">
        <v>150</v>
      </c>
      <c r="D21658" s="6">
        <v>4.2300000000000004</v>
      </c>
    </row>
    <row r="21659" spans="1:5" x14ac:dyDescent="0.25">
      <c r="A21659" t="str">
        <f>HYPERLINK("https://www.773grp.com/globalSearch/PCM1851APJT/page-1", "PCM1851APJT")</f>
        <v>PCM1851APJT</v>
      </c>
      <c r="B21659" s="3" t="s">
        <v>90</v>
      </c>
      <c r="C21659" s="5">
        <v>750</v>
      </c>
      <c r="D21659" s="6">
        <v>4.2300000000000004</v>
      </c>
    </row>
    <row r="21660" spans="1:5" x14ac:dyDescent="0.25">
      <c r="A21660" t="str">
        <f>HYPERLINK("https://www.773grp.com/globalSearch/PCM1851APJTG4/page-1", "PCM1851APJTG4")</f>
        <v>PCM1851APJTG4</v>
      </c>
      <c r="B21660" s="3" t="s">
        <v>90</v>
      </c>
      <c r="C21660" s="5">
        <v>500</v>
      </c>
      <c r="D21660" s="6">
        <v>4.2300000000000004</v>
      </c>
    </row>
    <row r="21661" spans="1:5" x14ac:dyDescent="0.25">
      <c r="A21661" t="str">
        <f>HYPERLINK("https://www.773grp.com/globalSearch/PTLS25H004ADBT/page-1", "PTLS25H004ADBT")</f>
        <v>PTLS25H004ADBT</v>
      </c>
      <c r="B21661" s="3" t="s">
        <v>90</v>
      </c>
      <c r="C21661" s="5">
        <v>24000</v>
      </c>
      <c r="D21661" s="6">
        <v>4.2300000000000004</v>
      </c>
    </row>
    <row r="21662" spans="1:5" x14ac:dyDescent="0.25">
      <c r="A21662" t="str">
        <f>HYPERLINK("https://www.773grp.com/globalSearch/PTRF6151CRGZ/page-1", "PTRF6151CRGZ")</f>
        <v>PTRF6151CRGZ</v>
      </c>
      <c r="B21662" s="3" t="s">
        <v>90</v>
      </c>
      <c r="C21662" s="5">
        <v>2008</v>
      </c>
      <c r="D21662" s="6">
        <v>4.2300000000000004</v>
      </c>
    </row>
    <row r="21663" spans="1:5" x14ac:dyDescent="0.25">
      <c r="A21663" t="str">
        <f>HYPERLINK("https://www.773grp.com/globalSearch/PTRF6151CRGZR/page-1", "PTRF6151CRGZR")</f>
        <v>PTRF6151CRGZR</v>
      </c>
      <c r="B21663" s="3" t="s">
        <v>90</v>
      </c>
      <c r="C21663" s="5">
        <v>7500</v>
      </c>
      <c r="D21663" s="6">
        <v>4.2300000000000004</v>
      </c>
    </row>
    <row r="21664" spans="1:5" x14ac:dyDescent="0.25">
      <c r="A21664" t="str">
        <f>HYPERLINK("https://www.773grp.com/globalSearch/SN103698P/page-1", "SN103698P")</f>
        <v>SN103698P</v>
      </c>
      <c r="B21664" s="3" t="s">
        <v>90</v>
      </c>
      <c r="C21664" s="5">
        <v>1350</v>
      </c>
      <c r="D21664" s="6">
        <v>4.2300000000000004</v>
      </c>
    </row>
    <row r="21665" spans="1:4" x14ac:dyDescent="0.25">
      <c r="A21665" t="str">
        <f>HYPERLINK("https://www.773grp.com/globalSearch/SN65HVD10DR/page-1", "SN65HVD10DR")</f>
        <v>SN65HVD10DR</v>
      </c>
      <c r="B21665" s="3" t="s">
        <v>90</v>
      </c>
      <c r="C21665" s="5">
        <v>5000</v>
      </c>
      <c r="D21665" s="6">
        <v>4.2300000000000004</v>
      </c>
    </row>
    <row r="21666" spans="1:4" x14ac:dyDescent="0.25">
      <c r="A21666" t="str">
        <f>HYPERLINK("https://www.773grp.com/globalSearch/SN65LVDM179DG4/page-1", "SN65LVDM179DG4")</f>
        <v>SN65LVDM179DG4</v>
      </c>
      <c r="B21666" s="3" t="s">
        <v>90</v>
      </c>
      <c r="C21666" s="5">
        <v>211</v>
      </c>
      <c r="D21666" s="6">
        <v>4.2300000000000004</v>
      </c>
    </row>
    <row r="21667" spans="1:4" x14ac:dyDescent="0.25">
      <c r="A21667" t="str">
        <f>HYPERLINK("https://www.773grp.com/globalSearch/SN65LVDS391PWG4/page-1", "SN65LVDS391PWG4")</f>
        <v>SN65LVDS391PWG4</v>
      </c>
      <c r="B21667" s="3" t="s">
        <v>90</v>
      </c>
      <c r="C21667" s="5">
        <v>115</v>
      </c>
      <c r="D21667" s="6">
        <v>4.2300000000000004</v>
      </c>
    </row>
    <row r="21668" spans="1:4" x14ac:dyDescent="0.25">
      <c r="A21668" t="str">
        <f>HYPERLINK("https://www.773grp.com/globalSearch/SN65LVDT33PWR/page-1", "SN65LVDT33PWR")</f>
        <v>SN65LVDT33PWR</v>
      </c>
      <c r="B21668" s="3" t="s">
        <v>90</v>
      </c>
      <c r="C21668" s="5">
        <v>2000</v>
      </c>
      <c r="D21668" s="6">
        <v>4.2300000000000004</v>
      </c>
    </row>
    <row r="21669" spans="1:4" x14ac:dyDescent="0.25">
      <c r="A21669" t="str">
        <f>HYPERLINK("https://www.773grp.com/globalSearch/SN65LVDT33PWRG4  REEL/page-1", "SN65LVDT33PWRG4  REEL")</f>
        <v>SN65LVDT33PWRG4  REEL</v>
      </c>
      <c r="B21669" s="3" t="s">
        <v>90</v>
      </c>
      <c r="C21669" s="5">
        <v>1650</v>
      </c>
      <c r="D21669" s="6">
        <v>4.2300000000000004</v>
      </c>
    </row>
    <row r="21670" spans="1:4" x14ac:dyDescent="0.25">
      <c r="A21670" t="str">
        <f>HYPERLINK("https://www.773grp.com/globalSearch/SN74ACT1073DW/page-1", "SN74ACT1073DW")</f>
        <v>SN74ACT1073DW</v>
      </c>
      <c r="B21670" s="3" t="s">
        <v>90</v>
      </c>
      <c r="C21670" s="5">
        <v>300</v>
      </c>
      <c r="D21670" s="6">
        <v>4.2300000000000004</v>
      </c>
    </row>
    <row r="21671" spans="1:4" x14ac:dyDescent="0.25">
      <c r="A21671" t="str">
        <f>HYPERLINK("https://www.773grp.com/globalSearch/SN74ACT1073DWG4/page-1", "SN74ACT1073DWG4")</f>
        <v>SN74ACT1073DWG4</v>
      </c>
      <c r="B21671" s="3" t="s">
        <v>90</v>
      </c>
      <c r="C21671" s="5">
        <v>25</v>
      </c>
      <c r="D21671" s="6">
        <v>4.2300000000000004</v>
      </c>
    </row>
    <row r="21672" spans="1:4" x14ac:dyDescent="0.25">
      <c r="A21672" t="str">
        <f>HYPERLINK("https://www.773grp.com/globalSearch/SN74ALS174FN/page-1", "SN74ALS174FN")</f>
        <v>SN74ALS174FN</v>
      </c>
      <c r="B21672" s="3" t="s">
        <v>90</v>
      </c>
      <c r="C21672" s="5">
        <v>1659</v>
      </c>
      <c r="D21672" s="6">
        <v>4.2300000000000004</v>
      </c>
    </row>
    <row r="21673" spans="1:4" x14ac:dyDescent="0.25">
      <c r="A21673" t="str">
        <f>HYPERLINK("https://www.773grp.com/globalSearch/SN74AS352N/page-1", "SN74AS352N")</f>
        <v>SN74AS352N</v>
      </c>
      <c r="B21673" s="3" t="s">
        <v>90</v>
      </c>
      <c r="C21673" s="5">
        <v>1180</v>
      </c>
      <c r="D21673" s="6">
        <v>4.2300000000000004</v>
      </c>
    </row>
    <row r="21674" spans="1:4" x14ac:dyDescent="0.25">
      <c r="A21674" t="str">
        <f>HYPERLINK("https://www.773grp.com/globalSearch/SN74AVCH16T245VR/page-1", "SN74AVCH16T245VR")</f>
        <v>SN74AVCH16T245VR</v>
      </c>
      <c r="B21674" s="3" t="s">
        <v>90</v>
      </c>
      <c r="C21674" s="5">
        <v>1967</v>
      </c>
      <c r="D21674" s="6">
        <v>4.2300000000000004</v>
      </c>
    </row>
    <row r="21675" spans="1:4" x14ac:dyDescent="0.25">
      <c r="A21675" t="str">
        <f>HYPERLINK("https://www.773grp.com/globalSearch/SN74BCT541ADWR/page-1", "SN74BCT541ADWR")</f>
        <v>SN74BCT541ADWR</v>
      </c>
      <c r="B21675" s="3" t="s">
        <v>90</v>
      </c>
      <c r="C21675" s="5">
        <v>950</v>
      </c>
      <c r="D21675" s="6">
        <v>4.2300000000000004</v>
      </c>
    </row>
    <row r="21676" spans="1:4" x14ac:dyDescent="0.25">
      <c r="A21676" t="str">
        <f>HYPERLINK("https://www.773grp.com/globalSearch/SN74LV8154MPWREP/page-1", "SN74LV8154MPWREP")</f>
        <v>SN74LV8154MPWREP</v>
      </c>
      <c r="B21676" s="3" t="s">
        <v>90</v>
      </c>
      <c r="C21676" s="5">
        <v>1041</v>
      </c>
      <c r="D21676" s="6">
        <v>4.2300000000000004</v>
      </c>
    </row>
    <row r="21677" spans="1:4" x14ac:dyDescent="0.25">
      <c r="A21677" t="str">
        <f>HYPERLINK("https://www.773grp.com/globalSearch/SN74LVT273DBR/page-1", "SN74LVT273DBR")</f>
        <v>SN74LVT273DBR</v>
      </c>
      <c r="B21677" s="3" t="s">
        <v>90</v>
      </c>
      <c r="C21677" s="5">
        <v>18000</v>
      </c>
      <c r="D21677" s="6">
        <v>4.2300000000000004</v>
      </c>
    </row>
    <row r="21678" spans="1:4" x14ac:dyDescent="0.25">
      <c r="A21678" t="str">
        <f>HYPERLINK("https://www.773grp.com/globalSearch/SN74S140DG4/page-1", "SN74S140DG4")</f>
        <v>SN74S140DG4</v>
      </c>
      <c r="B21678" s="3" t="s">
        <v>90</v>
      </c>
      <c r="C21678" s="5">
        <v>150</v>
      </c>
      <c r="D21678" s="6">
        <v>4.2300000000000004</v>
      </c>
    </row>
    <row r="21679" spans="1:4" x14ac:dyDescent="0.25">
      <c r="A21679" t="str">
        <f>HYPERLINK("https://www.773grp.com/globalSearch/SN7534051NS/page-1", "SN7534051NS")</f>
        <v>SN7534051NS</v>
      </c>
      <c r="B21679" s="3" t="s">
        <v>90</v>
      </c>
      <c r="C21679" s="5">
        <v>100</v>
      </c>
      <c r="D21679" s="6">
        <v>4.2300000000000004</v>
      </c>
    </row>
    <row r="21680" spans="1:4" x14ac:dyDescent="0.25">
      <c r="A21680" t="str">
        <f>HYPERLINK("https://www.773grp.com/globalSearch/SN75ALS174ADWR/page-1", "SN75ALS174ADWR")</f>
        <v>SN75ALS174ADWR</v>
      </c>
      <c r="B21680" s="3" t="s">
        <v>90</v>
      </c>
      <c r="C21680" s="5">
        <v>1910</v>
      </c>
      <c r="D21680" s="6">
        <v>4.2300000000000004</v>
      </c>
    </row>
    <row r="21681" spans="1:4" x14ac:dyDescent="0.25">
      <c r="A21681" t="str">
        <f>HYPERLINK("https://www.773grp.com/globalSearch/SN75ALS176BDR/page-1", "SN75ALS176BDR")</f>
        <v>SN75ALS176BDR</v>
      </c>
      <c r="B21681" s="3" t="s">
        <v>90</v>
      </c>
      <c r="C21681" s="5">
        <v>2500</v>
      </c>
      <c r="D21681" s="6">
        <v>4.2300000000000004</v>
      </c>
    </row>
    <row r="21682" spans="1:4" x14ac:dyDescent="0.25">
      <c r="A21682" t="str">
        <f>HYPERLINK("https://www.773grp.com/globalSearch/SN75LVDS390DG4/page-1", "SN75LVDS390DG4")</f>
        <v>SN75LVDS390DG4</v>
      </c>
      <c r="B21682" s="3" t="s">
        <v>90</v>
      </c>
      <c r="C21682" s="5">
        <v>160</v>
      </c>
      <c r="D21682" s="6">
        <v>4.2300000000000004</v>
      </c>
    </row>
    <row r="21683" spans="1:4" x14ac:dyDescent="0.25">
      <c r="A21683" t="str">
        <f>HYPERLINK("https://www.773grp.com/globalSearch/SN75LVDS390PW/page-1", "SN75LVDS390PW")</f>
        <v>SN75LVDS390PW</v>
      </c>
      <c r="B21683" s="3" t="s">
        <v>90</v>
      </c>
      <c r="C21683" s="5">
        <v>20</v>
      </c>
      <c r="D21683" s="6">
        <v>4.2300000000000004</v>
      </c>
    </row>
    <row r="21684" spans="1:4" x14ac:dyDescent="0.25">
      <c r="A21684" t="str">
        <f>HYPERLINK("https://www.773grp.com/globalSearch/TL2575HV-15IKTTR/page-1", "TL2575HV-15IKTTR")</f>
        <v>TL2575HV-15IKTTR</v>
      </c>
      <c r="B21684" s="3" t="s">
        <v>90</v>
      </c>
      <c r="C21684" s="5">
        <v>5500</v>
      </c>
      <c r="D21684" s="6">
        <v>4.2300000000000004</v>
      </c>
    </row>
    <row r="21685" spans="1:4" x14ac:dyDescent="0.25">
      <c r="A21685" t="str">
        <f>HYPERLINK("https://www.773grp.com/globalSearch/TL7770-5CN/page-1", "TL7770-5CN")</f>
        <v>TL7770-5CN</v>
      </c>
      <c r="B21685" s="3" t="s">
        <v>90</v>
      </c>
      <c r="C21685" s="5">
        <v>121</v>
      </c>
      <c r="D21685" s="6">
        <v>4.2300000000000004</v>
      </c>
    </row>
    <row r="21686" spans="1:4" x14ac:dyDescent="0.25">
      <c r="A21686" t="str">
        <f>HYPERLINK("https://www.773grp.com/globalSearch/TLC59401PWP/page-1", "TLC59401PWP")</f>
        <v>TLC59401PWP</v>
      </c>
      <c r="B21686" s="3" t="s">
        <v>90</v>
      </c>
      <c r="C21686" s="5">
        <v>110</v>
      </c>
      <c r="D21686" s="6">
        <v>4.2300000000000004</v>
      </c>
    </row>
    <row r="21687" spans="1:4" x14ac:dyDescent="0.25">
      <c r="A21687" t="str">
        <f>HYPERLINK("https://www.773grp.com/globalSearch/TLC5940PWP/page-1", "TLC5940PWP")</f>
        <v>TLC5940PWP</v>
      </c>
      <c r="B21687" s="3" t="s">
        <v>90</v>
      </c>
      <c r="C21687" s="5">
        <v>50</v>
      </c>
      <c r="D21687" s="6">
        <v>4.2300000000000004</v>
      </c>
    </row>
    <row r="21688" spans="1:4" x14ac:dyDescent="0.25">
      <c r="A21688" t="str">
        <f>HYPERLINK("https://www.773grp.com/globalSearch/TLE2072AID/page-1", "TLE2072AID")</f>
        <v>TLE2072AID</v>
      </c>
      <c r="B21688" s="3" t="s">
        <v>90</v>
      </c>
      <c r="C21688" s="5">
        <v>150</v>
      </c>
      <c r="D21688" s="6">
        <v>4.2300000000000004</v>
      </c>
    </row>
    <row r="21689" spans="1:4" x14ac:dyDescent="0.25">
      <c r="A21689" t="str">
        <f>HYPERLINK("https://www.773grp.com/globalSearch/TLV2404IPWR/page-1", "TLV2404IPWR")</f>
        <v>TLV2404IPWR</v>
      </c>
      <c r="B21689" s="3" t="s">
        <v>90</v>
      </c>
      <c r="C21689" s="5">
        <v>720</v>
      </c>
      <c r="D21689" s="6">
        <v>4.2300000000000004</v>
      </c>
    </row>
    <row r="21690" spans="1:4" x14ac:dyDescent="0.25">
      <c r="A21690" t="str">
        <f>HYPERLINK("https://www.773grp.com/globalSearch/TLV2773CDGSG4/page-1", "TLV2773CDGSG4")</f>
        <v>TLV2773CDGSG4</v>
      </c>
      <c r="B21690" s="3" t="s">
        <v>90</v>
      </c>
      <c r="C21690" s="5">
        <v>75</v>
      </c>
      <c r="D21690" s="6">
        <v>4.2300000000000004</v>
      </c>
    </row>
    <row r="21691" spans="1:4" x14ac:dyDescent="0.25">
      <c r="A21691" t="str">
        <f>HYPERLINK("https://www.773grp.com/globalSearch/TOS79601KTT/page-1", "TOS79601KTT")</f>
        <v>TOS79601KTT</v>
      </c>
      <c r="B21691" s="3" t="s">
        <v>90</v>
      </c>
      <c r="C21691" s="5">
        <v>800</v>
      </c>
      <c r="D21691" s="6">
        <v>4.2300000000000004</v>
      </c>
    </row>
    <row r="21692" spans="1:4" x14ac:dyDescent="0.25">
      <c r="A21692" t="str">
        <f>HYPERLINK("https://www.773grp.com/globalSearch/TPIC6595DWG4/page-1", "TPIC6595DWG4")</f>
        <v>TPIC6595DWG4</v>
      </c>
      <c r="B21692" s="3" t="s">
        <v>90</v>
      </c>
      <c r="C21692" s="5">
        <v>10255</v>
      </c>
      <c r="D21692" s="6">
        <v>4.2300000000000004</v>
      </c>
    </row>
    <row r="21693" spans="1:4" x14ac:dyDescent="0.25">
      <c r="A21693" t="str">
        <f>HYPERLINK("https://www.773grp.com/globalSearch/TPIC6596DWG4/page-1", "TPIC6596DWG4")</f>
        <v>TPIC6596DWG4</v>
      </c>
      <c r="B21693" s="3" t="s">
        <v>90</v>
      </c>
      <c r="C21693" s="5">
        <v>2025</v>
      </c>
      <c r="D21693" s="6">
        <v>4.2300000000000004</v>
      </c>
    </row>
    <row r="21694" spans="1:4" x14ac:dyDescent="0.25">
      <c r="A21694" t="str">
        <f>HYPERLINK("https://www.773grp.com/globalSearch/TPS2041BMDBVTEP/page-1", "TPS2041BMDBVTEP")</f>
        <v>TPS2041BMDBVTEP</v>
      </c>
      <c r="B21694" s="3" t="s">
        <v>90</v>
      </c>
      <c r="C21694" s="5">
        <v>186</v>
      </c>
      <c r="D21694" s="6">
        <v>4.2300000000000004</v>
      </c>
    </row>
    <row r="21695" spans="1:4" x14ac:dyDescent="0.25">
      <c r="A21695" t="str">
        <f>HYPERLINK("https://www.773grp.com/globalSearch/TPS23750PWPG4/page-1", "TPS23750PWPG4")</f>
        <v>TPS23750PWPG4</v>
      </c>
      <c r="B21695" s="3" t="s">
        <v>90</v>
      </c>
      <c r="C21695" s="5">
        <v>140</v>
      </c>
      <c r="D21695" s="6">
        <v>4.2300000000000004</v>
      </c>
    </row>
    <row r="21696" spans="1:4" x14ac:dyDescent="0.25">
      <c r="A21696" t="str">
        <f>HYPERLINK("https://www.773grp.com/globalSearch/TPS23754PWP-1/page-1", "TPS23754PWP-1")</f>
        <v>TPS23754PWP-1</v>
      </c>
      <c r="B21696" s="3" t="s">
        <v>90</v>
      </c>
      <c r="C21696" s="5">
        <v>515</v>
      </c>
      <c r="D21696" s="6">
        <v>4.2300000000000004</v>
      </c>
    </row>
    <row r="21697" spans="1:4" x14ac:dyDescent="0.25">
      <c r="A21697" t="str">
        <f>HYPERLINK("https://www.773grp.com/globalSearch/TPS2376DDA-H/page-1", "TPS2376DDA-H")</f>
        <v>TPS2376DDA-H</v>
      </c>
      <c r="B21697" s="3" t="s">
        <v>90</v>
      </c>
      <c r="C21697" s="5">
        <v>150</v>
      </c>
      <c r="D21697" s="6">
        <v>4.2300000000000004</v>
      </c>
    </row>
    <row r="21698" spans="1:4" x14ac:dyDescent="0.25">
      <c r="A21698" t="str">
        <f>HYPERLINK("https://www.773grp.com/globalSearch/TPS51916RUKR/page-1", "TPS51916RUKR")</f>
        <v>TPS51916RUKR</v>
      </c>
      <c r="B21698" s="3" t="s">
        <v>90</v>
      </c>
      <c r="C21698" s="5">
        <v>3510</v>
      </c>
      <c r="D21698" s="6">
        <v>4.2300000000000004</v>
      </c>
    </row>
    <row r="21699" spans="1:4" x14ac:dyDescent="0.25">
      <c r="A21699" t="str">
        <f>HYPERLINK("https://www.773grp.com/globalSearch/TPS62007QDGSRCT/page-1", "TPS62007QDGSRCT")</f>
        <v>TPS62007QDGSRCT</v>
      </c>
      <c r="B21699" s="3" t="s">
        <v>90</v>
      </c>
      <c r="C21699" s="5">
        <v>5000</v>
      </c>
      <c r="D21699" s="6">
        <v>4.2300000000000004</v>
      </c>
    </row>
    <row r="21700" spans="1:4" x14ac:dyDescent="0.25">
      <c r="A21700" t="str">
        <f>HYPERLINK("https://www.773grp.com/globalSearch/TPS62111RSAT/page-1", "TPS62111RSAT")</f>
        <v>TPS62111RSAT</v>
      </c>
      <c r="B21700" s="3" t="s">
        <v>90</v>
      </c>
      <c r="C21700" s="5">
        <v>335</v>
      </c>
      <c r="D21700" s="6">
        <v>4.2300000000000004</v>
      </c>
    </row>
    <row r="21701" spans="1:4" x14ac:dyDescent="0.25">
      <c r="A21701" t="str">
        <f>HYPERLINK("https://www.773grp.com/globalSearch/TPS62111RSATG4/page-1", "TPS62111RSATG4")</f>
        <v>TPS62111RSATG4</v>
      </c>
      <c r="B21701" s="3" t="s">
        <v>90</v>
      </c>
      <c r="C21701" s="5">
        <v>121</v>
      </c>
      <c r="D21701" s="6">
        <v>4.2300000000000004</v>
      </c>
    </row>
    <row r="21702" spans="1:4" x14ac:dyDescent="0.25">
      <c r="A21702" t="str">
        <f>HYPERLINK("https://www.773grp.com/globalSearch/TPS65196RHDR/page-1", "TPS65196RHDR")</f>
        <v>TPS65196RHDR</v>
      </c>
      <c r="B21702" s="3" t="s">
        <v>90</v>
      </c>
      <c r="C21702" s="5">
        <v>3000</v>
      </c>
      <c r="D21702" s="6">
        <v>4.2300000000000004</v>
      </c>
    </row>
    <row r="21703" spans="1:4" x14ac:dyDescent="0.25">
      <c r="A21703" t="str">
        <f>HYPERLINK("https://www.773grp.com/globalSearch/TPS70151PWPR/page-1", "TPS70151PWPR")</f>
        <v>TPS70151PWPR</v>
      </c>
      <c r="B21703" s="3" t="s">
        <v>90</v>
      </c>
      <c r="C21703" s="5">
        <v>2000</v>
      </c>
      <c r="D21703" s="6">
        <v>4.2300000000000004</v>
      </c>
    </row>
    <row r="21704" spans="1:4" x14ac:dyDescent="0.25">
      <c r="A21704" t="str">
        <f>HYPERLINK("https://www.773grp.com/globalSearch/TPS76725QPWPREP/page-1", "TPS76725QPWPREP")</f>
        <v>TPS76725QPWPREP</v>
      </c>
      <c r="B21704" s="3" t="s">
        <v>90</v>
      </c>
      <c r="C21704" s="5">
        <v>1863</v>
      </c>
      <c r="D21704" s="6">
        <v>4.2300000000000004</v>
      </c>
    </row>
    <row r="21705" spans="1:4" x14ac:dyDescent="0.25">
      <c r="A21705" t="str">
        <f>HYPERLINK("https://www.773grp.com/globalSearch/TPS7A3001DGNR/page-1", "TPS7A3001DGNR")</f>
        <v>TPS7A3001DGNR</v>
      </c>
      <c r="B21705" s="3" t="s">
        <v>90</v>
      </c>
      <c r="C21705" s="5">
        <v>3997</v>
      </c>
      <c r="D21705" s="6">
        <v>4.2300000000000004</v>
      </c>
    </row>
    <row r="21706" spans="1:4" x14ac:dyDescent="0.25">
      <c r="A21706" t="str">
        <f>HYPERLINK("https://www.773grp.com/globalSearch/TRF6151CRGZR/page-1", "TRF6151CRGZR")</f>
        <v>TRF6151CRGZR</v>
      </c>
      <c r="B21706" s="3" t="s">
        <v>90</v>
      </c>
      <c r="C21706" s="5">
        <v>65000</v>
      </c>
      <c r="D21706" s="6">
        <v>4.2300000000000004</v>
      </c>
    </row>
    <row r="21707" spans="1:4" x14ac:dyDescent="0.25">
      <c r="A21707" t="str">
        <f>HYPERLINK("https://www.773grp.com/globalSearch/TRF6151RGZ/page-1", "TRF6151RGZ")</f>
        <v>TRF6151RGZ</v>
      </c>
      <c r="B21707" s="3" t="s">
        <v>90</v>
      </c>
      <c r="C21707" s="5">
        <v>4</v>
      </c>
      <c r="D21707" s="6">
        <v>4.2300000000000004</v>
      </c>
    </row>
    <row r="21708" spans="1:4" x14ac:dyDescent="0.25">
      <c r="A21708" t="str">
        <f>HYPERLINK("https://www.773grp.com/globalSearch/TRS3222EIDB/page-1", "TRS3222EIDB")</f>
        <v>TRS3222EIDB</v>
      </c>
      <c r="B21708" s="3" t="s">
        <v>90</v>
      </c>
      <c r="C21708" s="5">
        <v>430</v>
      </c>
      <c r="D21708" s="6">
        <v>4.2300000000000004</v>
      </c>
    </row>
    <row r="21709" spans="1:4" x14ac:dyDescent="0.25">
      <c r="A21709" t="str">
        <f>HYPERLINK("https://www.773grp.com/globalSearch/TRS3222EIPW/page-1", "TRS3222EIPW")</f>
        <v>TRS3222EIPW</v>
      </c>
      <c r="B21709" s="3" t="s">
        <v>90</v>
      </c>
      <c r="C21709" s="5">
        <v>420</v>
      </c>
      <c r="D21709" s="6">
        <v>4.2300000000000004</v>
      </c>
    </row>
    <row r="21710" spans="1:4" x14ac:dyDescent="0.25">
      <c r="A21710" t="str">
        <f>HYPERLINK("https://www.773grp.com/globalSearch/TRS3222EIPWG4/page-1", "TRS3222EIPWG4")</f>
        <v>TRS3222EIPWG4</v>
      </c>
      <c r="B21710" s="3" t="s">
        <v>90</v>
      </c>
      <c r="C21710" s="5">
        <v>150</v>
      </c>
      <c r="D21710" s="6">
        <v>4.2300000000000004</v>
      </c>
    </row>
    <row r="21711" spans="1:4" x14ac:dyDescent="0.25">
      <c r="A21711" t="str">
        <f>HYPERLINK("https://www.773grp.com/globalSearch/TRS3227EIDB/page-1", "TRS3227EIDB")</f>
        <v>TRS3227EIDB</v>
      </c>
      <c r="B21711" s="3" t="s">
        <v>90</v>
      </c>
      <c r="C21711" s="5">
        <v>720</v>
      </c>
      <c r="D21711" s="6">
        <v>4.2300000000000004</v>
      </c>
    </row>
    <row r="21712" spans="1:4" x14ac:dyDescent="0.25">
      <c r="A21712" t="str">
        <f>HYPERLINK("https://www.773grp.com/globalSearch/TRS3227IDB/page-1", "TRS3227IDB")</f>
        <v>TRS3227IDB</v>
      </c>
      <c r="B21712" s="3" t="s">
        <v>90</v>
      </c>
      <c r="C21712" s="5">
        <v>4160</v>
      </c>
      <c r="D21712" s="6">
        <v>4.2300000000000004</v>
      </c>
    </row>
    <row r="21713" spans="1:4" x14ac:dyDescent="0.25">
      <c r="A21713" t="str">
        <f>HYPERLINK("https://www.773grp.com/globalSearch/TRSF3222ECDB/page-1", "TRSF3222ECDB")</f>
        <v>TRSF3222ECDB</v>
      </c>
      <c r="B21713" s="3" t="s">
        <v>90</v>
      </c>
      <c r="C21713" s="5">
        <v>64</v>
      </c>
      <c r="D21713" s="6">
        <v>4.2300000000000004</v>
      </c>
    </row>
    <row r="21714" spans="1:4" x14ac:dyDescent="0.25">
      <c r="A21714" t="str">
        <f>HYPERLINK("https://www.773grp.com/globalSearch/TRSF3222EIPW/page-1", "TRSF3222EIPW")</f>
        <v>TRSF3222EIPW</v>
      </c>
      <c r="B21714" s="3" t="s">
        <v>90</v>
      </c>
      <c r="C21714" s="5">
        <v>1880</v>
      </c>
      <c r="D21714" s="6">
        <v>4.2300000000000004</v>
      </c>
    </row>
    <row r="21715" spans="1:4" x14ac:dyDescent="0.25">
      <c r="A21715" t="str">
        <f>HYPERLINK("https://www.773grp.com/globalSearch/TRSF3223EIPW/page-1", "TRSF3223EIPW")</f>
        <v>TRSF3223EIPW</v>
      </c>
      <c r="B21715" s="3" t="s">
        <v>90</v>
      </c>
      <c r="C21715" s="5">
        <v>200</v>
      </c>
      <c r="D21715" s="6">
        <v>4.2300000000000004</v>
      </c>
    </row>
    <row r="21716" spans="1:4" x14ac:dyDescent="0.25">
      <c r="A21716" t="str">
        <f>HYPERLINK("https://www.773grp.com/globalSearch/TSB41AB1ZQER-64/page-1", "TSB41AB1ZQER-64")</f>
        <v>TSB41AB1ZQER-64</v>
      </c>
      <c r="B21716" s="3" t="s">
        <v>90</v>
      </c>
      <c r="C21716" s="5">
        <v>4000</v>
      </c>
      <c r="D21716" s="6">
        <v>4.2300000000000004</v>
      </c>
    </row>
    <row r="21717" spans="1:4" x14ac:dyDescent="0.25">
      <c r="A21717" t="str">
        <f>HYPERLINK("https://www.773grp.com/globalSearch/TSC2008IRGVR/page-1", "TSC2008IRGVR")</f>
        <v>TSC2008IRGVR</v>
      </c>
      <c r="B21717" s="3" t="s">
        <v>90</v>
      </c>
      <c r="C21717" s="5">
        <v>7500</v>
      </c>
      <c r="D21717" s="6">
        <v>4.2300000000000004</v>
      </c>
    </row>
    <row r="21718" spans="1:4" x14ac:dyDescent="0.25">
      <c r="A21718" t="str">
        <f>HYPERLINK("https://www.773grp.com/globalSearch/TWL1200ZQCR/page-1", "TWL1200ZQCR")</f>
        <v>TWL1200ZQCR</v>
      </c>
      <c r="B21718" s="3" t="s">
        <v>90</v>
      </c>
      <c r="C21718" s="5">
        <v>5000</v>
      </c>
      <c r="D21718" s="6">
        <v>4.2300000000000004</v>
      </c>
    </row>
    <row r="21719" spans="1:4" x14ac:dyDescent="0.25">
      <c r="A21719" t="str">
        <f>HYPERLINK("https://www.773grp.com/globalSearch/TWL6041BYFFR/page-1", "TWL6041BYFFR")</f>
        <v>TWL6041BYFFR</v>
      </c>
      <c r="B21719" s="3" t="s">
        <v>90</v>
      </c>
      <c r="C21719" s="5">
        <v>6000</v>
      </c>
      <c r="D21719" s="6">
        <v>4.2300000000000004</v>
      </c>
    </row>
    <row r="21720" spans="1:4" x14ac:dyDescent="0.25">
      <c r="A21720" t="str">
        <f>HYPERLINK("https://www.773grp.com/globalSearch/UCC27201ADPRT/page-1", "UCC27201ADPRT")</f>
        <v>UCC27201ADPRT</v>
      </c>
      <c r="B21720" s="3" t="s">
        <v>90</v>
      </c>
      <c r="C21720" s="5">
        <v>250</v>
      </c>
      <c r="D21720" s="6">
        <v>4.2300000000000004</v>
      </c>
    </row>
    <row r="21721" spans="1:4" x14ac:dyDescent="0.25">
      <c r="A21721" t="str">
        <f>HYPERLINK("https://www.773grp.com/globalSearch/UCC27201ADRCT/page-1", "UCC27201ADRCT")</f>
        <v>UCC27201ADRCT</v>
      </c>
      <c r="B21721" s="3" t="s">
        <v>90</v>
      </c>
      <c r="C21721" s="5">
        <v>599</v>
      </c>
      <c r="D21721" s="6">
        <v>4.2300000000000004</v>
      </c>
    </row>
    <row r="21722" spans="1:4" x14ac:dyDescent="0.25">
      <c r="A21722" t="str">
        <f>HYPERLINK("https://www.773grp.com/globalSearch/UCC3581DTR/page-1", "UCC3581DTR")</f>
        <v>UCC3581DTR</v>
      </c>
      <c r="B21722" s="3" t="s">
        <v>90</v>
      </c>
      <c r="C21722" s="5">
        <v>2500</v>
      </c>
      <c r="D21722" s="6">
        <v>4.2300000000000004</v>
      </c>
    </row>
    <row r="21723" spans="1:4" x14ac:dyDescent="0.25">
      <c r="A21723" t="str">
        <f>HYPERLINK("https://www.773grp.com/globalSearch/XTR115UA/page-1", "XTR115UA")</f>
        <v>XTR115UA</v>
      </c>
      <c r="B21723" s="3" t="s">
        <v>90</v>
      </c>
      <c r="C21723" s="5">
        <v>145</v>
      </c>
      <c r="D21723" s="6">
        <v>4.2300000000000004</v>
      </c>
    </row>
    <row r="21724" spans="1:4" x14ac:dyDescent="0.25">
      <c r="A21724" t="str">
        <f>HYPERLINK("https://www.773grp.com/globalSearch/XTR116UA/page-1", "XTR116UA")</f>
        <v>XTR116UA</v>
      </c>
      <c r="B21724" s="3" t="s">
        <v>90</v>
      </c>
      <c r="C21724" s="5">
        <v>105</v>
      </c>
      <c r="D21724" s="6">
        <v>4.2300000000000004</v>
      </c>
    </row>
    <row r="21725" spans="1:4" x14ac:dyDescent="0.25">
      <c r="A21725" t="str">
        <f>HYPERLINK("https://www.773grp.com/globalSearch/BQ2002GSNTR/page-1", "BQ2002GSNTR")</f>
        <v>BQ2002GSNTR</v>
      </c>
      <c r="B21725" s="3" t="s">
        <v>90</v>
      </c>
      <c r="C21725" s="5">
        <v>5000</v>
      </c>
      <c r="D21725" s="6">
        <v>4.6900000000000004</v>
      </c>
    </row>
    <row r="21726" spans="1:4" x14ac:dyDescent="0.25">
      <c r="A21726" t="str">
        <f>HYPERLINK("https://www.773grp.com/globalSearch/DS485N/page-1", "DS485N")</f>
        <v>DS485N</v>
      </c>
      <c r="B21726" s="3" t="s">
        <v>90</v>
      </c>
      <c r="C21726" s="5">
        <v>1111</v>
      </c>
      <c r="D21726" s="6">
        <v>4.6900000000000004</v>
      </c>
    </row>
    <row r="21727" spans="1:4" x14ac:dyDescent="0.25">
      <c r="A21727" t="str">
        <f>HYPERLINK("https://www.773grp.com/globalSearch/N74LS540N3/page-1", "N74LS540N3")</f>
        <v>N74LS540N3</v>
      </c>
      <c r="B21727" s="3" t="s">
        <v>90</v>
      </c>
      <c r="C21727" s="5">
        <v>980</v>
      </c>
      <c r="D21727" s="6">
        <v>4.6900000000000004</v>
      </c>
    </row>
    <row r="21728" spans="1:4" x14ac:dyDescent="0.25">
      <c r="A21728" t="str">
        <f>HYPERLINK("https://www.773grp.com/globalSearch/OPA330AIYFFT/page-1", "OPA330AIYFFT")</f>
        <v>OPA330AIYFFT</v>
      </c>
      <c r="B21728" s="3" t="s">
        <v>90</v>
      </c>
      <c r="C21728" s="5">
        <v>500</v>
      </c>
      <c r="D21728" s="6">
        <v>4.6900000000000004</v>
      </c>
    </row>
    <row r="21729" spans="1:4" x14ac:dyDescent="0.25">
      <c r="A21729" t="str">
        <f>HYPERLINK("https://www.773grp.com/globalSearch/SN107014P/page-1", "SN107014P")</f>
        <v>SN107014P</v>
      </c>
      <c r="B21729" s="3" t="s">
        <v>90</v>
      </c>
      <c r="C21729" s="5">
        <v>25850</v>
      </c>
      <c r="D21729" s="6">
        <v>4.6900000000000004</v>
      </c>
    </row>
    <row r="21730" spans="1:4" x14ac:dyDescent="0.25">
      <c r="A21730" t="str">
        <f>HYPERLINK("https://www.773grp.com/globalSearch/SN700887N/page-1", "SN700887N")</f>
        <v>SN700887N</v>
      </c>
      <c r="B21730" s="3" t="s">
        <v>90</v>
      </c>
      <c r="C21730" s="5">
        <v>7727</v>
      </c>
      <c r="D21730" s="6">
        <v>4.6900000000000004</v>
      </c>
    </row>
    <row r="21731" spans="1:4" x14ac:dyDescent="0.25">
      <c r="A21731" t="str">
        <f>HYPERLINK("https://www.773grp.com/globalSearch/SN74ALS244BN3/page-1", "SN74ALS244BN3")</f>
        <v>SN74ALS244BN3</v>
      </c>
      <c r="B21731" s="3" t="s">
        <v>90</v>
      </c>
      <c r="C21731" s="5">
        <v>779</v>
      </c>
      <c r="D21731" s="6">
        <v>4.6900000000000004</v>
      </c>
    </row>
    <row r="21732" spans="1:4" x14ac:dyDescent="0.25">
      <c r="A21732" t="str">
        <f>HYPERLINK("https://www.773grp.com/globalSearch/SN74ALS244C-1DB/page-1", "SN74ALS244C-1DB")</f>
        <v>SN74ALS244C-1DB</v>
      </c>
      <c r="B21732" s="3" t="s">
        <v>90</v>
      </c>
      <c r="C21732" s="5">
        <v>6325</v>
      </c>
      <c r="D21732" s="6">
        <v>4.6900000000000004</v>
      </c>
    </row>
    <row r="21733" spans="1:4" x14ac:dyDescent="0.25">
      <c r="A21733" t="str">
        <f>HYPERLINK("https://www.773grp.com/globalSearch/SN74ALS38245ADBR/page-1", "SN74ALS38245ADBR")</f>
        <v>SN74ALS38245ADBR</v>
      </c>
      <c r="B21733" s="3" t="s">
        <v>90</v>
      </c>
      <c r="C21733" s="5">
        <v>4000</v>
      </c>
      <c r="D21733" s="6">
        <v>4.6900000000000004</v>
      </c>
    </row>
    <row r="21734" spans="1:4" x14ac:dyDescent="0.25">
      <c r="A21734" t="str">
        <f>HYPERLINK("https://www.773grp.com/globalSearch/SN74ALV139AD/page-1", "SN74ALV139AD")</f>
        <v>SN74ALV139AD</v>
      </c>
      <c r="B21734" s="3" t="s">
        <v>90</v>
      </c>
      <c r="C21734" s="5">
        <v>4080</v>
      </c>
      <c r="D21734" s="6">
        <v>4.6900000000000004</v>
      </c>
    </row>
    <row r="21735" spans="1:4" x14ac:dyDescent="0.25">
      <c r="A21735" t="str">
        <f>HYPERLINK("https://www.773grp.com/globalSearch/SN74AS109ANS/page-1", "SN74AS109ANS")</f>
        <v>SN74AS109ANS</v>
      </c>
      <c r="B21735" s="3" t="s">
        <v>90</v>
      </c>
      <c r="C21735" s="5">
        <v>5200</v>
      </c>
      <c r="D21735" s="6">
        <v>4.6900000000000004</v>
      </c>
    </row>
    <row r="21736" spans="1:4" x14ac:dyDescent="0.25">
      <c r="A21736" t="str">
        <f>HYPERLINK("https://www.773grp.com/globalSearch/TLC7703IDR/page-1", "TLC7703IDR")</f>
        <v>TLC7703IDR</v>
      </c>
      <c r="B21736" s="3" t="s">
        <v>90</v>
      </c>
      <c r="C21736" s="5">
        <v>7500</v>
      </c>
      <c r="D21736" s="6">
        <v>4.6900000000000004</v>
      </c>
    </row>
    <row r="21737" spans="1:4" x14ac:dyDescent="0.25">
      <c r="A21737" t="str">
        <f>HYPERLINK("https://www.773grp.com/globalSearch/TPS65560RGTR/page-1", "TPS65560RGTR")</f>
        <v>TPS65560RGTR</v>
      </c>
      <c r="B21737" s="3" t="s">
        <v>90</v>
      </c>
      <c r="C21737" s="5">
        <v>6000</v>
      </c>
      <c r="D21737" s="6">
        <v>4.6900000000000004</v>
      </c>
    </row>
    <row r="21738" spans="1:4" x14ac:dyDescent="0.25">
      <c r="A21738" t="str">
        <f>HYPERLINK("https://www.773grp.com/globalSearch/SN74145NS/page-1", "SN74145NS")</f>
        <v>SN74145NS</v>
      </c>
      <c r="B21738" s="3" t="s">
        <v>90</v>
      </c>
      <c r="C21738" s="5">
        <v>2900</v>
      </c>
      <c r="D21738" s="6">
        <v>4.25</v>
      </c>
    </row>
    <row r="21739" spans="1:4" x14ac:dyDescent="0.25">
      <c r="A21739" t="str">
        <f>HYPERLINK("https://www.773grp.com/globalSearch/SN74AS151NS/page-1", "SN74AS151NS")</f>
        <v>SN74AS151NS</v>
      </c>
      <c r="B21739" s="3" t="s">
        <v>90</v>
      </c>
      <c r="C21739" s="5">
        <v>200</v>
      </c>
      <c r="D21739" s="6">
        <v>4.25</v>
      </c>
    </row>
    <row r="21740" spans="1:4" x14ac:dyDescent="0.25">
      <c r="A21740" t="str">
        <f>HYPERLINK("https://www.773grp.com/globalSearch/SN74LS640DBR/page-1", "SN74LS640DBR")</f>
        <v>SN74LS640DBR</v>
      </c>
      <c r="B21740" s="3" t="s">
        <v>90</v>
      </c>
      <c r="C21740" s="5">
        <v>2000</v>
      </c>
      <c r="D21740" s="6">
        <v>4.25</v>
      </c>
    </row>
    <row r="21741" spans="1:4" x14ac:dyDescent="0.25">
      <c r="A21741" t="str">
        <f>HYPERLINK("https://www.773grp.com/globalSearch/SN74LS669NS/page-1", "SN74LS669NS")</f>
        <v>SN74LS669NS</v>
      </c>
      <c r="B21741" s="3" t="s">
        <v>90</v>
      </c>
      <c r="C21741" s="5">
        <v>1800</v>
      </c>
      <c r="D21741" s="6">
        <v>4.25</v>
      </c>
    </row>
    <row r="21742" spans="1:4" x14ac:dyDescent="0.25">
      <c r="A21742" t="str">
        <f>HYPERLINK("https://www.773grp.com/globalSearch/TPS54140ADGQ/page-1", "TPS54140ADGQ")</f>
        <v>TPS54140ADGQ</v>
      </c>
      <c r="B21742" s="3" t="s">
        <v>90</v>
      </c>
      <c r="C21742" s="5">
        <v>560</v>
      </c>
      <c r="D21742" s="6">
        <v>4.25</v>
      </c>
    </row>
    <row r="21743" spans="1:4" x14ac:dyDescent="0.25">
      <c r="A21743" t="str">
        <f>HYPERLINK("https://www.773grp.com/globalSearch/CSM10291AN/page-1", "CSM10291AN")</f>
        <v>CSM10291AN</v>
      </c>
      <c r="B21743" s="3" t="s">
        <v>90</v>
      </c>
      <c r="C21743" s="5">
        <v>950</v>
      </c>
      <c r="D21743" s="6">
        <v>4.28</v>
      </c>
    </row>
    <row r="21744" spans="1:4" x14ac:dyDescent="0.25">
      <c r="A21744" t="str">
        <f>HYPERLINK("https://www.773grp.com/globalSearch/LM6211MF/page-1", "LM6211MF")</f>
        <v>LM6211MF</v>
      </c>
      <c r="B21744" s="3" t="s">
        <v>90</v>
      </c>
      <c r="C21744" s="5">
        <v>1000</v>
      </c>
      <c r="D21744" s="6">
        <v>4.28</v>
      </c>
    </row>
    <row r="21745" spans="1:4" x14ac:dyDescent="0.25">
      <c r="A21745" t="str">
        <f>HYPERLINK("https://www.773grp.com/globalSearch/LP2952AIMX-NOPB/page-1", "LP2952AIMX-NOPB")</f>
        <v>LP2952AIMX-NOPB</v>
      </c>
      <c r="B21745" s="3" t="s">
        <v>90</v>
      </c>
      <c r="C21745" s="5">
        <v>12500</v>
      </c>
      <c r="D21745" s="6">
        <v>4.28</v>
      </c>
    </row>
    <row r="21746" spans="1:4" x14ac:dyDescent="0.25">
      <c r="A21746" t="str">
        <f>HYPERLINK("https://www.773grp.com/globalSearch/THS3092DDAG3/page-1", "THS3092DDAG3")</f>
        <v>THS3092DDAG3</v>
      </c>
      <c r="B21746" s="3" t="s">
        <v>90</v>
      </c>
      <c r="C21746" s="5">
        <v>65</v>
      </c>
      <c r="D21746" s="6">
        <v>4.28</v>
      </c>
    </row>
    <row r="21747" spans="1:4" x14ac:dyDescent="0.25">
      <c r="A21747" t="str">
        <f>HYPERLINK("https://www.773grp.com/globalSearch/TLC5923RHBR/page-1", "TLC5923RHBR")</f>
        <v>TLC5923RHBR</v>
      </c>
      <c r="B21747" s="3" t="s">
        <v>90</v>
      </c>
      <c r="C21747" s="5">
        <v>60000</v>
      </c>
      <c r="D21747" s="6">
        <v>4.28</v>
      </c>
    </row>
    <row r="21748" spans="1:4" x14ac:dyDescent="0.25">
      <c r="A21748" t="str">
        <f>HYPERLINK("https://www.773grp.com/globalSearch/TLY2465CN/page-1", "TLY2465CN")</f>
        <v>TLY2465CN</v>
      </c>
      <c r="B21748" s="3" t="s">
        <v>90</v>
      </c>
      <c r="C21748" s="5">
        <v>1284</v>
      </c>
      <c r="D21748" s="6">
        <v>4.28</v>
      </c>
    </row>
    <row r="21749" spans="1:4" x14ac:dyDescent="0.25">
      <c r="A21749" t="str">
        <f>HYPERLINK("https://www.773grp.com/globalSearch/TPS2211IDBR/page-1", "TPS2211IDBR")</f>
        <v>TPS2211IDBR</v>
      </c>
      <c r="B21749" s="3" t="s">
        <v>90</v>
      </c>
      <c r="C21749" s="5">
        <v>4000</v>
      </c>
      <c r="D21749" s="6">
        <v>4.28</v>
      </c>
    </row>
    <row r="21750" spans="1:4" x14ac:dyDescent="0.25">
      <c r="A21750" t="str">
        <f>HYPERLINK("https://www.773grp.com/globalSearch/TPS54060ADGQ/page-1", "TPS54060ADGQ")</f>
        <v>TPS54060ADGQ</v>
      </c>
      <c r="B21750" s="3" t="s">
        <v>90</v>
      </c>
      <c r="C21750" s="5">
        <v>960</v>
      </c>
      <c r="D21750" s="6">
        <v>4.28</v>
      </c>
    </row>
    <row r="21751" spans="1:4" x14ac:dyDescent="0.25">
      <c r="A21751" t="str">
        <f>HYPERLINK("https://www.773grp.com/globalSearch/TPS65100QPWPRQ1/page-1", "TPS65100QPWPRQ1")</f>
        <v>TPS65100QPWPRQ1</v>
      </c>
      <c r="B21751" s="3" t="s">
        <v>90</v>
      </c>
      <c r="C21751" s="5">
        <v>4000</v>
      </c>
      <c r="D21751" s="6">
        <v>4.28</v>
      </c>
    </row>
    <row r="21752" spans="1:4" x14ac:dyDescent="0.25">
      <c r="A21752" t="str">
        <f>HYPERLINK("https://www.773grp.com/globalSearch/UCC27201QDDARQ1/page-1", "UCC27201QDDARQ1")</f>
        <v>UCC27201QDDARQ1</v>
      </c>
      <c r="B21752" s="3" t="s">
        <v>90</v>
      </c>
      <c r="C21752" s="5">
        <v>2092</v>
      </c>
      <c r="D21752" s="6">
        <v>4.28</v>
      </c>
    </row>
    <row r="21753" spans="1:4" x14ac:dyDescent="0.25">
      <c r="A21753" t="str">
        <f>HYPERLINK("https://www.773grp.com/globalSearch/BQ25070DQCT/page-1", "BQ25070DQCT")</f>
        <v>BQ25070DQCT</v>
      </c>
      <c r="B21753" s="3" t="s">
        <v>90</v>
      </c>
      <c r="C21753" s="5">
        <v>250</v>
      </c>
      <c r="D21753" s="6">
        <v>4.74</v>
      </c>
    </row>
    <row r="21754" spans="1:4" x14ac:dyDescent="0.25">
      <c r="A21754" t="str">
        <f>HYPERLINK("https://www.773grp.com/globalSearch/BQ32000D/page-1", "BQ32000D")</f>
        <v>BQ32000D</v>
      </c>
      <c r="B21754" s="3" t="s">
        <v>90</v>
      </c>
      <c r="C21754" s="5">
        <v>1725</v>
      </c>
      <c r="D21754" s="6">
        <v>4.74</v>
      </c>
    </row>
    <row r="21755" spans="1:4" x14ac:dyDescent="0.25">
      <c r="A21755" t="str">
        <f>HYPERLINK("https://www.773grp.com/globalSearch/BQ76PL102RGTR/page-1", "BQ76PL102RGTR")</f>
        <v>BQ76PL102RGTR</v>
      </c>
      <c r="B21755" s="3" t="s">
        <v>90</v>
      </c>
      <c r="C21755" s="5">
        <v>6000</v>
      </c>
      <c r="D21755" s="6">
        <v>4.74</v>
      </c>
    </row>
    <row r="21756" spans="1:4" x14ac:dyDescent="0.25">
      <c r="A21756" t="str">
        <f>HYPERLINK("https://www.773grp.com/globalSearch/CC115LRTKT/page-1", "CC115LRTKT")</f>
        <v>CC115LRTKT</v>
      </c>
      <c r="B21756" s="3" t="s">
        <v>90</v>
      </c>
      <c r="C21756" s="5">
        <v>500</v>
      </c>
      <c r="D21756" s="6">
        <v>4.74</v>
      </c>
    </row>
    <row r="21757" spans="1:4" x14ac:dyDescent="0.25">
      <c r="A21757" t="str">
        <f>HYPERLINK("https://www.773grp.com/globalSearch/CD74HC190NS/page-1", "CD74HC190NS")</f>
        <v>CD74HC190NS</v>
      </c>
      <c r="B21757" s="3" t="s">
        <v>90</v>
      </c>
      <c r="C21757" s="5">
        <v>3950</v>
      </c>
      <c r="D21757" s="6">
        <v>4.74</v>
      </c>
    </row>
    <row r="21758" spans="1:4" x14ac:dyDescent="0.25">
      <c r="A21758" t="str">
        <f>HYPERLINK("https://www.773grp.com/globalSearch/CDC3RL02YFPR/page-1", "CDC3RL02YFPR")</f>
        <v>CDC3RL02YFPR</v>
      </c>
      <c r="B21758" s="3" t="s">
        <v>90</v>
      </c>
      <c r="C21758" s="5">
        <v>9000</v>
      </c>
      <c r="D21758" s="6">
        <v>4.74</v>
      </c>
    </row>
    <row r="21759" spans="1:4" x14ac:dyDescent="0.25">
      <c r="A21759" t="str">
        <f>HYPERLINK("https://www.773grp.com/globalSearch/CDCLVC1102PWR/page-1", "CDCLVC1102PWR")</f>
        <v>CDCLVC1102PWR</v>
      </c>
      <c r="B21759" s="3" t="s">
        <v>90</v>
      </c>
      <c r="C21759" s="5">
        <v>1703</v>
      </c>
      <c r="D21759" s="6">
        <v>4.74</v>
      </c>
    </row>
    <row r="21760" spans="1:4" x14ac:dyDescent="0.25">
      <c r="A21760" t="str">
        <f>HYPERLINK("https://www.773grp.com/globalSearch/DAC084S085CISD-NOPB/page-1", "DAC084S085CISD-NOPB")</f>
        <v>DAC084S085CISD-NOPB</v>
      </c>
      <c r="B21760" s="3" t="s">
        <v>90</v>
      </c>
      <c r="C21760" s="5">
        <v>1000</v>
      </c>
      <c r="D21760" s="6">
        <v>4.74</v>
      </c>
    </row>
    <row r="21761" spans="1:4" x14ac:dyDescent="0.25">
      <c r="A21761" t="str">
        <f>HYPERLINK("https://www.773grp.com/globalSearch/DS90LV017ATM/page-1", "DS90LV017ATM")</f>
        <v>DS90LV017ATM</v>
      </c>
      <c r="B21761" s="3" t="s">
        <v>90</v>
      </c>
      <c r="C21761" s="5">
        <v>380</v>
      </c>
      <c r="D21761" s="6">
        <v>4.74</v>
      </c>
    </row>
    <row r="21762" spans="1:4" x14ac:dyDescent="0.25">
      <c r="A21762" t="str">
        <f>HYPERLINK("https://www.773grp.com/globalSearch/LM2736XMK-NOPB/page-1", "LM2736XMK-NOPB")</f>
        <v>LM2736XMK-NOPB</v>
      </c>
      <c r="B21762" s="3" t="s">
        <v>90</v>
      </c>
      <c r="C21762" s="5">
        <v>781</v>
      </c>
      <c r="D21762" s="6">
        <v>4.74</v>
      </c>
    </row>
    <row r="21763" spans="1:4" x14ac:dyDescent="0.25">
      <c r="A21763" t="str">
        <f>HYPERLINK("https://www.773grp.com/globalSearch/LM2830XMF-NOPB/page-1", "LM2830XMF-NOPB")</f>
        <v>LM2830XMF-NOPB</v>
      </c>
      <c r="B21763" s="3" t="s">
        <v>90</v>
      </c>
      <c r="C21763" s="5">
        <v>1000</v>
      </c>
      <c r="D21763" s="6">
        <v>4.74</v>
      </c>
    </row>
    <row r="21764" spans="1:4" x14ac:dyDescent="0.25">
      <c r="A21764" t="str">
        <f>HYPERLINK("https://www.773grp.com/globalSearch/LM3208TLX-NOPB/page-1", "LM3208TLX-NOPB")</f>
        <v>LM3208TLX-NOPB</v>
      </c>
      <c r="B21764" s="3" t="s">
        <v>90</v>
      </c>
      <c r="C21764" s="5">
        <v>6000</v>
      </c>
      <c r="D21764" s="6">
        <v>4.74</v>
      </c>
    </row>
    <row r="21765" spans="1:4" x14ac:dyDescent="0.25">
      <c r="A21765" t="str">
        <f>HYPERLINK("https://www.773grp.com/globalSearch/LM4128AMF-2.0-NOPB/page-1", "LM4128AMF-2.0-NOPB")</f>
        <v>LM4128AMF-2.0-NOPB</v>
      </c>
      <c r="B21765" s="3" t="s">
        <v>90</v>
      </c>
      <c r="C21765" s="5">
        <v>86</v>
      </c>
      <c r="D21765" s="6">
        <v>4.74</v>
      </c>
    </row>
    <row r="21766" spans="1:4" x14ac:dyDescent="0.25">
      <c r="A21766" t="str">
        <f>HYPERLINK("https://www.773grp.com/globalSearch/LM4128AMF-2.5-NOPB/page-1", "LM4128AMF-2.5-NOPB")</f>
        <v>LM4128AMF-2.5-NOPB</v>
      </c>
      <c r="B21766" s="3" t="s">
        <v>90</v>
      </c>
      <c r="C21766" s="5">
        <v>690</v>
      </c>
      <c r="D21766" s="6">
        <v>4.74</v>
      </c>
    </row>
    <row r="21767" spans="1:4" x14ac:dyDescent="0.25">
      <c r="A21767" t="str">
        <f>HYPERLINK("https://www.773grp.com/globalSearch/LMP2011MF-NOPB/page-1", "LMP2011MF-NOPB")</f>
        <v>LMP2011MF-NOPB</v>
      </c>
      <c r="B21767" s="3" t="s">
        <v>90</v>
      </c>
      <c r="C21767" s="5">
        <v>296</v>
      </c>
      <c r="D21767" s="6">
        <v>4.74</v>
      </c>
    </row>
    <row r="21768" spans="1:4" x14ac:dyDescent="0.25">
      <c r="A21768" t="str">
        <f>HYPERLINK("https://www.773grp.com/globalSearch/LMV221SD-NOPB/page-1", "LMV221SD-NOPB")</f>
        <v>LMV221SD-NOPB</v>
      </c>
      <c r="B21768" s="3" t="s">
        <v>90</v>
      </c>
      <c r="C21768" s="5">
        <v>193</v>
      </c>
      <c r="D21768" s="6">
        <v>4.74</v>
      </c>
    </row>
    <row r="21769" spans="1:4" x14ac:dyDescent="0.25">
      <c r="A21769" t="str">
        <f>HYPERLINK("https://www.773grp.com/globalSearch/LMV772MM/page-1", "LMV772MM")</f>
        <v>LMV772MM</v>
      </c>
      <c r="B21769" s="3" t="s">
        <v>90</v>
      </c>
      <c r="C21769" s="5">
        <v>2000</v>
      </c>
      <c r="D21769" s="6">
        <v>4.74</v>
      </c>
    </row>
    <row r="21770" spans="1:4" x14ac:dyDescent="0.25">
      <c r="A21770" t="str">
        <f>HYPERLINK("https://www.773grp.com/globalSearch/LMV774MTX-NOPB/page-1", "LMV774MTX-NOPB")</f>
        <v>LMV774MTX-NOPB</v>
      </c>
      <c r="B21770" s="3" t="s">
        <v>90</v>
      </c>
      <c r="C21770" s="5">
        <v>10000</v>
      </c>
      <c r="D21770" s="6">
        <v>4.74</v>
      </c>
    </row>
    <row r="21771" spans="1:4" x14ac:dyDescent="0.25">
      <c r="A21771" t="str">
        <f>HYPERLINK("https://www.773grp.com/globalSearch/LP2986AIMM-3.0-NOPB/page-1", "LP2986AIMM-3.0-NOPB")</f>
        <v>LP2986AIMM-3.0-NOPB</v>
      </c>
      <c r="B21771" s="3" t="s">
        <v>90</v>
      </c>
      <c r="C21771" s="5">
        <v>975</v>
      </c>
      <c r="D21771" s="6">
        <v>4.74</v>
      </c>
    </row>
    <row r="21772" spans="1:4" x14ac:dyDescent="0.25">
      <c r="A21772" t="str">
        <f>HYPERLINK("https://www.773grp.com/globalSearch/LP2986AIMM-5.0-NOPB/page-1", "LP2986AIMM-5.0-NOPB")</f>
        <v>LP2986AIMM-5.0-NOPB</v>
      </c>
      <c r="B21772" s="3" t="s">
        <v>90</v>
      </c>
      <c r="C21772" s="5">
        <v>40</v>
      </c>
      <c r="D21772" s="6">
        <v>4.74</v>
      </c>
    </row>
    <row r="21773" spans="1:4" x14ac:dyDescent="0.25">
      <c r="A21773" t="str">
        <f>HYPERLINK("https://www.773grp.com/globalSearch/LP2989AIMM-5.0-NOPB/page-1", "LP2989AIMM-5.0-NOPB")</f>
        <v>LP2989AIMM-5.0-NOPB</v>
      </c>
      <c r="B21773" s="3" t="s">
        <v>90</v>
      </c>
      <c r="C21773" s="5">
        <v>5</v>
      </c>
      <c r="D21773" s="6">
        <v>4.74</v>
      </c>
    </row>
    <row r="21774" spans="1:4" x14ac:dyDescent="0.25">
      <c r="A21774" t="str">
        <f>HYPERLINK("https://www.773grp.com/globalSearch/LP2989ILD-3.3-NOPB/page-1", "LP2989ILD-3.3-NOPB")</f>
        <v>LP2989ILD-3.3-NOPB</v>
      </c>
      <c r="B21774" s="3" t="s">
        <v>90</v>
      </c>
      <c r="C21774" s="5">
        <v>980</v>
      </c>
      <c r="D21774" s="6">
        <v>4.74</v>
      </c>
    </row>
    <row r="21775" spans="1:4" x14ac:dyDescent="0.25">
      <c r="A21775" t="str">
        <f>HYPERLINK("https://www.773grp.com/globalSearch/LP38512MR-ADJ-NOPB/page-1", "LP38512MR-ADJ-NOPB")</f>
        <v>LP38512MR-ADJ-NOPB</v>
      </c>
      <c r="B21775" s="3" t="s">
        <v>90</v>
      </c>
      <c r="C21775" s="5">
        <v>432</v>
      </c>
      <c r="D21775" s="6">
        <v>4.74</v>
      </c>
    </row>
    <row r="21776" spans="1:4" x14ac:dyDescent="0.25">
      <c r="A21776" t="str">
        <f>HYPERLINK("https://www.773grp.com/globalSearch/MSP430F2121IDGVR/page-1", "MSP430F2121IDGVR")</f>
        <v>MSP430F2121IDGVR</v>
      </c>
      <c r="B21776" s="3" t="s">
        <v>90</v>
      </c>
      <c r="C21776" s="5">
        <v>4000</v>
      </c>
      <c r="D21776" s="6">
        <v>4.74</v>
      </c>
    </row>
    <row r="21777" spans="1:4" x14ac:dyDescent="0.25">
      <c r="A21777" t="str">
        <f>HYPERLINK("https://www.773grp.com/globalSearch/MSP430F2121IPWR/page-1", "MSP430F2121IPWR")</f>
        <v>MSP430F2121IPWR</v>
      </c>
      <c r="B21777" s="3" t="s">
        <v>90</v>
      </c>
      <c r="C21777" s="5">
        <v>1000</v>
      </c>
      <c r="D21777" s="6">
        <v>4.74</v>
      </c>
    </row>
    <row r="21778" spans="1:4" x14ac:dyDescent="0.25">
      <c r="A21778" t="str">
        <f>HYPERLINK("https://www.773grp.com/globalSearch/MSP430F2121IRGER/page-1", "MSP430F2121IRGER")</f>
        <v>MSP430F2121IRGER</v>
      </c>
      <c r="B21778" s="3" t="s">
        <v>90</v>
      </c>
      <c r="C21778" s="5">
        <v>2999</v>
      </c>
      <c r="D21778" s="6">
        <v>4.74</v>
      </c>
    </row>
    <row r="21779" spans="1:4" x14ac:dyDescent="0.25">
      <c r="A21779" t="str">
        <f>HYPERLINK("https://www.773grp.com/globalSearch/MSP430G2533IPW20/page-1", "MSP430G2533IPW20")</f>
        <v>MSP430G2533IPW20</v>
      </c>
      <c r="B21779" s="3" t="s">
        <v>90</v>
      </c>
      <c r="C21779" s="5">
        <v>350</v>
      </c>
      <c r="D21779" s="6">
        <v>4.74</v>
      </c>
    </row>
    <row r="21780" spans="1:4" x14ac:dyDescent="0.25">
      <c r="A21780" t="str">
        <f>HYPERLINK("https://www.773grp.com/globalSearch/MSP430G2533IPW20R/page-1", "MSP430G2533IPW20R")</f>
        <v>MSP430G2533IPW20R</v>
      </c>
      <c r="B21780" s="3" t="s">
        <v>90</v>
      </c>
      <c r="C21780" s="5">
        <v>2000</v>
      </c>
      <c r="D21780" s="6">
        <v>4.74</v>
      </c>
    </row>
    <row r="21781" spans="1:4" x14ac:dyDescent="0.25">
      <c r="A21781" t="str">
        <f>HYPERLINK("https://www.773grp.com/globalSearch/MSP430G2553CY/page-1", "MSP430G2553CY")</f>
        <v>MSP430G2553CY</v>
      </c>
      <c r="B21781" s="3" t="s">
        <v>90</v>
      </c>
      <c r="C21781" s="5">
        <v>1215</v>
      </c>
      <c r="D21781" s="6">
        <v>4.74</v>
      </c>
    </row>
    <row r="21782" spans="1:4" x14ac:dyDescent="0.25">
      <c r="A21782" t="str">
        <f>HYPERLINK("https://www.773grp.com/globalSearch/OPA2237EA-2K5/page-1", "OPA2237EA-2K5")</f>
        <v>OPA2237EA-2K5</v>
      </c>
      <c r="B21782" s="3" t="s">
        <v>90</v>
      </c>
      <c r="C21782" s="5">
        <v>15000</v>
      </c>
      <c r="D21782" s="6">
        <v>4.74</v>
      </c>
    </row>
    <row r="21783" spans="1:4" x14ac:dyDescent="0.25">
      <c r="A21783" t="str">
        <f>HYPERLINK("https://www.773grp.com/globalSearch/OPA2244EA-2K5/page-1", "OPA2244EA-2K5")</f>
        <v>OPA2244EA-2K5</v>
      </c>
      <c r="B21783" s="3" t="s">
        <v>90</v>
      </c>
      <c r="C21783" s="5">
        <v>5000</v>
      </c>
      <c r="D21783" s="6">
        <v>4.74</v>
      </c>
    </row>
    <row r="21784" spans="1:4" x14ac:dyDescent="0.25">
      <c r="A21784" t="str">
        <f>HYPERLINK("https://www.773grp.com/globalSearch/OPA2244EA-1-2K5/page-1", "OPA2244EA-1-2K5")</f>
        <v>OPA2244EA-1-2K5</v>
      </c>
      <c r="B21784" s="3" t="s">
        <v>90</v>
      </c>
      <c r="C21784" s="5">
        <v>15000</v>
      </c>
      <c r="D21784" s="6">
        <v>4.74</v>
      </c>
    </row>
    <row r="21785" spans="1:4" x14ac:dyDescent="0.25">
      <c r="A21785" t="str">
        <f>HYPERLINK("https://www.773grp.com/globalSearch/OPA2344EA-250/page-1", "OPA2344EA-250")</f>
        <v>OPA2344EA-250</v>
      </c>
      <c r="B21785" s="3" t="s">
        <v>90</v>
      </c>
      <c r="C21785" s="5">
        <v>13500</v>
      </c>
      <c r="D21785" s="6">
        <v>4.74</v>
      </c>
    </row>
    <row r="21786" spans="1:4" x14ac:dyDescent="0.25">
      <c r="A21786" t="str">
        <f>HYPERLINK("https://www.773grp.com/globalSearch/OPA4170AIPWR/page-1", "OPA4170AIPWR")</f>
        <v>OPA4170AIPWR</v>
      </c>
      <c r="B21786" s="3" t="s">
        <v>90</v>
      </c>
      <c r="C21786" s="5">
        <v>2000</v>
      </c>
      <c r="D21786" s="6">
        <v>4.74</v>
      </c>
    </row>
    <row r="21787" spans="1:4" x14ac:dyDescent="0.25">
      <c r="A21787" t="str">
        <f>HYPERLINK("https://www.773grp.com/globalSearch/OPA4171AIDR/page-1", "OPA4171AIDR")</f>
        <v>OPA4171AIDR</v>
      </c>
      <c r="B21787" s="3" t="s">
        <v>90</v>
      </c>
      <c r="C21787" s="5">
        <v>2500</v>
      </c>
      <c r="D21787" s="6">
        <v>4.74</v>
      </c>
    </row>
    <row r="21788" spans="1:4" x14ac:dyDescent="0.25">
      <c r="A21788" t="str">
        <f>HYPERLINK("https://www.773grp.com/globalSearch/OPA4377AIPWR/page-1", "OPA4377AIPWR")</f>
        <v>OPA4377AIPWR</v>
      </c>
      <c r="B21788" s="3" t="s">
        <v>90</v>
      </c>
      <c r="C21788" s="5">
        <v>9912</v>
      </c>
      <c r="D21788" s="6">
        <v>4.74</v>
      </c>
    </row>
    <row r="21789" spans="1:4" x14ac:dyDescent="0.25">
      <c r="A21789" t="str">
        <f>HYPERLINK("https://www.773grp.com/globalSearch/PCM1807PWR/page-1", "PCM1807PWR")</f>
        <v>PCM1807PWR</v>
      </c>
      <c r="B21789" s="3" t="s">
        <v>90</v>
      </c>
      <c r="C21789" s="5">
        <v>615</v>
      </c>
      <c r="D21789" s="6">
        <v>4.74</v>
      </c>
    </row>
    <row r="21790" spans="1:4" x14ac:dyDescent="0.25">
      <c r="A21790" t="str">
        <f>HYPERLINK("https://www.773grp.com/globalSearch/SN74S373DWQ/page-1", "SN74S373DWQ")</f>
        <v>SN74S373DWQ</v>
      </c>
      <c r="B21790" s="3" t="s">
        <v>90</v>
      </c>
      <c r="C21790" s="5">
        <v>2025</v>
      </c>
      <c r="D21790" s="6">
        <v>4.74</v>
      </c>
    </row>
    <row r="21791" spans="1:4" x14ac:dyDescent="0.25">
      <c r="A21791" t="str">
        <f>HYPERLINK("https://www.773grp.com/globalSearch/SN75372PS/page-1", "SN75372PS")</f>
        <v>SN75372PS</v>
      </c>
      <c r="B21791" s="3" t="s">
        <v>90</v>
      </c>
      <c r="C21791" s="5">
        <v>720</v>
      </c>
      <c r="D21791" s="6">
        <v>4.74</v>
      </c>
    </row>
    <row r="21792" spans="1:4" x14ac:dyDescent="0.25">
      <c r="A21792" t="str">
        <f>HYPERLINK("https://www.773grp.com/globalSearch/TCA8418EYFPR/page-1", "TCA8418EYFPR")</f>
        <v>TCA8418EYFPR</v>
      </c>
      <c r="B21792" s="3" t="s">
        <v>90</v>
      </c>
      <c r="C21792" s="5">
        <v>4911</v>
      </c>
      <c r="D21792" s="6">
        <v>4.74</v>
      </c>
    </row>
    <row r="21793" spans="1:4" x14ac:dyDescent="0.25">
      <c r="A21793" t="str">
        <f>HYPERLINK("https://www.773grp.com/globalSearch/TLC072AID/page-1", "TLC072AID")</f>
        <v>TLC072AID</v>
      </c>
      <c r="B21793" s="3" t="s">
        <v>90</v>
      </c>
      <c r="C21793" s="5">
        <v>90</v>
      </c>
      <c r="D21793" s="6">
        <v>4.74</v>
      </c>
    </row>
    <row r="21794" spans="1:4" x14ac:dyDescent="0.25">
      <c r="A21794" t="str">
        <f>HYPERLINK("https://www.773grp.com/globalSearch/TLC2254ID/page-1", "TLC2254ID")</f>
        <v>TLC2254ID</v>
      </c>
      <c r="B21794" s="3" t="s">
        <v>90</v>
      </c>
      <c r="C21794" s="5">
        <v>1054</v>
      </c>
      <c r="D21794" s="6">
        <v>4.74</v>
      </c>
    </row>
    <row r="21795" spans="1:4" x14ac:dyDescent="0.25">
      <c r="A21795" t="str">
        <f>HYPERLINK("https://www.773grp.com/globalSearch/TLC2272AQDRG4Q1/page-1", "TLC2272AQDRG4Q1")</f>
        <v>TLC2272AQDRG4Q1</v>
      </c>
      <c r="B21795" s="3" t="s">
        <v>90</v>
      </c>
      <c r="C21795" s="5">
        <v>7500</v>
      </c>
      <c r="D21795" s="6">
        <v>4.74</v>
      </c>
    </row>
    <row r="21796" spans="1:4" x14ac:dyDescent="0.25">
      <c r="A21796" t="str">
        <f>HYPERLINK("https://www.773grp.com/globalSearch/TLC2272AQDRQ1/page-1", "TLC2272AQDRQ1")</f>
        <v>TLC2272AQDRQ1</v>
      </c>
      <c r="B21796" s="3" t="s">
        <v>90</v>
      </c>
      <c r="C21796" s="5">
        <v>20000</v>
      </c>
      <c r="D21796" s="6">
        <v>4.74</v>
      </c>
    </row>
    <row r="21797" spans="1:4" x14ac:dyDescent="0.25">
      <c r="A21797" t="str">
        <f>HYPERLINK("https://www.773grp.com/globalSearch/TLC2272MDR/page-1", "TLC2272MDR")</f>
        <v>TLC2272MDR</v>
      </c>
      <c r="B21797" s="3" t="s">
        <v>90</v>
      </c>
      <c r="C21797" s="5">
        <v>22500</v>
      </c>
      <c r="D21797" s="6">
        <v>4.74</v>
      </c>
    </row>
    <row r="21798" spans="1:4" x14ac:dyDescent="0.25">
      <c r="A21798" t="str">
        <f>HYPERLINK("https://www.773grp.com/globalSearch/TLC2272MDRG4/page-1", "TLC2272MDRG4")</f>
        <v>TLC2272MDRG4</v>
      </c>
      <c r="B21798" s="3" t="s">
        <v>90</v>
      </c>
      <c r="C21798" s="5">
        <v>50</v>
      </c>
      <c r="D21798" s="6">
        <v>4.74</v>
      </c>
    </row>
    <row r="21799" spans="1:4" x14ac:dyDescent="0.25">
      <c r="A21799" t="str">
        <f>HYPERLINK("https://www.773grp.com/globalSearch/TLC27L7CD/page-1", "TLC27L7CD")</f>
        <v>TLC27L7CD</v>
      </c>
      <c r="B21799" s="3" t="s">
        <v>90</v>
      </c>
      <c r="C21799" s="5">
        <v>525</v>
      </c>
      <c r="D21799" s="6">
        <v>4.74</v>
      </c>
    </row>
    <row r="21800" spans="1:4" x14ac:dyDescent="0.25">
      <c r="A21800" t="str">
        <f>HYPERLINK("https://www.773grp.com/globalSearch/TLC27L7CDG4/page-1", "TLC27L7CDG4")</f>
        <v>TLC27L7CDG4</v>
      </c>
      <c r="B21800" s="3" t="s">
        <v>90</v>
      </c>
      <c r="C21800" s="5">
        <v>225</v>
      </c>
      <c r="D21800" s="6">
        <v>4.74</v>
      </c>
    </row>
    <row r="21801" spans="1:4" x14ac:dyDescent="0.25">
      <c r="A21801" t="str">
        <f>HYPERLINK("https://www.773grp.com/globalSearch/TLV2262AQPWRQ1/page-1", "TLV2262AQPWRQ1")</f>
        <v>TLV2262AQPWRQ1</v>
      </c>
      <c r="B21801" s="3" t="s">
        <v>90</v>
      </c>
      <c r="C21801" s="5">
        <v>3952</v>
      </c>
      <c r="D21801" s="6">
        <v>4.74</v>
      </c>
    </row>
    <row r="21802" spans="1:4" x14ac:dyDescent="0.25">
      <c r="A21802" t="str">
        <f>HYPERLINK("https://www.773grp.com/globalSearch/TLV2374ID/page-1", "TLV2374ID")</f>
        <v>TLV2374ID</v>
      </c>
      <c r="B21802" s="3" t="s">
        <v>90</v>
      </c>
      <c r="C21802" s="5">
        <v>2800</v>
      </c>
      <c r="D21802" s="6">
        <v>4.74</v>
      </c>
    </row>
    <row r="21803" spans="1:4" x14ac:dyDescent="0.25">
      <c r="A21803" t="str">
        <f>HYPERLINK("https://www.773grp.com/globalSearch/TLV2374QPWRG4Q1/page-1", "TLV2374QPWRG4Q1")</f>
        <v>TLV2374QPWRG4Q1</v>
      </c>
      <c r="B21803" s="3" t="s">
        <v>90</v>
      </c>
      <c r="C21803" s="5">
        <v>16000</v>
      </c>
      <c r="D21803" s="6">
        <v>4.74</v>
      </c>
    </row>
    <row r="21804" spans="1:4" x14ac:dyDescent="0.25">
      <c r="A21804" t="str">
        <f>HYPERLINK("https://www.773grp.com/globalSearch/TLV2374QPWRQ1/page-1", "TLV2374QPWRQ1")</f>
        <v>TLV2374QPWRQ1</v>
      </c>
      <c r="B21804" s="3" t="s">
        <v>90</v>
      </c>
      <c r="C21804" s="5">
        <v>4000</v>
      </c>
      <c r="D21804" s="6">
        <v>4.74</v>
      </c>
    </row>
    <row r="21805" spans="1:4" x14ac:dyDescent="0.25">
      <c r="A21805" t="str">
        <f>HYPERLINK("https://www.773grp.com/globalSearch/TLV2452AIDR/page-1", "TLV2452AIDR")</f>
        <v>TLV2452AIDR</v>
      </c>
      <c r="B21805" s="3" t="s">
        <v>90</v>
      </c>
      <c r="C21805" s="5">
        <v>5000</v>
      </c>
      <c r="D21805" s="6">
        <v>4.74</v>
      </c>
    </row>
    <row r="21806" spans="1:4" x14ac:dyDescent="0.25">
      <c r="A21806" t="str">
        <f>HYPERLINK("https://www.773grp.com/globalSearch/TLV2472IDR/page-1", "TLV2472IDR")</f>
        <v>TLV2472IDR</v>
      </c>
      <c r="B21806" s="3" t="s">
        <v>90</v>
      </c>
      <c r="C21806" s="5">
        <v>2500</v>
      </c>
      <c r="D21806" s="6">
        <v>4.74</v>
      </c>
    </row>
    <row r="21807" spans="1:4" x14ac:dyDescent="0.25">
      <c r="A21807" t="str">
        <f>HYPERLINK("https://www.773grp.com/globalSearch/TLV2771AIDR/page-1", "TLV2771AIDR")</f>
        <v>TLV2771AIDR</v>
      </c>
      <c r="B21807" s="3" t="s">
        <v>90</v>
      </c>
      <c r="C21807" s="5">
        <v>5000</v>
      </c>
      <c r="D21807" s="6">
        <v>4.74</v>
      </c>
    </row>
    <row r="21808" spans="1:4" x14ac:dyDescent="0.25">
      <c r="A21808" t="str">
        <f>HYPERLINK("https://www.773grp.com/globalSearch/TLV3011AIDCKT/page-1", "TLV3011AIDCKT")</f>
        <v>TLV3011AIDCKT</v>
      </c>
      <c r="B21808" s="3" t="s">
        <v>90</v>
      </c>
      <c r="C21808" s="5">
        <v>971</v>
      </c>
      <c r="D21808" s="6">
        <v>4.74</v>
      </c>
    </row>
    <row r="21809" spans="1:4" x14ac:dyDescent="0.25">
      <c r="A21809" t="str">
        <f>HYPERLINK("https://www.773grp.com/globalSearch/TMP423BIDCNT/page-1", "TMP423BIDCNT")</f>
        <v>TMP423BIDCNT</v>
      </c>
      <c r="B21809" s="3" t="s">
        <v>90</v>
      </c>
      <c r="C21809" s="5">
        <v>250</v>
      </c>
      <c r="D21809" s="6">
        <v>4.74</v>
      </c>
    </row>
    <row r="21810" spans="1:4" x14ac:dyDescent="0.25">
      <c r="A21810" t="str">
        <f>HYPERLINK("https://www.773grp.com/globalSearch/TPS2378DDA/page-1", "TPS2378DDA")</f>
        <v>TPS2378DDA</v>
      </c>
      <c r="B21810" s="3" t="s">
        <v>90</v>
      </c>
      <c r="C21810" s="5">
        <v>600</v>
      </c>
      <c r="D21810" s="6">
        <v>4.74</v>
      </c>
    </row>
    <row r="21811" spans="1:4" x14ac:dyDescent="0.25">
      <c r="A21811" t="str">
        <f>HYPERLINK("https://www.773grp.com/globalSearch/TPS2400DBVTG4/page-1", "TPS2400DBVTG4")</f>
        <v>TPS2400DBVTG4</v>
      </c>
      <c r="B21811" s="3" t="s">
        <v>90</v>
      </c>
      <c r="C21811" s="5">
        <v>30</v>
      </c>
      <c r="D21811" s="6">
        <v>4.74</v>
      </c>
    </row>
    <row r="21812" spans="1:4" x14ac:dyDescent="0.25">
      <c r="A21812" t="str">
        <f>HYPERLINK("https://www.773grp.com/globalSearch/TPS2556DRBR/page-1", "TPS2556DRBR")</f>
        <v>TPS2556DRBR</v>
      </c>
      <c r="B21812" s="3" t="s">
        <v>90</v>
      </c>
      <c r="C21812" s="5">
        <v>6000</v>
      </c>
      <c r="D21812" s="6">
        <v>4.74</v>
      </c>
    </row>
    <row r="21813" spans="1:4" x14ac:dyDescent="0.25">
      <c r="A21813" t="str">
        <f>HYPERLINK("https://www.773grp.com/globalSearch/TPS2557DRBR/page-1", "TPS2557DRBR")</f>
        <v>TPS2557DRBR</v>
      </c>
      <c r="B21813" s="3" t="s">
        <v>90</v>
      </c>
      <c r="C21813" s="5">
        <v>2900</v>
      </c>
      <c r="D21813" s="6">
        <v>4.74</v>
      </c>
    </row>
    <row r="21814" spans="1:4" x14ac:dyDescent="0.25">
      <c r="A21814" t="str">
        <f>HYPERLINK("https://www.773grp.com/globalSearch/TPS2560DRCR/page-1", "TPS2560DRCR")</f>
        <v>TPS2560DRCR</v>
      </c>
      <c r="B21814" s="3" t="s">
        <v>90</v>
      </c>
      <c r="C21814" s="5">
        <v>3000</v>
      </c>
      <c r="D21814" s="6">
        <v>4.74</v>
      </c>
    </row>
    <row r="21815" spans="1:4" x14ac:dyDescent="0.25">
      <c r="A21815" t="str">
        <f>HYPERLINK("https://www.773grp.com/globalSearch/TPS2816DBVT/page-1", "TPS2816DBVT")</f>
        <v>TPS2816DBVT</v>
      </c>
      <c r="B21815" s="3" t="s">
        <v>90</v>
      </c>
      <c r="C21815" s="5">
        <v>1000</v>
      </c>
      <c r="D21815" s="6">
        <v>4.74</v>
      </c>
    </row>
    <row r="21816" spans="1:4" x14ac:dyDescent="0.25">
      <c r="A21816" t="str">
        <f>HYPERLINK("https://www.773grp.com/globalSearch/TPS2819DBVT/page-1", "TPS2819DBVT")</f>
        <v>TPS2819DBVT</v>
      </c>
      <c r="B21816" s="3" t="s">
        <v>90</v>
      </c>
      <c r="C21816" s="5">
        <v>650</v>
      </c>
      <c r="D21816" s="6">
        <v>4.74</v>
      </c>
    </row>
    <row r="21817" spans="1:4" x14ac:dyDescent="0.25">
      <c r="A21817" t="str">
        <f>HYPERLINK("https://www.773grp.com/globalSearch/TPS3126E12DBVT/page-1", "TPS3126E12DBVT")</f>
        <v>TPS3126E12DBVT</v>
      </c>
      <c r="B21817" s="3" t="s">
        <v>90</v>
      </c>
      <c r="C21817" s="5">
        <v>36</v>
      </c>
      <c r="D21817" s="6">
        <v>4.74</v>
      </c>
    </row>
    <row r="21818" spans="1:4" x14ac:dyDescent="0.25">
      <c r="A21818" t="str">
        <f>HYPERLINK("https://www.773grp.com/globalSearch/TPS3805H33MDCKREP/page-1", "TPS3805H33MDCKREP")</f>
        <v>TPS3805H33MDCKREP</v>
      </c>
      <c r="B21818" s="3" t="s">
        <v>90</v>
      </c>
      <c r="C21818" s="5">
        <v>3323</v>
      </c>
      <c r="D21818" s="6">
        <v>4.74</v>
      </c>
    </row>
    <row r="21819" spans="1:4" x14ac:dyDescent="0.25">
      <c r="A21819" t="str">
        <f>HYPERLINK("https://www.773grp.com/globalSearch/TPS62065DSGR/page-1", "TPS62065DSGR")</f>
        <v>TPS62065DSGR</v>
      </c>
      <c r="B21819" s="3" t="s">
        <v>90</v>
      </c>
      <c r="C21819" s="5">
        <v>6649</v>
      </c>
      <c r="D21819" s="6">
        <v>4.74</v>
      </c>
    </row>
    <row r="21820" spans="1:4" x14ac:dyDescent="0.25">
      <c r="A21820" t="str">
        <f>HYPERLINK("https://www.773grp.com/globalSearch/TPS62590DRVT/page-1", "TPS62590DRVT")</f>
        <v>TPS62590DRVT</v>
      </c>
      <c r="B21820" s="3" t="s">
        <v>90</v>
      </c>
      <c r="C21820" s="5">
        <v>5250</v>
      </c>
      <c r="D21820" s="6">
        <v>4.74</v>
      </c>
    </row>
    <row r="21821" spans="1:4" x14ac:dyDescent="0.25">
      <c r="A21821" t="str">
        <f>HYPERLINK("https://www.773grp.com/globalSearch/TPS71319DRCR/page-1", "TPS71319DRCR")</f>
        <v>TPS71319DRCR</v>
      </c>
      <c r="B21821" s="3" t="s">
        <v>90</v>
      </c>
      <c r="C21821" s="5">
        <v>18000</v>
      </c>
      <c r="D21821" s="6">
        <v>4.74</v>
      </c>
    </row>
    <row r="21822" spans="1:4" x14ac:dyDescent="0.25">
      <c r="A21822" t="str">
        <f>HYPERLINK("https://www.773grp.com/globalSearch/TPS71334DRCR/page-1", "TPS71334DRCR")</f>
        <v>TPS71334DRCR</v>
      </c>
      <c r="B21822" s="3" t="s">
        <v>90</v>
      </c>
      <c r="C21822" s="5">
        <v>2750</v>
      </c>
      <c r="D21822" s="6">
        <v>4.74</v>
      </c>
    </row>
    <row r="21823" spans="1:4" x14ac:dyDescent="0.25">
      <c r="A21823" t="str">
        <f>HYPERLINK("https://www.773grp.com/globalSearch/TPS73616DBVT/page-1", "TPS73616DBVT")</f>
        <v>TPS73616DBVT</v>
      </c>
      <c r="B21823" s="3" t="s">
        <v>90</v>
      </c>
      <c r="C21823" s="5">
        <v>750</v>
      </c>
      <c r="D21823" s="6">
        <v>4.74</v>
      </c>
    </row>
    <row r="21824" spans="1:4" x14ac:dyDescent="0.25">
      <c r="A21824" t="str">
        <f>HYPERLINK("https://www.773grp.com/globalSearch/TPS73625DBVT/page-1", "TPS73625DBVT")</f>
        <v>TPS73625DBVT</v>
      </c>
      <c r="B21824" s="3" t="s">
        <v>90</v>
      </c>
      <c r="C21824" s="5">
        <v>2250</v>
      </c>
      <c r="D21824" s="6">
        <v>4.74</v>
      </c>
    </row>
    <row r="21825" spans="1:4" x14ac:dyDescent="0.25">
      <c r="A21825" t="str">
        <f>HYPERLINK("https://www.773grp.com/globalSearch/TPS73630DBVT/page-1", "TPS73630DBVT")</f>
        <v>TPS73630DBVT</v>
      </c>
      <c r="B21825" s="3" t="s">
        <v>90</v>
      </c>
      <c r="C21825" s="5">
        <v>1300</v>
      </c>
      <c r="D21825" s="6">
        <v>4.74</v>
      </c>
    </row>
    <row r="21826" spans="1:4" x14ac:dyDescent="0.25">
      <c r="A21826" t="str">
        <f>HYPERLINK("https://www.773grp.com/globalSearch/TPS74801RGWT/page-1", "TPS74801RGWT")</f>
        <v>TPS74801RGWT</v>
      </c>
      <c r="B21826" s="3" t="s">
        <v>90</v>
      </c>
      <c r="C21826" s="5">
        <v>1053</v>
      </c>
      <c r="D21826" s="6">
        <v>4.74</v>
      </c>
    </row>
    <row r="21827" spans="1:4" x14ac:dyDescent="0.25">
      <c r="A21827" t="str">
        <f>HYPERLINK("https://www.773grp.com/globalSearch/TPS76801QPWPRMO/page-1", "TPS76801QPWPRMO")</f>
        <v>TPS76801QPWPRMO</v>
      </c>
      <c r="B21827" s="3" t="s">
        <v>90</v>
      </c>
      <c r="C21827" s="5">
        <v>4000</v>
      </c>
      <c r="D21827" s="6">
        <v>4.74</v>
      </c>
    </row>
    <row r="21828" spans="1:4" x14ac:dyDescent="0.25">
      <c r="A21828" t="str">
        <f>HYPERLINK("https://www.773grp.com/globalSearch/TRS3318CDBR/page-1", "TRS3318CDBR")</f>
        <v>TRS3318CDBR</v>
      </c>
      <c r="B21828" s="3" t="s">
        <v>90</v>
      </c>
      <c r="C21828" s="5">
        <v>4000</v>
      </c>
      <c r="D21828" s="6">
        <v>4.74</v>
      </c>
    </row>
    <row r="21829" spans="1:4" x14ac:dyDescent="0.25">
      <c r="A21829" t="str">
        <f>HYPERLINK("https://www.773grp.com/globalSearch/TRS3318CPWR/page-1", "TRS3318CPWR")</f>
        <v>TRS3318CPWR</v>
      </c>
      <c r="B21829" s="3" t="s">
        <v>90</v>
      </c>
      <c r="C21829" s="5">
        <v>10000</v>
      </c>
      <c r="D21829" s="6">
        <v>4.74</v>
      </c>
    </row>
    <row r="21830" spans="1:4" x14ac:dyDescent="0.25">
      <c r="A21830" t="str">
        <f>HYPERLINK("https://www.773grp.com/globalSearch/TS3L501ERUAR/page-1", "TS3L501ERUAR")</f>
        <v>TS3L501ERUAR</v>
      </c>
      <c r="B21830" s="3" t="s">
        <v>90</v>
      </c>
      <c r="C21830" s="5">
        <v>9000</v>
      </c>
      <c r="D21830" s="6">
        <v>4.74</v>
      </c>
    </row>
    <row r="21831" spans="1:4" x14ac:dyDescent="0.25">
      <c r="A21831" t="str">
        <f>HYPERLINK("https://www.773grp.com/globalSearch/TSU5511YZPR/page-1", "TSU5511YZPR")</f>
        <v>TSU5511YZPR</v>
      </c>
      <c r="B21831" s="3" t="s">
        <v>90</v>
      </c>
      <c r="C21831" s="5">
        <v>3000</v>
      </c>
      <c r="D21831" s="6">
        <v>4.74</v>
      </c>
    </row>
    <row r="21832" spans="1:4" x14ac:dyDescent="0.25">
      <c r="A21832" t="str">
        <f>HYPERLINK("https://www.773grp.com/globalSearch/TSU5611YZPR/page-1", "TSU5611YZPR")</f>
        <v>TSU5611YZPR</v>
      </c>
      <c r="B21832" s="3" t="s">
        <v>90</v>
      </c>
      <c r="C21832" s="5">
        <v>496</v>
      </c>
      <c r="D21832" s="6">
        <v>4.74</v>
      </c>
    </row>
    <row r="21833" spans="1:4" x14ac:dyDescent="0.25">
      <c r="A21833" t="str">
        <f>HYPERLINK("https://www.773grp.com/globalSearch/UC2843AQD8R/page-1", "UC2843AQD8R")</f>
        <v>UC2843AQD8R</v>
      </c>
      <c r="B21833" s="3" t="s">
        <v>90</v>
      </c>
      <c r="C21833" s="5">
        <v>2500</v>
      </c>
      <c r="D21833" s="6">
        <v>4.74</v>
      </c>
    </row>
    <row r="21834" spans="1:4" x14ac:dyDescent="0.25">
      <c r="A21834" t="str">
        <f>HYPERLINK("https://www.773grp.com/globalSearch/UC2844N-81291/page-1", "UC2844N-81291")</f>
        <v>UC2844N-81291</v>
      </c>
      <c r="B21834" s="3" t="s">
        <v>90</v>
      </c>
      <c r="C21834" s="5">
        <v>5470</v>
      </c>
      <c r="D21834" s="6">
        <v>4.74</v>
      </c>
    </row>
    <row r="21835" spans="1:4" x14ac:dyDescent="0.25">
      <c r="A21835" t="str">
        <f>HYPERLINK("https://www.773grp.com/globalSearch/UC3715DTR/page-1", "UC3715DTR")</f>
        <v>UC3715DTR</v>
      </c>
      <c r="B21835" s="3" t="s">
        <v>90</v>
      </c>
      <c r="C21835" s="5">
        <v>7500</v>
      </c>
      <c r="D21835" s="6">
        <v>4.74</v>
      </c>
    </row>
    <row r="21836" spans="1:4" x14ac:dyDescent="0.25">
      <c r="A21836" t="str">
        <f>HYPERLINK("https://www.773grp.com/globalSearch/UCC25706QDRQ1/page-1", "UCC25706QDRQ1")</f>
        <v>UCC25706QDRQ1</v>
      </c>
      <c r="B21836" s="3" t="s">
        <v>90</v>
      </c>
      <c r="C21836" s="5">
        <v>12266</v>
      </c>
      <c r="D21836" s="6">
        <v>4.74</v>
      </c>
    </row>
    <row r="21837" spans="1:4" x14ac:dyDescent="0.25">
      <c r="A21837" t="str">
        <f>HYPERLINK("https://www.773grp.com/globalSearch/UCC27323D/page-1", "UCC27323D")</f>
        <v>UCC27323D</v>
      </c>
      <c r="B21837" s="3" t="s">
        <v>90</v>
      </c>
      <c r="C21837" s="5">
        <v>325</v>
      </c>
      <c r="D21837" s="6">
        <v>4.74</v>
      </c>
    </row>
    <row r="21838" spans="1:4" x14ac:dyDescent="0.25">
      <c r="A21838" t="str">
        <f>HYPERLINK("https://www.773grp.com/globalSearch/UCC27324DG4/page-1", "UCC27324DG4")</f>
        <v>UCC27324DG4</v>
      </c>
      <c r="B21838" s="3" t="s">
        <v>90</v>
      </c>
      <c r="C21838" s="5">
        <v>23</v>
      </c>
      <c r="D21838" s="6">
        <v>4.74</v>
      </c>
    </row>
    <row r="21839" spans="1:4" x14ac:dyDescent="0.25">
      <c r="A21839" t="str">
        <f>HYPERLINK("https://www.773grp.com/globalSearch/UCC27324DGN/page-1", "UCC27324DGN")</f>
        <v>UCC27324DGN</v>
      </c>
      <c r="B21839" s="3" t="s">
        <v>90</v>
      </c>
      <c r="C21839" s="5">
        <v>60</v>
      </c>
      <c r="D21839" s="6">
        <v>4.74</v>
      </c>
    </row>
    <row r="21840" spans="1:4" x14ac:dyDescent="0.25">
      <c r="A21840" t="str">
        <f>HYPERLINK("https://www.773grp.com/globalSearch/UCC27424D/page-1", "UCC27424D")</f>
        <v>UCC27424D</v>
      </c>
      <c r="B21840" s="3" t="s">
        <v>90</v>
      </c>
      <c r="C21840" s="5">
        <v>55</v>
      </c>
      <c r="D21840" s="6">
        <v>4.74</v>
      </c>
    </row>
    <row r="21841" spans="1:4" x14ac:dyDescent="0.25">
      <c r="A21841" t="str">
        <f>HYPERLINK("https://www.773grp.com/globalSearch/UCC27424DGN/page-1", "UCC27424DGN")</f>
        <v>UCC27424DGN</v>
      </c>
      <c r="B21841" s="3" t="s">
        <v>90</v>
      </c>
      <c r="C21841" s="5">
        <v>160</v>
      </c>
      <c r="D21841" s="6">
        <v>4.74</v>
      </c>
    </row>
    <row r="21842" spans="1:4" x14ac:dyDescent="0.25">
      <c r="A21842" t="str">
        <f>HYPERLINK("https://www.773grp.com/globalSearch/UCC27523D/page-1", "UCC27523D")</f>
        <v>UCC27523D</v>
      </c>
      <c r="B21842" s="3" t="s">
        <v>90</v>
      </c>
      <c r="C21842" s="5">
        <v>1446</v>
      </c>
      <c r="D21842" s="6">
        <v>4.74</v>
      </c>
    </row>
    <row r="21843" spans="1:4" x14ac:dyDescent="0.25">
      <c r="A21843" t="str">
        <f>HYPERLINK("https://www.773grp.com/globalSearch/UCC27524AD/page-1", "UCC27524AD")</f>
        <v>UCC27524AD</v>
      </c>
      <c r="B21843" s="3" t="s">
        <v>90</v>
      </c>
      <c r="C21843" s="5">
        <v>300</v>
      </c>
      <c r="D21843" s="6">
        <v>4.74</v>
      </c>
    </row>
    <row r="21844" spans="1:4" x14ac:dyDescent="0.25">
      <c r="A21844" t="str">
        <f>HYPERLINK("https://www.773grp.com/globalSearch/UCC27524ADGN/page-1", "UCC27524ADGN")</f>
        <v>UCC27524ADGN</v>
      </c>
      <c r="B21844" s="3" t="s">
        <v>90</v>
      </c>
      <c r="C21844" s="5">
        <v>320</v>
      </c>
      <c r="D21844" s="6">
        <v>4.74</v>
      </c>
    </row>
    <row r="21845" spans="1:4" x14ac:dyDescent="0.25">
      <c r="A21845" t="str">
        <f>HYPERLINK("https://www.773grp.com/globalSearch/UCC27524D/page-1", "UCC27524D")</f>
        <v>UCC27524D</v>
      </c>
      <c r="B21845" s="3" t="s">
        <v>90</v>
      </c>
      <c r="C21845" s="5">
        <v>250</v>
      </c>
      <c r="D21845" s="6">
        <v>4.74</v>
      </c>
    </row>
    <row r="21846" spans="1:4" x14ac:dyDescent="0.25">
      <c r="A21846" t="str">
        <f>HYPERLINK("https://www.773grp.com/globalSearch/UCC27524DGN/page-1", "UCC27524DGN")</f>
        <v>UCC27524DGN</v>
      </c>
      <c r="B21846" s="3" t="s">
        <v>90</v>
      </c>
      <c r="C21846" s="5">
        <v>13600</v>
      </c>
      <c r="D21846" s="6">
        <v>4.74</v>
      </c>
    </row>
    <row r="21847" spans="1:4" x14ac:dyDescent="0.25">
      <c r="A21847" t="str">
        <f>HYPERLINK("https://www.773grp.com/globalSearch/UCC27525D/page-1", "UCC27525D")</f>
        <v>UCC27525D</v>
      </c>
      <c r="B21847" s="3" t="s">
        <v>90</v>
      </c>
      <c r="C21847" s="5">
        <v>1400</v>
      </c>
      <c r="D21847" s="6">
        <v>4.74</v>
      </c>
    </row>
    <row r="21848" spans="1:4" x14ac:dyDescent="0.25">
      <c r="A21848" t="str">
        <f>HYPERLINK("https://www.773grp.com/globalSearch/UCC27525DGN/page-1", "UCC27525DGN")</f>
        <v>UCC27525DGN</v>
      </c>
      <c r="B21848" s="3" t="s">
        <v>90</v>
      </c>
      <c r="C21848" s="5">
        <v>310</v>
      </c>
      <c r="D21848" s="6">
        <v>4.74</v>
      </c>
    </row>
    <row r="21849" spans="1:4" x14ac:dyDescent="0.25">
      <c r="A21849" t="str">
        <f>HYPERLINK("https://www.773grp.com/globalSearch/UCC37324DGN/page-1", "UCC37324DGN")</f>
        <v>UCC37324DGN</v>
      </c>
      <c r="B21849" s="3" t="s">
        <v>90</v>
      </c>
      <c r="C21849" s="5">
        <v>300</v>
      </c>
      <c r="D21849" s="6">
        <v>4.74</v>
      </c>
    </row>
    <row r="21850" spans="1:4" x14ac:dyDescent="0.25">
      <c r="A21850" t="str">
        <f>HYPERLINK("https://www.773grp.com/globalSearch/UCC37325DGNG4/page-1", "UCC37325DGNG4")</f>
        <v>UCC37325DGNG4</v>
      </c>
      <c r="B21850" s="3" t="s">
        <v>90</v>
      </c>
      <c r="C21850" s="5">
        <v>320</v>
      </c>
      <c r="D21850" s="6">
        <v>4.74</v>
      </c>
    </row>
    <row r="21851" spans="1:4" x14ac:dyDescent="0.25">
      <c r="A21851" t="str">
        <f>HYPERLINK("https://www.773grp.com/globalSearch/74FCT162H245ATPAC/page-1", "74FCT162H245ATPAC")</f>
        <v>74FCT162H245ATPAC</v>
      </c>
      <c r="B21851" s="3" t="s">
        <v>90</v>
      </c>
      <c r="C21851" s="5">
        <v>48</v>
      </c>
      <c r="D21851" s="6">
        <v>4.3</v>
      </c>
    </row>
    <row r="21852" spans="1:4" x14ac:dyDescent="0.25">
      <c r="A21852" t="str">
        <f>HYPERLINK("https://www.773grp.com/globalSearch/SN74AS161NS/page-1", "SN74AS161NS")</f>
        <v>SN74AS161NS</v>
      </c>
      <c r="B21852" s="3" t="s">
        <v>90</v>
      </c>
      <c r="C21852" s="5">
        <v>1950</v>
      </c>
      <c r="D21852" s="6">
        <v>4.3</v>
      </c>
    </row>
    <row r="21853" spans="1:4" x14ac:dyDescent="0.25">
      <c r="A21853" t="str">
        <f>HYPERLINK("https://www.773grp.com/globalSearch/SN74AS373NS/page-1", "SN74AS373NS")</f>
        <v>SN74AS373NS</v>
      </c>
      <c r="B21853" s="3" t="s">
        <v>90</v>
      </c>
      <c r="C21853" s="5">
        <v>2040</v>
      </c>
      <c r="D21853" s="6">
        <v>4.3</v>
      </c>
    </row>
    <row r="21854" spans="1:4" x14ac:dyDescent="0.25">
      <c r="A21854" t="str">
        <f>HYPERLINK("https://www.773grp.com/globalSearch/SN74AS95AD/page-1", "SN74AS95AD")</f>
        <v>SN74AS95AD</v>
      </c>
      <c r="B21854" s="3" t="s">
        <v>90</v>
      </c>
      <c r="C21854" s="5">
        <v>968</v>
      </c>
      <c r="D21854" s="6">
        <v>4.3</v>
      </c>
    </row>
    <row r="21855" spans="1:4" x14ac:dyDescent="0.25">
      <c r="A21855" t="str">
        <f>HYPERLINK("https://www.773grp.com/globalSearch/SNJ54ALS04AJ/page-1", "SNJ54ALS04AJ")</f>
        <v>SNJ54ALS04AJ</v>
      </c>
      <c r="B21855" s="3" t="s">
        <v>90</v>
      </c>
      <c r="C21855" s="5">
        <v>83</v>
      </c>
      <c r="D21855" s="6">
        <v>4.3</v>
      </c>
    </row>
    <row r="21856" spans="1:4" x14ac:dyDescent="0.25">
      <c r="A21856" t="str">
        <f>HYPERLINK("https://www.773grp.com/globalSearch/TRF8010PWPR/page-1", "TRF8010PWPR")</f>
        <v>TRF8010PWPR</v>
      </c>
      <c r="B21856" s="3" t="s">
        <v>90</v>
      </c>
      <c r="C21856" s="5">
        <v>6000</v>
      </c>
      <c r="D21856" s="6">
        <v>4.3</v>
      </c>
    </row>
    <row r="21857" spans="1:4" x14ac:dyDescent="0.25">
      <c r="A21857" t="str">
        <f>HYPERLINK("https://www.773grp.com/globalSearch/SN65HVD1176DR/page-1", "SN65HVD1176DR")</f>
        <v>SN65HVD1176DR</v>
      </c>
      <c r="B21857" s="3" t="s">
        <v>90</v>
      </c>
      <c r="C21857" s="5">
        <v>7500</v>
      </c>
      <c r="D21857" s="6">
        <v>4.34</v>
      </c>
    </row>
    <row r="21858" spans="1:4" x14ac:dyDescent="0.25">
      <c r="A21858" t="str">
        <f>HYPERLINK("https://www.773grp.com/globalSearch/SN65HVD78DRBT/page-1", "SN65HVD78DRBT")</f>
        <v>SN65HVD78DRBT</v>
      </c>
      <c r="B21858" s="3" t="s">
        <v>90</v>
      </c>
      <c r="C21858" s="5">
        <v>250</v>
      </c>
      <c r="D21858" s="6">
        <v>4.34</v>
      </c>
    </row>
    <row r="21859" spans="1:4" x14ac:dyDescent="0.25">
      <c r="A21859" t="str">
        <f>HYPERLINK("https://www.773grp.com/globalSearch/SN74ALS37ANS/page-1", "SN74ALS37ANS")</f>
        <v>SN74ALS37ANS</v>
      </c>
      <c r="B21859" s="3" t="s">
        <v>90</v>
      </c>
      <c r="C21859" s="5">
        <v>3050</v>
      </c>
      <c r="D21859" s="6">
        <v>4.34</v>
      </c>
    </row>
    <row r="21860" spans="1:4" x14ac:dyDescent="0.25">
      <c r="A21860" t="str">
        <f>HYPERLINK("https://www.773grp.com/globalSearch/TL2218-285PW-A/page-1", "TL2218-285PW-A")</f>
        <v>TL2218-285PW-A</v>
      </c>
      <c r="B21860" s="3" t="s">
        <v>90</v>
      </c>
      <c r="C21860" s="5">
        <v>1750</v>
      </c>
      <c r="D21860" s="6">
        <v>4.34</v>
      </c>
    </row>
    <row r="21861" spans="1:4" x14ac:dyDescent="0.25">
      <c r="A21861" t="str">
        <f>HYPERLINK("https://www.773grp.com/globalSearch/TPS54240DRCR/page-1", "TPS54240DRCR")</f>
        <v>TPS54240DRCR</v>
      </c>
      <c r="B21861" s="3" t="s">
        <v>90</v>
      </c>
      <c r="C21861" s="5">
        <v>2796</v>
      </c>
      <c r="D21861" s="6">
        <v>4.34</v>
      </c>
    </row>
    <row r="21862" spans="1:4" x14ac:dyDescent="0.25">
      <c r="A21862" t="str">
        <f>HYPERLINK("https://www.773grp.com/globalSearch/LM2940CS-12/page-1", "LM2940CS-12")</f>
        <v>LM2940CS-12</v>
      </c>
      <c r="B21862" s="3" t="s">
        <v>90</v>
      </c>
      <c r="C21862" s="5">
        <v>429</v>
      </c>
      <c r="D21862" s="6">
        <v>4.79</v>
      </c>
    </row>
    <row r="21863" spans="1:4" x14ac:dyDescent="0.25">
      <c r="A21863" t="str">
        <f>HYPERLINK("https://www.773grp.com/globalSearch/LM3409QHVMY-NOPB/page-1", "LM3409QHVMY-NOPB")</f>
        <v>LM3409QHVMY-NOPB</v>
      </c>
      <c r="B21863" s="3" t="s">
        <v>90</v>
      </c>
      <c r="C21863" s="5">
        <v>164</v>
      </c>
      <c r="D21863" s="6">
        <v>4.79</v>
      </c>
    </row>
    <row r="21864" spans="1:4" x14ac:dyDescent="0.25">
      <c r="A21864" t="str">
        <f>HYPERLINK("https://www.773grp.com/globalSearch/LMH6643QMM-NOPB/page-1", "LMH6643QMM-NOPB")</f>
        <v>LMH6643QMM-NOPB</v>
      </c>
      <c r="B21864" s="3" t="s">
        <v>90</v>
      </c>
      <c r="C21864" s="5">
        <v>9000</v>
      </c>
      <c r="D21864" s="6">
        <v>4.79</v>
      </c>
    </row>
    <row r="21865" spans="1:4" x14ac:dyDescent="0.25">
      <c r="A21865" t="str">
        <f>HYPERLINK("https://www.773grp.com/globalSearch/SN700346N/page-1", "SN700346N")</f>
        <v>SN700346N</v>
      </c>
      <c r="B21865" s="3" t="s">
        <v>90</v>
      </c>
      <c r="C21865" s="5">
        <v>22358</v>
      </c>
      <c r="D21865" s="6">
        <v>4.79</v>
      </c>
    </row>
    <row r="21866" spans="1:4" x14ac:dyDescent="0.25">
      <c r="A21866" t="str">
        <f>HYPERLINK("https://www.773grp.com/globalSearch/TLC2274ACNE4/page-1", "TLC2274ACNE4")</f>
        <v>TLC2274ACNE4</v>
      </c>
      <c r="B21866" s="3" t="s">
        <v>90</v>
      </c>
      <c r="C21866" s="5">
        <v>500</v>
      </c>
      <c r="D21866" s="6">
        <v>4.79</v>
      </c>
    </row>
    <row r="21867" spans="1:4" x14ac:dyDescent="0.25">
      <c r="A21867" t="str">
        <f>HYPERLINK("https://www.773grp.com/globalSearch/ADC0838CCWM-NOPB/page-1", "ADC0838CCWM-NOPB")</f>
        <v>ADC0838CCWM-NOPB</v>
      </c>
      <c r="B21867" s="3" t="s">
        <v>90</v>
      </c>
      <c r="C21867" s="5">
        <v>1080</v>
      </c>
      <c r="D21867" s="6">
        <v>4.3499999999999996</v>
      </c>
    </row>
    <row r="21868" spans="1:4" x14ac:dyDescent="0.25">
      <c r="A21868" t="str">
        <f>HYPERLINK("https://www.773grp.com/globalSearch/ADS7822EB-1-2K5/page-1", "ADS7822EB-1-2K5")</f>
        <v>ADS7822EB-1-2K5</v>
      </c>
      <c r="B21868" s="3" t="s">
        <v>90</v>
      </c>
      <c r="C21868" s="5">
        <v>26730</v>
      </c>
      <c r="D21868" s="6">
        <v>4.3499999999999996</v>
      </c>
    </row>
    <row r="21869" spans="1:4" x14ac:dyDescent="0.25">
      <c r="A21869" t="str">
        <f>HYPERLINK("https://www.773grp.com/globalSearch/ADS7822U-2K5/page-1", "ADS7822U-2K5")</f>
        <v>ADS7822U-2K5</v>
      </c>
      <c r="B21869" s="3" t="s">
        <v>90</v>
      </c>
      <c r="C21869" s="5">
        <v>5000</v>
      </c>
      <c r="D21869" s="6">
        <v>4.3499999999999996</v>
      </c>
    </row>
    <row r="21870" spans="1:4" x14ac:dyDescent="0.25">
      <c r="A21870" t="str">
        <f>HYPERLINK("https://www.773grp.com/globalSearch/BQ24401DR/page-1", "BQ24401DR")</f>
        <v>BQ24401DR</v>
      </c>
      <c r="B21870" s="3" t="s">
        <v>90</v>
      </c>
      <c r="C21870" s="5">
        <v>50000</v>
      </c>
      <c r="D21870" s="6">
        <v>4.3499999999999996</v>
      </c>
    </row>
    <row r="21871" spans="1:4" x14ac:dyDescent="0.25">
      <c r="A21871" t="str">
        <f>HYPERLINK("https://www.773grp.com/globalSearch/INA155E-2K5/page-1", "INA155E-2K5")</f>
        <v>INA155E-2K5</v>
      </c>
      <c r="B21871" s="3" t="s">
        <v>90</v>
      </c>
      <c r="C21871" s="5">
        <v>5000</v>
      </c>
      <c r="D21871" s="6">
        <v>4.3499999999999996</v>
      </c>
    </row>
    <row r="21872" spans="1:4" x14ac:dyDescent="0.25">
      <c r="A21872" t="str">
        <f>HYPERLINK("https://www.773grp.com/globalSearch/INA321E-2K5/page-1", "INA321E-2K5")</f>
        <v>INA321E-2K5</v>
      </c>
      <c r="B21872" s="3" t="s">
        <v>90</v>
      </c>
      <c r="C21872" s="5">
        <v>2500</v>
      </c>
      <c r="D21872" s="6">
        <v>4.3499999999999996</v>
      </c>
    </row>
    <row r="21873" spans="1:4" x14ac:dyDescent="0.25">
      <c r="A21873" t="str">
        <f>HYPERLINK("https://www.773grp.com/globalSearch/LM2757TM-NOPB/page-1", "LM2757TM-NOPB")</f>
        <v>LM2757TM-NOPB</v>
      </c>
      <c r="B21873" s="3" t="s">
        <v>90</v>
      </c>
      <c r="C21873" s="5">
        <v>699</v>
      </c>
      <c r="D21873" s="6">
        <v>4.3499999999999996</v>
      </c>
    </row>
    <row r="21874" spans="1:4" x14ac:dyDescent="0.25">
      <c r="A21874" t="str">
        <f>HYPERLINK("https://www.773grp.com/globalSearch/LM4140BCMX-1.0-NOPB/page-1", "LM4140BCMX-1.0-NOPB")</f>
        <v>LM4140BCMX-1.0-NOPB</v>
      </c>
      <c r="B21874" s="3" t="s">
        <v>90</v>
      </c>
      <c r="C21874" s="5">
        <v>2500</v>
      </c>
      <c r="D21874" s="6">
        <v>4.3499999999999996</v>
      </c>
    </row>
    <row r="21875" spans="1:4" x14ac:dyDescent="0.25">
      <c r="A21875" t="str">
        <f>HYPERLINK("https://www.773grp.com/globalSearch/LM49370RL-NOPB/page-1", "LM49370RL-NOPB")</f>
        <v>LM49370RL-NOPB</v>
      </c>
      <c r="B21875" s="3" t="s">
        <v>90</v>
      </c>
      <c r="C21875" s="5">
        <v>250</v>
      </c>
      <c r="D21875" s="6">
        <v>4.3499999999999996</v>
      </c>
    </row>
    <row r="21876" spans="1:4" x14ac:dyDescent="0.25">
      <c r="A21876" t="str">
        <f>HYPERLINK("https://www.773grp.com/globalSearch/LM5009MM/page-1", "LM5009MM")</f>
        <v>LM5009MM</v>
      </c>
      <c r="B21876" s="3" t="s">
        <v>90</v>
      </c>
      <c r="C21876" s="5">
        <v>32</v>
      </c>
      <c r="D21876" s="6">
        <v>4.3499999999999996</v>
      </c>
    </row>
    <row r="21877" spans="1:4" x14ac:dyDescent="0.25">
      <c r="A21877" t="str">
        <f>HYPERLINK("https://www.773grp.com/globalSearch/LMP2022MME-NOPB/page-1", "LMP2022MME-NOPB")</f>
        <v>LMP2022MME-NOPB</v>
      </c>
      <c r="B21877" s="3" t="s">
        <v>90</v>
      </c>
      <c r="C21877" s="5">
        <v>113</v>
      </c>
      <c r="D21877" s="6">
        <v>4.3499999999999996</v>
      </c>
    </row>
    <row r="21878" spans="1:4" x14ac:dyDescent="0.25">
      <c r="A21878" t="str">
        <f>HYPERLINK("https://www.773grp.com/globalSearch/MSP430F2122TRHBR/page-1", "MSP430F2122TRHBR")</f>
        <v>MSP430F2122TRHBR</v>
      </c>
      <c r="B21878" s="3" t="s">
        <v>90</v>
      </c>
      <c r="C21878" s="5">
        <v>9000</v>
      </c>
      <c r="D21878" s="6">
        <v>4.3499999999999996</v>
      </c>
    </row>
    <row r="21879" spans="1:4" x14ac:dyDescent="0.25">
      <c r="A21879" t="str">
        <f>HYPERLINK("https://www.773grp.com/globalSearch/MSP430F2132IRHBT/page-1", "MSP430F2132IRHBT")</f>
        <v>MSP430F2132IRHBT</v>
      </c>
      <c r="B21879" s="3" t="s">
        <v>90</v>
      </c>
      <c r="C21879" s="5">
        <v>250</v>
      </c>
      <c r="D21879" s="6">
        <v>4.3499999999999996</v>
      </c>
    </row>
    <row r="21880" spans="1:4" x14ac:dyDescent="0.25">
      <c r="A21880" t="str">
        <f>HYPERLINK("https://www.773grp.com/globalSearch/OPA2364ID/page-1", "OPA2364ID")</f>
        <v>OPA2364ID</v>
      </c>
      <c r="B21880" s="3" t="s">
        <v>90</v>
      </c>
      <c r="C21880" s="5">
        <v>200</v>
      </c>
      <c r="D21880" s="6">
        <v>4.3499999999999996</v>
      </c>
    </row>
    <row r="21881" spans="1:4" x14ac:dyDescent="0.25">
      <c r="A21881" t="str">
        <f>HYPERLINK("https://www.773grp.com/globalSearch/OPA2835IRMCT/page-1", "OPA2835IRMCT")</f>
        <v>OPA2835IRMCT</v>
      </c>
      <c r="B21881" s="3" t="s">
        <v>90</v>
      </c>
      <c r="C21881" s="5">
        <v>403</v>
      </c>
      <c r="D21881" s="6">
        <v>4.3499999999999996</v>
      </c>
    </row>
    <row r="21882" spans="1:4" x14ac:dyDescent="0.25">
      <c r="A21882" t="str">
        <f>HYPERLINK("https://www.773grp.com/globalSearch/OPA694IDBVT/page-1", "OPA694IDBVT")</f>
        <v>OPA694IDBVT</v>
      </c>
      <c r="B21882" s="3" t="s">
        <v>90</v>
      </c>
      <c r="C21882" s="5">
        <v>149</v>
      </c>
      <c r="D21882" s="6">
        <v>4.3499999999999996</v>
      </c>
    </row>
    <row r="21883" spans="1:4" x14ac:dyDescent="0.25">
      <c r="A21883" t="str">
        <f>HYPERLINK("https://www.773grp.com/globalSearch/OPA703UA/page-1", "OPA703UA")</f>
        <v>OPA703UA</v>
      </c>
      <c r="B21883" s="3" t="s">
        <v>90</v>
      </c>
      <c r="C21883" s="5">
        <v>75</v>
      </c>
      <c r="D21883" s="6">
        <v>4.3499999999999996</v>
      </c>
    </row>
    <row r="21884" spans="1:4" x14ac:dyDescent="0.25">
      <c r="A21884" t="str">
        <f>HYPERLINK("https://www.773grp.com/globalSearch/SN65HVD07DR/page-1", "SN65HVD07DR")</f>
        <v>SN65HVD07DR</v>
      </c>
      <c r="B21884" s="3" t="s">
        <v>90</v>
      </c>
      <c r="C21884" s="5">
        <v>10000</v>
      </c>
      <c r="D21884" s="6">
        <v>4.3499999999999996</v>
      </c>
    </row>
    <row r="21885" spans="1:4" x14ac:dyDescent="0.25">
      <c r="A21885" t="str">
        <f>HYPERLINK("https://www.773grp.com/globalSearch/SN65LVDS324ZQLR/page-1", "SN65LVDS324ZQLR")</f>
        <v>SN65LVDS324ZQLR</v>
      </c>
      <c r="B21885" s="3" t="s">
        <v>90</v>
      </c>
      <c r="C21885" s="5">
        <v>1000</v>
      </c>
      <c r="D21885" s="6">
        <v>4.3499999999999996</v>
      </c>
    </row>
    <row r="21886" spans="1:4" x14ac:dyDescent="0.25">
      <c r="A21886" t="str">
        <f>HYPERLINK("https://www.773grp.com/globalSearch/SR1617ABA6DBT/page-1", "SR1617ABA6DBT")</f>
        <v>SR1617ABA6DBT</v>
      </c>
      <c r="B21886" s="3" t="s">
        <v>90</v>
      </c>
      <c r="C21886" s="5">
        <v>550416</v>
      </c>
      <c r="D21886" s="6">
        <v>4.3499999999999996</v>
      </c>
    </row>
    <row r="21887" spans="1:4" x14ac:dyDescent="0.25">
      <c r="A21887" t="str">
        <f>HYPERLINK("https://www.773grp.com/globalSearch/TLE2142AIDR/page-1", "TLE2142AIDR")</f>
        <v>TLE2142AIDR</v>
      </c>
      <c r="B21887" s="3" t="s">
        <v>90</v>
      </c>
      <c r="C21887" s="5">
        <v>27500</v>
      </c>
      <c r="D21887" s="6">
        <v>4.3499999999999996</v>
      </c>
    </row>
    <row r="21888" spans="1:4" x14ac:dyDescent="0.25">
      <c r="A21888" t="str">
        <f>HYPERLINK("https://www.773grp.com/globalSearch/TLV0838IDWR/page-1", "TLV0838IDWR")</f>
        <v>TLV0838IDWR</v>
      </c>
      <c r="B21888" s="3" t="s">
        <v>90</v>
      </c>
      <c r="C21888" s="5">
        <v>8000</v>
      </c>
      <c r="D21888" s="6">
        <v>4.3499999999999996</v>
      </c>
    </row>
    <row r="21889" spans="1:4" x14ac:dyDescent="0.25">
      <c r="A21889" t="str">
        <f>HYPERLINK("https://www.773grp.com/globalSearch/TLV2404AIDR/page-1", "TLV2404AIDR")</f>
        <v>TLV2404AIDR</v>
      </c>
      <c r="B21889" s="3" t="s">
        <v>90</v>
      </c>
      <c r="C21889" s="5">
        <v>2500</v>
      </c>
      <c r="D21889" s="6">
        <v>4.3499999999999996</v>
      </c>
    </row>
    <row r="21890" spans="1:4" x14ac:dyDescent="0.25">
      <c r="A21890" t="str">
        <f>HYPERLINK("https://www.773grp.com/globalSearch/TLV2404AIPWR/page-1", "TLV2404AIPWR")</f>
        <v>TLV2404AIPWR</v>
      </c>
      <c r="B21890" s="3" t="s">
        <v>90</v>
      </c>
      <c r="C21890" s="5">
        <v>2000</v>
      </c>
      <c r="D21890" s="6">
        <v>4.3499999999999996</v>
      </c>
    </row>
    <row r="21891" spans="1:4" x14ac:dyDescent="0.25">
      <c r="A21891" t="str">
        <f>HYPERLINK("https://www.773grp.com/globalSearch/TPS2394PW/page-1", "TPS2394PW")</f>
        <v>TPS2394PW</v>
      </c>
      <c r="B21891" s="3" t="s">
        <v>90</v>
      </c>
      <c r="C21891" s="5">
        <v>301</v>
      </c>
      <c r="D21891" s="6">
        <v>4.3499999999999996</v>
      </c>
    </row>
    <row r="21892" spans="1:4" x14ac:dyDescent="0.25">
      <c r="A21892" t="str">
        <f>HYPERLINK("https://www.773grp.com/globalSearch/TPS40021PWPRG4/page-1", "TPS40021PWPRG4")</f>
        <v>TPS40021PWPRG4</v>
      </c>
      <c r="B21892" s="3" t="s">
        <v>90</v>
      </c>
      <c r="C21892" s="5">
        <v>1400</v>
      </c>
      <c r="D21892" s="6">
        <v>4.3499999999999996</v>
      </c>
    </row>
    <row r="21893" spans="1:4" x14ac:dyDescent="0.25">
      <c r="A21893" t="str">
        <f>HYPERLINK("https://www.773grp.com/globalSearch/TPS40057PWPRG4/page-1", "TPS40057PWPRG4")</f>
        <v>TPS40057PWPRG4</v>
      </c>
      <c r="B21893" s="3" t="s">
        <v>90</v>
      </c>
      <c r="C21893" s="5">
        <v>920</v>
      </c>
      <c r="D21893" s="6">
        <v>4.3499999999999996</v>
      </c>
    </row>
    <row r="21894" spans="1:4" x14ac:dyDescent="0.25">
      <c r="A21894" t="str">
        <f>HYPERLINK("https://www.773grp.com/globalSearch/TPS53219ARGTT/page-1", "TPS53219ARGTT")</f>
        <v>TPS53219ARGTT</v>
      </c>
      <c r="B21894" s="3" t="s">
        <v>90</v>
      </c>
      <c r="C21894" s="5">
        <v>68</v>
      </c>
      <c r="D21894" s="6">
        <v>4.3499999999999996</v>
      </c>
    </row>
    <row r="21895" spans="1:4" x14ac:dyDescent="0.25">
      <c r="A21895" t="str">
        <f>HYPERLINK("https://www.773grp.com/globalSearch/TPS65835RKPT/page-1", "TPS65835RKPT")</f>
        <v>TPS65835RKPT</v>
      </c>
      <c r="B21895" s="3" t="s">
        <v>90</v>
      </c>
      <c r="C21895" s="5">
        <v>1250</v>
      </c>
      <c r="D21895" s="6">
        <v>4.3499999999999996</v>
      </c>
    </row>
    <row r="21896" spans="1:4" x14ac:dyDescent="0.25">
      <c r="A21896" t="str">
        <f>HYPERLINK("https://www.773grp.com/globalSearch/UCC25230DRMT/page-1", "UCC25230DRMT")</f>
        <v>UCC25230DRMT</v>
      </c>
      <c r="B21896" s="3" t="s">
        <v>90</v>
      </c>
      <c r="C21896" s="5">
        <v>490</v>
      </c>
      <c r="D21896" s="6">
        <v>4.3499999999999996</v>
      </c>
    </row>
    <row r="21897" spans="1:4" x14ac:dyDescent="0.25">
      <c r="A21897" t="str">
        <f>HYPERLINK("https://www.773grp.com/globalSearch/LM5041MTC-NOPB/page-1", "LM5041MTC-NOPB")</f>
        <v>LM5041MTC-NOPB</v>
      </c>
      <c r="B21897" s="3" t="s">
        <v>90</v>
      </c>
      <c r="C21897" s="5">
        <v>184</v>
      </c>
      <c r="D21897" s="6">
        <v>4.3899999999999997</v>
      </c>
    </row>
    <row r="21898" spans="1:4" x14ac:dyDescent="0.25">
      <c r="A21898" t="str">
        <f>HYPERLINK("https://www.773grp.com/globalSearch/LM5070MTC-80-NOPB/page-1", "LM5070MTC-80-NOPB")</f>
        <v>LM5070MTC-80-NOPB</v>
      </c>
      <c r="B21898" s="3" t="s">
        <v>90</v>
      </c>
      <c r="C21898" s="5">
        <v>1104</v>
      </c>
      <c r="D21898" s="6">
        <v>4.3899999999999997</v>
      </c>
    </row>
    <row r="21899" spans="1:4" x14ac:dyDescent="0.25">
      <c r="A21899" t="str">
        <f>HYPERLINK("https://www.773grp.com/globalSearch/LM5071MT-80-NOPB/page-1", "LM5071MT-80-NOPB")</f>
        <v>LM5071MT-80-NOPB</v>
      </c>
      <c r="B21899" s="3" t="s">
        <v>90</v>
      </c>
      <c r="C21899" s="5">
        <v>532</v>
      </c>
      <c r="D21899" s="6">
        <v>4.3899999999999997</v>
      </c>
    </row>
    <row r="21900" spans="1:4" x14ac:dyDescent="0.25">
      <c r="A21900" t="str">
        <f>HYPERLINK("https://www.773grp.com/globalSearch/TLC5921DAPG4/page-1", "TLC5921DAPG4")</f>
        <v>TLC5921DAPG4</v>
      </c>
      <c r="B21900" s="3" t="s">
        <v>90</v>
      </c>
      <c r="C21900" s="5">
        <v>46</v>
      </c>
      <c r="D21900" s="6">
        <v>4.3899999999999997</v>
      </c>
    </row>
    <row r="21901" spans="1:4" x14ac:dyDescent="0.25">
      <c r="A21901" t="str">
        <f>HYPERLINK("https://www.773grp.com/globalSearch/TPA6013A4PWP/page-1", "TPA6013A4PWP")</f>
        <v>TPA6013A4PWP</v>
      </c>
      <c r="B21901" s="3" t="s">
        <v>90</v>
      </c>
      <c r="C21901" s="5">
        <v>346</v>
      </c>
      <c r="D21901" s="6">
        <v>4.3899999999999997</v>
      </c>
    </row>
    <row r="21902" spans="1:4" x14ac:dyDescent="0.25">
      <c r="A21902" t="str">
        <f>HYPERLINK("https://www.773grp.com/globalSearch/TPS56528DDA/page-1", "TPS56528DDA")</f>
        <v>TPS56528DDA</v>
      </c>
      <c r="B21902" s="3" t="s">
        <v>90</v>
      </c>
      <c r="C21902" s="5">
        <v>75</v>
      </c>
      <c r="D21902" s="6">
        <v>4.3899999999999997</v>
      </c>
    </row>
    <row r="21903" spans="1:4" x14ac:dyDescent="0.25">
      <c r="A21903" t="str">
        <f>HYPERLINK("https://www.773grp.com/globalSearch/TPS61199PWP/page-1", "TPS61199PWP")</f>
        <v>TPS61199PWP</v>
      </c>
      <c r="B21903" s="3" t="s">
        <v>90</v>
      </c>
      <c r="C21903" s="5">
        <v>29</v>
      </c>
      <c r="D21903" s="6">
        <v>4.3899999999999997</v>
      </c>
    </row>
    <row r="21904" spans="1:4" x14ac:dyDescent="0.25">
      <c r="A21904" t="str">
        <f>HYPERLINK("https://www.773grp.com/globalSearch/TSL245A/page-1", "TSL245A")</f>
        <v>TSL245A</v>
      </c>
      <c r="B21904" s="3" t="s">
        <v>90</v>
      </c>
      <c r="C21904" s="5">
        <v>24086</v>
      </c>
      <c r="D21904" s="6">
        <v>4.3899999999999997</v>
      </c>
    </row>
    <row r="21905" spans="1:4" x14ac:dyDescent="0.25">
      <c r="A21905" t="str">
        <f>HYPERLINK("https://www.773grp.com/globalSearch/UCC27201DDA/page-1", "UCC27201DDA")</f>
        <v>UCC27201DDA</v>
      </c>
      <c r="B21905" s="3" t="s">
        <v>90</v>
      </c>
      <c r="C21905" s="5">
        <v>150</v>
      </c>
      <c r="D21905" s="6">
        <v>4.3899999999999997</v>
      </c>
    </row>
    <row r="21906" spans="1:4" x14ac:dyDescent="0.25">
      <c r="A21906" t="str">
        <f>HYPERLINK("https://www.773grp.com/globalSearch/74ACT16373DLR/page-1", "74ACT16373DLR")</f>
        <v>74ACT16373DLR</v>
      </c>
      <c r="B21906" s="3" t="s">
        <v>90</v>
      </c>
      <c r="C21906" s="5">
        <v>540</v>
      </c>
      <c r="D21906" s="6">
        <v>4.8600000000000003</v>
      </c>
    </row>
    <row r="21907" spans="1:4" x14ac:dyDescent="0.25">
      <c r="A21907" t="str">
        <f>HYPERLINK("https://www.773grp.com/globalSearch/74ALVCH162268GR/page-1", "74ALVCH162268GR")</f>
        <v>74ALVCH162268GR</v>
      </c>
      <c r="B21907" s="3" t="s">
        <v>90</v>
      </c>
      <c r="C21907" s="5">
        <v>1</v>
      </c>
      <c r="D21907" s="6">
        <v>4.8600000000000003</v>
      </c>
    </row>
    <row r="21908" spans="1:4" x14ac:dyDescent="0.25">
      <c r="A21908" t="str">
        <f>HYPERLINK("https://www.773grp.com/globalSearch/LM2937ES-12-NOPB/page-1", "LM2937ES-12-NOPB")</f>
        <v>LM2937ES-12-NOPB</v>
      </c>
      <c r="B21908" s="3" t="s">
        <v>90</v>
      </c>
      <c r="C21908" s="5">
        <v>450</v>
      </c>
      <c r="D21908" s="6">
        <v>4.8600000000000003</v>
      </c>
    </row>
    <row r="21909" spans="1:4" x14ac:dyDescent="0.25">
      <c r="A21909" t="str">
        <f>HYPERLINK("https://www.773grp.com/globalSearch/LM2937ES-5.0-NOPB/page-1", "LM2937ES-5.0-NOPB")</f>
        <v>LM2937ES-5.0-NOPB</v>
      </c>
      <c r="B21909" s="3" t="s">
        <v>90</v>
      </c>
      <c r="C21909" s="5">
        <v>16460</v>
      </c>
      <c r="D21909" s="6">
        <v>4.8600000000000003</v>
      </c>
    </row>
    <row r="21910" spans="1:4" x14ac:dyDescent="0.25">
      <c r="A21910" t="str">
        <f>HYPERLINK("https://www.773grp.com/globalSearch/LMH2110TM-NOPB/page-1", "LMH2110TM-NOPB")</f>
        <v>LMH2110TM-NOPB</v>
      </c>
      <c r="B21910" s="3" t="s">
        <v>90</v>
      </c>
      <c r="C21910" s="5">
        <v>230</v>
      </c>
      <c r="D21910" s="6">
        <v>4.8600000000000003</v>
      </c>
    </row>
    <row r="21911" spans="1:4" x14ac:dyDescent="0.25">
      <c r="A21911" t="str">
        <f>HYPERLINK("https://www.773grp.com/globalSearch/LMH2120UM-NOPB/page-1", "LMH2120UM-NOPB")</f>
        <v>LMH2120UM-NOPB</v>
      </c>
      <c r="B21911" s="3" t="s">
        <v>90</v>
      </c>
      <c r="C21911" s="5">
        <v>500</v>
      </c>
      <c r="D21911" s="6">
        <v>4.8600000000000003</v>
      </c>
    </row>
    <row r="21912" spans="1:4" x14ac:dyDescent="0.25">
      <c r="A21912" t="str">
        <f>HYPERLINK("https://www.773grp.com/globalSearch/LMR12010XMKE-NOPB/page-1", "LMR12010XMKE-NOPB")</f>
        <v>LMR12010XMKE-NOPB</v>
      </c>
      <c r="B21912" s="3" t="s">
        <v>90</v>
      </c>
      <c r="C21912" s="5">
        <v>870</v>
      </c>
      <c r="D21912" s="6">
        <v>4.8600000000000003</v>
      </c>
    </row>
    <row r="21913" spans="1:4" x14ac:dyDescent="0.25">
      <c r="A21913" t="str">
        <f>HYPERLINK("https://www.773grp.com/globalSearch/LMR12010XMKE-NOPB/page-1", "LMR12010XMKE-NOPB")</f>
        <v>LMR12010XMKE-NOPB</v>
      </c>
      <c r="B21913" s="3" t="s">
        <v>90</v>
      </c>
      <c r="C21913" s="5">
        <v>20</v>
      </c>
      <c r="D21913" s="6">
        <v>4.8600000000000003</v>
      </c>
    </row>
    <row r="21914" spans="1:4" x14ac:dyDescent="0.25">
      <c r="A21914" t="str">
        <f>HYPERLINK("https://www.773grp.com/globalSearch/SLC2254CN/page-1", "SLC2254CN")</f>
        <v>SLC2254CN</v>
      </c>
      <c r="B21914" s="3" t="s">
        <v>90</v>
      </c>
      <c r="C21914" s="5">
        <v>115</v>
      </c>
      <c r="D21914" s="6">
        <v>4.8600000000000003</v>
      </c>
    </row>
    <row r="21915" spans="1:4" x14ac:dyDescent="0.25">
      <c r="A21915" t="str">
        <f>HYPERLINK("https://www.773grp.com/globalSearch/SN74ALS131N/page-1", "SN74ALS131N")</f>
        <v>SN74ALS131N</v>
      </c>
      <c r="B21915" s="3" t="s">
        <v>90</v>
      </c>
      <c r="C21915" s="5">
        <v>1610</v>
      </c>
      <c r="D21915" s="6">
        <v>4.8600000000000003</v>
      </c>
    </row>
    <row r="21916" spans="1:4" x14ac:dyDescent="0.25">
      <c r="A21916" t="str">
        <f>HYPERLINK("https://www.773grp.com/globalSearch/SN74AS21NS/page-1", "SN74AS21NS")</f>
        <v>SN74AS21NS</v>
      </c>
      <c r="B21916" s="3" t="s">
        <v>90</v>
      </c>
      <c r="C21916" s="5">
        <v>6450</v>
      </c>
      <c r="D21916" s="6">
        <v>4.8600000000000003</v>
      </c>
    </row>
    <row r="21917" spans="1:4" x14ac:dyDescent="0.25">
      <c r="A21917" t="str">
        <f>HYPERLINK("https://www.773grp.com/globalSearch/TLV2762CDGK/page-1", "TLV2762CDGK")</f>
        <v>TLV2762CDGK</v>
      </c>
      <c r="B21917" s="3" t="s">
        <v>90</v>
      </c>
      <c r="C21917" s="5">
        <v>320</v>
      </c>
      <c r="D21917" s="6">
        <v>4.8600000000000003</v>
      </c>
    </row>
    <row r="21918" spans="1:4" x14ac:dyDescent="0.25">
      <c r="A21918" t="str">
        <f>HYPERLINK("https://www.773grp.com/globalSearch/TPS54319RTET/page-1", "TPS54319RTET")</f>
        <v>TPS54319RTET</v>
      </c>
      <c r="B21918" s="3" t="s">
        <v>90</v>
      </c>
      <c r="C21918" s="5">
        <v>48500</v>
      </c>
      <c r="D21918" s="6">
        <v>4.8600000000000003</v>
      </c>
    </row>
    <row r="21919" spans="1:4" x14ac:dyDescent="0.25">
      <c r="A21919" t="str">
        <f>HYPERLINK("https://www.773grp.com/globalSearch/TPS61181ARTET/page-1", "TPS61181ARTET")</f>
        <v>TPS61181ARTET</v>
      </c>
      <c r="B21919" s="3" t="s">
        <v>90</v>
      </c>
      <c r="C21919" s="5">
        <v>3750</v>
      </c>
      <c r="D21919" s="6">
        <v>4.8600000000000003</v>
      </c>
    </row>
    <row r="21920" spans="1:4" x14ac:dyDescent="0.25">
      <c r="A21920" t="str">
        <f>HYPERLINK("https://www.773grp.com/globalSearch/TPS61181RTET/page-1", "TPS61181RTET")</f>
        <v>TPS61181RTET</v>
      </c>
      <c r="B21920" s="3" t="s">
        <v>90</v>
      </c>
      <c r="C21920" s="5">
        <v>1750</v>
      </c>
      <c r="D21920" s="6">
        <v>4.8600000000000003</v>
      </c>
    </row>
    <row r="21921" spans="1:4" x14ac:dyDescent="0.25">
      <c r="A21921" t="str">
        <f>HYPERLINK("https://www.773grp.com/globalSearch/TPS61258YFFT/page-1", "TPS61258YFFT")</f>
        <v>TPS61258YFFT</v>
      </c>
      <c r="B21921" s="3" t="s">
        <v>90</v>
      </c>
      <c r="C21921" s="5">
        <v>250</v>
      </c>
      <c r="D21921" s="6">
        <v>4.8600000000000003</v>
      </c>
    </row>
    <row r="21922" spans="1:4" x14ac:dyDescent="0.25">
      <c r="A21922" t="str">
        <f>HYPERLINK("https://www.773grp.com/globalSearch/TPS61259YFFT/page-1", "TPS61259YFFT")</f>
        <v>TPS61259YFFT</v>
      </c>
      <c r="B21922" s="3" t="s">
        <v>90</v>
      </c>
      <c r="C21922" s="5">
        <v>250</v>
      </c>
      <c r="D21922" s="6">
        <v>4.8600000000000003</v>
      </c>
    </row>
    <row r="21923" spans="1:4" x14ac:dyDescent="0.25">
      <c r="A21923" t="str">
        <f>HYPERLINK("https://www.773grp.com/globalSearch/TPS7A7100RGTT/page-1", "TPS7A7100RGTT")</f>
        <v>TPS7A7100RGTT</v>
      </c>
      <c r="B21923" s="3" t="s">
        <v>90</v>
      </c>
      <c r="C21923" s="5">
        <v>400</v>
      </c>
      <c r="D21923" s="6">
        <v>4.8600000000000003</v>
      </c>
    </row>
    <row r="21924" spans="1:4" x14ac:dyDescent="0.25">
      <c r="A21924" t="str">
        <f>HYPERLINK("https://www.773grp.com/globalSearch/WM5620IDR/page-1", "WM5620IDR")</f>
        <v>WM5620IDR</v>
      </c>
      <c r="B21924" s="3" t="s">
        <v>90</v>
      </c>
      <c r="C21924" s="5">
        <v>9400</v>
      </c>
      <c r="D21924" s="6">
        <v>4.8600000000000003</v>
      </c>
    </row>
    <row r="21925" spans="1:4" x14ac:dyDescent="0.25">
      <c r="A21925" t="str">
        <f>HYPERLINK("https://www.773grp.com/globalSearch/BQ2057TS-C1/page-1", "BQ2057TS-C1")</f>
        <v>BQ2057TS-C1</v>
      </c>
      <c r="B21925" s="3" t="s">
        <v>90</v>
      </c>
      <c r="C21925" s="5">
        <v>11806</v>
      </c>
      <c r="D21925" s="6">
        <v>4.43</v>
      </c>
    </row>
    <row r="21926" spans="1:4" x14ac:dyDescent="0.25">
      <c r="A21926" t="str">
        <f>HYPERLINK("https://www.773grp.com/globalSearch/CSD97370AQ5M/page-1", "CSD97370AQ5M")</f>
        <v>CSD97370AQ5M</v>
      </c>
      <c r="B21926" s="3" t="s">
        <v>90</v>
      </c>
      <c r="C21926" s="5">
        <v>1330</v>
      </c>
      <c r="D21926" s="6">
        <v>4.43</v>
      </c>
    </row>
    <row r="21927" spans="1:4" x14ac:dyDescent="0.25">
      <c r="A21927" t="str">
        <f>HYPERLINK("https://www.773grp.com/globalSearch/CY74FCT16841ATPVC/page-1", "CY74FCT16841ATPVC")</f>
        <v>CY74FCT16841ATPVC</v>
      </c>
      <c r="B21927" s="3" t="s">
        <v>90</v>
      </c>
      <c r="C21927" s="5">
        <v>2100</v>
      </c>
      <c r="D21927" s="6">
        <v>4.43</v>
      </c>
    </row>
    <row r="21928" spans="1:4" x14ac:dyDescent="0.25">
      <c r="A21928" t="str">
        <f>HYPERLINK("https://www.773grp.com/globalSearch/LM34927SD-NOPB/page-1", "LM34927SD-NOPB")</f>
        <v>LM34927SD-NOPB</v>
      </c>
      <c r="B21928" s="3" t="s">
        <v>90</v>
      </c>
      <c r="C21928" s="5">
        <v>1000</v>
      </c>
      <c r="D21928" s="6">
        <v>4.43</v>
      </c>
    </row>
    <row r="21929" spans="1:4" x14ac:dyDescent="0.25">
      <c r="A21929" t="str">
        <f>HYPERLINK("https://www.773grp.com/globalSearch/MAX3237EIDBG4/page-1", "MAX3237EIDBG4")</f>
        <v>MAX3237EIDBG4</v>
      </c>
      <c r="B21929" s="3" t="s">
        <v>90</v>
      </c>
      <c r="C21929" s="5">
        <v>50</v>
      </c>
      <c r="D21929" s="6">
        <v>4.43</v>
      </c>
    </row>
    <row r="21930" spans="1:4" x14ac:dyDescent="0.25">
      <c r="A21930" t="str">
        <f>HYPERLINK("https://www.773grp.com/globalSearch/PCF8575CDWE4/page-1", "PCF8575CDWE4")</f>
        <v>PCF8575CDWE4</v>
      </c>
      <c r="B21930" s="3" t="s">
        <v>90</v>
      </c>
      <c r="C21930" s="5">
        <v>15</v>
      </c>
      <c r="D21930" s="6">
        <v>4.43</v>
      </c>
    </row>
    <row r="21931" spans="1:4" x14ac:dyDescent="0.25">
      <c r="A21931" t="str">
        <f>HYPERLINK("https://www.773grp.com/globalSearch/PCF8575CPWG4/page-1", "PCF8575CPWG4")</f>
        <v>PCF8575CPWG4</v>
      </c>
      <c r="B21931" s="3" t="s">
        <v>90</v>
      </c>
      <c r="C21931" s="5">
        <v>360</v>
      </c>
      <c r="D21931" s="6">
        <v>4.43</v>
      </c>
    </row>
    <row r="21932" spans="1:4" x14ac:dyDescent="0.25">
      <c r="A21932" t="str">
        <f>HYPERLINK("https://www.773grp.com/globalSearch/SN103642N/page-1", "SN103642N")</f>
        <v>SN103642N</v>
      </c>
      <c r="B21932" s="3" t="s">
        <v>90</v>
      </c>
      <c r="C21932" s="5">
        <v>13850</v>
      </c>
      <c r="D21932" s="6">
        <v>4.43</v>
      </c>
    </row>
    <row r="21933" spans="1:4" x14ac:dyDescent="0.25">
      <c r="A21933" t="str">
        <f>HYPERLINK("https://www.773grp.com/globalSearch/SN350233DWR/page-1", "SN350233DWR")</f>
        <v>SN350233DWR</v>
      </c>
      <c r="B21933" s="3" t="s">
        <v>90</v>
      </c>
      <c r="C21933" s="5">
        <v>1000</v>
      </c>
      <c r="D21933" s="6">
        <v>4.43</v>
      </c>
    </row>
    <row r="21934" spans="1:4" x14ac:dyDescent="0.25">
      <c r="A21934" t="str">
        <f>HYPERLINK("https://www.773grp.com/globalSearch/SN74LS641NE4/page-1", "SN74LS641NE4")</f>
        <v>SN74LS641NE4</v>
      </c>
      <c r="B21934" s="3" t="s">
        <v>90</v>
      </c>
      <c r="C21934" s="5">
        <v>20</v>
      </c>
      <c r="D21934" s="6">
        <v>4.43</v>
      </c>
    </row>
    <row r="21935" spans="1:4" x14ac:dyDescent="0.25">
      <c r="A21935" t="str">
        <f>HYPERLINK("https://www.773grp.com/globalSearch/SN74LVTH32373ZKER/page-1", "SN74LVTH32373ZKER")</f>
        <v>SN74LVTH32373ZKER</v>
      </c>
      <c r="B21935" s="3" t="s">
        <v>90</v>
      </c>
      <c r="C21935" s="5">
        <v>36000</v>
      </c>
      <c r="D21935" s="6">
        <v>4.43</v>
      </c>
    </row>
    <row r="21936" spans="1:4" x14ac:dyDescent="0.25">
      <c r="A21936" t="str">
        <f>HYPERLINK("https://www.773grp.com/globalSearch/SN74LVTH32374ZKER/page-1", "SN74LVTH32374ZKER")</f>
        <v>SN74LVTH32374ZKER</v>
      </c>
      <c r="B21936" s="3" t="s">
        <v>90</v>
      </c>
      <c r="C21936" s="5">
        <v>19871</v>
      </c>
      <c r="D21936" s="6">
        <v>4.43</v>
      </c>
    </row>
    <row r="21937" spans="1:4" x14ac:dyDescent="0.25">
      <c r="A21937" t="str">
        <f>HYPERLINK("https://www.773grp.com/globalSearch/SN74SSTVF16859DGG/page-1", "SN74SSTVF16859DGG")</f>
        <v>SN74SSTVF16859DGG</v>
      </c>
      <c r="B21937" s="3" t="s">
        <v>90</v>
      </c>
      <c r="C21937" s="5">
        <v>2175</v>
      </c>
      <c r="D21937" s="6">
        <v>4.43</v>
      </c>
    </row>
    <row r="21938" spans="1:4" x14ac:dyDescent="0.25">
      <c r="A21938" t="str">
        <f>HYPERLINK("https://www.773grp.com/globalSearch/SN75433P/page-1", "SN75433P")</f>
        <v>SN75433P</v>
      </c>
      <c r="B21938" s="3" t="s">
        <v>90</v>
      </c>
      <c r="C21938" s="5">
        <v>1155</v>
      </c>
      <c r="D21938" s="6">
        <v>4.43</v>
      </c>
    </row>
    <row r="21939" spans="1:4" x14ac:dyDescent="0.25">
      <c r="A21939" t="str">
        <f>HYPERLINK("https://www.773grp.com/globalSearch/74ACT16244DLR/page-1", "74ACT16244DLR")</f>
        <v>74ACT16244DLR</v>
      </c>
      <c r="B21939" s="3" t="str">
        <f>HYPERLINK("https://www.773grp.com/manufacturer/texas-instruments?pageNo=7", "Texas Instruments")</f>
        <v>Texas Instruments</v>
      </c>
      <c r="C21939" s="5">
        <v>595</v>
      </c>
      <c r="D21939" s="6">
        <v>4.91</v>
      </c>
    </row>
    <row r="21940" spans="1:4" x14ac:dyDescent="0.25">
      <c r="A21940" t="str">
        <f>HYPERLINK("https://www.773grp.com/globalSearch/74FCT162244ATPVC/page-1", "74FCT162244ATPVC")</f>
        <v>74FCT162244ATPVC</v>
      </c>
      <c r="B21940" s="3" t="str">
        <f>HYPERLINK("https://www.773grp.com/manufacturer/texas-instruments?pageNo=9", "Texas Instruments")</f>
        <v>Texas Instruments</v>
      </c>
      <c r="C21940" s="5">
        <v>574</v>
      </c>
      <c r="D21940" s="6">
        <v>4.91</v>
      </c>
    </row>
    <row r="21941" spans="1:4" x14ac:dyDescent="0.25">
      <c r="A21941" t="str">
        <f>HYPERLINK("https://www.773grp.com/globalSearch/74FCT162373CTPACT/page-1", "74FCT162373CTPACT")</f>
        <v>74FCT162373CTPACT</v>
      </c>
      <c r="B21941" s="3" t="str">
        <f>HYPERLINK("https://www.773grp.com/manufacturer/texas-instruments?pageNo=14", "Texas Instruments")</f>
        <v>Texas Instruments</v>
      </c>
      <c r="C21941" s="5">
        <v>2000</v>
      </c>
      <c r="D21941" s="6">
        <v>4.91</v>
      </c>
    </row>
    <row r="21942" spans="1:4" x14ac:dyDescent="0.25">
      <c r="A21942" t="str">
        <f>HYPERLINK("https://www.773grp.com/globalSearch/74FCT162501CTPACT/page-1", "74FCT162501CTPACT")</f>
        <v>74FCT162501CTPACT</v>
      </c>
      <c r="B21942" s="3" t="str">
        <f>HYPERLINK("https://www.773grp.com/manufacturer/texas-instruments?pageNo=17", "Texas Instruments")</f>
        <v>Texas Instruments</v>
      </c>
      <c r="C21942" s="5">
        <v>6000</v>
      </c>
      <c r="D21942" s="6">
        <v>4.91</v>
      </c>
    </row>
    <row r="21943" spans="1:4" x14ac:dyDescent="0.25">
      <c r="A21943" t="str">
        <f>HYPERLINK("https://www.773grp.com/globalSearch/LM3420AM5-8.4-NOPB/page-1", "LM3420AM5-8.4-NOPB")</f>
        <v>LM3420AM5-8.4-NOPB</v>
      </c>
      <c r="B21943" s="3" t="str">
        <f>HYPERLINK("https://www.773grp.com/manufacturer/texas-instruments?pageNo=33", "Texas Instruments")</f>
        <v>Texas Instruments</v>
      </c>
      <c r="C21943" s="5">
        <v>4</v>
      </c>
      <c r="D21943" s="6">
        <v>4.91</v>
      </c>
    </row>
    <row r="21944" spans="1:4" x14ac:dyDescent="0.25">
      <c r="A21944" t="str">
        <f>HYPERLINK("https://www.773grp.com/globalSearch/MAX3221EIDBR/page-1", "MAX3221EIDBR")</f>
        <v>MAX3221EIDBR</v>
      </c>
      <c r="B21944" s="3" t="str">
        <f>HYPERLINK("https://www.773grp.com/manufacturer/texas-instruments?pageNo=40", "Texas Instruments")</f>
        <v>Texas Instruments</v>
      </c>
      <c r="C21944" s="5">
        <v>4000</v>
      </c>
      <c r="D21944" s="6">
        <v>4.91</v>
      </c>
    </row>
    <row r="21945" spans="1:4" x14ac:dyDescent="0.25">
      <c r="A21945" t="str">
        <f>HYPERLINK("https://www.773grp.com/globalSearch/MAX3221IPWR/page-1", "MAX3221IPWR")</f>
        <v>MAX3221IPWR</v>
      </c>
      <c r="B21945" s="3" t="str">
        <f>HYPERLINK("https://www.773grp.com/manufacturer/texas-instruments?pageNo=42", "Texas Instruments")</f>
        <v>Texas Instruments</v>
      </c>
      <c r="C21945" s="5">
        <v>2000</v>
      </c>
      <c r="D21945" s="6">
        <v>4.91</v>
      </c>
    </row>
    <row r="21946" spans="1:4" x14ac:dyDescent="0.25">
      <c r="A21946" t="str">
        <f>HYPERLINK("https://www.773grp.com/globalSearch/MAX3243IPWR/page-1", "MAX3243IPWR")</f>
        <v>MAX3243IPWR</v>
      </c>
      <c r="B21946" s="3" t="str">
        <f>HYPERLINK("https://www.773grp.com/manufacturer/texas-instruments?pageNo=46", "Texas Instruments")</f>
        <v>Texas Instruments</v>
      </c>
      <c r="C21946" s="5">
        <v>50000</v>
      </c>
      <c r="D21946" s="6">
        <v>4.91</v>
      </c>
    </row>
    <row r="21947" spans="1:4" x14ac:dyDescent="0.25">
      <c r="A21947" t="str">
        <f>HYPERLINK("https://www.773grp.com/globalSearch/PCA9548ADWR/page-1", "PCA9548ADWR")</f>
        <v>PCA9548ADWR</v>
      </c>
      <c r="B21947" s="3" t="str">
        <f>HYPERLINK("https://www.773grp.com/manufacturer/texas-instruments?pageNo=49", "Texas Instruments")</f>
        <v>Texas Instruments</v>
      </c>
      <c r="C21947" s="5">
        <v>4</v>
      </c>
      <c r="D21947" s="6">
        <v>4.91</v>
      </c>
    </row>
    <row r="21948" spans="1:4" x14ac:dyDescent="0.25">
      <c r="A21948" t="str">
        <f>HYPERLINK("https://www.773grp.com/globalSearch/SN103764DR/page-1", "SN103764DR")</f>
        <v>SN103764DR</v>
      </c>
      <c r="B21948" s="3" t="str">
        <f>HYPERLINK("https://www.773grp.com/manufacturer/texas-instruments?pageNo=52", "Texas Instruments")</f>
        <v>Texas Instruments</v>
      </c>
      <c r="C21948" s="5">
        <v>7500</v>
      </c>
      <c r="D21948" s="6">
        <v>4.91</v>
      </c>
    </row>
    <row r="21949" spans="1:4" x14ac:dyDescent="0.25">
      <c r="A21949" t="str">
        <f>HYPERLINK("https://www.773grp.com/globalSearch/SN74128NS/page-1", "SN74128NS")</f>
        <v>SN74128NS</v>
      </c>
      <c r="B21949" s="3" t="str">
        <f>HYPERLINK("https://www.773grp.com/manufacturer/texas-instruments?pageNo=56", "Texas Instruments")</f>
        <v>Texas Instruments</v>
      </c>
      <c r="C21949" s="5">
        <v>4650</v>
      </c>
      <c r="D21949" s="6">
        <v>4.91</v>
      </c>
    </row>
    <row r="21950" spans="1:4" x14ac:dyDescent="0.25">
      <c r="A21950" t="str">
        <f>HYPERLINK("https://www.773grp.com/globalSearch/SN74CBTK6800GVR/page-1", "SN74CBTK6800GVR")</f>
        <v>SN74CBTK6800GVR</v>
      </c>
      <c r="B21950" s="3" t="str">
        <f>HYPERLINK("https://www.773grp.com/manufacturer/texas-instruments?pageNo=122", "Texas Instruments")</f>
        <v>Texas Instruments</v>
      </c>
      <c r="C21950" s="5">
        <v>6000</v>
      </c>
      <c r="D21950" s="6">
        <v>4.91</v>
      </c>
    </row>
    <row r="21951" spans="1:4" x14ac:dyDescent="0.25">
      <c r="A21951" t="str">
        <f>HYPERLINK("https://www.773grp.com/globalSearch/SN74LVC16245AZQL/page-1", "SN74LVC16245AZQL")</f>
        <v>SN74LVC16245AZQL</v>
      </c>
      <c r="B21951" s="3" t="str">
        <f>HYPERLINK("https://www.773grp.com/manufacturer/texas-instruments?pageNo=144", "Texas Instruments")</f>
        <v>Texas Instruments</v>
      </c>
      <c r="C21951" s="5">
        <v>780</v>
      </c>
      <c r="D21951" s="6">
        <v>4.91</v>
      </c>
    </row>
    <row r="21952" spans="1:4" x14ac:dyDescent="0.25">
      <c r="A21952" t="str">
        <f>HYPERLINK("https://www.773grp.com/globalSearch/SN74LVTH162244DLG4/page-1", "SN74LVTH162244DLG4")</f>
        <v>SN74LVTH162244DLG4</v>
      </c>
      <c r="B21952" s="3" t="str">
        <f>HYPERLINK("https://www.773grp.com/manufacturer/texas-instruments?pageNo=154", "Texas Instruments")</f>
        <v>Texas Instruments</v>
      </c>
      <c r="C21952" s="5">
        <v>75</v>
      </c>
      <c r="D21952" s="6">
        <v>4.91</v>
      </c>
    </row>
    <row r="21953" spans="1:4" x14ac:dyDescent="0.25">
      <c r="A21953" t="str">
        <f>HYPERLINK("https://www.773grp.com/globalSearch/SN79299J/page-1", "SN79299J")</f>
        <v>SN79299J</v>
      </c>
      <c r="B21953" s="3" t="str">
        <f>HYPERLINK("https://www.773grp.com/manufacturer/texas-instruments?pageNo=172", "Texas Instruments")</f>
        <v>Texas Instruments</v>
      </c>
      <c r="C21953" s="5">
        <v>900</v>
      </c>
      <c r="D21953" s="6">
        <v>4.91</v>
      </c>
    </row>
    <row r="21954" spans="1:4" x14ac:dyDescent="0.25">
      <c r="A21954" t="str">
        <f>HYPERLINK("https://www.773grp.com/globalSearch/TPS62067DSGR/page-1", "TPS62067DSGR")</f>
        <v>TPS62067DSGR</v>
      </c>
      <c r="B21954" s="3" t="str">
        <f>HYPERLINK("https://www.773grp.com/manufacturer/texas-instruments?pageNo=197", "Texas Instruments")</f>
        <v>Texas Instruments</v>
      </c>
      <c r="C21954" s="5">
        <v>33000</v>
      </c>
      <c r="D21954" s="6">
        <v>4.91</v>
      </c>
    </row>
    <row r="21955" spans="1:4" x14ac:dyDescent="0.25">
      <c r="A21955" t="str">
        <f>HYPERLINK("https://www.773grp.com/globalSearch/TRS3243EIRHBR/page-1", "TRS3243EIRHBR")</f>
        <v>TRS3243EIRHBR</v>
      </c>
      <c r="B21955" s="3" t="str">
        <f>HYPERLINK("https://www.773grp.com/manufacturer/texas-instruments?pageNo=209", "Texas Instruments")</f>
        <v>Texas Instruments</v>
      </c>
      <c r="C21955" s="5">
        <v>135</v>
      </c>
      <c r="D21955" s="6">
        <v>4.91</v>
      </c>
    </row>
    <row r="21956" spans="1:4" x14ac:dyDescent="0.25">
      <c r="A21956" t="str">
        <f>HYPERLINK("https://www.773grp.com/globalSearch/LM6142BIMX-NOPB/page-1", "LM6142BIMX-NOPB")</f>
        <v>LM6142BIMX-NOPB</v>
      </c>
      <c r="B21956" s="3" t="str">
        <f>HYPERLINK("https://www.773grp.com/manufacturer/texas-instruments?pageNo=211", "Texas Instruments")</f>
        <v>Texas Instruments</v>
      </c>
      <c r="C21956" s="5">
        <v>2500</v>
      </c>
      <c r="D21956" s="6">
        <v>4.4400000000000004</v>
      </c>
    </row>
    <row r="21957" spans="1:4" x14ac:dyDescent="0.25">
      <c r="A21957" t="str">
        <f>HYPERLINK("https://www.773grp.com/globalSearch/OPA2890ID/page-1", "OPA2890ID")</f>
        <v>OPA2890ID</v>
      </c>
      <c r="B21957" s="3" t="str">
        <f>HYPERLINK("https://www.773grp.com/manufacturer/texas-instruments?pageNo=212", "Texas Instruments")</f>
        <v>Texas Instruments</v>
      </c>
      <c r="C21957" s="5">
        <v>566</v>
      </c>
      <c r="D21957" s="6">
        <v>4.4400000000000004</v>
      </c>
    </row>
    <row r="21958" spans="1:4" x14ac:dyDescent="0.25">
      <c r="A21958" t="str">
        <f>HYPERLINK("https://www.773grp.com/globalSearch/SN65LBC031DRG4/page-1", "SN65LBC031DRG4")</f>
        <v>SN65LBC031DRG4</v>
      </c>
      <c r="B21958" s="3" t="str">
        <f>HYPERLINK("https://www.773grp.com/manufacturer/texas-instruments?pageNo=222", "Texas Instruments")</f>
        <v>Texas Instruments</v>
      </c>
      <c r="C21958" s="5">
        <v>2184</v>
      </c>
      <c r="D21958" s="6">
        <v>4.4400000000000004</v>
      </c>
    </row>
    <row r="21959" spans="1:4" x14ac:dyDescent="0.25">
      <c r="A21959" t="str">
        <f>HYPERLINK("https://www.773grp.com/globalSearch/SN65LVDS047PWR/page-1", "SN65LVDS047PWR")</f>
        <v>SN65LVDS047PWR</v>
      </c>
      <c r="B21959" s="3" t="str">
        <f>HYPERLINK("https://www.773grp.com/manufacturer/texas-instruments?pageNo=229", "Texas Instruments")</f>
        <v>Texas Instruments</v>
      </c>
      <c r="C21959" s="5">
        <v>2000</v>
      </c>
      <c r="D21959" s="6">
        <v>4.4400000000000004</v>
      </c>
    </row>
    <row r="21960" spans="1:4" x14ac:dyDescent="0.25">
      <c r="A21960" t="str">
        <f>HYPERLINK("https://www.773grp.com/globalSearch/SN74LS604DW/page-1", "SN74LS604DW")</f>
        <v>SN74LS604DW</v>
      </c>
      <c r="B21960" s="3" t="str">
        <f>HYPERLINK("https://www.773grp.com/manufacturer/texas-instruments?pageNo=230", "Texas Instruments")</f>
        <v>Texas Instruments</v>
      </c>
      <c r="C21960" s="5">
        <v>260</v>
      </c>
      <c r="D21960" s="6">
        <v>4.4400000000000004</v>
      </c>
    </row>
    <row r="21961" spans="1:4" x14ac:dyDescent="0.25">
      <c r="A21961" t="str">
        <f>HYPERLINK("https://www.773grp.com/globalSearch/SN75LBC173ADR/page-1", "SN75LBC173ADR")</f>
        <v>SN75LBC173ADR</v>
      </c>
      <c r="B21961" s="3" t="str">
        <f>HYPERLINK("https://www.773grp.com/manufacturer/texas-instruments?pageNo=233", "Texas Instruments")</f>
        <v>Texas Instruments</v>
      </c>
      <c r="C21961" s="5">
        <v>4176</v>
      </c>
      <c r="D21961" s="6">
        <v>4.4400000000000004</v>
      </c>
    </row>
    <row r="21962" spans="1:4" x14ac:dyDescent="0.25">
      <c r="A21962" t="str">
        <f>HYPERLINK("https://www.773grp.com/globalSearch/TLE2037AMD/page-1", "TLE2037AMD")</f>
        <v>TLE2037AMD</v>
      </c>
      <c r="B21962" s="3" t="str">
        <f>HYPERLINK("https://www.773grp.com/manufacturer/texas-instruments?pageNo=236", "Texas Instruments")</f>
        <v>Texas Instruments</v>
      </c>
      <c r="C21962" s="5">
        <v>3344</v>
      </c>
      <c r="D21962" s="6">
        <v>4.4400000000000004</v>
      </c>
    </row>
    <row r="21963" spans="1:4" x14ac:dyDescent="0.25">
      <c r="A21963" t="str">
        <f>HYPERLINK("https://www.773grp.com/globalSearch/TPS54160ADRCR/page-1", "TPS54160ADRCR")</f>
        <v>TPS54160ADRCR</v>
      </c>
      <c r="B21963" s="3" t="str">
        <f>HYPERLINK("https://www.773grp.com/manufacturer/texas-instruments?pageNo=241", "Texas Instruments")</f>
        <v>Texas Instruments</v>
      </c>
      <c r="C21963" s="5">
        <v>2820</v>
      </c>
      <c r="D21963" s="6">
        <v>4.4400000000000004</v>
      </c>
    </row>
    <row r="21964" spans="1:4" x14ac:dyDescent="0.25">
      <c r="A21964" t="str">
        <f>HYPERLINK("https://www.773grp.com/globalSearch/ATOPA4343NA-2K5/page-1", "ATOPA4343NA-2K5")</f>
        <v>ATOPA4343NA-2K5</v>
      </c>
      <c r="B21964" s="3" t="str">
        <f>HYPERLINK("https://www.773grp.com/manufacturer/texas-instruments?pageNo=247", "Texas Instruments")</f>
        <v>Texas Instruments</v>
      </c>
      <c r="C21964" s="5">
        <v>7500</v>
      </c>
      <c r="D21964" s="6">
        <v>4.4800000000000004</v>
      </c>
    </row>
    <row r="21965" spans="1:4" x14ac:dyDescent="0.25">
      <c r="A21965" t="str">
        <f>HYPERLINK("https://www.773grp.com/globalSearch/CSD97374Q4M/page-1", "CSD97374Q4M")</f>
        <v>CSD97374Q4M</v>
      </c>
      <c r="B21965" s="3" t="str">
        <f>HYPERLINK("https://www.773grp.com/manufacturer/texas-instruments?pageNo=256", "Texas Instruments")</f>
        <v>Texas Instruments</v>
      </c>
      <c r="C21965" s="5">
        <v>2500</v>
      </c>
      <c r="D21965" s="6">
        <v>4.96</v>
      </c>
    </row>
    <row r="21966" spans="1:4" x14ac:dyDescent="0.25">
      <c r="A21966" t="str">
        <f>HYPERLINK("https://www.773grp.com/globalSearch/DS14C88N-NOPB/page-1", "DS14C88N-NOPB")</f>
        <v>DS14C88N-NOPB</v>
      </c>
      <c r="B21966" s="3" t="str">
        <f>HYPERLINK("https://www.773grp.com/manufacturer/texas-instruments?pageNo=257", "Texas Instruments")</f>
        <v>Texas Instruments</v>
      </c>
      <c r="C21966" s="5">
        <v>1525</v>
      </c>
      <c r="D21966" s="6">
        <v>4.96</v>
      </c>
    </row>
    <row r="21967" spans="1:4" x14ac:dyDescent="0.25">
      <c r="A21967" t="str">
        <f>HYPERLINK("https://www.773grp.com/globalSearch/DS14C88N-NOPB/page-1", "DS14C88N-NOPB")</f>
        <v>DS14C88N-NOPB</v>
      </c>
      <c r="B21967" s="3" t="str">
        <f>HYPERLINK("https://www.773grp.com/manufacturer/texas-instruments?pageNo=258", "Texas Instruments")</f>
        <v>Texas Instruments</v>
      </c>
      <c r="C21967" s="5">
        <v>5000</v>
      </c>
      <c r="D21967" s="6">
        <v>4.96</v>
      </c>
    </row>
    <row r="21968" spans="1:4" x14ac:dyDescent="0.25">
      <c r="A21968" t="str">
        <f>HYPERLINK("https://www.773grp.com/globalSearch/DS14C89AN/page-1", "DS14C89AN")</f>
        <v>DS14C89AN</v>
      </c>
      <c r="B21968" s="3" t="str">
        <f>HYPERLINK("https://www.773grp.com/manufacturer/texas-instruments?pageNo=259", "Texas Instruments")</f>
        <v>Texas Instruments</v>
      </c>
      <c r="C21968" s="5">
        <v>80</v>
      </c>
      <c r="D21968" s="6">
        <v>4.96</v>
      </c>
    </row>
    <row r="21969" spans="1:4" x14ac:dyDescent="0.25">
      <c r="A21969" t="str">
        <f>HYPERLINK("https://www.773grp.com/globalSearch/DS8923AN/page-1", "DS8923AN")</f>
        <v>DS8923AN</v>
      </c>
      <c r="B21969" s="3" t="str">
        <f>HYPERLINK("https://www.773grp.com/manufacturer/texas-instruments?pageNo=260", "Texas Instruments")</f>
        <v>Texas Instruments</v>
      </c>
      <c r="C21969" s="5">
        <v>1450</v>
      </c>
      <c r="D21969" s="6">
        <v>4.96</v>
      </c>
    </row>
    <row r="21970" spans="1:4" x14ac:dyDescent="0.25">
      <c r="A21970" t="str">
        <f>HYPERLINK("https://www.773grp.com/globalSearch/DS90LV027AHM-NOPB/page-1", "DS90LV027AHM-NOPB")</f>
        <v>DS90LV027AHM-NOPB</v>
      </c>
      <c r="B21970" s="3" t="str">
        <f>HYPERLINK("https://www.773grp.com/manufacturer/texas-instruments?pageNo=261", "Texas Instruments")</f>
        <v>Texas Instruments</v>
      </c>
      <c r="C21970" s="5">
        <v>20900</v>
      </c>
      <c r="D21970" s="6">
        <v>4.96</v>
      </c>
    </row>
    <row r="21971" spans="1:4" x14ac:dyDescent="0.25">
      <c r="A21971" t="str">
        <f>HYPERLINK("https://www.773grp.com/globalSearch/LMP8640HVMK-F-NOPB/page-1", "LMP8640HVMK-F-NOPB")</f>
        <v>LMP8640HVMK-F-NOPB</v>
      </c>
      <c r="B21971" s="3" t="str">
        <f>HYPERLINK("https://www.773grp.com/manufacturer/texas-instruments?pageNo=265", "Texas Instruments")</f>
        <v>Texas Instruments</v>
      </c>
      <c r="C21971" s="5">
        <v>14000</v>
      </c>
      <c r="D21971" s="6">
        <v>4.96</v>
      </c>
    </row>
    <row r="21972" spans="1:4" x14ac:dyDescent="0.25">
      <c r="A21972" t="str">
        <f>HYPERLINK("https://www.773grp.com/globalSearch/MAX3243IDWR/page-1", "MAX3243IDWR")</f>
        <v>MAX3243IDWR</v>
      </c>
      <c r="B21972" s="3" t="str">
        <f>HYPERLINK("https://www.773grp.com/manufacturer/texas-instruments?pageNo=267", "Texas Instruments")</f>
        <v>Texas Instruments</v>
      </c>
      <c r="C21972" s="5">
        <v>669</v>
      </c>
      <c r="D21972" s="6">
        <v>4.96</v>
      </c>
    </row>
    <row r="21973" spans="1:4" x14ac:dyDescent="0.25">
      <c r="A21973" t="str">
        <f>HYPERLINK("https://www.773grp.com/globalSearch/P5590ED/page-1", "P5590ED")</f>
        <v>P5590ED</v>
      </c>
      <c r="B21973" s="3" t="str">
        <f>HYPERLINK("https://www.773grp.com/manufacturer/texas-instruments?pageNo=269", "Texas Instruments")</f>
        <v>Texas Instruments</v>
      </c>
      <c r="C21973" s="5">
        <v>1198</v>
      </c>
      <c r="D21973" s="6">
        <v>4.96</v>
      </c>
    </row>
    <row r="21974" spans="1:4" x14ac:dyDescent="0.25">
      <c r="A21974" t="str">
        <f>HYPERLINK("https://www.773grp.com/globalSearch/SN10087DLR/page-1", "SN10087DLR")</f>
        <v>SN10087DLR</v>
      </c>
      <c r="B21974" s="3" t="str">
        <f>HYPERLINK("https://www.773grp.com/manufacturer/texas-instruments?pageNo=272", "Texas Instruments")</f>
        <v>Texas Instruments</v>
      </c>
      <c r="C21974" s="5">
        <v>2000</v>
      </c>
      <c r="D21974" s="6">
        <v>4.96</v>
      </c>
    </row>
    <row r="21975" spans="1:4" x14ac:dyDescent="0.25">
      <c r="A21975" t="str">
        <f>HYPERLINK("https://www.773grp.com/globalSearch/SN74AS157NS/page-1", "SN74AS157NS")</f>
        <v>SN74AS157NS</v>
      </c>
      <c r="B21975" s="3" t="str">
        <f>HYPERLINK("https://www.773grp.com/manufacturer/texas-instruments?pageNo=277", "Texas Instruments")</f>
        <v>Texas Instruments</v>
      </c>
      <c r="C21975" s="5">
        <v>13100</v>
      </c>
      <c r="D21975" s="6">
        <v>4.96</v>
      </c>
    </row>
    <row r="21976" spans="1:4" x14ac:dyDescent="0.25">
      <c r="A21976" t="str">
        <f>HYPERLINK("https://www.773grp.com/globalSearch/TPS62290IDRVRQ1/page-1", "TPS62290IDRVRQ1")</f>
        <v>TPS62290IDRVRQ1</v>
      </c>
      <c r="B21976" s="3" t="str">
        <f>HYPERLINK("https://www.773grp.com/manufacturer/texas-instruments?pageNo=291", "Texas Instruments")</f>
        <v>Texas Instruments</v>
      </c>
      <c r="C21976" s="5">
        <v>12000</v>
      </c>
      <c r="D21976" s="6">
        <v>4.96</v>
      </c>
    </row>
    <row r="21977" spans="1:4" x14ac:dyDescent="0.25">
      <c r="A21977" t="str">
        <f>HYPERLINK("https://www.773grp.com/globalSearch/TPS62290TDRVRQ1/page-1", "TPS62290TDRVRQ1")</f>
        <v>TPS62290TDRVRQ1</v>
      </c>
      <c r="B21977" s="3" t="str">
        <f>HYPERLINK("https://www.773grp.com/manufacturer/texas-instruments?pageNo=292", "Texas Instruments")</f>
        <v>Texas Instruments</v>
      </c>
      <c r="C21977" s="5">
        <v>3000</v>
      </c>
      <c r="D21977" s="6">
        <v>4.96</v>
      </c>
    </row>
    <row r="21978" spans="1:4" x14ac:dyDescent="0.25">
      <c r="A21978" t="str">
        <f>HYPERLINK("https://www.773grp.com/globalSearch/UCD7231RTJT/page-1", "UCD7231RTJT")</f>
        <v>UCD7231RTJT</v>
      </c>
      <c r="B21978" s="3" t="str">
        <f>HYPERLINK("https://www.773grp.com/manufacturer/texas-instruments?pageNo=294", "Texas Instruments")</f>
        <v>Texas Instruments</v>
      </c>
      <c r="C21978" s="5">
        <v>921</v>
      </c>
      <c r="D21978" s="6">
        <v>4.96</v>
      </c>
    </row>
    <row r="21979" spans="1:4" x14ac:dyDescent="0.25">
      <c r="A21979" t="str">
        <f>HYPERLINK("https://www.773grp.com/globalSearch/BQ27425YZFR-G1/page-1", "BQ27425YZFR-G1")</f>
        <v>BQ27425YZFR-G1</v>
      </c>
      <c r="B21979" s="3" t="str">
        <f>HYPERLINK("https://www.773grp.com/manufacturer/texas-instruments?pageNo=300", "Texas Instruments")</f>
        <v>Texas Instruments</v>
      </c>
      <c r="C21979" s="5">
        <v>5145</v>
      </c>
      <c r="D21979" s="6">
        <v>4.5</v>
      </c>
    </row>
    <row r="21980" spans="1:4" x14ac:dyDescent="0.25">
      <c r="A21980" t="str">
        <f>HYPERLINK("https://www.773grp.com/globalSearch/BQ27505YZGR-J5/page-1", "BQ27505YZGR-J5")</f>
        <v>BQ27505YZGR-J5</v>
      </c>
      <c r="B21980" s="3" t="str">
        <f>HYPERLINK("https://www.773grp.com/manufacturer/texas-instruments?pageNo=301", "Texas Instruments")</f>
        <v>Texas Instruments</v>
      </c>
      <c r="C21980" s="5">
        <v>225</v>
      </c>
      <c r="D21980" s="6">
        <v>4.5</v>
      </c>
    </row>
    <row r="21981" spans="1:4" x14ac:dyDescent="0.25">
      <c r="A21981" t="str">
        <f>HYPERLINK("https://www.773grp.com/globalSearch/BQ27520YZFR-G3/page-1", "BQ27520YZFR-G3")</f>
        <v>BQ27520YZFR-G3</v>
      </c>
      <c r="B21981" s="3" t="str">
        <f>HYPERLINK("https://www.773grp.com/manufacturer/texas-instruments?pageNo=302", "Texas Instruments")</f>
        <v>Texas Instruments</v>
      </c>
      <c r="C21981" s="5">
        <v>3000</v>
      </c>
      <c r="D21981" s="6">
        <v>4.5</v>
      </c>
    </row>
    <row r="21982" spans="1:4" x14ac:dyDescent="0.25">
      <c r="A21982" t="str">
        <f>HYPERLINK("https://www.773grp.com/globalSearch/LM2595SX-ADJ-NOPB/page-1", "LM2595SX-ADJ-NOPB")</f>
        <v>LM2595SX-ADJ-NOPB</v>
      </c>
      <c r="B21982" s="3" t="str">
        <f>HYPERLINK("https://www.773grp.com/manufacturer/texas-instruments?pageNo=306", "Texas Instruments")</f>
        <v>Texas Instruments</v>
      </c>
      <c r="C21982" s="5">
        <v>500</v>
      </c>
      <c r="D21982" s="6">
        <v>4.5</v>
      </c>
    </row>
    <row r="21983" spans="1:4" x14ac:dyDescent="0.25">
      <c r="A21983" t="str">
        <f>HYPERLINK("https://www.773grp.com/globalSearch/LM2595SX-ADJ-NOPB/page-1", "LM2595SX-ADJ-NOPB")</f>
        <v>LM2595SX-ADJ-NOPB</v>
      </c>
      <c r="B21983" s="3" t="str">
        <f>HYPERLINK("https://www.773grp.com/manufacturer/texas-instruments?pageNo=307", "Texas Instruments")</f>
        <v>Texas Instruments</v>
      </c>
      <c r="C21983" s="5">
        <v>8096</v>
      </c>
      <c r="D21983" s="6">
        <v>4.5</v>
      </c>
    </row>
    <row r="21984" spans="1:4" x14ac:dyDescent="0.25">
      <c r="A21984" t="str">
        <f>HYPERLINK("https://www.773grp.com/globalSearch/LM2595T-12-NOPB/page-1", "LM2595T-12-NOPB")</f>
        <v>LM2595T-12-NOPB</v>
      </c>
      <c r="B21984" s="3" t="str">
        <f>HYPERLINK("https://www.773grp.com/manufacturer/texas-instruments?pageNo=308", "Texas Instruments")</f>
        <v>Texas Instruments</v>
      </c>
      <c r="C21984" s="5">
        <v>180</v>
      </c>
      <c r="D21984" s="6">
        <v>4.5</v>
      </c>
    </row>
    <row r="21985" spans="1:4" x14ac:dyDescent="0.25">
      <c r="A21985" t="str">
        <f>HYPERLINK("https://www.773grp.com/globalSearch/LM2675MX-ADJ-NOPB/page-1", "LM2675MX-ADJ-NOPB")</f>
        <v>LM2675MX-ADJ-NOPB</v>
      </c>
      <c r="B21985" s="3" t="str">
        <f>HYPERLINK("https://www.773grp.com/manufacturer/texas-instruments?pageNo=309", "Texas Instruments")</f>
        <v>Texas Instruments</v>
      </c>
      <c r="C21985" s="5">
        <v>15000</v>
      </c>
      <c r="D21985" s="6">
        <v>4.5</v>
      </c>
    </row>
    <row r="21986" spans="1:4" x14ac:dyDescent="0.25">
      <c r="A21986" t="str">
        <f>HYPERLINK("https://www.773grp.com/globalSearch/LM6172IN-NOPB/page-1", "LM6172IN-NOPB")</f>
        <v>LM6172IN-NOPB</v>
      </c>
      <c r="B21986" s="3" t="str">
        <f>HYPERLINK("https://www.773grp.com/manufacturer/texas-instruments?pageNo=310", "Texas Instruments")</f>
        <v>Texas Instruments</v>
      </c>
      <c r="C21986" s="5">
        <v>868</v>
      </c>
      <c r="D21986" s="6">
        <v>4.5</v>
      </c>
    </row>
    <row r="21987" spans="1:4" x14ac:dyDescent="0.25">
      <c r="A21987" t="str">
        <f>HYPERLINK("https://www.773grp.com/globalSearch/MSP430F2122TRTVT/page-1", "MSP430F2122TRTVT")</f>
        <v>MSP430F2122TRTVT</v>
      </c>
      <c r="B21987" s="3" t="str">
        <f>HYPERLINK("https://www.773grp.com/manufacturer/texas-instruments?pageNo=311", "Texas Instruments")</f>
        <v>Texas Instruments</v>
      </c>
      <c r="C21987" s="5">
        <v>250</v>
      </c>
      <c r="D21987" s="6">
        <v>4.5</v>
      </c>
    </row>
    <row r="21988" spans="1:4" x14ac:dyDescent="0.25">
      <c r="A21988" t="str">
        <f>HYPERLINK("https://www.773grp.com/globalSearch/MSP430F5171IDAR/page-1", "MSP430F5171IDAR")</f>
        <v>MSP430F5171IDAR</v>
      </c>
      <c r="B21988" s="3" t="str">
        <f>HYPERLINK("https://www.773grp.com/manufacturer/texas-instruments?pageNo=313", "Texas Instruments")</f>
        <v>Texas Instruments</v>
      </c>
      <c r="C21988" s="5">
        <v>29000</v>
      </c>
      <c r="D21988" s="6">
        <v>4.5</v>
      </c>
    </row>
    <row r="21989" spans="1:4" x14ac:dyDescent="0.25">
      <c r="A21989" t="str">
        <f>HYPERLINK("https://www.773grp.com/globalSearch/MSP430F5171IRSBT/page-1", "MSP430F5171IRSBT")</f>
        <v>MSP430F5171IRSBT</v>
      </c>
      <c r="B21989" s="3" t="str">
        <f>HYPERLINK("https://www.773grp.com/manufacturer/texas-instruments?pageNo=314", "Texas Instruments")</f>
        <v>Texas Instruments</v>
      </c>
      <c r="C21989" s="5">
        <v>1188</v>
      </c>
      <c r="D21989" s="6">
        <v>4.5</v>
      </c>
    </row>
    <row r="21990" spans="1:4" x14ac:dyDescent="0.25">
      <c r="A21990" t="str">
        <f>HYPERLINK("https://www.773grp.com/globalSearch/MSP430F5501IRGZR/page-1", "MSP430F5501IRGZR")</f>
        <v>MSP430F5501IRGZR</v>
      </c>
      <c r="B21990" s="3" t="str">
        <f>HYPERLINK("https://www.773grp.com/manufacturer/texas-instruments?pageNo=315", "Texas Instruments")</f>
        <v>Texas Instruments</v>
      </c>
      <c r="C21990" s="5">
        <v>2500</v>
      </c>
      <c r="D21990" s="6">
        <v>4.5</v>
      </c>
    </row>
    <row r="21991" spans="1:4" x14ac:dyDescent="0.25">
      <c r="A21991" t="str">
        <f>HYPERLINK("https://www.773grp.com/globalSearch/MSP430F5501IRGZT/page-1", "MSP430F5501IRGZT")</f>
        <v>MSP430F5501IRGZT</v>
      </c>
      <c r="B21991" s="3" t="str">
        <f>HYPERLINK("https://www.773grp.com/manufacturer/texas-instruments?pageNo=316", "Texas Instruments")</f>
        <v>Texas Instruments</v>
      </c>
      <c r="C21991" s="5">
        <v>250</v>
      </c>
      <c r="D21991" s="6">
        <v>4.5</v>
      </c>
    </row>
    <row r="21992" spans="1:4" x14ac:dyDescent="0.25">
      <c r="A21992" t="str">
        <f>HYPERLINK("https://www.773grp.com/globalSearch/PCM5101PW/page-1", "PCM5101PW")</f>
        <v>PCM5101PW</v>
      </c>
      <c r="B21992" s="3" t="str">
        <f>HYPERLINK("https://www.773grp.com/manufacturer/texas-instruments?pageNo=329", "Texas Instruments")</f>
        <v>Texas Instruments</v>
      </c>
      <c r="C21992" s="5">
        <v>1820</v>
      </c>
      <c r="D21992" s="6">
        <v>4.5</v>
      </c>
    </row>
    <row r="21993" spans="1:4" x14ac:dyDescent="0.25">
      <c r="A21993" t="str">
        <f>HYPERLINK("https://www.773grp.com/globalSearch/SN65HVD3088EDGK/page-1", "SN65HVD3088EDGK")</f>
        <v>SN65HVD3088EDGK</v>
      </c>
      <c r="B21993" s="3" t="str">
        <f>HYPERLINK("https://www.773grp.com/manufacturer/texas-instruments?pageNo=331", "Texas Instruments")</f>
        <v>Texas Instruments</v>
      </c>
      <c r="C21993" s="5">
        <v>487</v>
      </c>
      <c r="D21993" s="6">
        <v>4.5</v>
      </c>
    </row>
    <row r="21994" spans="1:4" x14ac:dyDescent="0.25">
      <c r="A21994" t="str">
        <f>HYPERLINK("https://www.773grp.com/globalSearch/SN65LBC176AQDG4/page-1", "SN65LBC176AQDG4")</f>
        <v>SN65LBC176AQDG4</v>
      </c>
      <c r="B21994" s="3" t="str">
        <f>HYPERLINK("https://www.773grp.com/manufacturer/texas-instruments?pageNo=333", "Texas Instruments")</f>
        <v>Texas Instruments</v>
      </c>
      <c r="C21994" s="5">
        <v>2700</v>
      </c>
      <c r="D21994" s="6">
        <v>4.5</v>
      </c>
    </row>
    <row r="21995" spans="1:4" x14ac:dyDescent="0.25">
      <c r="A21995" t="str">
        <f>HYPERLINK("https://www.773grp.com/globalSearch/SN65LBC176AQDRG4/page-1", "SN65LBC176AQDRG4")</f>
        <v>SN65LBC176AQDRG4</v>
      </c>
      <c r="B21995" s="3" t="str">
        <f>HYPERLINK("https://www.773grp.com/manufacturer/texas-instruments?pageNo=335", "Texas Instruments")</f>
        <v>Texas Instruments</v>
      </c>
      <c r="C21995" s="5">
        <v>2500</v>
      </c>
      <c r="D21995" s="6">
        <v>4.5</v>
      </c>
    </row>
    <row r="21996" spans="1:4" x14ac:dyDescent="0.25">
      <c r="A21996" t="str">
        <f>HYPERLINK("https://www.773grp.com/globalSearch/SN65MLVD202ADG4/page-1", "SN65MLVD202ADG4")</f>
        <v>SN65MLVD202ADG4</v>
      </c>
      <c r="B21996" s="3" t="str">
        <f>HYPERLINK("https://www.773grp.com/manufacturer/texas-instruments?pageNo=344", "Texas Instruments")</f>
        <v>Texas Instruments</v>
      </c>
      <c r="C21996" s="5">
        <v>50</v>
      </c>
      <c r="D21996" s="6">
        <v>4.5</v>
      </c>
    </row>
    <row r="21997" spans="1:4" x14ac:dyDescent="0.25">
      <c r="A21997" t="str">
        <f>HYPERLINK("https://www.773grp.com/globalSearch/SN74ALS164ANS/page-1", "SN74ALS164ANS")</f>
        <v>SN74ALS164ANS</v>
      </c>
      <c r="B21997" s="3" t="str">
        <f>HYPERLINK("https://www.773grp.com/manufacturer/texas-instruments?pageNo=350", "Texas Instruments")</f>
        <v>Texas Instruments</v>
      </c>
      <c r="C21997" s="5">
        <v>6800</v>
      </c>
      <c r="D21997" s="6">
        <v>4.5</v>
      </c>
    </row>
    <row r="21998" spans="1:4" x14ac:dyDescent="0.25">
      <c r="A21998" t="str">
        <f>HYPERLINK("https://www.773grp.com/globalSearch/SN74AVC20T245DGVR/page-1", "SN74AVC20T245DGVR")</f>
        <v>SN74AVC20T245DGVR</v>
      </c>
      <c r="B21998" s="3" t="str">
        <f>HYPERLINK("https://www.773grp.com/manufacturer/texas-instruments?pageNo=353", "Texas Instruments")</f>
        <v>Texas Instruments</v>
      </c>
      <c r="C21998" s="5">
        <v>613</v>
      </c>
      <c r="D21998" s="6">
        <v>4.5</v>
      </c>
    </row>
    <row r="21999" spans="1:4" x14ac:dyDescent="0.25">
      <c r="A21999" t="str">
        <f>HYPERLINK("https://www.773grp.com/globalSearch/SN75LBC777CW/page-1", "SN75LBC777CW")</f>
        <v>SN75LBC777CW</v>
      </c>
      <c r="B21999" s="3" t="str">
        <f>HYPERLINK("https://www.773grp.com/manufacturer/texas-instruments?pageNo=368", "Texas Instruments")</f>
        <v>Texas Instruments</v>
      </c>
      <c r="C21999" s="5">
        <v>1024</v>
      </c>
      <c r="D21999" s="6">
        <v>4.5</v>
      </c>
    </row>
    <row r="22000" spans="1:4" x14ac:dyDescent="0.25">
      <c r="A22000" t="str">
        <f>HYPERLINK("https://www.773grp.com/globalSearch/TLV2475IPWPR/page-1", "TLV2475IPWPR")</f>
        <v>TLV2475IPWPR</v>
      </c>
      <c r="B22000" s="3" t="str">
        <f>HYPERLINK("https://www.773grp.com/manufacturer/texas-instruments?pageNo=378", "Texas Instruments")</f>
        <v>Texas Instruments</v>
      </c>
      <c r="C22000" s="5">
        <v>23</v>
      </c>
      <c r="D22000" s="6">
        <v>4.5</v>
      </c>
    </row>
    <row r="22001" spans="1:4" x14ac:dyDescent="0.25">
      <c r="A22001" t="str">
        <f>HYPERLINK("https://www.773grp.com/globalSearch/TLV320AIC12KIRHBR/page-1", "TLV320AIC12KIRHBR")</f>
        <v>TLV320AIC12KIRHBR</v>
      </c>
      <c r="B22001" s="3" t="str">
        <f>HYPERLINK("https://www.773grp.com/manufacturer/texas-instruments?pageNo=384", "Texas Instruments")</f>
        <v>Texas Instruments</v>
      </c>
      <c r="C22001" s="5">
        <v>2558</v>
      </c>
      <c r="D22001" s="6">
        <v>4.5</v>
      </c>
    </row>
    <row r="22002" spans="1:4" x14ac:dyDescent="0.25">
      <c r="A22002" t="str">
        <f>HYPERLINK("https://www.773grp.com/globalSearch/TPS40061PWPR/page-1", "TPS40061PWPR")</f>
        <v>TPS40061PWPR</v>
      </c>
      <c r="B22002" s="3" t="str">
        <f>HYPERLINK("https://www.773grp.com/manufacturer/texas-instruments?pageNo=396", "Texas Instruments")</f>
        <v>Texas Instruments</v>
      </c>
      <c r="C22002" s="5">
        <v>8000</v>
      </c>
      <c r="D22002" s="6">
        <v>4.5</v>
      </c>
    </row>
    <row r="22003" spans="1:4" x14ac:dyDescent="0.25">
      <c r="A22003" t="str">
        <f>HYPERLINK("https://www.773grp.com/globalSearch/TPS61087DRCR/page-1", "TPS61087DRCR")</f>
        <v>TPS61087DRCR</v>
      </c>
      <c r="B22003" s="3" t="str">
        <f>HYPERLINK("https://www.773grp.com/manufacturer/texas-instruments?pageNo=400", "Texas Instruments")</f>
        <v>Texas Instruments</v>
      </c>
      <c r="C22003" s="5">
        <v>102000</v>
      </c>
      <c r="D22003" s="6">
        <v>4.5</v>
      </c>
    </row>
    <row r="22004" spans="1:4" x14ac:dyDescent="0.25">
      <c r="A22004" t="str">
        <f>HYPERLINK("https://www.773grp.com/globalSearch/TPS65161APWPR/page-1", "TPS65161APWPR")</f>
        <v>TPS65161APWPR</v>
      </c>
      <c r="B22004" s="3" t="str">
        <f>HYPERLINK("https://www.773grp.com/manufacturer/texas-instruments?pageNo=406", "Texas Instruments")</f>
        <v>Texas Instruments</v>
      </c>
      <c r="C22004" s="5">
        <v>26000</v>
      </c>
      <c r="D22004" s="6">
        <v>4.5</v>
      </c>
    </row>
    <row r="22005" spans="1:4" x14ac:dyDescent="0.25">
      <c r="A22005" t="str">
        <f>HYPERLINK("https://www.773grp.com/globalSearch/TPS73230MDBVREP/page-1", "TPS73230MDBVREP")</f>
        <v>TPS73230MDBVREP</v>
      </c>
      <c r="B22005" s="3" t="str">
        <f>HYPERLINK("https://www.773grp.com/manufacturer/texas-instruments?pageNo=409", "Texas Instruments")</f>
        <v>Texas Instruments</v>
      </c>
      <c r="C22005" s="5">
        <v>2803</v>
      </c>
      <c r="D22005" s="6">
        <v>4.5</v>
      </c>
    </row>
    <row r="22006" spans="1:4" x14ac:dyDescent="0.25">
      <c r="A22006" t="str">
        <f>HYPERLINK("https://www.773grp.com/globalSearch/TRF7963RHBR/page-1", "TRF7963RHBR")</f>
        <v>TRF7963RHBR</v>
      </c>
      <c r="B22006" s="3" t="str">
        <f>HYPERLINK("https://www.773grp.com/manufacturer/texas-instruments?pageNo=411", "Texas Instruments")</f>
        <v>Texas Instruments</v>
      </c>
      <c r="C22006" s="5">
        <v>40662</v>
      </c>
      <c r="D22006" s="6">
        <v>4.5</v>
      </c>
    </row>
    <row r="22007" spans="1:4" x14ac:dyDescent="0.25">
      <c r="A22007" t="str">
        <f>HYPERLINK("https://www.773grp.com/globalSearch/TSC2017IYZGT/page-1", "TSC2017IYZGT")</f>
        <v>TSC2017IYZGT</v>
      </c>
      <c r="B22007" s="3" t="str">
        <f>HYPERLINK("https://www.773grp.com/manufacturer/texas-instruments?pageNo=413", "Texas Instruments")</f>
        <v>Texas Instruments</v>
      </c>
      <c r="C22007" s="5">
        <v>250</v>
      </c>
      <c r="D22007" s="6">
        <v>4.5</v>
      </c>
    </row>
    <row r="22008" spans="1:4" x14ac:dyDescent="0.25">
      <c r="A22008" t="str">
        <f>HYPERLINK("https://www.773grp.com/globalSearch/UCC27201ADDA/page-1", "UCC27201ADDA")</f>
        <v>UCC27201ADDA</v>
      </c>
      <c r="B22008" s="3" t="str">
        <f>HYPERLINK("https://www.773grp.com/manufacturer/texas-instruments?pageNo=418", "Texas Instruments")</f>
        <v>Texas Instruments</v>
      </c>
      <c r="C22008" s="5">
        <v>450</v>
      </c>
      <c r="D22008" s="6">
        <v>4.5</v>
      </c>
    </row>
    <row r="22009" spans="1:4" x14ac:dyDescent="0.25">
      <c r="A22009" t="str">
        <f>HYPERLINK("https://www.773grp.com/globalSearch/UCD8220PWPR/page-1", "UCD8220PWPR")</f>
        <v>UCD8220PWPR</v>
      </c>
      <c r="B22009" s="3" t="str">
        <f>HYPERLINK("https://www.773grp.com/manufacturer/texas-instruments?pageNo=425", "Texas Instruments")</f>
        <v>Texas Instruments</v>
      </c>
      <c r="C22009" s="5">
        <v>6000</v>
      </c>
      <c r="D22009" s="6">
        <v>4.5</v>
      </c>
    </row>
    <row r="22010" spans="1:4" x14ac:dyDescent="0.25">
      <c r="A22010" t="str">
        <f>HYPERLINK("https://www.773grp.com/globalSearch/BQ27520YZFT-G1/page-1", "BQ27520YZFT-G1")</f>
        <v>BQ27520YZFT-G1</v>
      </c>
      <c r="B22010" s="3" t="str">
        <f>HYPERLINK("https://www.773grp.com/manufacturer/texas-instruments?pageNo=426", "Texas Instruments")</f>
        <v>Texas Instruments</v>
      </c>
      <c r="C22010" s="5">
        <v>29</v>
      </c>
      <c r="D22010" s="6">
        <v>4.53</v>
      </c>
    </row>
    <row r="22011" spans="1:4" x14ac:dyDescent="0.25">
      <c r="A22011" t="str">
        <f>HYPERLINK("https://www.773grp.com/globalSearch/TPS54395RSAT/page-1", "TPS54395RSAT")</f>
        <v>TPS54395RSAT</v>
      </c>
      <c r="B22011" s="3" t="str">
        <f>HYPERLINK("https://www.773grp.com/manufacturer/texas-instruments?pageNo=452", "Texas Instruments")</f>
        <v>Texas Instruments</v>
      </c>
      <c r="C22011" s="5">
        <v>250</v>
      </c>
      <c r="D22011" s="6">
        <v>4.53</v>
      </c>
    </row>
    <row r="22012" spans="1:4" x14ac:dyDescent="0.25">
      <c r="A22012" t="str">
        <f>HYPERLINK("https://www.773grp.com/globalSearch/TPS54519RTET/page-1", "TPS54519RTET")</f>
        <v>TPS54519RTET</v>
      </c>
      <c r="B22012" s="3" t="str">
        <f>HYPERLINK("https://www.773grp.com/manufacturer/texas-instruments?pageNo=453", "Texas Instruments")</f>
        <v>Texas Instruments</v>
      </c>
      <c r="C22012" s="5">
        <v>10565</v>
      </c>
      <c r="D22012" s="6">
        <v>4.53</v>
      </c>
    </row>
    <row r="22013" spans="1:4" x14ac:dyDescent="0.25">
      <c r="A22013" t="str">
        <f>HYPERLINK("https://www.773grp.com/globalSearch/UC2853AN/page-1", "UC2853AN")</f>
        <v>UC2853AN</v>
      </c>
      <c r="B22013" s="3" t="str">
        <f>HYPERLINK("https://www.773grp.com/manufacturer/texas-instruments?pageNo=454", "Texas Instruments")</f>
        <v>Texas Instruments</v>
      </c>
      <c r="C22013" s="5">
        <v>34100</v>
      </c>
      <c r="D22013" s="6">
        <v>4.53</v>
      </c>
    </row>
    <row r="22014" spans="1:4" x14ac:dyDescent="0.25">
      <c r="A22014" t="str">
        <f>HYPERLINK("https://www.773grp.com/globalSearch/UC3854N-F/page-1", "UC3854N-F")</f>
        <v>UC3854N-F</v>
      </c>
      <c r="B22014" s="3" t="str">
        <f>HYPERLINK("https://www.773grp.com/manufacturer/texas-instruments?pageNo=458", "Texas Instruments")</f>
        <v>Texas Instruments</v>
      </c>
      <c r="C22014" s="5">
        <v>33295</v>
      </c>
      <c r="D22014" s="6">
        <v>4.53</v>
      </c>
    </row>
    <row r="22015" spans="1:4" x14ac:dyDescent="0.25">
      <c r="A22015" t="str">
        <f>HYPERLINK("https://www.773grp.com/globalSearch/ADS1013IDGSR/page-1", "ADS1013IDGSR")</f>
        <v>ADS1013IDGSR</v>
      </c>
      <c r="B22015" s="3" t="str">
        <f>HYPERLINK("https://www.773grp.com/manufacturer/texas-instruments?pageNo=464", "Texas Instruments")</f>
        <v>Texas Instruments</v>
      </c>
      <c r="C22015" s="5">
        <v>22500</v>
      </c>
      <c r="D22015" s="6">
        <v>5.01</v>
      </c>
    </row>
    <row r="22016" spans="1:4" x14ac:dyDescent="0.25">
      <c r="A22016" t="str">
        <f>HYPERLINK("https://www.773grp.com/globalSearch/BQ29330ADBT/page-1", "BQ29330ADBT")</f>
        <v>BQ29330ADBT</v>
      </c>
      <c r="B22016" s="3" t="str">
        <f>HYPERLINK("https://www.773grp.com/manufacturer/texas-instruments?pageNo=471", "Texas Instruments")</f>
        <v>Texas Instruments</v>
      </c>
      <c r="C22016" s="5">
        <v>1800</v>
      </c>
      <c r="D22016" s="6">
        <v>5.01</v>
      </c>
    </row>
    <row r="22017" spans="1:4" x14ac:dyDescent="0.25">
      <c r="A22017" t="str">
        <f>HYPERLINK("https://www.773grp.com/globalSearch/BQ29330ADBTR/page-1", "BQ29330ADBTR")</f>
        <v>BQ29330ADBTR</v>
      </c>
      <c r="B22017" s="3" t="str">
        <f>HYPERLINK("https://www.773grp.com/manufacturer/texas-instruments?pageNo=472", "Texas Instruments")</f>
        <v>Texas Instruments</v>
      </c>
      <c r="C22017" s="5">
        <v>4000</v>
      </c>
      <c r="D22017" s="6">
        <v>5.01</v>
      </c>
    </row>
    <row r="22018" spans="1:4" x14ac:dyDescent="0.25">
      <c r="A22018" t="str">
        <f>HYPERLINK("https://www.773grp.com/globalSearch/BUS1066H1NSR/page-1", "BUS1066H1NSR")</f>
        <v>BUS1066H1NSR</v>
      </c>
      <c r="B22018" s="3" t="str">
        <f>HYPERLINK("https://www.773grp.com/manufacturer/texas-instruments?pageNo=475", "Texas Instruments")</f>
        <v>Texas Instruments</v>
      </c>
      <c r="C22018" s="5">
        <v>127830</v>
      </c>
      <c r="D22018" s="6">
        <v>5.01</v>
      </c>
    </row>
    <row r="22019" spans="1:4" x14ac:dyDescent="0.25">
      <c r="A22019" t="str">
        <f>HYPERLINK("https://www.773grp.com/globalSearch/DP83848TSQ-NOPB/page-1", "DP83848TSQ-NOPB")</f>
        <v>DP83848TSQ-NOPB</v>
      </c>
      <c r="B22019" s="3" t="str">
        <f>HYPERLINK("https://www.773grp.com/manufacturer/texas-instruments?pageNo=480", "Texas Instruments")</f>
        <v>Texas Instruments</v>
      </c>
      <c r="C22019" s="5">
        <v>250</v>
      </c>
      <c r="D22019" s="6">
        <v>5.01</v>
      </c>
    </row>
    <row r="22020" spans="1:4" x14ac:dyDescent="0.25">
      <c r="A22020" t="str">
        <f>HYPERLINK("https://www.773grp.com/globalSearch/DP83848TSQ-NOPB/page-1", "DP83848TSQ-NOPB")</f>
        <v>DP83848TSQ-NOPB</v>
      </c>
      <c r="B22020" s="3" t="str">
        <f>HYPERLINK("https://www.773grp.com/manufacturer/texas-instruments?pageNo=481", "Texas Instruments")</f>
        <v>Texas Instruments</v>
      </c>
      <c r="C22020" s="5">
        <v>10500</v>
      </c>
      <c r="D22020" s="6">
        <v>5.01</v>
      </c>
    </row>
    <row r="22021" spans="1:4" x14ac:dyDescent="0.25">
      <c r="A22021" t="str">
        <f>HYPERLINK("https://www.773grp.com/globalSearch/DRV8833PWPR/page-1", "DRV8833PWPR")</f>
        <v>DRV8833PWPR</v>
      </c>
      <c r="B22021" s="3" t="str">
        <f>HYPERLINK("https://www.773grp.com/manufacturer/texas-instruments?pageNo=482", "Texas Instruments")</f>
        <v>Texas Instruments</v>
      </c>
      <c r="C22021" s="5">
        <v>1164</v>
      </c>
      <c r="D22021" s="6">
        <v>5.01</v>
      </c>
    </row>
    <row r="22022" spans="1:4" x14ac:dyDescent="0.25">
      <c r="A22022" t="str">
        <f>HYPERLINK("https://www.773grp.com/globalSearch/DRV8833RTYR/page-1", "DRV8833RTYR")</f>
        <v>DRV8833RTYR</v>
      </c>
      <c r="B22022" s="3" t="str">
        <f>HYPERLINK("https://www.773grp.com/manufacturer/texas-instruments?pageNo=483", "Texas Instruments")</f>
        <v>Texas Instruments</v>
      </c>
      <c r="C22022" s="5">
        <v>6000</v>
      </c>
      <c r="D22022" s="6">
        <v>5.01</v>
      </c>
    </row>
    <row r="22023" spans="1:4" x14ac:dyDescent="0.25">
      <c r="A22023" t="str">
        <f>HYPERLINK("https://www.773grp.com/globalSearch/INA169QPWRG4Q1/page-1", "INA169QPWRG4Q1")</f>
        <v>INA169QPWRG4Q1</v>
      </c>
      <c r="B22023" s="3" t="str">
        <f>HYPERLINK("https://www.773grp.com/manufacturer/texas-instruments?pageNo=485", "Texas Instruments")</f>
        <v>Texas Instruments</v>
      </c>
      <c r="C22023" s="5">
        <v>164000</v>
      </c>
      <c r="D22023" s="6">
        <v>5.01</v>
      </c>
    </row>
    <row r="22024" spans="1:4" x14ac:dyDescent="0.25">
      <c r="A22024" t="str">
        <f>HYPERLINK("https://www.773grp.com/globalSearch/INA169QPWRQ1/page-1", "INA169QPWRQ1")</f>
        <v>INA169QPWRQ1</v>
      </c>
      <c r="B22024" s="3" t="str">
        <f>HYPERLINK("https://www.773grp.com/manufacturer/texas-instruments?pageNo=486", "Texas Instruments")</f>
        <v>Texas Instruments</v>
      </c>
      <c r="C22024" s="5">
        <v>4000</v>
      </c>
      <c r="D22024" s="6">
        <v>5.01</v>
      </c>
    </row>
    <row r="22025" spans="1:4" x14ac:dyDescent="0.25">
      <c r="A22025" t="str">
        <f>HYPERLINK("https://www.773grp.com/globalSearch/INA170EA-2K5/page-1", "INA170EA-2K5")</f>
        <v>INA170EA-2K5</v>
      </c>
      <c r="B22025" s="3" t="str">
        <f>HYPERLINK("https://www.773grp.com/manufacturer/texas-instruments?pageNo=487", "Texas Instruments")</f>
        <v>Texas Instruments</v>
      </c>
      <c r="C22025" s="5">
        <v>1573</v>
      </c>
      <c r="D22025" s="6">
        <v>5.01</v>
      </c>
    </row>
    <row r="22026" spans="1:4" x14ac:dyDescent="0.25">
      <c r="A22026" t="str">
        <f>HYPERLINK("https://www.773grp.com/globalSearch/INA194AQDBVRQ1/page-1", "INA194AQDBVRQ1")</f>
        <v>INA194AQDBVRQ1</v>
      </c>
      <c r="B22026" s="3" t="str">
        <f>HYPERLINK("https://www.773grp.com/manufacturer/texas-instruments?pageNo=490", "Texas Instruments")</f>
        <v>Texas Instruments</v>
      </c>
      <c r="C22026" s="5">
        <v>3634</v>
      </c>
      <c r="D22026" s="6">
        <v>5.01</v>
      </c>
    </row>
    <row r="22027" spans="1:4" x14ac:dyDescent="0.25">
      <c r="A22027" t="str">
        <f>HYPERLINK("https://www.773grp.com/globalSearch/INA195AQDBVRQ1/page-1", "INA195AQDBVRQ1")</f>
        <v>INA195AQDBVRQ1</v>
      </c>
      <c r="B22027" s="3" t="str">
        <f>HYPERLINK("https://www.773grp.com/manufacturer/texas-instruments?pageNo=492", "Texas Instruments")</f>
        <v>Texas Instruments</v>
      </c>
      <c r="C22027" s="5">
        <v>6084</v>
      </c>
      <c r="D22027" s="6">
        <v>5.01</v>
      </c>
    </row>
    <row r="22028" spans="1:4" x14ac:dyDescent="0.25">
      <c r="A22028" t="str">
        <f>HYPERLINK("https://www.773grp.com/globalSearch/INA196AIDBVT/page-1", "INA196AIDBVT")</f>
        <v>INA196AIDBVT</v>
      </c>
      <c r="B22028" s="3" t="str">
        <f>HYPERLINK("https://www.773grp.com/manufacturer/texas-instruments?pageNo=493", "Texas Instruments")</f>
        <v>Texas Instruments</v>
      </c>
      <c r="C22028" s="5">
        <v>250</v>
      </c>
      <c r="D22028" s="6">
        <v>5.01</v>
      </c>
    </row>
    <row r="22029" spans="1:4" x14ac:dyDescent="0.25">
      <c r="A22029" t="str">
        <f>HYPERLINK("https://www.773grp.com/globalSearch/INA196AQDBVRQ1/page-1", "INA196AQDBVRQ1")</f>
        <v>INA196AQDBVRQ1</v>
      </c>
      <c r="B22029" s="3" t="str">
        <f>HYPERLINK("https://www.773grp.com/manufacturer/texas-instruments?pageNo=494", "Texas Instruments")</f>
        <v>Texas Instruments</v>
      </c>
      <c r="C22029" s="5">
        <v>2800</v>
      </c>
      <c r="D22029" s="6">
        <v>5.01</v>
      </c>
    </row>
    <row r="22030" spans="1:4" x14ac:dyDescent="0.25">
      <c r="A22030" t="str">
        <f>HYPERLINK("https://www.773grp.com/globalSearch/INA198AIDBVTG4/page-1", "INA198AIDBVTG4")</f>
        <v>INA198AIDBVTG4</v>
      </c>
      <c r="B22030" s="3" t="str">
        <f>HYPERLINK("https://www.773grp.com/manufacturer/texas-instruments?pageNo=497", "Texas Instruments")</f>
        <v>Texas Instruments</v>
      </c>
      <c r="C22030" s="5">
        <v>5</v>
      </c>
      <c r="D22030" s="6">
        <v>5.01</v>
      </c>
    </row>
    <row r="22031" spans="1:4" x14ac:dyDescent="0.25">
      <c r="A22031" t="str">
        <f>HYPERLINK("https://www.773grp.com/globalSearch/INA198AQDBVRQ1/page-1", "INA198AQDBVRQ1")</f>
        <v>INA198AQDBVRQ1</v>
      </c>
      <c r="B22031" s="3" t="str">
        <f>HYPERLINK("https://www.773grp.com/manufacturer/texas-instruments?pageNo=498", "Texas Instruments")</f>
        <v>Texas Instruments</v>
      </c>
      <c r="C22031" s="5">
        <v>12032</v>
      </c>
      <c r="D22031" s="6">
        <v>5.01</v>
      </c>
    </row>
    <row r="22032" spans="1:4" x14ac:dyDescent="0.25">
      <c r="A22032" t="str">
        <f>HYPERLINK("https://www.773grp.com/globalSearch/INA219AIDCNT/page-1", "INA219AIDCNT")</f>
        <v>INA219AIDCNT</v>
      </c>
      <c r="B22032" s="3" t="str">
        <f>HYPERLINK("https://www.773grp.com/manufacturer/texas-instruments?pageNo=515", "Texas Instruments")</f>
        <v>Texas Instruments</v>
      </c>
      <c r="C22032" s="5">
        <v>3000</v>
      </c>
      <c r="D22032" s="6">
        <v>5.01</v>
      </c>
    </row>
    <row r="22033" spans="1:4" x14ac:dyDescent="0.25">
      <c r="A22033" t="str">
        <f>HYPERLINK("https://www.773grp.com/globalSearch/LM2734YMK-NOPB/page-1", "LM2734YMK-NOPB")</f>
        <v>LM2734YMK-NOPB</v>
      </c>
      <c r="B22033" s="3" t="str">
        <f>HYPERLINK("https://www.773grp.com/manufacturer/texas-instruments?pageNo=518", "Texas Instruments")</f>
        <v>Texas Instruments</v>
      </c>
      <c r="C22033" s="5">
        <v>9000</v>
      </c>
      <c r="D22033" s="6">
        <v>5.01</v>
      </c>
    </row>
    <row r="22034" spans="1:4" x14ac:dyDescent="0.25">
      <c r="A22034" t="str">
        <f>HYPERLINK("https://www.773grp.com/globalSearch/LM5025SD-NOPB/page-1", "LM5025SD-NOPB")</f>
        <v>LM5025SD-NOPB</v>
      </c>
      <c r="B22034" s="3" t="str">
        <f>HYPERLINK("https://www.773grp.com/manufacturer/texas-instruments?pageNo=519", "Texas Instruments")</f>
        <v>Texas Instruments</v>
      </c>
      <c r="C22034" s="5">
        <v>145</v>
      </c>
      <c r="D22034" s="6">
        <v>5.01</v>
      </c>
    </row>
    <row r="22035" spans="1:4" x14ac:dyDescent="0.25">
      <c r="A22035" t="str">
        <f>HYPERLINK("https://www.773grp.com/globalSearch/LM9061M-NOPB/page-1", "LM9061M-NOPB")</f>
        <v>LM9061M-NOPB</v>
      </c>
      <c r="B22035" s="3" t="str">
        <f>HYPERLINK("https://www.773grp.com/manufacturer/texas-instruments?pageNo=520", "Texas Instruments")</f>
        <v>Texas Instruments</v>
      </c>
      <c r="C22035" s="5">
        <v>665</v>
      </c>
      <c r="D22035" s="6">
        <v>5.01</v>
      </c>
    </row>
    <row r="22036" spans="1:4" x14ac:dyDescent="0.25">
      <c r="A22036" t="str">
        <f>HYPERLINK("https://www.773grp.com/globalSearch/LM9061M-NOPB/page-1", "LM9061M-NOPB")</f>
        <v>LM9061M-NOPB</v>
      </c>
      <c r="B22036" s="3" t="str">
        <f>HYPERLINK("https://www.773grp.com/manufacturer/texas-instruments?pageNo=521", "Texas Instruments")</f>
        <v>Texas Instruments</v>
      </c>
      <c r="C22036" s="5">
        <v>570</v>
      </c>
      <c r="D22036" s="6">
        <v>5.01</v>
      </c>
    </row>
    <row r="22037" spans="1:4" x14ac:dyDescent="0.25">
      <c r="A22037" t="str">
        <f>HYPERLINK("https://www.773grp.com/globalSearch/LP2989IMM-3.3-NOPB/page-1", "LP2989IMM-3.3-NOPB")</f>
        <v>LP2989IMM-3.3-NOPB</v>
      </c>
      <c r="B22037" s="3" t="str">
        <f>HYPERLINK("https://www.773grp.com/manufacturer/texas-instruments?pageNo=523", "Texas Instruments")</f>
        <v>Texas Instruments</v>
      </c>
      <c r="C22037" s="5">
        <v>18950</v>
      </c>
      <c r="D22037" s="6">
        <v>5.01</v>
      </c>
    </row>
    <row r="22038" spans="1:4" x14ac:dyDescent="0.25">
      <c r="A22038" t="str">
        <f>HYPERLINK("https://www.773grp.com/globalSearch/LP2989IMM-5.0-NOPB/page-1", "LP2989IMM-5.0-NOPB")</f>
        <v>LP2989IMM-5.0-NOPB</v>
      </c>
      <c r="B22038" s="3" t="str">
        <f>HYPERLINK("https://www.773grp.com/manufacturer/texas-instruments?pageNo=524", "Texas Instruments")</f>
        <v>Texas Instruments</v>
      </c>
      <c r="C22038" s="5">
        <v>548</v>
      </c>
      <c r="D22038" s="6">
        <v>5.01</v>
      </c>
    </row>
    <row r="22039" spans="1:4" x14ac:dyDescent="0.25">
      <c r="A22039" t="str">
        <f>HYPERLINK("https://www.773grp.com/globalSearch/MSP430G2513IN20/page-1", "MSP430G2513IN20")</f>
        <v>MSP430G2513IN20</v>
      </c>
      <c r="B22039" s="3" t="str">
        <f>HYPERLINK("https://www.773grp.com/manufacturer/texas-instruments?pageNo=527", "Texas Instruments")</f>
        <v>Texas Instruments</v>
      </c>
      <c r="C22039" s="5">
        <v>375</v>
      </c>
      <c r="D22039" s="6">
        <v>5.01</v>
      </c>
    </row>
    <row r="22040" spans="1:4" x14ac:dyDescent="0.25">
      <c r="A22040" t="str">
        <f>HYPERLINK("https://www.773grp.com/globalSearch/MSP430G2553IPW20/page-1", "MSP430G2553IPW20")</f>
        <v>MSP430G2553IPW20</v>
      </c>
      <c r="B22040" s="3" t="str">
        <f>HYPERLINK("https://www.773grp.com/manufacturer/texas-instruments?pageNo=528", "Texas Instruments")</f>
        <v>Texas Instruments</v>
      </c>
      <c r="C22040" s="5">
        <v>266</v>
      </c>
      <c r="D22040" s="6">
        <v>5.01</v>
      </c>
    </row>
    <row r="22041" spans="1:4" x14ac:dyDescent="0.25">
      <c r="A22041" t="str">
        <f>HYPERLINK("https://www.773grp.com/globalSearch/MSP430G2553IRHB32R/page-1", "MSP430G2553IRHB32R")</f>
        <v>MSP430G2553IRHB32R</v>
      </c>
      <c r="B22041" s="3" t="str">
        <f>HYPERLINK("https://www.773grp.com/manufacturer/texas-instruments?pageNo=529", "Texas Instruments")</f>
        <v>Texas Instruments</v>
      </c>
      <c r="C22041" s="5">
        <v>12000</v>
      </c>
      <c r="D22041" s="6">
        <v>5.01</v>
      </c>
    </row>
    <row r="22042" spans="1:4" x14ac:dyDescent="0.25">
      <c r="A22042" t="str">
        <f>HYPERLINK("https://www.773grp.com/globalSearch/OPA137UE4/page-1", "OPA137UE4")</f>
        <v>OPA137UE4</v>
      </c>
      <c r="B22042" s="3" t="str">
        <f>HYPERLINK("https://www.773grp.com/manufacturer/texas-instruments?pageNo=532", "Texas Instruments")</f>
        <v>Texas Instruments</v>
      </c>
      <c r="C22042" s="5">
        <v>70</v>
      </c>
      <c r="D22042" s="6">
        <v>5.01</v>
      </c>
    </row>
    <row r="22043" spans="1:4" x14ac:dyDescent="0.25">
      <c r="A22043" t="str">
        <f>HYPERLINK("https://www.773grp.com/globalSearch/OPA2349EA-1-3K/page-1", "OPA2349EA-1-3K")</f>
        <v>OPA2349EA-1-3K</v>
      </c>
      <c r="B22043" s="3" t="str">
        <f>HYPERLINK("https://www.773grp.com/manufacturer/texas-instruments?pageNo=533", "Texas Instruments")</f>
        <v>Texas Instruments</v>
      </c>
      <c r="C22043" s="5">
        <v>1466</v>
      </c>
      <c r="D22043" s="6">
        <v>5.01</v>
      </c>
    </row>
    <row r="22044" spans="1:4" x14ac:dyDescent="0.25">
      <c r="A22044" t="str">
        <f>HYPERLINK("https://www.773grp.com/globalSearch/OPA2376AIDGKR/page-1", "OPA2376AIDGKR")</f>
        <v>OPA2376AIDGKR</v>
      </c>
      <c r="B22044" s="3" t="str">
        <f>HYPERLINK("https://www.773grp.com/manufacturer/texas-instruments?pageNo=537", "Texas Instruments")</f>
        <v>Texas Instruments</v>
      </c>
      <c r="C22044" s="5">
        <v>5000</v>
      </c>
      <c r="D22044" s="6">
        <v>5.01</v>
      </c>
    </row>
    <row r="22045" spans="1:4" x14ac:dyDescent="0.25">
      <c r="A22045" t="str">
        <f>HYPERLINK("https://www.773grp.com/globalSearch/OPA2376AIYZDR/page-1", "OPA2376AIYZDR")</f>
        <v>OPA2376AIYZDR</v>
      </c>
      <c r="B22045" s="3" t="str">
        <f>HYPERLINK("https://www.773grp.com/manufacturer/texas-instruments?pageNo=538", "Texas Instruments")</f>
        <v>Texas Instruments</v>
      </c>
      <c r="C22045" s="5">
        <v>3000</v>
      </c>
      <c r="D22045" s="6">
        <v>5.01</v>
      </c>
    </row>
    <row r="22046" spans="1:4" x14ac:dyDescent="0.25">
      <c r="A22046" t="str">
        <f>HYPERLINK("https://www.773grp.com/globalSearch/OPA333AIDCKR/page-1", "OPA333AIDCKR")</f>
        <v>OPA333AIDCKR</v>
      </c>
      <c r="B22046" s="3" t="str">
        <f>HYPERLINK("https://www.773grp.com/manufacturer/texas-instruments?pageNo=540", "Texas Instruments")</f>
        <v>Texas Instruments</v>
      </c>
      <c r="C22046" s="5">
        <v>3169</v>
      </c>
      <c r="D22046" s="6">
        <v>5.01</v>
      </c>
    </row>
    <row r="22047" spans="1:4" x14ac:dyDescent="0.25">
      <c r="A22047" t="str">
        <f>HYPERLINK("https://www.773grp.com/globalSearch/OPA333AIDR/page-1", "OPA333AIDR")</f>
        <v>OPA333AIDR</v>
      </c>
      <c r="B22047" s="3" t="str">
        <f>HYPERLINK("https://www.773grp.com/manufacturer/texas-instruments?pageNo=541", "Texas Instruments")</f>
        <v>Texas Instruments</v>
      </c>
      <c r="C22047" s="5">
        <v>9940</v>
      </c>
      <c r="D22047" s="6">
        <v>5.01</v>
      </c>
    </row>
    <row r="22048" spans="1:4" x14ac:dyDescent="0.25">
      <c r="A22048" t="str">
        <f>HYPERLINK("https://www.773grp.com/globalSearch/OPA836IRUNR/page-1", "OPA836IRUNR")</f>
        <v>OPA836IRUNR</v>
      </c>
      <c r="B22048" s="3" t="str">
        <f>HYPERLINK("https://www.773grp.com/manufacturer/texas-instruments?pageNo=553", "Texas Instruments")</f>
        <v>Texas Instruments</v>
      </c>
      <c r="C22048" s="5">
        <v>3000</v>
      </c>
      <c r="D22048" s="6">
        <v>5.01</v>
      </c>
    </row>
    <row r="22049" spans="1:4" x14ac:dyDescent="0.25">
      <c r="A22049" t="str">
        <f>HYPERLINK("https://www.773grp.com/globalSearch/PCA9515AP/page-1", "PCA9515AP")</f>
        <v>PCA9515AP</v>
      </c>
      <c r="B22049" s="3" t="str">
        <f>HYPERLINK("https://www.773grp.com/manufacturer/texas-instruments?pageNo=555", "Texas Instruments")</f>
        <v>Texas Instruments</v>
      </c>
      <c r="C22049" s="5">
        <v>15630</v>
      </c>
      <c r="D22049" s="6">
        <v>5.01</v>
      </c>
    </row>
    <row r="22050" spans="1:4" x14ac:dyDescent="0.25">
      <c r="A22050" t="str">
        <f>HYPERLINK("https://www.773grp.com/globalSearch/SN65HVD234DR/page-1", "SN65HVD234DR")</f>
        <v>SN65HVD234DR</v>
      </c>
      <c r="B22050" s="3" t="str">
        <f>HYPERLINK("https://www.773grp.com/manufacturer/texas-instruments?pageNo=559", "Texas Instruments")</f>
        <v>Texas Instruments</v>
      </c>
      <c r="C22050" s="5">
        <v>2922</v>
      </c>
      <c r="D22050" s="6">
        <v>5.01</v>
      </c>
    </row>
    <row r="22051" spans="1:4" x14ac:dyDescent="0.25">
      <c r="A22051" t="str">
        <f>HYPERLINK("https://www.773grp.com/globalSearch/SN74CBT16244DLG4/page-1", "SN74CBT16244DLG4")</f>
        <v>SN74CBT16244DLG4</v>
      </c>
      <c r="B22051" s="3" t="str">
        <f>HYPERLINK("https://www.773grp.com/manufacturer/texas-instruments?pageNo=561", "Texas Instruments")</f>
        <v>Texas Instruments</v>
      </c>
      <c r="C22051" s="5">
        <v>25</v>
      </c>
      <c r="D22051" s="6">
        <v>5.01</v>
      </c>
    </row>
    <row r="22052" spans="1:4" x14ac:dyDescent="0.25">
      <c r="A22052" t="str">
        <f>HYPERLINK("https://www.773grp.com/globalSearch/TCA1116PWR/page-1", "TCA1116PWR")</f>
        <v>TCA1116PWR</v>
      </c>
      <c r="B22052" s="3" t="str">
        <f>HYPERLINK("https://www.773grp.com/manufacturer/texas-instruments?pageNo=565", "Texas Instruments")</f>
        <v>Texas Instruments</v>
      </c>
      <c r="C22052" s="5">
        <v>2000</v>
      </c>
      <c r="D22052" s="6">
        <v>5.01</v>
      </c>
    </row>
    <row r="22053" spans="1:4" x14ac:dyDescent="0.25">
      <c r="A22053" t="str">
        <f>HYPERLINK("https://www.773grp.com/globalSearch/TCA6424ARGJR/page-1", "TCA6424ARGJR")</f>
        <v>TCA6424ARGJR</v>
      </c>
      <c r="B22053" s="3" t="str">
        <f>HYPERLINK("https://www.773grp.com/manufacturer/texas-instruments?pageNo=566", "Texas Instruments")</f>
        <v>Texas Instruments</v>
      </c>
      <c r="C22053" s="5">
        <v>6000</v>
      </c>
      <c r="D22053" s="6">
        <v>5.01</v>
      </c>
    </row>
    <row r="22054" spans="1:4" x14ac:dyDescent="0.25">
      <c r="A22054" t="str">
        <f>HYPERLINK("https://www.773grp.com/globalSearch/THS7368IPWR/page-1", "THS7368IPWR")</f>
        <v>THS7368IPWR</v>
      </c>
      <c r="B22054" s="3" t="str">
        <f>HYPERLINK("https://www.773grp.com/manufacturer/texas-instruments?pageNo=567", "Texas Instruments")</f>
        <v>Texas Instruments</v>
      </c>
      <c r="C22054" s="5">
        <v>1500</v>
      </c>
      <c r="D22054" s="6">
        <v>5.01</v>
      </c>
    </row>
    <row r="22055" spans="1:4" x14ac:dyDescent="0.25">
      <c r="A22055" t="str">
        <f>HYPERLINK("https://www.773grp.com/globalSearch/TL1451ACPWR-1/page-1", "TL1451ACPWR-1")</f>
        <v>TL1451ACPWR-1</v>
      </c>
      <c r="B22055" s="3" t="str">
        <f>HYPERLINK("https://www.773grp.com/manufacturer/texas-instruments?pageNo=569", "Texas Instruments")</f>
        <v>Texas Instruments</v>
      </c>
      <c r="C22055" s="5">
        <v>654</v>
      </c>
      <c r="D22055" s="6">
        <v>5.01</v>
      </c>
    </row>
    <row r="22056" spans="1:4" x14ac:dyDescent="0.25">
      <c r="A22056" t="str">
        <f>HYPERLINK("https://www.773grp.com/globalSearch/TL1451CDB/page-1", "TL1451CDB")</f>
        <v>TL1451CDB</v>
      </c>
      <c r="B22056" s="3" t="str">
        <f>HYPERLINK("https://www.773grp.com/manufacturer/texas-instruments?pageNo=570", "Texas Instruments")</f>
        <v>Texas Instruments</v>
      </c>
      <c r="C22056" s="5">
        <v>1040</v>
      </c>
      <c r="D22056" s="6">
        <v>5.01</v>
      </c>
    </row>
    <row r="22057" spans="1:4" x14ac:dyDescent="0.25">
      <c r="A22057" t="str">
        <f>HYPERLINK("https://www.773grp.com/globalSearch/TLC2254AID/page-1", "TLC2254AID")</f>
        <v>TLC2254AID</v>
      </c>
      <c r="B22057" s="3" t="str">
        <f>HYPERLINK("https://www.773grp.com/manufacturer/texas-instruments?pageNo=576", "Texas Instruments")</f>
        <v>Texas Instruments</v>
      </c>
      <c r="C22057" s="5">
        <v>29</v>
      </c>
      <c r="D22057" s="6">
        <v>5.01</v>
      </c>
    </row>
    <row r="22058" spans="1:4" x14ac:dyDescent="0.25">
      <c r="A22058" t="str">
        <f>HYPERLINK("https://www.773grp.com/globalSearch/TLC2254AIPW/page-1", "TLC2254AIPW")</f>
        <v>TLC2254AIPW</v>
      </c>
      <c r="B22058" s="3" t="str">
        <f>HYPERLINK("https://www.773grp.com/manufacturer/texas-instruments?pageNo=577", "Texas Instruments")</f>
        <v>Texas Instruments</v>
      </c>
      <c r="C22058" s="5">
        <v>718</v>
      </c>
      <c r="D22058" s="6">
        <v>5.01</v>
      </c>
    </row>
    <row r="22059" spans="1:4" x14ac:dyDescent="0.25">
      <c r="A22059" t="str">
        <f>HYPERLINK("https://www.773grp.com/globalSearch/TLC2272AMDR/page-1", "TLC2272AMDR")</f>
        <v>TLC2272AMDR</v>
      </c>
      <c r="B22059" s="3" t="str">
        <f>HYPERLINK("https://www.773grp.com/manufacturer/texas-instruments?pageNo=580", "Texas Instruments")</f>
        <v>Texas Instruments</v>
      </c>
      <c r="C22059" s="5">
        <v>4600</v>
      </c>
      <c r="D22059" s="6">
        <v>5.01</v>
      </c>
    </row>
    <row r="22060" spans="1:4" x14ac:dyDescent="0.25">
      <c r="A22060" t="str">
        <f>HYPERLINK("https://www.773grp.com/globalSearch/TLC2272AQDG4/page-1", "TLC2272AQDG4")</f>
        <v>TLC2272AQDG4</v>
      </c>
      <c r="B22060" s="3" t="str">
        <f>HYPERLINK("https://www.773grp.com/manufacturer/texas-instruments?pageNo=582", "Texas Instruments")</f>
        <v>Texas Instruments</v>
      </c>
      <c r="C22060" s="5">
        <v>4550</v>
      </c>
      <c r="D22060" s="6">
        <v>5.01</v>
      </c>
    </row>
    <row r="22061" spans="1:4" x14ac:dyDescent="0.25">
      <c r="A22061" t="str">
        <f>HYPERLINK("https://www.773grp.com/globalSearch/TLC2274ACD/page-1", "TLC2274ACD")</f>
        <v>TLC2274ACD</v>
      </c>
      <c r="B22061" s="3" t="str">
        <f>HYPERLINK("https://www.773grp.com/manufacturer/texas-instruments?pageNo=583", "Texas Instruments")</f>
        <v>Texas Instruments</v>
      </c>
      <c r="C22061" s="5">
        <v>2954</v>
      </c>
      <c r="D22061" s="6">
        <v>5.01</v>
      </c>
    </row>
    <row r="22062" spans="1:4" x14ac:dyDescent="0.25">
      <c r="A22062" t="str">
        <f>HYPERLINK("https://www.773grp.com/globalSearch/TLC2274AQDG4/page-1", "TLC2274AQDG4")</f>
        <v>TLC2274AQDG4</v>
      </c>
      <c r="B22062" s="3" t="str">
        <f>HYPERLINK("https://www.773grp.com/manufacturer/texas-instruments?pageNo=587", "Texas Instruments")</f>
        <v>Texas Instruments</v>
      </c>
      <c r="C22062" s="5">
        <v>12950</v>
      </c>
      <c r="D22062" s="6">
        <v>5.01</v>
      </c>
    </row>
    <row r="22063" spans="1:4" x14ac:dyDescent="0.25">
      <c r="A22063" t="str">
        <f>HYPERLINK("https://www.773grp.com/globalSearch/TLC27L7ID/page-1", "TLC27L7ID")</f>
        <v>TLC27L7ID</v>
      </c>
      <c r="B22063" s="3" t="str">
        <f>HYPERLINK("https://www.773grp.com/manufacturer/texas-instruments?pageNo=595", "Texas Instruments")</f>
        <v>Texas Instruments</v>
      </c>
      <c r="C22063" s="5">
        <v>1660</v>
      </c>
      <c r="D22063" s="6">
        <v>5.01</v>
      </c>
    </row>
    <row r="22064" spans="1:4" x14ac:dyDescent="0.25">
      <c r="A22064" t="str">
        <f>HYPERLINK("https://www.773grp.com/globalSearch/TLE2037CDR/page-1", "TLE2037CDR")</f>
        <v>TLE2037CDR</v>
      </c>
      <c r="B22064" s="3" t="str">
        <f>HYPERLINK("https://www.773grp.com/manufacturer/texas-instruments?pageNo=604", "Texas Instruments")</f>
        <v>Texas Instruments</v>
      </c>
      <c r="C22064" s="5">
        <v>1050</v>
      </c>
      <c r="D22064" s="6">
        <v>5.01</v>
      </c>
    </row>
    <row r="22065" spans="1:4" x14ac:dyDescent="0.25">
      <c r="A22065" t="str">
        <f>HYPERLINK("https://www.773grp.com/globalSearch/TLE2142IDR/page-1", "TLE2142IDR")</f>
        <v>TLE2142IDR</v>
      </c>
      <c r="B22065" s="3" t="str">
        <f>HYPERLINK("https://www.773grp.com/manufacturer/texas-instruments?pageNo=606", "Texas Instruments")</f>
        <v>Texas Instruments</v>
      </c>
      <c r="C22065" s="5">
        <v>478</v>
      </c>
      <c r="D22065" s="6">
        <v>5.01</v>
      </c>
    </row>
    <row r="22066" spans="1:4" x14ac:dyDescent="0.25">
      <c r="A22066" t="str">
        <f>HYPERLINK("https://www.773grp.com/globalSearch/TLV3702IDGKG4/page-1", "TLV3702IDGKG4")</f>
        <v>TLV3702IDGKG4</v>
      </c>
      <c r="B22066" s="3" t="str">
        <f>HYPERLINK("https://www.773grp.com/manufacturer/texas-instruments?pageNo=641", "Texas Instruments")</f>
        <v>Texas Instruments</v>
      </c>
      <c r="C22066" s="5">
        <v>190</v>
      </c>
      <c r="D22066" s="6">
        <v>5.01</v>
      </c>
    </row>
    <row r="22067" spans="1:4" x14ac:dyDescent="0.25">
      <c r="A22067" t="str">
        <f>HYPERLINK("https://www.773grp.com/globalSearch/TMP101NAQDBVRQ1/page-1", "TMP101NAQDBVRQ1")</f>
        <v>TMP101NAQDBVRQ1</v>
      </c>
      <c r="B22067" s="3" t="str">
        <f>HYPERLINK("https://www.773grp.com/manufacturer/texas-instruments?pageNo=647", "Texas Instruments")</f>
        <v>Texas Instruments</v>
      </c>
      <c r="C22067" s="5">
        <v>28</v>
      </c>
      <c r="D22067" s="6">
        <v>5.01</v>
      </c>
    </row>
    <row r="22068" spans="1:4" x14ac:dyDescent="0.25">
      <c r="A22068" t="str">
        <f>HYPERLINK("https://www.773grp.com/globalSearch/TMP125AIDBVT/page-1", "TMP125AIDBVT")</f>
        <v>TMP125AIDBVT</v>
      </c>
      <c r="B22068" s="3" t="str">
        <f>HYPERLINK("https://www.773grp.com/manufacturer/texas-instruments?pageNo=649", "Texas Instruments")</f>
        <v>Texas Instruments</v>
      </c>
      <c r="C22068" s="5">
        <v>26</v>
      </c>
      <c r="D22068" s="6">
        <v>5.01</v>
      </c>
    </row>
    <row r="22069" spans="1:4" x14ac:dyDescent="0.25">
      <c r="A22069" t="str">
        <f>HYPERLINK("https://www.773grp.com/globalSearch/TPA2025D1YZGT/page-1", "TPA2025D1YZGT")</f>
        <v>TPA2025D1YZGT</v>
      </c>
      <c r="B22069" s="3" t="str">
        <f>HYPERLINK("https://www.773grp.com/manufacturer/texas-instruments?pageNo=652", "Texas Instruments")</f>
        <v>Texas Instruments</v>
      </c>
      <c r="C22069" s="5">
        <v>289</v>
      </c>
      <c r="D22069" s="6">
        <v>5.01</v>
      </c>
    </row>
    <row r="22070" spans="1:4" x14ac:dyDescent="0.25">
      <c r="A22070" t="str">
        <f>HYPERLINK("https://www.773grp.com/globalSearch/TPIC6B273DWG4/page-1", "TPIC6B273DWG4")</f>
        <v>TPIC6B273DWG4</v>
      </c>
      <c r="B22070" s="3" t="str">
        <f>HYPERLINK("https://www.773grp.com/manufacturer/texas-instruments?pageNo=658", "Texas Instruments")</f>
        <v>Texas Instruments</v>
      </c>
      <c r="C22070" s="5">
        <v>375</v>
      </c>
      <c r="D22070" s="6">
        <v>5.01</v>
      </c>
    </row>
    <row r="22071" spans="1:4" x14ac:dyDescent="0.25">
      <c r="A22071" t="str">
        <f>HYPERLINK("https://www.773grp.com/globalSearch/TPS2010PW/page-1", "TPS2010PW")</f>
        <v>TPS2010PW</v>
      </c>
      <c r="B22071" s="3" t="str">
        <f>HYPERLINK("https://www.773grp.com/manufacturer/texas-instruments?pageNo=660", "Texas Instruments")</f>
        <v>Texas Instruments</v>
      </c>
      <c r="C22071" s="5">
        <v>1620</v>
      </c>
      <c r="D22071" s="6">
        <v>5.01</v>
      </c>
    </row>
    <row r="22072" spans="1:4" x14ac:dyDescent="0.25">
      <c r="A22072" t="str">
        <f>HYPERLINK("https://www.773grp.com/globalSearch/TPS2022DR/page-1", "TPS2022DR")</f>
        <v>TPS2022DR</v>
      </c>
      <c r="B22072" s="3" t="str">
        <f>HYPERLINK("https://www.773grp.com/manufacturer/texas-instruments?pageNo=666", "Texas Instruments")</f>
        <v>Texas Instruments</v>
      </c>
      <c r="C22072" s="5">
        <v>2500</v>
      </c>
      <c r="D22072" s="6">
        <v>5.01</v>
      </c>
    </row>
    <row r="22073" spans="1:4" x14ac:dyDescent="0.25">
      <c r="A22073" t="str">
        <f>HYPERLINK("https://www.773grp.com/globalSearch/TPS2159DGN/page-1", "TPS2159DGN")</f>
        <v>TPS2159DGN</v>
      </c>
      <c r="B22073" s="3" t="str">
        <f>HYPERLINK("https://www.773grp.com/manufacturer/texas-instruments?pageNo=675", "Texas Instruments")</f>
        <v>Texas Instruments</v>
      </c>
      <c r="C22073" s="5">
        <v>30</v>
      </c>
      <c r="D22073" s="6">
        <v>5.01</v>
      </c>
    </row>
    <row r="22074" spans="1:4" x14ac:dyDescent="0.25">
      <c r="A22074" t="str">
        <f>HYPERLINK("https://www.773grp.com/globalSearch/TPS2551DRVR/page-1", "TPS2551DRVR")</f>
        <v>TPS2551DRVR</v>
      </c>
      <c r="B22074" s="3" t="str">
        <f>HYPERLINK("https://www.773grp.com/manufacturer/texas-instruments?pageNo=678", "Texas Instruments")</f>
        <v>Texas Instruments</v>
      </c>
      <c r="C22074" s="5">
        <v>2500</v>
      </c>
      <c r="D22074" s="6">
        <v>5.01</v>
      </c>
    </row>
    <row r="22075" spans="1:4" x14ac:dyDescent="0.25">
      <c r="A22075" t="str">
        <f>HYPERLINK("https://www.773grp.com/globalSearch/TPS2555DRCT/page-1", "TPS2555DRCT")</f>
        <v>TPS2555DRCT</v>
      </c>
      <c r="B22075" s="3" t="str">
        <f>HYPERLINK("https://www.773grp.com/manufacturer/texas-instruments?pageNo=679", "Texas Instruments")</f>
        <v>Texas Instruments</v>
      </c>
      <c r="C22075" s="5">
        <v>334</v>
      </c>
      <c r="D22075" s="6">
        <v>5.01</v>
      </c>
    </row>
    <row r="22076" spans="1:4" x14ac:dyDescent="0.25">
      <c r="A22076" t="str">
        <f>HYPERLINK("https://www.773grp.com/globalSearch/TPS2812P/page-1", "TPS2812P")</f>
        <v>TPS2812P</v>
      </c>
      <c r="B22076" s="3" t="str">
        <f>HYPERLINK("https://www.773grp.com/manufacturer/texas-instruments?pageNo=680", "Texas Instruments")</f>
        <v>Texas Instruments</v>
      </c>
      <c r="C22076" s="5">
        <v>650</v>
      </c>
      <c r="D22076" s="6">
        <v>5.01</v>
      </c>
    </row>
    <row r="22077" spans="1:4" x14ac:dyDescent="0.25">
      <c r="A22077" t="str">
        <f>HYPERLINK("https://www.773grp.com/globalSearch/TPS2812PE4/page-1", "TPS2812PE4")</f>
        <v>TPS2812PE4</v>
      </c>
      <c r="B22077" s="3" t="str">
        <f>HYPERLINK("https://www.773grp.com/manufacturer/texas-instruments?pageNo=681", "Texas Instruments")</f>
        <v>Texas Instruments</v>
      </c>
      <c r="C22077" s="5">
        <v>450</v>
      </c>
      <c r="D22077" s="6">
        <v>5.01</v>
      </c>
    </row>
    <row r="22078" spans="1:4" x14ac:dyDescent="0.25">
      <c r="A22078" t="str">
        <f>HYPERLINK("https://www.773grp.com/globalSearch/TPS2813PWG4/page-1", "TPS2813PWG4")</f>
        <v>TPS2813PWG4</v>
      </c>
      <c r="B22078" s="3" t="str">
        <f>HYPERLINK("https://www.773grp.com/manufacturer/texas-instruments?pageNo=682", "Texas Instruments")</f>
        <v>Texas Instruments</v>
      </c>
      <c r="C22078" s="5">
        <v>300</v>
      </c>
      <c r="D22078" s="6">
        <v>5.01</v>
      </c>
    </row>
    <row r="22079" spans="1:4" x14ac:dyDescent="0.25">
      <c r="A22079" t="str">
        <f>HYPERLINK("https://www.773grp.com/globalSearch/TPS3123J18DBVT/page-1", "TPS3123J18DBVT")</f>
        <v>TPS3123J18DBVT</v>
      </c>
      <c r="B22079" s="3" t="str">
        <f>HYPERLINK("https://www.773grp.com/manufacturer/texas-instruments?pageNo=685", "Texas Instruments")</f>
        <v>Texas Instruments</v>
      </c>
      <c r="C22079" s="5">
        <v>6750</v>
      </c>
      <c r="D22079" s="6">
        <v>5.01</v>
      </c>
    </row>
    <row r="22080" spans="1:4" x14ac:dyDescent="0.25">
      <c r="A22080" t="str">
        <f>HYPERLINK("https://www.773grp.com/globalSearch/TPS3124J18DBVT/page-1", "TPS3124J18DBVT")</f>
        <v>TPS3124J18DBVT</v>
      </c>
      <c r="B22080" s="3" t="str">
        <f>HYPERLINK("https://www.773grp.com/manufacturer/texas-instruments?pageNo=688", "Texas Instruments")</f>
        <v>Texas Instruments</v>
      </c>
      <c r="C22080" s="5">
        <v>12250</v>
      </c>
      <c r="D22080" s="6">
        <v>5.01</v>
      </c>
    </row>
    <row r="22081" spans="1:4" x14ac:dyDescent="0.25">
      <c r="A22081" t="str">
        <f>HYPERLINK("https://www.773grp.com/globalSearch/TPS3808G01QDRVRQ1/page-1", "TPS3808G01QDRVRQ1")</f>
        <v>TPS3808G01QDRVRQ1</v>
      </c>
      <c r="B22081" s="3" t="str">
        <f>HYPERLINK("https://www.773grp.com/manufacturer/texas-instruments?pageNo=693", "Texas Instruments")</f>
        <v>Texas Instruments</v>
      </c>
      <c r="C22081" s="5">
        <v>18000</v>
      </c>
      <c r="D22081" s="6">
        <v>5.01</v>
      </c>
    </row>
    <row r="22082" spans="1:4" x14ac:dyDescent="0.25">
      <c r="A22082" t="str">
        <f>HYPERLINK("https://www.773grp.com/globalSearch/TPS40303DRCR/page-1", "TPS40303DRCR")</f>
        <v>TPS40303DRCR</v>
      </c>
      <c r="B22082" s="3" t="str">
        <f>HYPERLINK("https://www.773grp.com/manufacturer/texas-instruments?pageNo=695", "Texas Instruments")</f>
        <v>Texas Instruments</v>
      </c>
      <c r="C22082" s="5">
        <v>9000</v>
      </c>
      <c r="D22082" s="6">
        <v>5.01</v>
      </c>
    </row>
    <row r="22083" spans="1:4" x14ac:dyDescent="0.25">
      <c r="A22083" t="str">
        <f>HYPERLINK("https://www.773grp.com/globalSearch/TPS54328DRCT/page-1", "TPS54328DRCT")</f>
        <v>TPS54328DRCT</v>
      </c>
      <c r="B22083" s="3" t="str">
        <f>HYPERLINK("https://www.773grp.com/manufacturer/texas-instruments?pageNo=696", "Texas Instruments")</f>
        <v>Texas Instruments</v>
      </c>
      <c r="C22083" s="5">
        <v>252</v>
      </c>
      <c r="D22083" s="6">
        <v>5.01</v>
      </c>
    </row>
    <row r="22084" spans="1:4" x14ac:dyDescent="0.25">
      <c r="A22084" t="str">
        <f>HYPERLINK("https://www.773grp.com/globalSearch/TPS61080DRCR/page-1", "TPS61080DRCR")</f>
        <v>TPS61080DRCR</v>
      </c>
      <c r="B22084" s="3" t="str">
        <f>HYPERLINK("https://www.773grp.com/manufacturer/texas-instruments?pageNo=702", "Texas Instruments")</f>
        <v>Texas Instruments</v>
      </c>
      <c r="C22084" s="5">
        <v>251996</v>
      </c>
      <c r="D22084" s="6">
        <v>5.01</v>
      </c>
    </row>
    <row r="22085" spans="1:4" x14ac:dyDescent="0.25">
      <c r="A22085" t="str">
        <f>HYPERLINK("https://www.773grp.com/globalSearch/TPS61085DGKR/page-1", "TPS61085DGKR")</f>
        <v>TPS61085DGKR</v>
      </c>
      <c r="B22085" s="3" t="str">
        <f>HYPERLINK("https://www.773grp.com/manufacturer/texas-instruments?pageNo=703", "Texas Instruments")</f>
        <v>Texas Instruments</v>
      </c>
      <c r="C22085" s="5">
        <v>2500</v>
      </c>
      <c r="D22085" s="6">
        <v>5.01</v>
      </c>
    </row>
    <row r="22086" spans="1:4" x14ac:dyDescent="0.25">
      <c r="A22086" t="str">
        <f>HYPERLINK("https://www.773grp.com/globalSearch/TPS62351DRCRG4/page-1", "TPS62351DRCRG4")</f>
        <v>TPS62351DRCRG4</v>
      </c>
      <c r="B22086" s="3" t="str">
        <f>HYPERLINK("https://www.773grp.com/manufacturer/texas-instruments?pageNo=707", "Texas Instruments")</f>
        <v>Texas Instruments</v>
      </c>
      <c r="C22086" s="5">
        <v>3000</v>
      </c>
      <c r="D22086" s="6">
        <v>5.01</v>
      </c>
    </row>
    <row r="22087" spans="1:4" x14ac:dyDescent="0.25">
      <c r="A22087" t="str">
        <f>HYPERLINK("https://www.773grp.com/globalSearch/TPS62352YZGR/page-1", "TPS62352YZGR")</f>
        <v>TPS62352YZGR</v>
      </c>
      <c r="B22087" s="3" t="str">
        <f>HYPERLINK("https://www.773grp.com/manufacturer/texas-instruments?pageNo=708", "Texas Instruments")</f>
        <v>Texas Instruments</v>
      </c>
      <c r="C22087" s="5">
        <v>60000</v>
      </c>
      <c r="D22087" s="6">
        <v>5.01</v>
      </c>
    </row>
    <row r="22088" spans="1:4" x14ac:dyDescent="0.25">
      <c r="A22088" t="str">
        <f>HYPERLINK("https://www.773grp.com/globalSearch/TPS62751DSKR/page-1", "TPS62751DSKR")</f>
        <v>TPS62751DSKR</v>
      </c>
      <c r="B22088" s="3" t="str">
        <f>HYPERLINK("https://www.773grp.com/manufacturer/texas-instruments?pageNo=713", "Texas Instruments")</f>
        <v>Texas Instruments</v>
      </c>
      <c r="C22088" s="5">
        <v>3000</v>
      </c>
      <c r="D22088" s="6">
        <v>5.01</v>
      </c>
    </row>
    <row r="22089" spans="1:4" x14ac:dyDescent="0.25">
      <c r="A22089" t="str">
        <f>HYPERLINK("https://www.773grp.com/globalSearch/TPS65138ADRCR/page-1", "TPS65138ADRCR")</f>
        <v>TPS65138ADRCR</v>
      </c>
      <c r="B22089" s="3" t="str">
        <f>HYPERLINK("https://www.773grp.com/manufacturer/texas-instruments?pageNo=714", "Texas Instruments")</f>
        <v>Texas Instruments</v>
      </c>
      <c r="C22089" s="5">
        <v>45000</v>
      </c>
      <c r="D22089" s="6">
        <v>5.01</v>
      </c>
    </row>
    <row r="22090" spans="1:4" x14ac:dyDescent="0.25">
      <c r="A22090" t="str">
        <f>HYPERLINK("https://www.773grp.com/globalSearch/TPS73619DRBT/page-1", "TPS73619DRBT")</f>
        <v>TPS73619DRBT</v>
      </c>
      <c r="B22090" s="3" t="str">
        <f>HYPERLINK("https://www.773grp.com/manufacturer/texas-instruments?pageNo=724", "Texas Instruments")</f>
        <v>Texas Instruments</v>
      </c>
      <c r="C22090" s="5">
        <v>10750</v>
      </c>
      <c r="D22090" s="6">
        <v>5.01</v>
      </c>
    </row>
    <row r="22091" spans="1:4" x14ac:dyDescent="0.25">
      <c r="A22091" t="str">
        <f>HYPERLINK("https://www.773grp.com/globalSearch/TPS76850QDR/page-1", "TPS76850QDR")</f>
        <v>TPS76850QDR</v>
      </c>
      <c r="B22091" s="3" t="str">
        <f>HYPERLINK("https://www.773grp.com/manufacturer/texas-instruments?pageNo=738", "Texas Instruments")</f>
        <v>Texas Instruments</v>
      </c>
      <c r="C22091" s="5">
        <v>2500</v>
      </c>
      <c r="D22091" s="6">
        <v>5.01</v>
      </c>
    </row>
    <row r="22092" spans="1:4" x14ac:dyDescent="0.25">
      <c r="A22092" t="str">
        <f>HYPERLINK("https://www.773grp.com/globalSearch/TPS77618QPWPREP/page-1", "TPS77618QPWPREP")</f>
        <v>TPS77618QPWPREP</v>
      </c>
      <c r="B22092" s="3" t="str">
        <f>HYPERLINK("https://www.773grp.com/manufacturer/texas-instruments?pageNo=741", "Texas Instruments")</f>
        <v>Texas Instruments</v>
      </c>
      <c r="C22092" s="5">
        <v>1600</v>
      </c>
      <c r="D22092" s="6">
        <v>5.01</v>
      </c>
    </row>
    <row r="22093" spans="1:4" x14ac:dyDescent="0.25">
      <c r="A22093" t="str">
        <f>HYPERLINK("https://www.773grp.com/globalSearch/TPS77633QPWPREP/page-1", "TPS77633QPWPREP")</f>
        <v>TPS77633QPWPREP</v>
      </c>
      <c r="B22093" s="3" t="str">
        <f>HYPERLINK("https://www.773grp.com/manufacturer/texas-instruments?pageNo=743", "Texas Instruments")</f>
        <v>Texas Instruments</v>
      </c>
      <c r="C22093" s="5">
        <v>2799</v>
      </c>
      <c r="D22093" s="6">
        <v>5.01</v>
      </c>
    </row>
    <row r="22094" spans="1:4" x14ac:dyDescent="0.25">
      <c r="A22094" t="str">
        <f>HYPERLINK("https://www.773grp.com/globalSearch/TS3L4892RHHR/page-1", "TS3L4892RHHR")</f>
        <v>TS3L4892RHHR</v>
      </c>
      <c r="B22094" s="3" t="str">
        <f>HYPERLINK("https://www.773grp.com/manufacturer/texas-instruments?pageNo=745", "Texas Instruments")</f>
        <v>Texas Instruments</v>
      </c>
      <c r="C22094" s="5">
        <v>2032</v>
      </c>
      <c r="D22094" s="6">
        <v>5.01</v>
      </c>
    </row>
    <row r="22095" spans="1:4" x14ac:dyDescent="0.25">
      <c r="A22095" t="str">
        <f>HYPERLINK("https://www.773grp.com/globalSearch/UCC28089D/page-1", "UCC28089D")</f>
        <v>UCC28089D</v>
      </c>
      <c r="B22095" s="3" t="str">
        <f>HYPERLINK("https://www.773grp.com/manufacturer/texas-instruments?pageNo=751", "Texas Instruments")</f>
        <v>Texas Instruments</v>
      </c>
      <c r="C22095" s="5">
        <v>75</v>
      </c>
      <c r="D22095" s="6">
        <v>5.01</v>
      </c>
    </row>
    <row r="22096" spans="1:4" x14ac:dyDescent="0.25">
      <c r="A22096" t="str">
        <f>HYPERLINK("https://www.773grp.com/globalSearch/DAC121S101CIMK/page-1", "DAC121S101CIMK")</f>
        <v>DAC121S101CIMK</v>
      </c>
      <c r="B22096" s="3" t="str">
        <f>HYPERLINK("https://www.773grp.com/manufacturer/texas-instruments?pageNo=759", "Texas Instruments")</f>
        <v>Texas Instruments</v>
      </c>
      <c r="C22096" s="5">
        <v>267</v>
      </c>
      <c r="D22096" s="6">
        <v>4.5599999999999996</v>
      </c>
    </row>
    <row r="22097" spans="1:4" x14ac:dyDescent="0.25">
      <c r="A22097" t="str">
        <f>HYPERLINK("https://www.773grp.com/globalSearch/LM2832XMY/page-1", "LM2832XMY")</f>
        <v>LM2832XMY</v>
      </c>
      <c r="B22097" s="3" t="str">
        <f>HYPERLINK("https://www.773grp.com/manufacturer/texas-instruments?pageNo=761", "Texas Instruments")</f>
        <v>Texas Instruments</v>
      </c>
      <c r="C22097" s="5">
        <v>507</v>
      </c>
      <c r="D22097" s="6">
        <v>4.5599999999999996</v>
      </c>
    </row>
    <row r="22098" spans="1:4" x14ac:dyDescent="0.25">
      <c r="A22098" t="str">
        <f>HYPERLINK("https://www.773grp.com/globalSearch/LM4050AEM3-5.0/page-1", "LM4050AEM3-5.0")</f>
        <v>LM4050AEM3-5.0</v>
      </c>
      <c r="B22098" s="3" t="str">
        <f>HYPERLINK("https://www.773grp.com/manufacturer/texas-instruments?pageNo=762", "Texas Instruments")</f>
        <v>Texas Instruments</v>
      </c>
      <c r="C22098" s="5">
        <v>149</v>
      </c>
      <c r="D22098" s="6">
        <v>4.5599999999999996</v>
      </c>
    </row>
    <row r="22099" spans="1:4" x14ac:dyDescent="0.25">
      <c r="A22099" t="str">
        <f>HYPERLINK("https://www.773grp.com/globalSearch/LM5008MM/page-1", "LM5008MM")</f>
        <v>LM5008MM</v>
      </c>
      <c r="B22099" s="3" t="str">
        <f>HYPERLINK("https://www.773grp.com/manufacturer/texas-instruments?pageNo=763", "Texas Instruments")</f>
        <v>Texas Instruments</v>
      </c>
      <c r="C22099" s="5">
        <v>358</v>
      </c>
      <c r="D22099" s="6">
        <v>4.5599999999999996</v>
      </c>
    </row>
    <row r="22100" spans="1:4" x14ac:dyDescent="0.25">
      <c r="A22100" t="str">
        <f>HYPERLINK("https://www.773grp.com/globalSearch/LP3965EMP-3.3/page-1", "LP3965EMP-3.3")</f>
        <v>LP3965EMP-3.3</v>
      </c>
      <c r="B22100" s="3" t="str">
        <f>HYPERLINK("https://www.773grp.com/manufacturer/texas-instruments?pageNo=764", "Texas Instruments")</f>
        <v>Texas Instruments</v>
      </c>
      <c r="C22100" s="5">
        <v>36</v>
      </c>
      <c r="D22100" s="6">
        <v>4.5599999999999996</v>
      </c>
    </row>
    <row r="22101" spans="1:4" x14ac:dyDescent="0.25">
      <c r="A22101" t="str">
        <f>HYPERLINK("https://www.773grp.com/globalSearch/LPC660IM-NOPB/page-1", "LPC660IM-NOPB")</f>
        <v>LPC660IM-NOPB</v>
      </c>
      <c r="B22101" s="3" t="str">
        <f>HYPERLINK("https://www.773grp.com/manufacturer/texas-instruments?pageNo=765", "Texas Instruments")</f>
        <v>Texas Instruments</v>
      </c>
      <c r="C22101" s="5">
        <v>220</v>
      </c>
      <c r="D22101" s="6">
        <v>4.5599999999999996</v>
      </c>
    </row>
    <row r="22102" spans="1:4" x14ac:dyDescent="0.25">
      <c r="A22102" t="str">
        <f>HYPERLINK("https://www.773grp.com/globalSearch/OPA2353EA/page-1", "OPA2353EA")</f>
        <v>OPA2353EA</v>
      </c>
      <c r="B22102" s="3" t="str">
        <f>HYPERLINK("https://www.773grp.com/manufacturer/texas-instruments?pageNo=766", "Texas Instruments")</f>
        <v>Texas Instruments</v>
      </c>
      <c r="C22102" s="5">
        <v>301</v>
      </c>
      <c r="D22102" s="6">
        <v>4.5599999999999996</v>
      </c>
    </row>
    <row r="22103" spans="1:4" x14ac:dyDescent="0.25">
      <c r="A22103" t="str">
        <f>HYPERLINK("https://www.773grp.com/globalSearch/TIR1000IPS/page-1", "TIR1000IPS")</f>
        <v>TIR1000IPS</v>
      </c>
      <c r="B22103" s="3" t="str">
        <f>HYPERLINK("https://www.773grp.com/manufacturer/texas-instruments?pageNo=771", "Texas Instruments")</f>
        <v>Texas Instruments</v>
      </c>
      <c r="C22103" s="5">
        <v>240</v>
      </c>
      <c r="D22103" s="6">
        <v>4.5599999999999996</v>
      </c>
    </row>
    <row r="22104" spans="1:4" x14ac:dyDescent="0.25">
      <c r="A22104" t="str">
        <f>HYPERLINK("https://www.773grp.com/globalSearch/TIR1000IPWG4/page-1", "TIR1000IPWG4")</f>
        <v>TIR1000IPWG4</v>
      </c>
      <c r="B22104" s="3" t="str">
        <f>HYPERLINK("https://www.773grp.com/manufacturer/texas-instruments?pageNo=773", "Texas Instruments")</f>
        <v>Texas Instruments</v>
      </c>
      <c r="C22104" s="5">
        <v>45</v>
      </c>
      <c r="D22104" s="6">
        <v>4.5599999999999996</v>
      </c>
    </row>
    <row r="22105" spans="1:4" x14ac:dyDescent="0.25">
      <c r="A22105" t="str">
        <f>HYPERLINK("https://www.773grp.com/globalSearch/LM3478QMM-NOPB/page-1", "LM3478QMM-NOPB")</f>
        <v>LM3478QMM-NOPB</v>
      </c>
      <c r="B22105" s="3" t="str">
        <f>HYPERLINK("https://www.773grp.com/manufacturer/texas-instruments?pageNo=789", "Texas Instruments")</f>
        <v>Texas Instruments</v>
      </c>
      <c r="C22105" s="5">
        <v>10955</v>
      </c>
      <c r="D22105" s="6">
        <v>5.0599999999999996</v>
      </c>
    </row>
    <row r="22106" spans="1:4" x14ac:dyDescent="0.25">
      <c r="A22106" t="str">
        <f>HYPERLINK("https://www.773grp.com/globalSearch/LM5101CMAX-NOPB/page-1", "LM5101CMAX-NOPB")</f>
        <v>LM5101CMAX-NOPB</v>
      </c>
      <c r="B22106" s="3" t="str">
        <f>HYPERLINK("https://www.773grp.com/manufacturer/texas-instruments?pageNo=790", "Texas Instruments")</f>
        <v>Texas Instruments</v>
      </c>
      <c r="C22106" s="5">
        <v>10000</v>
      </c>
      <c r="D22106" s="6">
        <v>5.0599999999999996</v>
      </c>
    </row>
    <row r="22107" spans="1:4" x14ac:dyDescent="0.25">
      <c r="A22107" t="str">
        <f>HYPERLINK("https://www.773grp.com/globalSearch/LP3871EMP-5.0-NOPB/page-1", "LP3871EMP-5.0-NOPB")</f>
        <v>LP3871EMP-5.0-NOPB</v>
      </c>
      <c r="B22107" s="3" t="str">
        <f>HYPERLINK("https://www.773grp.com/manufacturer/texas-instruments?pageNo=791", "Texas Instruments")</f>
        <v>Texas Instruments</v>
      </c>
      <c r="C22107" s="5">
        <v>816</v>
      </c>
      <c r="D22107" s="6">
        <v>5.0599999999999996</v>
      </c>
    </row>
    <row r="22108" spans="1:4" x14ac:dyDescent="0.25">
      <c r="A22108" t="str">
        <f>HYPERLINK("https://www.773grp.com/globalSearch/LP3874ES-2.5-NOPB/page-1", "LP3874ES-2.5-NOPB")</f>
        <v>LP3874ES-2.5-NOPB</v>
      </c>
      <c r="B22108" s="3" t="str">
        <f>HYPERLINK("https://www.773grp.com/manufacturer/texas-instruments?pageNo=792", "Texas Instruments")</f>
        <v>Texas Instruments</v>
      </c>
      <c r="C22108" s="5">
        <v>100</v>
      </c>
      <c r="D22108" s="6">
        <v>5.0599999999999996</v>
      </c>
    </row>
    <row r="22109" spans="1:4" x14ac:dyDescent="0.25">
      <c r="A22109" t="str">
        <f>HYPERLINK("https://www.773grp.com/globalSearch/TPS40210DGQ/page-1", "TPS40210DGQ")</f>
        <v>TPS40210DGQ</v>
      </c>
      <c r="B22109" s="3" t="str">
        <f>HYPERLINK("https://www.773grp.com/manufacturer/texas-instruments?pageNo=810", "Texas Instruments")</f>
        <v>Texas Instruments</v>
      </c>
      <c r="C22109" s="5">
        <v>10</v>
      </c>
      <c r="D22109" s="6">
        <v>5.0599999999999996</v>
      </c>
    </row>
    <row r="22110" spans="1:4" x14ac:dyDescent="0.25">
      <c r="A22110" t="str">
        <f>HYPERLINK("https://www.773grp.com/globalSearch/TPS60110PWP/page-1", "TPS60110PWP")</f>
        <v>TPS60110PWP</v>
      </c>
      <c r="B22110" s="3" t="str">
        <f>HYPERLINK("https://www.773grp.com/manufacturer/texas-instruments?pageNo=813", "Texas Instruments")</f>
        <v>Texas Instruments</v>
      </c>
      <c r="C22110" s="5">
        <v>1750</v>
      </c>
      <c r="D22110" s="6">
        <v>5.0599999999999996</v>
      </c>
    </row>
    <row r="22111" spans="1:4" x14ac:dyDescent="0.25">
      <c r="A22111" t="str">
        <f>HYPERLINK("https://www.773grp.com/globalSearch/TPS60110PWPG4/page-1", "TPS60110PWPG4")</f>
        <v>TPS60110PWPG4</v>
      </c>
      <c r="B22111" s="3" t="str">
        <f>HYPERLINK("https://www.773grp.com/manufacturer/texas-instruments?pageNo=814", "Texas Instruments")</f>
        <v>Texas Instruments</v>
      </c>
      <c r="C22111" s="5">
        <v>140</v>
      </c>
      <c r="D22111" s="6">
        <v>5.0599999999999996</v>
      </c>
    </row>
    <row r="22112" spans="1:4" x14ac:dyDescent="0.25">
      <c r="A22112" t="str">
        <f>HYPERLINK("https://www.773grp.com/globalSearch/TPS60131PWPG4/page-1", "TPS60131PWPG4")</f>
        <v>TPS60131PWPG4</v>
      </c>
      <c r="B22112" s="3" t="str">
        <f>HYPERLINK("https://www.773grp.com/manufacturer/texas-instruments?pageNo=821", "Texas Instruments")</f>
        <v>Texas Instruments</v>
      </c>
      <c r="C22112" s="5">
        <v>53</v>
      </c>
      <c r="D22112" s="6">
        <v>5.0599999999999996</v>
      </c>
    </row>
    <row r="22113" spans="1:4" x14ac:dyDescent="0.25">
      <c r="A22113" t="str">
        <f>HYPERLINK("https://www.773grp.com/globalSearch/TPS62080DSGT/page-1", "TPS62080DSGT")</f>
        <v>TPS62080DSGT</v>
      </c>
      <c r="B22113" s="3" t="str">
        <f>HYPERLINK("https://www.773grp.com/manufacturer/texas-instruments?pageNo=823", "Texas Instruments")</f>
        <v>Texas Instruments</v>
      </c>
      <c r="C22113" s="5">
        <v>444</v>
      </c>
      <c r="D22113" s="6">
        <v>5.0599999999999996</v>
      </c>
    </row>
    <row r="22114" spans="1:4" x14ac:dyDescent="0.25">
      <c r="A22114" t="str">
        <f>HYPERLINK("https://www.773grp.com/globalSearch/TPS62081DSGT/page-1", "TPS62081DSGT")</f>
        <v>TPS62081DSGT</v>
      </c>
      <c r="B22114" s="3" t="str">
        <f>HYPERLINK("https://www.773grp.com/manufacturer/texas-instruments?pageNo=824", "Texas Instruments")</f>
        <v>Texas Instruments</v>
      </c>
      <c r="C22114" s="5">
        <v>13485</v>
      </c>
      <c r="D22114" s="6">
        <v>5.0599999999999996</v>
      </c>
    </row>
    <row r="22115" spans="1:4" x14ac:dyDescent="0.25">
      <c r="A22115" t="str">
        <f>HYPERLINK("https://www.773grp.com/globalSearch/LM613IWM-NOPB/page-1", "LM613IWM-NOPB")</f>
        <v>LM613IWM-NOPB</v>
      </c>
      <c r="B22115" s="3" t="str">
        <f>HYPERLINK("https://www.773grp.com/manufacturer/texas-instruments?pageNo=827", "Texas Instruments")</f>
        <v>Texas Instruments</v>
      </c>
      <c r="C22115" s="5">
        <v>270</v>
      </c>
      <c r="D22115" s="6">
        <v>4.59</v>
      </c>
    </row>
    <row r="22116" spans="1:4" x14ac:dyDescent="0.25">
      <c r="A22116" t="str">
        <f>HYPERLINK("https://www.773grp.com/globalSearch/LMC6494BEMX-NOPB/page-1", "LMC6494BEMX-NOPB")</f>
        <v>LMC6494BEMX-NOPB</v>
      </c>
      <c r="B22116" s="3" t="str">
        <f>HYPERLINK("https://www.773grp.com/manufacturer/texas-instruments?pageNo=828", "Texas Instruments")</f>
        <v>Texas Instruments</v>
      </c>
      <c r="C22116" s="5">
        <v>2500</v>
      </c>
      <c r="D22116" s="6">
        <v>4.59</v>
      </c>
    </row>
    <row r="22117" spans="1:4" x14ac:dyDescent="0.25">
      <c r="A22117" t="str">
        <f>HYPERLINK("https://www.773grp.com/globalSearch/LMH6703MA-NOPB/page-1", "LMH6703MA-NOPB")</f>
        <v>LMH6703MA-NOPB</v>
      </c>
      <c r="B22117" s="3" t="str">
        <f>HYPERLINK("https://www.773grp.com/manufacturer/texas-instruments?pageNo=829", "Texas Instruments")</f>
        <v>Texas Instruments</v>
      </c>
      <c r="C22117" s="5">
        <v>285</v>
      </c>
      <c r="D22117" s="6">
        <v>4.59</v>
      </c>
    </row>
    <row r="22118" spans="1:4" x14ac:dyDescent="0.25">
      <c r="A22118" t="str">
        <f>HYPERLINK("https://www.773grp.com/globalSearch/LMH6703MA-NOPB/page-1", "LMH6703MA-NOPB")</f>
        <v>LMH6703MA-NOPB</v>
      </c>
      <c r="B22118" s="3" t="str">
        <f>HYPERLINK("https://www.773grp.com/manufacturer/texas-instruments?pageNo=830", "Texas Instruments")</f>
        <v>Texas Instruments</v>
      </c>
      <c r="C22118" s="5">
        <v>22040</v>
      </c>
      <c r="D22118" s="6">
        <v>4.59</v>
      </c>
    </row>
    <row r="22119" spans="1:4" x14ac:dyDescent="0.25">
      <c r="A22119" t="str">
        <f>HYPERLINK("https://www.773grp.com/globalSearch/LMV7231SQE-NOPB/page-1", "LMV7231SQE-NOPB")</f>
        <v>LMV7231SQE-NOPB</v>
      </c>
      <c r="B22119" s="3" t="str">
        <f>HYPERLINK("https://www.773grp.com/manufacturer/texas-instruments?pageNo=831", "Texas Instruments")</f>
        <v>Texas Instruments</v>
      </c>
      <c r="C22119" s="5">
        <v>60</v>
      </c>
      <c r="D22119" s="6">
        <v>4.59</v>
      </c>
    </row>
    <row r="22120" spans="1:4" x14ac:dyDescent="0.25">
      <c r="A22120" t="str">
        <f>HYPERLINK("https://www.773grp.com/globalSearch/SN65LVDS048AD/page-1", "SN65LVDS048AD")</f>
        <v>SN65LVDS048AD</v>
      </c>
      <c r="B22120" s="3" t="str">
        <f>HYPERLINK("https://www.773grp.com/manufacturer/texas-instruments?pageNo=833", "Texas Instruments")</f>
        <v>Texas Instruments</v>
      </c>
      <c r="C22120" s="5">
        <v>240</v>
      </c>
      <c r="D22120" s="6">
        <v>4.59</v>
      </c>
    </row>
    <row r="22121" spans="1:4" x14ac:dyDescent="0.25">
      <c r="A22121" t="str">
        <f>HYPERLINK("https://www.773grp.com/globalSearch/TL7700CPSR/page-1", "TL7700CPSR")</f>
        <v>TL7700CPSR</v>
      </c>
      <c r="B22121" s="3" t="str">
        <f>HYPERLINK("https://www.773grp.com/manufacturer/texas-instruments?pageNo=847", "Texas Instruments")</f>
        <v>Texas Instruments</v>
      </c>
      <c r="C22121" s="5">
        <v>2000</v>
      </c>
      <c r="D22121" s="6">
        <v>4.59</v>
      </c>
    </row>
    <row r="22122" spans="1:4" x14ac:dyDescent="0.25">
      <c r="A22122" t="str">
        <f>HYPERLINK("https://www.773grp.com/globalSearch/TLC5924RHBR/page-1", "TLC5924RHBR")</f>
        <v>TLC5924RHBR</v>
      </c>
      <c r="B22122" s="3" t="str">
        <f>HYPERLINK("https://www.773grp.com/manufacturer/texas-instruments?pageNo=851", "Texas Instruments")</f>
        <v>Texas Instruments</v>
      </c>
      <c r="C22122" s="5">
        <v>21000</v>
      </c>
      <c r="D22122" s="6">
        <v>4.59</v>
      </c>
    </row>
    <row r="22123" spans="1:4" x14ac:dyDescent="0.25">
      <c r="A22123" t="str">
        <f>HYPERLINK("https://www.773grp.com/globalSearch/TLV2304INE4/page-1", "TLV2304INE4")</f>
        <v>TLV2304INE4</v>
      </c>
      <c r="B22123" s="3" t="str">
        <f>HYPERLINK("https://www.773grp.com/manufacturer/texas-instruments?pageNo=853", "Texas Instruments")</f>
        <v>Texas Instruments</v>
      </c>
      <c r="C22123" s="5">
        <v>77</v>
      </c>
      <c r="D22123" s="6">
        <v>4.59</v>
      </c>
    </row>
    <row r="22124" spans="1:4" x14ac:dyDescent="0.25">
      <c r="A22124" t="str">
        <f>HYPERLINK("https://www.773grp.com/globalSearch/TPA0102PWPG4/page-1", "TPA0102PWPG4")</f>
        <v>TPA0102PWPG4</v>
      </c>
      <c r="B22124" s="3" t="str">
        <f>HYPERLINK("https://www.773grp.com/manufacturer/texas-instruments?pageNo=855", "Texas Instruments")</f>
        <v>Texas Instruments</v>
      </c>
      <c r="C22124" s="5">
        <v>30</v>
      </c>
      <c r="D22124" s="6">
        <v>4.59</v>
      </c>
    </row>
    <row r="22125" spans="1:4" x14ac:dyDescent="0.25">
      <c r="A22125" t="str">
        <f>HYPERLINK("https://www.773grp.com/globalSearch/CY74FCT162543TPVCT/page-1", "CY74FCT162543TPVCT")</f>
        <v>CY74FCT162543TPVCT</v>
      </c>
      <c r="B22125" s="3" t="str">
        <f>HYPERLINK("https://www.773grp.com/manufacturer/texas-instruments?pageNo=870", "Texas Instruments")</f>
        <v>Texas Instruments</v>
      </c>
      <c r="C22125" s="5">
        <v>3000</v>
      </c>
      <c r="D22125" s="6">
        <v>4.6100000000000003</v>
      </c>
    </row>
    <row r="22126" spans="1:4" x14ac:dyDescent="0.25">
      <c r="A22126" t="str">
        <f>HYPERLINK("https://www.773grp.com/globalSearch/DS3658N/page-1", "DS3658N")</f>
        <v>DS3658N</v>
      </c>
      <c r="B22126" s="3" t="str">
        <f>HYPERLINK("https://www.773grp.com/manufacturer/texas-instruments?pageNo=874", "Texas Instruments")</f>
        <v>Texas Instruments</v>
      </c>
      <c r="C22126" s="5">
        <v>350</v>
      </c>
      <c r="D22126" s="6">
        <v>4.6100000000000003</v>
      </c>
    </row>
    <row r="22127" spans="1:4" x14ac:dyDescent="0.25">
      <c r="A22127" t="str">
        <f>HYPERLINK("https://www.773grp.com/globalSearch/SN103981DR/page-1", "SN103981DR")</f>
        <v>SN103981DR</v>
      </c>
      <c r="B22127" s="3" t="str">
        <f>HYPERLINK("https://www.773grp.com/manufacturer/texas-instruments?pageNo=878", "Texas Instruments")</f>
        <v>Texas Instruments</v>
      </c>
      <c r="C22127" s="5">
        <v>5000</v>
      </c>
      <c r="D22127" s="6">
        <v>4.6100000000000003</v>
      </c>
    </row>
    <row r="22128" spans="1:4" x14ac:dyDescent="0.25">
      <c r="A22128" t="str">
        <f>HYPERLINK("https://www.773grp.com/globalSearch/SN74AS153NS/page-1", "SN74AS153NS")</f>
        <v>SN74AS153NS</v>
      </c>
      <c r="B22128" s="3" t="str">
        <f>HYPERLINK("https://www.773grp.com/manufacturer/texas-instruments?pageNo=899", "Texas Instruments")</f>
        <v>Texas Instruments</v>
      </c>
      <c r="C22128" s="5">
        <v>5600</v>
      </c>
      <c r="D22128" s="6">
        <v>4.6100000000000003</v>
      </c>
    </row>
    <row r="22129" spans="1:4" x14ac:dyDescent="0.25">
      <c r="A22129" t="str">
        <f>HYPERLINK("https://www.773grp.com/globalSearch/SN74AS30NS/page-1", "SN74AS30NS")</f>
        <v>SN74AS30NS</v>
      </c>
      <c r="B22129" s="3" t="str">
        <f>HYPERLINK("https://www.773grp.com/manufacturer/texas-instruments?pageNo=907", "Texas Instruments")</f>
        <v>Texas Instruments</v>
      </c>
      <c r="C22129" s="5">
        <v>950</v>
      </c>
      <c r="D22129" s="6">
        <v>4.6100000000000003</v>
      </c>
    </row>
    <row r="22130" spans="1:4" x14ac:dyDescent="0.25">
      <c r="A22130" t="str">
        <f>HYPERLINK("https://www.773grp.com/globalSearch/SN74BCT541AN/page-1", "SN74BCT541AN")</f>
        <v>SN74BCT541AN</v>
      </c>
      <c r="B22130" s="3" t="str">
        <f>HYPERLINK("https://www.773grp.com/manufacturer/texas-instruments?pageNo=910", "Texas Instruments")</f>
        <v>Texas Instruments</v>
      </c>
      <c r="C22130" s="5">
        <v>790</v>
      </c>
      <c r="D22130" s="6">
        <v>4.6100000000000003</v>
      </c>
    </row>
    <row r="22131" spans="1:4" x14ac:dyDescent="0.25">
      <c r="A22131" t="str">
        <f>HYPERLINK("https://www.773grp.com/globalSearch/SN75158PE4/page-1", "SN75158PE4")</f>
        <v>SN75158PE4</v>
      </c>
      <c r="B22131" s="3" t="str">
        <f>HYPERLINK("https://www.773grp.com/manufacturer/texas-instruments?pageNo=934", "Texas Instruments")</f>
        <v>Texas Instruments</v>
      </c>
      <c r="C22131" s="5">
        <v>100</v>
      </c>
      <c r="D22131" s="6">
        <v>4.6100000000000003</v>
      </c>
    </row>
    <row r="22132" spans="1:4" x14ac:dyDescent="0.25">
      <c r="A22132" t="str">
        <f>HYPERLINK("https://www.773grp.com/globalSearch/TCM9101DW/page-1", "TCM9101DW")</f>
        <v>TCM9101DW</v>
      </c>
      <c r="B22132" s="3" t="str">
        <f>HYPERLINK("https://www.773grp.com/manufacturer/texas-instruments?pageNo=939", "Texas Instruments")</f>
        <v>Texas Instruments</v>
      </c>
      <c r="C22132" s="5">
        <v>35092</v>
      </c>
      <c r="D22132" s="6">
        <v>4.6100000000000003</v>
      </c>
    </row>
    <row r="22133" spans="1:4" x14ac:dyDescent="0.25">
      <c r="A22133" t="str">
        <f>HYPERLINK("https://www.773grp.com/globalSearch/THS3111CDGNR/page-1", "THS3111CDGNR")</f>
        <v>THS3111CDGNR</v>
      </c>
      <c r="B22133" s="3" t="str">
        <f>HYPERLINK("https://www.773grp.com/manufacturer/texas-instruments?pageNo=940", "Texas Instruments")</f>
        <v>Texas Instruments</v>
      </c>
      <c r="C22133" s="5">
        <v>5000</v>
      </c>
      <c r="D22133" s="6">
        <v>4.6100000000000003</v>
      </c>
    </row>
    <row r="22134" spans="1:4" x14ac:dyDescent="0.25">
      <c r="A22134" t="str">
        <f>HYPERLINK("https://www.773grp.com/globalSearch/TL7770-5IDWG4/page-1", "TL7770-5IDWG4")</f>
        <v>TL7770-5IDWG4</v>
      </c>
      <c r="B22134" s="3" t="str">
        <f>HYPERLINK("https://www.773grp.com/manufacturer/texas-instruments?pageNo=949", "Texas Instruments")</f>
        <v>Texas Instruments</v>
      </c>
      <c r="C22134" s="5">
        <v>20</v>
      </c>
      <c r="D22134" s="6">
        <v>4.6100000000000003</v>
      </c>
    </row>
    <row r="22135" spans="1:4" x14ac:dyDescent="0.25">
      <c r="A22135" t="str">
        <f>HYPERLINK("https://www.773grp.com/globalSearch/TPIC1315KTRR/page-1", "TPIC1315KTRR")</f>
        <v>TPIC1315KTRR</v>
      </c>
      <c r="B22135" s="3" t="str">
        <f>HYPERLINK("https://www.773grp.com/manufacturer/texas-instruments?pageNo=953", "Texas Instruments")</f>
        <v>Texas Instruments</v>
      </c>
      <c r="C22135" s="5">
        <v>9000</v>
      </c>
      <c r="D22135" s="6">
        <v>4.6100000000000003</v>
      </c>
    </row>
    <row r="22136" spans="1:4" x14ac:dyDescent="0.25">
      <c r="A22136" t="str">
        <f>HYPERLINK("https://www.773grp.com/globalSearch/TPS57112QRTERQ1/page-1", "TPS57112QRTERQ1")</f>
        <v>TPS57112QRTERQ1</v>
      </c>
      <c r="B22136" s="3" t="str">
        <f>HYPERLINK("https://www.773grp.com/manufacturer/texas-instruments?pageNo=955", "Texas Instruments")</f>
        <v>Texas Instruments</v>
      </c>
      <c r="C22136" s="5">
        <v>15000</v>
      </c>
      <c r="D22136" s="6">
        <v>4.6100000000000003</v>
      </c>
    </row>
    <row r="22137" spans="1:4" x14ac:dyDescent="0.25">
      <c r="A22137" t="str">
        <f>HYPERLINK("https://www.773grp.com/globalSearch/CSD18502KCS/page-1", "CSD18502KCS")</f>
        <v>CSD18502KCS</v>
      </c>
      <c r="B22137" s="3" t="str">
        <f>HYPERLINK("https://www.773grp.com/manufacturer/texas-instruments?pageNo=960", "Texas Instruments")</f>
        <v>Texas Instruments</v>
      </c>
      <c r="C22137" s="5">
        <v>1000</v>
      </c>
      <c r="D22137" s="6">
        <v>5.1100000000000003</v>
      </c>
    </row>
    <row r="22138" spans="1:4" x14ac:dyDescent="0.25">
      <c r="A22138" t="str">
        <f>HYPERLINK("https://www.773grp.com/globalSearch/CSD18532KCS/page-1", "CSD18532KCS")</f>
        <v>CSD18532KCS</v>
      </c>
      <c r="B22138" s="3" t="str">
        <f>HYPERLINK("https://www.773grp.com/manufacturer/texas-instruments?pageNo=961", "Texas Instruments")</f>
        <v>Texas Instruments</v>
      </c>
      <c r="C22138" s="5">
        <v>1000</v>
      </c>
      <c r="D22138" s="6">
        <v>5.1100000000000003</v>
      </c>
    </row>
    <row r="22139" spans="1:4" x14ac:dyDescent="0.25">
      <c r="A22139" t="str">
        <f>HYPERLINK("https://www.773grp.com/globalSearch/DS3695ATMX-NOPB/page-1", "DS3695ATMX-NOPB")</f>
        <v>DS3695ATMX-NOPB</v>
      </c>
      <c r="B22139" s="3" t="str">
        <f>HYPERLINK("https://www.773grp.com/manufacturer/texas-instruments?pageNo=962", "Texas Instruments")</f>
        <v>Texas Instruments</v>
      </c>
      <c r="C22139" s="5">
        <v>130</v>
      </c>
      <c r="D22139" s="6">
        <v>5.1100000000000003</v>
      </c>
    </row>
    <row r="22140" spans="1:4" x14ac:dyDescent="0.25">
      <c r="A22140" t="str">
        <f>HYPERLINK("https://www.773grp.com/globalSearch/LM2940IMP-12/page-1", "LM2940IMP-12")</f>
        <v>LM2940IMP-12</v>
      </c>
      <c r="B22140" s="3" t="str">
        <f>HYPERLINK("https://www.773grp.com/manufacturer/texas-instruments?pageNo=963", "Texas Instruments")</f>
        <v>Texas Instruments</v>
      </c>
      <c r="C22140" s="5">
        <v>626</v>
      </c>
      <c r="D22140" s="6">
        <v>5.1100000000000003</v>
      </c>
    </row>
    <row r="22141" spans="1:4" x14ac:dyDescent="0.25">
      <c r="A22141" t="str">
        <f>HYPERLINK("https://www.773grp.com/globalSearch/LM2940IMP-5.0/page-1", "LM2940IMP-5.0")</f>
        <v>LM2940IMP-5.0</v>
      </c>
      <c r="B22141" s="3" t="str">
        <f>HYPERLINK("https://www.773grp.com/manufacturer/texas-instruments?pageNo=964", "Texas Instruments")</f>
        <v>Texas Instruments</v>
      </c>
      <c r="C22141" s="5">
        <v>204</v>
      </c>
      <c r="D22141" s="6">
        <v>5.1100000000000003</v>
      </c>
    </row>
    <row r="22142" spans="1:4" x14ac:dyDescent="0.25">
      <c r="A22142" t="str">
        <f>HYPERLINK("https://www.773grp.com/globalSearch/SN350263DR/page-1", "SN350263DR")</f>
        <v>SN350263DR</v>
      </c>
      <c r="B22142" s="3" t="str">
        <f>HYPERLINK("https://www.773grp.com/manufacturer/texas-instruments?pageNo=969", "Texas Instruments")</f>
        <v>Texas Instruments</v>
      </c>
      <c r="C22142" s="5">
        <v>40000</v>
      </c>
      <c r="D22142" s="6">
        <v>5.1100000000000003</v>
      </c>
    </row>
    <row r="22143" spans="1:4" x14ac:dyDescent="0.25">
      <c r="A22143" t="str">
        <f>HYPERLINK("https://www.773grp.com/globalSearch/SN65LVDS9638YDGK/page-1", "SN65LVDS9638YDGK")</f>
        <v>SN65LVDS9638YDGK</v>
      </c>
      <c r="B22143" s="3" t="str">
        <f>HYPERLINK("https://www.773grp.com/manufacturer/texas-instruments?pageNo=970", "Texas Instruments")</f>
        <v>Texas Instruments</v>
      </c>
      <c r="C22143" s="5">
        <v>1680</v>
      </c>
      <c r="D22143" s="6">
        <v>5.1100000000000003</v>
      </c>
    </row>
    <row r="22144" spans="1:4" x14ac:dyDescent="0.25">
      <c r="A22144" t="str">
        <f>HYPERLINK("https://www.773grp.com/globalSearch/SN700471DR/page-1", "SN700471DR")</f>
        <v>SN700471DR</v>
      </c>
      <c r="B22144" s="3" t="str">
        <f>HYPERLINK("https://www.773grp.com/manufacturer/texas-instruments?pageNo=971", "Texas Instruments")</f>
        <v>Texas Instruments</v>
      </c>
      <c r="C22144" s="5">
        <v>35000</v>
      </c>
      <c r="D22144" s="6">
        <v>5.1100000000000003</v>
      </c>
    </row>
    <row r="22145" spans="1:4" x14ac:dyDescent="0.25">
      <c r="A22145" t="str">
        <f>HYPERLINK("https://www.773grp.com/globalSearch/SN700542DR/page-1", "SN700542DR")</f>
        <v>SN700542DR</v>
      </c>
      <c r="B22145" s="3" t="str">
        <f>HYPERLINK("https://www.773grp.com/manufacturer/texas-instruments?pageNo=972", "Texas Instruments")</f>
        <v>Texas Instruments</v>
      </c>
      <c r="C22145" s="5">
        <v>27500</v>
      </c>
      <c r="D22145" s="6">
        <v>5.1100000000000003</v>
      </c>
    </row>
    <row r="22146" spans="1:4" x14ac:dyDescent="0.25">
      <c r="A22146" t="str">
        <f>HYPERLINK("https://www.773grp.com/globalSearch/SN74LVC841DBR/page-1", "SN74LVC841DBR")</f>
        <v>SN74LVC841DBR</v>
      </c>
      <c r="B22146" s="3" t="str">
        <f>HYPERLINK("https://www.773grp.com/manufacturer/texas-instruments?pageNo=976", "Texas Instruments")</f>
        <v>Texas Instruments</v>
      </c>
      <c r="C22146" s="5">
        <v>4000</v>
      </c>
      <c r="D22146" s="6">
        <v>5.1100000000000003</v>
      </c>
    </row>
    <row r="22147" spans="1:4" x14ac:dyDescent="0.25">
      <c r="A22147" t="str">
        <f>HYPERLINK("https://www.773grp.com/globalSearch/SN74LVC841PWR/page-1", "SN74LVC841PWR")</f>
        <v>SN74LVC841PWR</v>
      </c>
      <c r="B22147" s="3" t="str">
        <f>HYPERLINK("https://www.773grp.com/manufacturer/texas-instruments?pageNo=978", "Texas Instruments")</f>
        <v>Texas Instruments</v>
      </c>
      <c r="C22147" s="5">
        <v>8000</v>
      </c>
      <c r="D22147" s="6">
        <v>5.1100000000000003</v>
      </c>
    </row>
    <row r="22148" spans="1:4" x14ac:dyDescent="0.25">
      <c r="A22148" t="str">
        <f>HYPERLINK("https://www.773grp.com/globalSearch/TL1451ACNSN/page-1", "TL1451ACNSN")</f>
        <v>TL1451ACNSN</v>
      </c>
      <c r="B22148" s="3" t="str">
        <f>HYPERLINK("https://www.773grp.com/manufacturer/texas-instruments?pageNo=983", "Texas Instruments")</f>
        <v>Texas Instruments</v>
      </c>
      <c r="C22148" s="5">
        <v>6000</v>
      </c>
      <c r="D22148" s="6">
        <v>5.1100000000000003</v>
      </c>
    </row>
    <row r="22149" spans="1:4" x14ac:dyDescent="0.25">
      <c r="A22149" t="str">
        <f>HYPERLINK("https://www.773grp.com/globalSearch/ADC122S051CIMM-NOPB/page-1", "ADC122S051CIMM-NOPB")</f>
        <v>ADC122S051CIMM-NOPB</v>
      </c>
      <c r="B22149" s="3" t="str">
        <f>HYPERLINK("https://www.773grp.com/manufacturer/texas-instruments?pageNo=985", "Texas Instruments")</f>
        <v>Texas Instruments</v>
      </c>
      <c r="C22149" s="5">
        <v>1000</v>
      </c>
      <c r="D22149" s="6">
        <v>4.6399999999999997</v>
      </c>
    </row>
    <row r="22150" spans="1:4" x14ac:dyDescent="0.25">
      <c r="A22150" t="str">
        <f>HYPERLINK("https://www.773grp.com/globalSearch/DAC7551IDRNTG4/page-1", "DAC7551IDRNTG4")</f>
        <v>DAC7551IDRNTG4</v>
      </c>
      <c r="B22150" s="3" t="s">
        <v>90</v>
      </c>
      <c r="C22150" s="5">
        <v>248</v>
      </c>
      <c r="D22150" s="6">
        <v>4.6399999999999997</v>
      </c>
    </row>
    <row r="22151" spans="1:4" x14ac:dyDescent="0.25">
      <c r="A22151" t="str">
        <f>HYPERLINK("https://www.773grp.com/globalSearch/DRV8824PWPR/page-1", "DRV8824PWPR")</f>
        <v>DRV8824PWPR</v>
      </c>
      <c r="B22151" s="3" t="s">
        <v>90</v>
      </c>
      <c r="C22151" s="5">
        <v>2000</v>
      </c>
      <c r="D22151" s="6">
        <v>4.6399999999999997</v>
      </c>
    </row>
    <row r="22152" spans="1:4" x14ac:dyDescent="0.25">
      <c r="A22152" t="str">
        <f>HYPERLINK("https://www.773grp.com/globalSearch/LM2672MX-5.0-NOPB/page-1", "LM2672MX-5.0-NOPB")</f>
        <v>LM2672MX-5.0-NOPB</v>
      </c>
      <c r="B22152" s="3" t="s">
        <v>90</v>
      </c>
      <c r="C22152" s="5">
        <v>2500</v>
      </c>
      <c r="D22152" s="6">
        <v>4.6399999999999997</v>
      </c>
    </row>
    <row r="22153" spans="1:4" x14ac:dyDescent="0.25">
      <c r="A22153" t="str">
        <f>HYPERLINK("https://www.773grp.com/globalSearch/LM4816MTX-NOPB/page-1", "LM4816MTX-NOPB")</f>
        <v>LM4816MTX-NOPB</v>
      </c>
      <c r="B22153" s="3" t="s">
        <v>90</v>
      </c>
      <c r="C22153" s="5">
        <v>1500</v>
      </c>
      <c r="D22153" s="6">
        <v>4.6399999999999997</v>
      </c>
    </row>
    <row r="22154" spans="1:4" x14ac:dyDescent="0.25">
      <c r="A22154" t="str">
        <f>HYPERLINK("https://www.773grp.com/globalSearch/MSP430F2132TPW/page-1", "MSP430F2132TPW")</f>
        <v>MSP430F2132TPW</v>
      </c>
      <c r="B22154" s="3" t="s">
        <v>90</v>
      </c>
      <c r="C22154" s="5">
        <v>333</v>
      </c>
      <c r="D22154" s="6">
        <v>4.6399999999999997</v>
      </c>
    </row>
    <row r="22155" spans="1:4" x14ac:dyDescent="0.25">
      <c r="A22155" t="str">
        <f>HYPERLINK("https://www.773grp.com/globalSearch/MSP430F2232IDAR/page-1", "MSP430F2232IDAR")</f>
        <v>MSP430F2232IDAR</v>
      </c>
      <c r="B22155" s="3" t="s">
        <v>90</v>
      </c>
      <c r="C22155" s="5">
        <v>2000</v>
      </c>
      <c r="D22155" s="6">
        <v>4.6399999999999997</v>
      </c>
    </row>
    <row r="22156" spans="1:4" x14ac:dyDescent="0.25">
      <c r="A22156" t="str">
        <f>HYPERLINK("https://www.773grp.com/globalSearch/MSP430F2232IRHAR/page-1", "MSP430F2232IRHAR")</f>
        <v>MSP430F2232IRHAR</v>
      </c>
      <c r="B22156" s="3" t="s">
        <v>90</v>
      </c>
      <c r="C22156" s="5">
        <v>2500</v>
      </c>
      <c r="D22156" s="6">
        <v>4.6399999999999997</v>
      </c>
    </row>
    <row r="22157" spans="1:4" x14ac:dyDescent="0.25">
      <c r="A22157" t="str">
        <f>HYPERLINK("https://www.773grp.com/globalSearch/MSP430F5308IPT/page-1", "MSP430F5308IPT")</f>
        <v>MSP430F5308IPT</v>
      </c>
      <c r="B22157" s="3" t="s">
        <v>90</v>
      </c>
      <c r="C22157" s="5">
        <v>1000</v>
      </c>
      <c r="D22157" s="6">
        <v>4.6399999999999997</v>
      </c>
    </row>
    <row r="22158" spans="1:4" x14ac:dyDescent="0.25">
      <c r="A22158" t="str">
        <f>HYPERLINK("https://www.773grp.com/globalSearch/MSP430F5308IRGCR/page-1", "MSP430F5308IRGCR")</f>
        <v>MSP430F5308IRGCR</v>
      </c>
      <c r="B22158" s="3" t="s">
        <v>90</v>
      </c>
      <c r="C22158" s="5">
        <v>6000</v>
      </c>
      <c r="D22158" s="6">
        <v>4.6399999999999997</v>
      </c>
    </row>
    <row r="22159" spans="1:4" x14ac:dyDescent="0.25">
      <c r="A22159" t="str">
        <f>HYPERLINK("https://www.773grp.com/globalSearch/OPA2188AIDGKT/page-1", "OPA2188AIDGKT")</f>
        <v>OPA2188AIDGKT</v>
      </c>
      <c r="B22159" s="3" t="s">
        <v>90</v>
      </c>
      <c r="C22159" s="5">
        <v>250</v>
      </c>
      <c r="D22159" s="6">
        <v>4.6399999999999997</v>
      </c>
    </row>
    <row r="22160" spans="1:4" x14ac:dyDescent="0.25">
      <c r="A22160" t="str">
        <f>HYPERLINK("https://www.773grp.com/globalSearch/OPA2209AIDR/page-1", "OPA2209AIDR")</f>
        <v>OPA2209AIDR</v>
      </c>
      <c r="B22160" s="3" t="s">
        <v>90</v>
      </c>
      <c r="C22160" s="5">
        <v>19</v>
      </c>
      <c r="D22160" s="6">
        <v>4.6399999999999997</v>
      </c>
    </row>
    <row r="22161" spans="1:4" x14ac:dyDescent="0.25">
      <c r="A22161" t="str">
        <f>HYPERLINK("https://www.773grp.com/globalSearch/OPA2277UA-2K5/page-1", "OPA2277UA-2K5")</f>
        <v>OPA2277UA-2K5</v>
      </c>
      <c r="B22161" s="3" t="s">
        <v>90</v>
      </c>
      <c r="C22161" s="5">
        <v>2500</v>
      </c>
      <c r="D22161" s="6">
        <v>4.6399999999999997</v>
      </c>
    </row>
    <row r="22162" spans="1:4" x14ac:dyDescent="0.25">
      <c r="A22162" t="str">
        <f>HYPERLINK("https://www.773grp.com/globalSearch/OPA2314ASDRBTEP/page-1", "OPA2314ASDRBTEP")</f>
        <v>OPA2314ASDRBTEP</v>
      </c>
      <c r="B22162" s="3" t="s">
        <v>90</v>
      </c>
      <c r="C22162" s="5">
        <v>750</v>
      </c>
      <c r="D22162" s="6">
        <v>4.6399999999999997</v>
      </c>
    </row>
    <row r="22163" spans="1:4" x14ac:dyDescent="0.25">
      <c r="A22163" t="str">
        <f>HYPERLINK("https://www.773grp.com/globalSearch/OPA2743UA-2K5/page-1", "OPA2743UA-2K5")</f>
        <v>OPA2743UA-2K5</v>
      </c>
      <c r="B22163" s="3" t="s">
        <v>90</v>
      </c>
      <c r="C22163" s="5">
        <v>709</v>
      </c>
      <c r="D22163" s="6">
        <v>4.6399999999999997</v>
      </c>
    </row>
    <row r="22164" spans="1:4" x14ac:dyDescent="0.25">
      <c r="A22164" t="str">
        <f>HYPERLINK("https://www.773grp.com/globalSearch/OPA4364AQDRQ1/page-1", "OPA4364AQDRQ1")</f>
        <v>OPA4364AQDRQ1</v>
      </c>
      <c r="B22164" s="3" t="s">
        <v>90</v>
      </c>
      <c r="C22164" s="5">
        <v>10000</v>
      </c>
      <c r="D22164" s="6">
        <v>4.6399999999999997</v>
      </c>
    </row>
    <row r="22165" spans="1:4" x14ac:dyDescent="0.25">
      <c r="A22165" t="str">
        <f>HYPERLINK("https://www.773grp.com/globalSearch/REF5045AID/page-1", "REF5045AID")</f>
        <v>REF5045AID</v>
      </c>
      <c r="B22165" s="3" t="s">
        <v>90</v>
      </c>
      <c r="C22165" s="5">
        <v>150</v>
      </c>
      <c r="D22165" s="6">
        <v>4.6399999999999997</v>
      </c>
    </row>
    <row r="22166" spans="1:4" x14ac:dyDescent="0.25">
      <c r="A22166" t="str">
        <f>HYPERLINK("https://www.773grp.com/globalSearch/SN65HVD05DR/page-1", "SN65HVD05DR")</f>
        <v>SN65HVD05DR</v>
      </c>
      <c r="B22166" s="3" t="s">
        <v>90</v>
      </c>
      <c r="C22166" s="5">
        <v>2500</v>
      </c>
      <c r="D22166" s="6">
        <v>4.6399999999999997</v>
      </c>
    </row>
    <row r="22167" spans="1:4" x14ac:dyDescent="0.25">
      <c r="A22167" t="str">
        <f>HYPERLINK("https://www.773grp.com/globalSearch/SN74ALVC162334DGG/page-1", "SN74ALVC162334DGG")</f>
        <v>SN74ALVC162334DGG</v>
      </c>
      <c r="B22167" s="3" t="s">
        <v>90</v>
      </c>
      <c r="C22167" s="5">
        <v>5480</v>
      </c>
      <c r="D22167" s="6">
        <v>4.6399999999999997</v>
      </c>
    </row>
    <row r="22168" spans="1:4" x14ac:dyDescent="0.25">
      <c r="A22168" t="str">
        <f>HYPERLINK("https://www.773grp.com/globalSearch/TAS5717PHPR/page-1", "TAS5717PHPR")</f>
        <v>TAS5717PHPR</v>
      </c>
      <c r="B22168" s="3" t="s">
        <v>90</v>
      </c>
      <c r="C22168" s="5">
        <v>969</v>
      </c>
      <c r="D22168" s="6">
        <v>4.6399999999999997</v>
      </c>
    </row>
    <row r="22169" spans="1:4" x14ac:dyDescent="0.25">
      <c r="A22169" t="str">
        <f>HYPERLINK("https://www.773grp.com/globalSearch/THS7353PWRG4/page-1", "THS7353PWRG4")</f>
        <v>THS7353PWRG4</v>
      </c>
      <c r="B22169" s="3" t="s">
        <v>90</v>
      </c>
      <c r="C22169" s="5">
        <v>390</v>
      </c>
      <c r="D22169" s="6">
        <v>4.6399999999999997</v>
      </c>
    </row>
    <row r="22170" spans="1:4" x14ac:dyDescent="0.25">
      <c r="A22170" t="str">
        <f>HYPERLINK("https://www.773grp.com/globalSearch/TLE2024CN/page-1", "TLE2024CN")</f>
        <v>TLE2024CN</v>
      </c>
      <c r="B22170" s="3" t="s">
        <v>90</v>
      </c>
      <c r="C22170" s="5">
        <v>47</v>
      </c>
      <c r="D22170" s="6">
        <v>4.6399999999999997</v>
      </c>
    </row>
    <row r="22171" spans="1:4" x14ac:dyDescent="0.25">
      <c r="A22171" t="str">
        <f>HYPERLINK("https://www.773grp.com/globalSearch/TLE2062ACD/page-1", "TLE2062ACD")</f>
        <v>TLE2062ACD</v>
      </c>
      <c r="B22171" s="3" t="s">
        <v>90</v>
      </c>
      <c r="C22171" s="5">
        <v>645</v>
      </c>
      <c r="D22171" s="6">
        <v>4.6399999999999997</v>
      </c>
    </row>
    <row r="22172" spans="1:4" x14ac:dyDescent="0.25">
      <c r="A22172" t="str">
        <f>HYPERLINK("https://www.773grp.com/globalSearch/TPIC6A596DWG4/page-1", "TPIC6A596DWG4")</f>
        <v>TPIC6A596DWG4</v>
      </c>
      <c r="B22172" s="3" t="s">
        <v>90</v>
      </c>
      <c r="C22172" s="5">
        <v>675</v>
      </c>
      <c r="D22172" s="6">
        <v>4.6399999999999997</v>
      </c>
    </row>
    <row r="22173" spans="1:4" x14ac:dyDescent="0.25">
      <c r="A22173" t="str">
        <f>HYPERLINK("https://www.773grp.com/globalSearch/TPS51610IRHBT/page-1", "TPS51610IRHBT")</f>
        <v>TPS51610IRHBT</v>
      </c>
      <c r="B22173" s="3" t="s">
        <v>90</v>
      </c>
      <c r="C22173" s="5">
        <v>17750</v>
      </c>
      <c r="D22173" s="6">
        <v>4.6399999999999997</v>
      </c>
    </row>
    <row r="22174" spans="1:4" x14ac:dyDescent="0.25">
      <c r="A22174" t="str">
        <f>HYPERLINK("https://www.773grp.com/globalSearch/TPS51621RHAR/page-1", "TPS51621RHAR")</f>
        <v>TPS51621RHAR</v>
      </c>
      <c r="B22174" s="3" t="s">
        <v>90</v>
      </c>
      <c r="C22174" s="5">
        <v>20000</v>
      </c>
      <c r="D22174" s="6">
        <v>4.6399999999999997</v>
      </c>
    </row>
    <row r="22175" spans="1:4" x14ac:dyDescent="0.25">
      <c r="A22175" t="str">
        <f>HYPERLINK("https://www.773grp.com/globalSearch/TPS59611RHBT/page-1", "TPS59611RHBT")</f>
        <v>TPS59611RHBT</v>
      </c>
      <c r="B22175" s="3" t="s">
        <v>90</v>
      </c>
      <c r="C22175" s="5">
        <v>250</v>
      </c>
      <c r="D22175" s="6">
        <v>4.6399999999999997</v>
      </c>
    </row>
    <row r="22176" spans="1:4" x14ac:dyDescent="0.25">
      <c r="A22176" t="str">
        <f>HYPERLINK("https://www.773grp.com/globalSearch/TPS65721RSNR/page-1", "TPS65721RSNR")</f>
        <v>TPS65721RSNR</v>
      </c>
      <c r="B22176" s="3" t="s">
        <v>90</v>
      </c>
      <c r="C22176" s="5">
        <v>3000</v>
      </c>
      <c r="D22176" s="6">
        <v>4.6399999999999997</v>
      </c>
    </row>
    <row r="22177" spans="1:4" x14ac:dyDescent="0.25">
      <c r="A22177" t="str">
        <f>HYPERLINK("https://www.773grp.com/globalSearch/TPS7A1601DGNT/page-1", "TPS7A1601DGNT")</f>
        <v>TPS7A1601DGNT</v>
      </c>
      <c r="B22177" s="3" t="s">
        <v>90</v>
      </c>
      <c r="C22177" s="5">
        <v>248</v>
      </c>
      <c r="D22177" s="6">
        <v>4.6399999999999997</v>
      </c>
    </row>
    <row r="22178" spans="1:4" x14ac:dyDescent="0.25">
      <c r="A22178" t="str">
        <f>HYPERLINK("https://www.773grp.com/globalSearch/TRF7963RHBT/page-1", "TRF7963RHBT")</f>
        <v>TRF7963RHBT</v>
      </c>
      <c r="B22178" s="3" t="s">
        <v>90</v>
      </c>
      <c r="C22178" s="5">
        <v>32630</v>
      </c>
      <c r="D22178" s="6">
        <v>4.6399999999999997</v>
      </c>
    </row>
    <row r="22179" spans="1:4" x14ac:dyDescent="0.25">
      <c r="A22179" t="str">
        <f>HYPERLINK("https://www.773grp.com/globalSearch/UCC2807D-1-81453/page-1", "UCC2807D-1-81453")</f>
        <v>UCC2807D-1-81453</v>
      </c>
      <c r="B22179" s="3" t="s">
        <v>90</v>
      </c>
      <c r="C22179" s="5">
        <v>22125</v>
      </c>
      <c r="D22179" s="6">
        <v>4.6399999999999997</v>
      </c>
    </row>
    <row r="22180" spans="1:4" x14ac:dyDescent="0.25">
      <c r="A22180" t="str">
        <f>HYPERLINK("https://www.773grp.com/globalSearch/UCC2807DTR-1/page-1", "UCC2807DTR-1")</f>
        <v>UCC2807DTR-1</v>
      </c>
      <c r="B22180" s="3" t="s">
        <v>90</v>
      </c>
      <c r="C22180" s="5">
        <v>12500</v>
      </c>
      <c r="D22180" s="6">
        <v>4.6399999999999997</v>
      </c>
    </row>
    <row r="22181" spans="1:4" x14ac:dyDescent="0.25">
      <c r="A22181" t="str">
        <f>HYPERLINK("https://www.773grp.com/globalSearch/UCC2807DTR-2/page-1", "UCC2807DTR-2")</f>
        <v>UCC2807DTR-2</v>
      </c>
      <c r="B22181" s="3" t="s">
        <v>90</v>
      </c>
      <c r="C22181" s="5">
        <v>12500</v>
      </c>
      <c r="D22181" s="6">
        <v>4.6399999999999997</v>
      </c>
    </row>
    <row r="22182" spans="1:4" x14ac:dyDescent="0.25">
      <c r="A22182" t="str">
        <f>HYPERLINK("https://www.773grp.com/globalSearch/UCC2807DTR-3/page-1", "UCC2807DTR-3")</f>
        <v>UCC2807DTR-3</v>
      </c>
      <c r="B22182" s="3" t="s">
        <v>90</v>
      </c>
      <c r="C22182" s="5">
        <v>7500</v>
      </c>
      <c r="D22182" s="6">
        <v>4.6399999999999997</v>
      </c>
    </row>
    <row r="22183" spans="1:4" x14ac:dyDescent="0.25">
      <c r="A22183" t="str">
        <f>HYPERLINK("https://www.773grp.com/globalSearch/UCC2946TPWRQ1/page-1", "UCC2946TPWRQ1")</f>
        <v>UCC2946TPWRQ1</v>
      </c>
      <c r="B22183" s="3" t="s">
        <v>90</v>
      </c>
      <c r="C22183" s="5">
        <v>10000</v>
      </c>
      <c r="D22183" s="6">
        <v>4.6399999999999997</v>
      </c>
    </row>
    <row r="22184" spans="1:4" x14ac:dyDescent="0.25">
      <c r="A22184" t="str">
        <f>HYPERLINK("https://www.773grp.com/globalSearch/CD74HC4515EE4/page-1", "CD74HC4515EE4")</f>
        <v>CD74HC4515EE4</v>
      </c>
      <c r="B22184" s="3" t="s">
        <v>90</v>
      </c>
      <c r="C22184" s="5">
        <v>540</v>
      </c>
      <c r="D22184" s="6">
        <v>4.68</v>
      </c>
    </row>
    <row r="22185" spans="1:4" x14ac:dyDescent="0.25">
      <c r="A22185" t="str">
        <f>HYPERLINK("https://www.773grp.com/globalSearch/LP3875ES-ADJ-NOPB/page-1", "LP3875ES-ADJ-NOPB")</f>
        <v>LP3875ES-ADJ-NOPB</v>
      </c>
      <c r="B22185" s="3" t="s">
        <v>90</v>
      </c>
      <c r="C22185" s="5">
        <v>85</v>
      </c>
      <c r="D22185" s="6">
        <v>4.68</v>
      </c>
    </row>
    <row r="22186" spans="1:4" x14ac:dyDescent="0.25">
      <c r="A22186" t="str">
        <f>HYPERLINK("https://www.773grp.com/globalSearch/TLC2654I-8DR/page-1", "TLC2654I-8DR")</f>
        <v>TLC2654I-8DR</v>
      </c>
      <c r="B22186" s="3" t="s">
        <v>90</v>
      </c>
      <c r="C22186" s="5">
        <v>10000</v>
      </c>
      <c r="D22186" s="6">
        <v>4.68</v>
      </c>
    </row>
    <row r="22187" spans="1:4" x14ac:dyDescent="0.25">
      <c r="A22187" t="str">
        <f>HYPERLINK("https://www.773grp.com/globalSearch/LM4040B10IDBZT/page-1", "LM4040B10IDBZT")</f>
        <v>LM4040B10IDBZT</v>
      </c>
      <c r="B22187" s="3" t="s">
        <v>90</v>
      </c>
      <c r="C22187" s="5">
        <v>500</v>
      </c>
      <c r="D22187" s="6">
        <v>5.16</v>
      </c>
    </row>
    <row r="22188" spans="1:4" x14ac:dyDescent="0.25">
      <c r="A22188" t="str">
        <f>HYPERLINK("https://www.773grp.com/globalSearch/LM4040B82IDBZT/page-1", "LM4040B82IDBZT")</f>
        <v>LM4040B82IDBZT</v>
      </c>
      <c r="B22188" s="3" t="s">
        <v>90</v>
      </c>
      <c r="C22188" s="5">
        <v>2250</v>
      </c>
      <c r="D22188" s="6">
        <v>5.16</v>
      </c>
    </row>
    <row r="22189" spans="1:4" x14ac:dyDescent="0.25">
      <c r="A22189" t="str">
        <f>HYPERLINK("https://www.773grp.com/globalSearch/LM5085SDE-NOPB/page-1", "LM5085SDE-NOPB")</f>
        <v>LM5085SDE-NOPB</v>
      </c>
      <c r="B22189" s="3" t="s">
        <v>90</v>
      </c>
      <c r="C22189" s="5">
        <v>250</v>
      </c>
      <c r="D22189" s="6">
        <v>5.16</v>
      </c>
    </row>
    <row r="22190" spans="1:4" x14ac:dyDescent="0.25">
      <c r="A22190" t="str">
        <f>HYPERLINK("https://www.773grp.com/globalSearch/LM9076S-5.0-NOPB/page-1", "LM9076S-5.0-NOPB")</f>
        <v>LM9076S-5.0-NOPB</v>
      </c>
      <c r="B22190" s="3" t="s">
        <v>90</v>
      </c>
      <c r="C22190" s="5">
        <v>2</v>
      </c>
      <c r="D22190" s="6">
        <v>5.16</v>
      </c>
    </row>
    <row r="22191" spans="1:4" x14ac:dyDescent="0.25">
      <c r="A22191" t="str">
        <f>HYPERLINK("https://www.773grp.com/globalSearch/LMP8640MKE-F-NOPB/page-1", "LMP8640MKE-F-NOPB")</f>
        <v>LMP8640MKE-F-NOPB</v>
      </c>
      <c r="B22191" s="3" t="s">
        <v>90</v>
      </c>
      <c r="C22191" s="5">
        <v>1210</v>
      </c>
      <c r="D22191" s="6">
        <v>5.16</v>
      </c>
    </row>
    <row r="22192" spans="1:4" x14ac:dyDescent="0.25">
      <c r="A22192" t="str">
        <f>HYPERLINK("https://www.773grp.com/globalSearch/LMP8645MKE-NOPB/page-1", "LMP8645MKE-NOPB")</f>
        <v>LMP8645MKE-NOPB</v>
      </c>
      <c r="B22192" s="3" t="s">
        <v>90</v>
      </c>
      <c r="C22192" s="5">
        <v>20</v>
      </c>
      <c r="D22192" s="6">
        <v>5.16</v>
      </c>
    </row>
    <row r="22193" spans="1:4" x14ac:dyDescent="0.25">
      <c r="A22193" t="str">
        <f>HYPERLINK("https://www.773grp.com/globalSearch/LMV232TL-NOPB/page-1", "LMV232TL-NOPB")</f>
        <v>LMV232TL-NOPB</v>
      </c>
      <c r="B22193" s="3" t="s">
        <v>90</v>
      </c>
      <c r="C22193" s="5">
        <v>224</v>
      </c>
      <c r="D22193" s="6">
        <v>5.16</v>
      </c>
    </row>
    <row r="22194" spans="1:4" x14ac:dyDescent="0.25">
      <c r="A22194" t="str">
        <f>HYPERLINK("https://www.773grp.com/globalSearch/LMV232TL-NOPB/page-1", "LMV232TL-NOPB")</f>
        <v>LMV232TL-NOPB</v>
      </c>
      <c r="B22194" s="3" t="s">
        <v>90</v>
      </c>
      <c r="C22194" s="5">
        <v>13</v>
      </c>
      <c r="D22194" s="6">
        <v>5.16</v>
      </c>
    </row>
    <row r="22195" spans="1:4" x14ac:dyDescent="0.25">
      <c r="A22195" t="str">
        <f>HYPERLINK("https://www.773grp.com/globalSearch/LMV7219M5X-NOPB/page-1", "LMV7219M5X-NOPB")</f>
        <v>LMV7219M5X-NOPB</v>
      </c>
      <c r="B22195" s="3" t="s">
        <v>90</v>
      </c>
      <c r="C22195" s="5">
        <v>3000</v>
      </c>
      <c r="D22195" s="6">
        <v>5.16</v>
      </c>
    </row>
    <row r="22196" spans="1:4" x14ac:dyDescent="0.25">
      <c r="A22196" t="str">
        <f>HYPERLINK("https://www.773grp.com/globalSearch/LMV7219M7X-NOPB/page-1", "LMV7219M7X-NOPB")</f>
        <v>LMV7219M7X-NOPB</v>
      </c>
      <c r="B22196" s="3" t="s">
        <v>90</v>
      </c>
      <c r="C22196" s="5">
        <v>797</v>
      </c>
      <c r="D22196" s="6">
        <v>5.16</v>
      </c>
    </row>
    <row r="22197" spans="1:4" x14ac:dyDescent="0.25">
      <c r="A22197" t="str">
        <f>HYPERLINK("https://www.773grp.com/globalSearch/LP2966IMMX-3325/page-1", "LP2966IMMX-3325")</f>
        <v>LP2966IMMX-3325</v>
      </c>
      <c r="B22197" s="3" t="s">
        <v>90</v>
      </c>
      <c r="C22197" s="5">
        <v>3500</v>
      </c>
      <c r="D22197" s="6">
        <v>5.16</v>
      </c>
    </row>
    <row r="22198" spans="1:4" x14ac:dyDescent="0.25">
      <c r="A22198" t="str">
        <f>HYPERLINK("https://www.773grp.com/globalSearch/OPA2322AIDGKT/page-1", "OPA2322AIDGKT")</f>
        <v>OPA2322AIDGKT</v>
      </c>
      <c r="B22198" s="3" t="s">
        <v>90</v>
      </c>
      <c r="C22198" s="5">
        <v>750</v>
      </c>
      <c r="D22198" s="6">
        <v>5.16</v>
      </c>
    </row>
    <row r="22199" spans="1:4" x14ac:dyDescent="0.25">
      <c r="A22199" t="str">
        <f>HYPERLINK("https://www.773grp.com/globalSearch/OPA2322AIDRGT/page-1", "OPA2322AIDRGT")</f>
        <v>OPA2322AIDRGT</v>
      </c>
      <c r="B22199" s="3" t="s">
        <v>90</v>
      </c>
      <c r="C22199" s="5">
        <v>2706</v>
      </c>
      <c r="D22199" s="6">
        <v>5.16</v>
      </c>
    </row>
    <row r="22200" spans="1:4" x14ac:dyDescent="0.25">
      <c r="A22200" t="str">
        <f>HYPERLINK("https://www.773grp.com/globalSearch/SN74BCT125ADBR/page-1", "SN74BCT125ADBR")</f>
        <v>SN74BCT125ADBR</v>
      </c>
      <c r="B22200" s="3" t="s">
        <v>90</v>
      </c>
      <c r="C22200" s="5">
        <v>2000</v>
      </c>
      <c r="D22200" s="6">
        <v>5.16</v>
      </c>
    </row>
    <row r="22201" spans="1:4" x14ac:dyDescent="0.25">
      <c r="A22201" t="str">
        <f>HYPERLINK("https://www.773grp.com/globalSearch/TISL262/page-1", "TISL262")</f>
        <v>TISL262</v>
      </c>
      <c r="B22201" s="3" t="s">
        <v>90</v>
      </c>
      <c r="C22201" s="5">
        <v>152</v>
      </c>
      <c r="D22201" s="6">
        <v>5.16</v>
      </c>
    </row>
    <row r="22202" spans="1:4" x14ac:dyDescent="0.25">
      <c r="A22202" t="str">
        <f>HYPERLINK("https://www.773grp.com/globalSearch/TPS2066DGNG4/page-1", "TPS2066DGNG4")</f>
        <v>TPS2066DGNG4</v>
      </c>
      <c r="B22202" s="3" t="s">
        <v>90</v>
      </c>
      <c r="C22202" s="5">
        <v>48</v>
      </c>
      <c r="D22202" s="6">
        <v>5.16</v>
      </c>
    </row>
    <row r="22203" spans="1:4" x14ac:dyDescent="0.25">
      <c r="A22203" t="str">
        <f>HYPERLINK("https://www.773grp.com/globalSearch/TPS61029DRCT/page-1", "TPS61029DRCT")</f>
        <v>TPS61029DRCT</v>
      </c>
      <c r="B22203" s="3" t="s">
        <v>90</v>
      </c>
      <c r="C22203" s="5">
        <v>250</v>
      </c>
      <c r="D22203" s="6">
        <v>5.16</v>
      </c>
    </row>
    <row r="22204" spans="1:4" x14ac:dyDescent="0.25">
      <c r="A22204" t="str">
        <f>HYPERLINK("https://www.773grp.com/globalSearch/TPS61325YFFT/page-1", "TPS61325YFFT")</f>
        <v>TPS61325YFFT</v>
      </c>
      <c r="B22204" s="3" t="s">
        <v>90</v>
      </c>
      <c r="C22204" s="5">
        <v>194</v>
      </c>
      <c r="D22204" s="6">
        <v>5.16</v>
      </c>
    </row>
    <row r="22205" spans="1:4" x14ac:dyDescent="0.25">
      <c r="A22205" t="str">
        <f>HYPERLINK("https://www.773grp.com/globalSearch/TPS62060DSGT/page-1", "TPS62060DSGT")</f>
        <v>TPS62060DSGT</v>
      </c>
      <c r="B22205" s="3" t="s">
        <v>90</v>
      </c>
      <c r="C22205" s="5">
        <v>8550</v>
      </c>
      <c r="D22205" s="6">
        <v>5.16</v>
      </c>
    </row>
    <row r="22206" spans="1:4" x14ac:dyDescent="0.25">
      <c r="A22206" t="str">
        <f>HYPERLINK("https://www.773grp.com/globalSearch/TPS62061DSGT/page-1", "TPS62061DSGT")</f>
        <v>TPS62061DSGT</v>
      </c>
      <c r="B22206" s="3" t="s">
        <v>90</v>
      </c>
      <c r="C22206" s="5">
        <v>18100</v>
      </c>
      <c r="D22206" s="6">
        <v>5.16</v>
      </c>
    </row>
    <row r="22207" spans="1:4" x14ac:dyDescent="0.25">
      <c r="A22207" t="str">
        <f>HYPERLINK("https://www.773grp.com/globalSearch/TPS62063DSGT/page-1", "TPS62063DSGT")</f>
        <v>TPS62063DSGT</v>
      </c>
      <c r="B22207" s="3" t="s">
        <v>90</v>
      </c>
      <c r="C22207" s="5">
        <v>550</v>
      </c>
      <c r="D22207" s="6">
        <v>5.16</v>
      </c>
    </row>
    <row r="22208" spans="1:4" x14ac:dyDescent="0.25">
      <c r="A22208" t="str">
        <f>HYPERLINK("https://www.773grp.com/globalSearch/TPS62400DRCT/page-1", "TPS62400DRCT")</f>
        <v>TPS62400DRCT</v>
      </c>
      <c r="B22208" s="3" t="s">
        <v>90</v>
      </c>
      <c r="C22208" s="5">
        <v>2070</v>
      </c>
      <c r="D22208" s="6">
        <v>5.16</v>
      </c>
    </row>
    <row r="22209" spans="1:4" x14ac:dyDescent="0.25">
      <c r="A22209" t="str">
        <f>HYPERLINK("https://www.773grp.com/globalSearch/TPS62660YFFT/page-1", "TPS62660YFFT")</f>
        <v>TPS62660YFFT</v>
      </c>
      <c r="B22209" s="3" t="s">
        <v>90</v>
      </c>
      <c r="C22209" s="5">
        <v>217</v>
      </c>
      <c r="D22209" s="6">
        <v>5.16</v>
      </c>
    </row>
    <row r="22210" spans="1:4" x14ac:dyDescent="0.25">
      <c r="A22210" t="str">
        <f>HYPERLINK("https://www.773grp.com/globalSearch/TRSF3221ECDBR/page-1", "TRSF3221ECDBR")</f>
        <v>TRSF3221ECDBR</v>
      </c>
      <c r="B22210" s="3" t="s">
        <v>90</v>
      </c>
      <c r="C22210" s="5">
        <v>1965</v>
      </c>
      <c r="D22210" s="6">
        <v>5.16</v>
      </c>
    </row>
    <row r="22211" spans="1:4" x14ac:dyDescent="0.25">
      <c r="A22211" t="str">
        <f>HYPERLINK("https://www.773grp.com/globalSearch/TSL261/page-1", "TSL261")</f>
        <v>TSL261</v>
      </c>
      <c r="B22211" s="3" t="s">
        <v>90</v>
      </c>
      <c r="C22211" s="5">
        <v>12058</v>
      </c>
      <c r="D22211" s="6">
        <v>5.16</v>
      </c>
    </row>
    <row r="22212" spans="1:4" x14ac:dyDescent="0.25">
      <c r="A22212" t="str">
        <f>HYPERLINK("https://www.773grp.com/globalSearch/UC2843AQDRHT/page-1", "UC2843AQDRHT")</f>
        <v>UC2843AQDRHT</v>
      </c>
      <c r="B22212" s="3" t="s">
        <v>90</v>
      </c>
      <c r="C22212" s="5">
        <v>12500</v>
      </c>
      <c r="D22212" s="6">
        <v>5.16</v>
      </c>
    </row>
    <row r="22213" spans="1:4" x14ac:dyDescent="0.25">
      <c r="A22213" t="str">
        <f>HYPERLINK("https://www.773grp.com/globalSearch/UCC27611DRVT/page-1", "UCC27611DRVT")</f>
        <v>UCC27611DRVT</v>
      </c>
      <c r="B22213" s="3" t="s">
        <v>90</v>
      </c>
      <c r="C22213" s="5">
        <v>1000</v>
      </c>
      <c r="D22213" s="6">
        <v>5.16</v>
      </c>
    </row>
    <row r="22214" spans="1:4" x14ac:dyDescent="0.25">
      <c r="A22214" t="str">
        <f>HYPERLINK("https://www.773grp.com/globalSearch/CC110LRTKT/page-1", "CC110LRTKT")</f>
        <v>CC110LRTKT</v>
      </c>
      <c r="B22214" s="3" t="s">
        <v>90</v>
      </c>
      <c r="C22214" s="5">
        <v>250</v>
      </c>
      <c r="D22214" s="6">
        <v>4.6900000000000004</v>
      </c>
    </row>
    <row r="22215" spans="1:4" x14ac:dyDescent="0.25">
      <c r="A22215" t="str">
        <f>HYPERLINK("https://www.773grp.com/globalSearch/SN79571N/page-1", "SN79571N")</f>
        <v>SN79571N</v>
      </c>
      <c r="B22215" s="3" t="s">
        <v>90</v>
      </c>
      <c r="C22215" s="5">
        <v>185</v>
      </c>
      <c r="D22215" s="6">
        <v>4.6900000000000004</v>
      </c>
    </row>
    <row r="22216" spans="1:4" x14ac:dyDescent="0.25">
      <c r="A22216" t="str">
        <f>HYPERLINK("https://www.773grp.com/globalSearch/TCM37C15A1N/page-1", "TCM37C15A1N")</f>
        <v>TCM37C15A1N</v>
      </c>
      <c r="B22216" s="3" t="s">
        <v>90</v>
      </c>
      <c r="C22216" s="5">
        <v>108</v>
      </c>
      <c r="D22216" s="6">
        <v>4.6900000000000004</v>
      </c>
    </row>
    <row r="22217" spans="1:4" x14ac:dyDescent="0.25">
      <c r="A22217" t="str">
        <f>HYPERLINK("https://www.773grp.com/globalSearch/TLC25LSBCP/page-1", "TLC25LSBCP")</f>
        <v>TLC25LSBCP</v>
      </c>
      <c r="B22217" s="3" t="s">
        <v>90</v>
      </c>
      <c r="C22217" s="5">
        <v>2950</v>
      </c>
      <c r="D22217" s="6">
        <v>4.6900000000000004</v>
      </c>
    </row>
    <row r="22218" spans="1:4" x14ac:dyDescent="0.25">
      <c r="A22218" t="str">
        <f>HYPERLINK("https://www.773grp.com/globalSearch/TLC2933AIPWR/page-1", "TLC2933AIPWR")</f>
        <v>TLC2933AIPWR</v>
      </c>
      <c r="B22218" s="3" t="s">
        <v>90</v>
      </c>
      <c r="C22218" s="5">
        <v>7390</v>
      </c>
      <c r="D22218" s="6">
        <v>4.6900000000000004</v>
      </c>
    </row>
    <row r="22219" spans="1:4" x14ac:dyDescent="0.25">
      <c r="A22219" t="str">
        <f>HYPERLINK("https://www.773grp.com/globalSearch/DS91D176TMA-NOPB/page-1", "DS91D176TMA-NOPB")</f>
        <v>DS91D176TMA-NOPB</v>
      </c>
      <c r="B22219" s="3" t="s">
        <v>90</v>
      </c>
      <c r="C22219" s="5">
        <v>60</v>
      </c>
      <c r="D22219" s="6">
        <v>4.7300000000000004</v>
      </c>
    </row>
    <row r="22220" spans="1:4" x14ac:dyDescent="0.25">
      <c r="A22220" t="str">
        <f>HYPERLINK("https://www.773grp.com/globalSearch/LM22674QMR-ADJ-NOPB/page-1", "LM22674QMR-ADJ-NOPB")</f>
        <v>LM22674QMR-ADJ-NOPB</v>
      </c>
      <c r="B22220" s="3" t="s">
        <v>90</v>
      </c>
      <c r="C22220" s="5">
        <v>69</v>
      </c>
      <c r="D22220" s="6">
        <v>4.7300000000000004</v>
      </c>
    </row>
    <row r="22221" spans="1:4" x14ac:dyDescent="0.25">
      <c r="A22221" t="str">
        <f>HYPERLINK("https://www.773grp.com/globalSearch/LP3892EMR-1.5-NOPB/page-1", "LP3892EMR-1.5-NOPB")</f>
        <v>LP3892EMR-1.5-NOPB</v>
      </c>
      <c r="B22221" s="3" t="s">
        <v>90</v>
      </c>
      <c r="C22221" s="5">
        <v>200</v>
      </c>
      <c r="D22221" s="6">
        <v>4.7300000000000004</v>
      </c>
    </row>
    <row r="22222" spans="1:4" x14ac:dyDescent="0.25">
      <c r="A22222" t="str">
        <f>HYPERLINK("https://www.773grp.com/globalSearch/PCA9539PW/page-1", "PCA9539PW")</f>
        <v>PCA9539PW</v>
      </c>
      <c r="B22222" s="3" t="s">
        <v>90</v>
      </c>
      <c r="C22222" s="5">
        <v>2982</v>
      </c>
      <c r="D22222" s="6">
        <v>4.7300000000000004</v>
      </c>
    </row>
    <row r="22223" spans="1:4" x14ac:dyDescent="0.25">
      <c r="A22223" t="str">
        <f>HYPERLINK("https://www.773grp.com/globalSearch/TLV5606IDG4/page-1", "TLV5606IDG4")</f>
        <v>TLV5606IDG4</v>
      </c>
      <c r="B22223" s="3" t="s">
        <v>90</v>
      </c>
      <c r="C22223" s="5">
        <v>75</v>
      </c>
      <c r="D22223" s="6">
        <v>4.7300000000000004</v>
      </c>
    </row>
    <row r="22224" spans="1:4" x14ac:dyDescent="0.25">
      <c r="A22224" t="str">
        <f>HYPERLINK("https://www.773grp.com/globalSearch/TPS54394PWP/page-1", "TPS54394PWP")</f>
        <v>TPS54394PWP</v>
      </c>
      <c r="B22224" s="3" t="s">
        <v>90</v>
      </c>
      <c r="C22224" s="5">
        <v>627</v>
      </c>
      <c r="D22224" s="6">
        <v>4.7300000000000004</v>
      </c>
    </row>
    <row r="22225" spans="1:4" x14ac:dyDescent="0.25">
      <c r="A22225" t="str">
        <f>HYPERLINK("https://www.773grp.com/globalSearch/TPS54395PWP/page-1", "TPS54395PWP")</f>
        <v>TPS54395PWP</v>
      </c>
      <c r="B22225" s="3" t="s">
        <v>90</v>
      </c>
      <c r="C22225" s="5">
        <v>1000</v>
      </c>
      <c r="D22225" s="6">
        <v>4.7300000000000004</v>
      </c>
    </row>
    <row r="22226" spans="1:4" x14ac:dyDescent="0.25">
      <c r="A22226" t="str">
        <f>HYPERLINK("https://www.773grp.com/globalSearch/AMC6821SDBQR/page-1", "AMC6821SDBQR")</f>
        <v>AMC6821SDBQR</v>
      </c>
      <c r="B22226" s="3" t="s">
        <v>90</v>
      </c>
      <c r="C22226" s="5">
        <v>4950</v>
      </c>
      <c r="D22226" s="6">
        <v>5.21</v>
      </c>
    </row>
    <row r="22227" spans="1:4" x14ac:dyDescent="0.25">
      <c r="A22227" t="str">
        <f>HYPERLINK("https://www.773grp.com/globalSearch/BQ76925PWR/page-1", "BQ76925PWR")</f>
        <v>BQ76925PWR</v>
      </c>
      <c r="B22227" s="3" t="s">
        <v>90</v>
      </c>
      <c r="C22227" s="5">
        <v>40000</v>
      </c>
      <c r="D22227" s="6">
        <v>5.21</v>
      </c>
    </row>
    <row r="22228" spans="1:4" x14ac:dyDescent="0.25">
      <c r="A22228" t="str">
        <f>HYPERLINK("https://www.773grp.com/globalSearch/BQ76925RGER/page-1", "BQ76925RGER")</f>
        <v>BQ76925RGER</v>
      </c>
      <c r="B22228" s="3" t="s">
        <v>90</v>
      </c>
      <c r="C22228" s="5">
        <v>1268</v>
      </c>
      <c r="D22228" s="6">
        <v>5.21</v>
      </c>
    </row>
    <row r="22229" spans="1:4" x14ac:dyDescent="0.25">
      <c r="A22229" t="str">
        <f>HYPERLINK("https://www.773grp.com/globalSearch/INA220AIDGSR/page-1", "INA220AIDGSR")</f>
        <v>INA220AIDGSR</v>
      </c>
      <c r="B22229" s="3" t="s">
        <v>90</v>
      </c>
      <c r="C22229" s="5">
        <v>815</v>
      </c>
      <c r="D22229" s="6">
        <v>5.21</v>
      </c>
    </row>
    <row r="22230" spans="1:4" x14ac:dyDescent="0.25">
      <c r="A22230" t="str">
        <f>HYPERLINK("https://www.773grp.com/globalSearch/INA220AIDR/page-1", "INA220AIDR")</f>
        <v>INA220AIDR</v>
      </c>
      <c r="B22230" s="3" t="s">
        <v>90</v>
      </c>
      <c r="C22230" s="5">
        <v>5000</v>
      </c>
      <c r="D22230" s="6">
        <v>5.21</v>
      </c>
    </row>
    <row r="22231" spans="1:4" x14ac:dyDescent="0.25">
      <c r="A22231" t="str">
        <f>HYPERLINK("https://www.773grp.com/globalSearch/LM2575MX-5.0-NOPB/page-1", "LM2575MX-5.0-NOPB")</f>
        <v>LM2575MX-5.0-NOPB</v>
      </c>
      <c r="B22231" s="3" t="s">
        <v>90</v>
      </c>
      <c r="C22231" s="5">
        <v>1000</v>
      </c>
      <c r="D22231" s="6">
        <v>5.21</v>
      </c>
    </row>
    <row r="22232" spans="1:4" x14ac:dyDescent="0.25">
      <c r="A22232" t="str">
        <f>HYPERLINK("https://www.773grp.com/globalSearch/LM2831ZMF-NOPB/page-1", "LM2831ZMF-NOPB")</f>
        <v>LM2831ZMF-NOPB</v>
      </c>
      <c r="B22232" s="3" t="s">
        <v>90</v>
      </c>
      <c r="C22232" s="5">
        <v>37</v>
      </c>
      <c r="D22232" s="6">
        <v>5.21</v>
      </c>
    </row>
    <row r="22233" spans="1:4" x14ac:dyDescent="0.25">
      <c r="A22233" t="str">
        <f>HYPERLINK("https://www.773grp.com/globalSearch/LMH6646MMX-NOPB/page-1", "LMH6646MMX-NOPB")</f>
        <v>LMH6646MMX-NOPB</v>
      </c>
      <c r="B22233" s="3" t="s">
        <v>90</v>
      </c>
      <c r="C22233" s="5">
        <v>3500</v>
      </c>
      <c r="D22233" s="6">
        <v>5.21</v>
      </c>
    </row>
    <row r="22234" spans="1:4" x14ac:dyDescent="0.25">
      <c r="A22234" t="str">
        <f>HYPERLINK("https://www.773grp.com/globalSearch/REF3125AIDBZR/page-1", "REF3125AIDBZR")</f>
        <v>REF3125AIDBZR</v>
      </c>
      <c r="B22234" s="3" t="s">
        <v>90</v>
      </c>
      <c r="C22234" s="5">
        <v>3000</v>
      </c>
      <c r="D22234" s="6">
        <v>5.21</v>
      </c>
    </row>
    <row r="22235" spans="1:4" x14ac:dyDescent="0.25">
      <c r="A22235" t="str">
        <f>HYPERLINK("https://www.773grp.com/globalSearch/SN74AS174NS/page-1", "SN74AS174NS")</f>
        <v>SN74AS174NS</v>
      </c>
      <c r="B22235" s="3" t="s">
        <v>90</v>
      </c>
      <c r="C22235" s="5">
        <v>7000</v>
      </c>
      <c r="D22235" s="6">
        <v>5.21</v>
      </c>
    </row>
    <row r="22236" spans="1:4" x14ac:dyDescent="0.25">
      <c r="A22236" t="str">
        <f>HYPERLINK("https://www.773grp.com/globalSearch/SN74AS20NS/page-1", "SN74AS20NS")</f>
        <v>SN74AS20NS</v>
      </c>
      <c r="B22236" s="3" t="s">
        <v>90</v>
      </c>
      <c r="C22236" s="5">
        <v>14300</v>
      </c>
      <c r="D22236" s="6">
        <v>5.21</v>
      </c>
    </row>
    <row r="22237" spans="1:4" x14ac:dyDescent="0.25">
      <c r="A22237" t="str">
        <f>HYPERLINK("https://www.773grp.com/globalSearch/THS7360IPWR/page-1", "THS7360IPWR")</f>
        <v>THS7360IPWR</v>
      </c>
      <c r="B22237" s="3" t="s">
        <v>90</v>
      </c>
      <c r="C22237" s="5">
        <v>4775</v>
      </c>
      <c r="D22237" s="6">
        <v>5.21</v>
      </c>
    </row>
    <row r="22238" spans="1:4" x14ac:dyDescent="0.25">
      <c r="A22238" t="str">
        <f>HYPERLINK("https://www.773grp.com/globalSearch/TPA3113D2PWP/page-1", "TPA3113D2PWP")</f>
        <v>TPA3113D2PWP</v>
      </c>
      <c r="B22238" s="3" t="s">
        <v>90</v>
      </c>
      <c r="C22238" s="5">
        <v>7700</v>
      </c>
      <c r="D22238" s="6">
        <v>5.21</v>
      </c>
    </row>
    <row r="22239" spans="1:4" x14ac:dyDescent="0.25">
      <c r="A22239" t="str">
        <f>HYPERLINK("https://www.773grp.com/globalSearch/TPS3705-33DG4/page-1", "TPS3705-33DG4")</f>
        <v>TPS3705-33DG4</v>
      </c>
      <c r="B22239" s="3" t="s">
        <v>90</v>
      </c>
      <c r="C22239" s="5">
        <v>75</v>
      </c>
      <c r="D22239" s="6">
        <v>5.21</v>
      </c>
    </row>
    <row r="22240" spans="1:4" x14ac:dyDescent="0.25">
      <c r="A22240" t="str">
        <f>HYPERLINK("https://www.773grp.com/globalSearch/TPS40007DGQR/page-1", "TPS40007DGQR")</f>
        <v>TPS40007DGQR</v>
      </c>
      <c r="B22240" s="3" t="s">
        <v>90</v>
      </c>
      <c r="C22240" s="5">
        <v>1500</v>
      </c>
      <c r="D22240" s="6">
        <v>5.21</v>
      </c>
    </row>
    <row r="22241" spans="1:4" x14ac:dyDescent="0.25">
      <c r="A22241" t="str">
        <f>HYPERLINK("https://www.773grp.com/globalSearch/TPS55010RTER/page-1", "TPS55010RTER")</f>
        <v>TPS55010RTER</v>
      </c>
      <c r="B22241" s="3" t="s">
        <v>90</v>
      </c>
      <c r="C22241" s="5">
        <v>12000</v>
      </c>
      <c r="D22241" s="6">
        <v>5.21</v>
      </c>
    </row>
    <row r="22242" spans="1:4" x14ac:dyDescent="0.25">
      <c r="A22242" t="str">
        <f>HYPERLINK("https://www.773grp.com/globalSearch/TRF7901PW/page-1", "TRF7901PW")</f>
        <v>TRF7901PW</v>
      </c>
      <c r="B22242" s="3" t="s">
        <v>90</v>
      </c>
      <c r="C22242" s="5">
        <v>24000</v>
      </c>
      <c r="D22242" s="6">
        <v>5.21</v>
      </c>
    </row>
    <row r="22243" spans="1:4" x14ac:dyDescent="0.25">
      <c r="A22243" t="str">
        <f>HYPERLINK("https://www.773grp.com/globalSearch/TRF7903PW/page-1", "TRF7903PW")</f>
        <v>TRF7903PW</v>
      </c>
      <c r="B22243" s="3" t="s">
        <v>90</v>
      </c>
      <c r="C22243" s="5">
        <v>4240</v>
      </c>
      <c r="D22243" s="6">
        <v>5.21</v>
      </c>
    </row>
    <row r="22244" spans="1:4" x14ac:dyDescent="0.25">
      <c r="A22244" t="str">
        <f>HYPERLINK("https://www.773grp.com/globalSearch/TRS3318IPWR/page-1", "TRS3318IPWR")</f>
        <v>TRS3318IPWR</v>
      </c>
      <c r="B22244" s="3" t="s">
        <v>90</v>
      </c>
      <c r="C22244" s="5">
        <v>10000</v>
      </c>
      <c r="D22244" s="6">
        <v>5.21</v>
      </c>
    </row>
    <row r="22245" spans="1:4" x14ac:dyDescent="0.25">
      <c r="A22245" t="str">
        <f>HYPERLINK("https://www.773grp.com/globalSearch/UCC3813PWTR-0/page-1", "UCC3813PWTR-0")</f>
        <v>UCC3813PWTR-0</v>
      </c>
      <c r="B22245" s="3" t="s">
        <v>90</v>
      </c>
      <c r="C22245" s="5">
        <v>4000</v>
      </c>
      <c r="D22245" s="6">
        <v>5.21</v>
      </c>
    </row>
    <row r="22246" spans="1:4" x14ac:dyDescent="0.25">
      <c r="A22246" t="str">
        <f>HYPERLINK("https://www.773grp.com/globalSearch/UCC3813PWTR-3/page-1", "UCC3813PWTR-3")</f>
        <v>UCC3813PWTR-3</v>
      </c>
      <c r="B22246" s="3" t="s">
        <v>90</v>
      </c>
      <c r="C22246" s="5">
        <v>20000</v>
      </c>
      <c r="D22246" s="6">
        <v>5.21</v>
      </c>
    </row>
    <row r="22247" spans="1:4" x14ac:dyDescent="0.25">
      <c r="A22247" t="str">
        <f>HYPERLINK("https://www.773grp.com/globalSearch/DS96174CN-NOPB/page-1", "DS96174CN-NOPB")</f>
        <v>DS96174CN-NOPB</v>
      </c>
      <c r="B22247" s="3" t="s">
        <v>90</v>
      </c>
      <c r="C22247" s="5">
        <v>2900</v>
      </c>
      <c r="D22247" s="6">
        <v>4.76</v>
      </c>
    </row>
    <row r="22248" spans="1:4" x14ac:dyDescent="0.25">
      <c r="A22248" t="str">
        <f>HYPERLINK("https://www.773grp.com/globalSearch/LMH6722MT-NOPB/page-1", "LMH6722MT-NOPB")</f>
        <v>LMH6722MT-NOPB</v>
      </c>
      <c r="B22248" s="3" t="s">
        <v>90</v>
      </c>
      <c r="C22248" s="5">
        <v>381</v>
      </c>
      <c r="D22248" s="6">
        <v>4.76</v>
      </c>
    </row>
    <row r="22249" spans="1:4" x14ac:dyDescent="0.25">
      <c r="A22249" t="str">
        <f>HYPERLINK("https://www.773grp.com/globalSearch/LMH6722MT-NOPB/page-1", "LMH6722MT-NOPB")</f>
        <v>LMH6722MT-NOPB</v>
      </c>
      <c r="B22249" s="3" t="s">
        <v>90</v>
      </c>
      <c r="C22249" s="5">
        <v>5</v>
      </c>
      <c r="D22249" s="6">
        <v>4.76</v>
      </c>
    </row>
    <row r="22250" spans="1:4" x14ac:dyDescent="0.25">
      <c r="A22250" t="str">
        <f>HYPERLINK("https://www.773grp.com/globalSearch/SN74HC94N/page-1", "SN74HC94N")</f>
        <v>SN74HC94N</v>
      </c>
      <c r="B22250" s="3" t="s">
        <v>90</v>
      </c>
      <c r="C22250" s="5">
        <v>1000</v>
      </c>
      <c r="D22250" s="6">
        <v>4.76</v>
      </c>
    </row>
    <row r="22251" spans="1:4" x14ac:dyDescent="0.25">
      <c r="A22251" t="str">
        <f>HYPERLINK("https://www.773grp.com/globalSearch/TLC5922DAP/page-1", "TLC5922DAP")</f>
        <v>TLC5922DAP</v>
      </c>
      <c r="B22251" s="3" t="s">
        <v>90</v>
      </c>
      <c r="C22251" s="5">
        <v>5</v>
      </c>
      <c r="D22251" s="6">
        <v>4.76</v>
      </c>
    </row>
    <row r="22252" spans="1:4" x14ac:dyDescent="0.25">
      <c r="A22252" t="str">
        <f>HYPERLINK("https://www.773grp.com/globalSearch/UCC2946D/page-1", "UCC2946D")</f>
        <v>UCC2946D</v>
      </c>
      <c r="B22252" s="3" t="s">
        <v>90</v>
      </c>
      <c r="C22252" s="5">
        <v>28200</v>
      </c>
      <c r="D22252" s="6">
        <v>4.76</v>
      </c>
    </row>
    <row r="22253" spans="1:4" x14ac:dyDescent="0.25">
      <c r="A22253" t="str">
        <f>HYPERLINK("https://www.773grp.com/globalSearch/ADC102S101CIMM-NOPB/page-1", "ADC102S101CIMM-NOPB")</f>
        <v>ADC102S101CIMM-NOPB</v>
      </c>
      <c r="B22253" s="3" t="s">
        <v>90</v>
      </c>
      <c r="C22253" s="5">
        <v>363</v>
      </c>
      <c r="D22253" s="6">
        <v>4.78</v>
      </c>
    </row>
    <row r="22254" spans="1:4" x14ac:dyDescent="0.25">
      <c r="A22254" t="str">
        <f>HYPERLINK("https://www.773grp.com/globalSearch/BQ24170RGYR/page-1", "BQ24170RGYR")</f>
        <v>BQ24170RGYR</v>
      </c>
      <c r="B22254" s="3" t="s">
        <v>90</v>
      </c>
      <c r="C22254" s="5">
        <v>3000</v>
      </c>
      <c r="D22254" s="6">
        <v>4.78</v>
      </c>
    </row>
    <row r="22255" spans="1:4" x14ac:dyDescent="0.25">
      <c r="A22255" t="str">
        <f>HYPERLINK("https://www.773grp.com/globalSearch/BQ24172RGYR/page-1", "BQ24172RGYR")</f>
        <v>BQ24172RGYR</v>
      </c>
      <c r="B22255" s="3" t="s">
        <v>90</v>
      </c>
      <c r="C22255" s="5">
        <v>2016</v>
      </c>
      <c r="D22255" s="6">
        <v>4.78</v>
      </c>
    </row>
    <row r="22256" spans="1:4" x14ac:dyDescent="0.25">
      <c r="A22256" t="str">
        <f>HYPERLINK("https://www.773grp.com/globalSearch/DAC7512N-250/page-1", "DAC7512N-250")</f>
        <v>DAC7512N-250</v>
      </c>
      <c r="B22256" s="3" t="s">
        <v>90</v>
      </c>
      <c r="C22256" s="5">
        <v>250</v>
      </c>
      <c r="D22256" s="6">
        <v>4.78</v>
      </c>
    </row>
    <row r="22257" spans="1:4" x14ac:dyDescent="0.25">
      <c r="A22257" t="str">
        <f>HYPERLINK("https://www.773grp.com/globalSearch/INA146UA-2K5/page-1", "INA146UA-2K5")</f>
        <v>INA146UA-2K5</v>
      </c>
      <c r="B22257" s="3" t="s">
        <v>90</v>
      </c>
      <c r="C22257" s="5">
        <v>25000</v>
      </c>
      <c r="D22257" s="6">
        <v>4.78</v>
      </c>
    </row>
    <row r="22258" spans="1:4" x14ac:dyDescent="0.25">
      <c r="A22258" t="str">
        <f>HYPERLINK("https://www.773grp.com/globalSearch/ISO7231CDW/page-1", "ISO7231CDW")</f>
        <v>ISO7231CDW</v>
      </c>
      <c r="B22258" s="3" t="s">
        <v>90</v>
      </c>
      <c r="C22258" s="5">
        <v>75</v>
      </c>
      <c r="D22258" s="6">
        <v>4.78</v>
      </c>
    </row>
    <row r="22259" spans="1:4" x14ac:dyDescent="0.25">
      <c r="A22259" t="str">
        <f>HYPERLINK("https://www.773grp.com/globalSearch/ISO7231CDWG4/page-1", "ISO7231CDWG4")</f>
        <v>ISO7231CDWG4</v>
      </c>
      <c r="B22259" s="3" t="s">
        <v>90</v>
      </c>
      <c r="C22259" s="5">
        <v>80</v>
      </c>
      <c r="D22259" s="6">
        <v>4.78</v>
      </c>
    </row>
    <row r="22260" spans="1:4" x14ac:dyDescent="0.25">
      <c r="A22260" t="str">
        <f>HYPERLINK("https://www.773grp.com/globalSearch/LM25116MHX-NOPB/page-1", "LM25116MHX-NOPB")</f>
        <v>LM25116MHX-NOPB</v>
      </c>
      <c r="B22260" s="3" t="s">
        <v>90</v>
      </c>
      <c r="C22260" s="5">
        <v>5000</v>
      </c>
      <c r="D22260" s="6">
        <v>4.78</v>
      </c>
    </row>
    <row r="22261" spans="1:4" x14ac:dyDescent="0.25">
      <c r="A22261" t="str">
        <f>HYPERLINK("https://www.773grp.com/globalSearch/LM2598T-ADJ-NOPB/page-1", "LM2598T-ADJ-NOPB")</f>
        <v>LM2598T-ADJ-NOPB</v>
      </c>
      <c r="B22261" s="3" t="s">
        <v>90</v>
      </c>
      <c r="C22261" s="5">
        <v>79</v>
      </c>
      <c r="D22261" s="6">
        <v>4.78</v>
      </c>
    </row>
    <row r="22262" spans="1:4" x14ac:dyDescent="0.25">
      <c r="A22262" t="str">
        <f>HYPERLINK("https://www.773grp.com/globalSearch/LM4030AMF-2.5-NOPB/page-1", "LM4030AMF-2.5-NOPB")</f>
        <v>LM4030AMF-2.5-NOPB</v>
      </c>
      <c r="B22262" s="3" t="s">
        <v>90</v>
      </c>
      <c r="C22262" s="5">
        <v>85</v>
      </c>
      <c r="D22262" s="6">
        <v>4.78</v>
      </c>
    </row>
    <row r="22263" spans="1:4" x14ac:dyDescent="0.25">
      <c r="A22263" t="str">
        <f>HYPERLINK("https://www.773grp.com/globalSearch/LM81BIMTX-3-NOPB/page-1", "LM81BIMTX-3-NOPB")</f>
        <v>LM81BIMTX-3-NOPB</v>
      </c>
      <c r="B22263" s="3" t="s">
        <v>90</v>
      </c>
      <c r="C22263" s="5">
        <v>5000</v>
      </c>
      <c r="D22263" s="6">
        <v>4.78</v>
      </c>
    </row>
    <row r="22264" spans="1:4" x14ac:dyDescent="0.25">
      <c r="A22264" t="str">
        <f>HYPERLINK("https://www.773grp.com/globalSearch/MSP430F5172IDAR/page-1", "MSP430F5172IDAR")</f>
        <v>MSP430F5172IDAR</v>
      </c>
      <c r="B22264" s="3" t="s">
        <v>90</v>
      </c>
      <c r="C22264" s="5">
        <v>2000</v>
      </c>
      <c r="D22264" s="6">
        <v>4.78</v>
      </c>
    </row>
    <row r="22265" spans="1:4" x14ac:dyDescent="0.25">
      <c r="A22265" t="str">
        <f>HYPERLINK("https://www.773grp.com/globalSearch/MSP430F5172IRSBR/page-1", "MSP430F5172IRSBR")</f>
        <v>MSP430F5172IRSBR</v>
      </c>
      <c r="B22265" s="3" t="s">
        <v>90</v>
      </c>
      <c r="C22265" s="5">
        <v>492</v>
      </c>
      <c r="D22265" s="6">
        <v>4.78</v>
      </c>
    </row>
    <row r="22266" spans="1:4" x14ac:dyDescent="0.25">
      <c r="A22266" t="str">
        <f>HYPERLINK("https://www.773grp.com/globalSearch/MSP430F5504IRGZR/page-1", "MSP430F5504IRGZR")</f>
        <v>MSP430F5504IRGZR</v>
      </c>
      <c r="B22266" s="3" t="s">
        <v>90</v>
      </c>
      <c r="C22266" s="5">
        <v>2488</v>
      </c>
      <c r="D22266" s="6">
        <v>4.78</v>
      </c>
    </row>
    <row r="22267" spans="1:4" x14ac:dyDescent="0.25">
      <c r="A22267" t="str">
        <f>HYPERLINK("https://www.773grp.com/globalSearch/OPA2353UA-2K5/page-1", "OPA2353UA-2K5")</f>
        <v>OPA2353UA-2K5</v>
      </c>
      <c r="B22267" s="3" t="s">
        <v>90</v>
      </c>
      <c r="C22267" s="5">
        <v>2500</v>
      </c>
      <c r="D22267" s="6">
        <v>4.78</v>
      </c>
    </row>
    <row r="22268" spans="1:4" x14ac:dyDescent="0.25">
      <c r="A22268" t="str">
        <f>HYPERLINK("https://www.773grp.com/globalSearch/OPA2725AIDGKR/page-1", "OPA2725AIDGKR")</f>
        <v>OPA2725AIDGKR</v>
      </c>
      <c r="B22268" s="3" t="s">
        <v>90</v>
      </c>
      <c r="C22268" s="5">
        <v>5000</v>
      </c>
      <c r="D22268" s="6">
        <v>4.78</v>
      </c>
    </row>
    <row r="22269" spans="1:4" x14ac:dyDescent="0.25">
      <c r="A22269" t="str">
        <f>HYPERLINK("https://www.773grp.com/globalSearch/OPA4342EA/page-1", "OPA4342EA")</f>
        <v>OPA4342EA</v>
      </c>
      <c r="B22269" s="3" t="s">
        <v>90</v>
      </c>
      <c r="C22269" s="5">
        <v>32</v>
      </c>
      <c r="D22269" s="6">
        <v>4.78</v>
      </c>
    </row>
    <row r="22270" spans="1:4" x14ac:dyDescent="0.25">
      <c r="A22270" t="str">
        <f>HYPERLINK("https://www.773grp.com/globalSearch/OPA4727AIPW/page-1", "OPA4727AIPW")</f>
        <v>OPA4727AIPW</v>
      </c>
      <c r="B22270" s="3" t="s">
        <v>90</v>
      </c>
      <c r="C22270" s="5">
        <v>62</v>
      </c>
      <c r="D22270" s="6">
        <v>4.78</v>
      </c>
    </row>
    <row r="22271" spans="1:4" x14ac:dyDescent="0.25">
      <c r="A22271" t="str">
        <f>HYPERLINK("https://www.773grp.com/globalSearch/SN65HVD11D/page-1", "SN65HVD11D")</f>
        <v>SN65HVD11D</v>
      </c>
      <c r="B22271" s="3" t="s">
        <v>90</v>
      </c>
      <c r="C22271" s="5">
        <v>1410</v>
      </c>
      <c r="D22271" s="6">
        <v>4.78</v>
      </c>
    </row>
    <row r="22272" spans="1:4" x14ac:dyDescent="0.25">
      <c r="A22272" t="str">
        <f>HYPERLINK("https://www.773grp.com/globalSearch/SN65HVD11DG4/page-1", "SN65HVD11DG4")</f>
        <v>SN65HVD11DG4</v>
      </c>
      <c r="B22272" s="3" t="s">
        <v>90</v>
      </c>
      <c r="C22272" s="5">
        <v>88</v>
      </c>
      <c r="D22272" s="6">
        <v>4.78</v>
      </c>
    </row>
    <row r="22273" spans="1:4" x14ac:dyDescent="0.25">
      <c r="A22273" t="str">
        <f>HYPERLINK("https://www.773grp.com/globalSearch/SN65HVD51DR/page-1", "SN65HVD51DR")</f>
        <v>SN65HVD51DR</v>
      </c>
      <c r="B22273" s="3" t="s">
        <v>90</v>
      </c>
      <c r="C22273" s="5">
        <v>2500</v>
      </c>
      <c r="D22273" s="6">
        <v>4.78</v>
      </c>
    </row>
    <row r="22274" spans="1:4" x14ac:dyDescent="0.25">
      <c r="A22274" t="str">
        <f>HYPERLINK("https://www.773grp.com/globalSearch/SN65MLVD206D/page-1", "SN65MLVD206D")</f>
        <v>SN65MLVD206D</v>
      </c>
      <c r="B22274" s="3" t="s">
        <v>90</v>
      </c>
      <c r="C22274" s="5">
        <v>6</v>
      </c>
      <c r="D22274" s="6">
        <v>4.78</v>
      </c>
    </row>
    <row r="22275" spans="1:4" x14ac:dyDescent="0.25">
      <c r="A22275" t="str">
        <f>HYPERLINK("https://www.773grp.com/globalSearch/SN74ALS520NS/page-1", "SN74ALS520NS")</f>
        <v>SN74ALS520NS</v>
      </c>
      <c r="B22275" s="3" t="s">
        <v>90</v>
      </c>
      <c r="C22275" s="5">
        <v>6040</v>
      </c>
      <c r="D22275" s="6">
        <v>4.78</v>
      </c>
    </row>
    <row r="22276" spans="1:4" x14ac:dyDescent="0.25">
      <c r="A22276" t="str">
        <f>HYPERLINK("https://www.773grp.com/globalSearch/THS6226IRHBT/page-1", "THS6226IRHBT")</f>
        <v>THS6226IRHBT</v>
      </c>
      <c r="B22276" s="3" t="s">
        <v>90</v>
      </c>
      <c r="C22276" s="5">
        <v>927</v>
      </c>
      <c r="D22276" s="6">
        <v>4.78</v>
      </c>
    </row>
    <row r="22277" spans="1:4" x14ac:dyDescent="0.25">
      <c r="A22277" t="str">
        <f>HYPERLINK("https://www.773grp.com/globalSearch/TLC4501IDR/page-1", "TLC4501IDR")</f>
        <v>TLC4501IDR</v>
      </c>
      <c r="B22277" s="3" t="s">
        <v>90</v>
      </c>
      <c r="C22277" s="5">
        <v>1400</v>
      </c>
      <c r="D22277" s="6">
        <v>4.78</v>
      </c>
    </row>
    <row r="22278" spans="1:4" x14ac:dyDescent="0.25">
      <c r="A22278" t="str">
        <f>HYPERLINK("https://www.773grp.com/globalSearch/TLE2142AID/page-1", "TLE2142AID")</f>
        <v>TLE2142AID</v>
      </c>
      <c r="B22278" s="3" t="s">
        <v>90</v>
      </c>
      <c r="C22278" s="5">
        <v>1128</v>
      </c>
      <c r="D22278" s="6">
        <v>4.78</v>
      </c>
    </row>
    <row r="22279" spans="1:4" x14ac:dyDescent="0.25">
      <c r="A22279" t="str">
        <f>HYPERLINK("https://www.773grp.com/globalSearch/TLE2142AMD/page-1", "TLE2142AMD")</f>
        <v>TLE2142AMD</v>
      </c>
      <c r="B22279" s="3" t="s">
        <v>90</v>
      </c>
      <c r="C22279" s="5">
        <v>11257</v>
      </c>
      <c r="D22279" s="6">
        <v>4.78</v>
      </c>
    </row>
    <row r="22280" spans="1:4" x14ac:dyDescent="0.25">
      <c r="A22280" t="str">
        <f>HYPERLINK("https://www.773grp.com/globalSearch/TLE2142AMDG4/page-1", "TLE2142AMDG4")</f>
        <v>TLE2142AMDG4</v>
      </c>
      <c r="B22280" s="3" t="s">
        <v>90</v>
      </c>
      <c r="C22280" s="5">
        <v>3600</v>
      </c>
      <c r="D22280" s="6">
        <v>4.78</v>
      </c>
    </row>
    <row r="22281" spans="1:4" x14ac:dyDescent="0.25">
      <c r="A22281" t="str">
        <f>HYPERLINK("https://www.773grp.com/globalSearch/TLE2142AMDRG4/page-1", "TLE2142AMDRG4")</f>
        <v>TLE2142AMDRG4</v>
      </c>
      <c r="B22281" s="3" t="s">
        <v>90</v>
      </c>
      <c r="C22281" s="5">
        <v>2500</v>
      </c>
      <c r="D22281" s="6">
        <v>4.78</v>
      </c>
    </row>
    <row r="22282" spans="1:4" x14ac:dyDescent="0.25">
      <c r="A22282" t="str">
        <f>HYPERLINK("https://www.773grp.com/globalSearch/TLV3502AIDCNT/page-1", "TLV3502AIDCNT")</f>
        <v>TLV3502AIDCNT</v>
      </c>
      <c r="B22282" s="3" t="s">
        <v>90</v>
      </c>
      <c r="C22282" s="5">
        <v>2915</v>
      </c>
      <c r="D22282" s="6">
        <v>4.78</v>
      </c>
    </row>
    <row r="22283" spans="1:4" x14ac:dyDescent="0.25">
      <c r="A22283" t="str">
        <f>HYPERLINK("https://www.773grp.com/globalSearch/TPS51518RUKT/page-1", "TPS51518RUKT")</f>
        <v>TPS51518RUKT</v>
      </c>
      <c r="B22283" s="3" t="s">
        <v>90</v>
      </c>
      <c r="C22283" s="5">
        <v>223</v>
      </c>
      <c r="D22283" s="6">
        <v>4.78</v>
      </c>
    </row>
    <row r="22284" spans="1:4" x14ac:dyDescent="0.25">
      <c r="A22284" t="str">
        <f>HYPERLINK("https://www.773grp.com/globalSearch/TPS5420DR/page-1", "TPS5420DR")</f>
        <v>TPS5420DR</v>
      </c>
      <c r="B22284" s="3" t="s">
        <v>90</v>
      </c>
      <c r="C22284" s="5">
        <v>2803</v>
      </c>
      <c r="D22284" s="6">
        <v>4.78</v>
      </c>
    </row>
    <row r="22285" spans="1:4" x14ac:dyDescent="0.25">
      <c r="A22285" t="str">
        <f>HYPERLINK("https://www.773grp.com/globalSearch/TPS61301YFFR/page-1", "TPS61301YFFR")</f>
        <v>TPS61301YFFR</v>
      </c>
      <c r="B22285" s="3" t="s">
        <v>90</v>
      </c>
      <c r="C22285" s="5">
        <v>14151</v>
      </c>
      <c r="D22285" s="6">
        <v>4.78</v>
      </c>
    </row>
    <row r="22286" spans="1:4" x14ac:dyDescent="0.25">
      <c r="A22286" t="str">
        <f>HYPERLINK("https://www.773grp.com/globalSearch/TPS650061RUKR/page-1", "TPS650061RUKR")</f>
        <v>TPS650061RUKR</v>
      </c>
      <c r="B22286" s="3" t="s">
        <v>90</v>
      </c>
      <c r="C22286" s="5">
        <v>18</v>
      </c>
      <c r="D22286" s="6">
        <v>4.78</v>
      </c>
    </row>
    <row r="22287" spans="1:4" x14ac:dyDescent="0.25">
      <c r="A22287" t="str">
        <f>HYPERLINK("https://www.773grp.com/globalSearch/TWL6040A2ZQZR/page-1", "TWL6040A2ZQZR")</f>
        <v>TWL6040A2ZQZR</v>
      </c>
      <c r="B22287" s="3" t="s">
        <v>90</v>
      </c>
      <c r="C22287" s="5">
        <v>7500</v>
      </c>
      <c r="D22287" s="6">
        <v>4.78</v>
      </c>
    </row>
    <row r="22288" spans="1:4" x14ac:dyDescent="0.25">
      <c r="A22288" t="str">
        <f>HYPERLINK("https://www.773grp.com/globalSearch/UC2846DWTR/page-1", "UC2846DWTR")</f>
        <v>UC2846DWTR</v>
      </c>
      <c r="B22288" s="3" t="s">
        <v>90</v>
      </c>
      <c r="C22288" s="5">
        <v>2000</v>
      </c>
      <c r="D22288" s="6">
        <v>4.78</v>
      </c>
    </row>
    <row r="22289" spans="1:4" x14ac:dyDescent="0.25">
      <c r="A22289" t="str">
        <f>HYPERLINK("https://www.773grp.com/globalSearch/UC2853DG4/page-1", "UC2853DG4")</f>
        <v>UC2853DG4</v>
      </c>
      <c r="B22289" s="3" t="s">
        <v>90</v>
      </c>
      <c r="C22289" s="5">
        <v>75</v>
      </c>
      <c r="D22289" s="6">
        <v>4.78</v>
      </c>
    </row>
    <row r="22290" spans="1:4" x14ac:dyDescent="0.25">
      <c r="A22290" t="str">
        <f>HYPERLINK("https://www.773grp.com/globalSearch/UCC28250PWR/page-1", "UCC28250PWR")</f>
        <v>UCC28250PWR</v>
      </c>
      <c r="B22290" s="3" t="s">
        <v>90</v>
      </c>
      <c r="C22290" s="5">
        <v>6000</v>
      </c>
      <c r="D22290" s="6">
        <v>4.78</v>
      </c>
    </row>
    <row r="22291" spans="1:4" x14ac:dyDescent="0.25">
      <c r="A22291" t="str">
        <f>HYPERLINK("https://www.773grp.com/globalSearch/UCC28250RGPR/page-1", "UCC28250RGPR")</f>
        <v>UCC28250RGPR</v>
      </c>
      <c r="B22291" s="3" t="s">
        <v>90</v>
      </c>
      <c r="C22291" s="5">
        <v>42000</v>
      </c>
      <c r="D22291" s="6">
        <v>4.78</v>
      </c>
    </row>
    <row r="22292" spans="1:4" x14ac:dyDescent="0.25">
      <c r="A22292" t="str">
        <f>HYPERLINK("https://www.773grp.com/globalSearch/74ALVTH32244ZKER/page-1", "74ALVTH32244ZKER")</f>
        <v>74ALVTH32244ZKER</v>
      </c>
      <c r="B22292" s="3" t="s">
        <v>90</v>
      </c>
      <c r="C22292" s="5">
        <v>5000</v>
      </c>
      <c r="D22292" s="6">
        <v>4.8099999999999996</v>
      </c>
    </row>
    <row r="22293" spans="1:4" x14ac:dyDescent="0.25">
      <c r="A22293" t="str">
        <f>HYPERLINK("https://www.773grp.com/globalSearch/DS90C031TM/page-1", "DS90C031TM")</f>
        <v>DS90C031TM</v>
      </c>
      <c r="B22293" s="3" t="s">
        <v>90</v>
      </c>
      <c r="C22293" s="5">
        <v>300</v>
      </c>
      <c r="D22293" s="6">
        <v>4.8099999999999996</v>
      </c>
    </row>
    <row r="22294" spans="1:4" x14ac:dyDescent="0.25">
      <c r="A22294" t="str">
        <f>HYPERLINK("https://www.773grp.com/globalSearch/LM5113SDE-NOPB/page-1", "LM5113SDE-NOPB")</f>
        <v>LM5113SDE-NOPB</v>
      </c>
      <c r="B22294" s="3" t="s">
        <v>90</v>
      </c>
      <c r="C22294" s="5">
        <v>250</v>
      </c>
      <c r="D22294" s="6">
        <v>4.8099999999999996</v>
      </c>
    </row>
    <row r="22295" spans="1:4" x14ac:dyDescent="0.25">
      <c r="A22295" t="str">
        <f>HYPERLINK("https://www.773grp.com/globalSearch/SN65ALS180DG4/page-1", "SN65ALS180DG4")</f>
        <v>SN65ALS180DG4</v>
      </c>
      <c r="B22295" s="3" t="s">
        <v>90</v>
      </c>
      <c r="C22295" s="5">
        <v>100</v>
      </c>
      <c r="D22295" s="6">
        <v>4.8099999999999996</v>
      </c>
    </row>
    <row r="22296" spans="1:4" x14ac:dyDescent="0.25">
      <c r="A22296" t="str">
        <f>HYPERLINK("https://www.773grp.com/globalSearch/SN65C3243PW/page-1", "SN65C3243PW")</f>
        <v>SN65C3243PW</v>
      </c>
      <c r="B22296" s="3" t="s">
        <v>90</v>
      </c>
      <c r="C22296" s="5">
        <v>90</v>
      </c>
      <c r="D22296" s="6">
        <v>4.8099999999999996</v>
      </c>
    </row>
    <row r="22297" spans="1:4" x14ac:dyDescent="0.25">
      <c r="A22297" t="str">
        <f>HYPERLINK("https://www.773grp.com/globalSearch/SN74ALS299FN/page-1", "SN74ALS299FN")</f>
        <v>SN74ALS299FN</v>
      </c>
      <c r="B22297" s="3" t="s">
        <v>90</v>
      </c>
      <c r="C22297" s="5">
        <v>762</v>
      </c>
      <c r="D22297" s="6">
        <v>4.8099999999999996</v>
      </c>
    </row>
    <row r="22298" spans="1:4" x14ac:dyDescent="0.25">
      <c r="A22298" t="str">
        <f>HYPERLINK("https://www.773grp.com/globalSearch/SN74ALVC16244AGQLR/page-1", "SN74ALVC16244AGQLR")</f>
        <v>SN74ALVC16244AGQLR</v>
      </c>
      <c r="B22298" s="3" t="s">
        <v>90</v>
      </c>
      <c r="C22298" s="5">
        <v>5000</v>
      </c>
      <c r="D22298" s="6">
        <v>4.8099999999999996</v>
      </c>
    </row>
    <row r="22299" spans="1:4" x14ac:dyDescent="0.25">
      <c r="A22299" t="str">
        <f>HYPERLINK("https://www.773grp.com/globalSearch/SN74ALVTH32374KR/page-1", "SN74ALVTH32374KR")</f>
        <v>SN74ALVTH32374KR</v>
      </c>
      <c r="B22299" s="3" t="s">
        <v>90</v>
      </c>
      <c r="C22299" s="5">
        <v>6000</v>
      </c>
      <c r="D22299" s="6">
        <v>4.8099999999999996</v>
      </c>
    </row>
    <row r="22300" spans="1:4" x14ac:dyDescent="0.25">
      <c r="A22300" t="str">
        <f>HYPERLINK("https://www.773grp.com/globalSearch/SN74AS194NSR/page-1", "SN74AS194NSR")</f>
        <v>SN74AS194NSR</v>
      </c>
      <c r="B22300" s="3" t="s">
        <v>90</v>
      </c>
      <c r="C22300" s="5">
        <v>6000</v>
      </c>
      <c r="D22300" s="6">
        <v>4.8099999999999996</v>
      </c>
    </row>
    <row r="22301" spans="1:4" x14ac:dyDescent="0.25">
      <c r="A22301" t="str">
        <f>HYPERLINK("https://www.773grp.com/globalSearch/SN74BCT760NS/page-1", "SN74BCT760NS")</f>
        <v>SN74BCT760NS</v>
      </c>
      <c r="B22301" s="3" t="s">
        <v>90</v>
      </c>
      <c r="C22301" s="5">
        <v>2760</v>
      </c>
      <c r="D22301" s="6">
        <v>4.8099999999999996</v>
      </c>
    </row>
    <row r="22302" spans="1:4" x14ac:dyDescent="0.25">
      <c r="A22302" t="str">
        <f>HYPERLINK("https://www.773grp.com/globalSearch/SN74LS323N3/page-1", "SN74LS323N3")</f>
        <v>SN74LS323N3</v>
      </c>
      <c r="B22302" s="3" t="s">
        <v>90</v>
      </c>
      <c r="C22302" s="5">
        <v>2902</v>
      </c>
      <c r="D22302" s="6">
        <v>4.8099999999999996</v>
      </c>
    </row>
    <row r="22303" spans="1:4" x14ac:dyDescent="0.25">
      <c r="A22303" t="str">
        <f>HYPERLINK("https://www.773grp.com/globalSearch/SN74LVTH62240DGGR/page-1", "SN74LVTH62240DGGR")</f>
        <v>SN74LVTH62240DGGR</v>
      </c>
      <c r="B22303" s="3" t="s">
        <v>90</v>
      </c>
      <c r="C22303" s="5">
        <v>2000</v>
      </c>
      <c r="D22303" s="6">
        <v>4.8099999999999996</v>
      </c>
    </row>
    <row r="22304" spans="1:4" x14ac:dyDescent="0.25">
      <c r="A22304" t="str">
        <f>HYPERLINK("https://www.773grp.com/globalSearch/TPS74001DGKT/page-1", "TPS74001DGKT")</f>
        <v>TPS74001DGKT</v>
      </c>
      <c r="B22304" s="3" t="s">
        <v>90</v>
      </c>
      <c r="C22304" s="5">
        <v>250</v>
      </c>
      <c r="D22304" s="6">
        <v>4.8099999999999996</v>
      </c>
    </row>
    <row r="22305" spans="1:4" x14ac:dyDescent="0.25">
      <c r="A22305" t="str">
        <f>HYPERLINK("https://www.773grp.com/globalSearch/TPS74012DGKT/page-1", "TPS74012DGKT")</f>
        <v>TPS74012DGKT</v>
      </c>
      <c r="B22305" s="3" t="s">
        <v>90</v>
      </c>
      <c r="C22305" s="5">
        <v>1545</v>
      </c>
      <c r="D22305" s="6">
        <v>4.8099999999999996</v>
      </c>
    </row>
    <row r="22306" spans="1:4" x14ac:dyDescent="0.25">
      <c r="A22306" t="str">
        <f>HYPERLINK("https://www.773grp.com/globalSearch/32R1615DR-8PT/page-1", "32R1615DR-8PT")</f>
        <v>32R1615DR-8PT</v>
      </c>
      <c r="B22306" s="3" t="s">
        <v>90</v>
      </c>
      <c r="C22306" s="5">
        <v>29128</v>
      </c>
      <c r="D22306" s="6">
        <v>4.84</v>
      </c>
    </row>
    <row r="22307" spans="1:4" x14ac:dyDescent="0.25">
      <c r="A22307" t="str">
        <f>HYPERLINK("https://www.773grp.com/globalSearch/LM614IWM/page-1", "LM614IWM")</f>
        <v>LM614IWM</v>
      </c>
      <c r="B22307" s="3" t="s">
        <v>90</v>
      </c>
      <c r="C22307" s="5">
        <v>16</v>
      </c>
      <c r="D22307" s="6">
        <v>4.84</v>
      </c>
    </row>
    <row r="22308" spans="1:4" x14ac:dyDescent="0.25">
      <c r="A22308" t="str">
        <f>HYPERLINK("https://www.773grp.com/globalSearch/MSP430F123IRHBR/page-1", "MSP430F123IRHBR")</f>
        <v>MSP430F123IRHBR</v>
      </c>
      <c r="B22308" s="3" t="s">
        <v>90</v>
      </c>
      <c r="C22308" s="5">
        <v>2500</v>
      </c>
      <c r="D22308" s="6">
        <v>4.84</v>
      </c>
    </row>
    <row r="22309" spans="1:4" x14ac:dyDescent="0.25">
      <c r="A22309" t="str">
        <f>HYPERLINK("https://www.773grp.com/globalSearch/LM2734XQMKE-NOPB/page-1", "LM2734XQMKE-NOPB")</f>
        <v>LM2734XQMKE-NOPB</v>
      </c>
      <c r="B22309" s="3" t="s">
        <v>90</v>
      </c>
      <c r="C22309" s="5">
        <v>5</v>
      </c>
      <c r="D22309" s="6">
        <v>4.8600000000000003</v>
      </c>
    </row>
    <row r="22310" spans="1:4" x14ac:dyDescent="0.25">
      <c r="A22310" t="str">
        <f>HYPERLINK("https://www.773grp.com/globalSearch/LMC6953CM-NOPB/page-1", "LMC6953CM-NOPB")</f>
        <v>LMC6953CM-NOPB</v>
      </c>
      <c r="B22310" s="3" t="s">
        <v>90</v>
      </c>
      <c r="C22310" s="5">
        <v>190</v>
      </c>
      <c r="D22310" s="6">
        <v>4.8600000000000003</v>
      </c>
    </row>
    <row r="22311" spans="1:4" x14ac:dyDescent="0.25">
      <c r="A22311" t="str">
        <f>HYPERLINK("https://www.773grp.com/globalSearch/LMR24210TL-NOPB/page-1", "LMR24210TL-NOPB")</f>
        <v>LMR24210TL-NOPB</v>
      </c>
      <c r="B22311" s="3" t="s">
        <v>90</v>
      </c>
      <c r="C22311" s="5">
        <v>250</v>
      </c>
      <c r="D22311" s="6">
        <v>4.8600000000000003</v>
      </c>
    </row>
    <row r="22312" spans="1:4" x14ac:dyDescent="0.25">
      <c r="A22312" t="str">
        <f>HYPERLINK("https://www.773grp.com/globalSearch/OPA2836IRMCT/page-1", "OPA2836IRMCT")</f>
        <v>OPA2836IRMCT</v>
      </c>
      <c r="B22312" s="3" t="s">
        <v>90</v>
      </c>
      <c r="C22312" s="5">
        <v>160</v>
      </c>
      <c r="D22312" s="6">
        <v>4.8600000000000003</v>
      </c>
    </row>
    <row r="22313" spans="1:4" x14ac:dyDescent="0.25">
      <c r="A22313" t="str">
        <f>HYPERLINK("https://www.773grp.com/globalSearch/SN104629DWR/page-1", "SN104629DWR")</f>
        <v>SN104629DWR</v>
      </c>
      <c r="B22313" s="3" t="s">
        <v>90</v>
      </c>
      <c r="C22313" s="5">
        <v>17000</v>
      </c>
      <c r="D22313" s="6">
        <v>4.8600000000000003</v>
      </c>
    </row>
    <row r="22314" spans="1:4" x14ac:dyDescent="0.25">
      <c r="A22314" t="str">
        <f>HYPERLINK("https://www.773grp.com/globalSearch/TPS51916RUKT/page-1", "TPS51916RUKT")</f>
        <v>TPS51916RUKT</v>
      </c>
      <c r="B22314" s="3" t="s">
        <v>90</v>
      </c>
      <c r="C22314" s="5">
        <v>250</v>
      </c>
      <c r="D22314" s="6">
        <v>4.8600000000000003</v>
      </c>
    </row>
    <row r="22315" spans="1:4" x14ac:dyDescent="0.25">
      <c r="A22315" t="str">
        <f>HYPERLINK("https://www.773grp.com/globalSearch/TPS53311RGTT/page-1", "TPS53311RGTT")</f>
        <v>TPS53311RGTT</v>
      </c>
      <c r="B22315" s="3" t="s">
        <v>90</v>
      </c>
      <c r="C22315" s="5">
        <v>510</v>
      </c>
      <c r="D22315" s="6">
        <v>4.8600000000000003</v>
      </c>
    </row>
    <row r="22316" spans="1:4" x14ac:dyDescent="0.25">
      <c r="A22316" t="str">
        <f>HYPERLINK("https://www.773grp.com/globalSearch/TPS54320RHLT/page-1", "TPS54320RHLT")</f>
        <v>TPS54320RHLT</v>
      </c>
      <c r="B22316" s="3" t="s">
        <v>90</v>
      </c>
      <c r="C22316" s="5">
        <v>4264</v>
      </c>
      <c r="D22316" s="6">
        <v>4.8600000000000003</v>
      </c>
    </row>
    <row r="22317" spans="1:4" x14ac:dyDescent="0.25">
      <c r="A22317" t="str">
        <f>HYPERLINK("https://www.773grp.com/globalSearch/TPS54494RSAT/page-1", "TPS54494RSAT")</f>
        <v>TPS54494RSAT</v>
      </c>
      <c r="B22317" s="3" t="s">
        <v>90</v>
      </c>
      <c r="C22317" s="5">
        <v>244</v>
      </c>
      <c r="D22317" s="6">
        <v>4.8600000000000003</v>
      </c>
    </row>
    <row r="22318" spans="1:4" x14ac:dyDescent="0.25">
      <c r="A22318" t="str">
        <f>HYPERLINK("https://www.773grp.com/globalSearch/TPS63060DSCT/page-1", "TPS63060DSCT")</f>
        <v>TPS63060DSCT</v>
      </c>
      <c r="B22318" s="3" t="s">
        <v>90</v>
      </c>
      <c r="C22318" s="5">
        <v>323</v>
      </c>
      <c r="D22318" s="6">
        <v>4.8600000000000003</v>
      </c>
    </row>
    <row r="22319" spans="1:4" x14ac:dyDescent="0.25">
      <c r="A22319" t="str">
        <f>HYPERLINK("https://www.773grp.com/globalSearch/TPS63061DSCT/page-1", "TPS63061DSCT")</f>
        <v>TPS63061DSCT</v>
      </c>
      <c r="B22319" s="3" t="s">
        <v>90</v>
      </c>
      <c r="C22319" s="5">
        <v>250</v>
      </c>
      <c r="D22319" s="6">
        <v>4.8600000000000003</v>
      </c>
    </row>
    <row r="22320" spans="1:4" x14ac:dyDescent="0.25">
      <c r="A22320" t="str">
        <f>HYPERLINK("https://www.773grp.com/globalSearch/TWL6041BYFFT/page-1", "TWL6041BYFFT")</f>
        <v>TWL6041BYFFT</v>
      </c>
      <c r="B22320" s="3" t="s">
        <v>90</v>
      </c>
      <c r="C22320" s="5">
        <v>88</v>
      </c>
      <c r="D22320" s="6">
        <v>4.8600000000000003</v>
      </c>
    </row>
    <row r="22321" spans="1:4" x14ac:dyDescent="0.25">
      <c r="A22321" t="str">
        <f>HYPERLINK("https://www.773grp.com/globalSearch/LM2574HVM-3.3-NOPB/page-1", "LM2574HVM-3.3-NOPB")</f>
        <v>LM2574HVM-3.3-NOPB</v>
      </c>
      <c r="B22321" s="3" t="s">
        <v>90</v>
      </c>
      <c r="C22321" s="5">
        <v>250</v>
      </c>
      <c r="D22321" s="6">
        <v>4.9000000000000004</v>
      </c>
    </row>
    <row r="22322" spans="1:4" x14ac:dyDescent="0.25">
      <c r="A22322" t="str">
        <f>HYPERLINK("https://www.773grp.com/globalSearch/LP3892ES-1.5-NOPB/page-1", "LP3892ES-1.5-NOPB")</f>
        <v>LP3892ES-1.5-NOPB</v>
      </c>
      <c r="B22322" s="3" t="s">
        <v>90</v>
      </c>
      <c r="C22322" s="5">
        <v>315</v>
      </c>
      <c r="D22322" s="6">
        <v>4.9000000000000004</v>
      </c>
    </row>
    <row r="22323" spans="1:4" x14ac:dyDescent="0.25">
      <c r="A22323" t="str">
        <f>HYPERLINK("https://www.773grp.com/globalSearch/OPA4330AIPW/page-1", "OPA4330AIPW")</f>
        <v>OPA4330AIPW</v>
      </c>
      <c r="B22323" s="3" t="s">
        <v>90</v>
      </c>
      <c r="C22323" s="5">
        <v>20</v>
      </c>
      <c r="D22323" s="6">
        <v>4.9000000000000004</v>
      </c>
    </row>
    <row r="22324" spans="1:4" x14ac:dyDescent="0.25">
      <c r="A22324" t="str">
        <f>HYPERLINK("https://www.773grp.com/globalSearch/TPS54240QDGQRQ1/page-1", "TPS54240QDGQRQ1")</f>
        <v>TPS54240QDGQRQ1</v>
      </c>
      <c r="B22324" s="3" t="s">
        <v>90</v>
      </c>
      <c r="C22324" s="5">
        <v>2500</v>
      </c>
      <c r="D22324" s="6">
        <v>4.9000000000000004</v>
      </c>
    </row>
    <row r="22325" spans="1:4" x14ac:dyDescent="0.25">
      <c r="A22325" t="str">
        <f>HYPERLINK("https://www.773grp.com/globalSearch/UCC3946PW/page-1", "UCC3946PW")</f>
        <v>UCC3946PW</v>
      </c>
      <c r="B22325" s="3" t="s">
        <v>90</v>
      </c>
      <c r="C22325" s="5">
        <v>150</v>
      </c>
      <c r="D22325" s="6">
        <v>4.9000000000000004</v>
      </c>
    </row>
    <row r="22326" spans="1:4" x14ac:dyDescent="0.25">
      <c r="A22326" t="str">
        <f>HYPERLINK("https://www.773grp.com/globalSearch/ADS7887SDBVT/page-1", "ADS7887SDBVT")</f>
        <v>ADS7887SDBVT</v>
      </c>
      <c r="B22326" s="3" t="s">
        <v>90</v>
      </c>
      <c r="C22326" s="5">
        <v>10619</v>
      </c>
      <c r="D22326" s="6">
        <v>4.93</v>
      </c>
    </row>
    <row r="22327" spans="1:4" x14ac:dyDescent="0.25">
      <c r="A22327" t="str">
        <f>HYPERLINK("https://www.773grp.com/globalSearch/AFE030AIRGZT/page-1", "AFE030AIRGZT")</f>
        <v>AFE030AIRGZT</v>
      </c>
      <c r="B22327" s="3" t="s">
        <v>90</v>
      </c>
      <c r="C22327" s="5">
        <v>250</v>
      </c>
      <c r="D22327" s="6">
        <v>4.93</v>
      </c>
    </row>
    <row r="22328" spans="1:4" x14ac:dyDescent="0.25">
      <c r="A22328" t="str">
        <f>HYPERLINK("https://www.773grp.com/globalSearch/BQ2000SN-B5G4/page-1", "BQ2000SN-B5G4")</f>
        <v>BQ2000SN-B5G4</v>
      </c>
      <c r="B22328" s="3" t="s">
        <v>90</v>
      </c>
      <c r="C22328" s="5">
        <v>150</v>
      </c>
      <c r="D22328" s="6">
        <v>4.93</v>
      </c>
    </row>
    <row r="22329" spans="1:4" x14ac:dyDescent="0.25">
      <c r="A22329" t="str">
        <f>HYPERLINK("https://www.773grp.com/globalSearch/DAC7512E-250/page-1", "DAC7512E-250")</f>
        <v>DAC7512E-250</v>
      </c>
      <c r="B22329" s="3" t="s">
        <v>90</v>
      </c>
      <c r="C22329" s="5">
        <v>250</v>
      </c>
      <c r="D22329" s="6">
        <v>4.93</v>
      </c>
    </row>
    <row r="22330" spans="1:4" x14ac:dyDescent="0.25">
      <c r="A22330" t="str">
        <f>HYPERLINK("https://www.773grp.com/globalSearch/DP83620SQE-NOPB/page-1", "DP83620SQE-NOPB")</f>
        <v>DP83620SQE-NOPB</v>
      </c>
      <c r="B22330" s="3" t="s">
        <v>90</v>
      </c>
      <c r="C22330" s="5">
        <v>150</v>
      </c>
      <c r="D22330" s="6">
        <v>4.93</v>
      </c>
    </row>
    <row r="22331" spans="1:4" x14ac:dyDescent="0.25">
      <c r="A22331" t="str">
        <f>HYPERLINK("https://www.773grp.com/globalSearch/INA132U/page-1", "INA132U")</f>
        <v>INA132U</v>
      </c>
      <c r="B22331" s="3" t="s">
        <v>90</v>
      </c>
      <c r="C22331" s="5">
        <v>90</v>
      </c>
      <c r="D22331" s="6">
        <v>4.93</v>
      </c>
    </row>
    <row r="22332" spans="1:4" x14ac:dyDescent="0.25">
      <c r="A22332" t="str">
        <f>HYPERLINK("https://www.773grp.com/globalSearch/INA133U/page-1", "INA133U")</f>
        <v>INA133U</v>
      </c>
      <c r="B22332" s="3" t="s">
        <v>90</v>
      </c>
      <c r="C22332" s="5">
        <v>2969</v>
      </c>
      <c r="D22332" s="6">
        <v>4.93</v>
      </c>
    </row>
    <row r="22333" spans="1:4" x14ac:dyDescent="0.25">
      <c r="A22333" t="str">
        <f>HYPERLINK("https://www.773grp.com/globalSearch/LM26001MXAX-NOPB/page-1", "LM26001MXAX-NOPB")</f>
        <v>LM26001MXAX-NOPB</v>
      </c>
      <c r="B22333" s="3" t="s">
        <v>90</v>
      </c>
      <c r="C22333" s="5">
        <v>2088</v>
      </c>
      <c r="D22333" s="6">
        <v>4.93</v>
      </c>
    </row>
    <row r="22334" spans="1:4" x14ac:dyDescent="0.25">
      <c r="A22334" t="str">
        <f>HYPERLINK("https://www.773grp.com/globalSearch/MSP430F2330IRHAT/page-1", "MSP430F2330IRHAT")</f>
        <v>MSP430F2330IRHAT</v>
      </c>
      <c r="B22334" s="3" t="s">
        <v>90</v>
      </c>
      <c r="C22334" s="5">
        <v>29203</v>
      </c>
      <c r="D22334" s="6">
        <v>4.93</v>
      </c>
    </row>
    <row r="22335" spans="1:4" x14ac:dyDescent="0.25">
      <c r="A22335" t="str">
        <f>HYPERLINK("https://www.773grp.com/globalSearch/MSP430F417IPM/page-1", "MSP430F417IPM")</f>
        <v>MSP430F417IPM</v>
      </c>
      <c r="B22335" s="3" t="s">
        <v>90</v>
      </c>
      <c r="C22335" s="5">
        <v>134</v>
      </c>
      <c r="D22335" s="6">
        <v>4.93</v>
      </c>
    </row>
    <row r="22336" spans="1:4" x14ac:dyDescent="0.25">
      <c r="A22336" t="str">
        <f>HYPERLINK("https://www.773grp.com/globalSearch/MSP430F5309IPTR/page-1", "MSP430F5309IPTR")</f>
        <v>MSP430F5309IPTR</v>
      </c>
      <c r="B22336" s="3" t="s">
        <v>90</v>
      </c>
      <c r="C22336" s="5">
        <v>3000</v>
      </c>
      <c r="D22336" s="6">
        <v>4.93</v>
      </c>
    </row>
    <row r="22337" spans="1:4" x14ac:dyDescent="0.25">
      <c r="A22337" t="str">
        <f>HYPERLINK("https://www.773grp.com/globalSearch/MSP430F5309IRGZR/page-1", "MSP430F5309IRGZR")</f>
        <v>MSP430F5309IRGZR</v>
      </c>
      <c r="B22337" s="3" t="s">
        <v>90</v>
      </c>
      <c r="C22337" s="5">
        <v>1284</v>
      </c>
      <c r="D22337" s="6">
        <v>4.93</v>
      </c>
    </row>
    <row r="22338" spans="1:4" x14ac:dyDescent="0.25">
      <c r="A22338" t="str">
        <f>HYPERLINK("https://www.773grp.com/globalSearch/MSP430F5503IRGZR/page-1", "MSP430F5503IRGZR")</f>
        <v>MSP430F5503IRGZR</v>
      </c>
      <c r="B22338" s="3" t="s">
        <v>90</v>
      </c>
      <c r="C22338" s="5">
        <v>60000</v>
      </c>
      <c r="D22338" s="6">
        <v>4.93</v>
      </c>
    </row>
    <row r="22339" spans="1:4" x14ac:dyDescent="0.25">
      <c r="A22339" t="str">
        <f>HYPERLINK("https://www.773grp.com/globalSearch/MSP430F5505IRGZR/page-1", "MSP430F5505IRGZR")</f>
        <v>MSP430F5505IRGZR</v>
      </c>
      <c r="B22339" s="3" t="s">
        <v>90</v>
      </c>
      <c r="C22339" s="5">
        <v>2358</v>
      </c>
      <c r="D22339" s="6">
        <v>4.93</v>
      </c>
    </row>
    <row r="22340" spans="1:4" x14ac:dyDescent="0.25">
      <c r="A22340" t="str">
        <f>HYPERLINK("https://www.773grp.com/globalSearch/OPA132UA/page-1", "OPA132UA")</f>
        <v>OPA132UA</v>
      </c>
      <c r="B22340" s="3" t="s">
        <v>90</v>
      </c>
      <c r="C22340" s="5">
        <v>18825</v>
      </c>
      <c r="D22340" s="6">
        <v>4.93</v>
      </c>
    </row>
    <row r="22341" spans="1:4" x14ac:dyDescent="0.25">
      <c r="A22341" t="str">
        <f>HYPERLINK("https://www.773grp.com/globalSearch/OPA2134PAG4/page-1", "OPA2134PAG4")</f>
        <v>OPA2134PAG4</v>
      </c>
      <c r="B22341" s="3" t="s">
        <v>90</v>
      </c>
      <c r="C22341" s="5">
        <v>100</v>
      </c>
      <c r="D22341" s="6">
        <v>4.93</v>
      </c>
    </row>
    <row r="22342" spans="1:4" x14ac:dyDescent="0.25">
      <c r="A22342" t="str">
        <f>HYPERLINK("https://www.773grp.com/globalSearch/OPA2333AIDRBT/page-1", "OPA2333AIDRBT")</f>
        <v>OPA2333AIDRBT</v>
      </c>
      <c r="B22342" s="3" t="s">
        <v>90</v>
      </c>
      <c r="C22342" s="5">
        <v>500</v>
      </c>
      <c r="D22342" s="6">
        <v>4.93</v>
      </c>
    </row>
    <row r="22343" spans="1:4" x14ac:dyDescent="0.25">
      <c r="A22343" t="str">
        <f>HYPERLINK("https://www.773grp.com/globalSearch/OPA2333AQDGKRQ1/page-1", "OPA2333AQDGKRQ1")</f>
        <v>OPA2333AQDGKRQ1</v>
      </c>
      <c r="B22343" s="3" t="s">
        <v>90</v>
      </c>
      <c r="C22343" s="5">
        <v>5000</v>
      </c>
      <c r="D22343" s="6">
        <v>4.93</v>
      </c>
    </row>
    <row r="22344" spans="1:4" x14ac:dyDescent="0.25">
      <c r="A22344" t="str">
        <f>HYPERLINK("https://www.773grp.com/globalSearch/REF02AUG4/page-1", "REF02AUG4")</f>
        <v>REF02AUG4</v>
      </c>
      <c r="B22344" s="3" t="s">
        <v>90</v>
      </c>
      <c r="C22344" s="5">
        <v>90</v>
      </c>
      <c r="D22344" s="6">
        <v>4.93</v>
      </c>
    </row>
    <row r="22345" spans="1:4" x14ac:dyDescent="0.25">
      <c r="A22345" t="str">
        <f>HYPERLINK("https://www.773grp.com/globalSearch/SN65HVD37DR/page-1", "SN65HVD37DR")</f>
        <v>SN65HVD37DR</v>
      </c>
      <c r="B22345" s="3" t="s">
        <v>90</v>
      </c>
      <c r="C22345" s="5">
        <v>2210</v>
      </c>
      <c r="D22345" s="6">
        <v>4.93</v>
      </c>
    </row>
    <row r="22346" spans="1:4" x14ac:dyDescent="0.25">
      <c r="A22346" t="str">
        <f>HYPERLINK("https://www.773grp.com/globalSearch/SN74ALS166NS/page-1", "SN74ALS166NS")</f>
        <v>SN74ALS166NS</v>
      </c>
      <c r="B22346" s="3" t="s">
        <v>90</v>
      </c>
      <c r="C22346" s="5">
        <v>900</v>
      </c>
      <c r="D22346" s="6">
        <v>4.93</v>
      </c>
    </row>
    <row r="22347" spans="1:4" x14ac:dyDescent="0.25">
      <c r="A22347" t="str">
        <f>HYPERLINK("https://www.773grp.com/globalSearch/SN74ALS641A-1DB/page-1", "SN74ALS641A-1DB")</f>
        <v>SN74ALS641A-1DB</v>
      </c>
      <c r="B22347" s="3" t="s">
        <v>90</v>
      </c>
      <c r="C22347" s="5">
        <v>2951</v>
      </c>
      <c r="D22347" s="6">
        <v>4.93</v>
      </c>
    </row>
    <row r="22348" spans="1:4" x14ac:dyDescent="0.25">
      <c r="A22348" t="str">
        <f>HYPERLINK("https://www.773grp.com/globalSearch/TLE2062AIDG4/page-1", "TLE2062AIDG4")</f>
        <v>TLE2062AIDG4</v>
      </c>
      <c r="B22348" s="3" t="s">
        <v>90</v>
      </c>
      <c r="C22348" s="5">
        <v>75</v>
      </c>
      <c r="D22348" s="6">
        <v>4.93</v>
      </c>
    </row>
    <row r="22349" spans="1:4" x14ac:dyDescent="0.25">
      <c r="A22349" t="str">
        <f>HYPERLINK("https://www.773grp.com/globalSearch/TLV320DAC3101IRHBR/page-1", "TLV320DAC3101IRHBR")</f>
        <v>TLV320DAC3101IRHBR</v>
      </c>
      <c r="B22349" s="3" t="s">
        <v>90</v>
      </c>
      <c r="C22349" s="5">
        <v>249000</v>
      </c>
      <c r="D22349" s="6">
        <v>4.93</v>
      </c>
    </row>
    <row r="22350" spans="1:4" x14ac:dyDescent="0.25">
      <c r="A22350" t="str">
        <f>HYPERLINK("https://www.773grp.com/globalSearch/TLV320DAC3202CYZJR/page-1", "TLV320DAC3202CYZJR")</f>
        <v>TLV320DAC3202CYZJR</v>
      </c>
      <c r="B22350" s="3" t="s">
        <v>90</v>
      </c>
      <c r="C22350" s="5">
        <v>9000</v>
      </c>
      <c r="D22350" s="6">
        <v>4.93</v>
      </c>
    </row>
    <row r="22351" spans="1:4" x14ac:dyDescent="0.25">
      <c r="A22351" t="str">
        <f>HYPERLINK("https://www.773grp.com/globalSearch/TLV3502AQDCNRQ1/page-1", "TLV3502AQDCNRQ1")</f>
        <v>TLV3502AQDCNRQ1</v>
      </c>
      <c r="B22351" s="3" t="s">
        <v>90</v>
      </c>
      <c r="C22351" s="5">
        <v>37255</v>
      </c>
      <c r="D22351" s="6">
        <v>4.93</v>
      </c>
    </row>
    <row r="22352" spans="1:4" x14ac:dyDescent="0.25">
      <c r="A22352" t="str">
        <f>HYPERLINK("https://www.773grp.com/globalSearch/TMP006AIYZFT/page-1", "TMP006AIYZFT")</f>
        <v>TMP006AIYZFT</v>
      </c>
      <c r="B22352" s="3" t="s">
        <v>90</v>
      </c>
      <c r="C22352" s="5">
        <v>248</v>
      </c>
      <c r="D22352" s="6">
        <v>4.93</v>
      </c>
    </row>
    <row r="22353" spans="1:4" x14ac:dyDescent="0.25">
      <c r="A22353" t="str">
        <f>HYPERLINK("https://www.773grp.com/globalSearch/TMP512AID/page-1", "TMP512AID")</f>
        <v>TMP512AID</v>
      </c>
      <c r="B22353" s="3" t="s">
        <v>90</v>
      </c>
      <c r="C22353" s="5">
        <v>35</v>
      </c>
      <c r="D22353" s="6">
        <v>4.93</v>
      </c>
    </row>
    <row r="22354" spans="1:4" x14ac:dyDescent="0.25">
      <c r="A22354" t="str">
        <f>HYPERLINK("https://www.773grp.com/globalSearch/TPS65055RSMR/page-1", "TPS65055RSMR")</f>
        <v>TPS65055RSMR</v>
      </c>
      <c r="B22354" s="3" t="s">
        <v>90</v>
      </c>
      <c r="C22354" s="5">
        <v>3000</v>
      </c>
      <c r="D22354" s="6">
        <v>4.93</v>
      </c>
    </row>
    <row r="22355" spans="1:4" x14ac:dyDescent="0.25">
      <c r="A22355" t="str">
        <f>HYPERLINK("https://www.773grp.com/globalSearch/TPS70175QPWPRQ1/page-1", "TPS70175QPWPRQ1")</f>
        <v>TPS70175QPWPRQ1</v>
      </c>
      <c r="B22355" s="3" t="s">
        <v>90</v>
      </c>
      <c r="C22355" s="5">
        <v>20000</v>
      </c>
      <c r="D22355" s="6">
        <v>4.93</v>
      </c>
    </row>
    <row r="22356" spans="1:4" x14ac:dyDescent="0.25">
      <c r="A22356" t="str">
        <f>HYPERLINK("https://www.773grp.com/globalSearch/TPS74901RGWT/page-1", "TPS74901RGWT")</f>
        <v>TPS74901RGWT</v>
      </c>
      <c r="B22356" s="3" t="s">
        <v>90</v>
      </c>
      <c r="C22356" s="5">
        <v>750</v>
      </c>
      <c r="D22356" s="6">
        <v>4.93</v>
      </c>
    </row>
    <row r="22357" spans="1:4" x14ac:dyDescent="0.25">
      <c r="A22357" t="str">
        <f>HYPERLINK("https://www.773grp.com/globalSearch/TPS75315QPWPR/page-1", "TPS75315QPWPR")</f>
        <v>TPS75315QPWPR</v>
      </c>
      <c r="B22357" s="3" t="s">
        <v>90</v>
      </c>
      <c r="C22357" s="5">
        <v>12000</v>
      </c>
      <c r="D22357" s="6">
        <v>4.93</v>
      </c>
    </row>
    <row r="22358" spans="1:4" x14ac:dyDescent="0.25">
      <c r="A22358" t="str">
        <f>HYPERLINK("https://www.773grp.com/globalSearch/TPS75325QPWPR/page-1", "TPS75325QPWPR")</f>
        <v>TPS75325QPWPR</v>
      </c>
      <c r="B22358" s="3" t="s">
        <v>90</v>
      </c>
      <c r="C22358" s="5">
        <v>2000</v>
      </c>
      <c r="D22358" s="6">
        <v>4.93</v>
      </c>
    </row>
    <row r="22359" spans="1:4" x14ac:dyDescent="0.25">
      <c r="A22359" t="str">
        <f>HYPERLINK("https://www.773grp.com/globalSearch/TPS75401QPWPR/page-1", "TPS75401QPWPR")</f>
        <v>TPS75401QPWPR</v>
      </c>
      <c r="B22359" s="3" t="s">
        <v>90</v>
      </c>
      <c r="C22359" s="5">
        <v>4000</v>
      </c>
      <c r="D22359" s="6">
        <v>4.93</v>
      </c>
    </row>
    <row r="22360" spans="1:4" x14ac:dyDescent="0.25">
      <c r="A22360" t="str">
        <f>HYPERLINK("https://www.773grp.com/globalSearch/UCC27211DRMT/page-1", "UCC27211DRMT")</f>
        <v>UCC27211DRMT</v>
      </c>
      <c r="B22360" s="3" t="s">
        <v>90</v>
      </c>
      <c r="C22360" s="5">
        <v>200</v>
      </c>
      <c r="D22360" s="6">
        <v>4.93</v>
      </c>
    </row>
    <row r="22361" spans="1:4" x14ac:dyDescent="0.25">
      <c r="A22361" t="str">
        <f>HYPERLINK("https://www.773grp.com/globalSearch/XTR115U/page-1", "XTR115U")</f>
        <v>XTR115U</v>
      </c>
      <c r="B22361" s="3" t="s">
        <v>90</v>
      </c>
      <c r="C22361" s="5">
        <v>233</v>
      </c>
      <c r="D22361" s="6">
        <v>4.93</v>
      </c>
    </row>
    <row r="22362" spans="1:4" x14ac:dyDescent="0.25">
      <c r="A22362" t="str">
        <f>HYPERLINK("https://www.773grp.com/globalSearch/LM5037MT-NOPB/page-1", "LM5037MT-NOPB")</f>
        <v>LM5037MT-NOPB</v>
      </c>
      <c r="B22362" s="3" t="s">
        <v>90</v>
      </c>
      <c r="C22362" s="5">
        <v>184</v>
      </c>
      <c r="D22362" s="6">
        <v>4.95</v>
      </c>
    </row>
    <row r="22363" spans="1:4" x14ac:dyDescent="0.25">
      <c r="A22363" t="str">
        <f>HYPERLINK("https://www.773grp.com/globalSearch/MPD23494J/page-1", "MPD23494J")</f>
        <v>MPD23494J</v>
      </c>
      <c r="B22363" s="3" t="s">
        <v>90</v>
      </c>
      <c r="C22363" s="5">
        <v>150</v>
      </c>
      <c r="D22363" s="6">
        <v>4.95</v>
      </c>
    </row>
    <row r="22364" spans="1:4" x14ac:dyDescent="0.25">
      <c r="A22364" t="str">
        <f>HYPERLINK("https://www.773grp.com/globalSearch/MSPF112AIDW/page-1", "MSPF112AIDW")</f>
        <v>MSPF112AIDW</v>
      </c>
      <c r="B22364" s="3" t="s">
        <v>90</v>
      </c>
      <c r="C22364" s="5">
        <v>1550</v>
      </c>
      <c r="D22364" s="6">
        <v>4.95</v>
      </c>
    </row>
    <row r="22365" spans="1:4" x14ac:dyDescent="0.25">
      <c r="A22365" t="str">
        <f>HYPERLINK("https://www.773grp.com/globalSearch/PTIC1315AKTRR/page-1", "PTIC1315AKTRR")</f>
        <v>PTIC1315AKTRR</v>
      </c>
      <c r="B22365" s="3" t="s">
        <v>90</v>
      </c>
      <c r="C22365" s="5">
        <v>5000</v>
      </c>
      <c r="D22365" s="6">
        <v>4.95</v>
      </c>
    </row>
    <row r="22366" spans="1:4" x14ac:dyDescent="0.25">
      <c r="A22366" t="str">
        <f>HYPERLINK("https://www.773grp.com/globalSearch/TPIC1315AKTRR/page-1", "TPIC1315AKTRR")</f>
        <v>TPIC1315AKTRR</v>
      </c>
      <c r="B22366" s="3" t="s">
        <v>90</v>
      </c>
      <c r="C22366" s="5">
        <v>65000</v>
      </c>
      <c r="D22366" s="6">
        <v>4.95</v>
      </c>
    </row>
    <row r="22367" spans="1:4" x14ac:dyDescent="0.25">
      <c r="A22367" t="str">
        <f>HYPERLINK("https://www.773grp.com/globalSearch/TPS54240DRCT/page-1", "TPS54240DRCT")</f>
        <v>TPS54240DRCT</v>
      </c>
      <c r="B22367" s="3" t="s">
        <v>90</v>
      </c>
      <c r="C22367" s="5">
        <v>250</v>
      </c>
      <c r="D22367" s="6">
        <v>4.95</v>
      </c>
    </row>
    <row r="22368" spans="1:4" x14ac:dyDescent="0.25">
      <c r="A22368" t="str">
        <f>HYPERLINK("https://www.773grp.com/globalSearch/LMH6624MF-NOPB/page-1", "LMH6624MF-NOPB")</f>
        <v>LMH6624MF-NOPB</v>
      </c>
      <c r="B22368" s="3" t="s">
        <v>90</v>
      </c>
      <c r="C22368" s="5">
        <v>158</v>
      </c>
      <c r="D22368" s="6">
        <v>4.9800000000000004</v>
      </c>
    </row>
    <row r="22369" spans="1:4" x14ac:dyDescent="0.25">
      <c r="A22369" t="str">
        <f>HYPERLINK("https://www.773grp.com/globalSearch/SN74161D/page-1", "SN74161D")</f>
        <v>SN74161D</v>
      </c>
      <c r="B22369" s="3" t="s">
        <v>90</v>
      </c>
      <c r="C22369" s="5">
        <v>617</v>
      </c>
      <c r="D22369" s="6">
        <v>4.9800000000000004</v>
      </c>
    </row>
    <row r="22370" spans="1:4" x14ac:dyDescent="0.25">
      <c r="A22370" t="str">
        <f>HYPERLINK("https://www.773grp.com/globalSearch/LM3152MHE-3.3-NOPB/page-1", "LM3152MHE-3.3-NOPB")</f>
        <v>LM3152MHE-3.3-NOPB</v>
      </c>
      <c r="B22370" s="3" t="s">
        <v>90</v>
      </c>
      <c r="C22370" s="5">
        <v>187</v>
      </c>
      <c r="D22370" s="6">
        <v>5.01</v>
      </c>
    </row>
    <row r="22371" spans="1:4" x14ac:dyDescent="0.25">
      <c r="A22371" t="str">
        <f>HYPERLINK("https://www.773grp.com/globalSearch/LM6152BCM-NOPB/page-1", "LM6152BCM-NOPB")</f>
        <v>LM6152BCM-NOPB</v>
      </c>
      <c r="B22371" s="3" t="s">
        <v>90</v>
      </c>
      <c r="C22371" s="5">
        <v>5985</v>
      </c>
      <c r="D22371" s="6">
        <v>5.01</v>
      </c>
    </row>
    <row r="22372" spans="1:4" x14ac:dyDescent="0.25">
      <c r="A22372" t="str">
        <f>HYPERLINK("https://www.773grp.com/globalSearch/TLE26621DWR/page-1", "TLE26621DWR")</f>
        <v>TLE26621DWR</v>
      </c>
      <c r="B22372" s="3" t="s">
        <v>90</v>
      </c>
      <c r="C22372" s="5">
        <v>4000</v>
      </c>
      <c r="D22372" s="6">
        <v>5.01</v>
      </c>
    </row>
    <row r="22373" spans="1:4" x14ac:dyDescent="0.25">
      <c r="A22373" t="str">
        <f>HYPERLINK("https://www.773grp.com/globalSearch/74ACT11257PW/page-1", "74ACT11257PW")</f>
        <v>74ACT11257PW</v>
      </c>
      <c r="B22373" s="3" t="s">
        <v>90</v>
      </c>
      <c r="C22373" s="5">
        <v>910</v>
      </c>
      <c r="D22373" s="6">
        <v>5.03</v>
      </c>
    </row>
    <row r="22374" spans="1:4" x14ac:dyDescent="0.25">
      <c r="A22374" t="str">
        <f>HYPERLINK("https://www.773grp.com/globalSearch/74FCT162543CTPVCT/page-1", "74FCT162543CTPVCT")</f>
        <v>74FCT162543CTPVCT</v>
      </c>
      <c r="B22374" s="3" t="s">
        <v>90</v>
      </c>
      <c r="C22374" s="5">
        <v>2000</v>
      </c>
      <c r="D22374" s="6">
        <v>5.03</v>
      </c>
    </row>
    <row r="22375" spans="1:4" x14ac:dyDescent="0.25">
      <c r="A22375" t="str">
        <f>HYPERLINK("https://www.773grp.com/globalSearch/CD74ACT646M/page-1", "CD74ACT646M")</f>
        <v>CD74ACT646M</v>
      </c>
      <c r="B22375" s="3" t="s">
        <v>90</v>
      </c>
      <c r="C22375" s="5">
        <v>225</v>
      </c>
      <c r="D22375" s="6">
        <v>5.03</v>
      </c>
    </row>
    <row r="22376" spans="1:4" x14ac:dyDescent="0.25">
      <c r="A22376" t="str">
        <f>HYPERLINK("https://www.773grp.com/globalSearch/SN104685DWR/page-1", "SN104685DWR")</f>
        <v>SN104685DWR</v>
      </c>
      <c r="B22376" s="3" t="s">
        <v>90</v>
      </c>
      <c r="C22376" s="5">
        <v>9662</v>
      </c>
      <c r="D22376" s="6">
        <v>5.03</v>
      </c>
    </row>
    <row r="22377" spans="1:4" x14ac:dyDescent="0.25">
      <c r="A22377" t="str">
        <f>HYPERLINK("https://www.773grp.com/globalSearch/SN74ALS166DB/page-1", "SN74ALS166DB")</f>
        <v>SN74ALS166DB</v>
      </c>
      <c r="B22377" s="3" t="s">
        <v>90</v>
      </c>
      <c r="C22377" s="5">
        <v>3520</v>
      </c>
      <c r="D22377" s="6">
        <v>5.03</v>
      </c>
    </row>
    <row r="22378" spans="1:4" x14ac:dyDescent="0.25">
      <c r="A22378" t="str">
        <f>HYPERLINK("https://www.773grp.com/globalSearch/SN74AUCH32244ZKER/page-1", "SN74AUCH32244ZKER")</f>
        <v>SN74AUCH32244ZKER</v>
      </c>
      <c r="B22378" s="3" t="s">
        <v>90</v>
      </c>
      <c r="C22378" s="5">
        <v>30000</v>
      </c>
      <c r="D22378" s="6">
        <v>5.03</v>
      </c>
    </row>
    <row r="22379" spans="1:4" x14ac:dyDescent="0.25">
      <c r="A22379" t="str">
        <f>HYPERLINK("https://www.773grp.com/globalSearch/SN74LS293NE4/page-1", "SN74LS293NE4")</f>
        <v>SN74LS293NE4</v>
      </c>
      <c r="B22379" s="3" t="s">
        <v>90</v>
      </c>
      <c r="C22379" s="5">
        <v>150</v>
      </c>
      <c r="D22379" s="6">
        <v>5.03</v>
      </c>
    </row>
    <row r="22380" spans="1:4" x14ac:dyDescent="0.25">
      <c r="A22380" t="str">
        <f>HYPERLINK("https://www.773grp.com/globalSearch/SN74LS628NS/page-1", "SN74LS628NS")</f>
        <v>SN74LS628NS</v>
      </c>
      <c r="B22380" s="3" t="s">
        <v>90</v>
      </c>
      <c r="C22380" s="5">
        <v>1300</v>
      </c>
      <c r="D22380" s="6">
        <v>5.03</v>
      </c>
    </row>
    <row r="22381" spans="1:4" x14ac:dyDescent="0.25">
      <c r="A22381" t="str">
        <f>HYPERLINK("https://www.773grp.com/globalSearch/UC3856DWTR/page-1", "UC3856DWTR")</f>
        <v>UC3856DWTR</v>
      </c>
      <c r="B22381" s="3" t="s">
        <v>90</v>
      </c>
      <c r="C22381" s="5">
        <v>2000</v>
      </c>
      <c r="D22381" s="6">
        <v>5.03</v>
      </c>
    </row>
    <row r="22382" spans="1:4" x14ac:dyDescent="0.25">
      <c r="A22382" t="str">
        <f>HYPERLINK("https://www.773grp.com/globalSearch/BQ24035RHLR/page-1", "BQ24035RHLR")</f>
        <v>BQ24035RHLR</v>
      </c>
      <c r="B22382" s="3" t="s">
        <v>90</v>
      </c>
      <c r="C22382" s="5">
        <v>15398</v>
      </c>
      <c r="D22382" s="6">
        <v>5.0599999999999996</v>
      </c>
    </row>
    <row r="22383" spans="1:4" x14ac:dyDescent="0.25">
      <c r="A22383" t="str">
        <f>HYPERLINK("https://www.773grp.com/globalSearch/BQ24038RHLR/page-1", "BQ24038RHLR")</f>
        <v>BQ24038RHLR</v>
      </c>
      <c r="B22383" s="3" t="s">
        <v>90</v>
      </c>
      <c r="C22383" s="5">
        <v>165000</v>
      </c>
      <c r="D22383" s="6">
        <v>5.0599999999999996</v>
      </c>
    </row>
    <row r="22384" spans="1:4" x14ac:dyDescent="0.25">
      <c r="A22384" t="str">
        <f>HYPERLINK("https://www.773grp.com/globalSearch/CC2520RHDR/page-1", "CC2520RHDR")</f>
        <v>CC2520RHDR</v>
      </c>
      <c r="B22384" s="3" t="s">
        <v>90</v>
      </c>
      <c r="C22384" s="5">
        <v>3000</v>
      </c>
      <c r="D22384" s="6">
        <v>5.0599999999999996</v>
      </c>
    </row>
    <row r="22385" spans="1:4" x14ac:dyDescent="0.25">
      <c r="A22385" t="str">
        <f>HYPERLINK("https://www.773grp.com/globalSearch/CC2590RGVT/page-1", "CC2590RGVT")</f>
        <v>CC2590RGVT</v>
      </c>
      <c r="B22385" s="3" t="s">
        <v>90</v>
      </c>
      <c r="C22385" s="5">
        <v>530</v>
      </c>
      <c r="D22385" s="6">
        <v>5.0599999999999996</v>
      </c>
    </row>
    <row r="22386" spans="1:4" x14ac:dyDescent="0.25">
      <c r="A22386" t="str">
        <f>HYPERLINK("https://www.773grp.com/globalSearch/CDCLVC1106PW/page-1", "CDCLVC1106PW")</f>
        <v>CDCLVC1106PW</v>
      </c>
      <c r="B22386" s="3" t="s">
        <v>90</v>
      </c>
      <c r="C22386" s="5">
        <v>90</v>
      </c>
      <c r="D22386" s="6">
        <v>5.0599999999999996</v>
      </c>
    </row>
    <row r="22387" spans="1:4" x14ac:dyDescent="0.25">
      <c r="A22387" t="str">
        <f>HYPERLINK("https://www.773grp.com/globalSearch/DAC122S085CIMM-NOPB/page-1", "DAC122S085CIMM-NOPB")</f>
        <v>DAC122S085CIMM-NOPB</v>
      </c>
      <c r="B22387" s="3" t="s">
        <v>90</v>
      </c>
      <c r="C22387" s="5">
        <v>702</v>
      </c>
      <c r="D22387" s="6">
        <v>5.0599999999999996</v>
      </c>
    </row>
    <row r="22388" spans="1:4" x14ac:dyDescent="0.25">
      <c r="A22388" t="str">
        <f>HYPERLINK("https://www.773grp.com/globalSearch/DAC122S085CISD-NOPB/page-1", "DAC122S085CISD-NOPB")</f>
        <v>DAC122S085CISD-NOPB</v>
      </c>
      <c r="B22388" s="3" t="s">
        <v>90</v>
      </c>
      <c r="C22388" s="5">
        <v>30</v>
      </c>
      <c r="D22388" s="6">
        <v>5.0599999999999996</v>
      </c>
    </row>
    <row r="22389" spans="1:4" x14ac:dyDescent="0.25">
      <c r="A22389" t="str">
        <f>HYPERLINK("https://www.773grp.com/globalSearch/DRV8805PWP/page-1", "DRV8805PWP")</f>
        <v>DRV8805PWP</v>
      </c>
      <c r="B22389" s="3" t="s">
        <v>90</v>
      </c>
      <c r="C22389" s="5">
        <v>810</v>
      </c>
      <c r="D22389" s="6">
        <v>5.0599999999999996</v>
      </c>
    </row>
    <row r="22390" spans="1:4" x14ac:dyDescent="0.25">
      <c r="A22390" t="str">
        <f>HYPERLINK("https://www.773grp.com/globalSearch/DRV8811PWPR/page-1", "DRV8811PWPR")</f>
        <v>DRV8811PWPR</v>
      </c>
      <c r="B22390" s="3" t="s">
        <v>90</v>
      </c>
      <c r="C22390" s="5">
        <v>12000</v>
      </c>
      <c r="D22390" s="6">
        <v>5.0599999999999996</v>
      </c>
    </row>
    <row r="22391" spans="1:4" x14ac:dyDescent="0.25">
      <c r="A22391" t="str">
        <f>HYPERLINK("https://www.773grp.com/globalSearch/INA333AIDGKR/page-1", "INA333AIDGKR")</f>
        <v>INA333AIDGKR</v>
      </c>
      <c r="B22391" s="3" t="s">
        <v>90</v>
      </c>
      <c r="C22391" s="5">
        <v>2404</v>
      </c>
      <c r="D22391" s="6">
        <v>5.0599999999999996</v>
      </c>
    </row>
    <row r="22392" spans="1:4" x14ac:dyDescent="0.25">
      <c r="A22392" t="str">
        <f>HYPERLINK("https://www.773grp.com/globalSearch/INA333AIDRGR/page-1", "INA333AIDRGR")</f>
        <v>INA333AIDRGR</v>
      </c>
      <c r="B22392" s="3" t="s">
        <v>90</v>
      </c>
      <c r="C22392" s="5">
        <v>2650</v>
      </c>
      <c r="D22392" s="6">
        <v>5.0599999999999996</v>
      </c>
    </row>
    <row r="22393" spans="1:4" x14ac:dyDescent="0.25">
      <c r="A22393" t="str">
        <f>HYPERLINK("https://www.773grp.com/globalSearch/ISO7230ADW/page-1", "ISO7230ADW")</f>
        <v>ISO7230ADW</v>
      </c>
      <c r="B22393" s="3" t="s">
        <v>90</v>
      </c>
      <c r="C22393" s="5">
        <v>160</v>
      </c>
      <c r="D22393" s="6">
        <v>5.0599999999999996</v>
      </c>
    </row>
    <row r="22394" spans="1:4" x14ac:dyDescent="0.25">
      <c r="A22394" t="str">
        <f>HYPERLINK("https://www.773grp.com/globalSearch/ISO7240CFDWR/page-1", "ISO7240CFDWR")</f>
        <v>ISO7240CFDWR</v>
      </c>
      <c r="B22394" s="3" t="s">
        <v>90</v>
      </c>
      <c r="C22394" s="5">
        <v>2555</v>
      </c>
      <c r="D22394" s="6">
        <v>5.0599999999999996</v>
      </c>
    </row>
    <row r="22395" spans="1:4" x14ac:dyDescent="0.25">
      <c r="A22395" t="str">
        <f>HYPERLINK("https://www.773grp.com/globalSearch/ISO7241CDWR/page-1", "ISO7241CDWR")</f>
        <v>ISO7241CDWR</v>
      </c>
      <c r="B22395" s="3" t="s">
        <v>90</v>
      </c>
      <c r="C22395" s="5">
        <v>2000</v>
      </c>
      <c r="D22395" s="6">
        <v>5.0599999999999996</v>
      </c>
    </row>
    <row r="22396" spans="1:4" x14ac:dyDescent="0.25">
      <c r="A22396" t="str">
        <f>HYPERLINK("https://www.773grp.com/globalSearch/LM20144MH-NOPB/page-1", "LM20144MH-NOPB")</f>
        <v>LM20144MH-NOPB</v>
      </c>
      <c r="B22396" s="3" t="s">
        <v>90</v>
      </c>
      <c r="C22396" s="5">
        <v>3312</v>
      </c>
      <c r="D22396" s="6">
        <v>5.0599999999999996</v>
      </c>
    </row>
    <row r="22397" spans="1:4" x14ac:dyDescent="0.25">
      <c r="A22397" t="str">
        <f>HYPERLINK("https://www.773grp.com/globalSearch/LM20154MH-NOPB/page-1", "LM20154MH-NOPB")</f>
        <v>LM20154MH-NOPB</v>
      </c>
      <c r="B22397" s="3" t="s">
        <v>90</v>
      </c>
      <c r="C22397" s="5">
        <v>184</v>
      </c>
      <c r="D22397" s="6">
        <v>5.0599999999999996</v>
      </c>
    </row>
    <row r="22398" spans="1:4" x14ac:dyDescent="0.25">
      <c r="A22398" t="str">
        <f>HYPERLINK("https://www.773grp.com/globalSearch/LM2596SX-3.3-NOPB/page-1", "LM2596SX-3.3-NOPB")</f>
        <v>LM2596SX-3.3-NOPB</v>
      </c>
      <c r="B22398" s="3" t="s">
        <v>90</v>
      </c>
      <c r="C22398" s="5">
        <v>6000</v>
      </c>
      <c r="D22398" s="6">
        <v>5.0599999999999996</v>
      </c>
    </row>
    <row r="22399" spans="1:4" x14ac:dyDescent="0.25">
      <c r="A22399" t="str">
        <f>HYPERLINK("https://www.773grp.com/globalSearch/LM2657MTCX-NOPB/page-1", "LM2657MTCX-NOPB")</f>
        <v>LM2657MTCX-NOPB</v>
      </c>
      <c r="B22399" s="3" t="s">
        <v>90</v>
      </c>
      <c r="C22399" s="5">
        <v>12500</v>
      </c>
      <c r="D22399" s="6">
        <v>5.0599999999999996</v>
      </c>
    </row>
    <row r="22400" spans="1:4" x14ac:dyDescent="0.25">
      <c r="A22400" t="str">
        <f>HYPERLINK("https://www.773grp.com/globalSearch/LM2676SDX-5.0-NOPB/page-1", "LM2676SDX-5.0-NOPB")</f>
        <v>LM2676SDX-5.0-NOPB</v>
      </c>
      <c r="B22400" s="3" t="s">
        <v>90</v>
      </c>
      <c r="C22400" s="5">
        <v>2500</v>
      </c>
      <c r="D22400" s="6">
        <v>5.0599999999999996</v>
      </c>
    </row>
    <row r="22401" spans="1:4" x14ac:dyDescent="0.25">
      <c r="A22401" t="str">
        <f>HYPERLINK("https://www.773grp.com/globalSearch/LM5000SD-3-NOPB/page-1", "LM5000SD-3-NOPB")</f>
        <v>LM5000SD-3-NOPB</v>
      </c>
      <c r="B22401" s="3" t="s">
        <v>90</v>
      </c>
      <c r="C22401" s="5">
        <v>50</v>
      </c>
      <c r="D22401" s="6">
        <v>5.0599999999999996</v>
      </c>
    </row>
    <row r="22402" spans="1:4" x14ac:dyDescent="0.25">
      <c r="A22402" t="str">
        <f>HYPERLINK("https://www.773grp.com/globalSearch/LM6134BIN-NOPB/page-1", "LM6134BIN-NOPB")</f>
        <v>LM6134BIN-NOPB</v>
      </c>
      <c r="B22402" s="3" t="s">
        <v>90</v>
      </c>
      <c r="C22402" s="5">
        <v>500</v>
      </c>
      <c r="D22402" s="6">
        <v>5.0599999999999996</v>
      </c>
    </row>
    <row r="22403" spans="1:4" x14ac:dyDescent="0.25">
      <c r="A22403" t="str">
        <f>HYPERLINK("https://www.773grp.com/globalSearch/LP3852EMP-1.8-NOPB/page-1", "LP3852EMP-1.8-NOPB")</f>
        <v>LP3852EMP-1.8-NOPB</v>
      </c>
      <c r="B22403" s="3" t="s">
        <v>90</v>
      </c>
      <c r="C22403" s="5">
        <v>100</v>
      </c>
      <c r="D22403" s="6">
        <v>5.0599999999999996</v>
      </c>
    </row>
    <row r="22404" spans="1:4" x14ac:dyDescent="0.25">
      <c r="A22404" t="str">
        <f>HYPERLINK("https://www.773grp.com/globalSearch/LP3855EMP2.5-NOPB/page-1", "LP3855EMP2.5-NOPB")</f>
        <v>LP3855EMP2.5-NOPB</v>
      </c>
      <c r="B22404" s="3" t="s">
        <v>90</v>
      </c>
      <c r="C22404" s="5">
        <v>176</v>
      </c>
      <c r="D22404" s="6">
        <v>5.0599999999999996</v>
      </c>
    </row>
    <row r="22405" spans="1:4" x14ac:dyDescent="0.25">
      <c r="A22405" t="str">
        <f>HYPERLINK("https://www.773grp.com/globalSearch/LP3855EMP-3.3-NOPB/page-1", "LP3855EMP-3.3-NOPB")</f>
        <v>LP3855EMP-3.3-NOPB</v>
      </c>
      <c r="B22405" s="3" t="s">
        <v>90</v>
      </c>
      <c r="C22405" s="5">
        <v>16</v>
      </c>
      <c r="D22405" s="6">
        <v>5.0599999999999996</v>
      </c>
    </row>
    <row r="22406" spans="1:4" x14ac:dyDescent="0.25">
      <c r="A22406" t="str">
        <f>HYPERLINK("https://www.773grp.com/globalSearch/MSP430BQ1010IRTVR/page-1", "MSP430BQ1010IRTVR")</f>
        <v>MSP430BQ1010IRTVR</v>
      </c>
      <c r="B22406" s="3" t="s">
        <v>90</v>
      </c>
      <c r="C22406" s="5">
        <v>8983</v>
      </c>
      <c r="D22406" s="6">
        <v>5.0599999999999996</v>
      </c>
    </row>
    <row r="22407" spans="1:4" x14ac:dyDescent="0.25">
      <c r="A22407" t="str">
        <f>HYPERLINK("https://www.773grp.com/globalSearch/MSP430F5508IPTR/page-1", "MSP430F5508IPTR")</f>
        <v>MSP430F5508IPTR</v>
      </c>
      <c r="B22407" s="3" t="s">
        <v>90</v>
      </c>
      <c r="C22407" s="5">
        <v>2000</v>
      </c>
      <c r="D22407" s="6">
        <v>5.0599999999999996</v>
      </c>
    </row>
    <row r="22408" spans="1:4" x14ac:dyDescent="0.25">
      <c r="A22408" t="str">
        <f>HYPERLINK("https://www.773grp.com/globalSearch/OPA140AIDBVT/page-1", "OPA140AIDBVT")</f>
        <v>OPA140AIDBVT</v>
      </c>
      <c r="B22408" s="3" t="s">
        <v>90</v>
      </c>
      <c r="C22408" s="5">
        <v>30</v>
      </c>
      <c r="D22408" s="6">
        <v>5.0599999999999996</v>
      </c>
    </row>
    <row r="22409" spans="1:4" x14ac:dyDescent="0.25">
      <c r="A22409" t="str">
        <f>HYPERLINK("https://www.773grp.com/globalSearch/OPA2131UA-2K5G4/page-1", "OPA2131UA-2K5G4")</f>
        <v>OPA2131UA-2K5G4</v>
      </c>
      <c r="B22409" s="3" t="s">
        <v>90</v>
      </c>
      <c r="C22409" s="5">
        <v>1000</v>
      </c>
      <c r="D22409" s="6">
        <v>5.0599999999999996</v>
      </c>
    </row>
    <row r="22410" spans="1:4" x14ac:dyDescent="0.25">
      <c r="A22410" t="str">
        <f>HYPERLINK("https://www.773grp.com/globalSearch/PCM1681PWP/page-1", "PCM1681PWP")</f>
        <v>PCM1681PWP</v>
      </c>
      <c r="B22410" s="3" t="s">
        <v>90</v>
      </c>
      <c r="C22410" s="5">
        <v>150</v>
      </c>
      <c r="D22410" s="6">
        <v>5.0599999999999996</v>
      </c>
    </row>
    <row r="22411" spans="1:4" x14ac:dyDescent="0.25">
      <c r="A22411" t="str">
        <f>HYPERLINK("https://www.773grp.com/globalSearch/SN65CML100D/page-1", "SN65CML100D")</f>
        <v>SN65CML100D</v>
      </c>
      <c r="B22411" s="3" t="s">
        <v>90</v>
      </c>
      <c r="C22411" s="5">
        <v>225</v>
      </c>
      <c r="D22411" s="6">
        <v>5.0599999999999996</v>
      </c>
    </row>
    <row r="22412" spans="1:4" x14ac:dyDescent="0.25">
      <c r="A22412" t="str">
        <f>HYPERLINK("https://www.773grp.com/globalSearch/SN65EPT23D/page-1", "SN65EPT23D")</f>
        <v>SN65EPT23D</v>
      </c>
      <c r="B22412" s="3" t="s">
        <v>90</v>
      </c>
      <c r="C22412" s="5">
        <v>49</v>
      </c>
      <c r="D22412" s="6">
        <v>5.0599999999999996</v>
      </c>
    </row>
    <row r="22413" spans="1:4" x14ac:dyDescent="0.25">
      <c r="A22413" t="str">
        <f>HYPERLINK("https://www.773grp.com/globalSearch/SN65HVD10D/page-1", "SN65HVD10D")</f>
        <v>SN65HVD10D</v>
      </c>
      <c r="B22413" s="3" t="s">
        <v>90</v>
      </c>
      <c r="C22413" s="5">
        <v>185</v>
      </c>
      <c r="D22413" s="6">
        <v>5.0599999999999996</v>
      </c>
    </row>
    <row r="22414" spans="1:4" x14ac:dyDescent="0.25">
      <c r="A22414" t="str">
        <f>HYPERLINK("https://www.773grp.com/globalSearch/SN65HVD10DG4/page-1", "SN65HVD10DG4")</f>
        <v>SN65HVD10DG4</v>
      </c>
      <c r="B22414" s="3" t="s">
        <v>90</v>
      </c>
      <c r="C22414" s="5">
        <v>45</v>
      </c>
      <c r="D22414" s="6">
        <v>5.0599999999999996</v>
      </c>
    </row>
    <row r="22415" spans="1:4" x14ac:dyDescent="0.25">
      <c r="A22415" t="str">
        <f>HYPERLINK("https://www.773grp.com/globalSearch/SN65LBC184PE4/page-1", "SN65LBC184PE4")</f>
        <v>SN65LBC184PE4</v>
      </c>
      <c r="B22415" s="3" t="s">
        <v>90</v>
      </c>
      <c r="C22415" s="5">
        <v>100</v>
      </c>
      <c r="D22415" s="6">
        <v>5.0599999999999996</v>
      </c>
    </row>
    <row r="22416" spans="1:4" x14ac:dyDescent="0.25">
      <c r="A22416" t="str">
        <f>HYPERLINK("https://www.773grp.com/globalSearch/SN65LVDT33DG4/page-1", "SN65LVDT33DG4")</f>
        <v>SN65LVDT33DG4</v>
      </c>
      <c r="B22416" s="3" t="s">
        <v>90</v>
      </c>
      <c r="C22416" s="5">
        <v>29</v>
      </c>
      <c r="D22416" s="6">
        <v>5.0599999999999996</v>
      </c>
    </row>
    <row r="22417" spans="1:4" x14ac:dyDescent="0.25">
      <c r="A22417" t="str">
        <f>HYPERLINK("https://www.773grp.com/globalSearch/TLC2272AMDREP/page-1", "TLC2272AMDREP")</f>
        <v>TLC2272AMDREP</v>
      </c>
      <c r="B22417" s="3" t="s">
        <v>90</v>
      </c>
      <c r="C22417" s="5">
        <v>4552</v>
      </c>
      <c r="D22417" s="6">
        <v>5.0599999999999996</v>
      </c>
    </row>
    <row r="22418" spans="1:4" x14ac:dyDescent="0.25">
      <c r="A22418" t="str">
        <f>HYPERLINK("https://www.773grp.com/globalSearch/TLV3502AID/page-1", "TLV3502AID")</f>
        <v>TLV3502AID</v>
      </c>
      <c r="B22418" s="3" t="s">
        <v>90</v>
      </c>
      <c r="C22418" s="5">
        <v>858</v>
      </c>
      <c r="D22418" s="6">
        <v>5.0599999999999996</v>
      </c>
    </row>
    <row r="22419" spans="1:4" x14ac:dyDescent="0.25">
      <c r="A22419" t="str">
        <f>HYPERLINK("https://www.773grp.com/globalSearch/TLV5621EN/page-1", "TLV5621EN")</f>
        <v>TLV5621EN</v>
      </c>
      <c r="B22419" s="3" t="s">
        <v>90</v>
      </c>
      <c r="C22419" s="5">
        <v>7698</v>
      </c>
      <c r="D22419" s="6">
        <v>5.0599999999999996</v>
      </c>
    </row>
    <row r="22420" spans="1:4" x14ac:dyDescent="0.25">
      <c r="A22420" t="str">
        <f>HYPERLINK("https://www.773grp.com/globalSearch/TLV5625IDR/page-1", "TLV5625IDR")</f>
        <v>TLV5625IDR</v>
      </c>
      <c r="B22420" s="3" t="s">
        <v>90</v>
      </c>
      <c r="C22420" s="5">
        <v>5000</v>
      </c>
      <c r="D22420" s="6">
        <v>5.0599999999999996</v>
      </c>
    </row>
    <row r="22421" spans="1:4" x14ac:dyDescent="0.25">
      <c r="A22421" t="str">
        <f>HYPERLINK("https://www.773grp.com/globalSearch/TPS40051PWPR/page-1", "TPS40051PWPR")</f>
        <v>TPS40051PWPR</v>
      </c>
      <c r="B22421" s="3" t="s">
        <v>90</v>
      </c>
      <c r="C22421" s="5">
        <v>11576</v>
      </c>
      <c r="D22421" s="6">
        <v>5.0599999999999996</v>
      </c>
    </row>
    <row r="22422" spans="1:4" x14ac:dyDescent="0.25">
      <c r="A22422" t="str">
        <f>HYPERLINK("https://www.773grp.com/globalSearch/TPS54627DDA/page-1", "TPS54627DDA")</f>
        <v>TPS54627DDA</v>
      </c>
      <c r="B22422" s="3" t="s">
        <v>90</v>
      </c>
      <c r="C22422" s="5">
        <v>3</v>
      </c>
      <c r="D22422" s="6">
        <v>5.0599999999999996</v>
      </c>
    </row>
    <row r="22423" spans="1:4" x14ac:dyDescent="0.25">
      <c r="A22423" t="str">
        <f>HYPERLINK("https://www.773grp.com/globalSearch/TPS73601MDCQREP/page-1", "TPS73601MDCQREP")</f>
        <v>TPS73601MDCQREP</v>
      </c>
      <c r="B22423" s="3" t="s">
        <v>90</v>
      </c>
      <c r="C22423" s="5">
        <v>1581</v>
      </c>
      <c r="D22423" s="6">
        <v>5.0599999999999996</v>
      </c>
    </row>
    <row r="22424" spans="1:4" x14ac:dyDescent="0.25">
      <c r="A22424" t="str">
        <f>HYPERLINK("https://www.773grp.com/globalSearch/TPS73601MDRBREP/page-1", "TPS73601MDRBREP")</f>
        <v>TPS73601MDRBREP</v>
      </c>
      <c r="B22424" s="3" t="s">
        <v>90</v>
      </c>
      <c r="C22424" s="5">
        <v>4072</v>
      </c>
      <c r="D22424" s="6">
        <v>5.0599999999999996</v>
      </c>
    </row>
    <row r="22425" spans="1:4" x14ac:dyDescent="0.25">
      <c r="A22425" t="str">
        <f>HYPERLINK("https://www.773grp.com/globalSearch/TPS75215QPWPR/page-1", "TPS75215QPWPR")</f>
        <v>TPS75215QPWPR</v>
      </c>
      <c r="B22425" s="3" t="s">
        <v>90</v>
      </c>
      <c r="C22425" s="5">
        <v>578</v>
      </c>
      <c r="D22425" s="6">
        <v>5.0599999999999996</v>
      </c>
    </row>
    <row r="22426" spans="1:4" x14ac:dyDescent="0.25">
      <c r="A22426" t="str">
        <f>HYPERLINK("https://www.773grp.com/globalSearch/TPS75218QPWPR/page-1", "TPS75218QPWPR")</f>
        <v>TPS75218QPWPR</v>
      </c>
      <c r="B22426" s="3" t="s">
        <v>90</v>
      </c>
      <c r="C22426" s="5">
        <v>8000</v>
      </c>
      <c r="D22426" s="6">
        <v>5.0599999999999996</v>
      </c>
    </row>
    <row r="22427" spans="1:4" x14ac:dyDescent="0.25">
      <c r="A22427" t="str">
        <f>HYPERLINK("https://www.773grp.com/globalSearch/TPS77401MDGKREP/page-1", "TPS77401MDGKREP")</f>
        <v>TPS77401MDGKREP</v>
      </c>
      <c r="B22427" s="3" t="s">
        <v>90</v>
      </c>
      <c r="C22427" s="5">
        <v>450</v>
      </c>
      <c r="D22427" s="6">
        <v>5.0599999999999996</v>
      </c>
    </row>
    <row r="22428" spans="1:4" x14ac:dyDescent="0.25">
      <c r="A22428" t="str">
        <f>HYPERLINK("https://www.773grp.com/globalSearch/TWL1200YFFR/page-1", "TWL1200YFFR")</f>
        <v>TWL1200YFFR</v>
      </c>
      <c r="B22428" s="3" t="s">
        <v>90</v>
      </c>
      <c r="C22428" s="5">
        <v>3000</v>
      </c>
      <c r="D22428" s="6">
        <v>5.0599999999999996</v>
      </c>
    </row>
    <row r="22429" spans="1:4" x14ac:dyDescent="0.25">
      <c r="A22429" t="str">
        <f>HYPERLINK("https://www.773grp.com/globalSearch/UCC27210D/page-1", "UCC27210D")</f>
        <v>UCC27210D</v>
      </c>
      <c r="B22429" s="3" t="s">
        <v>90</v>
      </c>
      <c r="C22429" s="5">
        <v>19</v>
      </c>
      <c r="D22429" s="6">
        <v>5.0599999999999996</v>
      </c>
    </row>
    <row r="22430" spans="1:4" x14ac:dyDescent="0.25">
      <c r="A22430" t="str">
        <f>HYPERLINK("https://www.773grp.com/globalSearch/UCC27210DDA/page-1", "UCC27210DDA")</f>
        <v>UCC27210DDA</v>
      </c>
      <c r="B22430" s="3" t="s">
        <v>90</v>
      </c>
      <c r="C22430" s="5">
        <v>290</v>
      </c>
      <c r="D22430" s="6">
        <v>5.0599999999999996</v>
      </c>
    </row>
    <row r="22431" spans="1:4" x14ac:dyDescent="0.25">
      <c r="A22431" t="str">
        <f>HYPERLINK("https://www.773grp.com/globalSearch/UCC27211D/page-1", "UCC27211D")</f>
        <v>UCC27211D</v>
      </c>
      <c r="B22431" s="3" t="s">
        <v>90</v>
      </c>
      <c r="C22431" s="5">
        <v>200</v>
      </c>
      <c r="D22431" s="6">
        <v>5.0599999999999996</v>
      </c>
    </row>
    <row r="22432" spans="1:4" x14ac:dyDescent="0.25">
      <c r="A22432" t="str">
        <f>HYPERLINK("https://www.773grp.com/globalSearch/UCC27211DDA/page-1", "UCC27211DDA")</f>
        <v>UCC27211DDA</v>
      </c>
      <c r="B22432" s="3" t="s">
        <v>90</v>
      </c>
      <c r="C22432" s="5">
        <v>100</v>
      </c>
      <c r="D22432" s="6">
        <v>5.0599999999999996</v>
      </c>
    </row>
    <row r="22433" spans="1:4" x14ac:dyDescent="0.25">
      <c r="A22433" t="str">
        <f>HYPERLINK("https://www.773grp.com/globalSearch/UCC2802D-81270/page-1", "UCC2802D-81270")</f>
        <v>UCC2802D-81270</v>
      </c>
      <c r="B22433" s="3" t="s">
        <v>90</v>
      </c>
      <c r="C22433" s="5">
        <v>3900</v>
      </c>
      <c r="D22433" s="6">
        <v>5.0599999999999996</v>
      </c>
    </row>
    <row r="22434" spans="1:4" x14ac:dyDescent="0.25">
      <c r="A22434" t="str">
        <f>HYPERLINK("https://www.773grp.com/globalSearch/UCC2803DTR-70012/page-1", "UCC2803DTR-70012")</f>
        <v>UCC2803DTR-70012</v>
      </c>
      <c r="B22434" s="3" t="s">
        <v>90</v>
      </c>
      <c r="C22434" s="5">
        <v>5000</v>
      </c>
      <c r="D22434" s="6">
        <v>5.0599999999999996</v>
      </c>
    </row>
    <row r="22435" spans="1:4" x14ac:dyDescent="0.25">
      <c r="A22435" t="str">
        <f>HYPERLINK("https://www.773grp.com/globalSearch/UCC28514DWR/page-1", "UCC28514DWR")</f>
        <v>UCC28514DWR</v>
      </c>
      <c r="B22435" s="3" t="s">
        <v>90</v>
      </c>
      <c r="C22435" s="5">
        <v>1420</v>
      </c>
      <c r="D22435" s="6">
        <v>5.0599999999999996</v>
      </c>
    </row>
    <row r="22436" spans="1:4" x14ac:dyDescent="0.25">
      <c r="A22436" t="str">
        <f>HYPERLINK("https://www.773grp.com/globalSearch/SN700816DR/page-1", "SN700816DR")</f>
        <v>SN700816DR</v>
      </c>
      <c r="B22436" s="3" t="s">
        <v>90</v>
      </c>
      <c r="C22436" s="5">
        <v>30000</v>
      </c>
      <c r="D22436" s="6">
        <v>5.0999999999999996</v>
      </c>
    </row>
    <row r="22437" spans="1:4" x14ac:dyDescent="0.25">
      <c r="A22437" t="str">
        <f>HYPERLINK("https://www.773grp.com/globalSearch/TLC5620CDR/page-1", "TLC5620CDR")</f>
        <v>TLC5620CDR</v>
      </c>
      <c r="B22437" s="3" t="s">
        <v>90</v>
      </c>
      <c r="C22437" s="5">
        <v>5000</v>
      </c>
      <c r="D22437" s="6">
        <v>5.0999999999999996</v>
      </c>
    </row>
    <row r="22438" spans="1:4" x14ac:dyDescent="0.25">
      <c r="A22438" t="str">
        <f>HYPERLINK("https://www.773grp.com/globalSearch/DIT4096IPWG4/page-1", "DIT4096IPWG4")</f>
        <v>DIT4096IPWG4</v>
      </c>
      <c r="B22438" s="3" t="s">
        <v>90</v>
      </c>
      <c r="C22438" s="5">
        <v>50</v>
      </c>
      <c r="D22438" s="6">
        <v>5.1100000000000003</v>
      </c>
    </row>
    <row r="22439" spans="1:4" x14ac:dyDescent="0.25">
      <c r="A22439" t="str">
        <f>HYPERLINK("https://www.773grp.com/globalSearch/LP2952AIM-NOPB/page-1", "LP2952AIM-NOPB")</f>
        <v>LP2952AIM-NOPB</v>
      </c>
      <c r="B22439" s="3" t="s">
        <v>90</v>
      </c>
      <c r="C22439" s="5">
        <v>9874</v>
      </c>
      <c r="D22439" s="6">
        <v>5.1100000000000003</v>
      </c>
    </row>
    <row r="22440" spans="1:4" x14ac:dyDescent="0.25">
      <c r="A22440" t="str">
        <f>HYPERLINK("https://www.773grp.com/globalSearch/OPA846IDR/page-1", "OPA846IDR")</f>
        <v>OPA846IDR</v>
      </c>
      <c r="B22440" s="3" t="s">
        <v>90</v>
      </c>
      <c r="C22440" s="5">
        <v>3437</v>
      </c>
      <c r="D22440" s="6">
        <v>5.1100000000000003</v>
      </c>
    </row>
    <row r="22441" spans="1:4" x14ac:dyDescent="0.25">
      <c r="A22441" t="str">
        <f>HYPERLINK("https://www.773grp.com/globalSearch/SN100340N/page-1", "SN100340N")</f>
        <v>SN100340N</v>
      </c>
      <c r="B22441" s="3" t="s">
        <v>90</v>
      </c>
      <c r="C22441" s="5">
        <v>990</v>
      </c>
      <c r="D22441" s="6">
        <v>5.15</v>
      </c>
    </row>
    <row r="22442" spans="1:4" x14ac:dyDescent="0.25">
      <c r="A22442" t="str">
        <f>HYPERLINK("https://www.773grp.com/globalSearch/SN74AS163NS/page-1", "SN74AS163NS")</f>
        <v>SN74AS163NS</v>
      </c>
      <c r="B22442" s="3" t="s">
        <v>90</v>
      </c>
      <c r="C22442" s="5">
        <v>1850</v>
      </c>
      <c r="D22442" s="6">
        <v>5.15</v>
      </c>
    </row>
    <row r="22443" spans="1:4" x14ac:dyDescent="0.25">
      <c r="A22443" t="str">
        <f>HYPERLINK("https://www.773grp.com/globalSearch/DRV2605YZFT/page-1", "DRV2605YZFT")</f>
        <v>DRV2605YZFT</v>
      </c>
      <c r="B22443" s="3" t="s">
        <v>90</v>
      </c>
      <c r="C22443" s="5">
        <v>250</v>
      </c>
      <c r="D22443" s="6">
        <v>5.18</v>
      </c>
    </row>
    <row r="22444" spans="1:4" x14ac:dyDescent="0.25">
      <c r="A22444" t="str">
        <f>HYPERLINK("https://www.773grp.com/globalSearch/LM5007MM/page-1", "LM5007MM")</f>
        <v>LM5007MM</v>
      </c>
      <c r="B22444" s="3" t="s">
        <v>90</v>
      </c>
      <c r="C22444" s="5">
        <v>157</v>
      </c>
      <c r="D22444" s="6">
        <v>5.18</v>
      </c>
    </row>
    <row r="22445" spans="1:4" x14ac:dyDescent="0.25">
      <c r="A22445" t="str">
        <f>HYPERLINK("https://www.773grp.com/globalSearch/TPIC6A259NE/page-1", "TPIC6A259NE")</f>
        <v>TPIC6A259NE</v>
      </c>
      <c r="B22445" s="3" t="s">
        <v>90</v>
      </c>
      <c r="C22445" s="5">
        <v>500</v>
      </c>
      <c r="D22445" s="6">
        <v>5.18</v>
      </c>
    </row>
    <row r="22446" spans="1:4" x14ac:dyDescent="0.25">
      <c r="A22446" t="str">
        <f>HYPERLINK("https://www.773grp.com/globalSearch/TPS51511RHLR/page-1", "TPS51511RHLR")</f>
        <v>TPS51511RHLR</v>
      </c>
      <c r="B22446" s="3" t="s">
        <v>90</v>
      </c>
      <c r="C22446" s="5">
        <v>24000</v>
      </c>
      <c r="D22446" s="6">
        <v>5.18</v>
      </c>
    </row>
    <row r="22447" spans="1:4" x14ac:dyDescent="0.25">
      <c r="A22447" t="str">
        <f>HYPERLINK("https://www.773grp.com/globalSearch/TPS53126RGET/page-1", "TPS53126RGET")</f>
        <v>TPS53126RGET</v>
      </c>
      <c r="B22447" s="3" t="s">
        <v>90</v>
      </c>
      <c r="C22447" s="5">
        <v>2</v>
      </c>
      <c r="D22447" s="6">
        <v>5.18</v>
      </c>
    </row>
    <row r="22448" spans="1:4" x14ac:dyDescent="0.25">
      <c r="A22448" t="str">
        <f>HYPERLINK("https://www.773grp.com/globalSearch/ADC104S051CIMM-NOPB/page-1", "ADC104S051CIMM-NOPB")</f>
        <v>ADC104S051CIMM-NOPB</v>
      </c>
      <c r="B22448" s="3" t="s">
        <v>90</v>
      </c>
      <c r="C22448" s="5">
        <v>1000</v>
      </c>
      <c r="D22448" s="6">
        <v>5.2</v>
      </c>
    </row>
    <row r="22449" spans="1:4" x14ac:dyDescent="0.25">
      <c r="A22449" t="str">
        <f>HYPERLINK("https://www.773grp.com/globalSearch/ADS7822IDGKRQ1/page-1", "ADS7822IDGKRQ1")</f>
        <v>ADS7822IDGKRQ1</v>
      </c>
      <c r="B22449" s="3" t="s">
        <v>90</v>
      </c>
      <c r="C22449" s="5">
        <v>2500</v>
      </c>
      <c r="D22449" s="6">
        <v>5.2</v>
      </c>
    </row>
    <row r="22450" spans="1:4" x14ac:dyDescent="0.25">
      <c r="A22450" t="str">
        <f>HYPERLINK("https://www.773grp.com/globalSearch/BQ24133RGYT/page-1", "BQ24133RGYT")</f>
        <v>BQ24133RGYT</v>
      </c>
      <c r="B22450" s="3" t="s">
        <v>90</v>
      </c>
      <c r="C22450" s="5">
        <v>250</v>
      </c>
      <c r="D22450" s="6">
        <v>5.2</v>
      </c>
    </row>
    <row r="22451" spans="1:4" x14ac:dyDescent="0.25">
      <c r="A22451" t="str">
        <f>HYPERLINK("https://www.773grp.com/globalSearch/BQ24140YFFT/page-1", "BQ24140YFFT")</f>
        <v>BQ24140YFFT</v>
      </c>
      <c r="B22451" s="3" t="s">
        <v>90</v>
      </c>
      <c r="C22451" s="5">
        <v>289</v>
      </c>
      <c r="D22451" s="6">
        <v>5.2</v>
      </c>
    </row>
    <row r="22452" spans="1:4" x14ac:dyDescent="0.25">
      <c r="A22452" t="str">
        <f>HYPERLINK("https://www.773grp.com/globalSearch/LM2673T-3.3-NOPB/page-1", "LM2673T-3.3-NOPB")</f>
        <v>LM2673T-3.3-NOPB</v>
      </c>
      <c r="B22452" s="3" t="s">
        <v>90</v>
      </c>
      <c r="C22452" s="5">
        <v>200</v>
      </c>
      <c r="D22452" s="6">
        <v>5.2</v>
      </c>
    </row>
    <row r="22453" spans="1:4" x14ac:dyDescent="0.25">
      <c r="A22453" t="str">
        <f>HYPERLINK("https://www.773grp.com/globalSearch/LP3855EMP-ADJ-NOPB/page-1", "LP3855EMP-ADJ-NOPB")</f>
        <v>LP3855EMP-ADJ-NOPB</v>
      </c>
      <c r="B22453" s="3" t="s">
        <v>90</v>
      </c>
      <c r="C22453" s="5">
        <v>2000</v>
      </c>
      <c r="D22453" s="6">
        <v>5.2</v>
      </c>
    </row>
    <row r="22454" spans="1:4" x14ac:dyDescent="0.25">
      <c r="A22454" t="str">
        <f>HYPERLINK("https://www.773grp.com/globalSearch/LP3855EMP-ADJ-NOPB/page-1", "LP3855EMP-ADJ-NOPB")</f>
        <v>LP3855EMP-ADJ-NOPB</v>
      </c>
      <c r="B22454" s="3" t="s">
        <v>90</v>
      </c>
      <c r="C22454" s="5">
        <v>64</v>
      </c>
      <c r="D22454" s="6">
        <v>5.2</v>
      </c>
    </row>
    <row r="22455" spans="1:4" x14ac:dyDescent="0.25">
      <c r="A22455" t="str">
        <f>HYPERLINK("https://www.773grp.com/globalSearch/MSP430F2232TRHAR/page-1", "MSP430F2232TRHAR")</f>
        <v>MSP430F2232TRHAR</v>
      </c>
      <c r="B22455" s="3" t="s">
        <v>90</v>
      </c>
      <c r="C22455" s="5">
        <v>2550</v>
      </c>
      <c r="D22455" s="6">
        <v>5.2</v>
      </c>
    </row>
    <row r="22456" spans="1:4" x14ac:dyDescent="0.25">
      <c r="A22456" t="str">
        <f>HYPERLINK("https://www.773grp.com/globalSearch/MSP430F4152IRGZT/page-1", "MSP430F4152IRGZT")</f>
        <v>MSP430F4152IRGZT</v>
      </c>
      <c r="B22456" s="3" t="s">
        <v>90</v>
      </c>
      <c r="C22456" s="5">
        <v>250</v>
      </c>
      <c r="D22456" s="6">
        <v>5.2</v>
      </c>
    </row>
    <row r="22457" spans="1:4" x14ac:dyDescent="0.25">
      <c r="A22457" t="str">
        <f>HYPERLINK("https://www.773grp.com/globalSearch/MSP430F5310IPT/page-1", "MSP430F5310IPT")</f>
        <v>MSP430F5310IPT</v>
      </c>
      <c r="B22457" s="3" t="s">
        <v>90</v>
      </c>
      <c r="C22457" s="5">
        <v>250</v>
      </c>
      <c r="D22457" s="6">
        <v>5.2</v>
      </c>
    </row>
    <row r="22458" spans="1:4" x14ac:dyDescent="0.25">
      <c r="A22458" t="str">
        <f>HYPERLINK("https://www.773grp.com/globalSearch/MSP430F5310IPTR/page-1", "MSP430F5310IPTR")</f>
        <v>MSP430F5310IPTR</v>
      </c>
      <c r="B22458" s="3" t="s">
        <v>90</v>
      </c>
      <c r="C22458" s="5">
        <v>1000</v>
      </c>
      <c r="D22458" s="6">
        <v>5.2</v>
      </c>
    </row>
    <row r="22459" spans="1:4" x14ac:dyDescent="0.25">
      <c r="A22459" t="str">
        <f>HYPERLINK("https://www.773grp.com/globalSearch/MSP430F5310IRGCT/page-1", "MSP430F5310IRGCT")</f>
        <v>MSP430F5310IRGCT</v>
      </c>
      <c r="B22459" s="3" t="s">
        <v>90</v>
      </c>
      <c r="C22459" s="5">
        <v>250</v>
      </c>
      <c r="D22459" s="6">
        <v>5.2</v>
      </c>
    </row>
    <row r="22460" spans="1:4" x14ac:dyDescent="0.25">
      <c r="A22460" t="str">
        <f>HYPERLINK("https://www.773grp.com/globalSearch/MSP430F5310IRGZT/page-1", "MSP430F5310IRGZT")</f>
        <v>MSP430F5310IRGZT</v>
      </c>
      <c r="B22460" s="3" t="s">
        <v>90</v>
      </c>
      <c r="C22460" s="5">
        <v>1484</v>
      </c>
      <c r="D22460" s="6">
        <v>5.2</v>
      </c>
    </row>
    <row r="22461" spans="1:4" x14ac:dyDescent="0.25">
      <c r="A22461" t="str">
        <f>HYPERLINK("https://www.773grp.com/globalSearch/MSP430F5509IRGZT/page-1", "MSP430F5509IRGZT")</f>
        <v>MSP430F5509IRGZT</v>
      </c>
      <c r="B22461" s="3" t="s">
        <v>90</v>
      </c>
      <c r="C22461" s="5">
        <v>195</v>
      </c>
      <c r="D22461" s="6">
        <v>5.2</v>
      </c>
    </row>
    <row r="22462" spans="1:4" x14ac:dyDescent="0.25">
      <c r="A22462" t="str">
        <f>HYPERLINK("https://www.773grp.com/globalSearch/OPA2336PG4/page-1", "OPA2336PG4")</f>
        <v>OPA2336PG4</v>
      </c>
      <c r="B22462" s="3" t="s">
        <v>90</v>
      </c>
      <c r="C22462" s="5">
        <v>100</v>
      </c>
      <c r="D22462" s="6">
        <v>5.2</v>
      </c>
    </row>
    <row r="22463" spans="1:4" x14ac:dyDescent="0.25">
      <c r="A22463" t="str">
        <f>HYPERLINK("https://www.773grp.com/globalSearch/PGA308AIDRKR/page-1", "PGA308AIDRKR")</f>
        <v>PGA308AIDRKR</v>
      </c>
      <c r="B22463" s="3" t="s">
        <v>90</v>
      </c>
      <c r="C22463" s="5">
        <v>3000</v>
      </c>
      <c r="D22463" s="6">
        <v>5.2</v>
      </c>
    </row>
    <row r="22464" spans="1:4" x14ac:dyDescent="0.25">
      <c r="A22464" t="str">
        <f>HYPERLINK("https://www.773grp.com/globalSearch/SN10219DLR/page-1", "SN10219DLR")</f>
        <v>SN10219DLR</v>
      </c>
      <c r="B22464" s="3" t="s">
        <v>90</v>
      </c>
      <c r="C22464" s="5">
        <v>13000</v>
      </c>
      <c r="D22464" s="6">
        <v>5.2</v>
      </c>
    </row>
    <row r="22465" spans="1:4" x14ac:dyDescent="0.25">
      <c r="A22465" t="str">
        <f>HYPERLINK("https://www.773grp.com/globalSearch/SN65HVD07D/page-1", "SN65HVD07D")</f>
        <v>SN65HVD07D</v>
      </c>
      <c r="B22465" s="3" t="s">
        <v>90</v>
      </c>
      <c r="C22465" s="5">
        <v>161</v>
      </c>
      <c r="D22465" s="6">
        <v>5.2</v>
      </c>
    </row>
    <row r="22466" spans="1:4" x14ac:dyDescent="0.25">
      <c r="A22466" t="str">
        <f>HYPERLINK("https://www.773grp.com/globalSearch/SNJ54ACT11000J/page-1", "SNJ54ACT11000J")</f>
        <v>SNJ54ACT11000J</v>
      </c>
      <c r="B22466" s="3" t="s">
        <v>90</v>
      </c>
      <c r="C22466" s="5">
        <v>33</v>
      </c>
      <c r="D22466" s="6">
        <v>5.2</v>
      </c>
    </row>
    <row r="22467" spans="1:4" x14ac:dyDescent="0.25">
      <c r="A22467" t="str">
        <f>HYPERLINK("https://www.773grp.com/globalSearch/SNJ54ACT11008J/page-1", "SNJ54ACT11008J")</f>
        <v>SNJ54ACT11008J</v>
      </c>
      <c r="B22467" s="3" t="s">
        <v>90</v>
      </c>
      <c r="C22467" s="5">
        <v>50</v>
      </c>
      <c r="D22467" s="6">
        <v>5.2</v>
      </c>
    </row>
    <row r="22468" spans="1:4" x14ac:dyDescent="0.25">
      <c r="A22468" t="str">
        <f>HYPERLINK("https://www.773grp.com/globalSearch/SNJ54ACT11011FK/page-1", "SNJ54ACT11011FK")</f>
        <v>SNJ54ACT11011FK</v>
      </c>
      <c r="B22468" s="3" t="s">
        <v>90</v>
      </c>
      <c r="C22468" s="5">
        <v>56</v>
      </c>
      <c r="D22468" s="6">
        <v>5.2</v>
      </c>
    </row>
    <row r="22469" spans="1:4" x14ac:dyDescent="0.25">
      <c r="A22469" t="str">
        <f>HYPERLINK("https://www.773grp.com/globalSearch/THS4081ED/page-1", "THS4081ED")</f>
        <v>THS4081ED</v>
      </c>
      <c r="B22469" s="3" t="s">
        <v>90</v>
      </c>
      <c r="C22469" s="5">
        <v>10151</v>
      </c>
      <c r="D22469" s="6">
        <v>5.2</v>
      </c>
    </row>
    <row r="22470" spans="1:4" x14ac:dyDescent="0.25">
      <c r="A22470" t="str">
        <f>HYPERLINK("https://www.773grp.com/globalSearch/TLC5924RHBT/page-1", "TLC5924RHBT")</f>
        <v>TLC5924RHBT</v>
      </c>
      <c r="B22470" s="3" t="s">
        <v>90</v>
      </c>
      <c r="C22470" s="5">
        <v>11750</v>
      </c>
      <c r="D22470" s="6">
        <v>5.2</v>
      </c>
    </row>
    <row r="22471" spans="1:4" x14ac:dyDescent="0.25">
      <c r="A22471" t="str">
        <f>HYPERLINK("https://www.773grp.com/globalSearch/TLC7701MPWREP/page-1", "TLC7701MPWREP")</f>
        <v>TLC7701MPWREP</v>
      </c>
      <c r="B22471" s="3" t="s">
        <v>90</v>
      </c>
      <c r="C22471" s="5">
        <v>1400</v>
      </c>
      <c r="D22471" s="6">
        <v>5.2</v>
      </c>
    </row>
    <row r="22472" spans="1:4" x14ac:dyDescent="0.25">
      <c r="A22472" t="str">
        <f>HYPERLINK("https://www.773grp.com/globalSearch/TLC7701MPWREPG4/page-1", "TLC7701MPWREPG4")</f>
        <v>TLC7701MPWREPG4</v>
      </c>
      <c r="B22472" s="3" t="s">
        <v>90</v>
      </c>
      <c r="C22472" s="5">
        <v>1600</v>
      </c>
      <c r="D22472" s="6">
        <v>5.2</v>
      </c>
    </row>
    <row r="22473" spans="1:4" x14ac:dyDescent="0.25">
      <c r="A22473" t="str">
        <f>HYPERLINK("https://www.773grp.com/globalSearch/TLE2024ACN/page-1", "TLE2024ACN")</f>
        <v>TLE2024ACN</v>
      </c>
      <c r="B22473" s="3" t="s">
        <v>90</v>
      </c>
      <c r="C22473" s="5">
        <v>32297</v>
      </c>
      <c r="D22473" s="6">
        <v>5.2</v>
      </c>
    </row>
    <row r="22474" spans="1:4" x14ac:dyDescent="0.25">
      <c r="A22474" t="str">
        <f>HYPERLINK("https://www.773grp.com/globalSearch/TLE2024MDWG4/page-1", "TLE2024MDWG4")</f>
        <v>TLE2024MDWG4</v>
      </c>
      <c r="B22474" s="3" t="s">
        <v>90</v>
      </c>
      <c r="C22474" s="5">
        <v>2080</v>
      </c>
      <c r="D22474" s="6">
        <v>5.2</v>
      </c>
    </row>
    <row r="22475" spans="1:4" x14ac:dyDescent="0.25">
      <c r="A22475" t="str">
        <f>HYPERLINK("https://www.773grp.com/globalSearch/TPS54110PWPR/page-1", "TPS54110PWPR")</f>
        <v>TPS54110PWPR</v>
      </c>
      <c r="B22475" s="3" t="s">
        <v>90</v>
      </c>
      <c r="C22475" s="5">
        <v>12000</v>
      </c>
      <c r="D22475" s="6">
        <v>5.2</v>
      </c>
    </row>
    <row r="22476" spans="1:4" x14ac:dyDescent="0.25">
      <c r="A22476" t="str">
        <f>HYPERLINK("https://www.773grp.com/globalSearch/TPS54160QDGQRQ1/page-1", "TPS54160QDGQRQ1")</f>
        <v>TPS54160QDGQRQ1</v>
      </c>
      <c r="B22476" s="3" t="s">
        <v>90</v>
      </c>
      <c r="C22476" s="5">
        <v>4800</v>
      </c>
      <c r="D22476" s="6">
        <v>5.2</v>
      </c>
    </row>
    <row r="22477" spans="1:4" x14ac:dyDescent="0.25">
      <c r="A22477" t="str">
        <f>HYPERLINK("https://www.773grp.com/globalSearch/TPS5430DDAR/page-1", "TPS5430DDAR")</f>
        <v>TPS5430DDAR</v>
      </c>
      <c r="B22477" s="3" t="s">
        <v>90</v>
      </c>
      <c r="C22477" s="5">
        <v>2430</v>
      </c>
      <c r="D22477" s="6">
        <v>5.2</v>
      </c>
    </row>
    <row r="22478" spans="1:4" x14ac:dyDescent="0.25">
      <c r="A22478" t="str">
        <f>HYPERLINK("https://www.773grp.com/globalSearch/TPS54350PWPR/page-1", "TPS54350PWPR")</f>
        <v>TPS54350PWPR</v>
      </c>
      <c r="B22478" s="3" t="s">
        <v>90</v>
      </c>
      <c r="C22478" s="5">
        <v>117970</v>
      </c>
      <c r="D22478" s="6">
        <v>5.2</v>
      </c>
    </row>
    <row r="22479" spans="1:4" x14ac:dyDescent="0.25">
      <c r="A22479" t="str">
        <f>HYPERLINK("https://www.773grp.com/globalSearch/TPS54350PWPRG4/page-1", "TPS54350PWPRG4")</f>
        <v>TPS54350PWPRG4</v>
      </c>
      <c r="B22479" s="3" t="s">
        <v>90</v>
      </c>
      <c r="C22479" s="5">
        <v>500</v>
      </c>
      <c r="D22479" s="6">
        <v>5.2</v>
      </c>
    </row>
    <row r="22480" spans="1:4" x14ac:dyDescent="0.25">
      <c r="A22480" t="str">
        <f>HYPERLINK("https://www.773grp.com/globalSearch/TPS70245PWPR/page-1", "TPS70245PWPR")</f>
        <v>TPS70245PWPR</v>
      </c>
      <c r="B22480" s="3" t="s">
        <v>90</v>
      </c>
      <c r="C22480" s="5">
        <v>2000</v>
      </c>
      <c r="D22480" s="6">
        <v>5.2</v>
      </c>
    </row>
    <row r="22481" spans="1:4" x14ac:dyDescent="0.25">
      <c r="A22481" t="str">
        <f>HYPERLINK("https://www.773grp.com/globalSearch/TPS70248PWPR/page-1", "TPS70248PWPR")</f>
        <v>TPS70248PWPR</v>
      </c>
      <c r="B22481" s="3" t="s">
        <v>90</v>
      </c>
      <c r="C22481" s="5">
        <v>2000</v>
      </c>
      <c r="D22481" s="6">
        <v>5.2</v>
      </c>
    </row>
    <row r="22482" spans="1:4" x14ac:dyDescent="0.25">
      <c r="A22482" t="str">
        <f>HYPERLINK("https://www.773grp.com/globalSearch/TPS70258PWPR/page-1", "TPS70258PWPR")</f>
        <v>TPS70258PWPR</v>
      </c>
      <c r="B22482" s="3" t="s">
        <v>90</v>
      </c>
      <c r="C22482" s="5">
        <v>10000</v>
      </c>
      <c r="D22482" s="6">
        <v>5.2</v>
      </c>
    </row>
    <row r="22483" spans="1:4" x14ac:dyDescent="0.25">
      <c r="A22483" t="str">
        <f>HYPERLINK("https://www.773grp.com/globalSearch/UC2854BDW/page-1", "UC2854BDW")</f>
        <v>UC2854BDW</v>
      </c>
      <c r="B22483" s="3" t="s">
        <v>90</v>
      </c>
      <c r="C22483" s="5">
        <v>19740</v>
      </c>
      <c r="D22483" s="6">
        <v>5.2</v>
      </c>
    </row>
    <row r="22484" spans="1:4" x14ac:dyDescent="0.25">
      <c r="A22484" t="str">
        <f>HYPERLINK("https://www.773grp.com/globalSearch/UCC3810DWTR/page-1", "UCC3810DWTR")</f>
        <v>UCC3810DWTR</v>
      </c>
      <c r="B22484" s="3" t="s">
        <v>90</v>
      </c>
      <c r="C22484" s="5">
        <v>4000</v>
      </c>
      <c r="D22484" s="6">
        <v>5.2</v>
      </c>
    </row>
    <row r="22485" spans="1:4" x14ac:dyDescent="0.25">
      <c r="A22485" t="str">
        <f>HYPERLINK("https://www.773grp.com/globalSearch/74AC11257PW/page-1", "74AC11257PW")</f>
        <v>74AC11257PW</v>
      </c>
      <c r="B22485" s="3" t="s">
        <v>90</v>
      </c>
      <c r="C22485" s="5">
        <v>207</v>
      </c>
      <c r="D22485" s="6">
        <v>5.24</v>
      </c>
    </row>
    <row r="22486" spans="1:4" x14ac:dyDescent="0.25">
      <c r="A22486" t="str">
        <f>HYPERLINK("https://www.773grp.com/globalSearch/LM3152MH-3.3-NOPB/page-1", "LM3152MH-3.3-NOPB")</f>
        <v>LM3152MH-3.3-NOPB</v>
      </c>
      <c r="B22486" s="3" t="s">
        <v>90</v>
      </c>
      <c r="C22486" s="5">
        <v>354</v>
      </c>
      <c r="D22486" s="6">
        <v>5.24</v>
      </c>
    </row>
    <row r="22487" spans="1:4" x14ac:dyDescent="0.25">
      <c r="A22487" t="str">
        <f>HYPERLINK("https://www.773grp.com/globalSearch/SN74ALS642A-1DB/page-1", "SN74ALS642A-1DB")</f>
        <v>SN74ALS642A-1DB</v>
      </c>
      <c r="B22487" s="3" t="s">
        <v>90</v>
      </c>
      <c r="C22487" s="5">
        <v>2049</v>
      </c>
      <c r="D22487" s="6">
        <v>5.24</v>
      </c>
    </row>
    <row r="22488" spans="1:4" x14ac:dyDescent="0.25">
      <c r="A22488" t="str">
        <f>HYPERLINK("https://www.773grp.com/globalSearch/SN74ALS642A-IN/page-1", "SN74ALS642A-IN")</f>
        <v>SN74ALS642A-IN</v>
      </c>
      <c r="B22488" s="3" t="s">
        <v>90</v>
      </c>
      <c r="C22488" s="5">
        <v>3440</v>
      </c>
      <c r="D22488" s="6">
        <v>5.24</v>
      </c>
    </row>
    <row r="22489" spans="1:4" x14ac:dyDescent="0.25">
      <c r="A22489" t="str">
        <f>HYPERLINK("https://www.773grp.com/globalSearch/SN74AUCH16244GQLR/page-1", "SN74AUCH16244GQLR")</f>
        <v>SN74AUCH16244GQLR</v>
      </c>
      <c r="B22489" s="3" t="s">
        <v>90</v>
      </c>
      <c r="C22489" s="5">
        <v>1000</v>
      </c>
      <c r="D22489" s="6">
        <v>5.24</v>
      </c>
    </row>
    <row r="22490" spans="1:4" x14ac:dyDescent="0.25">
      <c r="A22490" t="str">
        <f>HYPERLINK("https://www.773grp.com/globalSearch/SN74BCT240NS/page-1", "SN74BCT240NS")</f>
        <v>SN74BCT240NS</v>
      </c>
      <c r="B22490" s="3" t="s">
        <v>90</v>
      </c>
      <c r="C22490" s="5">
        <v>200</v>
      </c>
      <c r="D22490" s="6">
        <v>5.24</v>
      </c>
    </row>
    <row r="22491" spans="1:4" x14ac:dyDescent="0.25">
      <c r="A22491" t="str">
        <f>HYPERLINK("https://www.773grp.com/globalSearch/SN74BCT373NS/page-1", "SN74BCT373NS")</f>
        <v>SN74BCT373NS</v>
      </c>
      <c r="B22491" s="3" t="s">
        <v>90</v>
      </c>
      <c r="C22491" s="5">
        <v>1775</v>
      </c>
      <c r="D22491" s="6">
        <v>5.24</v>
      </c>
    </row>
    <row r="22492" spans="1:4" x14ac:dyDescent="0.25">
      <c r="A22492" t="str">
        <f>HYPERLINK("https://www.773grp.com/globalSearch/SN74BCT573NS/page-1", "SN74BCT573NS")</f>
        <v>SN74BCT573NS</v>
      </c>
      <c r="B22492" s="3" t="s">
        <v>90</v>
      </c>
      <c r="C22492" s="5">
        <v>1600</v>
      </c>
      <c r="D22492" s="6">
        <v>5.24</v>
      </c>
    </row>
    <row r="22493" spans="1:4" x14ac:dyDescent="0.25">
      <c r="A22493" t="str">
        <f>HYPERLINK("https://www.773grp.com/globalSearch/SN74LVT32244ZKER/page-1", "SN74LVT32244ZKER")</f>
        <v>SN74LVT32244ZKER</v>
      </c>
      <c r="B22493" s="3" t="s">
        <v>90</v>
      </c>
      <c r="C22493" s="5">
        <v>4000</v>
      </c>
      <c r="D22493" s="6">
        <v>5.24</v>
      </c>
    </row>
    <row r="22494" spans="1:4" x14ac:dyDescent="0.25">
      <c r="A22494" t="str">
        <f>HYPERLINK("https://www.773grp.com/globalSearch/TLC0834ID/page-1", "TLC0834ID")</f>
        <v>TLC0834ID</v>
      </c>
      <c r="B22494" s="3" t="s">
        <v>90</v>
      </c>
      <c r="C22494" s="5">
        <v>10120</v>
      </c>
      <c r="D22494" s="6">
        <v>5.24</v>
      </c>
    </row>
    <row r="22495" spans="1:4" x14ac:dyDescent="0.25">
      <c r="A22495" t="str">
        <f>HYPERLINK("https://www.773grp.com/globalSearch/TLV5626CDR/page-1", "TLV5626CDR")</f>
        <v>TLV5626CDR</v>
      </c>
      <c r="B22495" s="3" t="s">
        <v>90</v>
      </c>
      <c r="C22495" s="5">
        <v>2275</v>
      </c>
      <c r="D22495" s="6">
        <v>5.24</v>
      </c>
    </row>
    <row r="22496" spans="1:4" x14ac:dyDescent="0.25">
      <c r="A22496" t="str">
        <f>HYPERLINK("https://www.773grp.com/globalSearch/TPS54628DDA/page-1", "TPS54628DDA")</f>
        <v>TPS54628DDA</v>
      </c>
      <c r="B22496" s="3" t="s">
        <v>90</v>
      </c>
      <c r="C22496" s="5">
        <v>25</v>
      </c>
      <c r="D22496" s="6">
        <v>5.24</v>
      </c>
    </row>
    <row r="22497" spans="1:4" x14ac:dyDescent="0.25">
      <c r="A22497" t="str">
        <f>HYPERLINK("https://www.773grp.com/globalSearch/TTLC1543CDB/page-1", "TTLC1543CDB")</f>
        <v>TTLC1543CDB</v>
      </c>
      <c r="B22497" s="3" t="s">
        <v>90</v>
      </c>
      <c r="C22497" s="5">
        <v>3</v>
      </c>
      <c r="D22497" s="6">
        <v>5.24</v>
      </c>
    </row>
    <row r="22498" spans="1:4" x14ac:dyDescent="0.25">
      <c r="A22498" t="str">
        <f>HYPERLINK("https://www.773grp.com/globalSearch/74FCT162H244ATPAC/page-1", "74FCT162H244ATPAC")</f>
        <v>74FCT162H244ATPAC</v>
      </c>
      <c r="B22498" s="3" t="s">
        <v>90</v>
      </c>
      <c r="C22498" s="5">
        <v>1637</v>
      </c>
      <c r="D22498" s="6">
        <v>5.26</v>
      </c>
    </row>
    <row r="22499" spans="1:4" x14ac:dyDescent="0.25">
      <c r="A22499" t="str">
        <f>HYPERLINK("https://www.773grp.com/globalSearch/SN74103AN/page-1", "SN74103AN")</f>
        <v>SN74103AN</v>
      </c>
      <c r="B22499" s="3" t="s">
        <v>90</v>
      </c>
      <c r="C22499" s="5">
        <v>2099</v>
      </c>
      <c r="D22499" s="6">
        <v>5.26</v>
      </c>
    </row>
    <row r="22500" spans="1:4" x14ac:dyDescent="0.25">
      <c r="A22500" t="str">
        <f>HYPERLINK("https://www.773grp.com/globalSearch/SN65LVDM050QDRG4Q1/page-1", "SN65LVDM050QDRG4Q1")</f>
        <v>SN65LVDM050QDRG4Q1</v>
      </c>
      <c r="B22500" s="3" t="s">
        <v>90</v>
      </c>
      <c r="C22500" s="5">
        <v>2500</v>
      </c>
      <c r="D22500" s="6">
        <v>5.29</v>
      </c>
    </row>
    <row r="22501" spans="1:4" x14ac:dyDescent="0.25">
      <c r="A22501" t="str">
        <f>HYPERLINK("https://www.773grp.com/globalSearch/SN65LVDM051PWG4/page-1", "SN65LVDM051PWG4")</f>
        <v>SN65LVDM051PWG4</v>
      </c>
      <c r="B22501" s="3" t="s">
        <v>90</v>
      </c>
      <c r="C22501" s="5">
        <v>1360</v>
      </c>
      <c r="D22501" s="6">
        <v>5.29</v>
      </c>
    </row>
    <row r="22502" spans="1:4" x14ac:dyDescent="0.25">
      <c r="A22502" t="str">
        <f>HYPERLINK("https://www.773grp.com/globalSearch/SN65LVDM051QDRG4Q1/page-1", "SN65LVDM051QDRG4Q1")</f>
        <v>SN65LVDM051QDRG4Q1</v>
      </c>
      <c r="B22502" s="3" t="s">
        <v>90</v>
      </c>
      <c r="C22502" s="5">
        <v>2500</v>
      </c>
      <c r="D22502" s="6">
        <v>5.29</v>
      </c>
    </row>
    <row r="22503" spans="1:4" x14ac:dyDescent="0.25">
      <c r="A22503" t="str">
        <f>HYPERLINK("https://www.773grp.com/globalSearch/SN65LVDM176DG4/page-1", "SN65LVDM176DG4")</f>
        <v>SN65LVDM176DG4</v>
      </c>
      <c r="B22503" s="3" t="s">
        <v>90</v>
      </c>
      <c r="C22503" s="5">
        <v>75</v>
      </c>
      <c r="D22503" s="6">
        <v>5.29</v>
      </c>
    </row>
    <row r="22504" spans="1:4" x14ac:dyDescent="0.25">
      <c r="A22504" t="str">
        <f>HYPERLINK("https://www.773grp.com/globalSearch/SN65LVDM176DGK/page-1", "SN65LVDM176DGK")</f>
        <v>SN65LVDM176DGK</v>
      </c>
      <c r="B22504" s="3" t="s">
        <v>90</v>
      </c>
      <c r="C22504" s="5">
        <v>240</v>
      </c>
      <c r="D22504" s="6">
        <v>5.29</v>
      </c>
    </row>
    <row r="22505" spans="1:4" x14ac:dyDescent="0.25">
      <c r="A22505" t="str">
        <f>HYPERLINK("https://www.773grp.com/globalSearch/SN65LVDS047PW/page-1", "SN65LVDS047PW")</f>
        <v>SN65LVDS047PW</v>
      </c>
      <c r="B22505" s="3" t="s">
        <v>90</v>
      </c>
      <c r="C22505" s="5">
        <v>630</v>
      </c>
      <c r="D22505" s="6">
        <v>5.29</v>
      </c>
    </row>
    <row r="22506" spans="1:4" x14ac:dyDescent="0.25">
      <c r="A22506" t="str">
        <f>HYPERLINK("https://www.773grp.com/globalSearch/TLC5924DAP/page-1", "TLC5924DAP")</f>
        <v>TLC5924DAP</v>
      </c>
      <c r="B22506" s="3" t="s">
        <v>90</v>
      </c>
      <c r="C22506" s="5">
        <v>135</v>
      </c>
      <c r="D22506" s="6">
        <v>5.29</v>
      </c>
    </row>
    <row r="22507" spans="1:4" x14ac:dyDescent="0.25">
      <c r="A22507" t="str">
        <f>HYPERLINK("https://www.773grp.com/globalSearch/CC1050-RTR1/page-1", "CC1050-RTR1")</f>
        <v>CC1050-RTR1</v>
      </c>
      <c r="B22507" s="3" t="s">
        <v>90</v>
      </c>
      <c r="C22507" s="5">
        <v>799</v>
      </c>
      <c r="D22507" s="6">
        <v>5.31</v>
      </c>
    </row>
    <row r="22508" spans="1:4" x14ac:dyDescent="0.25">
      <c r="A22508" t="str">
        <f>HYPERLINK("https://www.773grp.com/globalSearch/LM4802BLQ-NOPB/page-1", "LM4802BLQ-NOPB")</f>
        <v>LM4802BLQ-NOPB</v>
      </c>
      <c r="B22508" s="3" t="s">
        <v>90</v>
      </c>
      <c r="C22508" s="5">
        <v>1000</v>
      </c>
      <c r="D22508" s="6">
        <v>5.31</v>
      </c>
    </row>
    <row r="22509" spans="1:4" x14ac:dyDescent="0.25">
      <c r="A22509" t="str">
        <f>HYPERLINK("https://www.773grp.com/globalSearch/MSP430F1222IPW/page-1", "MSP430F1222IPW")</f>
        <v>MSP430F1222IPW</v>
      </c>
      <c r="B22509" s="3" t="s">
        <v>90</v>
      </c>
      <c r="C22509" s="5">
        <v>172</v>
      </c>
      <c r="D22509" s="6">
        <v>5.31</v>
      </c>
    </row>
    <row r="22510" spans="1:4" x14ac:dyDescent="0.25">
      <c r="A22510" t="str">
        <f>HYPERLINK("https://www.773grp.com/globalSearch/SN74ALS644AN/page-1", "SN74ALS644AN")</f>
        <v>SN74ALS644AN</v>
      </c>
      <c r="B22510" s="3" t="s">
        <v>90</v>
      </c>
      <c r="C22510" s="5">
        <v>3270</v>
      </c>
      <c r="D22510" s="6">
        <v>5.31</v>
      </c>
    </row>
    <row r="22511" spans="1:4" x14ac:dyDescent="0.25">
      <c r="A22511" t="str">
        <f>HYPERLINK("https://www.773grp.com/globalSearch/SN750032DWR/page-1", "SN750032DWR")</f>
        <v>SN750032DWR</v>
      </c>
      <c r="B22511" s="3" t="s">
        <v>90</v>
      </c>
      <c r="C22511" s="5">
        <v>4000</v>
      </c>
      <c r="D22511" s="6">
        <v>5.31</v>
      </c>
    </row>
    <row r="22512" spans="1:4" x14ac:dyDescent="0.25">
      <c r="A22512" t="str">
        <f>HYPERLINK("https://www.773grp.com/globalSearch/TMS320F280220DAT/page-1", "TMS320F280220DAT")</f>
        <v>TMS320F280220DAT</v>
      </c>
      <c r="B22512" s="3" t="s">
        <v>90</v>
      </c>
      <c r="C22512" s="5">
        <v>2240</v>
      </c>
      <c r="D22512" s="6">
        <v>5.31</v>
      </c>
    </row>
    <row r="22513" spans="1:4" x14ac:dyDescent="0.25">
      <c r="A22513" t="str">
        <f>HYPERLINK("https://www.773grp.com/globalSearch/ADS7822U/page-1", "ADS7822U")</f>
        <v>ADS7822U</v>
      </c>
      <c r="B22513" s="3" t="s">
        <v>90</v>
      </c>
      <c r="C22513" s="5">
        <v>300</v>
      </c>
      <c r="D22513" s="6">
        <v>5.35</v>
      </c>
    </row>
    <row r="22514" spans="1:4" x14ac:dyDescent="0.25">
      <c r="A22514" t="str">
        <f>HYPERLINK("https://www.773grp.com/globalSearch/ADS7822UC-2K5/page-1", "ADS7822UC-2K5")</f>
        <v>ADS7822UC-2K5</v>
      </c>
      <c r="B22514" s="3" t="s">
        <v>90</v>
      </c>
      <c r="C22514" s="5">
        <v>2500</v>
      </c>
      <c r="D22514" s="6">
        <v>5.35</v>
      </c>
    </row>
    <row r="22515" spans="1:4" x14ac:dyDescent="0.25">
      <c r="A22515" t="str">
        <f>HYPERLINK("https://www.773grp.com/globalSearch/ADS7954SRGER/page-1", "ADS7954SRGER")</f>
        <v>ADS7954SRGER</v>
      </c>
      <c r="B22515" s="3" t="s">
        <v>90</v>
      </c>
      <c r="C22515" s="5">
        <v>6000</v>
      </c>
      <c r="D22515" s="6">
        <v>5.35</v>
      </c>
    </row>
    <row r="22516" spans="1:4" x14ac:dyDescent="0.25">
      <c r="A22516" t="str">
        <f>HYPERLINK("https://www.773grp.com/globalSearch/BQ51013ARHLT/page-1", "BQ51013ARHLT")</f>
        <v>BQ51013ARHLT</v>
      </c>
      <c r="B22516" s="3" t="s">
        <v>90</v>
      </c>
      <c r="C22516" s="5">
        <v>830</v>
      </c>
      <c r="D22516" s="6">
        <v>5.35</v>
      </c>
    </row>
    <row r="22517" spans="1:4" x14ac:dyDescent="0.25">
      <c r="A22517" t="str">
        <f>HYPERLINK("https://www.773grp.com/globalSearch/DAC7513N-250G4/page-1", "DAC7513N-250G4")</f>
        <v>DAC7513N-250G4</v>
      </c>
      <c r="B22517" s="3" t="s">
        <v>90</v>
      </c>
      <c r="C22517" s="5">
        <v>80</v>
      </c>
      <c r="D22517" s="6">
        <v>5.35</v>
      </c>
    </row>
    <row r="22518" spans="1:4" x14ac:dyDescent="0.25">
      <c r="A22518" t="str">
        <f>HYPERLINK("https://www.773grp.com/globalSearch/ISO1050DUBR/page-1", "ISO1050DUBR")</f>
        <v>ISO1050DUBR</v>
      </c>
      <c r="B22518" s="3" t="s">
        <v>90</v>
      </c>
      <c r="C22518" s="5">
        <v>664</v>
      </c>
      <c r="D22518" s="6">
        <v>5.35</v>
      </c>
    </row>
    <row r="22519" spans="1:4" x14ac:dyDescent="0.25">
      <c r="A22519" t="str">
        <f>HYPERLINK("https://www.773grp.com/globalSearch/LMV844MAX-NOPB/page-1", "LMV844MAX-NOPB")</f>
        <v>LMV844MAX-NOPB</v>
      </c>
      <c r="B22519" s="3" t="s">
        <v>90</v>
      </c>
      <c r="C22519" s="5">
        <v>5000</v>
      </c>
      <c r="D22519" s="6">
        <v>5.35</v>
      </c>
    </row>
    <row r="22520" spans="1:4" x14ac:dyDescent="0.25">
      <c r="A22520" t="str">
        <f>HYPERLINK("https://www.773grp.com/globalSearch/MSP430F417IRTDT/page-1", "MSP430F417IRTDT")</f>
        <v>MSP430F417IRTDT</v>
      </c>
      <c r="B22520" s="3" t="s">
        <v>90</v>
      </c>
      <c r="C22520" s="5">
        <v>250</v>
      </c>
      <c r="D22520" s="6">
        <v>5.35</v>
      </c>
    </row>
    <row r="22521" spans="1:4" x14ac:dyDescent="0.25">
      <c r="A22521" t="str">
        <f>HYPERLINK("https://www.773grp.com/globalSearch/MSP430FR5722IRGET/page-1", "MSP430FR5722IRGET")</f>
        <v>MSP430FR5722IRGET</v>
      </c>
      <c r="B22521" s="3" t="s">
        <v>90</v>
      </c>
      <c r="C22521" s="5">
        <v>274</v>
      </c>
      <c r="D22521" s="6">
        <v>5.35</v>
      </c>
    </row>
    <row r="22522" spans="1:4" x14ac:dyDescent="0.25">
      <c r="A22522" t="str">
        <f>HYPERLINK("https://www.773grp.com/globalSearch/ONET8501PRGTR/page-1", "ONET8501PRGTR")</f>
        <v>ONET8501PRGTR</v>
      </c>
      <c r="B22522" s="3" t="s">
        <v>90</v>
      </c>
      <c r="C22522" s="5">
        <v>2960</v>
      </c>
      <c r="D22522" s="6">
        <v>5.35</v>
      </c>
    </row>
    <row r="22523" spans="1:4" x14ac:dyDescent="0.25">
      <c r="A22523" t="str">
        <f>HYPERLINK("https://www.773grp.com/globalSearch/ONET8501VRGPR/page-1", "ONET8501VRGPR")</f>
        <v>ONET8501VRGPR</v>
      </c>
      <c r="B22523" s="3" t="s">
        <v>90</v>
      </c>
      <c r="C22523" s="5">
        <v>3000</v>
      </c>
      <c r="D22523" s="6">
        <v>5.35</v>
      </c>
    </row>
    <row r="22524" spans="1:4" x14ac:dyDescent="0.25">
      <c r="A22524" t="str">
        <f>HYPERLINK("https://www.773grp.com/globalSearch/OPA140AID/page-1", "OPA140AID")</f>
        <v>OPA140AID</v>
      </c>
      <c r="B22524" s="3" t="s">
        <v>90</v>
      </c>
      <c r="C22524" s="5">
        <v>29</v>
      </c>
      <c r="D22524" s="6">
        <v>5.35</v>
      </c>
    </row>
    <row r="22525" spans="1:4" x14ac:dyDescent="0.25">
      <c r="A22525" t="str">
        <f>HYPERLINK("https://www.773grp.com/globalSearch/OPA2241UA-2K5/page-1", "OPA2241UA-2K5")</f>
        <v>OPA2241UA-2K5</v>
      </c>
      <c r="B22525" s="3" t="s">
        <v>90</v>
      </c>
      <c r="C22525" s="5">
        <v>17262</v>
      </c>
      <c r="D22525" s="6">
        <v>5.35</v>
      </c>
    </row>
    <row r="22526" spans="1:4" x14ac:dyDescent="0.25">
      <c r="A22526" t="str">
        <f>HYPERLINK("https://www.773grp.com/globalSearch/SN65HVD30D/page-1", "SN65HVD30D")</f>
        <v>SN65HVD30D</v>
      </c>
      <c r="B22526" s="3" t="s">
        <v>90</v>
      </c>
      <c r="C22526" s="5">
        <v>5</v>
      </c>
      <c r="D22526" s="6">
        <v>5.35</v>
      </c>
    </row>
    <row r="22527" spans="1:4" x14ac:dyDescent="0.25">
      <c r="A22527" t="str">
        <f>HYPERLINK("https://www.773grp.com/globalSearch/SN74AS253ANS/page-1", "SN74AS253ANS")</f>
        <v>SN74AS253ANS</v>
      </c>
      <c r="B22527" s="3" t="s">
        <v>90</v>
      </c>
      <c r="C22527" s="5">
        <v>14100</v>
      </c>
      <c r="D22527" s="6">
        <v>5.35</v>
      </c>
    </row>
    <row r="22528" spans="1:4" x14ac:dyDescent="0.25">
      <c r="A22528" t="str">
        <f>HYPERLINK("https://www.773grp.com/globalSearch/SN74AS253ANSR/page-1", "SN74AS253ANSR")</f>
        <v>SN74AS253ANSR</v>
      </c>
      <c r="B22528" s="3" t="s">
        <v>90</v>
      </c>
      <c r="C22528" s="5">
        <v>4000</v>
      </c>
      <c r="D22528" s="6">
        <v>5.35</v>
      </c>
    </row>
    <row r="22529" spans="1:4" x14ac:dyDescent="0.25">
      <c r="A22529" t="str">
        <f>HYPERLINK("https://www.773grp.com/globalSearch/SN75DP122ARTQR/page-1", "SN75DP122ARTQR")</f>
        <v>SN75DP122ARTQR</v>
      </c>
      <c r="B22529" s="3" t="s">
        <v>90</v>
      </c>
      <c r="C22529" s="5">
        <v>28000</v>
      </c>
      <c r="D22529" s="6">
        <v>5.35</v>
      </c>
    </row>
    <row r="22530" spans="1:4" x14ac:dyDescent="0.25">
      <c r="A22530" t="str">
        <f>HYPERLINK("https://www.773grp.com/globalSearch/TLC1543CDWR/page-1", "TLC1543CDWR")</f>
        <v>TLC1543CDWR</v>
      </c>
      <c r="B22530" s="3" t="s">
        <v>90</v>
      </c>
      <c r="C22530" s="5">
        <v>1000</v>
      </c>
      <c r="D22530" s="6">
        <v>5.35</v>
      </c>
    </row>
    <row r="22531" spans="1:4" x14ac:dyDescent="0.25">
      <c r="A22531" t="str">
        <f>HYPERLINK("https://www.773grp.com/globalSearch/TMP513AID/page-1", "TMP513AID")</f>
        <v>TMP513AID</v>
      </c>
      <c r="B22531" s="3" t="s">
        <v>90</v>
      </c>
      <c r="C22531" s="5">
        <v>142</v>
      </c>
      <c r="D22531" s="6">
        <v>5.35</v>
      </c>
    </row>
    <row r="22532" spans="1:4" x14ac:dyDescent="0.25">
      <c r="A22532" t="str">
        <f>HYPERLINK("https://www.773grp.com/globalSearch/TPS51621RHAT/page-1", "TPS51621RHAT")</f>
        <v>TPS51621RHAT</v>
      </c>
      <c r="B22532" s="3" t="s">
        <v>90</v>
      </c>
      <c r="C22532" s="5">
        <v>1376</v>
      </c>
      <c r="D22532" s="6">
        <v>5.35</v>
      </c>
    </row>
    <row r="22533" spans="1:4" x14ac:dyDescent="0.25">
      <c r="A22533" t="str">
        <f>HYPERLINK("https://www.773grp.com/globalSearch/TPS51631RSMT/page-1", "TPS51631RSMT")</f>
        <v>TPS51631RSMT</v>
      </c>
      <c r="B22533" s="3" t="s">
        <v>90</v>
      </c>
      <c r="C22533" s="5">
        <v>250</v>
      </c>
      <c r="D22533" s="6">
        <v>5.35</v>
      </c>
    </row>
    <row r="22534" spans="1:4" x14ac:dyDescent="0.25">
      <c r="A22534" t="str">
        <f>HYPERLINK("https://www.773grp.com/globalSearch/TPS53310RGTT/page-1", "TPS53310RGTT")</f>
        <v>TPS53310RGTT</v>
      </c>
      <c r="B22534" s="3" t="s">
        <v>90</v>
      </c>
      <c r="C22534" s="5">
        <v>12500</v>
      </c>
      <c r="D22534" s="6">
        <v>5.35</v>
      </c>
    </row>
    <row r="22535" spans="1:4" x14ac:dyDescent="0.25">
      <c r="A22535" t="str">
        <f>HYPERLINK("https://www.773grp.com/globalSearch/TPS61130PWG4/page-1", "TPS61130PWG4")</f>
        <v>TPS61130PWG4</v>
      </c>
      <c r="B22535" s="3" t="s">
        <v>90</v>
      </c>
      <c r="C22535" s="5">
        <v>90</v>
      </c>
      <c r="D22535" s="6">
        <v>5.35</v>
      </c>
    </row>
    <row r="22536" spans="1:4" x14ac:dyDescent="0.25">
      <c r="A22536" t="str">
        <f>HYPERLINK("https://www.773grp.com/globalSearch/TPS65168RSBR/page-1", "TPS65168RSBR")</f>
        <v>TPS65168RSBR</v>
      </c>
      <c r="B22536" s="3" t="s">
        <v>90</v>
      </c>
      <c r="C22536" s="5">
        <v>45000</v>
      </c>
      <c r="D22536" s="6">
        <v>5.35</v>
      </c>
    </row>
    <row r="22537" spans="1:4" x14ac:dyDescent="0.25">
      <c r="A22537" t="str">
        <f>HYPERLINK("https://www.773grp.com/globalSearch/TPS65708YZHT/page-1", "TPS65708YZHT")</f>
        <v>TPS65708YZHT</v>
      </c>
      <c r="B22537" s="3" t="s">
        <v>90</v>
      </c>
      <c r="C22537" s="5">
        <v>250</v>
      </c>
      <c r="D22537" s="6">
        <v>5.35</v>
      </c>
    </row>
    <row r="22538" spans="1:4" x14ac:dyDescent="0.25">
      <c r="A22538" t="str">
        <f>HYPERLINK("https://www.773grp.com/globalSearch/TS3DDR3812RUAR/page-1", "TS3DDR3812RUAR")</f>
        <v>TS3DDR3812RUAR</v>
      </c>
      <c r="B22538" s="3" t="s">
        <v>90</v>
      </c>
      <c r="C22538" s="5">
        <v>6000</v>
      </c>
      <c r="D22538" s="6">
        <v>5.35</v>
      </c>
    </row>
    <row r="22539" spans="1:4" x14ac:dyDescent="0.25">
      <c r="A22539" t="str">
        <f>HYPERLINK("https://www.773grp.com/globalSearch/UCC2803D-70051/page-1", "UCC2803D-70051")</f>
        <v>UCC2803D-70051</v>
      </c>
      <c r="B22539" s="3" t="s">
        <v>90</v>
      </c>
      <c r="C22539" s="5">
        <v>148</v>
      </c>
      <c r="D22539" s="6">
        <v>5.35</v>
      </c>
    </row>
    <row r="22540" spans="1:4" x14ac:dyDescent="0.25">
      <c r="A22540" t="str">
        <f>HYPERLINK("https://www.773grp.com/globalSearch/UCC3580DTR-1/page-1", "UCC3580DTR-1")</f>
        <v>UCC3580DTR-1</v>
      </c>
      <c r="B22540" s="3" t="s">
        <v>90</v>
      </c>
      <c r="C22540" s="5">
        <v>2500</v>
      </c>
      <c r="D22540" s="6">
        <v>5.35</v>
      </c>
    </row>
    <row r="22541" spans="1:4" x14ac:dyDescent="0.25">
      <c r="A22541" t="str">
        <f>HYPERLINK("https://www.773grp.com/globalSearch/UCC3580DTR-2/page-1", "UCC3580DTR-2")</f>
        <v>UCC3580DTR-2</v>
      </c>
      <c r="B22541" s="3" t="s">
        <v>90</v>
      </c>
      <c r="C22541" s="5">
        <v>7500</v>
      </c>
      <c r="D22541" s="6">
        <v>5.35</v>
      </c>
    </row>
    <row r="22542" spans="1:4" x14ac:dyDescent="0.25">
      <c r="A22542" t="str">
        <f>HYPERLINK("https://www.773grp.com/globalSearch/RI-INL-R9QM-30/page-1", "RI-INL-R9QM-30")</f>
        <v>RI-INL-R9QM-30</v>
      </c>
      <c r="B22542" s="3" t="s">
        <v>90</v>
      </c>
      <c r="C22542" s="5">
        <v>1775</v>
      </c>
      <c r="D22542" s="6">
        <v>5.36</v>
      </c>
    </row>
    <row r="22543" spans="1:4" x14ac:dyDescent="0.25">
      <c r="A22543" t="str">
        <f>HYPERLINK("https://www.773grp.com/globalSearch/THS4061IDG4/page-1", "THS4061IDG4")</f>
        <v>THS4061IDG4</v>
      </c>
      <c r="B22543" s="3" t="s">
        <v>90</v>
      </c>
      <c r="C22543" s="5">
        <v>75</v>
      </c>
      <c r="D22543" s="6">
        <v>5.36</v>
      </c>
    </row>
    <row r="22544" spans="1:4" x14ac:dyDescent="0.25">
      <c r="A22544" t="str">
        <f>HYPERLINK("https://www.773grp.com/globalSearch/LM25575MH-NOPB/page-1", "LM25575MH-NOPB")</f>
        <v>LM25575MH-NOPB</v>
      </c>
      <c r="B22544" s="3" t="s">
        <v>90</v>
      </c>
      <c r="C22544" s="5">
        <v>460</v>
      </c>
      <c r="D22544" s="6">
        <v>5.4</v>
      </c>
    </row>
    <row r="22545" spans="1:4" x14ac:dyDescent="0.25">
      <c r="A22545" t="str">
        <f>HYPERLINK("https://www.773grp.com/globalSearch/LM6134AIMX-NOPB/page-1", "LM6134AIMX-NOPB")</f>
        <v>LM6134AIMX-NOPB</v>
      </c>
      <c r="B22545" s="3" t="s">
        <v>90</v>
      </c>
      <c r="C22545" s="5">
        <v>440</v>
      </c>
      <c r="D22545" s="6">
        <v>5.4</v>
      </c>
    </row>
    <row r="22546" spans="1:4" x14ac:dyDescent="0.25">
      <c r="A22546" t="str">
        <f>HYPERLINK("https://www.773grp.com/globalSearch/74ACT11373NS/page-1", "74ACT11373NS")</f>
        <v>74ACT11373NS</v>
      </c>
      <c r="B22546" s="3" t="s">
        <v>90</v>
      </c>
      <c r="C22546" s="5">
        <v>1530</v>
      </c>
      <c r="D22546" s="6">
        <v>5.44</v>
      </c>
    </row>
    <row r="22547" spans="1:4" x14ac:dyDescent="0.25">
      <c r="A22547" t="str">
        <f>HYPERLINK("https://www.773grp.com/globalSearch/74FCT162646ATPACT/page-1", "74FCT162646ATPACT")</f>
        <v>74FCT162646ATPACT</v>
      </c>
      <c r="B22547" s="3" t="s">
        <v>90</v>
      </c>
      <c r="C22547" s="5">
        <v>11887</v>
      </c>
      <c r="D22547" s="6">
        <v>5.44</v>
      </c>
    </row>
    <row r="22548" spans="1:4" x14ac:dyDescent="0.25">
      <c r="A22548" t="str">
        <f>HYPERLINK("https://www.773grp.com/globalSearch/CSM33034DW/page-1", "CSM33034DW")</f>
        <v>CSM33034DW</v>
      </c>
      <c r="B22548" s="3" t="s">
        <v>90</v>
      </c>
      <c r="C22548" s="5">
        <v>320</v>
      </c>
      <c r="D22548" s="6">
        <v>5.44</v>
      </c>
    </row>
    <row r="22549" spans="1:4" x14ac:dyDescent="0.25">
      <c r="A22549" t="str">
        <f>HYPERLINK("https://www.773grp.com/globalSearch/ISO7631FMDW/page-1", "ISO7631FMDW")</f>
        <v>ISO7631FMDW</v>
      </c>
      <c r="B22549" s="3" t="s">
        <v>90</v>
      </c>
      <c r="C22549" s="5">
        <v>156</v>
      </c>
      <c r="D22549" s="6">
        <v>5.44</v>
      </c>
    </row>
    <row r="22550" spans="1:4" x14ac:dyDescent="0.25">
      <c r="A22550" t="str">
        <f>HYPERLINK("https://www.773grp.com/globalSearch/SN74ALS534ADWR/page-1", "SN74ALS534ADWR")</f>
        <v>SN74ALS534ADWR</v>
      </c>
      <c r="B22550" s="3" t="s">
        <v>90</v>
      </c>
      <c r="C22550" s="5">
        <v>2000</v>
      </c>
      <c r="D22550" s="6">
        <v>5.44</v>
      </c>
    </row>
    <row r="22551" spans="1:4" x14ac:dyDescent="0.25">
      <c r="A22551" t="str">
        <f>HYPERLINK("https://www.773grp.com/globalSearch/SN74CBTD16211DLG4/page-1", "SN74CBTD16211DLG4")</f>
        <v>SN74CBTD16211DLG4</v>
      </c>
      <c r="B22551" s="3" t="s">
        <v>90</v>
      </c>
      <c r="C22551" s="5">
        <v>260</v>
      </c>
      <c r="D22551" s="6">
        <v>5.44</v>
      </c>
    </row>
    <row r="22552" spans="1:4" x14ac:dyDescent="0.25">
      <c r="A22552" t="str">
        <f>HYPERLINK("https://www.773grp.com/globalSearch/SN74LV161284ADGGR/page-1", "SN74LV161284ADGGR")</f>
        <v>SN74LV161284ADGGR</v>
      </c>
      <c r="B22552" s="3" t="s">
        <v>90</v>
      </c>
      <c r="C22552" s="5">
        <v>214000</v>
      </c>
      <c r="D22552" s="6">
        <v>5.44</v>
      </c>
    </row>
    <row r="22553" spans="1:4" x14ac:dyDescent="0.25">
      <c r="A22553" t="str">
        <f>HYPERLINK("https://www.773grp.com/globalSearch/SN74LVCH32245AZKER/page-1", "SN74LVCH32245AZKER")</f>
        <v>SN74LVCH32245AZKER</v>
      </c>
      <c r="B22553" s="3" t="s">
        <v>90</v>
      </c>
      <c r="C22553" s="5">
        <v>10000</v>
      </c>
      <c r="D22553" s="6">
        <v>5.44</v>
      </c>
    </row>
    <row r="22554" spans="1:4" x14ac:dyDescent="0.25">
      <c r="A22554" t="str">
        <f>HYPERLINK("https://www.773grp.com/globalSearch/ADC122S101CIMM-NOPB/page-1", "ADC122S101CIMM-NOPB")</f>
        <v>ADC122S101CIMM-NOPB</v>
      </c>
      <c r="B22554" s="3" t="s">
        <v>90</v>
      </c>
      <c r="C22554" s="5">
        <v>9</v>
      </c>
      <c r="D22554" s="6">
        <v>5.45</v>
      </c>
    </row>
    <row r="22555" spans="1:4" x14ac:dyDescent="0.25">
      <c r="A22555" t="str">
        <f>HYPERLINK("https://www.773grp.com/globalSearch/BQ2201SNTR/page-1", "BQ2201SNTR")</f>
        <v>BQ2201SNTR</v>
      </c>
      <c r="B22555" s="3" t="s">
        <v>90</v>
      </c>
      <c r="C22555" s="5">
        <v>725</v>
      </c>
      <c r="D22555" s="6">
        <v>5.45</v>
      </c>
    </row>
    <row r="22556" spans="1:4" x14ac:dyDescent="0.25">
      <c r="A22556" t="str">
        <f>HYPERLINK("https://www.773grp.com/globalSearch/TLC5510INS-C/page-1", "TLC5510INS-C")</f>
        <v>TLC5510INS-C</v>
      </c>
      <c r="B22556" s="3" t="s">
        <v>90</v>
      </c>
      <c r="C22556" s="5">
        <v>170</v>
      </c>
      <c r="D22556" s="6">
        <v>5.45</v>
      </c>
    </row>
    <row r="22557" spans="1:4" x14ac:dyDescent="0.25">
      <c r="A22557" t="str">
        <f>HYPERLINK("https://www.773grp.com/globalSearch/TLC56151P/page-1", "TLC56151P")</f>
        <v>TLC56151P</v>
      </c>
      <c r="B22557" s="3" t="s">
        <v>90</v>
      </c>
      <c r="C22557" s="5">
        <v>29</v>
      </c>
      <c r="D22557" s="6">
        <v>5.45</v>
      </c>
    </row>
    <row r="22558" spans="1:4" x14ac:dyDescent="0.25">
      <c r="A22558" t="str">
        <f>HYPERLINK("https://www.773grp.com/globalSearch/UCC281DPTR-ADJ/page-1", "UCC281DPTR-ADJ")</f>
        <v>UCC281DPTR-ADJ</v>
      </c>
      <c r="B22558" s="3" t="s">
        <v>90</v>
      </c>
      <c r="C22558" s="5">
        <v>14948</v>
      </c>
      <c r="D22558" s="6">
        <v>5.45</v>
      </c>
    </row>
    <row r="22559" spans="1:4" x14ac:dyDescent="0.25">
      <c r="A22559" t="str">
        <f>HYPERLINK("https://www.773grp.com/globalSearch/ADS7816E-2K5/page-1", "ADS7816E-2K5")</f>
        <v>ADS7816E-2K5</v>
      </c>
      <c r="B22559" s="3" t="s">
        <v>90</v>
      </c>
      <c r="C22559" s="5">
        <v>1795</v>
      </c>
      <c r="D22559" s="6">
        <v>5.49</v>
      </c>
    </row>
    <row r="22560" spans="1:4" x14ac:dyDescent="0.25">
      <c r="A22560" t="str">
        <f>HYPERLINK("https://www.773grp.com/globalSearch/ADS7817E-250/page-1", "ADS7817E-250")</f>
        <v>ADS7817E-250</v>
      </c>
      <c r="B22560" s="3" t="s">
        <v>90</v>
      </c>
      <c r="C22560" s="5">
        <v>200</v>
      </c>
      <c r="D22560" s="6">
        <v>5.49</v>
      </c>
    </row>
    <row r="22561" spans="1:4" x14ac:dyDescent="0.25">
      <c r="A22561" t="str">
        <f>HYPERLINK("https://www.773grp.com/globalSearch/ADS7886SBDBVR/page-1", "ADS7886SBDBVR")</f>
        <v>ADS7886SBDBVR</v>
      </c>
      <c r="B22561" s="3" t="s">
        <v>90</v>
      </c>
      <c r="C22561" s="5">
        <v>3000</v>
      </c>
      <c r="D22561" s="6">
        <v>5.49</v>
      </c>
    </row>
    <row r="22562" spans="1:4" x14ac:dyDescent="0.25">
      <c r="A22562" t="str">
        <f>HYPERLINK("https://www.773grp.com/globalSearch/ADS7886SBDCKR/page-1", "ADS7886SBDCKR")</f>
        <v>ADS7886SBDCKR</v>
      </c>
      <c r="B22562" s="3" t="s">
        <v>90</v>
      </c>
      <c r="C22562" s="5">
        <v>21000</v>
      </c>
      <c r="D22562" s="6">
        <v>5.49</v>
      </c>
    </row>
    <row r="22563" spans="1:4" x14ac:dyDescent="0.25">
      <c r="A22563" t="str">
        <f>HYPERLINK("https://www.773grp.com/globalSearch/ADS7947SRTER/page-1", "ADS7947SRTER")</f>
        <v>ADS7947SRTER</v>
      </c>
      <c r="B22563" s="3" t="s">
        <v>90</v>
      </c>
      <c r="C22563" s="5">
        <v>549</v>
      </c>
      <c r="D22563" s="6">
        <v>5.49</v>
      </c>
    </row>
    <row r="22564" spans="1:4" x14ac:dyDescent="0.25">
      <c r="A22564" t="str">
        <f>HYPERLINK("https://www.773grp.com/globalSearch/BQ24167RGER/page-1", "BQ24167RGER")</f>
        <v>BQ24167RGER</v>
      </c>
      <c r="B22564" s="3" t="s">
        <v>90</v>
      </c>
      <c r="C22564" s="5">
        <v>3000</v>
      </c>
      <c r="D22564" s="6">
        <v>5.49</v>
      </c>
    </row>
    <row r="22565" spans="1:4" x14ac:dyDescent="0.25">
      <c r="A22565" t="str">
        <f>HYPERLINK("https://www.773grp.com/globalSearch/CDCE913PW/page-1", "CDCE913PW")</f>
        <v>CDCE913PW</v>
      </c>
      <c r="B22565" s="3" t="s">
        <v>90</v>
      </c>
      <c r="C22565" s="5">
        <v>340</v>
      </c>
      <c r="D22565" s="6">
        <v>5.49</v>
      </c>
    </row>
    <row r="22566" spans="1:4" x14ac:dyDescent="0.25">
      <c r="A22566" t="str">
        <f>HYPERLINK("https://www.773grp.com/globalSearch/CDCEL913IPWRQ1/page-1", "CDCEL913IPWRQ1")</f>
        <v>CDCEL913IPWRQ1</v>
      </c>
      <c r="B22566" s="3" t="s">
        <v>90</v>
      </c>
      <c r="C22566" s="5">
        <v>13294</v>
      </c>
      <c r="D22566" s="6">
        <v>5.49</v>
      </c>
    </row>
    <row r="22567" spans="1:4" x14ac:dyDescent="0.25">
      <c r="A22567" t="str">
        <f>HYPERLINK("https://www.773grp.com/globalSearch/CDCEL913PW/page-1", "CDCEL913PW")</f>
        <v>CDCEL913PW</v>
      </c>
      <c r="B22567" s="3" t="s">
        <v>90</v>
      </c>
      <c r="C22567" s="5">
        <v>235</v>
      </c>
      <c r="D22567" s="6">
        <v>5.49</v>
      </c>
    </row>
    <row r="22568" spans="1:4" x14ac:dyDescent="0.25">
      <c r="A22568" t="str">
        <f>HYPERLINK("https://www.773grp.com/globalSearch/COP472N-3-NOPB/page-1", "COP472N-3-NOPB")</f>
        <v>COP472N-3-NOPB</v>
      </c>
      <c r="B22568" s="3" t="s">
        <v>90</v>
      </c>
      <c r="C22568" s="5">
        <v>36</v>
      </c>
      <c r="D22568" s="6">
        <v>5.49</v>
      </c>
    </row>
    <row r="22569" spans="1:4" x14ac:dyDescent="0.25">
      <c r="A22569" t="str">
        <f>HYPERLINK("https://www.773grp.com/globalSearch/DRV134UA-1K/page-1", "DRV134UA-1K")</f>
        <v>DRV134UA-1K</v>
      </c>
      <c r="B22569" s="3" t="s">
        <v>90</v>
      </c>
      <c r="C22569" s="5">
        <v>2871</v>
      </c>
      <c r="D22569" s="6">
        <v>5.49</v>
      </c>
    </row>
    <row r="22570" spans="1:4" x14ac:dyDescent="0.25">
      <c r="A22570" t="str">
        <f>HYPERLINK("https://www.773grp.com/globalSearch/DRV135UA-2K5/page-1", "DRV135UA-2K5")</f>
        <v>DRV135UA-2K5</v>
      </c>
      <c r="B22570" s="3" t="s">
        <v>90</v>
      </c>
      <c r="C22570" s="5">
        <v>2478</v>
      </c>
      <c r="D22570" s="6">
        <v>5.49</v>
      </c>
    </row>
    <row r="22571" spans="1:4" x14ac:dyDescent="0.25">
      <c r="A22571" t="str">
        <f>HYPERLINK("https://www.773grp.com/globalSearch/DRV8824PWP/page-1", "DRV8824PWP")</f>
        <v>DRV8824PWP</v>
      </c>
      <c r="B22571" s="3" t="s">
        <v>90</v>
      </c>
      <c r="C22571" s="5">
        <v>706</v>
      </c>
      <c r="D22571" s="6">
        <v>5.49</v>
      </c>
    </row>
    <row r="22572" spans="1:4" x14ac:dyDescent="0.25">
      <c r="A22572" t="str">
        <f>HYPERLINK("https://www.773grp.com/globalSearch/LMH6626MM-NOPB/page-1", "LMH6626MM-NOPB")</f>
        <v>LMH6626MM-NOPB</v>
      </c>
      <c r="B22572" s="3" t="s">
        <v>90</v>
      </c>
      <c r="C22572" s="5">
        <v>30</v>
      </c>
      <c r="D22572" s="6">
        <v>5.49</v>
      </c>
    </row>
    <row r="22573" spans="1:4" x14ac:dyDescent="0.25">
      <c r="A22573" t="str">
        <f>HYPERLINK("https://www.773grp.com/globalSearch/MSP430F2252IDAR/page-1", "MSP430F2252IDAR")</f>
        <v>MSP430F2252IDAR</v>
      </c>
      <c r="B22573" s="3" t="s">
        <v>90</v>
      </c>
      <c r="C22573" s="5">
        <v>10000</v>
      </c>
      <c r="D22573" s="6">
        <v>5.49</v>
      </c>
    </row>
    <row r="22574" spans="1:4" x14ac:dyDescent="0.25">
      <c r="A22574" t="str">
        <f>HYPERLINK("https://www.773grp.com/globalSearch/MSP430F2252IRHAR/page-1", "MSP430F2252IRHAR")</f>
        <v>MSP430F2252IRHAR</v>
      </c>
      <c r="B22574" s="3" t="s">
        <v>90</v>
      </c>
      <c r="C22574" s="5">
        <v>19801</v>
      </c>
      <c r="D22574" s="6">
        <v>5.49</v>
      </c>
    </row>
    <row r="22575" spans="1:4" x14ac:dyDescent="0.25">
      <c r="A22575" t="str">
        <f>HYPERLINK("https://www.773grp.com/globalSearch/MSP430F5310IZQER/page-1", "MSP430F5310IZQER")</f>
        <v>MSP430F5310IZQER</v>
      </c>
      <c r="B22575" s="3" t="s">
        <v>90</v>
      </c>
      <c r="C22575" s="5">
        <v>11361</v>
      </c>
      <c r="D22575" s="6">
        <v>5.49</v>
      </c>
    </row>
    <row r="22576" spans="1:4" x14ac:dyDescent="0.25">
      <c r="A22576" t="str">
        <f>HYPERLINK("https://www.773grp.com/globalSearch/OPA2277AIDRMT/page-1", "OPA2277AIDRMT")</f>
        <v>OPA2277AIDRMT</v>
      </c>
      <c r="B22576" s="3" t="s">
        <v>90</v>
      </c>
      <c r="C22576" s="5">
        <v>82</v>
      </c>
      <c r="D22576" s="6">
        <v>5.49</v>
      </c>
    </row>
    <row r="22577" spans="1:4" x14ac:dyDescent="0.25">
      <c r="A22577" t="str">
        <f>HYPERLINK("https://www.773grp.com/globalSearch/SN103758N/page-1", "SN103758N")</f>
        <v>SN103758N</v>
      </c>
      <c r="B22577" s="3" t="s">
        <v>90</v>
      </c>
      <c r="C22577" s="5">
        <v>641</v>
      </c>
      <c r="D22577" s="6">
        <v>5.49</v>
      </c>
    </row>
    <row r="22578" spans="1:4" x14ac:dyDescent="0.25">
      <c r="A22578" t="str">
        <f>HYPERLINK("https://www.773grp.com/globalSearch/SN65HVD05D/page-1", "SN65HVD05D")</f>
        <v>SN65HVD05D</v>
      </c>
      <c r="B22578" s="3" t="s">
        <v>90</v>
      </c>
      <c r="C22578" s="5">
        <v>2016</v>
      </c>
      <c r="D22578" s="6">
        <v>5.49</v>
      </c>
    </row>
    <row r="22579" spans="1:4" x14ac:dyDescent="0.25">
      <c r="A22579" t="str">
        <f>HYPERLINK("https://www.773grp.com/globalSearch/SN65HVD05DG4/page-1", "SN65HVD05DG4")</f>
        <v>SN65HVD05DG4</v>
      </c>
      <c r="B22579" s="3" t="s">
        <v>90</v>
      </c>
      <c r="C22579" s="5">
        <v>95</v>
      </c>
      <c r="D22579" s="6">
        <v>5.49</v>
      </c>
    </row>
    <row r="22580" spans="1:4" x14ac:dyDescent="0.25">
      <c r="A22580" t="str">
        <f>HYPERLINK("https://www.773grp.com/globalSearch/SN65HVD37D/page-1", "SN65HVD37D")</f>
        <v>SN65HVD37D</v>
      </c>
      <c r="B22580" s="3" t="s">
        <v>90</v>
      </c>
      <c r="C22580" s="5">
        <v>2925</v>
      </c>
      <c r="D22580" s="6">
        <v>5.49</v>
      </c>
    </row>
    <row r="22581" spans="1:4" x14ac:dyDescent="0.25">
      <c r="A22581" t="str">
        <f>HYPERLINK("https://www.773grp.com/globalSearch/SN65LVDS301ZQER/page-1", "SN65LVDS301ZQER")</f>
        <v>SN65LVDS301ZQER</v>
      </c>
      <c r="B22581" s="3" t="s">
        <v>90</v>
      </c>
      <c r="C22581" s="5">
        <v>1429</v>
      </c>
      <c r="D22581" s="6">
        <v>5.49</v>
      </c>
    </row>
    <row r="22582" spans="1:4" x14ac:dyDescent="0.25">
      <c r="A22582" t="str">
        <f>HYPERLINK("https://www.773grp.com/globalSearch/SNJ54HCT137J/page-1", "SNJ54HCT137J")</f>
        <v>SNJ54HCT137J</v>
      </c>
      <c r="B22582" s="3" t="s">
        <v>90</v>
      </c>
      <c r="C22582" s="5">
        <v>74</v>
      </c>
      <c r="D22582" s="6">
        <v>5.49</v>
      </c>
    </row>
    <row r="22583" spans="1:4" x14ac:dyDescent="0.25">
      <c r="A22583" t="str">
        <f>HYPERLINK("https://www.773grp.com/globalSearch/TLC4502IDR/page-1", "TLC4502IDR")</f>
        <v>TLC4502IDR</v>
      </c>
      <c r="B22583" s="3" t="s">
        <v>90</v>
      </c>
      <c r="C22583" s="5">
        <v>12500</v>
      </c>
      <c r="D22583" s="6">
        <v>5.49</v>
      </c>
    </row>
    <row r="22584" spans="1:4" x14ac:dyDescent="0.25">
      <c r="A22584" t="str">
        <f>HYPERLINK("https://www.773grp.com/globalSearch/TLC5947DAPR/page-1", "TLC5947DAPR")</f>
        <v>TLC5947DAPR</v>
      </c>
      <c r="B22584" s="3" t="s">
        <v>90</v>
      </c>
      <c r="C22584" s="5">
        <v>4000</v>
      </c>
      <c r="D22584" s="6">
        <v>5.49</v>
      </c>
    </row>
    <row r="22585" spans="1:4" x14ac:dyDescent="0.25">
      <c r="A22585" t="str">
        <f>HYPERLINK("https://www.773grp.com/globalSearch/TLC5970RHPT/page-1", "TLC5970RHPT")</f>
        <v>TLC5970RHPT</v>
      </c>
      <c r="B22585" s="3" t="s">
        <v>90</v>
      </c>
      <c r="C22585" s="5">
        <v>78</v>
      </c>
      <c r="D22585" s="6">
        <v>5.49</v>
      </c>
    </row>
    <row r="22586" spans="1:4" x14ac:dyDescent="0.25">
      <c r="A22586" t="str">
        <f>HYPERLINK("https://www.773grp.com/globalSearch/TLE2062AMD/page-1", "TLE2062AMD")</f>
        <v>TLE2062AMD</v>
      </c>
      <c r="B22586" s="3" t="s">
        <v>90</v>
      </c>
      <c r="C22586" s="5">
        <v>369</v>
      </c>
      <c r="D22586" s="6">
        <v>5.49</v>
      </c>
    </row>
    <row r="22587" spans="1:4" x14ac:dyDescent="0.25">
      <c r="A22587" t="str">
        <f>HYPERLINK("https://www.773grp.com/globalSearch/TLE2062AMDG4/page-1", "TLE2062AMDG4")</f>
        <v>TLE2062AMDG4</v>
      </c>
      <c r="B22587" s="3" t="s">
        <v>90</v>
      </c>
      <c r="C22587" s="5">
        <v>75</v>
      </c>
      <c r="D22587" s="6">
        <v>5.49</v>
      </c>
    </row>
    <row r="22588" spans="1:4" x14ac:dyDescent="0.25">
      <c r="A22588" t="str">
        <f>HYPERLINK("https://www.773grp.com/globalSearch/TLV2774AID/page-1", "TLV2774AID")</f>
        <v>TLV2774AID</v>
      </c>
      <c r="B22588" s="3" t="s">
        <v>90</v>
      </c>
      <c r="C22588" s="5">
        <v>10800</v>
      </c>
      <c r="D22588" s="6">
        <v>5.49</v>
      </c>
    </row>
    <row r="22589" spans="1:4" x14ac:dyDescent="0.25">
      <c r="A22589" t="str">
        <f>HYPERLINK("https://www.773grp.com/globalSearch/TLV2774AID/page-1", "TLV2774AID")</f>
        <v>TLV2774AID</v>
      </c>
      <c r="B22589" s="3" t="s">
        <v>90</v>
      </c>
      <c r="C22589" s="5">
        <v>1379</v>
      </c>
      <c r="D22589" s="6">
        <v>5.49</v>
      </c>
    </row>
    <row r="22590" spans="1:4" x14ac:dyDescent="0.25">
      <c r="A22590" t="str">
        <f>HYPERLINK("https://www.773grp.com/globalSearch/TPS51125ARGER/page-1", "TPS51125ARGER")</f>
        <v>TPS51125ARGER</v>
      </c>
      <c r="B22590" s="3" t="s">
        <v>90</v>
      </c>
      <c r="C22590" s="5">
        <v>126000</v>
      </c>
      <c r="D22590" s="6">
        <v>5.49</v>
      </c>
    </row>
    <row r="22591" spans="1:4" x14ac:dyDescent="0.25">
      <c r="A22591" t="str">
        <f>HYPERLINK("https://www.773grp.com/globalSearch/TPS51125RGER/page-1", "TPS51125RGER")</f>
        <v>TPS51125RGER</v>
      </c>
      <c r="B22591" s="3" t="s">
        <v>90</v>
      </c>
      <c r="C22591" s="5">
        <v>24000</v>
      </c>
      <c r="D22591" s="6">
        <v>5.49</v>
      </c>
    </row>
    <row r="22592" spans="1:4" x14ac:dyDescent="0.25">
      <c r="A22592" t="str">
        <f>HYPERLINK("https://www.773grp.com/globalSearch/TPS5410D/page-1", "TPS5410D")</f>
        <v>TPS5410D</v>
      </c>
      <c r="B22592" s="3" t="s">
        <v>90</v>
      </c>
      <c r="C22592" s="5">
        <v>4725</v>
      </c>
      <c r="D22592" s="6">
        <v>5.49</v>
      </c>
    </row>
    <row r="22593" spans="1:4" x14ac:dyDescent="0.25">
      <c r="A22593" t="str">
        <f>HYPERLINK("https://www.773grp.com/globalSearch/TPS61122PWR/page-1", "TPS61122PWR")</f>
        <v>TPS61122PWR</v>
      </c>
      <c r="B22593" s="3" t="s">
        <v>90</v>
      </c>
      <c r="C22593" s="5">
        <v>2000</v>
      </c>
      <c r="D22593" s="6">
        <v>5.49</v>
      </c>
    </row>
    <row r="22594" spans="1:4" x14ac:dyDescent="0.25">
      <c r="A22594" t="str">
        <f>HYPERLINK("https://www.773grp.com/globalSearch/TPS65280RGER/page-1", "TPS65280RGER")</f>
        <v>TPS65280RGER</v>
      </c>
      <c r="B22594" s="3" t="s">
        <v>90</v>
      </c>
      <c r="C22594" s="5">
        <v>2999</v>
      </c>
      <c r="D22594" s="6">
        <v>5.49</v>
      </c>
    </row>
    <row r="22595" spans="1:4" x14ac:dyDescent="0.25">
      <c r="A22595" t="str">
        <f>HYPERLINK("https://www.773grp.com/globalSearch/TUSB2077APTR/page-1", "TUSB2077APTR")</f>
        <v>TUSB2077APTR</v>
      </c>
      <c r="B22595" s="3" t="s">
        <v>90</v>
      </c>
      <c r="C22595" s="5">
        <v>22000</v>
      </c>
      <c r="D22595" s="6">
        <v>5.49</v>
      </c>
    </row>
    <row r="22596" spans="1:4" x14ac:dyDescent="0.25">
      <c r="A22596" t="str">
        <f>HYPERLINK("https://www.773grp.com/globalSearch/UCC28070DWR/page-1", "UCC28070DWR")</f>
        <v>UCC28070DWR</v>
      </c>
      <c r="B22596" s="3" t="s">
        <v>90</v>
      </c>
      <c r="C22596" s="5">
        <v>212</v>
      </c>
      <c r="D22596" s="6">
        <v>5.49</v>
      </c>
    </row>
    <row r="22597" spans="1:4" x14ac:dyDescent="0.25">
      <c r="A22597" t="str">
        <f>HYPERLINK("https://www.773grp.com/globalSearch/UCC3882PWTR-81484/page-1", "UCC3882PWTR-81484")</f>
        <v>UCC3882PWTR-81484</v>
      </c>
      <c r="B22597" s="3" t="s">
        <v>90</v>
      </c>
      <c r="C22597" s="5">
        <v>8000</v>
      </c>
      <c r="D22597" s="6">
        <v>5.49</v>
      </c>
    </row>
    <row r="22598" spans="1:4" x14ac:dyDescent="0.25">
      <c r="A22598" t="str">
        <f>HYPERLINK("https://www.773grp.com/globalSearch/ADC121S705CIMM-NOPB/page-1", "ADC121S705CIMM-NOPB")</f>
        <v>ADC121S705CIMM-NOPB</v>
      </c>
      <c r="B22598" s="3" t="s">
        <v>90</v>
      </c>
      <c r="C22598" s="5">
        <v>300</v>
      </c>
      <c r="D22598" s="6">
        <v>5.51</v>
      </c>
    </row>
    <row r="22599" spans="1:4" x14ac:dyDescent="0.25">
      <c r="A22599" t="str">
        <f>HYPERLINK("https://www.773grp.com/globalSearch/LM25056APSQE-NOPB/page-1", "LM25056APSQE-NOPB")</f>
        <v>LM25056APSQE-NOPB</v>
      </c>
      <c r="B22599" s="3" t="s">
        <v>90</v>
      </c>
      <c r="C22599" s="5">
        <v>220</v>
      </c>
      <c r="D22599" s="6">
        <v>5.51</v>
      </c>
    </row>
    <row r="22600" spans="1:4" x14ac:dyDescent="0.25">
      <c r="A22600" t="str">
        <f>HYPERLINK("https://www.773grp.com/globalSearch/LM6171BIM/page-1", "LM6171BIM")</f>
        <v>LM6171BIM</v>
      </c>
      <c r="B22600" s="3" t="s">
        <v>90</v>
      </c>
      <c r="C22600" s="5">
        <v>95</v>
      </c>
      <c r="D22600" s="6">
        <v>5.51</v>
      </c>
    </row>
    <row r="22601" spans="1:4" x14ac:dyDescent="0.25">
      <c r="A22601" t="str">
        <f>HYPERLINK("https://www.773grp.com/globalSearch/SN74BCT25244DB/page-1", "SN74BCT25244DB")</f>
        <v>SN74BCT25244DB</v>
      </c>
      <c r="B22601" s="3" t="s">
        <v>90</v>
      </c>
      <c r="C22601" s="5">
        <v>1790</v>
      </c>
      <c r="D22601" s="6">
        <v>5.51</v>
      </c>
    </row>
    <row r="22602" spans="1:4" x14ac:dyDescent="0.25">
      <c r="A22602" t="str">
        <f>HYPERLINK("https://www.773grp.com/globalSearch/SN94754IDR/page-1", "SN94754IDR")</f>
        <v>SN94754IDR</v>
      </c>
      <c r="B22602" s="3" t="s">
        <v>90</v>
      </c>
      <c r="C22602" s="5">
        <v>34900</v>
      </c>
      <c r="D22602" s="6">
        <v>5.51</v>
      </c>
    </row>
    <row r="22603" spans="1:4" x14ac:dyDescent="0.25">
      <c r="A22603" t="str">
        <f>HYPERLINK("https://www.773grp.com/globalSearch/TPS53128RGET/page-1", "TPS53128RGET")</f>
        <v>TPS53128RGET</v>
      </c>
      <c r="B22603" s="3" t="s">
        <v>90</v>
      </c>
      <c r="C22603" s="5">
        <v>250</v>
      </c>
      <c r="D22603" s="6">
        <v>5.51</v>
      </c>
    </row>
    <row r="22604" spans="1:4" x14ac:dyDescent="0.25">
      <c r="A22604" t="str">
        <f>HYPERLINK("https://www.773grp.com/globalSearch/BQ27200DRKR/page-1", "BQ27200DRKR")</f>
        <v>BQ27200DRKR</v>
      </c>
      <c r="B22604" s="3" t="s">
        <v>90</v>
      </c>
      <c r="C22604" s="5">
        <v>3659</v>
      </c>
      <c r="D22604" s="6">
        <v>5.58</v>
      </c>
    </row>
    <row r="22605" spans="1:4" x14ac:dyDescent="0.25">
      <c r="A22605" t="str">
        <f>HYPERLINK("https://www.773grp.com/globalSearch/DRV103H-2K5/page-1", "DRV103H-2K5")</f>
        <v>DRV103H-2K5</v>
      </c>
      <c r="B22605" s="3" t="s">
        <v>90</v>
      </c>
      <c r="C22605" s="5">
        <v>45000</v>
      </c>
      <c r="D22605" s="6">
        <v>5.58</v>
      </c>
    </row>
    <row r="22606" spans="1:4" x14ac:dyDescent="0.25">
      <c r="A22606" t="str">
        <f>HYPERLINK("https://www.773grp.com/globalSearch/EMB1499QMHE-NOPB/page-1", "EMB1499QMHE-NOPB")</f>
        <v>EMB1499QMHE-NOPB</v>
      </c>
      <c r="B22606" s="3" t="s">
        <v>90</v>
      </c>
      <c r="C22606" s="5">
        <v>83</v>
      </c>
      <c r="D22606" s="6">
        <v>5.58</v>
      </c>
    </row>
    <row r="22607" spans="1:4" x14ac:dyDescent="0.25">
      <c r="A22607" t="str">
        <f>HYPERLINK("https://www.773grp.com/globalSearch/LM2672M-5.0-NOPB/page-1", "LM2672M-5.0-NOPB")</f>
        <v>LM2672M-5.0-NOPB</v>
      </c>
      <c r="B22607" s="3" t="s">
        <v>90</v>
      </c>
      <c r="C22607" s="5">
        <v>2500</v>
      </c>
      <c r="D22607" s="6">
        <v>5.58</v>
      </c>
    </row>
    <row r="22608" spans="1:4" x14ac:dyDescent="0.25">
      <c r="A22608" t="str">
        <f>HYPERLINK("https://www.773grp.com/globalSearch/LM6134BIM-NOPB/page-1", "LM6134BIM-NOPB")</f>
        <v>LM6134BIM-NOPB</v>
      </c>
      <c r="B22608" s="3" t="s">
        <v>90</v>
      </c>
      <c r="C22608" s="5">
        <v>5280</v>
      </c>
      <c r="D22608" s="6">
        <v>5.58</v>
      </c>
    </row>
    <row r="22609" spans="1:4" x14ac:dyDescent="0.25">
      <c r="A22609" t="str">
        <f>HYPERLINK("https://www.773grp.com/globalSearch/MF10CCN-NOPB/page-1", "MF10CCN-NOPB")</f>
        <v>MF10CCN-NOPB</v>
      </c>
      <c r="B22609" s="3" t="s">
        <v>90</v>
      </c>
      <c r="C22609" s="5">
        <v>450</v>
      </c>
      <c r="D22609" s="6">
        <v>5.58</v>
      </c>
    </row>
    <row r="22610" spans="1:4" x14ac:dyDescent="0.25">
      <c r="A22610" t="str">
        <f>HYPERLINK("https://www.773grp.com/globalSearch/OPA2677UG4/page-1", "OPA2677UG4")</f>
        <v>OPA2677UG4</v>
      </c>
      <c r="B22610" s="3" t="s">
        <v>90</v>
      </c>
      <c r="C22610" s="5">
        <v>25</v>
      </c>
      <c r="D22610" s="6">
        <v>5.58</v>
      </c>
    </row>
    <row r="22611" spans="1:4" x14ac:dyDescent="0.25">
      <c r="A22611" t="str">
        <f>HYPERLINK("https://www.773grp.com/globalSearch/PCM1802DBG4/page-1", "PCM1802DBG4")</f>
        <v>PCM1802DBG4</v>
      </c>
      <c r="B22611" s="3" t="s">
        <v>90</v>
      </c>
      <c r="C22611" s="5">
        <v>105</v>
      </c>
      <c r="D22611" s="6">
        <v>5.58</v>
      </c>
    </row>
    <row r="22612" spans="1:4" x14ac:dyDescent="0.25">
      <c r="A22612" t="str">
        <f>HYPERLINK("https://www.773grp.com/globalSearch/RI-INL-W9QM-30/page-1", "RI-INL-W9QM-30")</f>
        <v>RI-INL-W9QM-30</v>
      </c>
      <c r="B22612" s="3" t="s">
        <v>90</v>
      </c>
      <c r="C22612" s="5">
        <v>15750</v>
      </c>
      <c r="D22612" s="6">
        <v>5.58</v>
      </c>
    </row>
    <row r="22613" spans="1:4" x14ac:dyDescent="0.25">
      <c r="A22613" t="str">
        <f>HYPERLINK("https://www.773grp.com/globalSearch/RI-TRP-RE2B-01/page-1", "RI-TRP-RE2B-01")</f>
        <v>RI-TRP-RE2B-01</v>
      </c>
      <c r="B22613" s="3" t="s">
        <v>90</v>
      </c>
      <c r="C22613" s="5">
        <v>1883</v>
      </c>
      <c r="D22613" s="6">
        <v>5.58</v>
      </c>
    </row>
    <row r="22614" spans="1:4" x14ac:dyDescent="0.25">
      <c r="A22614" t="str">
        <f>HYPERLINK("https://www.773grp.com/globalSearch/TPS53316RGTR/page-1", "TPS53316RGTR")</f>
        <v>TPS53316RGTR</v>
      </c>
      <c r="B22614" s="3" t="s">
        <v>90</v>
      </c>
      <c r="C22614" s="5">
        <v>6556</v>
      </c>
      <c r="D22614" s="6">
        <v>5.6</v>
      </c>
    </row>
    <row r="22615" spans="1:4" x14ac:dyDescent="0.25">
      <c r="A22615" t="str">
        <f>HYPERLINK("https://www.773grp.com/globalSearch/ADS1100A4IDBVR/page-1", "ADS1100A4IDBVR")</f>
        <v>ADS1100A4IDBVR</v>
      </c>
      <c r="B22615" s="3" t="s">
        <v>90</v>
      </c>
      <c r="C22615" s="5">
        <v>6000</v>
      </c>
      <c r="D22615" s="6">
        <v>5.63</v>
      </c>
    </row>
    <row r="22616" spans="1:4" x14ac:dyDescent="0.25">
      <c r="A22616" t="str">
        <f>HYPERLINK("https://www.773grp.com/globalSearch/ADS1100A7IDBVR/page-1", "ADS1100A7IDBVR")</f>
        <v>ADS1100A7IDBVR</v>
      </c>
      <c r="B22616" s="3" t="s">
        <v>90</v>
      </c>
      <c r="C22616" s="5">
        <v>3000</v>
      </c>
      <c r="D22616" s="6">
        <v>5.63</v>
      </c>
    </row>
    <row r="22617" spans="1:4" x14ac:dyDescent="0.25">
      <c r="A22617" t="str">
        <f>HYPERLINK("https://www.773grp.com/globalSearch/BQ24104RHLR/page-1", "BQ24104RHLR")</f>
        <v>BQ24104RHLR</v>
      </c>
      <c r="B22617" s="3" t="s">
        <v>90</v>
      </c>
      <c r="C22617" s="5">
        <v>2900</v>
      </c>
      <c r="D22617" s="6">
        <v>5.63</v>
      </c>
    </row>
    <row r="22618" spans="1:4" x14ac:dyDescent="0.25">
      <c r="A22618" t="str">
        <f>HYPERLINK("https://www.773grp.com/globalSearch/BQ24108RHLR/page-1", "BQ24108RHLR")</f>
        <v>BQ24108RHLR</v>
      </c>
      <c r="B22618" s="3" t="s">
        <v>90</v>
      </c>
      <c r="C22618" s="5">
        <v>4698</v>
      </c>
      <c r="D22618" s="6">
        <v>5.63</v>
      </c>
    </row>
    <row r="22619" spans="1:4" x14ac:dyDescent="0.25">
      <c r="A22619" t="str">
        <f>HYPERLINK("https://www.773grp.com/globalSearch/BQ24123RHLR/page-1", "BQ24123RHLR")</f>
        <v>BQ24123RHLR</v>
      </c>
      <c r="B22619" s="3" t="s">
        <v>90</v>
      </c>
      <c r="C22619" s="5">
        <v>5905</v>
      </c>
      <c r="D22619" s="6">
        <v>5.63</v>
      </c>
    </row>
    <row r="22620" spans="1:4" x14ac:dyDescent="0.25">
      <c r="A22620" t="str">
        <f>HYPERLINK("https://www.773grp.com/globalSearch/BQ24170RGYT/page-1", "BQ24170RGYT")</f>
        <v>BQ24170RGYT</v>
      </c>
      <c r="B22620" s="3" t="s">
        <v>90</v>
      </c>
      <c r="C22620" s="5">
        <v>4000</v>
      </c>
      <c r="D22620" s="6">
        <v>5.63</v>
      </c>
    </row>
    <row r="22621" spans="1:4" x14ac:dyDescent="0.25">
      <c r="A22621" t="str">
        <f>HYPERLINK("https://www.773grp.com/globalSearch/BQ24171RGYT/page-1", "BQ24171RGYT")</f>
        <v>BQ24171RGYT</v>
      </c>
      <c r="B22621" s="3" t="s">
        <v>90</v>
      </c>
      <c r="C22621" s="5">
        <v>250</v>
      </c>
      <c r="D22621" s="6">
        <v>5.63</v>
      </c>
    </row>
    <row r="22622" spans="1:4" x14ac:dyDescent="0.25">
      <c r="A22622" t="str">
        <f>HYPERLINK("https://www.773grp.com/globalSearch/BUF08630RGWR/page-1", "BUF08630RGWR")</f>
        <v>BUF08630RGWR</v>
      </c>
      <c r="B22622" s="3" t="s">
        <v>90</v>
      </c>
      <c r="C22622" s="5">
        <v>3000</v>
      </c>
      <c r="D22622" s="6">
        <v>5.63</v>
      </c>
    </row>
    <row r="22623" spans="1:4" x14ac:dyDescent="0.25">
      <c r="A22623" t="str">
        <f>HYPERLINK("https://www.773grp.com/globalSearch/CY74FCT16827CTPVCT/page-1", "CY74FCT16827CTPVCT")</f>
        <v>CY74FCT16827CTPVCT</v>
      </c>
      <c r="B22623" s="3" t="s">
        <v>90</v>
      </c>
      <c r="C22623" s="5">
        <v>9000</v>
      </c>
      <c r="D22623" s="6">
        <v>5.63</v>
      </c>
    </row>
    <row r="22624" spans="1:4" x14ac:dyDescent="0.25">
      <c r="A22624" t="str">
        <f>HYPERLINK("https://www.773grp.com/globalSearch/DAC0832LCWM/page-1", "DAC0832LCWM")</f>
        <v>DAC0832LCWM</v>
      </c>
      <c r="B22624" s="3" t="s">
        <v>90</v>
      </c>
      <c r="C22624" s="5">
        <v>36</v>
      </c>
      <c r="D22624" s="6">
        <v>5.63</v>
      </c>
    </row>
    <row r="22625" spans="1:4" x14ac:dyDescent="0.25">
      <c r="A22625" t="str">
        <f>HYPERLINK("https://www.773grp.com/globalSearch/DAC104S085CISD-NOPB/page-1", "DAC104S085CISD-NOPB")</f>
        <v>DAC104S085CISD-NOPB</v>
      </c>
      <c r="B22625" s="3" t="s">
        <v>90</v>
      </c>
      <c r="C22625" s="5">
        <v>7000</v>
      </c>
      <c r="D22625" s="6">
        <v>5.63</v>
      </c>
    </row>
    <row r="22626" spans="1:4" x14ac:dyDescent="0.25">
      <c r="A22626" t="str">
        <f>HYPERLINK("https://www.773grp.com/globalSearch/LM2591HVSX-5.0-NOPB/page-1", "LM2591HVSX-5.0-NOPB")</f>
        <v>LM2591HVSX-5.0-NOPB</v>
      </c>
      <c r="B22626" s="3" t="s">
        <v>90</v>
      </c>
      <c r="C22626" s="5">
        <v>478</v>
      </c>
      <c r="D22626" s="6">
        <v>5.63</v>
      </c>
    </row>
    <row r="22627" spans="1:4" x14ac:dyDescent="0.25">
      <c r="A22627" t="str">
        <f>HYPERLINK("https://www.773grp.com/globalSearch/LM3464MHX-NOPB/page-1", "LM3464MHX-NOPB")</f>
        <v>LM3464MHX-NOPB</v>
      </c>
      <c r="B22627" s="3" t="s">
        <v>90</v>
      </c>
      <c r="C22627" s="5">
        <v>5000</v>
      </c>
      <c r="D22627" s="6">
        <v>5.63</v>
      </c>
    </row>
    <row r="22628" spans="1:4" x14ac:dyDescent="0.25">
      <c r="A22628" t="str">
        <f>HYPERLINK("https://www.773grp.com/globalSearch/MSP430AFE232IPW/page-1", "MSP430AFE232IPW")</f>
        <v>MSP430AFE232IPW</v>
      </c>
      <c r="B22628" s="3" t="s">
        <v>90</v>
      </c>
      <c r="C22628" s="5">
        <v>427</v>
      </c>
      <c r="D22628" s="6">
        <v>5.63</v>
      </c>
    </row>
    <row r="22629" spans="1:4" x14ac:dyDescent="0.25">
      <c r="A22629" t="str">
        <f>HYPERLINK("https://www.773grp.com/globalSearch/MSP430F2272IDAR/page-1", "MSP430F2272IDAR")</f>
        <v>MSP430F2272IDAR</v>
      </c>
      <c r="B22629" s="3" t="s">
        <v>90</v>
      </c>
      <c r="C22629" s="5">
        <v>20000</v>
      </c>
      <c r="D22629" s="6">
        <v>5.63</v>
      </c>
    </row>
    <row r="22630" spans="1:4" x14ac:dyDescent="0.25">
      <c r="A22630" t="str">
        <f>HYPERLINK("https://www.773grp.com/globalSearch/MSP430F5510IZQE/page-1", "MSP430F5510IZQE")</f>
        <v>MSP430F5510IZQE</v>
      </c>
      <c r="B22630" s="3" t="s">
        <v>90</v>
      </c>
      <c r="C22630" s="5">
        <v>1340</v>
      </c>
      <c r="D22630" s="6">
        <v>5.63</v>
      </c>
    </row>
    <row r="22631" spans="1:4" x14ac:dyDescent="0.25">
      <c r="A22631" t="str">
        <f>HYPERLINK("https://www.773grp.com/globalSearch/MSP430F5510IZQER/page-1", "MSP430F5510IZQER")</f>
        <v>MSP430F5510IZQER</v>
      </c>
      <c r="B22631" s="3" t="s">
        <v>90</v>
      </c>
      <c r="C22631" s="5">
        <v>1700</v>
      </c>
      <c r="D22631" s="6">
        <v>5.63</v>
      </c>
    </row>
    <row r="22632" spans="1:4" x14ac:dyDescent="0.25">
      <c r="A22632" t="str">
        <f>HYPERLINK("https://www.773grp.com/globalSearch/OPA4345EA/page-1", "OPA4345EA")</f>
        <v>OPA4345EA</v>
      </c>
      <c r="B22632" s="3" t="s">
        <v>90</v>
      </c>
      <c r="C22632" s="5">
        <v>40</v>
      </c>
      <c r="D22632" s="6">
        <v>5.63</v>
      </c>
    </row>
    <row r="22633" spans="1:4" x14ac:dyDescent="0.25">
      <c r="A22633" t="str">
        <f>HYPERLINK("https://www.773grp.com/globalSearch/OPA842IDBVT/page-1", "OPA842IDBVT")</f>
        <v>OPA842IDBVT</v>
      </c>
      <c r="B22633" s="3" t="s">
        <v>90</v>
      </c>
      <c r="C22633" s="5">
        <v>408</v>
      </c>
      <c r="D22633" s="6">
        <v>5.63</v>
      </c>
    </row>
    <row r="22634" spans="1:4" x14ac:dyDescent="0.25">
      <c r="A22634" t="str">
        <f>HYPERLINK("https://www.773grp.com/globalSearch/PCM1606EG-2K/page-1", "PCM1606EG-2K")</f>
        <v>PCM1606EG-2K</v>
      </c>
      <c r="B22634" s="3" t="s">
        <v>90</v>
      </c>
      <c r="C22634" s="5">
        <v>2000</v>
      </c>
      <c r="D22634" s="6">
        <v>5.63</v>
      </c>
    </row>
    <row r="22635" spans="1:4" x14ac:dyDescent="0.25">
      <c r="A22635" t="str">
        <f>HYPERLINK("https://www.773grp.com/globalSearch/PCM1789PW/page-1", "PCM1789PW")</f>
        <v>PCM1789PW</v>
      </c>
      <c r="B22635" s="3" t="s">
        <v>90</v>
      </c>
      <c r="C22635" s="5">
        <v>700</v>
      </c>
      <c r="D22635" s="6">
        <v>5.63</v>
      </c>
    </row>
    <row r="22636" spans="1:4" x14ac:dyDescent="0.25">
      <c r="A22636" t="str">
        <f>HYPERLINK("https://www.773grp.com/globalSearch/REF3225AIDBVT/page-1", "REF3225AIDBVT")</f>
        <v>REF3225AIDBVT</v>
      </c>
      <c r="B22636" s="3" t="s">
        <v>90</v>
      </c>
      <c r="C22636" s="5">
        <v>750</v>
      </c>
      <c r="D22636" s="6">
        <v>5.63</v>
      </c>
    </row>
    <row r="22637" spans="1:4" x14ac:dyDescent="0.25">
      <c r="A22637" t="str">
        <f>HYPERLINK("https://www.773grp.com/globalSearch/REF3240AIDBVT/page-1", "REF3240AIDBVT")</f>
        <v>REF3240AIDBVT</v>
      </c>
      <c r="B22637" s="3" t="s">
        <v>90</v>
      </c>
      <c r="C22637" s="5">
        <v>7930</v>
      </c>
      <c r="D22637" s="6">
        <v>5.63</v>
      </c>
    </row>
    <row r="22638" spans="1:4" x14ac:dyDescent="0.25">
      <c r="A22638" t="str">
        <f>HYPERLINK("https://www.773grp.com/globalSearch/SN304086PWR/page-1", "SN304086PWR")</f>
        <v>SN304086PWR</v>
      </c>
      <c r="B22638" s="3" t="s">
        <v>90</v>
      </c>
      <c r="C22638" s="5">
        <v>208000</v>
      </c>
      <c r="D22638" s="6">
        <v>5.63</v>
      </c>
    </row>
    <row r="22639" spans="1:4" x14ac:dyDescent="0.25">
      <c r="A22639" t="str">
        <f>HYPERLINK("https://www.773grp.com/globalSearch/SN65LVDS389DBTR/page-1", "SN65LVDS389DBTR")</f>
        <v>SN65LVDS389DBTR</v>
      </c>
      <c r="B22639" s="3" t="s">
        <v>90</v>
      </c>
      <c r="C22639" s="5">
        <v>1780</v>
      </c>
      <c r="D22639" s="6">
        <v>5.63</v>
      </c>
    </row>
    <row r="22640" spans="1:4" x14ac:dyDescent="0.25">
      <c r="A22640" t="str">
        <f>HYPERLINK("https://www.773grp.com/globalSearch/SN65LVDT100DR/page-1", "SN65LVDT100DR")</f>
        <v>SN65LVDT100DR</v>
      </c>
      <c r="B22640" s="3" t="s">
        <v>90</v>
      </c>
      <c r="C22640" s="5">
        <v>357</v>
      </c>
      <c r="D22640" s="6">
        <v>5.63</v>
      </c>
    </row>
    <row r="22641" spans="1:4" x14ac:dyDescent="0.25">
      <c r="A22641" t="str">
        <f>HYPERLINK("https://www.773grp.com/globalSearch/SN74ABT651DWQ/page-1", "SN74ABT651DWQ")</f>
        <v>SN74ABT651DWQ</v>
      </c>
      <c r="B22641" s="3" t="s">
        <v>90</v>
      </c>
      <c r="C22641" s="5">
        <v>3000</v>
      </c>
      <c r="D22641" s="6">
        <v>5.63</v>
      </c>
    </row>
    <row r="22642" spans="1:4" x14ac:dyDescent="0.25">
      <c r="A22642" t="str">
        <f>HYPERLINK("https://www.773grp.com/globalSearch/SN74LS624N/page-1", "SN74LS624N")</f>
        <v>SN74LS624N</v>
      </c>
      <c r="B22642" s="3" t="s">
        <v>90</v>
      </c>
      <c r="C22642" s="5">
        <v>175</v>
      </c>
      <c r="D22642" s="6">
        <v>5.63</v>
      </c>
    </row>
    <row r="22643" spans="1:4" x14ac:dyDescent="0.25">
      <c r="A22643" t="str">
        <f>HYPERLINK("https://www.773grp.com/globalSearch/SN74LS624NSR/page-1", "SN74LS624NSR")</f>
        <v>SN74LS624NSR</v>
      </c>
      <c r="B22643" s="3" t="s">
        <v>90</v>
      </c>
      <c r="C22643" s="5">
        <v>1900</v>
      </c>
      <c r="D22643" s="6">
        <v>5.63</v>
      </c>
    </row>
    <row r="22644" spans="1:4" x14ac:dyDescent="0.25">
      <c r="A22644" t="str">
        <f>HYPERLINK("https://www.773grp.com/globalSearch/SN74LS628NSR/page-1", "SN74LS628NSR")</f>
        <v>SN74LS628NSR</v>
      </c>
      <c r="B22644" s="3" t="s">
        <v>90</v>
      </c>
      <c r="C22644" s="5">
        <v>2000</v>
      </c>
      <c r="D22644" s="6">
        <v>5.63</v>
      </c>
    </row>
    <row r="22645" spans="1:4" x14ac:dyDescent="0.25">
      <c r="A22645" t="str">
        <f>HYPERLINK("https://www.773grp.com/globalSearch/SN74LVT125PW/page-1", "SN74LVT125PW")</f>
        <v>SN74LVT125PW</v>
      </c>
      <c r="B22645" s="3" t="s">
        <v>90</v>
      </c>
      <c r="C22645" s="5">
        <v>440</v>
      </c>
      <c r="D22645" s="6">
        <v>5.63</v>
      </c>
    </row>
    <row r="22646" spans="1:4" x14ac:dyDescent="0.25">
      <c r="A22646" t="str">
        <f>HYPERLINK("https://www.773grp.com/globalSearch/SN74LVT125PWG4/page-1", "SN74LVT125PWG4")</f>
        <v>SN74LVT125PWG4</v>
      </c>
      <c r="B22646" s="3" t="s">
        <v>90</v>
      </c>
      <c r="C22646" s="5">
        <v>80</v>
      </c>
      <c r="D22646" s="6">
        <v>5.63</v>
      </c>
    </row>
    <row r="22647" spans="1:4" x14ac:dyDescent="0.25">
      <c r="A22647" t="str">
        <f>HYPERLINK("https://www.773grp.com/globalSearch/SN74S1053DWG4/page-1", "SN74S1053DWG4")</f>
        <v>SN74S1053DWG4</v>
      </c>
      <c r="B22647" s="3" t="s">
        <v>90</v>
      </c>
      <c r="C22647" s="5">
        <v>22</v>
      </c>
      <c r="D22647" s="6">
        <v>5.63</v>
      </c>
    </row>
    <row r="22648" spans="1:4" x14ac:dyDescent="0.25">
      <c r="A22648" t="str">
        <f>HYPERLINK("https://www.773grp.com/globalSearch/SN75LBC775DWR/page-1", "SN75LBC775DWR")</f>
        <v>SN75LBC775DWR</v>
      </c>
      <c r="B22648" s="3" t="s">
        <v>90</v>
      </c>
      <c r="C22648" s="5">
        <v>12127</v>
      </c>
      <c r="D22648" s="6">
        <v>5.63</v>
      </c>
    </row>
    <row r="22649" spans="1:4" x14ac:dyDescent="0.25">
      <c r="A22649" t="str">
        <f>HYPERLINK("https://www.773grp.com/globalSearch/SN761024DL/page-1", "SN761024DL")</f>
        <v>SN761024DL</v>
      </c>
      <c r="B22649" s="3" t="s">
        <v>90</v>
      </c>
      <c r="C22649" s="5">
        <v>4712</v>
      </c>
      <c r="D22649" s="6">
        <v>5.63</v>
      </c>
    </row>
    <row r="22650" spans="1:4" x14ac:dyDescent="0.25">
      <c r="A22650" t="str">
        <f>HYPERLINK("https://www.773grp.com/globalSearch/SNJ54HC242J/page-1", "SNJ54HC242J")</f>
        <v>SNJ54HC242J</v>
      </c>
      <c r="B22650" s="3" t="s">
        <v>90</v>
      </c>
      <c r="C22650" s="5">
        <v>232</v>
      </c>
      <c r="D22650" s="6">
        <v>5.63</v>
      </c>
    </row>
    <row r="22651" spans="1:4" x14ac:dyDescent="0.25">
      <c r="A22651" t="str">
        <f>HYPERLINK("https://www.773grp.com/globalSearch/TCM9102N/page-1", "TCM9102N")</f>
        <v>TCM9102N</v>
      </c>
      <c r="B22651" s="3" t="s">
        <v>90</v>
      </c>
      <c r="C22651" s="5">
        <v>1575</v>
      </c>
      <c r="D22651" s="6">
        <v>5.63</v>
      </c>
    </row>
    <row r="22652" spans="1:4" x14ac:dyDescent="0.25">
      <c r="A22652" t="str">
        <f>HYPERLINK("https://www.773grp.com/globalSearch/TCM9108APMR/page-1", "TCM9108APMR")</f>
        <v>TCM9108APMR</v>
      </c>
      <c r="B22652" s="3" t="s">
        <v>90</v>
      </c>
      <c r="C22652" s="5">
        <v>1000</v>
      </c>
      <c r="D22652" s="6">
        <v>5.63</v>
      </c>
    </row>
    <row r="22653" spans="1:4" x14ac:dyDescent="0.25">
      <c r="A22653" t="str">
        <f>HYPERLINK("https://www.773grp.com/globalSearch/TCM9108APTAR/page-1", "TCM9108APTAR")</f>
        <v>TCM9108APTAR</v>
      </c>
      <c r="B22653" s="3" t="s">
        <v>90</v>
      </c>
      <c r="C22653" s="5">
        <v>6000</v>
      </c>
      <c r="D22653" s="6">
        <v>5.63</v>
      </c>
    </row>
    <row r="22654" spans="1:4" x14ac:dyDescent="0.25">
      <c r="A22654" t="str">
        <f>HYPERLINK("https://www.773grp.com/globalSearch/THS7353PWG4/page-1", "THS7353PWG4")</f>
        <v>THS7353PWG4</v>
      </c>
      <c r="B22654" s="3" t="s">
        <v>90</v>
      </c>
      <c r="C22654" s="5">
        <v>407</v>
      </c>
      <c r="D22654" s="6">
        <v>5.63</v>
      </c>
    </row>
    <row r="22655" spans="1:4" x14ac:dyDescent="0.25">
      <c r="A22655" t="str">
        <f>HYPERLINK("https://www.773grp.com/globalSearch/TLC1543IDWR/page-1", "TLC1543IDWR")</f>
        <v>TLC1543IDWR</v>
      </c>
      <c r="B22655" s="3" t="s">
        <v>90</v>
      </c>
      <c r="C22655" s="5">
        <v>1424</v>
      </c>
      <c r="D22655" s="6">
        <v>5.63</v>
      </c>
    </row>
    <row r="22656" spans="1:4" x14ac:dyDescent="0.25">
      <c r="A22656" t="str">
        <f>HYPERLINK("https://www.773grp.com/globalSearch/TLC4501ID/page-1", "TLC4501ID")</f>
        <v>TLC4501ID</v>
      </c>
      <c r="B22656" s="3" t="s">
        <v>90</v>
      </c>
      <c r="C22656" s="5">
        <v>21073</v>
      </c>
      <c r="D22656" s="6">
        <v>5.63</v>
      </c>
    </row>
    <row r="22657" spans="1:4" x14ac:dyDescent="0.25">
      <c r="A22657" t="str">
        <f>HYPERLINK("https://www.773grp.com/globalSearch/TLE2144CN/page-1", "TLE2144CN")</f>
        <v>TLE2144CN</v>
      </c>
      <c r="B22657" s="3" t="s">
        <v>90</v>
      </c>
      <c r="C22657" s="5">
        <v>32700</v>
      </c>
      <c r="D22657" s="6">
        <v>5.63</v>
      </c>
    </row>
    <row r="22658" spans="1:4" x14ac:dyDescent="0.25">
      <c r="A22658" t="str">
        <f>HYPERLINK("https://www.773grp.com/globalSearch/TPPM0115DG4/page-1", "TPPM0115DG4")</f>
        <v>TPPM0115DG4</v>
      </c>
      <c r="B22658" s="3" t="s">
        <v>90</v>
      </c>
      <c r="C22658" s="5">
        <v>525</v>
      </c>
      <c r="D22658" s="6">
        <v>5.63</v>
      </c>
    </row>
    <row r="22659" spans="1:4" x14ac:dyDescent="0.25">
      <c r="A22659" t="str">
        <f>HYPERLINK("https://www.773grp.com/globalSearch/TPS40071PWPG4/page-1", "TPS40071PWPG4")</f>
        <v>TPS40071PWPG4</v>
      </c>
      <c r="B22659" s="3" t="s">
        <v>90</v>
      </c>
      <c r="C22659" s="5">
        <v>63</v>
      </c>
      <c r="D22659" s="6">
        <v>5.63</v>
      </c>
    </row>
    <row r="22660" spans="1:4" x14ac:dyDescent="0.25">
      <c r="A22660" t="str">
        <f>HYPERLINK("https://www.773grp.com/globalSearch/TPS51620RHAR/page-1", "TPS51620RHAR")</f>
        <v>TPS51620RHAR</v>
      </c>
      <c r="B22660" s="3" t="s">
        <v>90</v>
      </c>
      <c r="C22660" s="5">
        <v>7500</v>
      </c>
      <c r="D22660" s="6">
        <v>5.63</v>
      </c>
    </row>
    <row r="22661" spans="1:4" x14ac:dyDescent="0.25">
      <c r="A22661" t="str">
        <f>HYPERLINK("https://www.773grp.com/globalSearch/TPS5420QDRQ1/page-1", "TPS5420QDRQ1")</f>
        <v>TPS5420QDRQ1</v>
      </c>
      <c r="B22661" s="3" t="s">
        <v>90</v>
      </c>
      <c r="C22661" s="5">
        <v>2000</v>
      </c>
      <c r="D22661" s="6">
        <v>5.63</v>
      </c>
    </row>
    <row r="22662" spans="1:4" x14ac:dyDescent="0.25">
      <c r="A22662" t="str">
        <f>HYPERLINK("https://www.773grp.com/globalSearch/TPS61300YFFT/page-1", "TPS61300YFFT")</f>
        <v>TPS61300YFFT</v>
      </c>
      <c r="B22662" s="3" t="s">
        <v>90</v>
      </c>
      <c r="C22662" s="5">
        <v>1250</v>
      </c>
      <c r="D22662" s="6">
        <v>5.63</v>
      </c>
    </row>
    <row r="22663" spans="1:4" x14ac:dyDescent="0.25">
      <c r="A22663" t="str">
        <f>HYPERLINK("https://www.773grp.com/globalSearch/TPS61301YFFT/page-1", "TPS61301YFFT")</f>
        <v>TPS61301YFFT</v>
      </c>
      <c r="B22663" s="3" t="s">
        <v>90</v>
      </c>
      <c r="C22663" s="5">
        <v>1500</v>
      </c>
      <c r="D22663" s="6">
        <v>5.63</v>
      </c>
    </row>
    <row r="22664" spans="1:4" x14ac:dyDescent="0.25">
      <c r="A22664" t="str">
        <f>HYPERLINK("https://www.773grp.com/globalSearch/TRF7962RHBR/page-1", "TRF7962RHBR")</f>
        <v>TRF7962RHBR</v>
      </c>
      <c r="B22664" s="3" t="s">
        <v>90</v>
      </c>
      <c r="C22664" s="5">
        <v>38800</v>
      </c>
      <c r="D22664" s="6">
        <v>5.63</v>
      </c>
    </row>
    <row r="22665" spans="1:4" x14ac:dyDescent="0.25">
      <c r="A22665" t="str">
        <f>HYPERLINK("https://www.773grp.com/globalSearch/TUSB2043VFR/page-1", "TUSB2043VFR")</f>
        <v>TUSB2043VFR</v>
      </c>
      <c r="B22665" s="3" t="s">
        <v>90</v>
      </c>
      <c r="C22665" s="5">
        <v>9000</v>
      </c>
      <c r="D22665" s="6">
        <v>5.63</v>
      </c>
    </row>
    <row r="22666" spans="1:4" x14ac:dyDescent="0.25">
      <c r="A22666" t="str">
        <f>HYPERLINK("https://www.773grp.com/globalSearch/UCC28250RGPT/page-1", "UCC28250RGPT")</f>
        <v>UCC28250RGPT</v>
      </c>
      <c r="B22666" s="3" t="s">
        <v>90</v>
      </c>
      <c r="C22666" s="5">
        <v>5065</v>
      </c>
      <c r="D22666" s="6">
        <v>5.63</v>
      </c>
    </row>
    <row r="22667" spans="1:4" x14ac:dyDescent="0.25">
      <c r="A22667" t="str">
        <f>HYPERLINK("https://www.773grp.com/globalSearch/UCC5630AMWP-2/page-1", "UCC5630AMWP-2")</f>
        <v>UCC5630AMWP-2</v>
      </c>
      <c r="B22667" s="3" t="s">
        <v>90</v>
      </c>
      <c r="C22667" s="5">
        <v>950</v>
      </c>
      <c r="D22667" s="6">
        <v>5.63</v>
      </c>
    </row>
    <row r="22668" spans="1:4" x14ac:dyDescent="0.25">
      <c r="A22668" t="str">
        <f>HYPERLINK("https://www.773grp.com/globalSearch/Z44C256-10DR/page-1", "Z44C256-10DR")</f>
        <v>Z44C256-10DR</v>
      </c>
      <c r="B22668" s="3" t="s">
        <v>90</v>
      </c>
      <c r="C22668" s="5">
        <v>28000</v>
      </c>
      <c r="D22668" s="6">
        <v>5.63</v>
      </c>
    </row>
    <row r="22669" spans="1:4" x14ac:dyDescent="0.25">
      <c r="A22669" t="str">
        <f>HYPERLINK("https://www.773grp.com/globalSearch/BQ51013BYFPT/page-1", "BQ51013BYFPT")</f>
        <v>BQ51013BYFPT</v>
      </c>
      <c r="B22669" s="3" t="s">
        <v>90</v>
      </c>
      <c r="C22669" s="5">
        <v>250</v>
      </c>
      <c r="D22669" s="6">
        <v>5.65</v>
      </c>
    </row>
    <row r="22670" spans="1:4" x14ac:dyDescent="0.25">
      <c r="A22670" t="str">
        <f>HYPERLINK("https://www.773grp.com/globalSearch/RI-INL-W007-30/page-1", "RI-INL-W007-30")</f>
        <v>RI-INL-W007-30</v>
      </c>
      <c r="B22670" s="3" t="s">
        <v>90</v>
      </c>
      <c r="C22670" s="5">
        <v>12000</v>
      </c>
      <c r="D22670" s="6">
        <v>5.65</v>
      </c>
    </row>
    <row r="22671" spans="1:4" x14ac:dyDescent="0.25">
      <c r="A22671" t="str">
        <f>HYPERLINK("https://www.773grp.com/globalSearch/SN65LVPE502RGET/page-1", "SN65LVPE502RGET")</f>
        <v>SN65LVPE502RGET</v>
      </c>
      <c r="B22671" s="3" t="s">
        <v>90</v>
      </c>
      <c r="C22671" s="5">
        <v>502</v>
      </c>
      <c r="D22671" s="6">
        <v>5.65</v>
      </c>
    </row>
    <row r="22672" spans="1:4" x14ac:dyDescent="0.25">
      <c r="A22672" t="str">
        <f>HYPERLINK("https://www.773grp.com/globalSearch/TPS65056RSMT/page-1", "TPS65056RSMT")</f>
        <v>TPS65056RSMT</v>
      </c>
      <c r="B22672" s="3" t="s">
        <v>90</v>
      </c>
      <c r="C22672" s="5">
        <v>14000</v>
      </c>
      <c r="D22672" s="6">
        <v>5.65</v>
      </c>
    </row>
    <row r="22673" spans="1:4" x14ac:dyDescent="0.25">
      <c r="A22673" t="str">
        <f>HYPERLINK("https://www.773grp.com/globalSearch/TPS65290BMRHFT/page-1", "TPS65290BMRHFT")</f>
        <v>TPS65290BMRHFT</v>
      </c>
      <c r="B22673" s="3" t="s">
        <v>90</v>
      </c>
      <c r="C22673" s="5">
        <v>250</v>
      </c>
      <c r="D22673" s="6">
        <v>5.65</v>
      </c>
    </row>
    <row r="22674" spans="1:4" x14ac:dyDescent="0.25">
      <c r="A22674" t="str">
        <f>HYPERLINK("https://www.773grp.com/globalSearch/TPS65290LMRHFT/page-1", "TPS65290LMRHFT")</f>
        <v>TPS65290LMRHFT</v>
      </c>
      <c r="B22674" s="3" t="s">
        <v>90</v>
      </c>
      <c r="C22674" s="5">
        <v>250</v>
      </c>
      <c r="D22674" s="6">
        <v>5.65</v>
      </c>
    </row>
    <row r="22675" spans="1:4" x14ac:dyDescent="0.25">
      <c r="A22675" t="str">
        <f>HYPERLINK("https://www.773grp.com/globalSearch/TPS65290ZBRHFT/page-1", "TPS65290ZBRHFT")</f>
        <v>TPS65290ZBRHFT</v>
      </c>
      <c r="B22675" s="3" t="s">
        <v>90</v>
      </c>
      <c r="C22675" s="5">
        <v>250</v>
      </c>
      <c r="D22675" s="6">
        <v>5.65</v>
      </c>
    </row>
    <row r="22676" spans="1:4" x14ac:dyDescent="0.25">
      <c r="A22676" t="str">
        <f>HYPERLINK("https://www.773grp.com/globalSearch/PTHMC50DBQR/page-1", "PTHMC50DBQR")</f>
        <v>PTHMC50DBQR</v>
      </c>
      <c r="B22676" s="3" t="s">
        <v>90</v>
      </c>
      <c r="C22676" s="5">
        <v>5000</v>
      </c>
      <c r="D22676" s="6">
        <v>5.69</v>
      </c>
    </row>
    <row r="22677" spans="1:4" x14ac:dyDescent="0.25">
      <c r="A22677" t="str">
        <f>HYPERLINK("https://www.773grp.com/globalSearch/LP3962ES-3.3/page-1", "LP3962ES-3.3")</f>
        <v>LP3962ES-3.3</v>
      </c>
      <c r="B22677" s="3" t="s">
        <v>90</v>
      </c>
      <c r="C22677" s="5">
        <v>55</v>
      </c>
      <c r="D22677" s="6">
        <v>5.74</v>
      </c>
    </row>
    <row r="22678" spans="1:4" x14ac:dyDescent="0.25">
      <c r="A22678" t="str">
        <f>HYPERLINK("https://www.773grp.com/globalSearch/TLV5624IDGKG4/page-1", "TLV5624IDGKG4")</f>
        <v>TLV5624IDGKG4</v>
      </c>
      <c r="B22678" s="3" t="s">
        <v>90</v>
      </c>
      <c r="C22678" s="5">
        <v>80</v>
      </c>
      <c r="D22678" s="6">
        <v>5.74</v>
      </c>
    </row>
    <row r="22679" spans="1:4" x14ac:dyDescent="0.25">
      <c r="A22679" t="str">
        <f>HYPERLINK("https://www.773grp.com/globalSearch/TWL6040A2ZQZ/page-1", "TWL6040A2ZQZ")</f>
        <v>TWL6040A2ZQZ</v>
      </c>
      <c r="B22679" s="3" t="s">
        <v>90</v>
      </c>
      <c r="C22679" s="5">
        <v>70</v>
      </c>
      <c r="D22679" s="6">
        <v>5.74</v>
      </c>
    </row>
    <row r="22680" spans="1:4" x14ac:dyDescent="0.25">
      <c r="A22680" t="str">
        <f>HYPERLINK("https://www.773grp.com/globalSearch/TWL6040A3ZQZ/page-1", "TWL6040A3ZQZ")</f>
        <v>TWL6040A3ZQZ</v>
      </c>
      <c r="B22680" s="3" t="s">
        <v>90</v>
      </c>
      <c r="C22680" s="5">
        <v>250</v>
      </c>
      <c r="D22680" s="6">
        <v>5.74</v>
      </c>
    </row>
    <row r="22681" spans="1:4" x14ac:dyDescent="0.25">
      <c r="A22681" t="str">
        <f>HYPERLINK("https://www.773grp.com/globalSearch/UC2856QDWR/page-1", "UC2856QDWR")</f>
        <v>UC2856QDWR</v>
      </c>
      <c r="B22681" s="3" t="s">
        <v>90</v>
      </c>
      <c r="C22681" s="5">
        <v>9144</v>
      </c>
      <c r="D22681" s="6">
        <v>5.74</v>
      </c>
    </row>
    <row r="22682" spans="1:4" x14ac:dyDescent="0.25">
      <c r="A22682" t="str">
        <f>HYPERLINK("https://www.773grp.com/globalSearch/ADS7846AE/page-1", "ADS7846AE")</f>
        <v>ADS7846AE</v>
      </c>
      <c r="B22682" s="3" t="s">
        <v>90</v>
      </c>
      <c r="C22682" s="5">
        <v>1500</v>
      </c>
      <c r="D22682" s="6">
        <v>5.78</v>
      </c>
    </row>
    <row r="22683" spans="1:4" x14ac:dyDescent="0.25">
      <c r="A22683" t="str">
        <f>HYPERLINK("https://www.773grp.com/globalSearch/BQ24032ARHLT/page-1", "BQ24032ARHLT")</f>
        <v>BQ24032ARHLT</v>
      </c>
      <c r="B22683" s="3" t="s">
        <v>90</v>
      </c>
      <c r="C22683" s="5">
        <v>1035</v>
      </c>
      <c r="D22683" s="6">
        <v>5.78</v>
      </c>
    </row>
    <row r="22684" spans="1:4" x14ac:dyDescent="0.25">
      <c r="A22684" t="str">
        <f>HYPERLINK("https://www.773grp.com/globalSearch/BQ27505YZGT-J2/page-1", "BQ27505YZGT-J2")</f>
        <v>BQ27505YZGT-J2</v>
      </c>
      <c r="B22684" s="3" t="s">
        <v>90</v>
      </c>
      <c r="C22684" s="5">
        <v>500</v>
      </c>
      <c r="D22684" s="6">
        <v>5.78</v>
      </c>
    </row>
    <row r="22685" spans="1:4" x14ac:dyDescent="0.25">
      <c r="A22685" t="str">
        <f>HYPERLINK("https://www.773grp.com/globalSearch/CC2560AYFVR/page-1", "CC2560AYFVR")</f>
        <v>CC2560AYFVR</v>
      </c>
      <c r="B22685" s="3" t="s">
        <v>90</v>
      </c>
      <c r="C22685" s="5">
        <v>5000</v>
      </c>
      <c r="D22685" s="6">
        <v>5.78</v>
      </c>
    </row>
    <row r="22686" spans="1:4" x14ac:dyDescent="0.25">
      <c r="A22686" t="str">
        <f>HYPERLINK("https://www.773grp.com/globalSearch/CDCVF2310PWR/page-1", "CDCVF2310PWR")</f>
        <v>CDCVF2310PWR</v>
      </c>
      <c r="B22686" s="3" t="s">
        <v>90</v>
      </c>
      <c r="C22686" s="5">
        <v>4000</v>
      </c>
      <c r="D22686" s="6">
        <v>5.78</v>
      </c>
    </row>
    <row r="22687" spans="1:4" x14ac:dyDescent="0.25">
      <c r="A22687" t="str">
        <f>HYPERLINK("https://www.773grp.com/globalSearch/INA146UA/page-1", "INA146UA")</f>
        <v>INA146UA</v>
      </c>
      <c r="B22687" s="3" t="s">
        <v>90</v>
      </c>
      <c r="C22687" s="5">
        <v>5250</v>
      </c>
      <c r="D22687" s="6">
        <v>5.78</v>
      </c>
    </row>
    <row r="22688" spans="1:4" x14ac:dyDescent="0.25">
      <c r="A22688" t="str">
        <f>HYPERLINK("https://www.773grp.com/globalSearch/INA146UA/page-1", "INA146UA")</f>
        <v>INA146UA</v>
      </c>
      <c r="B22688" s="3" t="s">
        <v>90</v>
      </c>
      <c r="C22688" s="5">
        <v>7275</v>
      </c>
      <c r="D22688" s="6">
        <v>5.78</v>
      </c>
    </row>
    <row r="22689" spans="1:4" x14ac:dyDescent="0.25">
      <c r="A22689" t="str">
        <f>HYPERLINK("https://www.773grp.com/globalSearch/LM2599SX-5.0-NOPB/page-1", "LM2599SX-5.0-NOPB")</f>
        <v>LM2599SX-5.0-NOPB</v>
      </c>
      <c r="B22689" s="3" t="s">
        <v>90</v>
      </c>
      <c r="C22689" s="5">
        <v>1465</v>
      </c>
      <c r="D22689" s="6">
        <v>5.78</v>
      </c>
    </row>
    <row r="22690" spans="1:4" x14ac:dyDescent="0.25">
      <c r="A22690" t="str">
        <f>HYPERLINK("https://www.773grp.com/globalSearch/MSP430FR5725IDA/page-1", "MSP430FR5725IDA")</f>
        <v>MSP430FR5725IDA</v>
      </c>
      <c r="B22690" s="3" t="s">
        <v>90</v>
      </c>
      <c r="C22690" s="5">
        <v>160</v>
      </c>
      <c r="D22690" s="6">
        <v>5.78</v>
      </c>
    </row>
    <row r="22691" spans="1:4" x14ac:dyDescent="0.25">
      <c r="A22691" t="str">
        <f>HYPERLINK("https://www.773grp.com/globalSearch/MSP430FR5725IRHAR/page-1", "MSP430FR5725IRHAR")</f>
        <v>MSP430FR5725IRHAR</v>
      </c>
      <c r="B22691" s="3" t="s">
        <v>90</v>
      </c>
      <c r="C22691" s="5">
        <v>2450</v>
      </c>
      <c r="D22691" s="6">
        <v>5.78</v>
      </c>
    </row>
    <row r="22692" spans="1:4" x14ac:dyDescent="0.25">
      <c r="A22692" t="str">
        <f>HYPERLINK("https://www.773grp.com/globalSearch/OPA2353UA/page-1", "OPA2353UA")</f>
        <v>OPA2353UA</v>
      </c>
      <c r="B22692" s="3" t="s">
        <v>90</v>
      </c>
      <c r="C22692" s="5">
        <v>25</v>
      </c>
      <c r="D22692" s="6">
        <v>5.78</v>
      </c>
    </row>
    <row r="22693" spans="1:4" x14ac:dyDescent="0.25">
      <c r="A22693" t="str">
        <f>HYPERLINK("https://www.773grp.com/globalSearch/OPA2725AID/page-1", "OPA2725AID")</f>
        <v>OPA2725AID</v>
      </c>
      <c r="B22693" s="3" t="s">
        <v>90</v>
      </c>
      <c r="C22693" s="5">
        <v>74</v>
      </c>
      <c r="D22693" s="6">
        <v>5.78</v>
      </c>
    </row>
    <row r="22694" spans="1:4" x14ac:dyDescent="0.25">
      <c r="A22694" t="str">
        <f>HYPERLINK("https://www.773grp.com/globalSearch/PTLS25H008DBT/page-1", "PTLS25H008DBT")</f>
        <v>PTLS25H008DBT</v>
      </c>
      <c r="B22694" s="3" t="s">
        <v>90</v>
      </c>
      <c r="C22694" s="5">
        <v>3763</v>
      </c>
      <c r="D22694" s="6">
        <v>5.78</v>
      </c>
    </row>
    <row r="22695" spans="1:4" x14ac:dyDescent="0.25">
      <c r="A22695" t="str">
        <f>HYPERLINK("https://www.773grp.com/globalSearch/SN74AVCBH164245VR/page-1", "SN74AVCBH164245VR")</f>
        <v>SN74AVCBH164245VR</v>
      </c>
      <c r="B22695" s="3" t="s">
        <v>90</v>
      </c>
      <c r="C22695" s="5">
        <v>567</v>
      </c>
      <c r="D22695" s="6">
        <v>5.78</v>
      </c>
    </row>
    <row r="22696" spans="1:4" x14ac:dyDescent="0.25">
      <c r="A22696" t="str">
        <f>HYPERLINK("https://www.773grp.com/globalSearch/THMC51DBQR/page-1", "THMC51DBQR")</f>
        <v>THMC51DBQR</v>
      </c>
      <c r="B22696" s="3" t="s">
        <v>90</v>
      </c>
      <c r="C22696" s="5">
        <v>330000</v>
      </c>
      <c r="D22696" s="6">
        <v>5.78</v>
      </c>
    </row>
    <row r="22697" spans="1:4" x14ac:dyDescent="0.25">
      <c r="A22697" t="str">
        <f>HYPERLINK("https://www.773grp.com/globalSearch/TLE2144CDW/page-1", "TLE2144CDW")</f>
        <v>TLE2144CDW</v>
      </c>
      <c r="B22697" s="3" t="s">
        <v>90</v>
      </c>
      <c r="C22697" s="5">
        <v>50</v>
      </c>
      <c r="D22697" s="6">
        <v>5.78</v>
      </c>
    </row>
    <row r="22698" spans="1:4" x14ac:dyDescent="0.25">
      <c r="A22698" t="str">
        <f>HYPERLINK("https://www.773grp.com/globalSearch/TPS5420D/page-1", "TPS5420D")</f>
        <v>TPS5420D</v>
      </c>
      <c r="B22698" s="3" t="s">
        <v>90</v>
      </c>
      <c r="C22698" s="5">
        <v>2200</v>
      </c>
      <c r="D22698" s="6">
        <v>5.78</v>
      </c>
    </row>
    <row r="22699" spans="1:4" x14ac:dyDescent="0.25">
      <c r="A22699" t="str">
        <f>HYPERLINK("https://www.773grp.com/globalSearch/TRF7962RHBT/page-1", "TRF7962RHBT")</f>
        <v>TRF7962RHBT</v>
      </c>
      <c r="B22699" s="3" t="s">
        <v>90</v>
      </c>
      <c r="C22699" s="5">
        <v>4750</v>
      </c>
      <c r="D22699" s="6">
        <v>5.78</v>
      </c>
    </row>
    <row r="22700" spans="1:4" x14ac:dyDescent="0.25">
      <c r="A22700" t="str">
        <f>HYPERLINK("https://www.773grp.com/globalSearch/UCC3837DTR/page-1", "UCC3837DTR")</f>
        <v>UCC3837DTR</v>
      </c>
      <c r="B22700" s="3" t="s">
        <v>90</v>
      </c>
      <c r="C22700" s="5">
        <v>2500</v>
      </c>
      <c r="D22700" s="6">
        <v>5.78</v>
      </c>
    </row>
    <row r="22701" spans="1:4" x14ac:dyDescent="0.25">
      <c r="A22701" t="str">
        <f>HYPERLINK("https://www.773grp.com/globalSearch/UCC384DPTR-ADJ/page-1", "UCC384DPTR-ADJ")</f>
        <v>UCC384DPTR-ADJ</v>
      </c>
      <c r="B22701" s="3" t="s">
        <v>90</v>
      </c>
      <c r="C22701" s="5">
        <v>10000</v>
      </c>
      <c r="D22701" s="6">
        <v>5.78</v>
      </c>
    </row>
    <row r="22702" spans="1:4" x14ac:dyDescent="0.25">
      <c r="A22702" t="str">
        <f>HYPERLINK("https://www.773grp.com/globalSearch/SN65LVDS1050PWG4/page-1", "SN65LVDS1050PWG4")</f>
        <v>SN65LVDS1050PWG4</v>
      </c>
      <c r="B22702" s="3" t="s">
        <v>90</v>
      </c>
      <c r="C22702" s="5">
        <v>1289</v>
      </c>
      <c r="D22702" s="6">
        <v>5.79</v>
      </c>
    </row>
    <row r="22703" spans="1:4" x14ac:dyDescent="0.25">
      <c r="A22703" t="str">
        <f>HYPERLINK("https://www.773grp.com/globalSearch/SN74AS241FN/page-1", "SN74AS241FN")</f>
        <v>SN74AS241FN</v>
      </c>
      <c r="B22703" s="3" t="s">
        <v>90</v>
      </c>
      <c r="C22703" s="5">
        <v>1498</v>
      </c>
      <c r="D22703" s="6">
        <v>5.79</v>
      </c>
    </row>
    <row r="22704" spans="1:4" x14ac:dyDescent="0.25">
      <c r="A22704" t="str">
        <f>HYPERLINK("https://www.773grp.com/globalSearch/TPS71H33QPWP/page-1", "TPS71H33QPWP")</f>
        <v>TPS71H33QPWP</v>
      </c>
      <c r="B22704" s="3" t="s">
        <v>90</v>
      </c>
      <c r="C22704" s="5">
        <v>4551</v>
      </c>
      <c r="D22704" s="6">
        <v>5.79</v>
      </c>
    </row>
    <row r="22705" spans="1:4" x14ac:dyDescent="0.25">
      <c r="A22705" t="str">
        <f>HYPERLINK("https://www.773grp.com/globalSearch/LM2676SD-3.3-NOPB/page-1", "LM2676SD-3.3-NOPB")</f>
        <v>LM2676SD-3.3-NOPB</v>
      </c>
      <c r="B22705" s="3" t="s">
        <v>90</v>
      </c>
      <c r="C22705" s="5">
        <v>42</v>
      </c>
      <c r="D22705" s="6">
        <v>5.83</v>
      </c>
    </row>
    <row r="22706" spans="1:4" x14ac:dyDescent="0.25">
      <c r="A22706" t="str">
        <f>HYPERLINK("https://www.773grp.com/globalSearch/LM2676SD-5.0-NOPB/page-1", "LM2676SD-5.0-NOPB")</f>
        <v>LM2676SD-5.0-NOPB</v>
      </c>
      <c r="B22706" s="3" t="s">
        <v>90</v>
      </c>
      <c r="C22706" s="5">
        <v>64</v>
      </c>
      <c r="D22706" s="6">
        <v>5.83</v>
      </c>
    </row>
    <row r="22707" spans="1:4" x14ac:dyDescent="0.25">
      <c r="A22707" t="str">
        <f>HYPERLINK("https://www.773grp.com/globalSearch/OPA2650E/page-1", "OPA2650E")</f>
        <v>OPA2650E</v>
      </c>
      <c r="B22707" s="3" t="s">
        <v>90</v>
      </c>
      <c r="C22707" s="5">
        <v>5706</v>
      </c>
      <c r="D22707" s="6">
        <v>5.83</v>
      </c>
    </row>
    <row r="22708" spans="1:4" x14ac:dyDescent="0.25">
      <c r="A22708" t="str">
        <f>HYPERLINK("https://www.773grp.com/globalSearch/SN104195KC/page-1", "SN104195KC")</f>
        <v>SN104195KC</v>
      </c>
      <c r="B22708" s="3" t="s">
        <v>90</v>
      </c>
      <c r="C22708" s="5">
        <v>25479</v>
      </c>
      <c r="D22708" s="6">
        <v>5.83</v>
      </c>
    </row>
    <row r="22709" spans="1:4" x14ac:dyDescent="0.25">
      <c r="A22709" t="str">
        <f>HYPERLINK("https://www.773grp.com/globalSearch/SN54HCT241J/page-1", "SN54HCT241J")</f>
        <v>SN54HCT241J</v>
      </c>
      <c r="B22709" s="3" t="s">
        <v>90</v>
      </c>
      <c r="C22709" s="5">
        <v>7</v>
      </c>
      <c r="D22709" s="6">
        <v>5.83</v>
      </c>
    </row>
    <row r="22710" spans="1:4" x14ac:dyDescent="0.25">
      <c r="A22710" t="str">
        <f>HYPERLINK("https://www.773grp.com/globalSearch/SN65C1406D/page-1", "SN65C1406D")</f>
        <v>SN65C1406D</v>
      </c>
      <c r="B22710" s="3" t="s">
        <v>90</v>
      </c>
      <c r="C22710" s="5">
        <v>253</v>
      </c>
      <c r="D22710" s="6">
        <v>5.83</v>
      </c>
    </row>
    <row r="22711" spans="1:4" x14ac:dyDescent="0.25">
      <c r="A22711" t="str">
        <f>HYPERLINK("https://www.773grp.com/globalSearch/SN700082N/page-1", "SN700082N")</f>
        <v>SN700082N</v>
      </c>
      <c r="B22711" s="3" t="s">
        <v>90</v>
      </c>
      <c r="C22711" s="5">
        <v>2680</v>
      </c>
      <c r="D22711" s="6">
        <v>5.83</v>
      </c>
    </row>
    <row r="22712" spans="1:4" x14ac:dyDescent="0.25">
      <c r="A22712" t="str">
        <f>HYPERLINK("https://www.773grp.com/globalSearch/SN74ALS534ANS/page-1", "SN74ALS534ANS")</f>
        <v>SN74ALS534ANS</v>
      </c>
      <c r="B22712" s="3" t="s">
        <v>90</v>
      </c>
      <c r="C22712" s="5">
        <v>320</v>
      </c>
      <c r="D22712" s="6">
        <v>5.83</v>
      </c>
    </row>
    <row r="22713" spans="1:4" x14ac:dyDescent="0.25">
      <c r="A22713" t="str">
        <f>HYPERLINK("https://www.773grp.com/globalSearch/SN74BCT2827CNS/page-1", "SN74BCT2827CNS")</f>
        <v>SN74BCT2827CNS</v>
      </c>
      <c r="B22713" s="3" t="s">
        <v>90</v>
      </c>
      <c r="C22713" s="5">
        <v>3060</v>
      </c>
      <c r="D22713" s="6">
        <v>5.83</v>
      </c>
    </row>
    <row r="22714" spans="1:4" x14ac:dyDescent="0.25">
      <c r="A22714" t="str">
        <f>HYPERLINK("https://www.773grp.com/globalSearch/TPS54317RHFT/page-1", "TPS54317RHFT")</f>
        <v>TPS54317RHFT</v>
      </c>
      <c r="B22714" s="3" t="s">
        <v>90</v>
      </c>
      <c r="C22714" s="5">
        <v>157</v>
      </c>
      <c r="D22714" s="6">
        <v>5.83</v>
      </c>
    </row>
    <row r="22715" spans="1:4" x14ac:dyDescent="0.25">
      <c r="A22715" t="str">
        <f>HYPERLINK("https://www.773grp.com/globalSearch/UC2856QDWRQ1/page-1", "UC2856QDWRQ1")</f>
        <v>UC2856QDWRQ1</v>
      </c>
      <c r="B22715" s="3" t="s">
        <v>90</v>
      </c>
      <c r="C22715" s="5">
        <v>30000</v>
      </c>
      <c r="D22715" s="6">
        <v>5.83</v>
      </c>
    </row>
    <row r="22716" spans="1:4" x14ac:dyDescent="0.25">
      <c r="A22716" t="str">
        <f>HYPERLINK("https://www.773grp.com/globalSearch/SN54ALS353J/page-1", "SN54ALS353J")</f>
        <v>SN54ALS353J</v>
      </c>
      <c r="B22716" s="3" t="s">
        <v>90</v>
      </c>
      <c r="C22716" s="5">
        <v>337</v>
      </c>
      <c r="D22716" s="6">
        <v>5.85</v>
      </c>
    </row>
    <row r="22717" spans="1:4" x14ac:dyDescent="0.25">
      <c r="A22717" t="str">
        <f>HYPERLINK("https://www.773grp.com/globalSearch/32R1606R-8CGTR/page-1", "32R1606R-8CGTR")</f>
        <v>32R1606R-8CGTR</v>
      </c>
      <c r="B22717" s="3" t="s">
        <v>90</v>
      </c>
      <c r="C22717" s="5">
        <v>100000</v>
      </c>
      <c r="D22717" s="6">
        <v>5.88</v>
      </c>
    </row>
    <row r="22718" spans="1:4" x14ac:dyDescent="0.25">
      <c r="A22718" t="str">
        <f>HYPERLINK("https://www.773grp.com/globalSearch/LMC6044AIM/page-1", "LMC6044AIM")</f>
        <v>LMC6044AIM</v>
      </c>
      <c r="B22718" s="3" t="s">
        <v>90</v>
      </c>
      <c r="C22718" s="5">
        <v>25</v>
      </c>
      <c r="D22718" s="6">
        <v>5.88</v>
      </c>
    </row>
    <row r="22719" spans="1:4" x14ac:dyDescent="0.25">
      <c r="A22719" t="str">
        <f>HYPERLINK("https://www.773grp.com/globalSearch/ADS1131IDR/page-1", "ADS1131IDR")</f>
        <v>ADS1131IDR</v>
      </c>
      <c r="B22719" s="3" t="s">
        <v>90</v>
      </c>
      <c r="C22719" s="5">
        <v>265000</v>
      </c>
      <c r="D22719" s="6">
        <v>5.91</v>
      </c>
    </row>
    <row r="22720" spans="1:4" x14ac:dyDescent="0.25">
      <c r="A22720" t="str">
        <f>HYPERLINK("https://www.773grp.com/globalSearch/ADS7822EC-250/page-1", "ADS7822EC-250")</f>
        <v>ADS7822EC-250</v>
      </c>
      <c r="B22720" s="3" t="s">
        <v>90</v>
      </c>
      <c r="C22720" s="5">
        <v>213</v>
      </c>
      <c r="D22720" s="6">
        <v>5.91</v>
      </c>
    </row>
    <row r="22721" spans="1:4" x14ac:dyDescent="0.25">
      <c r="A22721" t="str">
        <f>HYPERLINK("https://www.773grp.com/globalSearch/BQ24001RGWR/page-1", "BQ24001RGWR")</f>
        <v>BQ24001RGWR</v>
      </c>
      <c r="B22721" s="3" t="s">
        <v>90</v>
      </c>
      <c r="C22721" s="5">
        <v>2999</v>
      </c>
      <c r="D22721" s="6">
        <v>5.91</v>
      </c>
    </row>
    <row r="22722" spans="1:4" x14ac:dyDescent="0.25">
      <c r="A22722" t="str">
        <f>HYPERLINK("https://www.773grp.com/globalSearch/BQ25504RGTR/page-1", "BQ25504RGTR")</f>
        <v>BQ25504RGTR</v>
      </c>
      <c r="B22722" s="3" t="s">
        <v>90</v>
      </c>
      <c r="C22722" s="5">
        <v>2000</v>
      </c>
      <c r="D22722" s="6">
        <v>5.91</v>
      </c>
    </row>
    <row r="22723" spans="1:4" x14ac:dyDescent="0.25">
      <c r="A22723" t="str">
        <f>HYPERLINK("https://www.773grp.com/globalSearch/BQ3285ESS-TR1/page-1", "BQ3285ESS-TR1")</f>
        <v>BQ3285ESS-TR1</v>
      </c>
      <c r="B22723" s="3" t="s">
        <v>90</v>
      </c>
      <c r="C22723" s="5">
        <v>4500</v>
      </c>
      <c r="D22723" s="6">
        <v>5.91</v>
      </c>
    </row>
    <row r="22724" spans="1:4" x14ac:dyDescent="0.25">
      <c r="A22724" t="str">
        <f>HYPERLINK("https://www.773grp.com/globalSearch/BQ34Z100PWR/page-1", "BQ34Z100PWR")</f>
        <v>BQ34Z100PWR</v>
      </c>
      <c r="B22724" s="3" t="s">
        <v>90</v>
      </c>
      <c r="C22724" s="5">
        <v>2000</v>
      </c>
      <c r="D22724" s="6">
        <v>5.91</v>
      </c>
    </row>
    <row r="22725" spans="1:4" x14ac:dyDescent="0.25">
      <c r="A22725" t="str">
        <f>HYPERLINK("https://www.773grp.com/globalSearch/DRV3204QPHPQ1/page-1", "DRV3204QPHPQ1")</f>
        <v>DRV3204QPHPQ1</v>
      </c>
      <c r="B22725" s="3" t="s">
        <v>90</v>
      </c>
      <c r="C22725" s="5">
        <v>250</v>
      </c>
      <c r="D22725" s="6">
        <v>5.91</v>
      </c>
    </row>
    <row r="22726" spans="1:4" x14ac:dyDescent="0.25">
      <c r="A22726" t="str">
        <f>HYPERLINK("https://www.773grp.com/globalSearch/ISO7231MDW/page-1", "ISO7231MDW")</f>
        <v>ISO7231MDW</v>
      </c>
      <c r="B22726" s="3" t="s">
        <v>90</v>
      </c>
      <c r="C22726" s="5">
        <v>23</v>
      </c>
      <c r="D22726" s="6">
        <v>5.91</v>
      </c>
    </row>
    <row r="22727" spans="1:4" x14ac:dyDescent="0.25">
      <c r="A22727" t="str">
        <f>HYPERLINK("https://www.773grp.com/globalSearch/LM2575HVT-5.0-LF03/page-1", "LM2575HVT-5.0-LF03")</f>
        <v>LM2575HVT-5.0-LF03</v>
      </c>
      <c r="B22727" s="3" t="s">
        <v>90</v>
      </c>
      <c r="C22727" s="5">
        <v>180</v>
      </c>
      <c r="D22727" s="6">
        <v>5.91</v>
      </c>
    </row>
    <row r="22728" spans="1:4" x14ac:dyDescent="0.25">
      <c r="A22728" t="str">
        <f>HYPERLINK("https://www.773grp.com/globalSearch/LM26400YSD-NOPB/page-1", "LM26400YSD-NOPB")</f>
        <v>LM26400YSD-NOPB</v>
      </c>
      <c r="B22728" s="3" t="s">
        <v>90</v>
      </c>
      <c r="C22728" s="5">
        <v>1000</v>
      </c>
      <c r="D22728" s="6">
        <v>5.91</v>
      </c>
    </row>
    <row r="22729" spans="1:4" x14ac:dyDescent="0.25">
      <c r="A22729" t="str">
        <f>HYPERLINK("https://www.773grp.com/globalSearch/LM2854MHX-1000-NOPB/page-1", "LM2854MHX-1000-NOPB")</f>
        <v>LM2854MHX-1000-NOPB</v>
      </c>
      <c r="B22729" s="3" t="s">
        <v>90</v>
      </c>
      <c r="C22729" s="5">
        <v>2500</v>
      </c>
      <c r="D22729" s="6">
        <v>5.91</v>
      </c>
    </row>
    <row r="22730" spans="1:4" x14ac:dyDescent="0.25">
      <c r="A22730" t="str">
        <f>HYPERLINK("https://www.773grp.com/globalSearch/LM2854MHX-500-NOPB/page-1", "LM2854MHX-500-NOPB")</f>
        <v>LM2854MHX-500-NOPB</v>
      </c>
      <c r="B22730" s="3" t="s">
        <v>90</v>
      </c>
      <c r="C22730" s="5">
        <v>2500</v>
      </c>
      <c r="D22730" s="6">
        <v>5.91</v>
      </c>
    </row>
    <row r="22731" spans="1:4" x14ac:dyDescent="0.25">
      <c r="A22731" t="str">
        <f>HYPERLINK("https://www.773grp.com/globalSearch/LM5642XMT-NOPB/page-1", "LM5642XMT-NOPB")</f>
        <v>LM5642XMT-NOPB</v>
      </c>
      <c r="B22731" s="3" t="s">
        <v>90</v>
      </c>
      <c r="C22731" s="5">
        <v>450</v>
      </c>
      <c r="D22731" s="6">
        <v>5.91</v>
      </c>
    </row>
    <row r="22732" spans="1:4" x14ac:dyDescent="0.25">
      <c r="A22732" t="str">
        <f>HYPERLINK("https://www.773grp.com/globalSearch/LP3873ES-1.8-NOPB/page-1", "LP3873ES-1.8-NOPB")</f>
        <v>LP3873ES-1.8-NOPB</v>
      </c>
      <c r="B22732" s="3" t="s">
        <v>90</v>
      </c>
      <c r="C22732" s="5">
        <v>300</v>
      </c>
      <c r="D22732" s="6">
        <v>5.91</v>
      </c>
    </row>
    <row r="22733" spans="1:4" x14ac:dyDescent="0.25">
      <c r="A22733" t="str">
        <f>HYPERLINK("https://www.773grp.com/globalSearch/MSP430FR5728IRGER/page-1", "MSP430FR5728IRGER")</f>
        <v>MSP430FR5728IRGER</v>
      </c>
      <c r="B22733" s="3" t="s">
        <v>90</v>
      </c>
      <c r="C22733" s="5">
        <v>5908</v>
      </c>
      <c r="D22733" s="6">
        <v>5.91</v>
      </c>
    </row>
    <row r="22734" spans="1:4" x14ac:dyDescent="0.25">
      <c r="A22734" t="str">
        <f>HYPERLINK("https://www.773grp.com/globalSearch/ONET8541TY/page-1", "ONET8541TY")</f>
        <v>ONET8541TY</v>
      </c>
      <c r="B22734" s="3" t="s">
        <v>90</v>
      </c>
      <c r="C22734" s="5">
        <v>720</v>
      </c>
      <c r="D22734" s="6">
        <v>5.91</v>
      </c>
    </row>
    <row r="22735" spans="1:4" x14ac:dyDescent="0.25">
      <c r="A22735" t="str">
        <f>HYPERLINK("https://www.773grp.com/globalSearch/OPA552UA/page-1", "OPA552UA")</f>
        <v>OPA552UA</v>
      </c>
      <c r="B22735" s="3" t="s">
        <v>90</v>
      </c>
      <c r="C22735" s="5">
        <v>50</v>
      </c>
      <c r="D22735" s="6">
        <v>5.91</v>
      </c>
    </row>
    <row r="22736" spans="1:4" x14ac:dyDescent="0.25">
      <c r="A22736" t="str">
        <f>HYPERLINK("https://www.773grp.com/globalSearch/REF102AP/page-1", "REF102AP")</f>
        <v>REF102AP</v>
      </c>
      <c r="B22736" s="3" t="s">
        <v>90</v>
      </c>
      <c r="C22736" s="5">
        <v>49</v>
      </c>
      <c r="D22736" s="6">
        <v>5.91</v>
      </c>
    </row>
    <row r="22737" spans="1:4" x14ac:dyDescent="0.25">
      <c r="A22737" t="str">
        <f>HYPERLINK("https://www.773grp.com/globalSearch/REF102AP/page-1", "REF102AP")</f>
        <v>REF102AP</v>
      </c>
      <c r="B22737" s="3" t="s">
        <v>90</v>
      </c>
      <c r="C22737" s="5">
        <v>8</v>
      </c>
      <c r="D22737" s="6">
        <v>5.91</v>
      </c>
    </row>
    <row r="22738" spans="1:4" x14ac:dyDescent="0.25">
      <c r="A22738" t="str">
        <f>HYPERLINK("https://www.773grp.com/globalSearch/RI-TH1-CB1A-00/page-1", "RI-TH1-CB1A-00")</f>
        <v>RI-TH1-CB1A-00</v>
      </c>
      <c r="B22738" s="3" t="s">
        <v>90</v>
      </c>
      <c r="C22738" s="5">
        <v>3001</v>
      </c>
      <c r="D22738" s="6">
        <v>5.91</v>
      </c>
    </row>
    <row r="22739" spans="1:4" x14ac:dyDescent="0.25">
      <c r="A22739" t="str">
        <f>HYPERLINK("https://www.773grp.com/globalSearch/SN74AVC16646D/page-1", "SN74AVC16646D")</f>
        <v>SN74AVC16646D</v>
      </c>
      <c r="B22739" s="3" t="s">
        <v>90</v>
      </c>
      <c r="C22739" s="5">
        <v>595</v>
      </c>
      <c r="D22739" s="6">
        <v>5.91</v>
      </c>
    </row>
    <row r="22740" spans="1:4" x14ac:dyDescent="0.25">
      <c r="A22740" t="str">
        <f>HYPERLINK("https://www.773grp.com/globalSearch/TLC4502QDG4/page-1", "TLC4502QDG4")</f>
        <v>TLC4502QDG4</v>
      </c>
      <c r="B22740" s="3" t="s">
        <v>90</v>
      </c>
      <c r="C22740" s="5">
        <v>8400</v>
      </c>
      <c r="D22740" s="6">
        <v>5.91</v>
      </c>
    </row>
    <row r="22741" spans="1:4" x14ac:dyDescent="0.25">
      <c r="A22741" t="str">
        <f>HYPERLINK("https://www.773grp.com/globalSearch/TLE2064MD/page-1", "TLE2064MD")</f>
        <v>TLE2064MD</v>
      </c>
      <c r="B22741" s="3" t="s">
        <v>90</v>
      </c>
      <c r="C22741" s="5">
        <v>16272</v>
      </c>
      <c r="D22741" s="6">
        <v>5.91</v>
      </c>
    </row>
    <row r="22742" spans="1:4" x14ac:dyDescent="0.25">
      <c r="A22742" t="str">
        <f>HYPERLINK("https://www.773grp.com/globalSearch/TLE2064MDG4/page-1", "TLE2064MDG4")</f>
        <v>TLE2064MDG4</v>
      </c>
      <c r="B22742" s="3" t="s">
        <v>90</v>
      </c>
      <c r="C22742" s="5">
        <v>100</v>
      </c>
      <c r="D22742" s="6">
        <v>5.91</v>
      </c>
    </row>
    <row r="22743" spans="1:4" x14ac:dyDescent="0.25">
      <c r="A22743" t="str">
        <f>HYPERLINK("https://www.773grp.com/globalSearch/TLE2084CN/page-1", "TLE2084CN")</f>
        <v>TLE2084CN</v>
      </c>
      <c r="B22743" s="3" t="s">
        <v>90</v>
      </c>
      <c r="C22743" s="5">
        <v>62</v>
      </c>
      <c r="D22743" s="6">
        <v>5.91</v>
      </c>
    </row>
    <row r="22744" spans="1:4" x14ac:dyDescent="0.25">
      <c r="A22744" t="str">
        <f>HYPERLINK("https://www.773grp.com/globalSearch/TLV320AIC3101IRHBR/page-1", "TLV320AIC3101IRHBR")</f>
        <v>TLV320AIC3101IRHBR</v>
      </c>
      <c r="B22744" s="3" t="s">
        <v>90</v>
      </c>
      <c r="C22744" s="5">
        <v>7510</v>
      </c>
      <c r="D22744" s="6">
        <v>5.91</v>
      </c>
    </row>
    <row r="22745" spans="1:4" x14ac:dyDescent="0.25">
      <c r="A22745" t="str">
        <f>HYPERLINK("https://www.773grp.com/globalSearch/TPS54160DGQ/page-1", "TPS54160DGQ")</f>
        <v>TPS54160DGQ</v>
      </c>
      <c r="B22745" s="3" t="s">
        <v>90</v>
      </c>
      <c r="C22745" s="5">
        <v>392</v>
      </c>
      <c r="D22745" s="6">
        <v>5.91</v>
      </c>
    </row>
    <row r="22746" spans="1:4" x14ac:dyDescent="0.25">
      <c r="A22746" t="str">
        <f>HYPERLINK("https://www.773grp.com/globalSearch/TPS59621RHAT/page-1", "TPS59621RHAT")</f>
        <v>TPS59621RHAT</v>
      </c>
      <c r="B22746" s="3" t="s">
        <v>90</v>
      </c>
      <c r="C22746" s="5">
        <v>644</v>
      </c>
      <c r="D22746" s="6">
        <v>5.91</v>
      </c>
    </row>
    <row r="22747" spans="1:4" x14ac:dyDescent="0.25">
      <c r="A22747" t="str">
        <f>HYPERLINK("https://www.773grp.com/globalSearch/TPS65250RHAR/page-1", "TPS65250RHAR")</f>
        <v>TPS65250RHAR</v>
      </c>
      <c r="B22747" s="3" t="s">
        <v>90</v>
      </c>
      <c r="C22747" s="5">
        <v>3933</v>
      </c>
      <c r="D22747" s="6">
        <v>5.91</v>
      </c>
    </row>
    <row r="22748" spans="1:4" x14ac:dyDescent="0.25">
      <c r="A22748" t="str">
        <f>HYPERLINK("https://www.773grp.com/globalSearch/TPS65251RHAR/page-1", "TPS65251RHAR")</f>
        <v>TPS65251RHAR</v>
      </c>
      <c r="B22748" s="3" t="s">
        <v>90</v>
      </c>
      <c r="C22748" s="5">
        <v>18557</v>
      </c>
      <c r="D22748" s="6">
        <v>5.91</v>
      </c>
    </row>
    <row r="22749" spans="1:4" x14ac:dyDescent="0.25">
      <c r="A22749" t="str">
        <f>HYPERLINK("https://www.773grp.com/globalSearch/TPS75201QPWPRQ1/page-1", "TPS75201QPWPRQ1")</f>
        <v>TPS75201QPWPRQ1</v>
      </c>
      <c r="B22749" s="3" t="s">
        <v>90</v>
      </c>
      <c r="C22749" s="5">
        <v>94000</v>
      </c>
      <c r="D22749" s="6">
        <v>5.91</v>
      </c>
    </row>
    <row r="22750" spans="1:4" x14ac:dyDescent="0.25">
      <c r="A22750" t="str">
        <f>HYPERLINK("https://www.773grp.com/globalSearch/TPS767D301PWPR/page-1", "TPS767D301PWPR")</f>
        <v>TPS767D301PWPR</v>
      </c>
      <c r="B22750" s="3" t="s">
        <v>90</v>
      </c>
      <c r="C22750" s="5">
        <v>3333</v>
      </c>
      <c r="D22750" s="6">
        <v>5.91</v>
      </c>
    </row>
    <row r="22751" spans="1:4" x14ac:dyDescent="0.25">
      <c r="A22751" t="str">
        <f>HYPERLINK("https://www.773grp.com/globalSearch/TPS767D325PWPR/page-1", "TPS767D325PWPR")</f>
        <v>TPS767D325PWPR</v>
      </c>
      <c r="B22751" s="3" t="s">
        <v>90</v>
      </c>
      <c r="C22751" s="5">
        <v>2000</v>
      </c>
      <c r="D22751" s="6">
        <v>5.91</v>
      </c>
    </row>
    <row r="22752" spans="1:4" x14ac:dyDescent="0.25">
      <c r="A22752" t="str">
        <f>HYPERLINK("https://www.773grp.com/globalSearch/TSC2007IPW/page-1", "TSC2007IPW")</f>
        <v>TSC2007IPW</v>
      </c>
      <c r="B22752" s="3" t="s">
        <v>90</v>
      </c>
      <c r="C22752" s="5">
        <v>70</v>
      </c>
      <c r="D22752" s="6">
        <v>5.91</v>
      </c>
    </row>
    <row r="22753" spans="1:4" x14ac:dyDescent="0.25">
      <c r="A22753" t="str">
        <f>HYPERLINK("https://www.773grp.com/globalSearch/TSC2007IPWG4/page-1", "TSC2007IPWG4")</f>
        <v>TSC2007IPWG4</v>
      </c>
      <c r="B22753" s="3" t="s">
        <v>90</v>
      </c>
      <c r="C22753" s="5">
        <v>184</v>
      </c>
      <c r="D22753" s="6">
        <v>5.91</v>
      </c>
    </row>
    <row r="22754" spans="1:4" x14ac:dyDescent="0.25">
      <c r="A22754" t="str">
        <f>HYPERLINK("https://www.773grp.com/globalSearch/UCC2580DTR-1-1/page-1", "UCC2580DTR-1-1")</f>
        <v>UCC2580DTR-1-1</v>
      </c>
      <c r="B22754" s="3" t="s">
        <v>90</v>
      </c>
      <c r="C22754" s="5">
        <v>235000</v>
      </c>
      <c r="D22754" s="6">
        <v>5.91</v>
      </c>
    </row>
    <row r="22755" spans="1:4" x14ac:dyDescent="0.25">
      <c r="A22755" t="str">
        <f>HYPERLINK("https://www.773grp.com/globalSearch/UCC5631AMWPTR/page-1", "UCC5631AMWPTR")</f>
        <v>UCC5631AMWPTR</v>
      </c>
      <c r="B22755" s="3" t="s">
        <v>90</v>
      </c>
      <c r="C22755" s="5">
        <v>11000</v>
      </c>
      <c r="D22755" s="6">
        <v>5.91</v>
      </c>
    </row>
    <row r="22756" spans="1:4" x14ac:dyDescent="0.25">
      <c r="A22756" t="str">
        <f>HYPERLINK("https://www.773grp.com/globalSearch/CC2560AYFVT/page-1", "CC2560AYFVT")</f>
        <v>CC2560AYFVT</v>
      </c>
      <c r="B22756" s="3" t="s">
        <v>90</v>
      </c>
      <c r="C22756" s="5">
        <v>250</v>
      </c>
      <c r="D22756" s="6">
        <v>5.94</v>
      </c>
    </row>
    <row r="22757" spans="1:4" x14ac:dyDescent="0.25">
      <c r="A22757" t="str">
        <f>HYPERLINK("https://www.773grp.com/globalSearch/Z27PC512-2FMLR/page-1", "Z27PC512-2FMLR")</f>
        <v>Z27PC512-2FMLR</v>
      </c>
      <c r="B22757" s="3" t="s">
        <v>90</v>
      </c>
      <c r="C22757" s="5">
        <v>1000</v>
      </c>
      <c r="D22757" s="6">
        <v>5.94</v>
      </c>
    </row>
    <row r="22758" spans="1:4" x14ac:dyDescent="0.25">
      <c r="A22758" t="str">
        <f>HYPERLINK("https://www.773grp.com/globalSearch/CC2560ARVMT/page-1", "CC2560ARVMT")</f>
        <v>CC2560ARVMT</v>
      </c>
      <c r="B22758" s="3" t="s">
        <v>90</v>
      </c>
      <c r="C22758" s="5">
        <v>195</v>
      </c>
      <c r="D22758" s="6">
        <v>5.96</v>
      </c>
    </row>
    <row r="22759" spans="1:4" x14ac:dyDescent="0.25">
      <c r="A22759" t="str">
        <f>HYPERLINK("https://www.773grp.com/globalSearch/LM20333MHE-NOPB/page-1", "LM20333MHE-NOPB")</f>
        <v>LM20333MHE-NOPB</v>
      </c>
      <c r="B22759" s="3" t="s">
        <v>90</v>
      </c>
      <c r="C22759" s="5">
        <v>150</v>
      </c>
      <c r="D22759" s="6">
        <v>5.99</v>
      </c>
    </row>
    <row r="22760" spans="1:4" x14ac:dyDescent="0.25">
      <c r="A22760" t="str">
        <f>HYPERLINK("https://www.773grp.com/globalSearch/LM22670MRE-ADJ-NOPB/page-1", "LM22670MRE-ADJ-NOPB")</f>
        <v>LM22670MRE-ADJ-NOPB</v>
      </c>
      <c r="B22760" s="3" t="s">
        <v>90</v>
      </c>
      <c r="C22760" s="5">
        <v>7500</v>
      </c>
      <c r="D22760" s="6">
        <v>5.99</v>
      </c>
    </row>
    <row r="22761" spans="1:4" x14ac:dyDescent="0.25">
      <c r="A22761" t="str">
        <f>HYPERLINK("https://www.773grp.com/globalSearch/LM2673SD-5.0-NOPB/page-1", "LM2673SD-5.0-NOPB")</f>
        <v>LM2673SD-5.0-NOPB</v>
      </c>
      <c r="B22761" s="3" t="s">
        <v>90</v>
      </c>
      <c r="C22761" s="5">
        <v>250</v>
      </c>
      <c r="D22761" s="6">
        <v>5.99</v>
      </c>
    </row>
    <row r="22762" spans="1:4" x14ac:dyDescent="0.25">
      <c r="A22762" t="str">
        <f>HYPERLINK("https://www.773grp.com/globalSearch/LM5015MHE-NOPB/page-1", "LM5015MHE-NOPB")</f>
        <v>LM5015MHE-NOPB</v>
      </c>
      <c r="B22762" s="3" t="s">
        <v>90</v>
      </c>
      <c r="C22762" s="5">
        <v>9</v>
      </c>
      <c r="D22762" s="6">
        <v>5.99</v>
      </c>
    </row>
    <row r="22763" spans="1:4" x14ac:dyDescent="0.25">
      <c r="A22763" t="str">
        <f>HYPERLINK("https://www.773grp.com/globalSearch/TPS55340RTET/page-1", "TPS55340RTET")</f>
        <v>TPS55340RTET</v>
      </c>
      <c r="B22763" s="3" t="s">
        <v>90</v>
      </c>
      <c r="C22763" s="5">
        <v>220</v>
      </c>
      <c r="D22763" s="6">
        <v>5.99</v>
      </c>
    </row>
    <row r="22764" spans="1:4" x14ac:dyDescent="0.25">
      <c r="A22764" t="str">
        <f>HYPERLINK("https://www.773grp.com/globalSearch/RI-TH1-CB2A-00/page-1", "RI-TH1-CB2A-00")</f>
        <v>RI-TH1-CB2A-00</v>
      </c>
      <c r="B22764" s="3" t="s">
        <v>90</v>
      </c>
      <c r="C22764" s="5">
        <v>1552</v>
      </c>
      <c r="D22764" s="6">
        <v>6.03</v>
      </c>
    </row>
    <row r="22765" spans="1:4" x14ac:dyDescent="0.25">
      <c r="A22765" t="str">
        <f>HYPERLINK("https://www.773grp.com/globalSearch/SN64BCT244NS/page-1", "SN64BCT244NS")</f>
        <v>SN64BCT244NS</v>
      </c>
      <c r="B22765" s="3" t="s">
        <v>90</v>
      </c>
      <c r="C22765" s="5">
        <v>3240</v>
      </c>
      <c r="D22765" s="6">
        <v>6.03</v>
      </c>
    </row>
    <row r="22766" spans="1:4" x14ac:dyDescent="0.25">
      <c r="A22766" t="str">
        <f>HYPERLINK("https://www.773grp.com/globalSearch/SN74AS175BNSR/page-1", "SN74AS175BNSR")</f>
        <v>SN74AS175BNSR</v>
      </c>
      <c r="B22766" s="3" t="s">
        <v>90</v>
      </c>
      <c r="C22766" s="5">
        <v>8000</v>
      </c>
      <c r="D22766" s="6">
        <v>6.03</v>
      </c>
    </row>
    <row r="22767" spans="1:4" x14ac:dyDescent="0.25">
      <c r="A22767" t="str">
        <f>HYPERLINK("https://www.773grp.com/globalSearch/SN74S640-1N/page-1", "SN74S640-1N")</f>
        <v>SN74S640-1N</v>
      </c>
      <c r="B22767" s="3" t="s">
        <v>90</v>
      </c>
      <c r="C22767" s="5">
        <v>4</v>
      </c>
      <c r="D22767" s="6">
        <v>6.03</v>
      </c>
    </row>
    <row r="22768" spans="1:4" x14ac:dyDescent="0.25">
      <c r="A22768" t="str">
        <f>HYPERLINK("https://www.773grp.com/globalSearch/TL5501CN/page-1", "TL5501CN")</f>
        <v>TL5501CN</v>
      </c>
      <c r="B22768" s="3" t="s">
        <v>90</v>
      </c>
      <c r="C22768" s="5">
        <v>1129</v>
      </c>
      <c r="D22768" s="6">
        <v>6.03</v>
      </c>
    </row>
    <row r="22769" spans="1:4" x14ac:dyDescent="0.25">
      <c r="A22769" t="str">
        <f>HYPERLINK("https://www.773grp.com/globalSearch/UCC2897RTJT/page-1", "UCC2897RTJT")</f>
        <v>UCC2897RTJT</v>
      </c>
      <c r="B22769" s="3" t="s">
        <v>90</v>
      </c>
      <c r="C22769" s="5">
        <v>5500</v>
      </c>
      <c r="D22769" s="6">
        <v>6.03</v>
      </c>
    </row>
    <row r="22770" spans="1:4" x14ac:dyDescent="0.25">
      <c r="A22770" t="str">
        <f>HYPERLINK("https://www.773grp.com/globalSearch/ADS7960SRHBT/page-1", "ADS7960SRHBT")</f>
        <v>ADS7960SRHBT</v>
      </c>
      <c r="B22770" s="3" t="s">
        <v>90</v>
      </c>
      <c r="C22770" s="5">
        <v>190</v>
      </c>
      <c r="D22770" s="6">
        <v>6.04</v>
      </c>
    </row>
    <row r="22771" spans="1:4" x14ac:dyDescent="0.25">
      <c r="A22771" t="str">
        <f>HYPERLINK("https://www.773grp.com/globalSearch/MSP430F2254IRHAR/page-1", "MSP430F2254IRHAR")</f>
        <v>MSP430F2254IRHAR</v>
      </c>
      <c r="B22771" s="3" t="s">
        <v>90</v>
      </c>
      <c r="C22771" s="5">
        <v>2449</v>
      </c>
      <c r="D22771" s="6">
        <v>6.04</v>
      </c>
    </row>
    <row r="22772" spans="1:4" x14ac:dyDescent="0.25">
      <c r="A22772" t="str">
        <f>HYPERLINK("https://www.773grp.com/globalSearch/MSP430F233TRGCR/page-1", "MSP430F233TRGCR")</f>
        <v>MSP430F233TRGCR</v>
      </c>
      <c r="B22772" s="3" t="s">
        <v>90</v>
      </c>
      <c r="C22772" s="5">
        <v>1500</v>
      </c>
      <c r="D22772" s="6">
        <v>6.04</v>
      </c>
    </row>
    <row r="22773" spans="1:4" x14ac:dyDescent="0.25">
      <c r="A22773" t="str">
        <f>HYPERLINK("https://www.773grp.com/globalSearch/MSP430F5340IRGZT/page-1", "MSP430F5340IRGZT")</f>
        <v>MSP430F5340IRGZT</v>
      </c>
      <c r="B22773" s="3" t="s">
        <v>90</v>
      </c>
      <c r="C22773" s="5">
        <v>90</v>
      </c>
      <c r="D22773" s="6">
        <v>6.04</v>
      </c>
    </row>
    <row r="22774" spans="1:4" x14ac:dyDescent="0.25">
      <c r="A22774" t="str">
        <f>HYPERLINK("https://www.773grp.com/globalSearch/MSP430FR5728IRGET/page-1", "MSP430FR5728IRGET")</f>
        <v>MSP430FR5728IRGET</v>
      </c>
      <c r="B22774" s="3" t="s">
        <v>90</v>
      </c>
      <c r="C22774" s="5">
        <v>250</v>
      </c>
      <c r="D22774" s="6">
        <v>6.04</v>
      </c>
    </row>
    <row r="22775" spans="1:4" x14ac:dyDescent="0.25">
      <c r="A22775" t="str">
        <f>HYPERLINK("https://www.773grp.com/globalSearch/MSP430FR5729IDA/page-1", "MSP430FR5729IDA")</f>
        <v>MSP430FR5729IDA</v>
      </c>
      <c r="B22775" s="3" t="s">
        <v>90</v>
      </c>
      <c r="C22775" s="5">
        <v>60</v>
      </c>
      <c r="D22775" s="6">
        <v>6.04</v>
      </c>
    </row>
    <row r="22776" spans="1:4" x14ac:dyDescent="0.25">
      <c r="A22776" t="str">
        <f>HYPERLINK("https://www.773grp.com/globalSearch/MSP430FR5729IDAR/page-1", "MSP430FR5729IDAR")</f>
        <v>MSP430FR5729IDAR</v>
      </c>
      <c r="B22776" s="3" t="s">
        <v>90</v>
      </c>
      <c r="C22776" s="5">
        <v>1950</v>
      </c>
      <c r="D22776" s="6">
        <v>6.04</v>
      </c>
    </row>
    <row r="22777" spans="1:4" x14ac:dyDescent="0.25">
      <c r="A22777" t="str">
        <f>HYPERLINK("https://www.773grp.com/globalSearch/PCM1741E-2K/page-1", "PCM1741E-2K")</f>
        <v>PCM1741E-2K</v>
      </c>
      <c r="B22777" s="3" t="s">
        <v>90</v>
      </c>
      <c r="C22777" s="5">
        <v>2000</v>
      </c>
      <c r="D22777" s="6">
        <v>6.04</v>
      </c>
    </row>
    <row r="22778" spans="1:4" x14ac:dyDescent="0.25">
      <c r="A22778" t="str">
        <f>HYPERLINK("https://www.773grp.com/globalSearch/SN65LVDS179MDGKREP/page-1", "SN65LVDS179MDGKREP")</f>
        <v>SN65LVDS179MDGKREP</v>
      </c>
      <c r="B22778" s="3" t="s">
        <v>90</v>
      </c>
      <c r="C22778" s="5">
        <v>134</v>
      </c>
      <c r="D22778" s="6">
        <v>6.04</v>
      </c>
    </row>
    <row r="22779" spans="1:4" x14ac:dyDescent="0.25">
      <c r="A22779" t="str">
        <f>HYPERLINK("https://www.773grp.com/globalSearch/TAS5713PHPR/page-1", "TAS5713PHPR")</f>
        <v>TAS5713PHPR</v>
      </c>
      <c r="B22779" s="3" t="s">
        <v>90</v>
      </c>
      <c r="C22779" s="5">
        <v>142</v>
      </c>
      <c r="D22779" s="6">
        <v>6.04</v>
      </c>
    </row>
    <row r="22780" spans="1:4" x14ac:dyDescent="0.25">
      <c r="A22780" t="str">
        <f>HYPERLINK("https://www.773grp.com/globalSearch/TLC2201ACD/page-1", "TLC2201ACD")</f>
        <v>TLC2201ACD</v>
      </c>
      <c r="B22780" s="3" t="s">
        <v>90</v>
      </c>
      <c r="C22780" s="5">
        <v>69</v>
      </c>
      <c r="D22780" s="6">
        <v>6.04</v>
      </c>
    </row>
    <row r="22781" spans="1:4" x14ac:dyDescent="0.25">
      <c r="A22781" t="str">
        <f>HYPERLINK("https://www.773grp.com/globalSearch/TPS2224PWPR/page-1", "TPS2224PWPR")</f>
        <v>TPS2224PWPR</v>
      </c>
      <c r="B22781" s="3" t="s">
        <v>90</v>
      </c>
      <c r="C22781" s="5">
        <v>18000</v>
      </c>
      <c r="D22781" s="6">
        <v>6.04</v>
      </c>
    </row>
    <row r="22782" spans="1:4" x14ac:dyDescent="0.25">
      <c r="A22782" t="str">
        <f>HYPERLINK("https://www.773grp.com/globalSearch/TPS54418RTER/page-1", "TPS54418RTER")</f>
        <v>TPS54418RTER</v>
      </c>
      <c r="B22782" s="3" t="s">
        <v>90</v>
      </c>
      <c r="C22782" s="5">
        <v>16262</v>
      </c>
      <c r="D22782" s="6">
        <v>6.04</v>
      </c>
    </row>
    <row r="22783" spans="1:4" x14ac:dyDescent="0.25">
      <c r="A22783" t="str">
        <f>HYPERLINK("https://www.773grp.com/globalSearch/UC3867DWTR/page-1", "UC3867DWTR")</f>
        <v>UC3867DWTR</v>
      </c>
      <c r="B22783" s="3" t="s">
        <v>90</v>
      </c>
      <c r="C22783" s="5">
        <v>8000</v>
      </c>
      <c r="D22783" s="6">
        <v>6.04</v>
      </c>
    </row>
    <row r="22784" spans="1:4" x14ac:dyDescent="0.25">
      <c r="A22784" t="str">
        <f>HYPERLINK("https://www.773grp.com/globalSearch/UCC384DP-ADJ-1/page-1", "UCC384DP-ADJ-1")</f>
        <v>UCC384DP-ADJ-1</v>
      </c>
      <c r="B22784" s="3" t="s">
        <v>90</v>
      </c>
      <c r="C22784" s="5">
        <v>10485</v>
      </c>
      <c r="D22784" s="6">
        <v>6.04</v>
      </c>
    </row>
    <row r="22785" spans="1:4" x14ac:dyDescent="0.25">
      <c r="A22785" t="str">
        <f>HYPERLINK("https://www.773grp.com/globalSearch/V62-07612-03NE/page-1", "V62-07612-03NE")</f>
        <v>V62-07612-03NE</v>
      </c>
      <c r="B22785" s="3" t="s">
        <v>90</v>
      </c>
      <c r="C22785" s="5">
        <v>700</v>
      </c>
      <c r="D22785" s="6">
        <v>6.04</v>
      </c>
    </row>
    <row r="22786" spans="1:4" x14ac:dyDescent="0.25">
      <c r="A22786" t="str">
        <f>HYPERLINK("https://www.773grp.com/globalSearch/CC2541F256RHAT/page-1", "CC2541F256RHAT")</f>
        <v>CC2541F256RHAT</v>
      </c>
      <c r="B22786" s="3" t="s">
        <v>90</v>
      </c>
      <c r="C22786" s="5">
        <v>2210</v>
      </c>
      <c r="D22786" s="6">
        <v>6.08</v>
      </c>
    </row>
    <row r="22787" spans="1:4" x14ac:dyDescent="0.25">
      <c r="A22787" t="str">
        <f>HYPERLINK("https://www.773grp.com/globalSearch/DIR9001PWG4/page-1", "DIR9001PWG4")</f>
        <v>DIR9001PWG4</v>
      </c>
      <c r="B22787" s="3" t="s">
        <v>90</v>
      </c>
      <c r="C22787" s="5">
        <v>15</v>
      </c>
      <c r="D22787" s="6">
        <v>6.08</v>
      </c>
    </row>
    <row r="22788" spans="1:4" x14ac:dyDescent="0.25">
      <c r="A22788" t="str">
        <f>HYPERLINK("https://www.773grp.com/globalSearch/LM2596S-ADJ-NOPB/page-1", "LM2596S-ADJ-NOPB")</f>
        <v>LM2596S-ADJ-NOPB</v>
      </c>
      <c r="B22788" s="3" t="s">
        <v>90</v>
      </c>
      <c r="C22788" s="5">
        <v>180</v>
      </c>
      <c r="D22788" s="6">
        <v>6.08</v>
      </c>
    </row>
    <row r="22789" spans="1:4" x14ac:dyDescent="0.25">
      <c r="A22789" t="str">
        <f>HYPERLINK("https://www.773grp.com/globalSearch/SNJ54HC280J/page-1", "SNJ54HC280J")</f>
        <v>SNJ54HC280J</v>
      </c>
      <c r="B22789" s="3" t="s">
        <v>90</v>
      </c>
      <c r="C22789" s="5">
        <v>24</v>
      </c>
      <c r="D22789" s="6">
        <v>6.08</v>
      </c>
    </row>
    <row r="22790" spans="1:4" x14ac:dyDescent="0.25">
      <c r="A22790" t="str">
        <f>HYPERLINK("https://www.773grp.com/globalSearch/TAS5707PHPR/page-1", "TAS5707PHPR")</f>
        <v>TAS5707PHPR</v>
      </c>
      <c r="B22790" s="3" t="s">
        <v>90</v>
      </c>
      <c r="C22790" s="5">
        <v>147</v>
      </c>
      <c r="D22790" s="6">
        <v>6.08</v>
      </c>
    </row>
    <row r="22791" spans="1:4" x14ac:dyDescent="0.25">
      <c r="A22791" t="str">
        <f>HYPERLINK("https://www.773grp.com/globalSearch/THS3201DGNR/page-1", "THS3201DGNR")</f>
        <v>THS3201DGNR</v>
      </c>
      <c r="B22791" s="3" t="s">
        <v>90</v>
      </c>
      <c r="C22791" s="5">
        <v>5000</v>
      </c>
      <c r="D22791" s="6">
        <v>6.08</v>
      </c>
    </row>
    <row r="22792" spans="1:4" x14ac:dyDescent="0.25">
      <c r="A22792" t="str">
        <f>HYPERLINK("https://www.773grp.com/globalSearch/THS4031CDGNR/page-1", "THS4031CDGNR")</f>
        <v>THS4031CDGNR</v>
      </c>
      <c r="B22792" s="3" t="s">
        <v>90</v>
      </c>
      <c r="C22792" s="5">
        <v>645</v>
      </c>
      <c r="D22792" s="6">
        <v>6.08</v>
      </c>
    </row>
    <row r="22793" spans="1:4" x14ac:dyDescent="0.25">
      <c r="A22793" t="str">
        <f>HYPERLINK("https://www.773grp.com/globalSearch/LMC6064IM-NOPB/page-1", "LMC6064IM-NOPB")</f>
        <v>LMC6064IM-NOPB</v>
      </c>
      <c r="B22793" s="3" t="s">
        <v>90</v>
      </c>
      <c r="C22793" s="5">
        <v>219</v>
      </c>
      <c r="D22793" s="6">
        <v>6.13</v>
      </c>
    </row>
    <row r="22794" spans="1:4" x14ac:dyDescent="0.25">
      <c r="A22794" t="str">
        <f>HYPERLINK("https://www.773grp.com/globalSearch/ADC124S101CIMM-NOPB/page-1", "ADC124S101CIMM-NOPB")</f>
        <v>ADC124S101CIMM-NOPB</v>
      </c>
      <c r="B22794" s="3" t="s">
        <v>90</v>
      </c>
      <c r="C22794" s="5">
        <v>208</v>
      </c>
      <c r="D22794" s="6">
        <v>6.16</v>
      </c>
    </row>
    <row r="22795" spans="1:4" x14ac:dyDescent="0.25">
      <c r="A22795" t="str">
        <f>HYPERLINK("https://www.773grp.com/globalSearch/BQ51050BRHLT/page-1", "BQ51050BRHLT")</f>
        <v>BQ51050BRHLT</v>
      </c>
      <c r="B22795" s="3" t="s">
        <v>90</v>
      </c>
      <c r="C22795" s="5">
        <v>238</v>
      </c>
      <c r="D22795" s="6">
        <v>6.16</v>
      </c>
    </row>
    <row r="22796" spans="1:4" x14ac:dyDescent="0.25">
      <c r="A22796" t="str">
        <f>HYPERLINK("https://www.773grp.com/globalSearch/BQ51051BRHLT/page-1", "BQ51051BRHLT")</f>
        <v>BQ51051BRHLT</v>
      </c>
      <c r="B22796" s="3" t="s">
        <v>90</v>
      </c>
      <c r="C22796" s="5">
        <v>250</v>
      </c>
      <c r="D22796" s="6">
        <v>6.16</v>
      </c>
    </row>
    <row r="22797" spans="1:4" x14ac:dyDescent="0.25">
      <c r="A22797" t="str">
        <f>HYPERLINK("https://www.773grp.com/globalSearch/BQ51051BYFPT/page-1", "BQ51051BYFPT")</f>
        <v>BQ51051BYFPT</v>
      </c>
      <c r="B22797" s="3" t="s">
        <v>90</v>
      </c>
      <c r="C22797" s="5">
        <v>250</v>
      </c>
      <c r="D22797" s="6">
        <v>6.16</v>
      </c>
    </row>
    <row r="22798" spans="1:4" x14ac:dyDescent="0.25">
      <c r="A22798" t="str">
        <f>HYPERLINK("https://www.773grp.com/globalSearch/REF102AU/page-1", "REF102AU")</f>
        <v>REF102AU</v>
      </c>
      <c r="B22798" s="3" t="s">
        <v>90</v>
      </c>
      <c r="C22798" s="5">
        <v>75</v>
      </c>
      <c r="D22798" s="6">
        <v>6.16</v>
      </c>
    </row>
    <row r="22799" spans="1:4" x14ac:dyDescent="0.25">
      <c r="A22799" t="str">
        <f>HYPERLINK("https://www.773grp.com/globalSearch/SM72295MAE-NOPB/page-1", "SM72295MAE-NOPB")</f>
        <v>SM72295MAE-NOPB</v>
      </c>
      <c r="B22799" s="3" t="s">
        <v>90</v>
      </c>
      <c r="C22799" s="5">
        <v>4</v>
      </c>
      <c r="D22799" s="6">
        <v>6.16</v>
      </c>
    </row>
    <row r="22800" spans="1:4" x14ac:dyDescent="0.25">
      <c r="A22800" t="str">
        <f>HYPERLINK("https://www.773grp.com/globalSearch/TPS54260DRCT/page-1", "TPS54260DRCT")</f>
        <v>TPS54260DRCT</v>
      </c>
      <c r="B22800" s="3" t="s">
        <v>90</v>
      </c>
      <c r="C22800" s="5">
        <v>45</v>
      </c>
      <c r="D22800" s="6">
        <v>6.16</v>
      </c>
    </row>
    <row r="22801" spans="1:4" x14ac:dyDescent="0.25">
      <c r="A22801" t="str">
        <f>HYPERLINK("https://www.773grp.com/globalSearch/TPS65178RSLT/page-1", "TPS65178RSLT")</f>
        <v>TPS65178RSLT</v>
      </c>
      <c r="B22801" s="3" t="s">
        <v>90</v>
      </c>
      <c r="C22801" s="5">
        <v>750</v>
      </c>
      <c r="D22801" s="6">
        <v>6.16</v>
      </c>
    </row>
    <row r="22802" spans="1:4" x14ac:dyDescent="0.25">
      <c r="A22802" t="str">
        <f>HYPERLINK("https://www.773grp.com/globalSearch/UC350T/page-1", "UC350T")</f>
        <v>UC350T</v>
      </c>
      <c r="B22802" s="3" t="s">
        <v>90</v>
      </c>
      <c r="C22802" s="5">
        <v>657</v>
      </c>
      <c r="D22802" s="6">
        <v>6.16</v>
      </c>
    </row>
    <row r="22803" spans="1:4" x14ac:dyDescent="0.25">
      <c r="A22803" t="str">
        <f>HYPERLINK("https://www.773grp.com/globalSearch/32R1608AR8CGTR/page-1", "32R1608AR8CGTR")</f>
        <v>32R1608AR8CGTR</v>
      </c>
      <c r="B22803" s="3" t="s">
        <v>90</v>
      </c>
      <c r="C22803" s="5">
        <v>86000</v>
      </c>
      <c r="D22803" s="6">
        <v>6.19</v>
      </c>
    </row>
    <row r="22804" spans="1:4" x14ac:dyDescent="0.25">
      <c r="A22804" t="str">
        <f>HYPERLINK("https://www.773grp.com/globalSearch/CC1120RHMR/page-1", "CC1120RHMR")</f>
        <v>CC1120RHMR</v>
      </c>
      <c r="B22804" s="3" t="s">
        <v>90</v>
      </c>
      <c r="C22804" s="5">
        <v>9000</v>
      </c>
      <c r="D22804" s="6">
        <v>6.19</v>
      </c>
    </row>
    <row r="22805" spans="1:4" x14ac:dyDescent="0.25">
      <c r="A22805" t="str">
        <f>HYPERLINK("https://www.773grp.com/globalSearch/CDCLVC1108PW/page-1", "CDCLVC1108PW")</f>
        <v>CDCLVC1108PW</v>
      </c>
      <c r="B22805" s="3" t="s">
        <v>90</v>
      </c>
      <c r="C22805" s="5">
        <v>12</v>
      </c>
      <c r="D22805" s="6">
        <v>6.19</v>
      </c>
    </row>
    <row r="22806" spans="1:4" x14ac:dyDescent="0.25">
      <c r="A22806" t="str">
        <f>HYPERLINK("https://www.773grp.com/globalSearch/DRV8811PWP/page-1", "DRV8811PWP")</f>
        <v>DRV8811PWP</v>
      </c>
      <c r="B22806" s="3" t="s">
        <v>90</v>
      </c>
      <c r="C22806" s="5">
        <v>150</v>
      </c>
      <c r="D22806" s="6">
        <v>6.19</v>
      </c>
    </row>
    <row r="22807" spans="1:4" x14ac:dyDescent="0.25">
      <c r="A22807" t="str">
        <f>HYPERLINK("https://www.773grp.com/globalSearch/INA326EA-250/page-1", "INA326EA-250")</f>
        <v>INA326EA-250</v>
      </c>
      <c r="B22807" s="3" t="s">
        <v>90</v>
      </c>
      <c r="C22807" s="5">
        <v>250</v>
      </c>
      <c r="D22807" s="6">
        <v>6.19</v>
      </c>
    </row>
    <row r="22808" spans="1:4" x14ac:dyDescent="0.25">
      <c r="A22808" t="str">
        <f>HYPERLINK("https://www.773grp.com/globalSearch/INA337AIDGKT/page-1", "INA337AIDGKT")</f>
        <v>INA337AIDGKT</v>
      </c>
      <c r="B22808" s="3" t="s">
        <v>90</v>
      </c>
      <c r="C22808" s="5">
        <v>1000</v>
      </c>
      <c r="D22808" s="6">
        <v>6.19</v>
      </c>
    </row>
    <row r="22809" spans="1:4" x14ac:dyDescent="0.25">
      <c r="A22809" t="str">
        <f>HYPERLINK("https://www.773grp.com/globalSearch/ISO7240CDW/page-1", "ISO7240CDW")</f>
        <v>ISO7240CDW</v>
      </c>
      <c r="B22809" s="3" t="s">
        <v>90</v>
      </c>
      <c r="C22809" s="5">
        <v>20</v>
      </c>
      <c r="D22809" s="6">
        <v>6.19</v>
      </c>
    </row>
    <row r="22810" spans="1:4" x14ac:dyDescent="0.25">
      <c r="A22810" t="str">
        <f>HYPERLINK("https://www.773grp.com/globalSearch/LM2678SX-3.3-NOPB/page-1", "LM2678SX-3.3-NOPB")</f>
        <v>LM2678SX-3.3-NOPB</v>
      </c>
      <c r="B22810" s="3" t="s">
        <v>90</v>
      </c>
      <c r="C22810" s="5">
        <v>50</v>
      </c>
      <c r="D22810" s="6">
        <v>6.19</v>
      </c>
    </row>
    <row r="22811" spans="1:4" x14ac:dyDescent="0.25">
      <c r="A22811" t="str">
        <f>HYPERLINK("https://www.773grp.com/globalSearch/LM2678T-5.0-NOPB/page-1", "LM2678T-5.0-NOPB")</f>
        <v>LM2678T-5.0-NOPB</v>
      </c>
      <c r="B22811" s="3" t="s">
        <v>90</v>
      </c>
      <c r="C22811" s="5">
        <v>90</v>
      </c>
      <c r="D22811" s="6">
        <v>6.19</v>
      </c>
    </row>
    <row r="22812" spans="1:4" x14ac:dyDescent="0.25">
      <c r="A22812" t="str">
        <f>HYPERLINK("https://www.773grp.com/globalSearch/LMV844QMAX-NOPB/page-1", "LMV844QMAX-NOPB")</f>
        <v>LMV844QMAX-NOPB</v>
      </c>
      <c r="B22812" s="3" t="s">
        <v>90</v>
      </c>
      <c r="C22812" s="5">
        <v>2500</v>
      </c>
      <c r="D22812" s="6">
        <v>6.19</v>
      </c>
    </row>
    <row r="22813" spans="1:4" x14ac:dyDescent="0.25">
      <c r="A22813" t="str">
        <f>HYPERLINK("https://www.773grp.com/globalSearch/LP2953AIM-NOPB/page-1", "LP2953AIM-NOPB")</f>
        <v>LP2953AIM-NOPB</v>
      </c>
      <c r="B22813" s="3" t="s">
        <v>90</v>
      </c>
      <c r="C22813" s="5">
        <v>740</v>
      </c>
      <c r="D22813" s="6">
        <v>6.19</v>
      </c>
    </row>
    <row r="22814" spans="1:4" x14ac:dyDescent="0.25">
      <c r="A22814" t="str">
        <f>HYPERLINK("https://www.773grp.com/globalSearch/MSP430AFE253IPW/page-1", "MSP430AFE253IPW")</f>
        <v>MSP430AFE253IPW</v>
      </c>
      <c r="B22814" s="3" t="s">
        <v>90</v>
      </c>
      <c r="C22814" s="5">
        <v>35</v>
      </c>
      <c r="D22814" s="6">
        <v>6.19</v>
      </c>
    </row>
    <row r="22815" spans="1:4" x14ac:dyDescent="0.25">
      <c r="A22815" t="str">
        <f>HYPERLINK("https://www.773grp.com/globalSearch/MSP430AFE253IPWR/page-1", "MSP430AFE253IPWR")</f>
        <v>MSP430AFE253IPWR</v>
      </c>
      <c r="B22815" s="3" t="s">
        <v>90</v>
      </c>
      <c r="C22815" s="5">
        <v>70</v>
      </c>
      <c r="D22815" s="6">
        <v>6.19</v>
      </c>
    </row>
    <row r="22816" spans="1:4" x14ac:dyDescent="0.25">
      <c r="A22816" t="str">
        <f>HYPERLINK("https://www.773grp.com/globalSearch/MSP430F2252TRHAT/page-1", "MSP430F2252TRHAT")</f>
        <v>MSP430F2252TRHAT</v>
      </c>
      <c r="B22816" s="3" t="s">
        <v>90</v>
      </c>
      <c r="C22816" s="5">
        <v>109</v>
      </c>
      <c r="D22816" s="6">
        <v>6.19</v>
      </c>
    </row>
    <row r="22817" spans="1:4" x14ac:dyDescent="0.25">
      <c r="A22817" t="str">
        <f>HYPERLINK("https://www.773grp.com/globalSearch/MSP430F2272IDA/page-1", "MSP430F2272IDA")</f>
        <v>MSP430F2272IDA</v>
      </c>
      <c r="B22817" s="3" t="s">
        <v>90</v>
      </c>
      <c r="C22817" s="5">
        <v>170</v>
      </c>
      <c r="D22817" s="6">
        <v>6.19</v>
      </c>
    </row>
    <row r="22818" spans="1:4" x14ac:dyDescent="0.25">
      <c r="A22818" t="str">
        <f>HYPERLINK("https://www.773grp.com/globalSearch/MSP430F2272IRHAT/page-1", "MSP430F2272IRHAT")</f>
        <v>MSP430F2272IRHAT</v>
      </c>
      <c r="B22818" s="3" t="s">
        <v>90</v>
      </c>
      <c r="C22818" s="5">
        <v>500</v>
      </c>
      <c r="D22818" s="6">
        <v>6.19</v>
      </c>
    </row>
    <row r="22819" spans="1:4" x14ac:dyDescent="0.25">
      <c r="A22819" t="str">
        <f>HYPERLINK("https://www.773grp.com/globalSearch/MSP430FR5729IRHAT/page-1", "MSP430FR5729IRHAT")</f>
        <v>MSP430FR5729IRHAT</v>
      </c>
      <c r="B22819" s="3" t="s">
        <v>90</v>
      </c>
      <c r="C22819" s="5">
        <v>250</v>
      </c>
      <c r="D22819" s="6">
        <v>6.19</v>
      </c>
    </row>
    <row r="22820" spans="1:4" x14ac:dyDescent="0.25">
      <c r="A22820" t="str">
        <f>HYPERLINK("https://www.773grp.com/globalSearch/MSP430FR5735IRHAR/page-1", "MSP430FR5735IRHAR")</f>
        <v>MSP430FR5735IRHAR</v>
      </c>
      <c r="B22820" s="3" t="s">
        <v>90</v>
      </c>
      <c r="C22820" s="5">
        <v>2497</v>
      </c>
      <c r="D22820" s="6">
        <v>6.19</v>
      </c>
    </row>
    <row r="22821" spans="1:4" x14ac:dyDescent="0.25">
      <c r="A22821" t="str">
        <f>HYPERLINK("https://www.773grp.com/globalSearch/ONET8511TY/page-1", "ONET8511TY")</f>
        <v>ONET8511TY</v>
      </c>
      <c r="B22821" s="3" t="s">
        <v>90</v>
      </c>
      <c r="C22821" s="5">
        <v>7560</v>
      </c>
      <c r="D22821" s="6">
        <v>6.19</v>
      </c>
    </row>
    <row r="22822" spans="1:4" x14ac:dyDescent="0.25">
      <c r="A22822" t="str">
        <f>HYPERLINK("https://www.773grp.com/globalSearch/OPA2227UA/page-1", "OPA2227UA")</f>
        <v>OPA2227UA</v>
      </c>
      <c r="B22822" s="3" t="s">
        <v>90</v>
      </c>
      <c r="C22822" s="5">
        <v>1615</v>
      </c>
      <c r="D22822" s="6">
        <v>6.19</v>
      </c>
    </row>
    <row r="22823" spans="1:4" x14ac:dyDescent="0.25">
      <c r="A22823" t="str">
        <f>HYPERLINK("https://www.773grp.com/globalSearch/OPA2241PA/page-1", "OPA2241PA")</f>
        <v>OPA2241PA</v>
      </c>
      <c r="B22823" s="3" t="s">
        <v>90</v>
      </c>
      <c r="C22823" s="5">
        <v>150</v>
      </c>
      <c r="D22823" s="6">
        <v>6.19</v>
      </c>
    </row>
    <row r="22824" spans="1:4" x14ac:dyDescent="0.25">
      <c r="A22824" t="str">
        <f>HYPERLINK("https://www.773grp.com/globalSearch/OPA2251PA/page-1", "OPA2251PA")</f>
        <v>OPA2251PA</v>
      </c>
      <c r="B22824" s="3" t="s">
        <v>90</v>
      </c>
      <c r="C22824" s="5">
        <v>4100</v>
      </c>
      <c r="D22824" s="6">
        <v>6.19</v>
      </c>
    </row>
    <row r="22825" spans="1:4" x14ac:dyDescent="0.25">
      <c r="A22825" t="str">
        <f>HYPERLINK("https://www.773grp.com/globalSearch/SN65HVD23D/page-1", "SN65HVD23D")</f>
        <v>SN65HVD23D</v>
      </c>
      <c r="B22825" s="3" t="s">
        <v>90</v>
      </c>
      <c r="C22825" s="5">
        <v>2831</v>
      </c>
      <c r="D22825" s="6">
        <v>6.19</v>
      </c>
    </row>
    <row r="22826" spans="1:4" x14ac:dyDescent="0.25">
      <c r="A22826" t="str">
        <f>HYPERLINK("https://www.773grp.com/globalSearch/SN65LUDM179D/page-1", "SN65LUDM179D")</f>
        <v>SN65LUDM179D</v>
      </c>
      <c r="B22826" s="3" t="s">
        <v>90</v>
      </c>
      <c r="C22826" s="5">
        <v>593</v>
      </c>
      <c r="D22826" s="6">
        <v>6.19</v>
      </c>
    </row>
    <row r="22827" spans="1:4" x14ac:dyDescent="0.25">
      <c r="A22827" t="str">
        <f>HYPERLINK("https://www.773grp.com/globalSearch/SNJ54ACT11074J/page-1", "SNJ54ACT11074J")</f>
        <v>SNJ54ACT11074J</v>
      </c>
      <c r="B22827" s="3" t="s">
        <v>90</v>
      </c>
      <c r="C22827" s="5">
        <v>101</v>
      </c>
      <c r="D22827" s="6">
        <v>6.19</v>
      </c>
    </row>
    <row r="22828" spans="1:4" x14ac:dyDescent="0.25">
      <c r="A22828" t="str">
        <f>HYPERLINK("https://www.773grp.com/globalSearch/THS4121CDGNR/page-1", "THS4121CDGNR")</f>
        <v>THS4121CDGNR</v>
      </c>
      <c r="B22828" s="3" t="s">
        <v>90</v>
      </c>
      <c r="C22828" s="5">
        <v>10000</v>
      </c>
      <c r="D22828" s="6">
        <v>6.19</v>
      </c>
    </row>
    <row r="22829" spans="1:4" x14ac:dyDescent="0.25">
      <c r="A22829" t="str">
        <f>HYPERLINK("https://www.773grp.com/globalSearch/TLC540IFNG3/page-1", "TLC540IFNG3")</f>
        <v>TLC540IFNG3</v>
      </c>
      <c r="B22829" s="3" t="s">
        <v>90</v>
      </c>
      <c r="C22829" s="5">
        <v>136</v>
      </c>
      <c r="D22829" s="6">
        <v>6.19</v>
      </c>
    </row>
    <row r="22830" spans="1:4" x14ac:dyDescent="0.25">
      <c r="A22830" t="str">
        <f>HYPERLINK("https://www.773grp.com/globalSearch/TMP100MDBVREP/page-1", "TMP100MDBVREP")</f>
        <v>TMP100MDBVREP</v>
      </c>
      <c r="B22830" s="3" t="s">
        <v>90</v>
      </c>
      <c r="C22830" s="5">
        <v>2054</v>
      </c>
      <c r="D22830" s="6">
        <v>6.19</v>
      </c>
    </row>
    <row r="22831" spans="1:4" x14ac:dyDescent="0.25">
      <c r="A22831" t="str">
        <f>HYPERLINK("https://www.773grp.com/globalSearch/TMS320F28020DAT/page-1", "TMS320F28020DAT")</f>
        <v>TMS320F28020DAT</v>
      </c>
      <c r="B22831" s="3" t="s">
        <v>90</v>
      </c>
      <c r="C22831" s="5">
        <v>2</v>
      </c>
      <c r="D22831" s="6">
        <v>6.19</v>
      </c>
    </row>
    <row r="22832" spans="1:4" x14ac:dyDescent="0.25">
      <c r="A22832" t="str">
        <f>HYPERLINK("https://www.773grp.com/globalSearch/TPA3116D2DAD/page-1", "TPA3116D2DAD")</f>
        <v>TPA3116D2DAD</v>
      </c>
      <c r="B22832" s="3" t="s">
        <v>90</v>
      </c>
      <c r="C22832" s="5">
        <v>24</v>
      </c>
      <c r="D22832" s="6">
        <v>6.19</v>
      </c>
    </row>
    <row r="22833" spans="1:4" x14ac:dyDescent="0.25">
      <c r="A22833" t="str">
        <f>HYPERLINK("https://www.773grp.com/globalSearch/TPS2371PWR/page-1", "TPS2371PWR")</f>
        <v>TPS2371PWR</v>
      </c>
      <c r="B22833" s="3" t="s">
        <v>90</v>
      </c>
      <c r="C22833" s="5">
        <v>28000</v>
      </c>
      <c r="D22833" s="6">
        <v>6.19</v>
      </c>
    </row>
    <row r="22834" spans="1:4" x14ac:dyDescent="0.25">
      <c r="A22834" t="str">
        <f>HYPERLINK("https://www.773grp.com/globalSearch/TPS40090QPWRQ1/page-1", "TPS40090QPWRQ1")</f>
        <v>TPS40090QPWRQ1</v>
      </c>
      <c r="B22834" s="3" t="s">
        <v>90</v>
      </c>
      <c r="C22834" s="5">
        <v>2050</v>
      </c>
      <c r="D22834" s="6">
        <v>6.19</v>
      </c>
    </row>
    <row r="22835" spans="1:4" x14ac:dyDescent="0.25">
      <c r="A22835" t="str">
        <f>HYPERLINK("https://www.773grp.com/globalSearch/TPS5430QDDARQ1/page-1", "TPS5430QDDARQ1")</f>
        <v>TPS5430QDDARQ1</v>
      </c>
      <c r="B22835" s="3" t="s">
        <v>90</v>
      </c>
      <c r="C22835" s="5">
        <v>543</v>
      </c>
      <c r="D22835" s="6">
        <v>6.19</v>
      </c>
    </row>
    <row r="22836" spans="1:4" x14ac:dyDescent="0.25">
      <c r="A22836" t="str">
        <f>HYPERLINK("https://www.773grp.com/globalSearch/TPS650250RHBR/page-1", "TPS650250RHBR")</f>
        <v>TPS650250RHBR</v>
      </c>
      <c r="B22836" s="3" t="s">
        <v>90</v>
      </c>
      <c r="C22836" s="5">
        <v>3000</v>
      </c>
      <c r="D22836" s="6">
        <v>6.19</v>
      </c>
    </row>
    <row r="22837" spans="1:4" x14ac:dyDescent="0.25">
      <c r="A22837" t="str">
        <f>HYPERLINK("https://www.773grp.com/globalSearch/TPS71H01QPWP/page-1", "TPS71H01QPWP")</f>
        <v>TPS71H01QPWP</v>
      </c>
      <c r="B22837" s="3" t="s">
        <v>90</v>
      </c>
      <c r="C22837" s="5">
        <v>4200</v>
      </c>
      <c r="D22837" s="6">
        <v>6.19</v>
      </c>
    </row>
    <row r="22838" spans="1:4" x14ac:dyDescent="0.25">
      <c r="A22838" t="str">
        <f>HYPERLINK("https://www.773grp.com/globalSearch/TPS75003RHLTG4/page-1", "TPS75003RHLTG4")</f>
        <v>TPS75003RHLTG4</v>
      </c>
      <c r="B22838" s="3" t="s">
        <v>90</v>
      </c>
      <c r="C22838" s="5">
        <v>84</v>
      </c>
      <c r="D22838" s="6">
        <v>6.19</v>
      </c>
    </row>
    <row r="22839" spans="1:4" x14ac:dyDescent="0.25">
      <c r="A22839" t="str">
        <f>HYPERLINK("https://www.773grp.com/globalSearch/XTR300AIRGWT/page-1", "XTR300AIRGWT")</f>
        <v>XTR300AIRGWT</v>
      </c>
      <c r="B22839" s="3" t="s">
        <v>90</v>
      </c>
      <c r="C22839" s="5">
        <v>1250</v>
      </c>
      <c r="D22839" s="6">
        <v>6.19</v>
      </c>
    </row>
    <row r="22840" spans="1:4" x14ac:dyDescent="0.25">
      <c r="A22840" t="str">
        <f>HYPERLINK("https://www.773grp.com/globalSearch/XTR300AIRGWT/page-1", "XTR300AIRGWT")</f>
        <v>XTR300AIRGWT</v>
      </c>
      <c r="B22840" s="3" t="s">
        <v>90</v>
      </c>
      <c r="C22840" s="5">
        <v>500</v>
      </c>
      <c r="D22840" s="6">
        <v>6.19</v>
      </c>
    </row>
    <row r="22841" spans="1:4" x14ac:dyDescent="0.25">
      <c r="A22841" t="str">
        <f>HYPERLINK("https://www.773grp.com/globalSearch/74LVCHR32245AZKER/page-1", "74LVCHR32245AZKER")</f>
        <v>74LVCHR32245AZKER</v>
      </c>
      <c r="B22841" s="3" t="s">
        <v>90</v>
      </c>
      <c r="C22841" s="5">
        <v>1457</v>
      </c>
      <c r="D22841" s="6">
        <v>6.21</v>
      </c>
    </row>
    <row r="22842" spans="1:4" x14ac:dyDescent="0.25">
      <c r="A22842" t="str">
        <f>HYPERLINK("https://www.773grp.com/globalSearch/SN74ALS133DE4/page-1", "SN74ALS133DE4")</f>
        <v>SN74ALS133DE4</v>
      </c>
      <c r="B22842" s="3" t="s">
        <v>90</v>
      </c>
      <c r="C22842" s="5">
        <v>240</v>
      </c>
      <c r="D22842" s="6">
        <v>6.21</v>
      </c>
    </row>
    <row r="22843" spans="1:4" x14ac:dyDescent="0.25">
      <c r="A22843" t="str">
        <f>HYPERLINK("https://www.773grp.com/globalSearch/SN74BCT540AN/page-1", "SN74BCT540AN")</f>
        <v>SN74BCT540AN</v>
      </c>
      <c r="B22843" s="3" t="s">
        <v>90</v>
      </c>
      <c r="C22843" s="5">
        <v>10</v>
      </c>
      <c r="D22843" s="6">
        <v>6.21</v>
      </c>
    </row>
    <row r="22844" spans="1:4" x14ac:dyDescent="0.25">
      <c r="A22844" t="str">
        <f>HYPERLINK("https://www.773grp.com/globalSearch/TCM129C13A/page-1", "TCM129C13A")</f>
        <v>TCM129C13A</v>
      </c>
      <c r="B22844" s="3" t="s">
        <v>90</v>
      </c>
      <c r="C22844" s="5">
        <v>49</v>
      </c>
      <c r="D22844" s="6">
        <v>6.21</v>
      </c>
    </row>
    <row r="22845" spans="1:4" x14ac:dyDescent="0.25">
      <c r="A22845" t="str">
        <f>HYPERLINK("https://www.773grp.com/globalSearch/TMS320F280230PTS/page-1", "TMS320F280230PTS")</f>
        <v>TMS320F280230PTS</v>
      </c>
      <c r="B22845" s="3" t="s">
        <v>90</v>
      </c>
      <c r="C22845" s="5">
        <v>2220</v>
      </c>
      <c r="D22845" s="6">
        <v>6.21</v>
      </c>
    </row>
    <row r="22846" spans="1:4" x14ac:dyDescent="0.25">
      <c r="A22846" t="str">
        <f>HYPERLINK("https://www.773grp.com/globalSearch/TPS51020DBTRG4/page-1", "TPS51020DBTRG4")</f>
        <v>TPS51020DBTRG4</v>
      </c>
      <c r="B22846" s="3" t="s">
        <v>90</v>
      </c>
      <c r="C22846" s="5">
        <v>451</v>
      </c>
      <c r="D22846" s="6">
        <v>6.21</v>
      </c>
    </row>
    <row r="22847" spans="1:4" x14ac:dyDescent="0.25">
      <c r="A22847" t="str">
        <f>HYPERLINK("https://www.773grp.com/globalSearch/LP3852ES-2.5-NOPB/page-1", "LP3852ES-2.5-NOPB")</f>
        <v>LP3852ES-2.5-NOPB</v>
      </c>
      <c r="B22847" s="3" t="s">
        <v>90</v>
      </c>
      <c r="C22847" s="5">
        <v>300</v>
      </c>
      <c r="D22847" s="6">
        <v>6.25</v>
      </c>
    </row>
    <row r="22848" spans="1:4" x14ac:dyDescent="0.25">
      <c r="A22848" t="str">
        <f>HYPERLINK("https://www.773grp.com/globalSearch/LP3893ES-1.2-NOPB/page-1", "LP3893ES-1.2-NOPB")</f>
        <v>LP3893ES-1.2-NOPB</v>
      </c>
      <c r="B22848" s="3" t="s">
        <v>90</v>
      </c>
      <c r="C22848" s="5">
        <v>135</v>
      </c>
      <c r="D22848" s="6">
        <v>6.25</v>
      </c>
    </row>
    <row r="22849" spans="1:4" x14ac:dyDescent="0.25">
      <c r="A22849" t="str">
        <f>HYPERLINK("https://www.773grp.com/globalSearch/SN74ALS8163NT/page-1", "SN74ALS8163NT")</f>
        <v>SN74ALS8163NT</v>
      </c>
      <c r="B22849" s="3" t="s">
        <v>90</v>
      </c>
      <c r="C22849" s="5">
        <v>4373</v>
      </c>
      <c r="D22849" s="6">
        <v>6.25</v>
      </c>
    </row>
    <row r="22850" spans="1:4" x14ac:dyDescent="0.25">
      <c r="A22850" t="str">
        <f>HYPERLINK("https://www.773grp.com/globalSearch/TIBPAL22V10Z-25CFN/page-1", "TIBPAL22V10Z-25CFN")</f>
        <v>TIBPAL22V10Z-25CFN</v>
      </c>
      <c r="B22850" s="3" t="s">
        <v>90</v>
      </c>
      <c r="C22850" s="5">
        <v>30</v>
      </c>
      <c r="D22850" s="6">
        <v>6.25</v>
      </c>
    </row>
    <row r="22851" spans="1:4" x14ac:dyDescent="0.25">
      <c r="A22851" t="str">
        <f>HYPERLINK("https://www.773grp.com/globalSearch/TPS54110PWPG4/page-1", "TPS54110PWPG4")</f>
        <v>TPS54110PWPG4</v>
      </c>
      <c r="B22851" s="3" t="s">
        <v>90</v>
      </c>
      <c r="C22851" s="5">
        <v>350</v>
      </c>
      <c r="D22851" s="6">
        <v>6.25</v>
      </c>
    </row>
    <row r="22852" spans="1:4" x14ac:dyDescent="0.25">
      <c r="A22852" t="str">
        <f>HYPERLINK("https://www.773grp.com/globalSearch/LMP2234AMAE-NOPB/page-1", "LMP2234AMAE-NOPB")</f>
        <v>LMP2234AMAE-NOPB</v>
      </c>
      <c r="B22852" s="3" t="s">
        <v>90</v>
      </c>
      <c r="C22852" s="5">
        <v>1500</v>
      </c>
      <c r="D22852" s="6">
        <v>6.28</v>
      </c>
    </row>
    <row r="22853" spans="1:4" x14ac:dyDescent="0.25">
      <c r="A22853" t="str">
        <f>HYPERLINK("https://www.773grp.com/globalSearch/SN500138FN/page-1", "SN500138FN")</f>
        <v>SN500138FN</v>
      </c>
      <c r="B22853" s="3" t="s">
        <v>90</v>
      </c>
      <c r="C22853" s="5">
        <v>36</v>
      </c>
      <c r="D22853" s="6">
        <v>6.28</v>
      </c>
    </row>
    <row r="22854" spans="1:4" x14ac:dyDescent="0.25">
      <c r="A22854" t="str">
        <f>HYPERLINK("https://www.773grp.com/globalSearch/THS4041CDGNR/page-1", "THS4041CDGNR")</f>
        <v>THS4041CDGNR</v>
      </c>
      <c r="B22854" s="3" t="s">
        <v>90</v>
      </c>
      <c r="C22854" s="5">
        <v>7475</v>
      </c>
      <c r="D22854" s="6">
        <v>6.28</v>
      </c>
    </row>
    <row r="22855" spans="1:4" x14ac:dyDescent="0.25">
      <c r="A22855" t="str">
        <f>HYPERLINK("https://www.773grp.com/globalSearch/TLC5510INSR-A/page-1", "TLC5510INSR-A")</f>
        <v>TLC5510INSR-A</v>
      </c>
      <c r="B22855" s="3" t="s">
        <v>90</v>
      </c>
      <c r="C22855" s="5">
        <v>4000</v>
      </c>
      <c r="D22855" s="6">
        <v>6.28</v>
      </c>
    </row>
    <row r="22856" spans="1:4" x14ac:dyDescent="0.25">
      <c r="A22856" t="str">
        <f>HYPERLINK("https://www.773grp.com/globalSearch/TPS54260DGQ/page-1", "TPS54260DGQ")</f>
        <v>TPS54260DGQ</v>
      </c>
      <c r="B22856" s="3" t="s">
        <v>90</v>
      </c>
      <c r="C22856" s="5">
        <v>5040</v>
      </c>
      <c r="D22856" s="6">
        <v>6.28</v>
      </c>
    </row>
    <row r="22857" spans="1:4" x14ac:dyDescent="0.25">
      <c r="A22857" t="str">
        <f>HYPERLINK("https://www.773grp.com/globalSearch/TPS65252RHDT/page-1", "TPS65252RHDT")</f>
        <v>TPS65252RHDT</v>
      </c>
      <c r="B22857" s="3" t="s">
        <v>90</v>
      </c>
      <c r="C22857" s="5">
        <v>48</v>
      </c>
      <c r="D22857" s="6">
        <v>6.3</v>
      </c>
    </row>
    <row r="22858" spans="1:4" x14ac:dyDescent="0.25">
      <c r="A22858" t="str">
        <f>HYPERLINK("https://www.773grp.com/globalSearch/8V16245AMDLREP/page-1", "8V16245AMDLREP")</f>
        <v>8V16245AMDLREP</v>
      </c>
      <c r="B22858" s="3" t="s">
        <v>90</v>
      </c>
      <c r="C22858" s="5">
        <v>995</v>
      </c>
      <c r="D22858" s="6">
        <v>6.33</v>
      </c>
    </row>
    <row r="22859" spans="1:4" x14ac:dyDescent="0.25">
      <c r="A22859" t="str">
        <f>HYPERLINK("https://www.773grp.com/globalSearch/BQ24030IRHLRQ1/page-1", "BQ24030IRHLRQ1")</f>
        <v>BQ24030IRHLRQ1</v>
      </c>
      <c r="B22859" s="3" t="s">
        <v>90</v>
      </c>
      <c r="C22859" s="5">
        <v>12000</v>
      </c>
      <c r="D22859" s="6">
        <v>6.33</v>
      </c>
    </row>
    <row r="22860" spans="1:4" x14ac:dyDescent="0.25">
      <c r="A22860" t="str">
        <f>HYPERLINK("https://www.773grp.com/globalSearch/BQ24160YFFT/page-1", "BQ24160YFFT")</f>
        <v>BQ24160YFFT</v>
      </c>
      <c r="B22860" s="3" t="s">
        <v>90</v>
      </c>
      <c r="C22860" s="5">
        <v>1301</v>
      </c>
      <c r="D22860" s="6">
        <v>6.33</v>
      </c>
    </row>
    <row r="22861" spans="1:4" x14ac:dyDescent="0.25">
      <c r="A22861" t="str">
        <f>HYPERLINK("https://www.773grp.com/globalSearch/BQ24161YFFT/page-1", "BQ24161YFFT")</f>
        <v>BQ24161YFFT</v>
      </c>
      <c r="B22861" s="3" t="s">
        <v>90</v>
      </c>
      <c r="C22861" s="5">
        <v>496</v>
      </c>
      <c r="D22861" s="6">
        <v>6.33</v>
      </c>
    </row>
    <row r="22862" spans="1:4" x14ac:dyDescent="0.25">
      <c r="A22862" t="str">
        <f>HYPERLINK("https://www.773grp.com/globalSearch/BQ24165YFFT/page-1", "BQ24165YFFT")</f>
        <v>BQ24165YFFT</v>
      </c>
      <c r="B22862" s="3" t="s">
        <v>90</v>
      </c>
      <c r="C22862" s="5">
        <v>100</v>
      </c>
      <c r="D22862" s="6">
        <v>6.33</v>
      </c>
    </row>
    <row r="22863" spans="1:4" x14ac:dyDescent="0.25">
      <c r="A22863" t="str">
        <f>HYPERLINK("https://www.773grp.com/globalSearch/BQ24166YFFT/page-1", "BQ24166YFFT")</f>
        <v>BQ24166YFFT</v>
      </c>
      <c r="B22863" s="3" t="s">
        <v>90</v>
      </c>
      <c r="C22863" s="5">
        <v>488</v>
      </c>
      <c r="D22863" s="6">
        <v>6.33</v>
      </c>
    </row>
    <row r="22864" spans="1:4" x14ac:dyDescent="0.25">
      <c r="A22864" t="str">
        <f>HYPERLINK("https://www.773grp.com/globalSearch/BQ24167YFFT/page-1", "BQ24167YFFT")</f>
        <v>BQ24167YFFT</v>
      </c>
      <c r="B22864" s="3" t="s">
        <v>90</v>
      </c>
      <c r="C22864" s="5">
        <v>492</v>
      </c>
      <c r="D22864" s="6">
        <v>6.33</v>
      </c>
    </row>
    <row r="22865" spans="1:4" x14ac:dyDescent="0.25">
      <c r="A22865" t="str">
        <f>HYPERLINK("https://www.773grp.com/globalSearch/BQ24168YFFT/page-1", "BQ24168YFFT")</f>
        <v>BQ24168YFFT</v>
      </c>
      <c r="B22865" s="3" t="s">
        <v>90</v>
      </c>
      <c r="C22865" s="5">
        <v>250</v>
      </c>
      <c r="D22865" s="6">
        <v>6.33</v>
      </c>
    </row>
    <row r="22866" spans="1:4" x14ac:dyDescent="0.25">
      <c r="A22866" t="str">
        <f>HYPERLINK("https://www.773grp.com/globalSearch/DRV8814PWPR/page-1", "DRV8814PWPR")</f>
        <v>DRV8814PWPR</v>
      </c>
      <c r="B22866" s="3" t="s">
        <v>90</v>
      </c>
      <c r="C22866" s="5">
        <v>1072</v>
      </c>
      <c r="D22866" s="6">
        <v>6.33</v>
      </c>
    </row>
    <row r="22867" spans="1:4" x14ac:dyDescent="0.25">
      <c r="A22867" t="str">
        <f>HYPERLINK("https://www.773grp.com/globalSearch/LM2677SX-ADJ-NOPB/page-1", "LM2677SX-ADJ-NOPB")</f>
        <v>LM2677SX-ADJ-NOPB</v>
      </c>
      <c r="B22867" s="3" t="s">
        <v>90</v>
      </c>
      <c r="C22867" s="5">
        <v>400</v>
      </c>
      <c r="D22867" s="6">
        <v>6.33</v>
      </c>
    </row>
    <row r="22868" spans="1:4" x14ac:dyDescent="0.25">
      <c r="A22868" t="str">
        <f>HYPERLINK("https://www.773grp.com/globalSearch/MSP430F2274IDAR/page-1", "MSP430F2274IDAR")</f>
        <v>MSP430F2274IDAR</v>
      </c>
      <c r="B22868" s="3" t="s">
        <v>90</v>
      </c>
      <c r="C22868" s="5">
        <v>2000</v>
      </c>
      <c r="D22868" s="6">
        <v>6.33</v>
      </c>
    </row>
    <row r="22869" spans="1:4" x14ac:dyDescent="0.25">
      <c r="A22869" t="str">
        <f>HYPERLINK("https://www.773grp.com/globalSearch/MSP430FR5727IRHAT/page-1", "MSP430FR5727IRHAT")</f>
        <v>MSP430FR5727IRHAT</v>
      </c>
      <c r="B22869" s="3" t="s">
        <v>90</v>
      </c>
      <c r="C22869" s="5">
        <v>289</v>
      </c>
      <c r="D22869" s="6">
        <v>6.33</v>
      </c>
    </row>
    <row r="22870" spans="1:4" x14ac:dyDescent="0.25">
      <c r="A22870" t="str">
        <f>HYPERLINK("https://www.773grp.com/globalSearch/OPA2234UA/page-1", "OPA2234UA")</f>
        <v>OPA2234UA</v>
      </c>
      <c r="B22870" s="3" t="s">
        <v>90</v>
      </c>
      <c r="C22870" s="5">
        <v>24225</v>
      </c>
      <c r="D22870" s="6">
        <v>6.33</v>
      </c>
    </row>
    <row r="22871" spans="1:4" x14ac:dyDescent="0.25">
      <c r="A22871" t="str">
        <f>HYPERLINK("https://www.773grp.com/globalSearch/SN54ALS09J/page-1", "SN54ALS09J")</f>
        <v>SN54ALS09J</v>
      </c>
      <c r="B22871" s="3" t="s">
        <v>90</v>
      </c>
      <c r="C22871" s="5">
        <v>116</v>
      </c>
      <c r="D22871" s="6">
        <v>6.33</v>
      </c>
    </row>
    <row r="22872" spans="1:4" x14ac:dyDescent="0.25">
      <c r="A22872" t="str">
        <f>HYPERLINK("https://www.773grp.com/globalSearch/SN65HVD1781D/page-1", "SN65HVD1781D")</f>
        <v>SN65HVD1781D</v>
      </c>
      <c r="B22872" s="3" t="s">
        <v>90</v>
      </c>
      <c r="C22872" s="5">
        <v>600</v>
      </c>
      <c r="D22872" s="6">
        <v>6.33</v>
      </c>
    </row>
    <row r="22873" spans="1:4" x14ac:dyDescent="0.25">
      <c r="A22873" t="str">
        <f>HYPERLINK("https://www.773grp.com/globalSearch/SN65HVD1781DG4/page-1", "SN65HVD1781DG4")</f>
        <v>SN65HVD1781DG4</v>
      </c>
      <c r="B22873" s="3" t="s">
        <v>90</v>
      </c>
      <c r="C22873" s="5">
        <v>80</v>
      </c>
      <c r="D22873" s="6">
        <v>6.33</v>
      </c>
    </row>
    <row r="22874" spans="1:4" x14ac:dyDescent="0.25">
      <c r="A22874" t="str">
        <f>HYPERLINK("https://www.773grp.com/globalSearch/SN65LVCP22PWR/page-1", "SN65LVCP22PWR")</f>
        <v>SN65LVCP22PWR</v>
      </c>
      <c r="B22874" s="3" t="s">
        <v>90</v>
      </c>
      <c r="C22874" s="5">
        <v>2000</v>
      </c>
      <c r="D22874" s="6">
        <v>6.33</v>
      </c>
    </row>
    <row r="22875" spans="1:4" x14ac:dyDescent="0.25">
      <c r="A22875" t="str">
        <f>HYPERLINK("https://www.773grp.com/globalSearch/SN74AS257FN/page-1", "SN74AS257FN")</f>
        <v>SN74AS257FN</v>
      </c>
      <c r="B22875" s="3" t="s">
        <v>90</v>
      </c>
      <c r="C22875" s="5">
        <v>3739</v>
      </c>
      <c r="D22875" s="6">
        <v>6.33</v>
      </c>
    </row>
    <row r="22876" spans="1:4" x14ac:dyDescent="0.25">
      <c r="A22876" t="str">
        <f>HYPERLINK("https://www.773grp.com/globalSearch/SR1761ABA4DCP/page-1", "SR1761ABA4DCP")</f>
        <v>SR1761ABA4DCP</v>
      </c>
      <c r="B22876" s="3" t="s">
        <v>90</v>
      </c>
      <c r="C22876" s="5">
        <v>500</v>
      </c>
      <c r="D22876" s="6">
        <v>6.33</v>
      </c>
    </row>
    <row r="22877" spans="1:4" x14ac:dyDescent="0.25">
      <c r="A22877" t="str">
        <f>HYPERLINK("https://www.773grp.com/globalSearch/TLE2144MDW/page-1", "TLE2144MDW")</f>
        <v>TLE2144MDW</v>
      </c>
      <c r="B22877" s="3" t="s">
        <v>90</v>
      </c>
      <c r="C22877" s="5">
        <v>580</v>
      </c>
      <c r="D22877" s="6">
        <v>6.33</v>
      </c>
    </row>
    <row r="22878" spans="1:4" x14ac:dyDescent="0.25">
      <c r="A22878" t="str">
        <f>HYPERLINK("https://www.773grp.com/globalSearch/TLV320AIC3100IRHBT/page-1", "TLV320AIC3100IRHBT")</f>
        <v>TLV320AIC3100IRHBT</v>
      </c>
      <c r="B22878" s="3" t="s">
        <v>90</v>
      </c>
      <c r="C22878" s="5">
        <v>250</v>
      </c>
      <c r="D22878" s="6">
        <v>6.33</v>
      </c>
    </row>
    <row r="22879" spans="1:4" x14ac:dyDescent="0.25">
      <c r="A22879" t="str">
        <f>HYPERLINK("https://www.773grp.com/globalSearch/TPA6010A4PWPRG4/page-1", "TPA6010A4PWPRG4")</f>
        <v>TPA6010A4PWPRG4</v>
      </c>
      <c r="B22879" s="3" t="s">
        <v>90</v>
      </c>
      <c r="C22879" s="5">
        <v>4000</v>
      </c>
      <c r="D22879" s="6">
        <v>6.33</v>
      </c>
    </row>
    <row r="22880" spans="1:4" x14ac:dyDescent="0.25">
      <c r="A22880" t="str">
        <f>HYPERLINK("https://www.773grp.com/globalSearch/TPS51123ARGET/page-1", "TPS51123ARGET")</f>
        <v>TPS51123ARGET</v>
      </c>
      <c r="B22880" s="3" t="s">
        <v>90</v>
      </c>
      <c r="C22880" s="5">
        <v>250</v>
      </c>
      <c r="D22880" s="6">
        <v>6.33</v>
      </c>
    </row>
    <row r="22881" spans="1:4" x14ac:dyDescent="0.25">
      <c r="A22881" t="str">
        <f>HYPERLINK("https://www.773grp.com/globalSearch/TPS54120RGYT/page-1", "TPS54120RGYT")</f>
        <v>TPS54120RGYT</v>
      </c>
      <c r="B22881" s="3" t="s">
        <v>90</v>
      </c>
      <c r="C22881" s="5">
        <v>250</v>
      </c>
      <c r="D22881" s="6">
        <v>6.33</v>
      </c>
    </row>
    <row r="22882" spans="1:4" x14ac:dyDescent="0.25">
      <c r="A22882" t="str">
        <f>HYPERLINK("https://www.773grp.com/globalSearch/TPS61222MDCKTEP/page-1", "TPS61222MDCKTEP")</f>
        <v>TPS61222MDCKTEP</v>
      </c>
      <c r="B22882" s="3" t="s">
        <v>90</v>
      </c>
      <c r="C22882" s="5">
        <v>250</v>
      </c>
      <c r="D22882" s="6">
        <v>6.33</v>
      </c>
    </row>
    <row r="22883" spans="1:4" x14ac:dyDescent="0.25">
      <c r="A22883" t="str">
        <f>HYPERLINK("https://www.773grp.com/globalSearch/TPS70148PWP/page-1", "TPS70148PWP")</f>
        <v>TPS70148PWP</v>
      </c>
      <c r="B22883" s="3" t="s">
        <v>90</v>
      </c>
      <c r="C22883" s="5">
        <v>160</v>
      </c>
      <c r="D22883" s="6">
        <v>6.33</v>
      </c>
    </row>
    <row r="22884" spans="1:4" x14ac:dyDescent="0.25">
      <c r="A22884" t="str">
        <f>HYPERLINK("https://www.773grp.com/globalSearch/TPS70148PWPG4/page-1", "TPS70148PWPG4")</f>
        <v>TPS70148PWPG4</v>
      </c>
      <c r="B22884" s="3" t="s">
        <v>90</v>
      </c>
      <c r="C22884" s="5">
        <v>134</v>
      </c>
      <c r="D22884" s="6">
        <v>6.33</v>
      </c>
    </row>
    <row r="22885" spans="1:4" x14ac:dyDescent="0.25">
      <c r="A22885" t="str">
        <f>HYPERLINK("https://www.773grp.com/globalSearch/TPS74201KTWRG3/page-1", "TPS74201KTWRG3")</f>
        <v>TPS74201KTWRG3</v>
      </c>
      <c r="B22885" s="3" t="s">
        <v>90</v>
      </c>
      <c r="C22885" s="5">
        <v>200</v>
      </c>
      <c r="D22885" s="6">
        <v>6.33</v>
      </c>
    </row>
    <row r="22886" spans="1:4" x14ac:dyDescent="0.25">
      <c r="A22886" t="str">
        <f>HYPERLINK("https://www.773grp.com/globalSearch/UCC28C43MDREP/page-1", "UCC28C43MDREP")</f>
        <v>UCC28C43MDREP</v>
      </c>
      <c r="B22886" s="3" t="s">
        <v>90</v>
      </c>
      <c r="C22886" s="5">
        <v>1036</v>
      </c>
      <c r="D22886" s="6">
        <v>6.33</v>
      </c>
    </row>
    <row r="22887" spans="1:4" x14ac:dyDescent="0.25">
      <c r="A22887" t="str">
        <f>HYPERLINK("https://www.773grp.com/globalSearch/BQ2004ESNTR/page-1", "BQ2004ESNTR")</f>
        <v>BQ2004ESNTR</v>
      </c>
      <c r="B22887" s="3" t="s">
        <v>90</v>
      </c>
      <c r="C22887" s="5">
        <v>2500</v>
      </c>
      <c r="D22887" s="6">
        <v>6.36</v>
      </c>
    </row>
    <row r="22888" spans="1:4" x14ac:dyDescent="0.25">
      <c r="A22888" t="str">
        <f>HYPERLINK("https://www.773grp.com/globalSearch/LM2595T-ADJ/page-1", "LM2595T-ADJ")</f>
        <v>LM2595T-ADJ</v>
      </c>
      <c r="B22888" s="3" t="s">
        <v>90</v>
      </c>
      <c r="C22888" s="5">
        <v>180</v>
      </c>
      <c r="D22888" s="6">
        <v>6.36</v>
      </c>
    </row>
    <row r="22889" spans="1:4" x14ac:dyDescent="0.25">
      <c r="A22889" t="str">
        <f>HYPERLINK("https://www.773grp.com/globalSearch/TLV5626CD/page-1", "TLV5626CD")</f>
        <v>TLV5626CD</v>
      </c>
      <c r="B22889" s="3" t="s">
        <v>90</v>
      </c>
      <c r="C22889" s="5">
        <v>3954</v>
      </c>
      <c r="D22889" s="6">
        <v>6.36</v>
      </c>
    </row>
    <row r="22890" spans="1:4" x14ac:dyDescent="0.25">
      <c r="A22890" t="str">
        <f>HYPERLINK("https://www.773grp.com/globalSearch/SN74ALS561ANS/page-1", "SN74ALS561ANS")</f>
        <v>SN74ALS561ANS</v>
      </c>
      <c r="B22890" s="3" t="s">
        <v>90</v>
      </c>
      <c r="C22890" s="5">
        <v>160</v>
      </c>
      <c r="D22890" s="6">
        <v>6.38</v>
      </c>
    </row>
    <row r="22891" spans="1:4" x14ac:dyDescent="0.25">
      <c r="A22891" t="str">
        <f>HYPERLINK("https://www.773grp.com/globalSearch/SNJ54F00J/page-1", "SNJ54F00J")</f>
        <v>SNJ54F00J</v>
      </c>
      <c r="B22891" s="3" t="s">
        <v>90</v>
      </c>
      <c r="C22891" s="5">
        <v>1</v>
      </c>
      <c r="D22891" s="6">
        <v>6.38</v>
      </c>
    </row>
    <row r="22892" spans="1:4" x14ac:dyDescent="0.25">
      <c r="A22892" t="str">
        <f>HYPERLINK("https://www.773grp.com/globalSearch/PSN0209033PZP-1/page-1", "PSN0209033PZP-1")</f>
        <v>PSN0209033PZP-1</v>
      </c>
      <c r="B22892" s="3" t="s">
        <v>90</v>
      </c>
      <c r="C22892" s="5">
        <v>598</v>
      </c>
      <c r="D22892" s="6">
        <v>6.41</v>
      </c>
    </row>
    <row r="22893" spans="1:4" x14ac:dyDescent="0.25">
      <c r="A22893" t="str">
        <f>HYPERLINK("https://www.773grp.com/globalSearch/SN0209033PZP-1/page-1", "SN0209033PZP-1")</f>
        <v>SN0209033PZP-1</v>
      </c>
      <c r="B22893" s="3" t="s">
        <v>90</v>
      </c>
      <c r="C22893" s="5">
        <v>2160</v>
      </c>
      <c r="D22893" s="6">
        <v>6.41</v>
      </c>
    </row>
    <row r="22894" spans="1:4" x14ac:dyDescent="0.25">
      <c r="A22894" t="str">
        <f>HYPERLINK("https://www.773grp.com/globalSearch/SN0209033PZP-2/page-1", "SN0209033PZP-2")</f>
        <v>SN0209033PZP-2</v>
      </c>
      <c r="B22894" s="3" t="s">
        <v>90</v>
      </c>
      <c r="C22894" s="5">
        <v>4500</v>
      </c>
      <c r="D22894" s="6">
        <v>6.41</v>
      </c>
    </row>
    <row r="22895" spans="1:4" x14ac:dyDescent="0.25">
      <c r="A22895" t="str">
        <f>HYPERLINK("https://www.773grp.com/globalSearch/THS4504D/page-1", "THS4504D")</f>
        <v>THS4504D</v>
      </c>
      <c r="B22895" s="3" t="s">
        <v>90</v>
      </c>
      <c r="C22895" s="5">
        <v>46</v>
      </c>
      <c r="D22895" s="6">
        <v>6.41</v>
      </c>
    </row>
    <row r="22896" spans="1:4" x14ac:dyDescent="0.25">
      <c r="A22896" t="str">
        <f>HYPERLINK("https://www.773grp.com/globalSearch/TLC2652C-8DR/page-1", "TLC2652C-8DR")</f>
        <v>TLC2652C-8DR</v>
      </c>
      <c r="B22896" s="3" t="s">
        <v>90</v>
      </c>
      <c r="C22896" s="5">
        <v>12500</v>
      </c>
      <c r="D22896" s="6">
        <v>6.41</v>
      </c>
    </row>
    <row r="22897" spans="1:4" x14ac:dyDescent="0.25">
      <c r="A22897" t="str">
        <f>HYPERLINK("https://www.773grp.com/globalSearch/ISO7240CFQDWRQ1/page-1", "ISO7240CFQDWRQ1")</f>
        <v>ISO7240CFQDWRQ1</v>
      </c>
      <c r="B22897" s="3" t="s">
        <v>90</v>
      </c>
      <c r="C22897" s="5">
        <v>1758</v>
      </c>
      <c r="D22897" s="6">
        <v>6.45</v>
      </c>
    </row>
    <row r="22898" spans="1:4" x14ac:dyDescent="0.25">
      <c r="A22898" t="str">
        <f>HYPERLINK("https://www.773grp.com/globalSearch/ISO7241CQDWRQ1/page-1", "ISO7241CQDWRQ1")</f>
        <v>ISO7241CQDWRQ1</v>
      </c>
      <c r="B22898" s="3" t="s">
        <v>90</v>
      </c>
      <c r="C22898" s="5">
        <v>487</v>
      </c>
      <c r="D22898" s="6">
        <v>6.45</v>
      </c>
    </row>
    <row r="22899" spans="1:4" x14ac:dyDescent="0.25">
      <c r="A22899" t="str">
        <f>HYPERLINK("https://www.773grp.com/globalSearch/SN65C1406DWR/page-1", "SN65C1406DWR")</f>
        <v>SN65C1406DWR</v>
      </c>
      <c r="B22899" s="3" t="s">
        <v>90</v>
      </c>
      <c r="C22899" s="5">
        <v>11877</v>
      </c>
      <c r="D22899" s="6">
        <v>6.45</v>
      </c>
    </row>
    <row r="22900" spans="1:4" x14ac:dyDescent="0.25">
      <c r="A22900" t="str">
        <f>HYPERLINK("https://www.773grp.com/globalSearch/SN74ALS299NS/page-1", "SN74ALS299NS")</f>
        <v>SN74ALS299NS</v>
      </c>
      <c r="B22900" s="3" t="s">
        <v>90</v>
      </c>
      <c r="C22900" s="5">
        <v>1400</v>
      </c>
      <c r="D22900" s="6">
        <v>6.45</v>
      </c>
    </row>
    <row r="22901" spans="1:4" x14ac:dyDescent="0.25">
      <c r="A22901" t="str">
        <f>HYPERLINK("https://www.773grp.com/globalSearch/SN74ALS534ADW/page-1", "SN74ALS534ADW")</f>
        <v>SN74ALS534ADW</v>
      </c>
      <c r="B22901" s="3" t="str">
        <f>HYPERLINK("https://www.773grp.com/manufacturer/texas-instruments?pageNo=1", "Texas Instruments")</f>
        <v>Texas Instruments</v>
      </c>
      <c r="C22901" s="5">
        <v>25</v>
      </c>
      <c r="D22901" s="6">
        <v>6.45</v>
      </c>
    </row>
    <row r="22902" spans="1:4" x14ac:dyDescent="0.25">
      <c r="A22902" t="str">
        <f>HYPERLINK("https://www.773grp.com/globalSearch/SN74AS169ANS/page-1", "SN74AS169ANS")</f>
        <v>SN74AS169ANS</v>
      </c>
      <c r="B22902" s="3" t="str">
        <f>HYPERLINK("https://www.773grp.com/manufacturer/texas-instruments?pageNo=5", "Texas Instruments")</f>
        <v>Texas Instruments</v>
      </c>
      <c r="C22902" s="5">
        <v>6100</v>
      </c>
      <c r="D22902" s="6">
        <v>6.45</v>
      </c>
    </row>
    <row r="22903" spans="1:4" x14ac:dyDescent="0.25">
      <c r="A22903" t="str">
        <f>HYPERLINK("https://www.773grp.com/globalSearch/SN75ALS172AN/page-1", "SN75ALS172AN")</f>
        <v>SN75ALS172AN</v>
      </c>
      <c r="B22903" s="3" t="str">
        <f>HYPERLINK("https://www.773grp.com/manufacturer/texas-instruments?pageNo=32", "Texas Instruments")</f>
        <v>Texas Instruments</v>
      </c>
      <c r="C22903" s="5">
        <v>170</v>
      </c>
      <c r="D22903" s="6">
        <v>6.45</v>
      </c>
    </row>
    <row r="22904" spans="1:4" x14ac:dyDescent="0.25">
      <c r="A22904" t="str">
        <f>HYPERLINK("https://www.773grp.com/globalSearch/ADC10738CIWMX-NOPB/page-1", "ADC10738CIWMX-NOPB")</f>
        <v>ADC10738CIWMX-NOPB</v>
      </c>
      <c r="B22904" s="3" t="str">
        <f>HYPERLINK("https://www.773grp.com/manufacturer/texas-instruments?pageNo=39", "Texas Instruments")</f>
        <v>Texas Instruments</v>
      </c>
      <c r="C22904" s="5">
        <v>1000</v>
      </c>
      <c r="D22904" s="6">
        <v>6.46</v>
      </c>
    </row>
    <row r="22905" spans="1:4" x14ac:dyDescent="0.25">
      <c r="A22905" t="str">
        <f>HYPERLINK("https://www.773grp.com/globalSearch/ADS1100A0IDBVT/page-1", "ADS1100A0IDBVT")</f>
        <v>ADS1100A0IDBVT</v>
      </c>
      <c r="B22905" s="3" t="str">
        <f>HYPERLINK("https://www.773grp.com/manufacturer/texas-instruments?pageNo=40", "Texas Instruments")</f>
        <v>Texas Instruments</v>
      </c>
      <c r="C22905" s="5">
        <v>5</v>
      </c>
      <c r="D22905" s="6">
        <v>6.46</v>
      </c>
    </row>
    <row r="22906" spans="1:4" x14ac:dyDescent="0.25">
      <c r="A22906" t="str">
        <f>HYPERLINK("https://www.773grp.com/globalSearch/ADS1100A7IDBVT/page-1", "ADS1100A7IDBVT")</f>
        <v>ADS1100A7IDBVT</v>
      </c>
      <c r="B22906" s="3" t="str">
        <f>HYPERLINK("https://www.773grp.com/manufacturer/texas-instruments?pageNo=46", "Texas Instruments")</f>
        <v>Texas Instruments</v>
      </c>
      <c r="C22906" s="5">
        <v>250</v>
      </c>
      <c r="D22906" s="6">
        <v>6.46</v>
      </c>
    </row>
    <row r="22907" spans="1:4" x14ac:dyDescent="0.25">
      <c r="A22907" t="str">
        <f>HYPERLINK("https://www.773grp.com/globalSearch/BQ24104RHLT/page-1", "BQ24104RHLT")</f>
        <v>BQ24104RHLT</v>
      </c>
      <c r="B22907" s="3" t="str">
        <f>HYPERLINK("https://www.773grp.com/manufacturer/texas-instruments?pageNo=52", "Texas Instruments")</f>
        <v>Texas Instruments</v>
      </c>
      <c r="C22907" s="5">
        <v>3300</v>
      </c>
      <c r="D22907" s="6">
        <v>6.46</v>
      </c>
    </row>
    <row r="22908" spans="1:4" x14ac:dyDescent="0.25">
      <c r="A22908" t="str">
        <f>HYPERLINK("https://www.773grp.com/globalSearch/BQ24120RHLT/page-1", "BQ24120RHLT")</f>
        <v>BQ24120RHLT</v>
      </c>
      <c r="B22908" s="3" t="str">
        <f>HYPERLINK("https://www.773grp.com/manufacturer/texas-instruments?pageNo=55", "Texas Instruments")</f>
        <v>Texas Instruments</v>
      </c>
      <c r="C22908" s="5">
        <v>1750</v>
      </c>
      <c r="D22908" s="6">
        <v>6.46</v>
      </c>
    </row>
    <row r="22909" spans="1:4" x14ac:dyDescent="0.25">
      <c r="A22909" t="str">
        <f>HYPERLINK("https://www.773grp.com/globalSearch/BQ24123RHLT/page-1", "BQ24123RHLT")</f>
        <v>BQ24123RHLT</v>
      </c>
      <c r="B22909" s="3" t="str">
        <f>HYPERLINK("https://www.773grp.com/manufacturer/texas-instruments?pageNo=56", "Texas Instruments")</f>
        <v>Texas Instruments</v>
      </c>
      <c r="C22909" s="5">
        <v>500</v>
      </c>
      <c r="D22909" s="6">
        <v>6.46</v>
      </c>
    </row>
    <row r="22910" spans="1:4" x14ac:dyDescent="0.25">
      <c r="A22910" t="str">
        <f>HYPERLINK("https://www.773grp.com/globalSearch/BQ24640RVAT/page-1", "BQ24640RVAT")</f>
        <v>BQ24640RVAT</v>
      </c>
      <c r="B22910" s="3" t="str">
        <f>HYPERLINK("https://www.773grp.com/manufacturer/texas-instruments?pageNo=59", "Texas Instruments")</f>
        <v>Texas Instruments</v>
      </c>
      <c r="C22910" s="5">
        <v>250</v>
      </c>
      <c r="D22910" s="6">
        <v>6.46</v>
      </c>
    </row>
    <row r="22911" spans="1:4" x14ac:dyDescent="0.25">
      <c r="A22911" t="str">
        <f>HYPERLINK("https://www.773grp.com/globalSearch/BQ24650RVAT/page-1", "BQ24650RVAT")</f>
        <v>BQ24650RVAT</v>
      </c>
      <c r="B22911" s="3" t="str">
        <f>HYPERLINK("https://www.773grp.com/manufacturer/texas-instruments?pageNo=60", "Texas Instruments")</f>
        <v>Texas Instruments</v>
      </c>
      <c r="C22911" s="5">
        <v>2250</v>
      </c>
      <c r="D22911" s="6">
        <v>6.46</v>
      </c>
    </row>
    <row r="22912" spans="1:4" x14ac:dyDescent="0.25">
      <c r="A22912" t="str">
        <f>HYPERLINK("https://www.773grp.com/globalSearch/BQ24725ARGRT/page-1", "BQ24725ARGRT")</f>
        <v>BQ24725ARGRT</v>
      </c>
      <c r="B22912" s="3" t="str">
        <f>HYPERLINK("https://www.773grp.com/manufacturer/texas-instruments?pageNo=61", "Texas Instruments")</f>
        <v>Texas Instruments</v>
      </c>
      <c r="C22912" s="5">
        <v>1000</v>
      </c>
      <c r="D22912" s="6">
        <v>6.46</v>
      </c>
    </row>
    <row r="22913" spans="1:4" x14ac:dyDescent="0.25">
      <c r="A22913" t="str">
        <f>HYPERLINK("https://www.773grp.com/globalSearch/BQ24742RHDR/page-1", "BQ24742RHDR")</f>
        <v>BQ24742RHDR</v>
      </c>
      <c r="B22913" s="3" t="str">
        <f>HYPERLINK("https://www.773grp.com/manufacturer/texas-instruments?pageNo=63", "Texas Instruments")</f>
        <v>Texas Instruments</v>
      </c>
      <c r="C22913" s="5">
        <v>6000</v>
      </c>
      <c r="D22913" s="6">
        <v>6.46</v>
      </c>
    </row>
    <row r="22914" spans="1:4" x14ac:dyDescent="0.25">
      <c r="A22914" t="str">
        <f>HYPERLINK("https://www.773grp.com/globalSearch/CC1110F32RSPR/page-1", "CC1110F32RSPR")</f>
        <v>CC1110F32RSPR</v>
      </c>
      <c r="B22914" s="3" t="str">
        <f>HYPERLINK("https://www.773grp.com/manufacturer/texas-instruments?pageNo=65", "Texas Instruments")</f>
        <v>Texas Instruments</v>
      </c>
      <c r="C22914" s="5">
        <v>2500</v>
      </c>
      <c r="D22914" s="6">
        <v>6.46</v>
      </c>
    </row>
    <row r="22915" spans="1:4" x14ac:dyDescent="0.25">
      <c r="A22915" t="str">
        <f>HYPERLINK("https://www.773grp.com/globalSearch/LM2576HVSX-ADJ-NOPB/page-1", "LM2576HVSX-ADJ-NOPB")</f>
        <v>LM2576HVSX-ADJ-NOPB</v>
      </c>
      <c r="B22915" s="3" t="str">
        <f>HYPERLINK("https://www.773grp.com/manufacturer/texas-instruments?pageNo=70", "Texas Instruments")</f>
        <v>Texas Instruments</v>
      </c>
      <c r="C22915" s="5">
        <v>500</v>
      </c>
      <c r="D22915" s="6">
        <v>6.46</v>
      </c>
    </row>
    <row r="22916" spans="1:4" x14ac:dyDescent="0.25">
      <c r="A22916" t="str">
        <f>HYPERLINK("https://www.773grp.com/globalSearch/LM2576HVT-ADJ-NOPB/page-1", "LM2576HVT-ADJ-NOPB")</f>
        <v>LM2576HVT-ADJ-NOPB</v>
      </c>
      <c r="B22916" s="3" t="str">
        <f>HYPERLINK("https://www.773grp.com/manufacturer/texas-instruments?pageNo=71", "Texas Instruments")</f>
        <v>Texas Instruments</v>
      </c>
      <c r="C22916" s="5">
        <v>75</v>
      </c>
      <c r="D22916" s="6">
        <v>6.46</v>
      </c>
    </row>
    <row r="22917" spans="1:4" x14ac:dyDescent="0.25">
      <c r="A22917" t="str">
        <f>HYPERLINK("https://www.773grp.com/globalSearch/LMR24220TL-NOPB/page-1", "LMR24220TL-NOPB")</f>
        <v>LMR24220TL-NOPB</v>
      </c>
      <c r="B22917" s="3" t="str">
        <f>HYPERLINK("https://www.773grp.com/manufacturer/texas-instruments?pageNo=72", "Texas Instruments")</f>
        <v>Texas Instruments</v>
      </c>
      <c r="C22917" s="5">
        <v>500</v>
      </c>
      <c r="D22917" s="6">
        <v>6.46</v>
      </c>
    </row>
    <row r="22918" spans="1:4" x14ac:dyDescent="0.25">
      <c r="A22918" t="str">
        <f>HYPERLINK("https://www.773grp.com/globalSearch/LMR24220TL-NOPB/page-1", "LMR24220TL-NOPB")</f>
        <v>LMR24220TL-NOPB</v>
      </c>
      <c r="B22918" s="3" t="str">
        <f>HYPERLINK("https://www.773grp.com/manufacturer/texas-instruments?pageNo=73", "Texas Instruments")</f>
        <v>Texas Instruments</v>
      </c>
      <c r="C22918" s="5">
        <v>503</v>
      </c>
      <c r="D22918" s="6">
        <v>6.46</v>
      </c>
    </row>
    <row r="22919" spans="1:4" x14ac:dyDescent="0.25">
      <c r="A22919" t="str">
        <f>HYPERLINK("https://www.773grp.com/globalSearch/MAX3221MDBREP/page-1", "MAX3221MDBREP")</f>
        <v>MAX3221MDBREP</v>
      </c>
      <c r="B22919" s="3" t="str">
        <f>HYPERLINK("https://www.773grp.com/manufacturer/texas-instruments?pageNo=74", "Texas Instruments")</f>
        <v>Texas Instruments</v>
      </c>
      <c r="C22919" s="5">
        <v>1769</v>
      </c>
      <c r="D22919" s="6">
        <v>6.46</v>
      </c>
    </row>
    <row r="22920" spans="1:4" x14ac:dyDescent="0.25">
      <c r="A22920" t="str">
        <f>HYPERLINK("https://www.773grp.com/globalSearch/MSP430F2272IYFFT/page-1", "MSP430F2272IYFFT")</f>
        <v>MSP430F2272IYFFT</v>
      </c>
      <c r="B22920" s="3" t="str">
        <f>HYPERLINK("https://www.773grp.com/manufacturer/texas-instruments?pageNo=75", "Texas Instruments")</f>
        <v>Texas Instruments</v>
      </c>
      <c r="C22920" s="5">
        <v>220</v>
      </c>
      <c r="D22920" s="6">
        <v>6.46</v>
      </c>
    </row>
    <row r="22921" spans="1:4" x14ac:dyDescent="0.25">
      <c r="A22921" t="str">
        <f>HYPERLINK("https://www.773grp.com/globalSearch/MSP430F425AIPMR/page-1", "MSP430F425AIPMR")</f>
        <v>MSP430F425AIPMR</v>
      </c>
      <c r="B22921" s="3" t="str">
        <f>HYPERLINK("https://www.773grp.com/manufacturer/texas-instruments?pageNo=77", "Texas Instruments")</f>
        <v>Texas Instruments</v>
      </c>
      <c r="C22921" s="5">
        <v>1000</v>
      </c>
      <c r="D22921" s="6">
        <v>6.46</v>
      </c>
    </row>
    <row r="22922" spans="1:4" x14ac:dyDescent="0.25">
      <c r="A22922" t="str">
        <f>HYPERLINK("https://www.773grp.com/globalSearch/OPA2251UA/page-1", "OPA2251UA")</f>
        <v>OPA2251UA</v>
      </c>
      <c r="B22922" s="3" t="str">
        <f>HYPERLINK("https://www.773grp.com/manufacturer/texas-instruments?pageNo=79", "Texas Instruments")</f>
        <v>Texas Instruments</v>
      </c>
      <c r="C22922" s="5">
        <v>21525</v>
      </c>
      <c r="D22922" s="6">
        <v>6.46</v>
      </c>
    </row>
    <row r="22923" spans="1:4" x14ac:dyDescent="0.25">
      <c r="A22923" t="str">
        <f>HYPERLINK("https://www.773grp.com/globalSearch/OPA2604AUE4/page-1", "OPA2604AUE4")</f>
        <v>OPA2604AUE4</v>
      </c>
      <c r="B22923" s="3" t="str">
        <f>HYPERLINK("https://www.773grp.com/manufacturer/texas-instruments?pageNo=83", "Texas Instruments")</f>
        <v>Texas Instruments</v>
      </c>
      <c r="C22923" s="5">
        <v>746</v>
      </c>
      <c r="D22923" s="6">
        <v>6.46</v>
      </c>
    </row>
    <row r="22924" spans="1:4" x14ac:dyDescent="0.25">
      <c r="A22924" t="str">
        <f>HYPERLINK("https://www.773grp.com/globalSearch/OPA2683IDGSTG4/page-1", "OPA2683IDGSTG4")</f>
        <v>OPA2683IDGSTG4</v>
      </c>
      <c r="B22924" s="3" t="str">
        <f>HYPERLINK("https://www.773grp.com/manufacturer/texas-instruments?pageNo=87", "Texas Instruments")</f>
        <v>Texas Instruments</v>
      </c>
      <c r="C22924" s="5">
        <v>45</v>
      </c>
      <c r="D22924" s="6">
        <v>6.46</v>
      </c>
    </row>
    <row r="22925" spans="1:4" x14ac:dyDescent="0.25">
      <c r="A22925" t="str">
        <f>HYPERLINK("https://www.773grp.com/globalSearch/OPA4243EA-250/page-1", "OPA4243EA-250")</f>
        <v>OPA4243EA-250</v>
      </c>
      <c r="B22925" s="3" t="str">
        <f>HYPERLINK("https://www.773grp.com/manufacturer/texas-instruments?pageNo=90", "Texas Instruments")</f>
        <v>Texas Instruments</v>
      </c>
      <c r="C22925" s="5">
        <v>750</v>
      </c>
      <c r="D22925" s="6">
        <v>6.46</v>
      </c>
    </row>
    <row r="22926" spans="1:4" x14ac:dyDescent="0.25">
      <c r="A22926" t="str">
        <f>HYPERLINK("https://www.773grp.com/globalSearch/PSN104950PAG/page-1", "PSN104950PAG")</f>
        <v>PSN104950PAG</v>
      </c>
      <c r="B22926" s="3" t="str">
        <f>HYPERLINK("https://www.773grp.com/manufacturer/texas-instruments?pageNo=94", "Texas Instruments")</f>
        <v>Texas Instruments</v>
      </c>
      <c r="C22926" s="5">
        <v>601</v>
      </c>
      <c r="D22926" s="6">
        <v>6.46</v>
      </c>
    </row>
    <row r="22927" spans="1:4" x14ac:dyDescent="0.25">
      <c r="A22927" t="str">
        <f>HYPERLINK("https://www.773grp.com/globalSearch/SN104950PAG/page-1", "SN104950PAG")</f>
        <v>SN104950PAG</v>
      </c>
      <c r="B22927" s="3" t="str">
        <f>HYPERLINK("https://www.773grp.com/manufacturer/texas-instruments?pageNo=95", "Texas Instruments")</f>
        <v>Texas Instruments</v>
      </c>
      <c r="C22927" s="5">
        <v>1440</v>
      </c>
      <c r="D22927" s="6">
        <v>6.46</v>
      </c>
    </row>
    <row r="22928" spans="1:4" x14ac:dyDescent="0.25">
      <c r="A22928" t="str">
        <f>HYPERLINK("https://www.773grp.com/globalSearch/TLC1543CDW/page-1", "TLC1543CDW")</f>
        <v>TLC1543CDW</v>
      </c>
      <c r="B22928" s="3" t="str">
        <f>HYPERLINK("https://www.773grp.com/manufacturer/texas-instruments?pageNo=107", "Texas Instruments")</f>
        <v>Texas Instruments</v>
      </c>
      <c r="C22928" s="5">
        <v>200</v>
      </c>
      <c r="D22928" s="6">
        <v>6.46</v>
      </c>
    </row>
    <row r="22929" spans="1:4" x14ac:dyDescent="0.25">
      <c r="A22929" t="str">
        <f>HYPERLINK("https://www.773grp.com/globalSearch/TLC1543CDWG4/page-1", "TLC1543CDWG4")</f>
        <v>TLC1543CDWG4</v>
      </c>
      <c r="B22929" s="3" t="str">
        <f>HYPERLINK("https://www.773grp.com/manufacturer/texas-instruments?pageNo=108", "Texas Instruments")</f>
        <v>Texas Instruments</v>
      </c>
      <c r="C22929" s="5">
        <v>100</v>
      </c>
      <c r="D22929" s="6">
        <v>6.46</v>
      </c>
    </row>
    <row r="22930" spans="1:4" x14ac:dyDescent="0.25">
      <c r="A22930" t="str">
        <f>HYPERLINK("https://www.773grp.com/globalSearch/TLC1543IN/page-1", "TLC1543IN")</f>
        <v>TLC1543IN</v>
      </c>
      <c r="B22930" s="3" t="str">
        <f>HYPERLINK("https://www.773grp.com/manufacturer/texas-instruments?pageNo=111", "Texas Instruments")</f>
        <v>Texas Instruments</v>
      </c>
      <c r="C22930" s="5">
        <v>71</v>
      </c>
      <c r="D22930" s="6">
        <v>6.46</v>
      </c>
    </row>
    <row r="22931" spans="1:4" x14ac:dyDescent="0.25">
      <c r="A22931" t="str">
        <f>HYPERLINK("https://www.773grp.com/globalSearch/TLC1543QDWG4/page-1", "TLC1543QDWG4")</f>
        <v>TLC1543QDWG4</v>
      </c>
      <c r="B22931" s="3" t="str">
        <f>HYPERLINK("https://www.773grp.com/manufacturer/texas-instruments?pageNo=114", "Texas Instruments")</f>
        <v>Texas Instruments</v>
      </c>
      <c r="C22931" s="5">
        <v>2125</v>
      </c>
      <c r="D22931" s="6">
        <v>6.46</v>
      </c>
    </row>
    <row r="22932" spans="1:4" x14ac:dyDescent="0.25">
      <c r="A22932" t="str">
        <f>HYPERLINK("https://www.773grp.com/globalSearch/TLC1543QDWRG4/page-1", "TLC1543QDWRG4")</f>
        <v>TLC1543QDWRG4</v>
      </c>
      <c r="B22932" s="3" t="str">
        <f>HYPERLINK("https://www.773grp.com/manufacturer/texas-instruments?pageNo=115", "Texas Instruments")</f>
        <v>Texas Instruments</v>
      </c>
      <c r="C22932" s="5">
        <v>48000</v>
      </c>
      <c r="D22932" s="6">
        <v>6.46</v>
      </c>
    </row>
    <row r="22933" spans="1:4" x14ac:dyDescent="0.25">
      <c r="A22933" t="str">
        <f>HYPERLINK("https://www.773grp.com/globalSearch/TLV1549CDR/page-1", "TLV1549CDR")</f>
        <v>TLV1549CDR</v>
      </c>
      <c r="B22933" s="3" t="str">
        <f>HYPERLINK("https://www.773grp.com/manufacturer/texas-instruments?pageNo=126", "Texas Instruments")</f>
        <v>Texas Instruments</v>
      </c>
      <c r="C22933" s="5">
        <v>17500</v>
      </c>
      <c r="D22933" s="6">
        <v>6.46</v>
      </c>
    </row>
    <row r="22934" spans="1:4" x14ac:dyDescent="0.25">
      <c r="A22934" t="str">
        <f>HYPERLINK("https://www.773grp.com/globalSearch/TMS320F28020PTT/page-1", "TMS320F28020PTT")</f>
        <v>TMS320F28020PTT</v>
      </c>
      <c r="B22934" s="3" t="str">
        <f>HYPERLINK("https://www.773grp.com/manufacturer/texas-instruments?pageNo=128", "Texas Instruments")</f>
        <v>Texas Instruments</v>
      </c>
      <c r="C22934" s="5">
        <v>10959</v>
      </c>
      <c r="D22934" s="6">
        <v>6.46</v>
      </c>
    </row>
    <row r="22935" spans="1:4" x14ac:dyDescent="0.25">
      <c r="A22935" t="str">
        <f>HYPERLINK("https://www.773grp.com/globalSearch/TPS2350PW/page-1", "TPS2350PW")</f>
        <v>TPS2350PW</v>
      </c>
      <c r="B22935" s="3" t="str">
        <f>HYPERLINK("https://www.773grp.com/manufacturer/texas-instruments?pageNo=132", "Texas Instruments")</f>
        <v>Texas Instruments</v>
      </c>
      <c r="C22935" s="5">
        <v>180</v>
      </c>
      <c r="D22935" s="6">
        <v>6.46</v>
      </c>
    </row>
    <row r="22936" spans="1:4" x14ac:dyDescent="0.25">
      <c r="A22936" t="str">
        <f>HYPERLINK("https://www.773grp.com/globalSearch/TPS40400RHLT/page-1", "TPS40400RHLT")</f>
        <v>TPS40400RHLT</v>
      </c>
      <c r="B22936" s="3" t="str">
        <f>HYPERLINK("https://www.773grp.com/manufacturer/texas-instruments?pageNo=138", "Texas Instruments")</f>
        <v>Texas Instruments</v>
      </c>
      <c r="C22936" s="5">
        <v>138</v>
      </c>
      <c r="D22936" s="6">
        <v>6.46</v>
      </c>
    </row>
    <row r="22937" spans="1:4" x14ac:dyDescent="0.25">
      <c r="A22937" t="str">
        <f>HYPERLINK("https://www.773grp.com/globalSearch/TPS51620RHAT/page-1", "TPS51620RHAT")</f>
        <v>TPS51620RHAT</v>
      </c>
      <c r="B22937" s="3" t="str">
        <f>HYPERLINK("https://www.773grp.com/manufacturer/texas-instruments?pageNo=139", "Texas Instruments")</f>
        <v>Texas Instruments</v>
      </c>
      <c r="C22937" s="5">
        <v>19250</v>
      </c>
      <c r="D22937" s="6">
        <v>6.46</v>
      </c>
    </row>
    <row r="22938" spans="1:4" x14ac:dyDescent="0.25">
      <c r="A22938" t="str">
        <f>HYPERLINK("https://www.773grp.com/globalSearch/TPS74201RGWT/page-1", "TPS74201RGWT")</f>
        <v>TPS74201RGWT</v>
      </c>
      <c r="B22938" s="3" t="str">
        <f>HYPERLINK("https://www.773grp.com/manufacturer/texas-instruments?pageNo=140", "Texas Instruments")</f>
        <v>Texas Instruments</v>
      </c>
      <c r="C22938" s="5">
        <v>3360</v>
      </c>
      <c r="D22938" s="6">
        <v>6.46</v>
      </c>
    </row>
    <row r="22939" spans="1:4" x14ac:dyDescent="0.25">
      <c r="A22939" t="str">
        <f>HYPERLINK("https://www.773grp.com/globalSearch/TRF7900PW/page-1", "TRF7900PW")</f>
        <v>TRF7900PW</v>
      </c>
      <c r="B22939" s="3" t="str">
        <f>HYPERLINK("https://www.773grp.com/manufacturer/texas-instruments?pageNo=142", "Texas Instruments")</f>
        <v>Texas Instruments</v>
      </c>
      <c r="C22939" s="5">
        <v>44000</v>
      </c>
      <c r="D22939" s="6">
        <v>6.46</v>
      </c>
    </row>
    <row r="22940" spans="1:4" x14ac:dyDescent="0.25">
      <c r="A22940" t="str">
        <f>HYPERLINK("https://www.773grp.com/globalSearch/UCC5618PWPTR-2/page-1", "UCC5618PWPTR-2")</f>
        <v>UCC5618PWPTR-2</v>
      </c>
      <c r="B22940" s="3" t="str">
        <f>HYPERLINK("https://www.773grp.com/manufacturer/texas-instruments?pageNo=163", "Texas Instruments")</f>
        <v>Texas Instruments</v>
      </c>
      <c r="C22940" s="5">
        <v>4000</v>
      </c>
      <c r="D22940" s="6">
        <v>6.46</v>
      </c>
    </row>
    <row r="22941" spans="1:4" x14ac:dyDescent="0.25">
      <c r="A22941" t="str">
        <f>HYPERLINK("https://www.773grp.com/globalSearch/V62-06627-01XE/page-1", "V62-06627-01XE")</f>
        <v>V62-06627-01XE</v>
      </c>
      <c r="B22941" s="3" t="str">
        <f>HYPERLINK("https://www.773grp.com/manufacturer/texas-instruments?pageNo=164", "Texas Instruments")</f>
        <v>Texas Instruments</v>
      </c>
      <c r="C22941" s="5">
        <v>650</v>
      </c>
      <c r="D22941" s="6">
        <v>6.46</v>
      </c>
    </row>
    <row r="22942" spans="1:4" x14ac:dyDescent="0.25">
      <c r="A22942" t="str">
        <f>HYPERLINK("https://www.773grp.com/globalSearch/5962-9757901QCA/page-1", "5962-9757901QCA")</f>
        <v>5962-9757901QCA</v>
      </c>
      <c r="B22942" s="3" t="str">
        <f>HYPERLINK("https://www.773grp.com/manufacturer/texas-instruments?pageNo=165", "Texas Instruments")</f>
        <v>Texas Instruments</v>
      </c>
      <c r="C22942" s="5">
        <v>112</v>
      </c>
      <c r="D22942" s="6">
        <v>6.5</v>
      </c>
    </row>
    <row r="22943" spans="1:4" x14ac:dyDescent="0.25">
      <c r="A22943" t="str">
        <f>HYPERLINK("https://www.773grp.com/globalSearch/BQ2201SN/page-1", "BQ2201SN")</f>
        <v>BQ2201SN</v>
      </c>
      <c r="B22943" s="3" t="str">
        <f>HYPERLINK("https://www.773grp.com/manufacturer/texas-instruments?pageNo=172", "Texas Instruments")</f>
        <v>Texas Instruments</v>
      </c>
      <c r="C22943" s="5">
        <v>175</v>
      </c>
      <c r="D22943" s="6">
        <v>6.5</v>
      </c>
    </row>
    <row r="22944" spans="1:4" x14ac:dyDescent="0.25">
      <c r="A22944" t="str">
        <f>HYPERLINK("https://www.773grp.com/globalSearch/SN74AS640NS/page-1", "SN74AS640NS")</f>
        <v>SN74AS640NS</v>
      </c>
      <c r="B22944" s="3" t="str">
        <f>HYPERLINK("https://www.773grp.com/manufacturer/texas-instruments?pageNo=176", "Texas Instruments")</f>
        <v>Texas Instruments</v>
      </c>
      <c r="C22944" s="5">
        <v>1160</v>
      </c>
      <c r="D22944" s="6">
        <v>6.5</v>
      </c>
    </row>
    <row r="22945" spans="1:4" x14ac:dyDescent="0.25">
      <c r="A22945" t="str">
        <f>HYPERLINK("https://www.773grp.com/globalSearch/THS4120IDR/page-1", "THS4120IDR")</f>
        <v>THS4120IDR</v>
      </c>
      <c r="B22945" s="3" t="str">
        <f>HYPERLINK("https://www.773grp.com/manufacturer/texas-instruments?pageNo=183", "Texas Instruments")</f>
        <v>Texas Instruments</v>
      </c>
      <c r="C22945" s="5">
        <v>183</v>
      </c>
      <c r="D22945" s="6">
        <v>6.5</v>
      </c>
    </row>
    <row r="22946" spans="1:4" x14ac:dyDescent="0.25">
      <c r="A22946" t="str">
        <f>HYPERLINK("https://www.773grp.com/globalSearch/TLC2201AMDG4/page-1", "TLC2201AMDG4")</f>
        <v>TLC2201AMDG4</v>
      </c>
      <c r="B22946" s="3" t="str">
        <f>HYPERLINK("https://www.773grp.com/manufacturer/texas-instruments?pageNo=186", "Texas Instruments")</f>
        <v>Texas Instruments</v>
      </c>
      <c r="C22946" s="5">
        <v>110</v>
      </c>
      <c r="D22946" s="6">
        <v>6.5</v>
      </c>
    </row>
    <row r="22947" spans="1:4" x14ac:dyDescent="0.25">
      <c r="A22947" t="str">
        <f>HYPERLINK("https://www.773grp.com/globalSearch/TPS2043DR/page-1", "TPS2043DR")</f>
        <v>TPS2043DR</v>
      </c>
      <c r="B22947" s="3" t="str">
        <f>HYPERLINK("https://www.773grp.com/manufacturer/texas-instruments?pageNo=188", "Texas Instruments")</f>
        <v>Texas Instruments</v>
      </c>
      <c r="C22947" s="5">
        <v>7500</v>
      </c>
      <c r="D22947" s="6">
        <v>6.5</v>
      </c>
    </row>
    <row r="22948" spans="1:4" x14ac:dyDescent="0.25">
      <c r="A22948" t="str">
        <f>HYPERLINK("https://www.773grp.com/globalSearch/DS91C176TMA/page-1", "DS91C176TMA")</f>
        <v>DS91C176TMA</v>
      </c>
      <c r="B22948" s="3" t="str">
        <f>HYPERLINK("https://www.773grp.com/manufacturer/texas-instruments?pageNo=207", "Texas Instruments")</f>
        <v>Texas Instruments</v>
      </c>
      <c r="C22948" s="5">
        <v>3325</v>
      </c>
      <c r="D22948" s="6">
        <v>6.53</v>
      </c>
    </row>
    <row r="22949" spans="1:4" x14ac:dyDescent="0.25">
      <c r="A22949" t="str">
        <f>HYPERLINK("https://www.773grp.com/globalSearch/SNJ54F04J/page-1", "SNJ54F04J")</f>
        <v>SNJ54F04J</v>
      </c>
      <c r="B22949" s="3" t="str">
        <f>HYPERLINK("https://www.773grp.com/manufacturer/texas-instruments?pageNo=214", "Texas Instruments")</f>
        <v>Texas Instruments</v>
      </c>
      <c r="C22949" s="5">
        <v>135</v>
      </c>
      <c r="D22949" s="6">
        <v>6.53</v>
      </c>
    </row>
    <row r="22950" spans="1:4" x14ac:dyDescent="0.25">
      <c r="A22950" t="str">
        <f>HYPERLINK("https://www.773grp.com/globalSearch/TRF2052PW/page-1", "TRF2052PW")</f>
        <v>TRF2052PW</v>
      </c>
      <c r="B22950" s="3" t="str">
        <f>HYPERLINK("https://www.773grp.com/manufacturer/texas-instruments?pageNo=220", "Texas Instruments")</f>
        <v>Texas Instruments</v>
      </c>
      <c r="C22950" s="5">
        <v>363</v>
      </c>
      <c r="D22950" s="6">
        <v>6.53</v>
      </c>
    </row>
    <row r="22951" spans="1:4" x14ac:dyDescent="0.25">
      <c r="A22951" t="str">
        <f>HYPERLINK("https://www.773grp.com/globalSearch/BQ2000SN-B3/page-1", "BQ2000SN-B3")</f>
        <v>BQ2000SN-B3</v>
      </c>
      <c r="B22951" s="3" t="str">
        <f>HYPERLINK("https://www.773grp.com/manufacturer/texas-instruments?pageNo=225", "Texas Instruments")</f>
        <v>Texas Instruments</v>
      </c>
      <c r="C22951" s="5">
        <v>231</v>
      </c>
      <c r="D22951" s="6">
        <v>6.55</v>
      </c>
    </row>
    <row r="22952" spans="1:4" x14ac:dyDescent="0.25">
      <c r="A22952" t="str">
        <f>HYPERLINK("https://www.773grp.com/globalSearch/ADS1110A0IDBVR/page-1", "ADS1110A0IDBVR")</f>
        <v>ADS1110A0IDBVR</v>
      </c>
      <c r="B22952" s="3" t="str">
        <f>HYPERLINK("https://www.773grp.com/manufacturer/texas-instruments?pageNo=250", "Texas Instruments")</f>
        <v>Texas Instruments</v>
      </c>
      <c r="C22952" s="5">
        <v>218</v>
      </c>
      <c r="D22952" s="6">
        <v>6.59</v>
      </c>
    </row>
    <row r="22953" spans="1:4" x14ac:dyDescent="0.25">
      <c r="A22953" t="str">
        <f>HYPERLINK("https://www.773grp.com/globalSearch/ADS1110A5IDBVR/page-1", "ADS1110A5IDBVR")</f>
        <v>ADS1110A5IDBVR</v>
      </c>
      <c r="B22953" s="3" t="str">
        <f>HYPERLINK("https://www.773grp.com/manufacturer/texas-instruments?pageNo=251", "Texas Instruments")</f>
        <v>Texas Instruments</v>
      </c>
      <c r="C22953" s="5">
        <v>6000</v>
      </c>
      <c r="D22953" s="6">
        <v>6.59</v>
      </c>
    </row>
    <row r="22954" spans="1:4" x14ac:dyDescent="0.25">
      <c r="A22954" t="str">
        <f>HYPERLINK("https://www.773grp.com/globalSearch/LP3855ES-1.8-NOPB/page-1", "LP3855ES-1.8-NOPB")</f>
        <v>LP3855ES-1.8-NOPB</v>
      </c>
      <c r="B22954" s="3" t="str">
        <f>HYPERLINK("https://www.773grp.com/manufacturer/texas-instruments?pageNo=253", "Texas Instruments")</f>
        <v>Texas Instruments</v>
      </c>
      <c r="C22954" s="5">
        <v>100</v>
      </c>
      <c r="D22954" s="6">
        <v>6.59</v>
      </c>
    </row>
    <row r="22955" spans="1:4" x14ac:dyDescent="0.25">
      <c r="A22955" t="str">
        <f>HYPERLINK("https://www.773grp.com/globalSearch/RI-TRP-RR3P-30/page-1", "RI-TRP-RR3P-30")</f>
        <v>RI-TRP-RR3P-30</v>
      </c>
      <c r="B22955" s="3" t="str">
        <f>HYPERLINK("https://www.773grp.com/manufacturer/texas-instruments?pageNo=254", "Texas Instruments")</f>
        <v>Texas Instruments</v>
      </c>
      <c r="C22955" s="5">
        <v>279</v>
      </c>
      <c r="D22955" s="6">
        <v>6.59</v>
      </c>
    </row>
    <row r="22956" spans="1:4" x14ac:dyDescent="0.25">
      <c r="A22956" t="str">
        <f>HYPERLINK("https://www.773grp.com/globalSearch/SN751730PWR/page-1", "SN751730PWR")</f>
        <v>SN751730PWR</v>
      </c>
      <c r="B22956" s="3" t="str">
        <f>HYPERLINK("https://www.773grp.com/manufacturer/texas-instruments?pageNo=259", "Texas Instruments")</f>
        <v>Texas Instruments</v>
      </c>
      <c r="C22956" s="5">
        <v>4000</v>
      </c>
      <c r="D22956" s="6">
        <v>6.59</v>
      </c>
    </row>
    <row r="22957" spans="1:4" x14ac:dyDescent="0.25">
      <c r="A22957" t="str">
        <f>HYPERLINK("https://www.773grp.com/globalSearch/TLC5947DAP/page-1", "TLC5947DAP")</f>
        <v>TLC5947DAP</v>
      </c>
      <c r="B22957" s="3" t="str">
        <f>HYPERLINK("https://www.773grp.com/manufacturer/texas-instruments?pageNo=262", "Texas Instruments")</f>
        <v>Texas Instruments</v>
      </c>
      <c r="C22957" s="5">
        <v>11</v>
      </c>
      <c r="D22957" s="6">
        <v>6.59</v>
      </c>
    </row>
    <row r="22958" spans="1:4" x14ac:dyDescent="0.25">
      <c r="A22958" t="str">
        <f>HYPERLINK("https://www.773grp.com/globalSearch/ADS1131ID/page-1", "ADS1131ID")</f>
        <v>ADS1131ID</v>
      </c>
      <c r="B22958" s="3" t="str">
        <f>HYPERLINK("https://www.773grp.com/manufacturer/texas-instruments?pageNo=263", "Texas Instruments")</f>
        <v>Texas Instruments</v>
      </c>
      <c r="C22958" s="5">
        <v>4857</v>
      </c>
      <c r="D22958" s="6">
        <v>6.61</v>
      </c>
    </row>
    <row r="22959" spans="1:4" x14ac:dyDescent="0.25">
      <c r="A22959" t="str">
        <f>HYPERLINK("https://www.773grp.com/globalSearch/ADS7816EB-2K5/page-1", "ADS7816EB-2K5")</f>
        <v>ADS7816EB-2K5</v>
      </c>
      <c r="B22959" s="3" t="str">
        <f>HYPERLINK("https://www.773grp.com/manufacturer/texas-instruments?pageNo=264", "Texas Instruments")</f>
        <v>Texas Instruments</v>
      </c>
      <c r="C22959" s="5">
        <v>5000</v>
      </c>
      <c r="D22959" s="6">
        <v>6.61</v>
      </c>
    </row>
    <row r="22960" spans="1:4" x14ac:dyDescent="0.25">
      <c r="A22960" t="str">
        <f>HYPERLINK("https://www.773grp.com/globalSearch/ADS7816U/page-1", "ADS7816U")</f>
        <v>ADS7816U</v>
      </c>
      <c r="B22960" s="3" t="str">
        <f>HYPERLINK("https://www.773grp.com/manufacturer/texas-instruments?pageNo=265", "Texas Instruments")</f>
        <v>Texas Instruments</v>
      </c>
      <c r="C22960" s="5">
        <v>84</v>
      </c>
      <c r="D22960" s="6">
        <v>6.61</v>
      </c>
    </row>
    <row r="22961" spans="1:4" x14ac:dyDescent="0.25">
      <c r="A22961" t="str">
        <f>HYPERLINK("https://www.773grp.com/globalSearch/ADS7817EB-2K5/page-1", "ADS7817EB-2K5")</f>
        <v>ADS7817EB-2K5</v>
      </c>
      <c r="B22961" s="3" t="str">
        <f>HYPERLINK("https://www.773grp.com/manufacturer/texas-instruments?pageNo=266", "Texas Instruments")</f>
        <v>Texas Instruments</v>
      </c>
      <c r="C22961" s="5">
        <v>5000</v>
      </c>
      <c r="D22961" s="6">
        <v>6.61</v>
      </c>
    </row>
    <row r="22962" spans="1:4" x14ac:dyDescent="0.25">
      <c r="A22962" t="str">
        <f>HYPERLINK("https://www.773grp.com/globalSearch/BQ24725RGRR/page-1", "BQ24725RGRR")</f>
        <v>BQ24725RGRR</v>
      </c>
      <c r="B22962" s="3" t="str">
        <f>HYPERLINK("https://www.773grp.com/manufacturer/texas-instruments?pageNo=269", "Texas Instruments")</f>
        <v>Texas Instruments</v>
      </c>
      <c r="C22962" s="5">
        <v>50353</v>
      </c>
      <c r="D22962" s="6">
        <v>6.61</v>
      </c>
    </row>
    <row r="22963" spans="1:4" x14ac:dyDescent="0.25">
      <c r="A22963" t="str">
        <f>HYPERLINK("https://www.773grp.com/globalSearch/DRV135UA/page-1", "DRV135UA")</f>
        <v>DRV135UA</v>
      </c>
      <c r="B22963" s="3" t="str">
        <f>HYPERLINK("https://www.773grp.com/manufacturer/texas-instruments?pageNo=276", "Texas Instruments")</f>
        <v>Texas Instruments</v>
      </c>
      <c r="C22963" s="5">
        <v>385</v>
      </c>
      <c r="D22963" s="6">
        <v>6.61</v>
      </c>
    </row>
    <row r="22964" spans="1:4" x14ac:dyDescent="0.25">
      <c r="A22964" t="str">
        <f>HYPERLINK("https://www.773grp.com/globalSearch/MSP430F2370TRHAT/page-1", "MSP430F2370TRHAT")</f>
        <v>MSP430F2370TRHAT</v>
      </c>
      <c r="B22964" s="3" t="str">
        <f>HYPERLINK("https://www.773grp.com/manufacturer/texas-instruments?pageNo=283", "Texas Instruments")</f>
        <v>Texas Instruments</v>
      </c>
      <c r="C22964" s="5">
        <v>21</v>
      </c>
      <c r="D22964" s="6">
        <v>6.61</v>
      </c>
    </row>
    <row r="22965" spans="1:4" x14ac:dyDescent="0.25">
      <c r="A22965" t="str">
        <f>HYPERLINK("https://www.773grp.com/globalSearch/MSP430FE4252IPMR/page-1", "MSP430FE4252IPMR")</f>
        <v>MSP430FE4252IPMR</v>
      </c>
      <c r="B22965" s="3" t="str">
        <f>HYPERLINK("https://www.773grp.com/manufacturer/texas-instruments?pageNo=284", "Texas Instruments")</f>
        <v>Texas Instruments</v>
      </c>
      <c r="C22965" s="5">
        <v>2000</v>
      </c>
      <c r="D22965" s="6">
        <v>6.61</v>
      </c>
    </row>
    <row r="22966" spans="1:4" x14ac:dyDescent="0.25">
      <c r="A22966" t="str">
        <f>HYPERLINK("https://www.773grp.com/globalSearch/MSP430FR5737IRHAT/page-1", "MSP430FR5737IRHAT")</f>
        <v>MSP430FR5737IRHAT</v>
      </c>
      <c r="B22966" s="3" t="str">
        <f>HYPERLINK("https://www.773grp.com/manufacturer/texas-instruments?pageNo=285", "Texas Instruments")</f>
        <v>Texas Instruments</v>
      </c>
      <c r="C22966" s="5">
        <v>250</v>
      </c>
      <c r="D22966" s="6">
        <v>6.61</v>
      </c>
    </row>
    <row r="22967" spans="1:4" x14ac:dyDescent="0.25">
      <c r="A22967" t="str">
        <f>HYPERLINK("https://www.773grp.com/globalSearch/MSP430FR5738IRGET/page-1", "MSP430FR5738IRGET")</f>
        <v>MSP430FR5738IRGET</v>
      </c>
      <c r="B22967" s="3" t="str">
        <f>HYPERLINK("https://www.773grp.com/manufacturer/texas-instruments?pageNo=286", "Texas Instruments")</f>
        <v>Texas Instruments</v>
      </c>
      <c r="C22967" s="5">
        <v>250</v>
      </c>
      <c r="D22967" s="6">
        <v>6.61</v>
      </c>
    </row>
    <row r="22968" spans="1:4" x14ac:dyDescent="0.25">
      <c r="A22968" t="str">
        <f>HYPERLINK("https://www.773grp.com/globalSearch/OPA1604AIPW/page-1", "OPA1604AIPW")</f>
        <v>OPA1604AIPW</v>
      </c>
      <c r="B22968" s="3" t="str">
        <f>HYPERLINK("https://www.773grp.com/manufacturer/texas-instruments?pageNo=287", "Texas Instruments")</f>
        <v>Texas Instruments</v>
      </c>
      <c r="C22968" s="5">
        <v>270</v>
      </c>
      <c r="D22968" s="6">
        <v>6.61</v>
      </c>
    </row>
    <row r="22969" spans="1:4" x14ac:dyDescent="0.25">
      <c r="A22969" t="str">
        <f>HYPERLINK("https://www.773grp.com/globalSearch/OPA277U-2K5/page-1", "OPA277U-2K5")</f>
        <v>OPA277U-2K5</v>
      </c>
      <c r="B22969" s="3" t="str">
        <f>HYPERLINK("https://www.773grp.com/manufacturer/texas-instruments?pageNo=289", "Texas Instruments")</f>
        <v>Texas Instruments</v>
      </c>
      <c r="C22969" s="5">
        <v>2000</v>
      </c>
      <c r="D22969" s="6">
        <v>6.61</v>
      </c>
    </row>
    <row r="22970" spans="1:4" x14ac:dyDescent="0.25">
      <c r="A22970" t="str">
        <f>HYPERLINK("https://www.773grp.com/globalSearch/SN65HVD1794D/page-1", "SN65HVD1794D")</f>
        <v>SN65HVD1794D</v>
      </c>
      <c r="B22970" s="3" t="str">
        <f>HYPERLINK("https://www.773grp.com/manufacturer/texas-instruments?pageNo=297", "Texas Instruments")</f>
        <v>Texas Instruments</v>
      </c>
      <c r="C22970" s="5">
        <v>75</v>
      </c>
      <c r="D22970" s="6">
        <v>6.61</v>
      </c>
    </row>
    <row r="22971" spans="1:4" x14ac:dyDescent="0.25">
      <c r="A22971" t="str">
        <f>HYPERLINK("https://www.773grp.com/globalSearch/SN65LVDS301ZQE/page-1", "SN65LVDS301ZQE")</f>
        <v>SN65LVDS301ZQE</v>
      </c>
      <c r="B22971" s="3" t="str">
        <f>HYPERLINK("https://www.773grp.com/manufacturer/texas-instruments?pageNo=298", "Texas Instruments")</f>
        <v>Texas Instruments</v>
      </c>
      <c r="C22971" s="5">
        <v>114</v>
      </c>
      <c r="D22971" s="6">
        <v>6.61</v>
      </c>
    </row>
    <row r="22972" spans="1:4" x14ac:dyDescent="0.25">
      <c r="A22972" t="str">
        <f>HYPERLINK("https://www.773grp.com/globalSearch/SN74AS138NS/page-1", "SN74AS138NS")</f>
        <v>SN74AS138NS</v>
      </c>
      <c r="B22972" s="3" t="str">
        <f>HYPERLINK("https://www.773grp.com/manufacturer/texas-instruments?pageNo=300", "Texas Instruments")</f>
        <v>Texas Instruments</v>
      </c>
      <c r="C22972" s="5">
        <v>4150</v>
      </c>
      <c r="D22972" s="6">
        <v>6.61</v>
      </c>
    </row>
    <row r="22973" spans="1:4" x14ac:dyDescent="0.25">
      <c r="A22973" t="str">
        <f>HYPERLINK("https://www.773grp.com/globalSearch/SN74BCT126ANSR/page-1", "SN74BCT126ANSR")</f>
        <v>SN74BCT126ANSR</v>
      </c>
      <c r="B22973" s="3" t="str">
        <f>HYPERLINK("https://www.773grp.com/manufacturer/texas-instruments?pageNo=302", "Texas Instruments")</f>
        <v>Texas Instruments</v>
      </c>
      <c r="C22973" s="5">
        <v>4000</v>
      </c>
      <c r="D22973" s="6">
        <v>6.61</v>
      </c>
    </row>
    <row r="22974" spans="1:4" x14ac:dyDescent="0.25">
      <c r="A22974" t="str">
        <f>HYPERLINK("https://www.773grp.com/globalSearch/TAS5731PHPR/page-1", "TAS5731PHPR")</f>
        <v>TAS5731PHPR</v>
      </c>
      <c r="B22974" s="3" t="str">
        <f>HYPERLINK("https://www.773grp.com/manufacturer/texas-instruments?pageNo=305", "Texas Instruments")</f>
        <v>Texas Instruments</v>
      </c>
      <c r="C22974" s="5">
        <v>940</v>
      </c>
      <c r="D22974" s="6">
        <v>6.61</v>
      </c>
    </row>
    <row r="22975" spans="1:4" x14ac:dyDescent="0.25">
      <c r="A22975" t="str">
        <f>HYPERLINK("https://www.773grp.com/globalSearch/THS4522IPW/page-1", "THS4522IPW")</f>
        <v>THS4522IPW</v>
      </c>
      <c r="B22975" s="3" t="str">
        <f>HYPERLINK("https://www.773grp.com/manufacturer/texas-instruments?pageNo=307", "Texas Instruments")</f>
        <v>Texas Instruments</v>
      </c>
      <c r="C22975" s="5">
        <v>438</v>
      </c>
      <c r="D22975" s="6">
        <v>6.61</v>
      </c>
    </row>
    <row r="22976" spans="1:4" x14ac:dyDescent="0.25">
      <c r="A22976" t="str">
        <f>HYPERLINK("https://www.773grp.com/globalSearch/TLC1543QDBG4/page-1", "TLC1543QDBG4")</f>
        <v>TLC1543QDBG4</v>
      </c>
      <c r="B22976" s="3" t="str">
        <f>HYPERLINK("https://www.773grp.com/manufacturer/texas-instruments?pageNo=312", "Texas Instruments")</f>
        <v>Texas Instruments</v>
      </c>
      <c r="C22976" s="5">
        <v>4200</v>
      </c>
      <c r="D22976" s="6">
        <v>6.61</v>
      </c>
    </row>
    <row r="22977" spans="1:4" x14ac:dyDescent="0.25">
      <c r="A22977" t="str">
        <f>HYPERLINK("https://www.773grp.com/globalSearch/TLC5510INS-A/page-1", "TLC5510INS-A")</f>
        <v>TLC5510INS-A</v>
      </c>
      <c r="B22977" s="3" t="str">
        <f>HYPERLINK("https://www.773grp.com/manufacturer/texas-instruments?pageNo=314", "Texas Instruments")</f>
        <v>Texas Instruments</v>
      </c>
      <c r="C22977" s="5">
        <v>2452</v>
      </c>
      <c r="D22977" s="6">
        <v>6.61</v>
      </c>
    </row>
    <row r="22978" spans="1:4" x14ac:dyDescent="0.25">
      <c r="A22978" t="str">
        <f>HYPERLINK("https://www.773grp.com/globalSearch/TLV5628IDWR/page-1", "TLV5628IDWR")</f>
        <v>TLV5628IDWR</v>
      </c>
      <c r="B22978" s="3" t="str">
        <f>HYPERLINK("https://www.773grp.com/manufacturer/texas-instruments?pageNo=318", "Texas Instruments")</f>
        <v>Texas Instruments</v>
      </c>
      <c r="C22978" s="5">
        <v>4000</v>
      </c>
      <c r="D22978" s="6">
        <v>6.61</v>
      </c>
    </row>
    <row r="22979" spans="1:4" x14ac:dyDescent="0.25">
      <c r="A22979" t="str">
        <f>HYPERLINK("https://www.773grp.com/globalSearch/TLV571CDW/page-1", "TLV571CDW")</f>
        <v>TLV571CDW</v>
      </c>
      <c r="B22979" s="3" t="str">
        <f>HYPERLINK("https://www.773grp.com/manufacturer/texas-instruments?pageNo=319", "Texas Instruments")</f>
        <v>Texas Instruments</v>
      </c>
      <c r="C22979" s="5">
        <v>2170</v>
      </c>
      <c r="D22979" s="6">
        <v>6.61</v>
      </c>
    </row>
    <row r="22980" spans="1:4" x14ac:dyDescent="0.25">
      <c r="A22980" t="str">
        <f>HYPERLINK("https://www.773grp.com/globalSearch/TLV571CPW/page-1", "TLV571CPW")</f>
        <v>TLV571CPW</v>
      </c>
      <c r="B22980" s="3" t="str">
        <f>HYPERLINK("https://www.773grp.com/manufacturer/texas-instruments?pageNo=320", "Texas Instruments")</f>
        <v>Texas Instruments</v>
      </c>
      <c r="C22980" s="5">
        <v>1717</v>
      </c>
      <c r="D22980" s="6">
        <v>6.61</v>
      </c>
    </row>
    <row r="22981" spans="1:4" x14ac:dyDescent="0.25">
      <c r="A22981" t="str">
        <f>HYPERLINK("https://www.773grp.com/globalSearch/TMS320F280270PTT/page-1", "TMS320F280270PTT")</f>
        <v>TMS320F280270PTT</v>
      </c>
      <c r="B22981" s="3" t="str">
        <f>HYPERLINK("https://www.773grp.com/manufacturer/texas-instruments?pageNo=322", "Texas Instruments")</f>
        <v>Texas Instruments</v>
      </c>
      <c r="C22981" s="5">
        <v>500</v>
      </c>
      <c r="D22981" s="6">
        <v>6.61</v>
      </c>
    </row>
    <row r="22982" spans="1:4" x14ac:dyDescent="0.25">
      <c r="A22982" t="str">
        <f>HYPERLINK("https://www.773grp.com/globalSearch/TPS65180BRGZR/page-1", "TPS65180BRGZR")</f>
        <v>TPS65180BRGZR</v>
      </c>
      <c r="B22982" s="3" t="str">
        <f>HYPERLINK("https://www.773grp.com/manufacturer/texas-instruments?pageNo=327", "Texas Instruments")</f>
        <v>Texas Instruments</v>
      </c>
      <c r="C22982" s="5">
        <v>1551</v>
      </c>
      <c r="D22982" s="6">
        <v>6.61</v>
      </c>
    </row>
    <row r="22983" spans="1:4" x14ac:dyDescent="0.25">
      <c r="A22983" t="str">
        <f>HYPERLINK("https://www.773grp.com/globalSearch/TPS65181BRGZR/page-1", "TPS65181BRGZR")</f>
        <v>TPS65181BRGZR</v>
      </c>
      <c r="B22983" s="3" t="str">
        <f>HYPERLINK("https://www.773grp.com/manufacturer/texas-instruments?pageNo=328", "Texas Instruments")</f>
        <v>Texas Instruments</v>
      </c>
      <c r="C22983" s="5">
        <v>5000</v>
      </c>
      <c r="D22983" s="6">
        <v>6.61</v>
      </c>
    </row>
    <row r="22984" spans="1:4" x14ac:dyDescent="0.25">
      <c r="A22984" t="str">
        <f>HYPERLINK("https://www.773grp.com/globalSearch/TPS65182BRGZR/page-1", "TPS65182BRGZR")</f>
        <v>TPS65182BRGZR</v>
      </c>
      <c r="B22984" s="3" t="str">
        <f>HYPERLINK("https://www.773grp.com/manufacturer/texas-instruments?pageNo=329", "Texas Instruments")</f>
        <v>Texas Instruments</v>
      </c>
      <c r="C22984" s="5">
        <v>237500</v>
      </c>
      <c r="D22984" s="6">
        <v>6.61</v>
      </c>
    </row>
    <row r="22985" spans="1:4" x14ac:dyDescent="0.25">
      <c r="A22985" t="str">
        <f>HYPERLINK("https://www.773grp.com/globalSearch/TPS70302PWPR/page-1", "TPS70302PWPR")</f>
        <v>TPS70302PWPR</v>
      </c>
      <c r="B22985" s="3" t="str">
        <f>HYPERLINK("https://www.773grp.com/manufacturer/texas-instruments?pageNo=330", "Texas Instruments")</f>
        <v>Texas Instruments</v>
      </c>
      <c r="C22985" s="5">
        <v>2582</v>
      </c>
      <c r="D22985" s="6">
        <v>6.61</v>
      </c>
    </row>
    <row r="22986" spans="1:4" x14ac:dyDescent="0.25">
      <c r="A22986" t="str">
        <f>HYPERLINK("https://www.773grp.com/globalSearch/TPS70348PWPR/page-1", "TPS70348PWPR")</f>
        <v>TPS70348PWPR</v>
      </c>
      <c r="B22986" s="3" t="str">
        <f>HYPERLINK("https://www.773grp.com/manufacturer/texas-instruments?pageNo=332", "Texas Instruments")</f>
        <v>Texas Instruments</v>
      </c>
      <c r="C22986" s="5">
        <v>1800</v>
      </c>
      <c r="D22986" s="6">
        <v>6.61</v>
      </c>
    </row>
    <row r="22987" spans="1:4" x14ac:dyDescent="0.25">
      <c r="A22987" t="str">
        <f>HYPERLINK("https://www.773grp.com/globalSearch/TPS70448PWPR/page-1", "TPS70448PWPR")</f>
        <v>TPS70448PWPR</v>
      </c>
      <c r="B22987" s="3" t="str">
        <f>HYPERLINK("https://www.773grp.com/manufacturer/texas-instruments?pageNo=335", "Texas Instruments")</f>
        <v>Texas Instruments</v>
      </c>
      <c r="C22987" s="5">
        <v>2000</v>
      </c>
      <c r="D22987" s="6">
        <v>6.61</v>
      </c>
    </row>
    <row r="22988" spans="1:4" x14ac:dyDescent="0.25">
      <c r="A22988" t="str">
        <f>HYPERLINK("https://www.773grp.com/globalSearch/TPS70458PWPR/page-1", "TPS70458PWPR")</f>
        <v>TPS70458PWPR</v>
      </c>
      <c r="B22988" s="3" t="str">
        <f>HYPERLINK("https://www.773grp.com/manufacturer/texas-instruments?pageNo=336", "Texas Instruments")</f>
        <v>Texas Instruments</v>
      </c>
      <c r="C22988" s="5">
        <v>2576</v>
      </c>
      <c r="D22988" s="6">
        <v>6.61</v>
      </c>
    </row>
    <row r="22989" spans="1:4" x14ac:dyDescent="0.25">
      <c r="A22989" t="str">
        <f>HYPERLINK("https://www.773grp.com/globalSearch/UCC28070APW/page-1", "UCC28070APW")</f>
        <v>UCC28070APW</v>
      </c>
      <c r="B22989" s="3" t="str">
        <f>HYPERLINK("https://www.773grp.com/manufacturer/texas-instruments?pageNo=339", "Texas Instruments")</f>
        <v>Texas Instruments</v>
      </c>
      <c r="C22989" s="5">
        <v>656</v>
      </c>
      <c r="D22989" s="6">
        <v>6.61</v>
      </c>
    </row>
    <row r="22990" spans="1:4" x14ac:dyDescent="0.25">
      <c r="A22990" t="str">
        <f>HYPERLINK("https://www.773grp.com/globalSearch/UCC28070DW/page-1", "UCC28070DW")</f>
        <v>UCC28070DW</v>
      </c>
      <c r="B22990" s="3" t="str">
        <f>HYPERLINK("https://www.773grp.com/manufacturer/texas-instruments?pageNo=340", "Texas Instruments")</f>
        <v>Texas Instruments</v>
      </c>
      <c r="C22990" s="5">
        <v>1740</v>
      </c>
      <c r="D22990" s="6">
        <v>6.61</v>
      </c>
    </row>
    <row r="22991" spans="1:4" x14ac:dyDescent="0.25">
      <c r="A22991" t="str">
        <f>HYPERLINK("https://www.773grp.com/globalSearch/UCC38502DWTR/page-1", "UCC38502DWTR")</f>
        <v>UCC38502DWTR</v>
      </c>
      <c r="B22991" s="3" t="str">
        <f>HYPERLINK("https://www.773grp.com/manufacturer/texas-instruments?pageNo=343", "Texas Instruments")</f>
        <v>Texas Instruments</v>
      </c>
      <c r="C22991" s="5">
        <v>2000</v>
      </c>
      <c r="D22991" s="6">
        <v>6.61</v>
      </c>
    </row>
    <row r="22992" spans="1:4" x14ac:dyDescent="0.25">
      <c r="A22992" t="str">
        <f>HYPERLINK("https://www.773grp.com/globalSearch/ALVCH162334DLR/page-1", "ALVCH162334DLR")</f>
        <v>ALVCH162334DLR</v>
      </c>
      <c r="B22992" s="3" t="str">
        <f>HYPERLINK("https://www.773grp.com/manufacturer/texas-instruments?pageNo=347", "Texas Instruments")</f>
        <v>Texas Instruments</v>
      </c>
      <c r="C22992" s="5">
        <v>9000</v>
      </c>
      <c r="D22992" s="6">
        <v>6.64</v>
      </c>
    </row>
    <row r="22993" spans="1:4" x14ac:dyDescent="0.25">
      <c r="A22993" t="str">
        <f>HYPERLINK("https://www.773grp.com/globalSearch/ALVCHR162269ADGGR/page-1", "ALVCHR162269ADGGR")</f>
        <v>ALVCHR162269ADGGR</v>
      </c>
      <c r="B22993" s="3" t="str">
        <f>HYPERLINK("https://www.773grp.com/manufacturer/texas-instruments?pageNo=348", "Texas Instruments")</f>
        <v>Texas Instruments</v>
      </c>
      <c r="C22993" s="5">
        <v>8000</v>
      </c>
      <c r="D22993" s="6">
        <v>6.64</v>
      </c>
    </row>
    <row r="22994" spans="1:4" x14ac:dyDescent="0.25">
      <c r="A22994" t="str">
        <f>HYPERLINK("https://www.773grp.com/globalSearch/CAVCB164245QDGGRQ1/page-1", "CAVCB164245QDGGRQ1")</f>
        <v>CAVCB164245QDGGRQ1</v>
      </c>
      <c r="B22994" s="3" t="str">
        <f>HYPERLINK("https://www.773grp.com/manufacturer/texas-instruments?pageNo=349", "Texas Instruments")</f>
        <v>Texas Instruments</v>
      </c>
      <c r="C22994" s="5">
        <v>2000</v>
      </c>
      <c r="D22994" s="6">
        <v>6.64</v>
      </c>
    </row>
    <row r="22995" spans="1:4" x14ac:dyDescent="0.25">
      <c r="A22995" t="str">
        <f>HYPERLINK("https://www.773grp.com/globalSearch/CC2564YFVR/page-1", "CC2564YFVR")</f>
        <v>CC2564YFVR</v>
      </c>
      <c r="B22995" s="3" t="str">
        <f>HYPERLINK("https://www.773grp.com/manufacturer/texas-instruments?pageNo=351", "Texas Instruments")</f>
        <v>Texas Instruments</v>
      </c>
      <c r="C22995" s="5">
        <v>5000</v>
      </c>
      <c r="D22995" s="6">
        <v>6.64</v>
      </c>
    </row>
    <row r="22996" spans="1:4" x14ac:dyDescent="0.25">
      <c r="A22996" t="str">
        <f>HYPERLINK("https://www.773grp.com/globalSearch/SN74ALVCH16282DGR/page-1", "SN74ALVCH16282DGR")</f>
        <v>SN74ALVCH16282DGR</v>
      </c>
      <c r="B22996" s="3" t="str">
        <f>HYPERLINK("https://www.773grp.com/manufacturer/texas-instruments?pageNo=366", "Texas Instruments")</f>
        <v>Texas Instruments</v>
      </c>
      <c r="C22996" s="5">
        <v>4000</v>
      </c>
      <c r="D22996" s="6">
        <v>6.64</v>
      </c>
    </row>
    <row r="22997" spans="1:4" x14ac:dyDescent="0.25">
      <c r="A22997" t="str">
        <f>HYPERLINK("https://www.773grp.com/globalSearch/SN74ALVCHR16269AR/page-1", "SN74ALVCHR16269AR")</f>
        <v>SN74ALVCHR16269AR</v>
      </c>
      <c r="B22997" s="3" t="str">
        <f>HYPERLINK("https://www.773grp.com/manufacturer/texas-instruments?pageNo=374", "Texas Instruments")</f>
        <v>Texas Instruments</v>
      </c>
      <c r="C22997" s="5">
        <v>35000</v>
      </c>
      <c r="D22997" s="6">
        <v>6.64</v>
      </c>
    </row>
    <row r="22998" spans="1:4" x14ac:dyDescent="0.25">
      <c r="A22998" t="str">
        <f>HYPERLINK("https://www.773grp.com/globalSearch/SN74CBTS16211DLR/page-1", "SN74CBTS16211DLR")</f>
        <v>SN74CBTS16211DLR</v>
      </c>
      <c r="B22998" s="3" t="str">
        <f>HYPERLINK("https://www.773grp.com/manufacturer/texas-instruments?pageNo=387", "Texas Instruments")</f>
        <v>Texas Instruments</v>
      </c>
      <c r="C22998" s="5">
        <v>1000</v>
      </c>
      <c r="D22998" s="6">
        <v>6.64</v>
      </c>
    </row>
    <row r="22999" spans="1:4" x14ac:dyDescent="0.25">
      <c r="A22999" t="str">
        <f>HYPERLINK("https://www.773grp.com/globalSearch/SN74S183N/page-1", "SN74S183N")</f>
        <v>SN74S183N</v>
      </c>
      <c r="B22999" s="3" t="str">
        <f>HYPERLINK("https://www.773grp.com/manufacturer/texas-instruments?pageNo=407", "Texas Instruments")</f>
        <v>Texas Instruments</v>
      </c>
      <c r="C22999" s="5">
        <v>4700</v>
      </c>
      <c r="D22999" s="6">
        <v>6.66</v>
      </c>
    </row>
    <row r="23000" spans="1:4" x14ac:dyDescent="0.25">
      <c r="A23000" t="str">
        <f>HYPERLINK("https://www.773grp.com/globalSearch/MM5453N-NOPB/page-1", "MM5453N-NOPB")</f>
        <v>MM5453N-NOPB</v>
      </c>
      <c r="B23000" s="3" t="str">
        <f>HYPERLINK("https://www.773grp.com/manufacturer/texas-instruments?pageNo=420", "Texas Instruments")</f>
        <v>Texas Instruments</v>
      </c>
      <c r="C23000" s="5">
        <v>4847</v>
      </c>
      <c r="D23000" s="6">
        <v>6.7</v>
      </c>
    </row>
    <row r="23001" spans="1:4" x14ac:dyDescent="0.25">
      <c r="A23001" t="str">
        <f>HYPERLINK("https://www.773grp.com/globalSearch/SN74ALS620ANS/page-1", "SN74ALS620ANS")</f>
        <v>SN74ALS620ANS</v>
      </c>
      <c r="B23001" s="3" t="str">
        <f>HYPERLINK("https://www.773grp.com/manufacturer/texas-instruments?pageNo=422", "Texas Instruments")</f>
        <v>Texas Instruments</v>
      </c>
      <c r="C23001" s="5">
        <v>5175</v>
      </c>
      <c r="D23001" s="6">
        <v>6.7</v>
      </c>
    </row>
    <row r="23002" spans="1:4" x14ac:dyDescent="0.25">
      <c r="A23002" t="str">
        <f>HYPERLINK("https://www.773grp.com/globalSearch/UC3852N/page-1", "UC3852N")</f>
        <v>UC3852N</v>
      </c>
      <c r="B23002" s="3" t="str">
        <f>HYPERLINK("https://www.773grp.com/manufacturer/texas-instruments?pageNo=430", "Texas Instruments")</f>
        <v>Texas Instruments</v>
      </c>
      <c r="C23002" s="5">
        <v>135</v>
      </c>
      <c r="D23002" s="6">
        <v>6.7</v>
      </c>
    </row>
    <row r="23003" spans="1:4" x14ac:dyDescent="0.25">
      <c r="A23003" t="str">
        <f>HYPERLINK("https://www.773grp.com/globalSearch/UC3856NG4/page-1", "UC3856NG4")</f>
        <v>UC3856NG4</v>
      </c>
      <c r="B23003" s="3" t="str">
        <f>HYPERLINK("https://www.773grp.com/manufacturer/texas-instruments?pageNo=432", "Texas Instruments")</f>
        <v>Texas Instruments</v>
      </c>
      <c r="C23003" s="5">
        <v>100</v>
      </c>
      <c r="D23003" s="6">
        <v>6.7</v>
      </c>
    </row>
    <row r="23004" spans="1:4" x14ac:dyDescent="0.25">
      <c r="A23004" t="str">
        <f>HYPERLINK("https://www.773grp.com/globalSearch/BQ2000SN-B3TR/page-1", "BQ2000SN-B3TR")</f>
        <v>BQ2000SN-B3TR</v>
      </c>
      <c r="B23004" s="3" t="str">
        <f>HYPERLINK("https://www.773grp.com/manufacturer/texas-instruments?pageNo=433", "Texas Instruments")</f>
        <v>Texas Instruments</v>
      </c>
      <c r="C23004" s="5">
        <v>4500</v>
      </c>
      <c r="D23004" s="6">
        <v>6.71</v>
      </c>
    </row>
    <row r="23005" spans="1:4" x14ac:dyDescent="0.25">
      <c r="A23005" t="str">
        <f>HYPERLINK("https://www.773grp.com/globalSearch/LM2574HVM-ADJ/page-1", "LM2574HVM-ADJ")</f>
        <v>LM2574HVM-ADJ</v>
      </c>
      <c r="B23005" s="3" t="str">
        <f>HYPERLINK("https://www.773grp.com/manufacturer/texas-instruments?pageNo=434", "Texas Instruments")</f>
        <v>Texas Instruments</v>
      </c>
      <c r="C23005" s="5">
        <v>1400</v>
      </c>
      <c r="D23005" s="6">
        <v>6.71</v>
      </c>
    </row>
    <row r="23006" spans="1:4" x14ac:dyDescent="0.25">
      <c r="A23006" t="str">
        <f>HYPERLINK("https://www.773grp.com/globalSearch/SN751177NSRE4/page-1", "SN751177NSRE4")</f>
        <v>SN751177NSRE4</v>
      </c>
      <c r="B23006" s="3" t="str">
        <f>HYPERLINK("https://www.773grp.com/manufacturer/texas-instruments?pageNo=438", "Texas Instruments")</f>
        <v>Texas Instruments</v>
      </c>
      <c r="C23006" s="5">
        <v>610</v>
      </c>
      <c r="D23006" s="6">
        <v>6.71</v>
      </c>
    </row>
    <row r="23007" spans="1:4" x14ac:dyDescent="0.25">
      <c r="A23007" t="str">
        <f>HYPERLINK("https://www.773grp.com/globalSearch/TM27PC256-2NL/page-1", "TM27PC256-2NL")</f>
        <v>TM27PC256-2NL</v>
      </c>
      <c r="B23007" s="3" t="str">
        <f>HYPERLINK("https://www.773grp.com/manufacturer/texas-instruments?pageNo=445", "Texas Instruments")</f>
        <v>Texas Instruments</v>
      </c>
      <c r="C23007" s="5">
        <v>138</v>
      </c>
      <c r="D23007" s="6">
        <v>6.71</v>
      </c>
    </row>
    <row r="23008" spans="1:4" x14ac:dyDescent="0.25">
      <c r="A23008" t="str">
        <f>HYPERLINK("https://www.773grp.com/globalSearch/AMC1100DUB/page-1", "AMC1100DUB")</f>
        <v>AMC1100DUB</v>
      </c>
      <c r="B23008" s="3" t="str">
        <f>HYPERLINK("https://www.773grp.com/manufacturer/texas-instruments?pageNo=447", "Texas Instruments")</f>
        <v>Texas Instruments</v>
      </c>
      <c r="C23008" s="5">
        <v>350</v>
      </c>
      <c r="D23008" s="6">
        <v>6.75</v>
      </c>
    </row>
    <row r="23009" spans="1:4" x14ac:dyDescent="0.25">
      <c r="A23009" t="str">
        <f>HYPERLINK("https://www.773grp.com/globalSearch/CDC303NS/page-1", "CDC303NS")</f>
        <v>CDC303NS</v>
      </c>
      <c r="B23009" s="3" t="str">
        <f>HYPERLINK("https://www.773grp.com/manufacturer/texas-instruments?pageNo=450", "Texas Instruments")</f>
        <v>Texas Instruments</v>
      </c>
      <c r="C23009" s="5">
        <v>8850</v>
      </c>
      <c r="D23009" s="6">
        <v>6.75</v>
      </c>
    </row>
    <row r="23010" spans="1:4" x14ac:dyDescent="0.25">
      <c r="A23010" t="str">
        <f>HYPERLINK("https://www.773grp.com/globalSearch/CDC303NSR/page-1", "CDC303NSR")</f>
        <v>CDC303NSR</v>
      </c>
      <c r="B23010" s="3" t="str">
        <f>HYPERLINK("https://www.773grp.com/manufacturer/texas-instruments?pageNo=451", "Texas Instruments")</f>
        <v>Texas Instruments</v>
      </c>
      <c r="C23010" s="5">
        <v>6000</v>
      </c>
      <c r="D23010" s="6">
        <v>6.75</v>
      </c>
    </row>
    <row r="23011" spans="1:4" x14ac:dyDescent="0.25">
      <c r="A23011" t="str">
        <f>HYPERLINK("https://www.773grp.com/globalSearch/ISOPA2132PA/page-1", "ISOPA2132PA")</f>
        <v>ISOPA2132PA</v>
      </c>
      <c r="B23011" s="3" t="str">
        <f>HYPERLINK("https://www.773grp.com/manufacturer/texas-instruments?pageNo=457", "Texas Instruments")</f>
        <v>Texas Instruments</v>
      </c>
      <c r="C23011" s="5">
        <v>8</v>
      </c>
      <c r="D23011" s="6">
        <v>6.75</v>
      </c>
    </row>
    <row r="23012" spans="1:4" x14ac:dyDescent="0.25">
      <c r="A23012" t="str">
        <f>HYPERLINK("https://www.773grp.com/globalSearch/LM22679TJ-ADJ-NOPB/page-1", "LM22679TJ-ADJ-NOPB")</f>
        <v>LM22679TJ-ADJ-NOPB</v>
      </c>
      <c r="B23012" s="3" t="str">
        <f>HYPERLINK("https://www.773grp.com/manufacturer/texas-instruments?pageNo=458", "Texas Instruments")</f>
        <v>Texas Instruments</v>
      </c>
      <c r="C23012" s="5">
        <v>1000</v>
      </c>
      <c r="D23012" s="6">
        <v>6.75</v>
      </c>
    </row>
    <row r="23013" spans="1:4" x14ac:dyDescent="0.25">
      <c r="A23013" t="str">
        <f>HYPERLINK("https://www.773grp.com/globalSearch/LM3464MH-NOPB/page-1", "LM3464MH-NOPB")</f>
        <v>LM3464MH-NOPB</v>
      </c>
      <c r="B23013" s="3" t="str">
        <f>HYPERLINK("https://www.773grp.com/manufacturer/texas-instruments?pageNo=460", "Texas Instruments")</f>
        <v>Texas Instruments</v>
      </c>
      <c r="C23013" s="5">
        <v>1152</v>
      </c>
      <c r="D23013" s="6">
        <v>6.75</v>
      </c>
    </row>
    <row r="23014" spans="1:4" x14ac:dyDescent="0.25">
      <c r="A23014" t="str">
        <f>HYPERLINK("https://www.773grp.com/globalSearch/PCM1716E-3/page-1", "PCM1716E-3")</f>
        <v>PCM1716E-3</v>
      </c>
      <c r="B23014" s="3" t="str">
        <f>HYPERLINK("https://www.773grp.com/manufacturer/texas-instruments?pageNo=472", "Texas Instruments")</f>
        <v>Texas Instruments</v>
      </c>
      <c r="C23014" s="5">
        <v>1316</v>
      </c>
      <c r="D23014" s="6">
        <v>6.75</v>
      </c>
    </row>
    <row r="23015" spans="1:4" x14ac:dyDescent="0.25">
      <c r="A23015" t="str">
        <f>HYPERLINK("https://www.773grp.com/globalSearch/PCM1718EG/page-1", "PCM1718EG")</f>
        <v>PCM1718EG</v>
      </c>
      <c r="B23015" s="3" t="str">
        <f>HYPERLINK("https://www.773grp.com/manufacturer/texas-instruments?pageNo=473", "Texas Instruments")</f>
        <v>Texas Instruments</v>
      </c>
      <c r="C23015" s="5">
        <v>65</v>
      </c>
      <c r="D23015" s="6">
        <v>6.75</v>
      </c>
    </row>
    <row r="23016" spans="1:4" x14ac:dyDescent="0.25">
      <c r="A23016" t="str">
        <f>HYPERLINK("https://www.773grp.com/globalSearch/SN65HVD1782D/page-1", "SN65HVD1782D")</f>
        <v>SN65HVD1782D</v>
      </c>
      <c r="B23016" s="3" t="str">
        <f>HYPERLINK("https://www.773grp.com/manufacturer/texas-instruments?pageNo=475", "Texas Instruments")</f>
        <v>Texas Instruments</v>
      </c>
      <c r="C23016" s="5">
        <v>95</v>
      </c>
      <c r="D23016" s="6">
        <v>6.75</v>
      </c>
    </row>
    <row r="23017" spans="1:4" x14ac:dyDescent="0.25">
      <c r="A23017" t="str">
        <f>HYPERLINK("https://www.773grp.com/globalSearch/SN65HVD1787D/page-1", "SN65HVD1787D")</f>
        <v>SN65HVD1787D</v>
      </c>
      <c r="B23017" s="3" t="str">
        <f>HYPERLINK("https://www.773grp.com/manufacturer/texas-instruments?pageNo=476", "Texas Instruments")</f>
        <v>Texas Instruments</v>
      </c>
      <c r="C23017" s="5">
        <v>75</v>
      </c>
      <c r="D23017" s="6">
        <v>6.75</v>
      </c>
    </row>
    <row r="23018" spans="1:4" x14ac:dyDescent="0.25">
      <c r="A23018" t="str">
        <f>HYPERLINK("https://www.773grp.com/globalSearch/SN74ALS874BNS/page-1", "SN74ALS874BNS")</f>
        <v>SN74ALS874BNS</v>
      </c>
      <c r="B23018" s="3" t="str">
        <f>HYPERLINK("https://www.773grp.com/manufacturer/texas-instruments?pageNo=492", "Texas Instruments")</f>
        <v>Texas Instruments</v>
      </c>
      <c r="C23018" s="5">
        <v>3678</v>
      </c>
      <c r="D23018" s="6">
        <v>6.75</v>
      </c>
    </row>
    <row r="23019" spans="1:4" x14ac:dyDescent="0.25">
      <c r="A23019" t="str">
        <f>HYPERLINK("https://www.773grp.com/globalSearch/SN74F6218DW/page-1", "SN74F6218DW")</f>
        <v>SN74F6218DW</v>
      </c>
      <c r="B23019" s="3" t="str">
        <f>HYPERLINK("https://www.773grp.com/manufacturer/texas-instruments?pageNo=494", "Texas Instruments")</f>
        <v>Texas Instruments</v>
      </c>
      <c r="C23019" s="5">
        <v>5</v>
      </c>
      <c r="D23019" s="6">
        <v>6.75</v>
      </c>
    </row>
    <row r="23020" spans="1:4" x14ac:dyDescent="0.25">
      <c r="A23020" t="str">
        <f>HYPERLINK("https://www.773grp.com/globalSearch/TCA4311D/page-1", "TCA4311D")</f>
        <v>TCA4311D</v>
      </c>
      <c r="B23020" s="3" t="str">
        <f>HYPERLINK("https://www.773grp.com/manufacturer/texas-instruments?pageNo=501", "Texas Instruments")</f>
        <v>Texas Instruments</v>
      </c>
      <c r="C23020" s="5">
        <v>225</v>
      </c>
      <c r="D23020" s="6">
        <v>6.75</v>
      </c>
    </row>
    <row r="23021" spans="1:4" x14ac:dyDescent="0.25">
      <c r="A23021" t="str">
        <f>HYPERLINK("https://www.773grp.com/globalSearch/TL852CDR/page-1", "TL852CDR")</f>
        <v>TL852CDR</v>
      </c>
      <c r="B23021" s="3" t="str">
        <f>HYPERLINK("https://www.773grp.com/manufacturer/texas-instruments?pageNo=506", "Texas Instruments")</f>
        <v>Texas Instruments</v>
      </c>
      <c r="C23021" s="5">
        <v>2300</v>
      </c>
      <c r="D23021" s="6">
        <v>6.75</v>
      </c>
    </row>
    <row r="23022" spans="1:4" x14ac:dyDescent="0.25">
      <c r="A23022" t="str">
        <f>HYPERLINK("https://www.773grp.com/globalSearch/TLC5615ID/page-1", "TLC5615ID")</f>
        <v>TLC5615ID</v>
      </c>
      <c r="B23022" s="3" t="str">
        <f>HYPERLINK("https://www.773grp.com/manufacturer/texas-instruments?pageNo=514", "Texas Instruments")</f>
        <v>Texas Instruments</v>
      </c>
      <c r="C23022" s="5">
        <v>125</v>
      </c>
      <c r="D23022" s="6">
        <v>6.75</v>
      </c>
    </row>
    <row r="23023" spans="1:4" x14ac:dyDescent="0.25">
      <c r="A23023" t="str">
        <f>HYPERLINK("https://www.773grp.com/globalSearch/TMS320F28021DAT/page-1", "TMS320F28021DAT")</f>
        <v>TMS320F28021DAT</v>
      </c>
      <c r="B23023" s="3" t="str">
        <f>HYPERLINK("https://www.773grp.com/manufacturer/texas-instruments?pageNo=522", "Texas Instruments")</f>
        <v>Texas Instruments</v>
      </c>
      <c r="C23023" s="5">
        <v>800</v>
      </c>
      <c r="D23023" s="6">
        <v>6.75</v>
      </c>
    </row>
    <row r="23024" spans="1:4" x14ac:dyDescent="0.25">
      <c r="A23024" t="str">
        <f>HYPERLINK("https://www.773grp.com/globalSearch/TMS320F280270DAS/page-1", "TMS320F280270DAS")</f>
        <v>TMS320F280270DAS</v>
      </c>
      <c r="B23024" s="3" t="str">
        <f>HYPERLINK("https://www.773grp.com/manufacturer/texas-instruments?pageNo=523", "Texas Instruments")</f>
        <v>Texas Instruments</v>
      </c>
      <c r="C23024" s="5">
        <v>280</v>
      </c>
      <c r="D23024" s="6">
        <v>6.75</v>
      </c>
    </row>
    <row r="23025" spans="1:4" x14ac:dyDescent="0.25">
      <c r="A23025" t="str">
        <f>HYPERLINK("https://www.773grp.com/globalSearch/TPS53314RGFR/page-1", "TPS53314RGFR")</f>
        <v>TPS53314RGFR</v>
      </c>
      <c r="B23025" s="3" t="str">
        <f>HYPERLINK("https://www.773grp.com/manufacturer/texas-instruments?pageNo=531", "Texas Instruments")</f>
        <v>Texas Instruments</v>
      </c>
      <c r="C23025" s="5">
        <v>3000</v>
      </c>
      <c r="D23025" s="6">
        <v>6.75</v>
      </c>
    </row>
    <row r="23026" spans="1:4" x14ac:dyDescent="0.25">
      <c r="A23026" t="str">
        <f>HYPERLINK("https://www.773grp.com/globalSearch/TPS54386PWPR/page-1", "TPS54386PWPR")</f>
        <v>TPS54386PWPR</v>
      </c>
      <c r="B23026" s="3" t="str">
        <f>HYPERLINK("https://www.773grp.com/manufacturer/texas-instruments?pageNo=533", "Texas Instruments")</f>
        <v>Texas Instruments</v>
      </c>
      <c r="C23026" s="5">
        <v>2000</v>
      </c>
      <c r="D23026" s="6">
        <v>6.75</v>
      </c>
    </row>
    <row r="23027" spans="1:4" x14ac:dyDescent="0.25">
      <c r="A23027" t="str">
        <f>HYPERLINK("https://www.773grp.com/globalSearch/TRF7961RHBT/page-1", "TRF7961RHBT")</f>
        <v>TRF7961RHBT</v>
      </c>
      <c r="B23027" s="3" t="str">
        <f>HYPERLINK("https://www.773grp.com/manufacturer/texas-instruments?pageNo=540", "Texas Instruments")</f>
        <v>Texas Instruments</v>
      </c>
      <c r="C23027" s="5">
        <v>212</v>
      </c>
      <c r="D23027" s="6">
        <v>6.75</v>
      </c>
    </row>
    <row r="23028" spans="1:4" x14ac:dyDescent="0.25">
      <c r="A23028" t="str">
        <f>HYPERLINK("https://www.773grp.com/globalSearch/UC2864DW-81167/page-1", "UC2864DW-81167")</f>
        <v>UC2864DW-81167</v>
      </c>
      <c r="B23028" s="3" t="str">
        <f>HYPERLINK("https://www.773grp.com/manufacturer/texas-instruments?pageNo=541", "Texas Instruments")</f>
        <v>Texas Instruments</v>
      </c>
      <c r="C23028" s="5">
        <v>2120</v>
      </c>
      <c r="D23028" s="6">
        <v>6.75</v>
      </c>
    </row>
    <row r="23029" spans="1:4" x14ac:dyDescent="0.25">
      <c r="A23029" t="str">
        <f>HYPERLINK("https://www.773grp.com/globalSearch/UCC3580DTR-4/page-1", "UCC3580DTR-4")</f>
        <v>UCC3580DTR-4</v>
      </c>
      <c r="B23029" s="3" t="str">
        <f>HYPERLINK("https://www.773grp.com/manufacturer/texas-instruments?pageNo=558", "Texas Instruments")</f>
        <v>Texas Instruments</v>
      </c>
      <c r="C23029" s="5">
        <v>2500</v>
      </c>
      <c r="D23029" s="6">
        <v>6.75</v>
      </c>
    </row>
    <row r="23030" spans="1:4" x14ac:dyDescent="0.25">
      <c r="A23030" t="str">
        <f>HYPERLINK("https://www.773grp.com/globalSearch/TPS9110IPWR/page-1", "TPS9110IPWR")</f>
        <v>TPS9110IPWR</v>
      </c>
      <c r="B23030" s="3" t="str">
        <f>HYPERLINK("https://www.773grp.com/manufacturer/texas-instruments?pageNo=569", "Texas Instruments")</f>
        <v>Texas Instruments</v>
      </c>
      <c r="C23030" s="5">
        <v>1638</v>
      </c>
      <c r="D23030" s="6">
        <v>6.79</v>
      </c>
    </row>
    <row r="23031" spans="1:4" x14ac:dyDescent="0.25">
      <c r="A23031" t="str">
        <f>HYPERLINK("https://www.773grp.com/globalSearch/SN65LVDS104PW/page-1", "SN65LVDS104PW")</f>
        <v>SN65LVDS104PW</v>
      </c>
      <c r="B23031" s="3" t="str">
        <f>HYPERLINK("https://www.773grp.com/manufacturer/texas-instruments?pageNo=574", "Texas Instruments")</f>
        <v>Texas Instruments</v>
      </c>
      <c r="C23031" s="5">
        <v>90</v>
      </c>
      <c r="D23031" s="6">
        <v>6.8</v>
      </c>
    </row>
    <row r="23032" spans="1:4" x14ac:dyDescent="0.25">
      <c r="A23032" t="str">
        <f>HYPERLINK("https://www.773grp.com/globalSearch/TPS40170RGYT/page-1", "TPS40170RGYT")</f>
        <v>TPS40170RGYT</v>
      </c>
      <c r="B23032" s="3" t="str">
        <f>HYPERLINK("https://www.773grp.com/manufacturer/texas-instruments?pageNo=583", "Texas Instruments")</f>
        <v>Texas Instruments</v>
      </c>
      <c r="C23032" s="5">
        <v>9250</v>
      </c>
      <c r="D23032" s="6">
        <v>6.8</v>
      </c>
    </row>
    <row r="23033" spans="1:4" x14ac:dyDescent="0.25">
      <c r="A23033" t="str">
        <f>HYPERLINK("https://www.773grp.com/globalSearch/TPS65251RHAT/page-1", "TPS65251RHAT")</f>
        <v>TPS65251RHAT</v>
      </c>
      <c r="B23033" s="3" t="str">
        <f>HYPERLINK("https://www.773grp.com/manufacturer/texas-instruments?pageNo=584", "Texas Instruments")</f>
        <v>Texas Instruments</v>
      </c>
      <c r="C23033" s="5">
        <v>262</v>
      </c>
      <c r="D23033" s="6">
        <v>6.8</v>
      </c>
    </row>
    <row r="23034" spans="1:4" x14ac:dyDescent="0.25">
      <c r="A23034" t="str">
        <f>HYPERLINK("https://www.773grp.com/globalSearch/OPA1632DG4/page-1", "OPA1632DG4")</f>
        <v>OPA1632DG4</v>
      </c>
      <c r="B23034" s="3" t="str">
        <f>HYPERLINK("https://www.773grp.com/manufacturer/texas-instruments?pageNo=593", "Texas Instruments")</f>
        <v>Texas Instruments</v>
      </c>
      <c r="C23034" s="5">
        <v>15</v>
      </c>
      <c r="D23034" s="6">
        <v>6.84</v>
      </c>
    </row>
    <row r="23035" spans="1:4" x14ac:dyDescent="0.25">
      <c r="A23035" t="str">
        <f>HYPERLINK("https://www.773grp.com/globalSearch/SN0801033PAGR/page-1", "SN0801033PAGR")</f>
        <v>SN0801033PAGR</v>
      </c>
      <c r="B23035" s="3" t="str">
        <f>HYPERLINK("https://www.773grp.com/manufacturer/texas-instruments?pageNo=595", "Texas Instruments")</f>
        <v>Texas Instruments</v>
      </c>
      <c r="C23035" s="5">
        <v>16500</v>
      </c>
      <c r="D23035" s="6">
        <v>6.84</v>
      </c>
    </row>
    <row r="23036" spans="1:4" x14ac:dyDescent="0.25">
      <c r="A23036" t="str">
        <f>HYPERLINK("https://www.773grp.com/globalSearch/THS4032IOGN/page-1", "THS4032IOGN")</f>
        <v>THS4032IOGN</v>
      </c>
      <c r="B23036" s="3" t="str">
        <f>HYPERLINK("https://www.773grp.com/manufacturer/texas-instruments?pageNo=615", "Texas Instruments")</f>
        <v>Texas Instruments</v>
      </c>
      <c r="C23036" s="5">
        <v>2145</v>
      </c>
      <c r="D23036" s="6">
        <v>6.84</v>
      </c>
    </row>
    <row r="23037" spans="1:4" x14ac:dyDescent="0.25">
      <c r="A23037" t="str">
        <f>HYPERLINK("https://www.773grp.com/globalSearch/SN74AS760NS/page-1", "SN74AS760NS")</f>
        <v>SN74AS760NS</v>
      </c>
      <c r="B23037" s="3" t="str">
        <f>HYPERLINK("https://www.773grp.com/manufacturer/texas-instruments?pageNo=618", "Texas Instruments")</f>
        <v>Texas Instruments</v>
      </c>
      <c r="C23037" s="5">
        <v>2237</v>
      </c>
      <c r="D23037" s="6">
        <v>6.86</v>
      </c>
    </row>
    <row r="23038" spans="1:4" x14ac:dyDescent="0.25">
      <c r="A23038" t="str">
        <f>HYPERLINK("https://www.773grp.com/globalSearch/TPS767D318QPWPRQ1/page-1", "TPS767D318QPWPRQ1")</f>
        <v>TPS767D318QPWPRQ1</v>
      </c>
      <c r="B23038" s="3" t="str">
        <f>HYPERLINK("https://www.773grp.com/manufacturer/texas-instruments?pageNo=626", "Texas Instruments")</f>
        <v>Texas Instruments</v>
      </c>
      <c r="C23038" s="5">
        <v>1720</v>
      </c>
      <c r="D23038" s="6">
        <v>6.86</v>
      </c>
    </row>
    <row r="23039" spans="1:4" x14ac:dyDescent="0.25">
      <c r="A23039" t="str">
        <f>HYPERLINK("https://www.773grp.com/globalSearch/ADS7834E/page-1", "ADS7834E")</f>
        <v>ADS7834E</v>
      </c>
      <c r="B23039" s="3" t="str">
        <f>HYPERLINK("https://www.773grp.com/manufacturer/texas-instruments?pageNo=635", "Texas Instruments")</f>
        <v>Texas Instruments</v>
      </c>
      <c r="C23039" s="5">
        <v>1689</v>
      </c>
      <c r="D23039" s="6">
        <v>6.89</v>
      </c>
    </row>
    <row r="23040" spans="1:4" x14ac:dyDescent="0.25">
      <c r="A23040" t="str">
        <f>HYPERLINK("https://www.773grp.com/globalSearch/ADS7955SRGER/page-1", "ADS7955SRGER")</f>
        <v>ADS7955SRGER</v>
      </c>
      <c r="B23040" s="3" t="str">
        <f>HYPERLINK("https://www.773grp.com/manufacturer/texas-instruments?pageNo=642", "Texas Instruments")</f>
        <v>Texas Instruments</v>
      </c>
      <c r="C23040" s="5">
        <v>2900</v>
      </c>
      <c r="D23040" s="6">
        <v>6.89</v>
      </c>
    </row>
    <row r="23041" spans="1:4" x14ac:dyDescent="0.25">
      <c r="A23041" t="str">
        <f>HYPERLINK("https://www.773grp.com/globalSearch/BQ25504RGTT/page-1", "BQ25504RGTT")</f>
        <v>BQ25504RGTT</v>
      </c>
      <c r="B23041" s="3" t="str">
        <f>HYPERLINK("https://www.773grp.com/manufacturer/texas-instruments?pageNo=644", "Texas Instruments")</f>
        <v>Texas Instruments</v>
      </c>
      <c r="C23041" s="5">
        <v>1306</v>
      </c>
      <c r="D23041" s="6">
        <v>6.89</v>
      </c>
    </row>
    <row r="23042" spans="1:4" x14ac:dyDescent="0.25">
      <c r="A23042" t="str">
        <f>HYPERLINK("https://www.773grp.com/globalSearch/CDCM9102RHBT/page-1", "CDCM9102RHBT")</f>
        <v>CDCM9102RHBT</v>
      </c>
      <c r="B23042" s="3" t="str">
        <f>HYPERLINK("https://www.773grp.com/manufacturer/texas-instruments?pageNo=646", "Texas Instruments")</f>
        <v>Texas Instruments</v>
      </c>
      <c r="C23042" s="5">
        <v>4409</v>
      </c>
      <c r="D23042" s="6">
        <v>6.89</v>
      </c>
    </row>
    <row r="23043" spans="1:4" x14ac:dyDescent="0.25">
      <c r="A23043" t="str">
        <f>HYPERLINK("https://www.773grp.com/globalSearch/INA122UA-2K5/page-1", "INA122UA-2K5")</f>
        <v>INA122UA-2K5</v>
      </c>
      <c r="B23043" s="3" t="str">
        <f>HYPERLINK("https://www.773grp.com/manufacturer/texas-instruments?pageNo=650", "Texas Instruments")</f>
        <v>Texas Instruments</v>
      </c>
      <c r="C23043" s="5">
        <v>17400</v>
      </c>
      <c r="D23043" s="6">
        <v>6.89</v>
      </c>
    </row>
    <row r="23044" spans="1:4" x14ac:dyDescent="0.25">
      <c r="A23044" t="str">
        <f>HYPERLINK("https://www.773grp.com/globalSearch/INA148QDRQ1/page-1", "INA148QDRQ1")</f>
        <v>INA148QDRQ1</v>
      </c>
      <c r="B23044" s="3" t="str">
        <f>HYPERLINK("https://www.773grp.com/manufacturer/texas-instruments?pageNo=651", "Texas Instruments")</f>
        <v>Texas Instruments</v>
      </c>
      <c r="C23044" s="5">
        <v>4885</v>
      </c>
      <c r="D23044" s="6">
        <v>6.89</v>
      </c>
    </row>
    <row r="23045" spans="1:4" x14ac:dyDescent="0.25">
      <c r="A23045" t="str">
        <f>HYPERLINK("https://www.773grp.com/globalSearch/LM3S5Y36-IQR80-C3/page-1", "LM3S5Y36-IQR80-C3")</f>
        <v>LM3S5Y36-IQR80-C3</v>
      </c>
      <c r="B23045" s="3" t="str">
        <f>HYPERLINK("https://www.773grp.com/manufacturer/texas-instruments?pageNo=652", "Texas Instruments")</f>
        <v>Texas Instruments</v>
      </c>
      <c r="C23045" s="5">
        <v>1322</v>
      </c>
      <c r="D23045" s="6">
        <v>6.89</v>
      </c>
    </row>
    <row r="23046" spans="1:4" x14ac:dyDescent="0.25">
      <c r="A23046" t="str">
        <f>HYPERLINK("https://www.773grp.com/globalSearch/MAX3243MDBREP/page-1", "MAX3243MDBREP")</f>
        <v>MAX3243MDBREP</v>
      </c>
      <c r="B23046" s="3" t="str">
        <f>HYPERLINK("https://www.773grp.com/manufacturer/texas-instruments?pageNo=654", "Texas Instruments")</f>
        <v>Texas Instruments</v>
      </c>
      <c r="C23046" s="5">
        <v>1400</v>
      </c>
      <c r="D23046" s="6">
        <v>6.89</v>
      </c>
    </row>
    <row r="23047" spans="1:4" x14ac:dyDescent="0.25">
      <c r="A23047" t="str">
        <f>HYPERLINK("https://www.773grp.com/globalSearch/MSP430FE4272IPMR/page-1", "MSP430FE4272IPMR")</f>
        <v>MSP430FE4272IPMR</v>
      </c>
      <c r="B23047" s="3" t="str">
        <f>HYPERLINK("https://www.773grp.com/manufacturer/texas-instruments?pageNo=656", "Texas Instruments")</f>
        <v>Texas Instruments</v>
      </c>
      <c r="C23047" s="5">
        <v>5000</v>
      </c>
      <c r="D23047" s="6">
        <v>6.89</v>
      </c>
    </row>
    <row r="23048" spans="1:4" x14ac:dyDescent="0.25">
      <c r="A23048" t="str">
        <f>HYPERLINK("https://www.773grp.com/globalSearch/MSP430FR5739IDA/page-1", "MSP430FR5739IDA")</f>
        <v>MSP430FR5739IDA</v>
      </c>
      <c r="B23048" s="3" t="str">
        <f>HYPERLINK("https://www.773grp.com/manufacturer/texas-instruments?pageNo=657", "Texas Instruments")</f>
        <v>Texas Instruments</v>
      </c>
      <c r="C23048" s="5">
        <v>240</v>
      </c>
      <c r="D23048" s="6">
        <v>6.89</v>
      </c>
    </row>
    <row r="23049" spans="1:4" x14ac:dyDescent="0.25">
      <c r="A23049" t="str">
        <f>HYPERLINK("https://www.773grp.com/globalSearch/MSP430FR5739IDAR/page-1", "MSP430FR5739IDAR")</f>
        <v>MSP430FR5739IDAR</v>
      </c>
      <c r="B23049" s="3" t="str">
        <f>HYPERLINK("https://www.773grp.com/manufacturer/texas-instruments?pageNo=658", "Texas Instruments")</f>
        <v>Texas Instruments</v>
      </c>
      <c r="C23049" s="5">
        <v>3080</v>
      </c>
      <c r="D23049" s="6">
        <v>6.89</v>
      </c>
    </row>
    <row r="23050" spans="1:4" x14ac:dyDescent="0.25">
      <c r="A23050" t="str">
        <f>HYPERLINK("https://www.773grp.com/globalSearch/TL3407AN/page-1", "TL3407AN")</f>
        <v>TL3407AN</v>
      </c>
      <c r="B23050" s="3" t="str">
        <f>HYPERLINK("https://www.773grp.com/manufacturer/texas-instruments?pageNo=673", "Texas Instruments")</f>
        <v>Texas Instruments</v>
      </c>
      <c r="C23050" s="5">
        <v>1000</v>
      </c>
      <c r="D23050" s="6">
        <v>6.89</v>
      </c>
    </row>
    <row r="23051" spans="1:4" x14ac:dyDescent="0.25">
      <c r="A23051" t="str">
        <f>HYPERLINK("https://www.773grp.com/globalSearch/TLS2231CDLR/page-1", "TLS2231CDLR")</f>
        <v>TLS2231CDLR</v>
      </c>
      <c r="B23051" s="3" t="str">
        <f>HYPERLINK("https://www.773grp.com/manufacturer/texas-instruments?pageNo=675", "Texas Instruments")</f>
        <v>Texas Instruments</v>
      </c>
      <c r="C23051" s="5">
        <v>930</v>
      </c>
      <c r="D23051" s="6">
        <v>6.89</v>
      </c>
    </row>
    <row r="23052" spans="1:4" x14ac:dyDescent="0.25">
      <c r="A23052" t="str">
        <f>HYPERLINK("https://www.773grp.com/globalSearch/TPA3106D1VFP/page-1", "TPA3106D1VFP")</f>
        <v>TPA3106D1VFP</v>
      </c>
      <c r="B23052" s="3" t="str">
        <f>HYPERLINK("https://www.773grp.com/manufacturer/texas-instruments?pageNo=680", "Texas Instruments")</f>
        <v>Texas Instruments</v>
      </c>
      <c r="C23052" s="5">
        <v>112</v>
      </c>
      <c r="D23052" s="6">
        <v>6.89</v>
      </c>
    </row>
    <row r="23053" spans="1:4" x14ac:dyDescent="0.25">
      <c r="A23053" t="str">
        <f>HYPERLINK("https://www.773grp.com/globalSearch/V62-03635-04XE/page-1", "V62-03635-04XE")</f>
        <v>V62-03635-04XE</v>
      </c>
      <c r="B23053" s="3" t="str">
        <f>HYPERLINK("https://www.773grp.com/manufacturer/texas-instruments?pageNo=694", "Texas Instruments")</f>
        <v>Texas Instruments</v>
      </c>
      <c r="C23053" s="5">
        <v>550</v>
      </c>
      <c r="D23053" s="6">
        <v>6.89</v>
      </c>
    </row>
    <row r="23054" spans="1:4" x14ac:dyDescent="0.25">
      <c r="A23054" t="str">
        <f>HYPERLINK("https://www.773grp.com/globalSearch/TLS2232DLR/page-1", "TLS2232DLR")</f>
        <v>TLS2232DLR</v>
      </c>
      <c r="B23054" s="3" t="str">
        <f>HYPERLINK("https://www.773grp.com/manufacturer/texas-instruments?pageNo=701", "Texas Instruments")</f>
        <v>Texas Instruments</v>
      </c>
      <c r="C23054" s="5">
        <v>7000</v>
      </c>
      <c r="D23054" s="6">
        <v>6.93</v>
      </c>
    </row>
    <row r="23055" spans="1:4" x14ac:dyDescent="0.25">
      <c r="A23055" t="str">
        <f>HYPERLINK("https://www.773grp.com/globalSearch/TPS55332QPWPRQ1/page-1", "TPS55332QPWPRQ1")</f>
        <v>TPS55332QPWPRQ1</v>
      </c>
      <c r="B23055" s="3" t="str">
        <f>HYPERLINK("https://www.773grp.com/manufacturer/texas-instruments?pageNo=707", "Texas Instruments")</f>
        <v>Texas Instruments</v>
      </c>
      <c r="C23055" s="5">
        <v>1700</v>
      </c>
      <c r="D23055" s="6">
        <v>6.93</v>
      </c>
    </row>
    <row r="23056" spans="1:4" x14ac:dyDescent="0.25">
      <c r="A23056" t="str">
        <f>HYPERLINK("https://www.773grp.com/globalSearch/TPS54418RTET/page-1", "TPS54418RTET")</f>
        <v>TPS54418RTET</v>
      </c>
      <c r="B23056" s="3" t="str">
        <f>HYPERLINK("https://www.773grp.com/manufacturer/texas-instruments?pageNo=722", "Texas Instruments")</f>
        <v>Texas Instruments</v>
      </c>
      <c r="C23056" s="5">
        <v>250</v>
      </c>
      <c r="D23056" s="6">
        <v>6.95</v>
      </c>
    </row>
    <row r="23057" spans="1:4" x14ac:dyDescent="0.25">
      <c r="A23057" t="str">
        <f>HYPERLINK("https://www.773grp.com/globalSearch/UC2856NG4/page-1", "UC2856NG4")</f>
        <v>UC2856NG4</v>
      </c>
      <c r="B23057" s="3" t="str">
        <f>HYPERLINK("https://www.773grp.com/manufacturer/texas-instruments?pageNo=727", "Texas Instruments")</f>
        <v>Texas Instruments</v>
      </c>
      <c r="C23057" s="5">
        <v>750</v>
      </c>
      <c r="D23057" s="6">
        <v>6.95</v>
      </c>
    </row>
    <row r="23058" spans="1:4" x14ac:dyDescent="0.25">
      <c r="A23058" t="str">
        <f>HYPERLINK("https://www.773grp.com/globalSearch/DRV592VFP/page-1", "DRV592VFP")</f>
        <v>DRV592VFP</v>
      </c>
      <c r="B23058" s="3" t="str">
        <f>HYPERLINK("https://www.773grp.com/manufacturer/texas-instruments?pageNo=731", "Texas Instruments")</f>
        <v>Texas Instruments</v>
      </c>
      <c r="C23058" s="5">
        <v>1176</v>
      </c>
      <c r="D23058" s="6">
        <v>6.98</v>
      </c>
    </row>
    <row r="23059" spans="1:4" x14ac:dyDescent="0.25">
      <c r="A23059" t="str">
        <f>HYPERLINK("https://www.773grp.com/globalSearch/32R2212RX-4CV/page-1", "32R2212RX-4CV")</f>
        <v>32R2212RX-4CV</v>
      </c>
      <c r="B23059" s="3" t="str">
        <f>HYPERLINK("https://www.773grp.com/manufacturer/texas-instruments?pageNo=743", "Texas Instruments")</f>
        <v>Texas Instruments</v>
      </c>
      <c r="C23059" s="5">
        <v>103353</v>
      </c>
      <c r="D23059" s="6">
        <v>7.04</v>
      </c>
    </row>
    <row r="23060" spans="1:4" x14ac:dyDescent="0.25">
      <c r="A23060" t="str">
        <f>HYPERLINK("https://www.773grp.com/globalSearch/32R2416RX-4CVT/page-1", "32R2416RX-4CVT")</f>
        <v>32R2416RX-4CVT</v>
      </c>
      <c r="B23060" s="3" t="str">
        <f>HYPERLINK("https://www.773grp.com/manufacturer/texas-instruments?pageNo=744", "Texas Instruments")</f>
        <v>Texas Instruments</v>
      </c>
      <c r="C23060" s="5">
        <v>7309</v>
      </c>
      <c r="D23060" s="6">
        <v>7.04</v>
      </c>
    </row>
    <row r="23061" spans="1:4" x14ac:dyDescent="0.25">
      <c r="A23061" t="str">
        <f>HYPERLINK("https://www.773grp.com/globalSearch/ADC0808CCN-NOPB/page-1", "ADC0808CCN-NOPB")</f>
        <v>ADC0808CCN-NOPB</v>
      </c>
      <c r="B23061" s="3" t="str">
        <f>HYPERLINK("https://www.773grp.com/manufacturer/texas-instruments?pageNo=750", "Texas Instruments")</f>
        <v>Texas Instruments</v>
      </c>
      <c r="C23061" s="5">
        <v>235</v>
      </c>
      <c r="D23061" s="6">
        <v>7.04</v>
      </c>
    </row>
    <row r="23062" spans="1:4" x14ac:dyDescent="0.25">
      <c r="A23062" t="str">
        <f>HYPERLINK("https://www.773grp.com/globalSearch/ADS7882IPFBR/page-1", "ADS7882IPFBR")</f>
        <v>ADS7882IPFBR</v>
      </c>
      <c r="B23062" s="3" t="str">
        <f>HYPERLINK("https://www.773grp.com/manufacturer/texas-instruments?pageNo=754", "Texas Instruments")</f>
        <v>Texas Instruments</v>
      </c>
      <c r="C23062" s="5">
        <v>1000</v>
      </c>
      <c r="D23062" s="6">
        <v>7.04</v>
      </c>
    </row>
    <row r="23063" spans="1:4" x14ac:dyDescent="0.25">
      <c r="A23063" t="str">
        <f>HYPERLINK("https://www.773grp.com/globalSearch/AFE031AIRGZR/page-1", "AFE031AIRGZR")</f>
        <v>AFE031AIRGZR</v>
      </c>
      <c r="B23063" s="3" t="str">
        <f>HYPERLINK("https://www.773grp.com/manufacturer/texas-instruments?pageNo=757", "Texas Instruments")</f>
        <v>Texas Instruments</v>
      </c>
      <c r="C23063" s="5">
        <v>5000</v>
      </c>
      <c r="D23063" s="6">
        <v>7.04</v>
      </c>
    </row>
    <row r="23064" spans="1:4" x14ac:dyDescent="0.25">
      <c r="A23064" t="str">
        <f>HYPERLINK("https://www.773grp.com/globalSearch/BQ24753ARHDR/page-1", "BQ24753ARHDR")</f>
        <v>BQ24753ARHDR</v>
      </c>
      <c r="B23064" s="3" t="str">
        <f>HYPERLINK("https://www.773grp.com/manufacturer/texas-instruments?pageNo=762", "Texas Instruments")</f>
        <v>Texas Instruments</v>
      </c>
      <c r="C23064" s="5">
        <v>1879</v>
      </c>
      <c r="D23064" s="6">
        <v>7.04</v>
      </c>
    </row>
    <row r="23065" spans="1:4" x14ac:dyDescent="0.25">
      <c r="A23065" t="str">
        <f>HYPERLINK("https://www.773grp.com/globalSearch/BQ2954SNG4/page-1", "BQ2954SNG4")</f>
        <v>BQ2954SNG4</v>
      </c>
      <c r="B23065" s="3" t="str">
        <f>HYPERLINK("https://www.773grp.com/manufacturer/texas-instruments?pageNo=764", "Texas Instruments")</f>
        <v>Texas Instruments</v>
      </c>
      <c r="C23065" s="5">
        <v>9</v>
      </c>
      <c r="D23065" s="6">
        <v>7.04</v>
      </c>
    </row>
    <row r="23066" spans="1:4" x14ac:dyDescent="0.25">
      <c r="A23066" t="str">
        <f>HYPERLINK("https://www.773grp.com/globalSearch/BQ4802LYDWR/page-1", "BQ4802LYDWR")</f>
        <v>BQ4802LYDWR</v>
      </c>
      <c r="B23066" s="3" t="str">
        <f>HYPERLINK("https://www.773grp.com/manufacturer/texas-instruments?pageNo=765", "Texas Instruments")</f>
        <v>Texas Instruments</v>
      </c>
      <c r="C23066" s="5">
        <v>2000</v>
      </c>
      <c r="D23066" s="6">
        <v>7.04</v>
      </c>
    </row>
    <row r="23067" spans="1:4" x14ac:dyDescent="0.25">
      <c r="A23067" t="str">
        <f>HYPERLINK("https://www.773grp.com/globalSearch/DIR9001IPWRQ1/page-1", "DIR9001IPWRQ1")</f>
        <v>DIR9001IPWRQ1</v>
      </c>
      <c r="B23067" s="3" t="str">
        <f>HYPERLINK("https://www.773grp.com/manufacturer/texas-instruments?pageNo=770", "Texas Instruments")</f>
        <v>Texas Instruments</v>
      </c>
      <c r="C23067" s="5">
        <v>38000</v>
      </c>
      <c r="D23067" s="6">
        <v>7.04</v>
      </c>
    </row>
    <row r="23068" spans="1:4" x14ac:dyDescent="0.25">
      <c r="A23068" t="str">
        <f>HYPERLINK("https://www.773grp.com/globalSearch/DPA58P80/page-1", "DPA58P80")</f>
        <v>DPA58P80</v>
      </c>
      <c r="B23068" s="3" t="str">
        <f>HYPERLINK("https://www.773grp.com/manufacturer/texas-instruments?pageNo=771", "Texas Instruments")</f>
        <v>Texas Instruments</v>
      </c>
      <c r="C23068" s="5">
        <v>17</v>
      </c>
      <c r="D23068" s="6">
        <v>7.04</v>
      </c>
    </row>
    <row r="23069" spans="1:4" x14ac:dyDescent="0.25">
      <c r="A23069" t="str">
        <f>HYPERLINK("https://www.773grp.com/globalSearch/DRV104PWPG4/page-1", "DRV104PWPG4")</f>
        <v>DRV104PWPG4</v>
      </c>
      <c r="B23069" s="3" t="str">
        <f>HYPERLINK("https://www.773grp.com/manufacturer/texas-instruments?pageNo=773", "Texas Instruments")</f>
        <v>Texas Instruments</v>
      </c>
      <c r="C23069" s="5">
        <v>30</v>
      </c>
      <c r="D23069" s="6">
        <v>7.04</v>
      </c>
    </row>
    <row r="23070" spans="1:4" x14ac:dyDescent="0.25">
      <c r="A23070" t="str">
        <f>HYPERLINK("https://www.773grp.com/globalSearch/LM21305SQ-NOPB/page-1", "LM21305SQ-NOPB")</f>
        <v>LM21305SQ-NOPB</v>
      </c>
      <c r="B23070" s="3" t="str">
        <f>HYPERLINK("https://www.773grp.com/manufacturer/texas-instruments?pageNo=780", "Texas Instruments")</f>
        <v>Texas Instruments</v>
      </c>
      <c r="C23070" s="5">
        <v>81</v>
      </c>
      <c r="D23070" s="6">
        <v>7.04</v>
      </c>
    </row>
    <row r="23071" spans="1:4" x14ac:dyDescent="0.25">
      <c r="A23071" t="str">
        <f>HYPERLINK("https://www.773grp.com/globalSearch/LMH6624MF/page-1", "LMH6624MF")</f>
        <v>LMH6624MF</v>
      </c>
      <c r="B23071" s="3" t="str">
        <f>HYPERLINK("https://www.773grp.com/manufacturer/texas-instruments?pageNo=782", "Texas Instruments")</f>
        <v>Texas Instruments</v>
      </c>
      <c r="C23071" s="5">
        <v>24</v>
      </c>
      <c r="D23071" s="6">
        <v>7.04</v>
      </c>
    </row>
    <row r="23072" spans="1:4" x14ac:dyDescent="0.25">
      <c r="A23072" t="str">
        <f>HYPERLINK("https://www.773grp.com/globalSearch/LP3972SQ-A413-NOPB/page-1", "LP3972SQ-A413-NOPB")</f>
        <v>LP3972SQ-A413-NOPB</v>
      </c>
      <c r="B23072" s="3" t="str">
        <f>HYPERLINK("https://www.773grp.com/manufacturer/texas-instruments?pageNo=783", "Texas Instruments")</f>
        <v>Texas Instruments</v>
      </c>
      <c r="C23072" s="5">
        <v>1000</v>
      </c>
      <c r="D23072" s="6">
        <v>7.04</v>
      </c>
    </row>
    <row r="23073" spans="1:4" x14ac:dyDescent="0.25">
      <c r="A23073" t="str">
        <f>HYPERLINK("https://www.773grp.com/globalSearch/MPD12310WA/page-1", "MPD12310WA")</f>
        <v>MPD12310WA</v>
      </c>
      <c r="B23073" s="3" t="str">
        <f>HYPERLINK("https://www.773grp.com/manufacturer/texas-instruments?pageNo=784", "Texas Instruments")</f>
        <v>Texas Instruments</v>
      </c>
      <c r="C23073" s="5">
        <v>113</v>
      </c>
      <c r="D23073" s="6">
        <v>7.04</v>
      </c>
    </row>
    <row r="23074" spans="1:4" x14ac:dyDescent="0.25">
      <c r="A23074" t="str">
        <f>HYPERLINK("https://www.773grp.com/globalSearch/MSP430F2274IDA/page-1", "MSP430F2274IDA")</f>
        <v>MSP430F2274IDA</v>
      </c>
      <c r="B23074" s="3" t="str">
        <f>HYPERLINK("https://www.773grp.com/manufacturer/texas-instruments?pageNo=785", "Texas Instruments")</f>
        <v>Texas Instruments</v>
      </c>
      <c r="C23074" s="5">
        <v>4490</v>
      </c>
      <c r="D23074" s="6">
        <v>7.04</v>
      </c>
    </row>
    <row r="23075" spans="1:4" x14ac:dyDescent="0.25">
      <c r="A23075" t="str">
        <f>HYPERLINK("https://www.773grp.com/globalSearch/MSP430F427AIPM/page-1", "MSP430F427AIPM")</f>
        <v>MSP430F427AIPM</v>
      </c>
      <c r="B23075" s="3" t="str">
        <f>HYPERLINK("https://www.773grp.com/manufacturer/texas-instruments?pageNo=786", "Texas Instruments")</f>
        <v>Texas Instruments</v>
      </c>
      <c r="C23075" s="5">
        <v>160</v>
      </c>
      <c r="D23075" s="6">
        <v>7.04</v>
      </c>
    </row>
    <row r="23076" spans="1:4" x14ac:dyDescent="0.25">
      <c r="A23076" t="str">
        <f>HYPERLINK("https://www.773grp.com/globalSearch/MSP430F5419AIPZR/page-1", "MSP430F5419AIPZR")</f>
        <v>MSP430F5419AIPZR</v>
      </c>
      <c r="B23076" s="3" t="str">
        <f>HYPERLINK("https://www.773grp.com/manufacturer/texas-instruments?pageNo=787", "Texas Instruments")</f>
        <v>Texas Instruments</v>
      </c>
      <c r="C23076" s="5">
        <v>7000</v>
      </c>
      <c r="D23076" s="6">
        <v>7.04</v>
      </c>
    </row>
    <row r="23077" spans="1:4" x14ac:dyDescent="0.25">
      <c r="A23077" t="str">
        <f>HYPERLINK("https://www.773grp.com/globalSearch/MSP430FR5739IRHAT/page-1", "MSP430FR5739IRHAT")</f>
        <v>MSP430FR5739IRHAT</v>
      </c>
      <c r="B23077" s="3" t="str">
        <f>HYPERLINK("https://www.773grp.com/manufacturer/texas-instruments?pageNo=789", "Texas Instruments")</f>
        <v>Texas Instruments</v>
      </c>
      <c r="C23077" s="5">
        <v>9</v>
      </c>
      <c r="D23077" s="6">
        <v>7.04</v>
      </c>
    </row>
    <row r="23078" spans="1:4" x14ac:dyDescent="0.25">
      <c r="A23078" t="str">
        <f>HYPERLINK("https://www.773grp.com/globalSearch/N65LVDT32BD/page-1", "N65LVDT32BD")</f>
        <v>N65LVDT32BD</v>
      </c>
      <c r="B23078" s="3" t="str">
        <f>HYPERLINK("https://www.773grp.com/manufacturer/texas-instruments?pageNo=791", "Texas Instruments")</f>
        <v>Texas Instruments</v>
      </c>
      <c r="C23078" s="5">
        <v>1490</v>
      </c>
      <c r="D23078" s="6">
        <v>7.04</v>
      </c>
    </row>
    <row r="23079" spans="1:4" x14ac:dyDescent="0.25">
      <c r="A23079" t="str">
        <f>HYPERLINK("https://www.773grp.com/globalSearch/OPA2695IRGTT/page-1", "OPA2695IRGTT")</f>
        <v>OPA2695IRGTT</v>
      </c>
      <c r="B23079" s="3" t="str">
        <f>HYPERLINK("https://www.773grp.com/manufacturer/texas-instruments?pageNo=793", "Texas Instruments")</f>
        <v>Texas Instruments</v>
      </c>
      <c r="C23079" s="5">
        <v>250</v>
      </c>
      <c r="D23079" s="6">
        <v>7.04</v>
      </c>
    </row>
    <row r="23080" spans="1:4" x14ac:dyDescent="0.25">
      <c r="A23080" t="str">
        <f>HYPERLINK("https://www.773grp.com/globalSearch/SN104981APFD/page-1", "SN104981APFD")</f>
        <v>SN104981APFD</v>
      </c>
      <c r="B23080" s="3" t="str">
        <f>HYPERLINK("https://www.773grp.com/manufacturer/texas-instruments?pageNo=796", "Texas Instruments")</f>
        <v>Texas Instruments</v>
      </c>
      <c r="C23080" s="5">
        <v>7042</v>
      </c>
      <c r="D23080" s="6">
        <v>7.04</v>
      </c>
    </row>
    <row r="23081" spans="1:4" x14ac:dyDescent="0.25">
      <c r="A23081" t="str">
        <f>HYPERLINK("https://www.773grp.com/globalSearch/SN104981BPFD/page-1", "SN104981BPFD")</f>
        <v>SN104981BPFD</v>
      </c>
      <c r="B23081" s="3" t="str">
        <f>HYPERLINK("https://www.773grp.com/manufacturer/texas-instruments?pageNo=797", "Texas Instruments")</f>
        <v>Texas Instruments</v>
      </c>
      <c r="C23081" s="5">
        <v>2140</v>
      </c>
      <c r="D23081" s="6">
        <v>7.04</v>
      </c>
    </row>
    <row r="23082" spans="1:4" x14ac:dyDescent="0.25">
      <c r="A23082" t="str">
        <f>HYPERLINK("https://www.773grp.com/globalSearch/SN65HVD10QDR/page-1", "SN65HVD10QDR")</f>
        <v>SN65HVD10QDR</v>
      </c>
      <c r="B23082" s="3" t="str">
        <f>HYPERLINK("https://www.773grp.com/manufacturer/texas-instruments?pageNo=800", "Texas Instruments")</f>
        <v>Texas Instruments</v>
      </c>
      <c r="C23082" s="5">
        <v>17500</v>
      </c>
      <c r="D23082" s="6">
        <v>7.04</v>
      </c>
    </row>
    <row r="23083" spans="1:4" x14ac:dyDescent="0.25">
      <c r="A23083" t="str">
        <f>HYPERLINK("https://www.773grp.com/globalSearch/SN74ABT5403DWR/page-1", "SN74ABT5403DWR")</f>
        <v>SN74ABT5403DWR</v>
      </c>
      <c r="B23083" s="3" t="str">
        <f>HYPERLINK("https://www.773grp.com/manufacturer/texas-instruments?pageNo=805", "Texas Instruments")</f>
        <v>Texas Instruments</v>
      </c>
      <c r="C23083" s="5">
        <v>2000</v>
      </c>
      <c r="D23083" s="6">
        <v>7.04</v>
      </c>
    </row>
    <row r="23084" spans="1:4" x14ac:dyDescent="0.25">
      <c r="A23084" t="str">
        <f>HYPERLINK("https://www.773grp.com/globalSearch/SN74ALS574BFN/page-1", "SN74ALS574BFN")</f>
        <v>SN74ALS574BFN</v>
      </c>
      <c r="B23084" s="3" t="str">
        <f>HYPERLINK("https://www.773grp.com/manufacturer/texas-instruments?pageNo=807", "Texas Instruments")</f>
        <v>Texas Instruments</v>
      </c>
      <c r="C23084" s="5">
        <v>2335</v>
      </c>
      <c r="D23084" s="6">
        <v>7.04</v>
      </c>
    </row>
    <row r="23085" spans="1:4" x14ac:dyDescent="0.25">
      <c r="A23085" t="str">
        <f>HYPERLINK("https://www.773grp.com/globalSearch/SN74AVC16T245GKER/page-1", "SN74AVC16T245GKER")</f>
        <v>SN74AVC16T245GKER</v>
      </c>
      <c r="B23085" s="3" t="str">
        <f>HYPERLINK("https://www.773grp.com/manufacturer/texas-instruments?pageNo=812", "Texas Instruments")</f>
        <v>Texas Instruments</v>
      </c>
      <c r="C23085" s="5">
        <v>950</v>
      </c>
      <c r="D23085" s="6">
        <v>7.04</v>
      </c>
    </row>
    <row r="23086" spans="1:4" x14ac:dyDescent="0.25">
      <c r="A23086" t="str">
        <f>HYPERLINK("https://www.773grp.com/globalSearch/SN74LVCZ32245AZKER/page-1", "SN74LVCZ32245AZKER")</f>
        <v>SN74LVCZ32245AZKER</v>
      </c>
      <c r="B23086" s="3" t="str">
        <f>HYPERLINK("https://www.773grp.com/manufacturer/texas-instruments?pageNo=838", "Texas Instruments")</f>
        <v>Texas Instruments</v>
      </c>
      <c r="C23086" s="5">
        <v>3000</v>
      </c>
      <c r="D23086" s="6">
        <v>7.04</v>
      </c>
    </row>
    <row r="23087" spans="1:4" x14ac:dyDescent="0.25">
      <c r="A23087" t="str">
        <f>HYPERLINK("https://www.773grp.com/globalSearch/SN75ALS172ADWG4/page-1", "SN75ALS172ADWG4")</f>
        <v>SN75ALS172ADWG4</v>
      </c>
      <c r="B23087" s="3" t="str">
        <f>HYPERLINK("https://www.773grp.com/manufacturer/texas-instruments?pageNo=842", "Texas Instruments")</f>
        <v>Texas Instruments</v>
      </c>
      <c r="C23087" s="5">
        <v>725</v>
      </c>
      <c r="D23087" s="6">
        <v>7.04</v>
      </c>
    </row>
    <row r="23088" spans="1:4" x14ac:dyDescent="0.25">
      <c r="A23088" t="str">
        <f>HYPERLINK("https://www.773grp.com/globalSearch/SNJ54HCT241J/page-1", "SNJ54HCT241J")</f>
        <v>SNJ54HCT241J</v>
      </c>
      <c r="B23088" s="3" t="str">
        <f>HYPERLINK("https://www.773grp.com/manufacturer/texas-instruments?pageNo=846", "Texas Instruments")</f>
        <v>Texas Instruments</v>
      </c>
      <c r="C23088" s="5">
        <v>314</v>
      </c>
      <c r="D23088" s="6">
        <v>7.04</v>
      </c>
    </row>
    <row r="23089" spans="1:4" x14ac:dyDescent="0.25">
      <c r="A23089" t="str">
        <f>HYPERLINK("https://www.773grp.com/globalSearch/TLC2652AI-8DR/page-1", "TLC2652AI-8DR")</f>
        <v>TLC2652AI-8DR</v>
      </c>
      <c r="B23089" s="3" t="str">
        <f>HYPERLINK("https://www.773grp.com/manufacturer/texas-instruments?pageNo=853", "Texas Instruments")</f>
        <v>Texas Instruments</v>
      </c>
      <c r="C23089" s="5">
        <v>15000</v>
      </c>
      <c r="D23089" s="6">
        <v>7.04</v>
      </c>
    </row>
    <row r="23090" spans="1:4" x14ac:dyDescent="0.25">
      <c r="A23090" t="str">
        <f>HYPERLINK("https://www.773grp.com/globalSearch/TLCU831CP/page-1", "TLCU831CP")</f>
        <v>TLCU831CP</v>
      </c>
      <c r="B23090" s="3" t="str">
        <f>HYPERLINK("https://www.773grp.com/manufacturer/texas-instruments?pageNo=855", "Texas Instruments")</f>
        <v>Texas Instruments</v>
      </c>
      <c r="C23090" s="5">
        <v>800</v>
      </c>
      <c r="D23090" s="6">
        <v>7.04</v>
      </c>
    </row>
    <row r="23091" spans="1:4" x14ac:dyDescent="0.25">
      <c r="A23091" t="str">
        <f>HYPERLINK("https://www.773grp.com/globalSearch/TLE2064AIDR/page-1", "TLE2064AIDR")</f>
        <v>TLE2064AIDR</v>
      </c>
      <c r="B23091" s="3" t="str">
        <f>HYPERLINK("https://www.773grp.com/manufacturer/texas-instruments?pageNo=856", "Texas Instruments")</f>
        <v>Texas Instruments</v>
      </c>
      <c r="C23091" s="5">
        <v>7500</v>
      </c>
      <c r="D23091" s="6">
        <v>7.04</v>
      </c>
    </row>
    <row r="23092" spans="1:4" x14ac:dyDescent="0.25">
      <c r="A23092" t="str">
        <f>HYPERLINK("https://www.773grp.com/globalSearch/TLE2074IDW/page-1", "TLE2074IDW")</f>
        <v>TLE2074IDW</v>
      </c>
      <c r="B23092" s="3" t="str">
        <f>HYPERLINK("https://www.773grp.com/manufacturer/texas-instruments?pageNo=857", "Texas Instruments")</f>
        <v>Texas Instruments</v>
      </c>
      <c r="C23092" s="5">
        <v>10</v>
      </c>
      <c r="D23092" s="6">
        <v>7.04</v>
      </c>
    </row>
    <row r="23093" spans="1:4" x14ac:dyDescent="0.25">
      <c r="A23093" t="str">
        <f>HYPERLINK("https://www.773grp.com/globalSearch/TMS320F28021PTT/page-1", "TMS320F28021PTT")</f>
        <v>TMS320F28021PTT</v>
      </c>
      <c r="B23093" s="3" t="str">
        <f>HYPERLINK("https://www.773grp.com/manufacturer/texas-instruments?pageNo=860", "Texas Instruments")</f>
        <v>Texas Instruments</v>
      </c>
      <c r="C23093" s="5">
        <v>116</v>
      </c>
      <c r="D23093" s="6">
        <v>7.04</v>
      </c>
    </row>
    <row r="23094" spans="1:4" x14ac:dyDescent="0.25">
      <c r="A23094" t="str">
        <f>HYPERLINK("https://www.773grp.com/globalSearch/TPS3600D20PWR/page-1", "TPS3600D20PWR")</f>
        <v>TPS3600D20PWR</v>
      </c>
      <c r="B23094" s="3" t="str">
        <f>HYPERLINK("https://www.773grp.com/manufacturer/texas-instruments?pageNo=866", "Texas Instruments")</f>
        <v>Texas Instruments</v>
      </c>
      <c r="C23094" s="5">
        <v>6000</v>
      </c>
      <c r="D23094" s="6">
        <v>7.04</v>
      </c>
    </row>
    <row r="23095" spans="1:4" x14ac:dyDescent="0.25">
      <c r="A23095" t="str">
        <f>HYPERLINK("https://www.773grp.com/globalSearch/TUSB3410IRHBR/page-1", "TUSB3410IRHBR")</f>
        <v>TUSB3410IRHBR</v>
      </c>
      <c r="B23095" s="3" t="str">
        <f>HYPERLINK("https://www.773grp.com/manufacturer/texas-instruments?pageNo=896", "Texas Instruments")</f>
        <v>Texas Instruments</v>
      </c>
      <c r="C23095" s="5">
        <v>1648</v>
      </c>
      <c r="D23095" s="6">
        <v>7.04</v>
      </c>
    </row>
    <row r="23096" spans="1:4" x14ac:dyDescent="0.25">
      <c r="A23096" t="str">
        <f>HYPERLINK("https://www.773grp.com/globalSearch/CD54HC373F/page-1", "CD54HC373F")</f>
        <v>CD54HC373F</v>
      </c>
      <c r="B23096" s="3" t="str">
        <f>HYPERLINK("https://www.773grp.com/manufacturer/texas-instruments?pageNo=910", "Texas Instruments")</f>
        <v>Texas Instruments</v>
      </c>
      <c r="C23096" s="5">
        <v>124</v>
      </c>
      <c r="D23096" s="6">
        <v>7.05</v>
      </c>
    </row>
    <row r="23097" spans="1:4" x14ac:dyDescent="0.25">
      <c r="A23097" t="str">
        <f>HYPERLINK("https://www.773grp.com/globalSearch/LM2854MH-1000-NOPB/page-1", "LM2854MH-1000-NOPB")</f>
        <v>LM2854MH-1000-NOPB</v>
      </c>
      <c r="B23097" s="3" t="str">
        <f>HYPERLINK("https://www.773grp.com/manufacturer/texas-instruments?pageNo=921", "Texas Instruments")</f>
        <v>Texas Instruments</v>
      </c>
      <c r="C23097" s="5">
        <v>41</v>
      </c>
      <c r="D23097" s="6">
        <v>7.09</v>
      </c>
    </row>
    <row r="23098" spans="1:4" x14ac:dyDescent="0.25">
      <c r="A23098" t="str">
        <f>HYPERLINK("https://www.773grp.com/globalSearch/LM3464AMH-NOPB/page-1", "LM3464AMH-NOPB")</f>
        <v>LM3464AMH-NOPB</v>
      </c>
      <c r="B23098" s="3" t="str">
        <f>HYPERLINK("https://www.773grp.com/manufacturer/texas-instruments?pageNo=922", "Texas Instruments")</f>
        <v>Texas Instruments</v>
      </c>
      <c r="C23098" s="5">
        <v>100</v>
      </c>
      <c r="D23098" s="6">
        <v>7.09</v>
      </c>
    </row>
    <row r="23099" spans="1:4" x14ac:dyDescent="0.25">
      <c r="A23099" t="str">
        <f>HYPERLINK("https://www.773grp.com/globalSearch/TPIC2603DWG4/page-1", "TPIC2603DWG4")</f>
        <v>TPIC2603DWG4</v>
      </c>
      <c r="B23099" s="3" t="str">
        <f>HYPERLINK("https://www.773grp.com/manufacturer/texas-instruments?pageNo=933", "Texas Instruments")</f>
        <v>Texas Instruments</v>
      </c>
      <c r="C23099" s="5">
        <v>507</v>
      </c>
      <c r="D23099" s="6">
        <v>7.09</v>
      </c>
    </row>
    <row r="23100" spans="1:4" x14ac:dyDescent="0.25">
      <c r="A23100" t="str">
        <f>HYPERLINK("https://www.773grp.com/globalSearch/TPS2226ADB/page-1", "TPS2226ADB")</f>
        <v>TPS2226ADB</v>
      </c>
      <c r="B23100" s="3" t="str">
        <f>HYPERLINK("https://www.773grp.com/manufacturer/texas-instruments?pageNo=934", "Texas Instruments")</f>
        <v>Texas Instruments</v>
      </c>
      <c r="C23100" s="5">
        <v>270</v>
      </c>
      <c r="D23100" s="6">
        <v>7.09</v>
      </c>
    </row>
    <row r="23101" spans="1:4" x14ac:dyDescent="0.25">
      <c r="A23101" t="str">
        <f>HYPERLINK("https://www.773grp.com/globalSearch/AMC80AIPW/page-1", "AMC80AIPW")</f>
        <v>AMC80AIPW</v>
      </c>
      <c r="B23101" s="3" t="str">
        <f>HYPERLINK("https://www.773grp.com/manufacturer/texas-instruments?pageNo=938", "Texas Instruments")</f>
        <v>Texas Instruments</v>
      </c>
      <c r="C23101" s="5">
        <v>1320</v>
      </c>
      <c r="D23101" s="6">
        <v>7.13</v>
      </c>
    </row>
    <row r="23102" spans="1:4" x14ac:dyDescent="0.25">
      <c r="A23102" t="str">
        <f>HYPERLINK("https://www.773grp.com/globalSearch/OPA2658E1250/page-1", "OPA2658E1250")</f>
        <v>OPA2658E1250</v>
      </c>
      <c r="B23102" s="3" t="str">
        <f>HYPERLINK("https://www.773grp.com/manufacturer/texas-instruments?pageNo=940", "Texas Instruments")</f>
        <v>Texas Instruments</v>
      </c>
      <c r="C23102" s="5">
        <v>2250</v>
      </c>
      <c r="D23102" s="6">
        <v>7.13</v>
      </c>
    </row>
    <row r="23103" spans="1:4" x14ac:dyDescent="0.25">
      <c r="A23103" t="str">
        <f>HYPERLINK("https://www.773grp.com/globalSearch/SN74ALS569ANS/page-1", "SN74ALS569ANS")</f>
        <v>SN74ALS569ANS</v>
      </c>
      <c r="B23103" s="3" t="str">
        <f>HYPERLINK("https://www.773grp.com/manufacturer/texas-instruments?pageNo=944", "Texas Instruments")</f>
        <v>Texas Instruments</v>
      </c>
      <c r="C23103" s="5">
        <v>2400</v>
      </c>
      <c r="D23103" s="6">
        <v>7.13</v>
      </c>
    </row>
    <row r="23104" spans="1:4" x14ac:dyDescent="0.25">
      <c r="A23104" t="str">
        <f>HYPERLINK("https://www.773grp.com/globalSearch/TL851CDR/page-1", "TL851CDR")</f>
        <v>TL851CDR</v>
      </c>
      <c r="B23104" s="3" t="str">
        <f>HYPERLINK("https://www.773grp.com/manufacturer/texas-instruments?pageNo=946", "Texas Instruments")</f>
        <v>Texas Instruments</v>
      </c>
      <c r="C23104" s="5">
        <v>2500</v>
      </c>
      <c r="D23104" s="6">
        <v>7.13</v>
      </c>
    </row>
    <row r="23105" spans="1:4" x14ac:dyDescent="0.25">
      <c r="A23105" t="str">
        <f>HYPERLINK("https://www.773grp.com/globalSearch/TNETD2022DPZ/page-1", "TNETD2022DPZ")</f>
        <v>TNETD2022DPZ</v>
      </c>
      <c r="B23105" s="3" t="str">
        <f>HYPERLINK("https://www.773grp.com/manufacturer/texas-instruments?pageNo=947", "Texas Instruments")</f>
        <v>Texas Instruments</v>
      </c>
      <c r="C23105" s="5">
        <v>50</v>
      </c>
      <c r="D23105" s="6">
        <v>7.13</v>
      </c>
    </row>
    <row r="23106" spans="1:4" x14ac:dyDescent="0.25">
      <c r="A23106" t="str">
        <f>HYPERLINK("https://www.773grp.com/globalSearch/TPS54478RTET/page-1", "TPS54478RTET")</f>
        <v>TPS54478RTET</v>
      </c>
      <c r="B23106" s="3" t="str">
        <f>HYPERLINK("https://www.773grp.com/manufacturer/texas-instruments?pageNo=948", "Texas Instruments")</f>
        <v>Texas Instruments</v>
      </c>
      <c r="C23106" s="5">
        <v>5174</v>
      </c>
      <c r="D23106" s="6">
        <v>7.13</v>
      </c>
    </row>
    <row r="23107" spans="1:4" x14ac:dyDescent="0.25">
      <c r="A23107" t="str">
        <f>HYPERLINK("https://www.773grp.com/globalSearch/OPA699IDG4/page-1", "OPA699IDG4")</f>
        <v>OPA699IDG4</v>
      </c>
      <c r="B23107" s="3" t="str">
        <f>HYPERLINK("https://www.773grp.com/manufacturer/texas-instruments?pageNo=955", "Texas Instruments")</f>
        <v>Texas Instruments</v>
      </c>
      <c r="C23107" s="5">
        <v>70</v>
      </c>
      <c r="D23107" s="6">
        <v>7.14</v>
      </c>
    </row>
    <row r="23108" spans="1:4" x14ac:dyDescent="0.25">
      <c r="A23108" t="str">
        <f>HYPERLINK("https://www.773grp.com/globalSearch/BQ24702PW/page-1", "BQ24702PW")</f>
        <v>BQ24702PW</v>
      </c>
      <c r="B23108" s="3" t="str">
        <f>HYPERLINK("https://www.773grp.com/manufacturer/texas-instruments?pageNo=966", "Texas Instruments")</f>
        <v>Texas Instruments</v>
      </c>
      <c r="C23108" s="5">
        <v>300</v>
      </c>
      <c r="D23108" s="6">
        <v>7.18</v>
      </c>
    </row>
    <row r="23109" spans="1:4" x14ac:dyDescent="0.25">
      <c r="A23109" t="str">
        <f>HYPERLINK("https://www.773grp.com/globalSearch/BQ24702PWG4/page-1", "BQ24702PWG4")</f>
        <v>BQ24702PWG4</v>
      </c>
      <c r="B23109" s="3" t="str">
        <f>HYPERLINK("https://www.773grp.com/manufacturer/texas-instruments?pageNo=967", "Texas Instruments")</f>
        <v>Texas Instruments</v>
      </c>
      <c r="C23109" s="5">
        <v>42</v>
      </c>
      <c r="D23109" s="6">
        <v>7.18</v>
      </c>
    </row>
    <row r="23110" spans="1:4" x14ac:dyDescent="0.25">
      <c r="A23110" t="str">
        <f>HYPERLINK("https://www.773grp.com/globalSearch/BQ26220PWRDL/page-1", "BQ26220PWRDL")</f>
        <v>BQ26220PWRDL</v>
      </c>
      <c r="B23110" s="3" t="str">
        <f>HYPERLINK("https://www.773grp.com/manufacturer/texas-instruments?pageNo=969", "Texas Instruments")</f>
        <v>Texas Instruments</v>
      </c>
      <c r="C23110" s="5">
        <v>6000</v>
      </c>
      <c r="D23110" s="6">
        <v>7.18</v>
      </c>
    </row>
    <row r="23111" spans="1:4" x14ac:dyDescent="0.25">
      <c r="A23111" t="str">
        <f>HYPERLINK("https://www.773grp.com/globalSearch/CC2533F32RHAR/page-1", "CC2533F32RHAR")</f>
        <v>CC2533F32RHAR</v>
      </c>
      <c r="B23111" s="3" t="str">
        <f>HYPERLINK("https://www.773grp.com/manufacturer/texas-instruments?pageNo=972", "Texas Instruments")</f>
        <v>Texas Instruments</v>
      </c>
      <c r="C23111" s="5">
        <v>2134</v>
      </c>
      <c r="D23111" s="6">
        <v>7.18</v>
      </c>
    </row>
    <row r="23112" spans="1:4" x14ac:dyDescent="0.25">
      <c r="A23112" t="str">
        <f>HYPERLINK("https://www.773grp.com/globalSearch/DAC7611U-2K5/page-1", "DAC7611U-2K5")</f>
        <v>DAC7611U-2K5</v>
      </c>
      <c r="B23112" s="3" t="str">
        <f>HYPERLINK("https://www.773grp.com/manufacturer/texas-instruments?pageNo=975", "Texas Instruments")</f>
        <v>Texas Instruments</v>
      </c>
      <c r="C23112" s="5">
        <v>22247</v>
      </c>
      <c r="D23112" s="6">
        <v>7.18</v>
      </c>
    </row>
    <row r="23113" spans="1:4" x14ac:dyDescent="0.25">
      <c r="A23113" t="str">
        <f>HYPERLINK("https://www.773grp.com/globalSearch/MSP430F6723IPZ/page-1", "MSP430F6723IPZ")</f>
        <v>MSP430F6723IPZ</v>
      </c>
      <c r="B23113" s="3" t="str">
        <f>HYPERLINK("https://www.773grp.com/manufacturer/texas-instruments?pageNo=977", "Texas Instruments")</f>
        <v>Texas Instruments</v>
      </c>
      <c r="C23113" s="5">
        <v>445</v>
      </c>
      <c r="D23113" s="6">
        <v>7.18</v>
      </c>
    </row>
    <row r="23114" spans="1:4" x14ac:dyDescent="0.25">
      <c r="A23114" t="str">
        <f>HYPERLINK("https://www.773grp.com/globalSearch/MSP430F6731IPN/page-1", "MSP430F6731IPN")</f>
        <v>MSP430F6731IPN</v>
      </c>
      <c r="B23114" s="3" t="str">
        <f>HYPERLINK("https://www.773grp.com/manufacturer/texas-instruments?pageNo=978", "Texas Instruments")</f>
        <v>Texas Instruments</v>
      </c>
      <c r="C23114" s="5">
        <v>540</v>
      </c>
      <c r="D23114" s="6">
        <v>7.18</v>
      </c>
    </row>
    <row r="23115" spans="1:4" x14ac:dyDescent="0.25">
      <c r="A23115" t="str">
        <f>HYPERLINK("https://www.773grp.com/globalSearch/OPA227U-2K5/page-1", "OPA227U-2K5")</f>
        <v>OPA227U-2K5</v>
      </c>
      <c r="B23115" s="3" t="str">
        <f>HYPERLINK("https://www.773grp.com/manufacturer/texas-instruments?pageNo=979", "Texas Instruments")</f>
        <v>Texas Instruments</v>
      </c>
      <c r="C23115" s="5">
        <v>15000</v>
      </c>
      <c r="D23115" s="6">
        <v>7.18</v>
      </c>
    </row>
    <row r="23116" spans="1:4" x14ac:dyDescent="0.25">
      <c r="A23116" t="str">
        <f>HYPERLINK("https://www.773grp.com/globalSearch/SN75ALS1177NSR/page-1", "SN75ALS1177NSR")</f>
        <v>SN75ALS1177NSR</v>
      </c>
      <c r="B23116" s="3" t="str">
        <f>HYPERLINK("https://www.773grp.com/manufacturer/texas-instruments?pageNo=986", "Texas Instruments")</f>
        <v>Texas Instruments</v>
      </c>
      <c r="C23116" s="5">
        <v>3333</v>
      </c>
      <c r="D23116" s="6">
        <v>7.18</v>
      </c>
    </row>
    <row r="23117" spans="1:4" x14ac:dyDescent="0.25">
      <c r="A23117" t="str">
        <f>HYPERLINK("https://www.773grp.com/globalSearch/THS6093IPWPG4/page-1", "THS6093IPWPG4")</f>
        <v>THS6093IPWPG4</v>
      </c>
      <c r="B23117" s="3" t="s">
        <v>90</v>
      </c>
      <c r="C23117" s="5">
        <v>2220</v>
      </c>
      <c r="D23117" s="6">
        <v>7.18</v>
      </c>
    </row>
    <row r="23118" spans="1:4" x14ac:dyDescent="0.25">
      <c r="A23118" t="str">
        <f>HYPERLINK("https://www.773grp.com/globalSearch/TLV4113MDGQREP/page-1", "TLV4113MDGQREP")</f>
        <v>TLV4113MDGQREP</v>
      </c>
      <c r="B23118" s="3" t="s">
        <v>90</v>
      </c>
      <c r="C23118" s="5">
        <v>3000</v>
      </c>
      <c r="D23118" s="6">
        <v>7.18</v>
      </c>
    </row>
    <row r="23119" spans="1:4" x14ac:dyDescent="0.25">
      <c r="A23119" t="str">
        <f>HYPERLINK("https://www.773grp.com/globalSearch/TPS65131RGETG4/page-1", "TPS65131RGETG4")</f>
        <v>TPS65131RGETG4</v>
      </c>
      <c r="B23119" s="3" t="s">
        <v>90</v>
      </c>
      <c r="C23119" s="5">
        <v>261</v>
      </c>
      <c r="D23119" s="6">
        <v>7.18</v>
      </c>
    </row>
    <row r="23120" spans="1:4" x14ac:dyDescent="0.25">
      <c r="A23120" t="str">
        <f>HYPERLINK("https://www.773grp.com/globalSearch/SN54HCT137J/page-1", "SN54HCT137J")</f>
        <v>SN54HCT137J</v>
      </c>
      <c r="B23120" s="3" t="s">
        <v>90</v>
      </c>
      <c r="C23120" s="5">
        <v>96</v>
      </c>
      <c r="D23120" s="6">
        <v>7.2</v>
      </c>
    </row>
    <row r="23121" spans="1:4" x14ac:dyDescent="0.25">
      <c r="A23121" t="str">
        <f>HYPERLINK("https://www.773grp.com/globalSearch/UC3861DW/page-1", "UC3861DW")</f>
        <v>UC3861DW</v>
      </c>
      <c r="B23121" s="3" t="s">
        <v>90</v>
      </c>
      <c r="C23121" s="5">
        <v>3400</v>
      </c>
      <c r="D23121" s="6">
        <v>7.2</v>
      </c>
    </row>
    <row r="23122" spans="1:4" x14ac:dyDescent="0.25">
      <c r="A23122" t="str">
        <f>HYPERLINK("https://www.773grp.com/globalSearch/UC3865DW/page-1", "UC3865DW")</f>
        <v>UC3865DW</v>
      </c>
      <c r="B23122" s="3" t="s">
        <v>90</v>
      </c>
      <c r="C23122" s="5">
        <v>128</v>
      </c>
      <c r="D23122" s="6">
        <v>7.2</v>
      </c>
    </row>
    <row r="23123" spans="1:4" x14ac:dyDescent="0.25">
      <c r="A23123" t="str">
        <f>HYPERLINK("https://www.773grp.com/globalSearch/74GTLPH306DGVR/page-1", "74GTLPH306DGVR")</f>
        <v>74GTLPH306DGVR</v>
      </c>
      <c r="B23123" s="3" t="s">
        <v>90</v>
      </c>
      <c r="C23123" s="5">
        <v>645</v>
      </c>
      <c r="D23123" s="6">
        <v>7.23</v>
      </c>
    </row>
    <row r="23124" spans="1:4" x14ac:dyDescent="0.25">
      <c r="A23124" t="str">
        <f>HYPERLINK("https://www.773grp.com/globalSearch/ADC0803LCN/page-1", "ADC0803LCN")</f>
        <v>ADC0803LCN</v>
      </c>
      <c r="B23124" s="3" t="s">
        <v>90</v>
      </c>
      <c r="C23124" s="5">
        <v>58</v>
      </c>
      <c r="D23124" s="6">
        <v>7.23</v>
      </c>
    </row>
    <row r="23125" spans="1:4" x14ac:dyDescent="0.25">
      <c r="A23125" t="str">
        <f>HYPERLINK("https://www.773grp.com/globalSearch/N74LVTH162541DL/page-1", "N74LVTH162541DL")</f>
        <v>N74LVTH162541DL</v>
      </c>
      <c r="B23125" s="3" t="s">
        <v>90</v>
      </c>
      <c r="C23125" s="5">
        <v>583</v>
      </c>
      <c r="D23125" s="6">
        <v>7.23</v>
      </c>
    </row>
    <row r="23126" spans="1:4" x14ac:dyDescent="0.25">
      <c r="A23126" t="str">
        <f>HYPERLINK("https://www.773grp.com/globalSearch/OPA277U/page-1", "OPA277U")</f>
        <v>OPA277U</v>
      </c>
      <c r="B23126" s="3" t="s">
        <v>90</v>
      </c>
      <c r="C23126" s="5">
        <v>720</v>
      </c>
      <c r="D23126" s="6">
        <v>7.23</v>
      </c>
    </row>
    <row r="23127" spans="1:4" x14ac:dyDescent="0.25">
      <c r="A23127" t="str">
        <f>HYPERLINK("https://www.773grp.com/globalSearch/RI-TRP-WEHP-30/page-1", "RI-TRP-WEHP-30")</f>
        <v>RI-TRP-WEHP-30</v>
      </c>
      <c r="B23127" s="3" t="s">
        <v>90</v>
      </c>
      <c r="C23127" s="5">
        <v>439</v>
      </c>
      <c r="D23127" s="6">
        <v>7.23</v>
      </c>
    </row>
    <row r="23128" spans="1:4" x14ac:dyDescent="0.25">
      <c r="A23128" t="str">
        <f>HYPERLINK("https://www.773grp.com/globalSearch/SN10120DLR/page-1", "SN10120DLR")</f>
        <v>SN10120DLR</v>
      </c>
      <c r="B23128" s="3" t="s">
        <v>90</v>
      </c>
      <c r="C23128" s="5">
        <v>10500</v>
      </c>
      <c r="D23128" s="6">
        <v>7.23</v>
      </c>
    </row>
    <row r="23129" spans="1:4" x14ac:dyDescent="0.25">
      <c r="A23129" t="str">
        <f>HYPERLINK("https://www.773grp.com/globalSearch/SN74ALS1645ANS/page-1", "SN74ALS1645ANS")</f>
        <v>SN74ALS1645ANS</v>
      </c>
      <c r="B23129" s="3" t="s">
        <v>90</v>
      </c>
      <c r="C23129" s="5">
        <v>840</v>
      </c>
      <c r="D23129" s="6">
        <v>7.23</v>
      </c>
    </row>
    <row r="23130" spans="1:4" x14ac:dyDescent="0.25">
      <c r="A23130" t="str">
        <f>HYPERLINK("https://www.773grp.com/globalSearch/SN74GTLP1395DW/page-1", "SN74GTLP1395DW")</f>
        <v>SN74GTLP1395DW</v>
      </c>
      <c r="B23130" s="3" t="s">
        <v>90</v>
      </c>
      <c r="C23130" s="5">
        <v>18725</v>
      </c>
      <c r="D23130" s="6">
        <v>7.23</v>
      </c>
    </row>
    <row r="23131" spans="1:4" x14ac:dyDescent="0.25">
      <c r="A23131" t="str">
        <f>HYPERLINK("https://www.773grp.com/globalSearch/SN74GTLPH306DWR/page-1", "SN74GTLPH306DWR")</f>
        <v>SN74GTLPH306DWR</v>
      </c>
      <c r="B23131" s="3" t="s">
        <v>90</v>
      </c>
      <c r="C23131" s="5">
        <v>6000</v>
      </c>
      <c r="D23131" s="6">
        <v>7.23</v>
      </c>
    </row>
    <row r="23132" spans="1:4" x14ac:dyDescent="0.25">
      <c r="A23132" t="str">
        <f>HYPERLINK("https://www.773grp.com/globalSearch/SN75LVDS82DGGR/page-1", "SN75LVDS82DGGR")</f>
        <v>SN75LVDS82DGGR</v>
      </c>
      <c r="B23132" s="3" t="s">
        <v>90</v>
      </c>
      <c r="C23132" s="5">
        <v>2000</v>
      </c>
      <c r="D23132" s="6">
        <v>7.23</v>
      </c>
    </row>
    <row r="23133" spans="1:4" x14ac:dyDescent="0.25">
      <c r="A23133" t="str">
        <f>HYPERLINK("https://www.773grp.com/globalSearch/SN79424N/page-1", "SN79424N")</f>
        <v>SN79424N</v>
      </c>
      <c r="B23133" s="3" t="s">
        <v>90</v>
      </c>
      <c r="C23133" s="5">
        <v>7825</v>
      </c>
      <c r="D23133" s="6">
        <v>7.23</v>
      </c>
    </row>
    <row r="23134" spans="1:4" x14ac:dyDescent="0.25">
      <c r="A23134" t="str">
        <f>HYPERLINK("https://www.773grp.com/globalSearch/SN93989/page-1", "SN93989")</f>
        <v>SN93989</v>
      </c>
      <c r="B23134" s="3" t="s">
        <v>90</v>
      </c>
      <c r="C23134" s="5">
        <v>200</v>
      </c>
      <c r="D23134" s="6">
        <v>7.23</v>
      </c>
    </row>
    <row r="23135" spans="1:4" x14ac:dyDescent="0.25">
      <c r="A23135" t="str">
        <f>HYPERLINK("https://www.773grp.com/globalSearch/TLV990BPFB/page-1", "TLV990BPFB")</f>
        <v>TLV990BPFB</v>
      </c>
      <c r="B23135" s="3" t="s">
        <v>90</v>
      </c>
      <c r="C23135" s="5">
        <v>1750</v>
      </c>
      <c r="D23135" s="6">
        <v>7.23</v>
      </c>
    </row>
    <row r="23136" spans="1:4" x14ac:dyDescent="0.25">
      <c r="A23136" t="str">
        <f>HYPERLINK("https://www.773grp.com/globalSearch/TPS54312QPWPRQ1/page-1", "TPS54312QPWPRQ1")</f>
        <v>TPS54312QPWPRQ1</v>
      </c>
      <c r="B23136" s="3" t="s">
        <v>90</v>
      </c>
      <c r="C23136" s="5">
        <v>1783</v>
      </c>
      <c r="D23136" s="6">
        <v>7.23</v>
      </c>
    </row>
    <row r="23137" spans="1:4" x14ac:dyDescent="0.25">
      <c r="A23137" t="str">
        <f>HYPERLINK("https://www.773grp.com/globalSearch/BQ2058DSN-C1/page-1", "BQ2058DSN-C1")</f>
        <v>BQ2058DSN-C1</v>
      </c>
      <c r="B23137" s="3" t="s">
        <v>90</v>
      </c>
      <c r="C23137" s="5">
        <v>3376</v>
      </c>
      <c r="D23137" s="6">
        <v>7.26</v>
      </c>
    </row>
    <row r="23138" spans="1:4" x14ac:dyDescent="0.25">
      <c r="A23138" t="str">
        <f>HYPERLINK("https://www.773grp.com/globalSearch/ADC10664CIWMX-NOPB/page-1", "ADC10664CIWMX-NOPB")</f>
        <v>ADC10664CIWMX-NOPB</v>
      </c>
      <c r="B23138" s="3" t="s">
        <v>90</v>
      </c>
      <c r="C23138" s="5">
        <v>1000</v>
      </c>
      <c r="D23138" s="6">
        <v>7.29</v>
      </c>
    </row>
    <row r="23139" spans="1:4" x14ac:dyDescent="0.25">
      <c r="A23139" t="str">
        <f>HYPERLINK("https://www.773grp.com/globalSearch/LM2679SD-ADJ-NOPB/page-1", "LM2679SD-ADJ-NOPB")</f>
        <v>LM2679SD-ADJ-NOPB</v>
      </c>
      <c r="B23139" s="3" t="s">
        <v>90</v>
      </c>
      <c r="C23139" s="5">
        <v>750</v>
      </c>
      <c r="D23139" s="6">
        <v>7.29</v>
      </c>
    </row>
    <row r="23140" spans="1:4" x14ac:dyDescent="0.25">
      <c r="A23140" t="str">
        <f>HYPERLINK("https://www.773grp.com/globalSearch/LMH0001SQE-NOPB/page-1", "LMH0001SQE-NOPB")</f>
        <v>LMH0001SQE-NOPB</v>
      </c>
      <c r="B23140" s="3" t="s">
        <v>90</v>
      </c>
      <c r="C23140" s="5">
        <v>38</v>
      </c>
      <c r="D23140" s="6">
        <v>7.29</v>
      </c>
    </row>
    <row r="23141" spans="1:4" x14ac:dyDescent="0.25">
      <c r="A23141" t="str">
        <f>HYPERLINK("https://www.773grp.com/globalSearch/BQ24735RGRT/page-1", "BQ24735RGRT")</f>
        <v>BQ24735RGRT</v>
      </c>
      <c r="B23141" s="3" t="s">
        <v>90</v>
      </c>
      <c r="C23141" s="5">
        <v>500</v>
      </c>
      <c r="D23141" s="6">
        <v>7.31</v>
      </c>
    </row>
    <row r="23142" spans="1:4" x14ac:dyDescent="0.25">
      <c r="A23142" t="str">
        <f>HYPERLINK("https://www.773grp.com/globalSearch/CC2570RHAT/page-1", "CC2570RHAT")</f>
        <v>CC2570RHAT</v>
      </c>
      <c r="B23142" s="3" t="s">
        <v>90</v>
      </c>
      <c r="C23142" s="5">
        <v>2000</v>
      </c>
      <c r="D23142" s="6">
        <v>7.31</v>
      </c>
    </row>
    <row r="23143" spans="1:4" x14ac:dyDescent="0.25">
      <c r="A23143" t="str">
        <f>HYPERLINK("https://www.773grp.com/globalSearch/CC430F5135IRGZ/page-1", "CC430F5135IRGZ")</f>
        <v>CC430F5135IRGZ</v>
      </c>
      <c r="B23143" s="3" t="s">
        <v>90</v>
      </c>
      <c r="C23143" s="5">
        <v>104</v>
      </c>
      <c r="D23143" s="6">
        <v>7.31</v>
      </c>
    </row>
    <row r="23144" spans="1:4" x14ac:dyDescent="0.25">
      <c r="A23144" t="str">
        <f>HYPERLINK("https://www.773grp.com/globalSearch/CDCE937PW/page-1", "CDCE937PW")</f>
        <v>CDCE937PW</v>
      </c>
      <c r="B23144" s="3" t="s">
        <v>90</v>
      </c>
      <c r="C23144" s="5">
        <v>68</v>
      </c>
      <c r="D23144" s="6">
        <v>7.31</v>
      </c>
    </row>
    <row r="23145" spans="1:4" x14ac:dyDescent="0.25">
      <c r="A23145" t="str">
        <f>HYPERLINK("https://www.773grp.com/globalSearch/CDCE937PWG4/page-1", "CDCE937PWG4")</f>
        <v>CDCE937PWG4</v>
      </c>
      <c r="B23145" s="3" t="s">
        <v>90</v>
      </c>
      <c r="C23145" s="5">
        <v>136</v>
      </c>
      <c r="D23145" s="6">
        <v>7.31</v>
      </c>
    </row>
    <row r="23146" spans="1:4" x14ac:dyDescent="0.25">
      <c r="A23146" t="str">
        <f>HYPERLINK("https://www.773grp.com/globalSearch/CDCEL937QPWRQ1/page-1", "CDCEL937QPWRQ1")</f>
        <v>CDCEL937QPWRQ1</v>
      </c>
      <c r="B23146" s="3" t="s">
        <v>90</v>
      </c>
      <c r="C23146" s="5">
        <v>249</v>
      </c>
      <c r="D23146" s="6">
        <v>7.31</v>
      </c>
    </row>
    <row r="23147" spans="1:4" x14ac:dyDescent="0.25">
      <c r="A23147" t="str">
        <f>HYPERLINK("https://www.773grp.com/globalSearch/CDCLVC1112PWR/page-1", "CDCLVC1112PWR")</f>
        <v>CDCLVC1112PWR</v>
      </c>
      <c r="B23147" s="3" t="s">
        <v>90</v>
      </c>
      <c r="C23147" s="5">
        <v>16</v>
      </c>
      <c r="D23147" s="6">
        <v>7.31</v>
      </c>
    </row>
    <row r="23148" spans="1:4" x14ac:dyDescent="0.25">
      <c r="A23148" t="str">
        <f>HYPERLINK("https://www.773grp.com/globalSearch/CDCVF2510APWR/page-1", "CDCVF2510APWR")</f>
        <v>CDCVF2510APWR</v>
      </c>
      <c r="B23148" s="3" t="s">
        <v>90</v>
      </c>
      <c r="C23148" s="5">
        <v>1581</v>
      </c>
      <c r="D23148" s="6">
        <v>7.31</v>
      </c>
    </row>
    <row r="23149" spans="1:4" x14ac:dyDescent="0.25">
      <c r="A23149" t="str">
        <f>HYPERLINK("https://www.773grp.com/globalSearch/DS90CR215MTDX-NOPB/page-1", "DS90CR215MTDX-NOPB")</f>
        <v>DS90CR215MTDX-NOPB</v>
      </c>
      <c r="B23149" s="3" t="s">
        <v>90</v>
      </c>
      <c r="C23149" s="5">
        <v>869</v>
      </c>
      <c r="D23149" s="6">
        <v>7.31</v>
      </c>
    </row>
    <row r="23150" spans="1:4" x14ac:dyDescent="0.25">
      <c r="A23150" t="str">
        <f>HYPERLINK("https://www.773grp.com/globalSearch/MSP430F235TPM/page-1", "MSP430F235TPM")</f>
        <v>MSP430F235TPM</v>
      </c>
      <c r="B23150" s="3" t="s">
        <v>90</v>
      </c>
      <c r="C23150" s="5">
        <v>960</v>
      </c>
      <c r="D23150" s="6">
        <v>7.31</v>
      </c>
    </row>
    <row r="23151" spans="1:4" x14ac:dyDescent="0.25">
      <c r="A23151" t="str">
        <f>HYPERLINK("https://www.773grp.com/globalSearch/MSP430F235TPMR/page-1", "MSP430F235TPMR")</f>
        <v>MSP430F235TPMR</v>
      </c>
      <c r="B23151" s="3" t="s">
        <v>90</v>
      </c>
      <c r="C23151" s="5">
        <v>482</v>
      </c>
      <c r="D23151" s="6">
        <v>7.31</v>
      </c>
    </row>
    <row r="23152" spans="1:4" x14ac:dyDescent="0.25">
      <c r="A23152" t="str">
        <f>HYPERLINK("https://www.773grp.com/globalSearch/MSP430F6725IPN/page-1", "MSP430F6725IPN")</f>
        <v>MSP430F6725IPN</v>
      </c>
      <c r="B23152" s="3" t="s">
        <v>90</v>
      </c>
      <c r="C23152" s="5">
        <v>119</v>
      </c>
      <c r="D23152" s="6">
        <v>7.31</v>
      </c>
    </row>
    <row r="23153" spans="1:4" x14ac:dyDescent="0.25">
      <c r="A23153" t="str">
        <f>HYPERLINK("https://www.773grp.com/globalSearch/RI-TRP-RR2B-20/page-1", "RI-TRP-RR2B-20")</f>
        <v>RI-TRP-RR2B-20</v>
      </c>
      <c r="B23153" s="3" t="s">
        <v>90</v>
      </c>
      <c r="C23153" s="5">
        <v>1902</v>
      </c>
      <c r="D23153" s="6">
        <v>7.31</v>
      </c>
    </row>
    <row r="23154" spans="1:4" x14ac:dyDescent="0.25">
      <c r="A23154" t="str">
        <f>HYPERLINK("https://www.773grp.com/globalSearch/TAS5713PHP/page-1", "TAS5713PHP")</f>
        <v>TAS5713PHP</v>
      </c>
      <c r="B23154" s="3" t="s">
        <v>90</v>
      </c>
      <c r="C23154" s="5">
        <v>500</v>
      </c>
      <c r="D23154" s="6">
        <v>7.31</v>
      </c>
    </row>
    <row r="23155" spans="1:4" x14ac:dyDescent="0.25">
      <c r="A23155" t="str">
        <f>HYPERLINK("https://www.773grp.com/globalSearch/TL16C752CIRHBR/page-1", "TL16C752CIRHBR")</f>
        <v>TL16C752CIRHBR</v>
      </c>
      <c r="B23155" s="3" t="s">
        <v>90</v>
      </c>
      <c r="C23155" s="5">
        <v>2800</v>
      </c>
      <c r="D23155" s="6">
        <v>7.31</v>
      </c>
    </row>
    <row r="23156" spans="1:4" x14ac:dyDescent="0.25">
      <c r="A23156" t="str">
        <f>HYPERLINK("https://www.773grp.com/globalSearch/TLC7226CDWG4/page-1", "TLC7226CDWG4")</f>
        <v>TLC7226CDWG4</v>
      </c>
      <c r="B23156" s="3" t="s">
        <v>90</v>
      </c>
      <c r="C23156" s="5">
        <v>48</v>
      </c>
      <c r="D23156" s="6">
        <v>7.31</v>
      </c>
    </row>
    <row r="23157" spans="1:4" x14ac:dyDescent="0.25">
      <c r="A23157" t="str">
        <f>HYPERLINK("https://www.773grp.com/globalSearch/TLE2144MDWREP/page-1", "TLE2144MDWREP")</f>
        <v>TLE2144MDWREP</v>
      </c>
      <c r="B23157" s="3" t="s">
        <v>90</v>
      </c>
      <c r="C23157" s="5">
        <v>1751</v>
      </c>
      <c r="D23157" s="6">
        <v>7.31</v>
      </c>
    </row>
    <row r="23158" spans="1:4" x14ac:dyDescent="0.25">
      <c r="A23158" t="str">
        <f>HYPERLINK("https://www.773grp.com/globalSearch/TLV1543CDB/page-1", "TLV1543CDB")</f>
        <v>TLV1543CDB</v>
      </c>
      <c r="B23158" s="3" t="s">
        <v>90</v>
      </c>
      <c r="C23158" s="5">
        <v>7757</v>
      </c>
      <c r="D23158" s="6">
        <v>7.31</v>
      </c>
    </row>
    <row r="23159" spans="1:4" x14ac:dyDescent="0.25">
      <c r="A23159" t="str">
        <f>HYPERLINK("https://www.773grp.com/globalSearch/TPS43350QDAPRQ1/page-1", "TPS43350QDAPRQ1")</f>
        <v>TPS43350QDAPRQ1</v>
      </c>
      <c r="B23159" s="3" t="s">
        <v>90</v>
      </c>
      <c r="C23159" s="5">
        <v>510</v>
      </c>
      <c r="D23159" s="6">
        <v>7.31</v>
      </c>
    </row>
    <row r="23160" spans="1:4" x14ac:dyDescent="0.25">
      <c r="A23160" t="str">
        <f>HYPERLINK("https://www.773grp.com/globalSearch/TPS43351QDAPRQ1/page-1", "TPS43351QDAPRQ1")</f>
        <v>TPS43351QDAPRQ1</v>
      </c>
      <c r="B23160" s="3" t="s">
        <v>90</v>
      </c>
      <c r="C23160" s="5">
        <v>850</v>
      </c>
      <c r="D23160" s="6">
        <v>7.31</v>
      </c>
    </row>
    <row r="23161" spans="1:4" x14ac:dyDescent="0.25">
      <c r="A23161" t="str">
        <f>HYPERLINK("https://www.773grp.com/globalSearch/TPS51220ARSNT/page-1", "TPS51220ARSNT")</f>
        <v>TPS51220ARSNT</v>
      </c>
      <c r="B23161" s="3" t="s">
        <v>90</v>
      </c>
      <c r="C23161" s="5">
        <v>17300</v>
      </c>
      <c r="D23161" s="6">
        <v>7.31</v>
      </c>
    </row>
    <row r="23162" spans="1:4" x14ac:dyDescent="0.25">
      <c r="A23162" t="str">
        <f>HYPERLINK("https://www.773grp.com/globalSearch/TPS51220ARTVT/page-1", "TPS51220ARTVT")</f>
        <v>TPS51220ARTVT</v>
      </c>
      <c r="B23162" s="3" t="s">
        <v>90</v>
      </c>
      <c r="C23162" s="5">
        <v>8175</v>
      </c>
      <c r="D23162" s="6">
        <v>7.31</v>
      </c>
    </row>
    <row r="23163" spans="1:4" x14ac:dyDescent="0.25">
      <c r="A23163" t="str">
        <f>HYPERLINK("https://www.773grp.com/globalSearch/TPS51220RHBT/page-1", "TPS51220RHBT")</f>
        <v>TPS51220RHBT</v>
      </c>
      <c r="B23163" s="3" t="s">
        <v>90</v>
      </c>
      <c r="C23163" s="5">
        <v>500</v>
      </c>
      <c r="D23163" s="6">
        <v>7.31</v>
      </c>
    </row>
    <row r="23164" spans="1:4" x14ac:dyDescent="0.25">
      <c r="A23164" t="str">
        <f>HYPERLINK("https://www.773grp.com/globalSearch/TPS51221RTVT/page-1", "TPS51221RTVT")</f>
        <v>TPS51221RTVT</v>
      </c>
      <c r="B23164" s="3" t="s">
        <v>90</v>
      </c>
      <c r="C23164" s="5">
        <v>6500</v>
      </c>
      <c r="D23164" s="6">
        <v>7.31</v>
      </c>
    </row>
    <row r="23165" spans="1:4" x14ac:dyDescent="0.25">
      <c r="A23165" t="str">
        <f>HYPERLINK("https://www.773grp.com/globalSearch/TPS54618RTER/page-1", "TPS54618RTER")</f>
        <v>TPS54618RTER</v>
      </c>
      <c r="B23165" s="3" t="s">
        <v>90</v>
      </c>
      <c r="C23165" s="5">
        <v>6000</v>
      </c>
      <c r="D23165" s="6">
        <v>7.31</v>
      </c>
    </row>
    <row r="23166" spans="1:4" x14ac:dyDescent="0.25">
      <c r="A23166" t="str">
        <f>HYPERLINK("https://www.773grp.com/globalSearch/TPS59640RSLT/page-1", "TPS59640RSLT")</f>
        <v>TPS59640RSLT</v>
      </c>
      <c r="B23166" s="3" t="s">
        <v>90</v>
      </c>
      <c r="C23166" s="5">
        <v>10</v>
      </c>
      <c r="D23166" s="6">
        <v>7.31</v>
      </c>
    </row>
    <row r="23167" spans="1:4" x14ac:dyDescent="0.25">
      <c r="A23167" t="str">
        <f>HYPERLINK("https://www.773grp.com/globalSearch/UCC5628FQPR-81540/page-1", "UCC5628FQPR-81540")</f>
        <v>UCC5628FQPR-81540</v>
      </c>
      <c r="B23167" s="3" t="s">
        <v>90</v>
      </c>
      <c r="C23167" s="5">
        <v>4000</v>
      </c>
      <c r="D23167" s="6">
        <v>7.31</v>
      </c>
    </row>
    <row r="23168" spans="1:4" x14ac:dyDescent="0.25">
      <c r="A23168" t="str">
        <f>HYPERLINK("https://www.773grp.com/globalSearch/DS90CF364AMTDX-NOPB/page-1", "DS90CF364AMTDX-NOPB")</f>
        <v>DS90CF364AMTDX-NOPB</v>
      </c>
      <c r="B23168" s="3" t="s">
        <v>90</v>
      </c>
      <c r="C23168" s="5">
        <v>2000</v>
      </c>
      <c r="D23168" s="6">
        <v>7.34</v>
      </c>
    </row>
    <row r="23169" spans="1:4" x14ac:dyDescent="0.25">
      <c r="A23169" t="str">
        <f>HYPERLINK("https://www.773grp.com/globalSearch/SN74LS697NS/page-1", "SN74LS697NS")</f>
        <v>SN74LS697NS</v>
      </c>
      <c r="B23169" s="3" t="s">
        <v>90</v>
      </c>
      <c r="C23169" s="5">
        <v>3320</v>
      </c>
      <c r="D23169" s="6">
        <v>7.34</v>
      </c>
    </row>
    <row r="23170" spans="1:4" x14ac:dyDescent="0.25">
      <c r="A23170" t="str">
        <f>HYPERLINK("https://www.773grp.com/globalSearch/THS4041IDRG4Q1/page-1", "THS4041IDRG4Q1")</f>
        <v>THS4041IDRG4Q1</v>
      </c>
      <c r="B23170" s="3" t="s">
        <v>90</v>
      </c>
      <c r="C23170" s="5">
        <v>10000</v>
      </c>
      <c r="D23170" s="6">
        <v>7.34</v>
      </c>
    </row>
    <row r="23171" spans="1:4" x14ac:dyDescent="0.25">
      <c r="A23171" t="str">
        <f>HYPERLINK("https://www.773grp.com/globalSearch/THS4041IDRQ1/page-1", "THS4041IDRQ1")</f>
        <v>THS4041IDRQ1</v>
      </c>
      <c r="B23171" s="3" t="s">
        <v>90</v>
      </c>
      <c r="C23171" s="5">
        <v>2500</v>
      </c>
      <c r="D23171" s="6">
        <v>7.34</v>
      </c>
    </row>
    <row r="23172" spans="1:4" x14ac:dyDescent="0.25">
      <c r="A23172" t="str">
        <f>HYPERLINK("https://www.773grp.com/globalSearch/CDC208DBR/page-1", "CDC208DBR")</f>
        <v>CDC208DBR</v>
      </c>
      <c r="B23172" s="3" t="s">
        <v>90</v>
      </c>
      <c r="C23172" s="5">
        <v>1077</v>
      </c>
      <c r="D23172" s="6">
        <v>7.38</v>
      </c>
    </row>
    <row r="23173" spans="1:4" x14ac:dyDescent="0.25">
      <c r="A23173" t="str">
        <f>HYPERLINK("https://www.773grp.com/globalSearch/DAC8581IPW/page-1", "DAC8581IPW")</f>
        <v>DAC8581IPW</v>
      </c>
      <c r="B23173" s="3" t="s">
        <v>90</v>
      </c>
      <c r="C23173" s="5">
        <v>88</v>
      </c>
      <c r="D23173" s="6">
        <v>7.38</v>
      </c>
    </row>
    <row r="23174" spans="1:4" x14ac:dyDescent="0.25">
      <c r="A23174" t="str">
        <f>HYPERLINK("https://www.773grp.com/globalSearch/LM2673SX-ADJ/page-1", "LM2673SX-ADJ")</f>
        <v>LM2673SX-ADJ</v>
      </c>
      <c r="B23174" s="3" t="s">
        <v>90</v>
      </c>
      <c r="C23174" s="5">
        <v>2500</v>
      </c>
      <c r="D23174" s="6">
        <v>7.38</v>
      </c>
    </row>
    <row r="23175" spans="1:4" x14ac:dyDescent="0.25">
      <c r="A23175" t="str">
        <f>HYPERLINK("https://www.773grp.com/globalSearch/UC2903DWTR/page-1", "UC2903DWTR")</f>
        <v>UC2903DWTR</v>
      </c>
      <c r="B23175" s="3" t="s">
        <v>90</v>
      </c>
      <c r="C23175" s="5">
        <v>6000</v>
      </c>
      <c r="D23175" s="6">
        <v>7.38</v>
      </c>
    </row>
    <row r="23176" spans="1:4" x14ac:dyDescent="0.25">
      <c r="A23176" t="str">
        <f>HYPERLINK("https://www.773grp.com/globalSearch/BQ2019PWR/page-1", "BQ2019PWR")</f>
        <v>BQ2019PWR</v>
      </c>
      <c r="B23176" s="3" t="s">
        <v>90</v>
      </c>
      <c r="C23176" s="5">
        <v>2000</v>
      </c>
      <c r="D23176" s="6">
        <v>7.39</v>
      </c>
    </row>
    <row r="23177" spans="1:4" x14ac:dyDescent="0.25">
      <c r="A23177" t="str">
        <f>HYPERLINK("https://www.773grp.com/globalSearch/BQ4845S-A4TR/page-1", "BQ4845S-A4TR")</f>
        <v>BQ4845S-A4TR</v>
      </c>
      <c r="B23177" s="3" t="s">
        <v>90</v>
      </c>
      <c r="C23177" s="5">
        <v>1000</v>
      </c>
      <c r="D23177" s="6">
        <v>7.39</v>
      </c>
    </row>
    <row r="23178" spans="1:4" x14ac:dyDescent="0.25">
      <c r="A23178" t="str">
        <f>HYPERLINK("https://www.773grp.com/globalSearch/SN751177NE4/page-1", "SN751177NE4")</f>
        <v>SN751177NE4</v>
      </c>
      <c r="B23178" s="3" t="s">
        <v>90</v>
      </c>
      <c r="C23178" s="5">
        <v>225</v>
      </c>
      <c r="D23178" s="6">
        <v>7.39</v>
      </c>
    </row>
    <row r="23179" spans="1:4" x14ac:dyDescent="0.25">
      <c r="A23179" t="str">
        <f>HYPERLINK("https://www.773grp.com/globalSearch/TPS73HD301PWPG4/page-1", "TPS73HD301PWPG4")</f>
        <v>TPS73HD301PWPG4</v>
      </c>
      <c r="B23179" s="3" t="s">
        <v>90</v>
      </c>
      <c r="C23179" s="5">
        <v>50</v>
      </c>
      <c r="D23179" s="6">
        <v>7.39</v>
      </c>
    </row>
    <row r="23180" spans="1:4" x14ac:dyDescent="0.25">
      <c r="A23180" t="str">
        <f>HYPERLINK("https://www.773grp.com/globalSearch/UC2907DWTR/page-1", "UC2907DWTR")</f>
        <v>UC2907DWTR</v>
      </c>
      <c r="B23180" s="3" t="s">
        <v>90</v>
      </c>
      <c r="C23180" s="5">
        <v>2000</v>
      </c>
      <c r="D23180" s="6">
        <v>7.39</v>
      </c>
    </row>
    <row r="23181" spans="1:4" x14ac:dyDescent="0.25">
      <c r="A23181" t="str">
        <f>HYPERLINK("https://www.773grp.com/globalSearch/DS90CF364MTD-NOPB/page-1", "DS90CF364MTD-NOPB")</f>
        <v>DS90CF364MTD-NOPB</v>
      </c>
      <c r="B23181" s="3" t="s">
        <v>90</v>
      </c>
      <c r="C23181" s="5">
        <v>400</v>
      </c>
      <c r="D23181" s="6">
        <v>7.43</v>
      </c>
    </row>
    <row r="23182" spans="1:4" x14ac:dyDescent="0.25">
      <c r="A23182" t="str">
        <f>HYPERLINK("https://www.773grp.com/globalSearch/OPA860IDR/page-1", "OPA860IDR")</f>
        <v>OPA860IDR</v>
      </c>
      <c r="B23182" s="3" t="s">
        <v>90</v>
      </c>
      <c r="C23182" s="5">
        <v>2500</v>
      </c>
      <c r="D23182" s="6">
        <v>7.43</v>
      </c>
    </row>
    <row r="23183" spans="1:4" x14ac:dyDescent="0.25">
      <c r="A23183" t="str">
        <f>HYPERLINK("https://www.773grp.com/globalSearch/RI-TRP-WE2B-30/page-1", "RI-TRP-WE2B-30")</f>
        <v>RI-TRP-WE2B-30</v>
      </c>
      <c r="B23183" s="3" t="s">
        <v>90</v>
      </c>
      <c r="C23183" s="5">
        <v>2000</v>
      </c>
      <c r="D23183" s="6">
        <v>7.43</v>
      </c>
    </row>
    <row r="23184" spans="1:4" x14ac:dyDescent="0.25">
      <c r="A23184" t="str">
        <f>HYPERLINK("https://www.773grp.com/globalSearch/SN74ALS641ADW/page-1", "SN74ALS641ADW")</f>
        <v>SN74ALS641ADW</v>
      </c>
      <c r="B23184" s="3" t="s">
        <v>90</v>
      </c>
      <c r="C23184" s="5">
        <v>800</v>
      </c>
      <c r="D23184" s="6">
        <v>7.43</v>
      </c>
    </row>
    <row r="23185" spans="1:4" x14ac:dyDescent="0.25">
      <c r="A23185" t="str">
        <f>HYPERLINK("https://www.773grp.com/globalSearch/TL16C2550RHBG4/page-1", "TL16C2550RHBG4")</f>
        <v>TL16C2550RHBG4</v>
      </c>
      <c r="B23185" s="3" t="s">
        <v>90</v>
      </c>
      <c r="C23185" s="5">
        <v>46</v>
      </c>
      <c r="D23185" s="6">
        <v>7.43</v>
      </c>
    </row>
    <row r="23186" spans="1:4" x14ac:dyDescent="0.25">
      <c r="A23186" t="str">
        <f>HYPERLINK("https://www.773grp.com/globalSearch/TLE2084ACDW/page-1", "TLE2084ACDW")</f>
        <v>TLE2084ACDW</v>
      </c>
      <c r="B23186" s="3" t="s">
        <v>90</v>
      </c>
      <c r="C23186" s="5">
        <v>20</v>
      </c>
      <c r="D23186" s="6">
        <v>7.43</v>
      </c>
    </row>
    <row r="23187" spans="1:4" x14ac:dyDescent="0.25">
      <c r="A23187" t="str">
        <f>HYPERLINK("https://www.773grp.com/globalSearch/TLE2084ACDWG4/page-1", "TLE2084ACDWG4")</f>
        <v>TLE2084ACDWG4</v>
      </c>
      <c r="B23187" s="3" t="s">
        <v>90</v>
      </c>
      <c r="C23187" s="5">
        <v>32</v>
      </c>
      <c r="D23187" s="6">
        <v>7.43</v>
      </c>
    </row>
    <row r="23188" spans="1:4" x14ac:dyDescent="0.25">
      <c r="A23188" t="str">
        <f>HYPERLINK("https://www.773grp.com/globalSearch/TPS54314PWP/page-1", "TPS54314PWP")</f>
        <v>TPS54314PWP</v>
      </c>
      <c r="B23188" s="3" t="s">
        <v>90</v>
      </c>
      <c r="C23188" s="5">
        <v>12</v>
      </c>
      <c r="D23188" s="6">
        <v>7.43</v>
      </c>
    </row>
    <row r="23189" spans="1:4" x14ac:dyDescent="0.25">
      <c r="A23189" t="str">
        <f>HYPERLINK("https://www.773grp.com/globalSearch/TPS54316PWP/page-1", "TPS54316PWP")</f>
        <v>TPS54316PWP</v>
      </c>
      <c r="B23189" s="3" t="s">
        <v>90</v>
      </c>
      <c r="C23189" s="5">
        <v>2170</v>
      </c>
      <c r="D23189" s="6">
        <v>7.43</v>
      </c>
    </row>
    <row r="23190" spans="1:4" x14ac:dyDescent="0.25">
      <c r="A23190" t="str">
        <f>HYPERLINK("https://www.773grp.com/globalSearch/TPS56921PWP/page-1", "TPS56921PWP")</f>
        <v>TPS56921PWP</v>
      </c>
      <c r="B23190" s="3" t="s">
        <v>90</v>
      </c>
      <c r="C23190" s="5">
        <v>699</v>
      </c>
      <c r="D23190" s="6">
        <v>7.43</v>
      </c>
    </row>
    <row r="23191" spans="1:4" x14ac:dyDescent="0.25">
      <c r="A23191" t="str">
        <f>HYPERLINK("https://www.773grp.com/globalSearch/ADS1118IRUGT/page-1", "ADS1118IRUGT")</f>
        <v>ADS1118IRUGT</v>
      </c>
      <c r="B23191" s="3" t="s">
        <v>90</v>
      </c>
      <c r="C23191" s="5">
        <v>90</v>
      </c>
      <c r="D23191" s="6">
        <v>7.46</v>
      </c>
    </row>
    <row r="23192" spans="1:4" x14ac:dyDescent="0.25">
      <c r="A23192" t="str">
        <f>HYPERLINK("https://www.773grp.com/globalSearch/ADS7816UC-2K5/page-1", "ADS7816UC-2K5")</f>
        <v>ADS7816UC-2K5</v>
      </c>
      <c r="B23192" s="3" t="s">
        <v>90</v>
      </c>
      <c r="C23192" s="5">
        <v>7500</v>
      </c>
      <c r="D23192" s="6">
        <v>7.46</v>
      </c>
    </row>
    <row r="23193" spans="1:4" x14ac:dyDescent="0.25">
      <c r="A23193" t="str">
        <f>HYPERLINK("https://www.773grp.com/globalSearch/CC8520RHAR/page-1", "CC8520RHAR")</f>
        <v>CC8520RHAR</v>
      </c>
      <c r="B23193" s="3" t="s">
        <v>90</v>
      </c>
      <c r="C23193" s="5">
        <v>9250</v>
      </c>
      <c r="D23193" s="6">
        <v>7.46</v>
      </c>
    </row>
    <row r="23194" spans="1:4" x14ac:dyDescent="0.25">
      <c r="A23194" t="str">
        <f>HYPERLINK("https://www.773grp.com/globalSearch/ISO7242MDWG4/page-1", "ISO7242MDWG4")</f>
        <v>ISO7242MDWG4</v>
      </c>
      <c r="B23194" s="3" t="s">
        <v>90</v>
      </c>
      <c r="C23194" s="5">
        <v>40</v>
      </c>
      <c r="D23194" s="6">
        <v>7.46</v>
      </c>
    </row>
    <row r="23195" spans="1:4" x14ac:dyDescent="0.25">
      <c r="A23195" t="str">
        <f>HYPERLINK("https://www.773grp.com/globalSearch/LM2577T-ADJ-NOPB/page-1", "LM2577T-ADJ-NOPB")</f>
        <v>LM2577T-ADJ-NOPB</v>
      </c>
      <c r="B23195" s="3" t="s">
        <v>90</v>
      </c>
      <c r="C23195" s="5">
        <v>360</v>
      </c>
      <c r="D23195" s="6">
        <v>7.46</v>
      </c>
    </row>
    <row r="23196" spans="1:4" x14ac:dyDescent="0.25">
      <c r="A23196" t="str">
        <f>HYPERLINK("https://www.773grp.com/globalSearch/OPA4340UA-2K5/page-1", "OPA4340UA-2K5")</f>
        <v>OPA4340UA-2K5</v>
      </c>
      <c r="B23196" s="3" t="s">
        <v>90</v>
      </c>
      <c r="C23196" s="5">
        <v>2827</v>
      </c>
      <c r="D23196" s="6">
        <v>7.46</v>
      </c>
    </row>
    <row r="23197" spans="1:4" x14ac:dyDescent="0.25">
      <c r="A23197" t="str">
        <f>HYPERLINK("https://www.773grp.com/globalSearch/PCM3060PW/page-1", "PCM3060PW")</f>
        <v>PCM3060PW</v>
      </c>
      <c r="B23197" s="3" t="s">
        <v>90</v>
      </c>
      <c r="C23197" s="5">
        <v>50</v>
      </c>
      <c r="D23197" s="6">
        <v>7.46</v>
      </c>
    </row>
    <row r="23198" spans="1:4" x14ac:dyDescent="0.25">
      <c r="A23198" t="str">
        <f>HYPERLINK("https://www.773grp.com/globalSearch/SNJ54ALS353J/page-1", "SNJ54ALS353J")</f>
        <v>SNJ54ALS353J</v>
      </c>
      <c r="B23198" s="3" t="s">
        <v>90</v>
      </c>
      <c r="C23198" s="5">
        <v>275</v>
      </c>
      <c r="D23198" s="6">
        <v>7.46</v>
      </c>
    </row>
    <row r="23199" spans="1:4" x14ac:dyDescent="0.25">
      <c r="A23199" t="str">
        <f>HYPERLINK("https://www.773grp.com/globalSearch/TAS5716PAP/page-1", "TAS5716PAP")</f>
        <v>TAS5716PAP</v>
      </c>
      <c r="B23199" s="3" t="s">
        <v>90</v>
      </c>
      <c r="C23199" s="5">
        <v>160</v>
      </c>
      <c r="D23199" s="6">
        <v>7.46</v>
      </c>
    </row>
    <row r="23200" spans="1:4" x14ac:dyDescent="0.25">
      <c r="A23200" t="str">
        <f>HYPERLINK("https://www.773grp.com/globalSearch/TMS320F28021PTS/page-1", "TMS320F28021PTS")</f>
        <v>TMS320F28021PTS</v>
      </c>
      <c r="B23200" s="3" t="s">
        <v>90</v>
      </c>
      <c r="C23200" s="5">
        <v>110</v>
      </c>
      <c r="D23200" s="6">
        <v>7.46</v>
      </c>
    </row>
    <row r="23201" spans="1:4" x14ac:dyDescent="0.25">
      <c r="A23201" t="str">
        <f>HYPERLINK("https://www.773grp.com/globalSearch/TMS320F28023DAT/page-1", "TMS320F28023DAT")</f>
        <v>TMS320F28023DAT</v>
      </c>
      <c r="B23201" s="3" t="s">
        <v>90</v>
      </c>
      <c r="C23201" s="5">
        <v>21085</v>
      </c>
      <c r="D23201" s="6">
        <v>7.46</v>
      </c>
    </row>
    <row r="23202" spans="1:4" x14ac:dyDescent="0.25">
      <c r="A23202" t="str">
        <f>HYPERLINK("https://www.773grp.com/globalSearch/TPA3101D2RGZR/page-1", "TPA3101D2RGZR")</f>
        <v>TPA3101D2RGZR</v>
      </c>
      <c r="B23202" s="3" t="s">
        <v>90</v>
      </c>
      <c r="C23202" s="5">
        <v>2500</v>
      </c>
      <c r="D23202" s="6">
        <v>7.46</v>
      </c>
    </row>
    <row r="23203" spans="1:4" x14ac:dyDescent="0.25">
      <c r="A23203" t="str">
        <f>HYPERLINK("https://www.773grp.com/globalSearch/TPS2370PWG4/page-1", "TPS2370PWG4")</f>
        <v>TPS2370PWG4</v>
      </c>
      <c r="B23203" s="3" t="s">
        <v>90</v>
      </c>
      <c r="C23203" s="5">
        <v>10</v>
      </c>
      <c r="D23203" s="6">
        <v>7.46</v>
      </c>
    </row>
    <row r="23204" spans="1:4" x14ac:dyDescent="0.25">
      <c r="A23204" t="str">
        <f>HYPERLINK("https://www.773grp.com/globalSearch/TPS54315QPWPRQ1/page-1", "TPS54315QPWPRQ1")</f>
        <v>TPS54315QPWPRQ1</v>
      </c>
      <c r="B23204" s="3" t="s">
        <v>90</v>
      </c>
      <c r="C23204" s="5">
        <v>2000</v>
      </c>
      <c r="D23204" s="6">
        <v>7.46</v>
      </c>
    </row>
    <row r="23205" spans="1:4" x14ac:dyDescent="0.25">
      <c r="A23205" t="str">
        <f>HYPERLINK("https://www.773grp.com/globalSearch/TPS59650RSLR/page-1", "TPS59650RSLR")</f>
        <v>TPS59650RSLR</v>
      </c>
      <c r="B23205" s="3" t="s">
        <v>90</v>
      </c>
      <c r="C23205" s="5">
        <v>2300</v>
      </c>
      <c r="D23205" s="6">
        <v>7.46</v>
      </c>
    </row>
    <row r="23206" spans="1:4" x14ac:dyDescent="0.25">
      <c r="A23206" t="str">
        <f>HYPERLINK("https://www.773grp.com/globalSearch/SN74HCT564N/page-1", "SN74HCT564N")</f>
        <v>SN74HCT564N</v>
      </c>
      <c r="B23206" s="3" t="s">
        <v>90</v>
      </c>
      <c r="C23206" s="5">
        <v>1422</v>
      </c>
      <c r="D23206" s="6">
        <v>7.48</v>
      </c>
    </row>
    <row r="23207" spans="1:4" x14ac:dyDescent="0.25">
      <c r="A23207" t="str">
        <f>HYPERLINK("https://www.773grp.com/globalSearch/SNJ54HC36J/page-1", "SNJ54HC36J")</f>
        <v>SNJ54HC36J</v>
      </c>
      <c r="B23207" s="3" t="s">
        <v>90</v>
      </c>
      <c r="C23207" s="5">
        <v>251</v>
      </c>
      <c r="D23207" s="6">
        <v>7.48</v>
      </c>
    </row>
    <row r="23208" spans="1:4" x14ac:dyDescent="0.25">
      <c r="A23208" t="str">
        <f>HYPERLINK("https://www.773grp.com/globalSearch/TSP53C32NL/page-1", "TSP53C32NL")</f>
        <v>TSP53C32NL</v>
      </c>
      <c r="B23208" s="3" t="s">
        <v>90</v>
      </c>
      <c r="C23208" s="5">
        <v>50</v>
      </c>
      <c r="D23208" s="6">
        <v>7.48</v>
      </c>
    </row>
    <row r="23209" spans="1:4" x14ac:dyDescent="0.25">
      <c r="A23209" t="str">
        <f>HYPERLINK("https://www.773grp.com/globalSearch/UCC5630MWP-81364/page-1", "UCC5630MWP-81364")</f>
        <v>UCC5630MWP-81364</v>
      </c>
      <c r="B23209" s="3" t="s">
        <v>90</v>
      </c>
      <c r="C23209" s="5">
        <v>1984</v>
      </c>
      <c r="D23209" s="6">
        <v>7.48</v>
      </c>
    </row>
    <row r="23210" spans="1:4" x14ac:dyDescent="0.25">
      <c r="A23210" t="str">
        <f>HYPERLINK("https://www.773grp.com/globalSearch/UCC5630MWPTR-81364/page-1", "UCC5630MWPTR-81364")</f>
        <v>UCC5630MWPTR-81364</v>
      </c>
      <c r="B23210" s="3" t="s">
        <v>90</v>
      </c>
      <c r="C23210" s="5">
        <v>2000</v>
      </c>
      <c r="D23210" s="6">
        <v>7.48</v>
      </c>
    </row>
    <row r="23211" spans="1:4" x14ac:dyDescent="0.25">
      <c r="A23211" t="str">
        <f>HYPERLINK("https://www.773grp.com/globalSearch/DS91M047TMA-NOPB/page-1", "DS91M047TMA-NOPB")</f>
        <v>DS91M047TMA-NOPB</v>
      </c>
      <c r="B23211" s="3" t="s">
        <v>90</v>
      </c>
      <c r="C23211" s="5">
        <v>2256</v>
      </c>
      <c r="D23211" s="6">
        <v>7.51</v>
      </c>
    </row>
    <row r="23212" spans="1:4" x14ac:dyDescent="0.25">
      <c r="A23212" t="str">
        <f>HYPERLINK("https://www.773grp.com/globalSearch/DS91M047TMA-NOPB/page-1", "DS91M047TMA-NOPB")</f>
        <v>DS91M047TMA-NOPB</v>
      </c>
      <c r="B23212" s="3" t="s">
        <v>90</v>
      </c>
      <c r="C23212" s="5">
        <v>48</v>
      </c>
      <c r="D23212" s="6">
        <v>7.51</v>
      </c>
    </row>
    <row r="23213" spans="1:4" x14ac:dyDescent="0.25">
      <c r="A23213" t="str">
        <f>HYPERLINK("https://www.773grp.com/globalSearch/SN750012NT/page-1", "SN750012NT")</f>
        <v>SN750012NT</v>
      </c>
      <c r="B23213" s="3" t="s">
        <v>90</v>
      </c>
      <c r="C23213" s="5">
        <v>770</v>
      </c>
      <c r="D23213" s="6">
        <v>7.54</v>
      </c>
    </row>
    <row r="23214" spans="1:4" x14ac:dyDescent="0.25">
      <c r="A23214" t="str">
        <f>HYPERLINK("https://www.773grp.com/globalSearch/ADCS7476AIMF/page-1", "ADCS7476AIMF")</f>
        <v>ADCS7476AIMF</v>
      </c>
      <c r="B23214" s="3" t="s">
        <v>90</v>
      </c>
      <c r="C23214" s="5">
        <v>274</v>
      </c>
      <c r="D23214" s="6">
        <v>7.56</v>
      </c>
    </row>
    <row r="23215" spans="1:4" x14ac:dyDescent="0.25">
      <c r="A23215" t="str">
        <f>HYPERLINK("https://www.773grp.com/globalSearch/ADS1110A3IDBVTG4/page-1", "ADS1110A3IDBVTG4")</f>
        <v>ADS1110A3IDBVTG4</v>
      </c>
      <c r="B23215" s="3" t="s">
        <v>90</v>
      </c>
      <c r="C23215" s="5">
        <v>90</v>
      </c>
      <c r="D23215" s="6">
        <v>7.56</v>
      </c>
    </row>
    <row r="23216" spans="1:4" x14ac:dyDescent="0.25">
      <c r="A23216" t="str">
        <f>HYPERLINK("https://www.773grp.com/globalSearch/ADS1110A5IDBVT/page-1", "ADS1110A5IDBVT")</f>
        <v>ADS1110A5IDBVT</v>
      </c>
      <c r="B23216" s="3" t="s">
        <v>90</v>
      </c>
      <c r="C23216" s="5">
        <v>750</v>
      </c>
      <c r="D23216" s="6">
        <v>7.56</v>
      </c>
    </row>
    <row r="23217" spans="1:4" x14ac:dyDescent="0.25">
      <c r="A23217" t="str">
        <f>HYPERLINK("https://www.773grp.com/globalSearch/ADS1115QDGSRQ1/page-1", "ADS1115QDGSRQ1")</f>
        <v>ADS1115QDGSRQ1</v>
      </c>
      <c r="B23217" s="3" t="s">
        <v>90</v>
      </c>
      <c r="C23217" s="5">
        <v>9900</v>
      </c>
      <c r="D23217" s="6">
        <v>7.56</v>
      </c>
    </row>
    <row r="23218" spans="1:4" x14ac:dyDescent="0.25">
      <c r="A23218" t="str">
        <f>HYPERLINK("https://www.773grp.com/globalSearch/BQ2004SN/page-1", "BQ2004SN")</f>
        <v>BQ2004SN</v>
      </c>
      <c r="B23218" s="3" t="s">
        <v>90</v>
      </c>
      <c r="C23218" s="5">
        <v>3320</v>
      </c>
      <c r="D23218" s="6">
        <v>7.56</v>
      </c>
    </row>
    <row r="23219" spans="1:4" x14ac:dyDescent="0.25">
      <c r="A23219" t="str">
        <f>HYPERLINK("https://www.773grp.com/globalSearch/REG103UA-5/page-1", "REG103UA-5")</f>
        <v>REG103UA-5</v>
      </c>
      <c r="B23219" s="3" t="s">
        <v>90</v>
      </c>
      <c r="C23219" s="5">
        <v>85</v>
      </c>
      <c r="D23219" s="6">
        <v>7.56</v>
      </c>
    </row>
    <row r="23220" spans="1:4" x14ac:dyDescent="0.25">
      <c r="A23220" t="str">
        <f>HYPERLINK("https://www.773grp.com/globalSearch/SN54HC132J/page-1", "SN54HC132J")</f>
        <v>SN54HC132J</v>
      </c>
      <c r="B23220" s="3" t="s">
        <v>90</v>
      </c>
      <c r="C23220" s="5">
        <v>16</v>
      </c>
      <c r="D23220" s="6">
        <v>7.56</v>
      </c>
    </row>
    <row r="23221" spans="1:4" x14ac:dyDescent="0.25">
      <c r="A23221" t="str">
        <f>HYPERLINK("https://www.773grp.com/globalSearch/BQ24725RGRT/page-1", "BQ24725RGRT")</f>
        <v>BQ24725RGRT</v>
      </c>
      <c r="B23221" s="3" t="s">
        <v>90</v>
      </c>
      <c r="C23221" s="5">
        <v>6750</v>
      </c>
      <c r="D23221" s="6">
        <v>7.6</v>
      </c>
    </row>
    <row r="23222" spans="1:4" x14ac:dyDescent="0.25">
      <c r="A23222" t="str">
        <f>HYPERLINK("https://www.773grp.com/globalSearch/BQ77910ADBTR/page-1", "BQ77910ADBTR")</f>
        <v>BQ77910ADBTR</v>
      </c>
      <c r="B23222" s="3" t="s">
        <v>90</v>
      </c>
      <c r="C23222" s="5">
        <v>4000</v>
      </c>
      <c r="D23222" s="6">
        <v>7.6</v>
      </c>
    </row>
    <row r="23223" spans="1:4" x14ac:dyDescent="0.25">
      <c r="A23223" t="str">
        <f>HYPERLINK("https://www.773grp.com/globalSearch/CC430F5137IRGZR/page-1", "CC430F5137IRGZR")</f>
        <v>CC430F5137IRGZR</v>
      </c>
      <c r="B23223" s="3" t="s">
        <v>90</v>
      </c>
      <c r="C23223" s="5">
        <v>10000</v>
      </c>
      <c r="D23223" s="6">
        <v>7.6</v>
      </c>
    </row>
    <row r="23224" spans="1:4" x14ac:dyDescent="0.25">
      <c r="A23224" t="str">
        <f>HYPERLINK("https://www.773grp.com/globalSearch/DBB03AIPM/page-1", "DBB03AIPM")</f>
        <v>DBB03AIPM</v>
      </c>
      <c r="B23224" s="3" t="s">
        <v>90</v>
      </c>
      <c r="C23224" s="5">
        <v>479</v>
      </c>
      <c r="D23224" s="6">
        <v>7.6</v>
      </c>
    </row>
    <row r="23225" spans="1:4" x14ac:dyDescent="0.25">
      <c r="A23225" t="str">
        <f>HYPERLINK("https://www.773grp.com/globalSearch/DRV8842PWP/page-1", "DRV8842PWP")</f>
        <v>DRV8842PWP</v>
      </c>
      <c r="B23225" s="3" t="s">
        <v>90</v>
      </c>
      <c r="C23225" s="5">
        <v>50</v>
      </c>
      <c r="D23225" s="6">
        <v>7.6</v>
      </c>
    </row>
    <row r="23226" spans="1:4" x14ac:dyDescent="0.25">
      <c r="A23226" t="str">
        <f>HYPERLINK("https://www.773grp.com/globalSearch/DRV8843PWP/page-1", "DRV8843PWP")</f>
        <v>DRV8843PWP</v>
      </c>
      <c r="B23226" s="3" t="s">
        <v>90</v>
      </c>
      <c r="C23226" s="5">
        <v>50</v>
      </c>
      <c r="D23226" s="6">
        <v>7.6</v>
      </c>
    </row>
    <row r="23227" spans="1:4" x14ac:dyDescent="0.25">
      <c r="A23227" t="str">
        <f>HYPERLINK("https://www.773grp.com/globalSearch/INA149AIDR/page-1", "INA149AIDR")</f>
        <v>INA149AIDR</v>
      </c>
      <c r="B23227" s="3" t="s">
        <v>90</v>
      </c>
      <c r="C23227" s="5">
        <v>947</v>
      </c>
      <c r="D23227" s="6">
        <v>7.6</v>
      </c>
    </row>
    <row r="23228" spans="1:4" x14ac:dyDescent="0.25">
      <c r="A23228" t="str">
        <f>HYPERLINK("https://www.773grp.com/globalSearch/MSP430F2274TRHAT/page-1", "MSP430F2274TRHAT")</f>
        <v>MSP430F2274TRHAT</v>
      </c>
      <c r="B23228" s="3" t="s">
        <v>90</v>
      </c>
      <c r="C23228" s="5">
        <v>2500</v>
      </c>
      <c r="D23228" s="6">
        <v>7.6</v>
      </c>
    </row>
    <row r="23229" spans="1:4" x14ac:dyDescent="0.25">
      <c r="A23229" t="str">
        <f>HYPERLINK("https://www.773grp.com/globalSearch/MSP430F425IPMR/page-1", "MSP430F425IPMR")</f>
        <v>MSP430F425IPMR</v>
      </c>
      <c r="B23229" s="3" t="s">
        <v>90</v>
      </c>
      <c r="C23229" s="5">
        <v>33000</v>
      </c>
      <c r="D23229" s="6">
        <v>7.6</v>
      </c>
    </row>
    <row r="23230" spans="1:4" x14ac:dyDescent="0.25">
      <c r="A23230" t="str">
        <f>HYPERLINK("https://www.773grp.com/globalSearch/OPA2130UA/page-1", "OPA2130UA")</f>
        <v>OPA2130UA</v>
      </c>
      <c r="B23230" s="3" t="s">
        <v>90</v>
      </c>
      <c r="C23230" s="5">
        <v>52125</v>
      </c>
      <c r="D23230" s="6">
        <v>7.6</v>
      </c>
    </row>
    <row r="23231" spans="1:4" x14ac:dyDescent="0.25">
      <c r="A23231" t="str">
        <f>HYPERLINK("https://www.773grp.com/globalSearch/OPA2234U-1/page-1", "OPA2234U-1")</f>
        <v>OPA2234U-1</v>
      </c>
      <c r="B23231" s="3" t="s">
        <v>90</v>
      </c>
      <c r="C23231" s="5">
        <v>7875</v>
      </c>
      <c r="D23231" s="6">
        <v>7.6</v>
      </c>
    </row>
    <row r="23232" spans="1:4" x14ac:dyDescent="0.25">
      <c r="A23232" t="str">
        <f>HYPERLINK("https://www.773grp.com/globalSearch/TPS5450DDA/page-1", "TPS5450DDA")</f>
        <v>TPS5450DDA</v>
      </c>
      <c r="B23232" s="3" t="s">
        <v>90</v>
      </c>
      <c r="C23232" s="5">
        <v>25</v>
      </c>
      <c r="D23232" s="6">
        <v>7.6</v>
      </c>
    </row>
    <row r="23233" spans="1:4" x14ac:dyDescent="0.25">
      <c r="A23233" t="str">
        <f>HYPERLINK("https://www.773grp.com/globalSearch/TPS71202MDRCTEP/page-1", "TPS71202MDRCTEP")</f>
        <v>TPS71202MDRCTEP</v>
      </c>
      <c r="B23233" s="3" t="s">
        <v>90</v>
      </c>
      <c r="C23233" s="5">
        <v>352</v>
      </c>
      <c r="D23233" s="6">
        <v>7.6</v>
      </c>
    </row>
    <row r="23234" spans="1:4" x14ac:dyDescent="0.25">
      <c r="A23234" t="str">
        <f>HYPERLINK("https://www.773grp.com/globalSearch/2A997/page-1", "2A997")</f>
        <v>2A997</v>
      </c>
      <c r="B23234" s="3" t="s">
        <v>90</v>
      </c>
      <c r="C23234" s="5">
        <v>1770</v>
      </c>
      <c r="D23234" s="6">
        <v>7.68</v>
      </c>
    </row>
    <row r="23235" spans="1:4" x14ac:dyDescent="0.25">
      <c r="A23235" t="str">
        <f>HYPERLINK("https://www.773grp.com/globalSearch/2A997-2K5/page-1", "2A997-2K5")</f>
        <v>2A997-2K5</v>
      </c>
      <c r="B23235" s="3" t="s">
        <v>90</v>
      </c>
      <c r="C23235" s="5">
        <v>2500</v>
      </c>
      <c r="D23235" s="6">
        <v>7.68</v>
      </c>
    </row>
    <row r="23236" spans="1:4" x14ac:dyDescent="0.25">
      <c r="A23236" t="str">
        <f>HYPERLINK("https://www.773grp.com/globalSearch/TLS2233DLR/page-1", "TLS2233DLR")</f>
        <v>TLS2233DLR</v>
      </c>
      <c r="B23236" s="3" t="s">
        <v>90</v>
      </c>
      <c r="C23236" s="5">
        <v>18000</v>
      </c>
      <c r="D23236" s="6">
        <v>7.68</v>
      </c>
    </row>
    <row r="23237" spans="1:4" x14ac:dyDescent="0.25">
      <c r="A23237" t="str">
        <f>HYPERLINK("https://www.773grp.com/globalSearch/TLS2237DLR/page-1", "TLS2237DLR")</f>
        <v>TLS2237DLR</v>
      </c>
      <c r="B23237" s="3" t="s">
        <v>90</v>
      </c>
      <c r="C23237" s="5">
        <v>27000</v>
      </c>
      <c r="D23237" s="6">
        <v>7.68</v>
      </c>
    </row>
    <row r="23238" spans="1:4" x14ac:dyDescent="0.25">
      <c r="A23238" t="str">
        <f>HYPERLINK("https://www.773grp.com/globalSearch/34P3216A-CGT/page-1", "34P3216A-CGT")</f>
        <v>34P3216A-CGT</v>
      </c>
      <c r="B23238" s="3" t="s">
        <v>90</v>
      </c>
      <c r="C23238" s="5">
        <v>108964</v>
      </c>
      <c r="D23238" s="6">
        <v>7.73</v>
      </c>
    </row>
    <row r="23239" spans="1:4" x14ac:dyDescent="0.25">
      <c r="A23239" t="str">
        <f>HYPERLINK("https://www.773grp.com/globalSearch/ADS7835E/page-1", "ADS7835E")</f>
        <v>ADS7835E</v>
      </c>
      <c r="B23239" s="3" t="s">
        <v>90</v>
      </c>
      <c r="C23239" s="5">
        <v>4541</v>
      </c>
      <c r="D23239" s="6">
        <v>7.73</v>
      </c>
    </row>
    <row r="23240" spans="1:4" x14ac:dyDescent="0.25">
      <c r="A23240" t="str">
        <f>HYPERLINK("https://www.773grp.com/globalSearch/ADS7835E/page-1", "ADS7835E")</f>
        <v>ADS7835E</v>
      </c>
      <c r="B23240" s="3" t="s">
        <v>90</v>
      </c>
      <c r="C23240" s="5">
        <v>17335</v>
      </c>
      <c r="D23240" s="6">
        <v>7.73</v>
      </c>
    </row>
    <row r="23241" spans="1:4" x14ac:dyDescent="0.25">
      <c r="A23241" t="str">
        <f>HYPERLINK("https://www.773grp.com/globalSearch/BQ24617RGER/page-1", "BQ24617RGER")</f>
        <v>BQ24617RGER</v>
      </c>
      <c r="B23241" s="3" t="s">
        <v>90</v>
      </c>
      <c r="C23241" s="5">
        <v>18000</v>
      </c>
      <c r="D23241" s="6">
        <v>7.73</v>
      </c>
    </row>
    <row r="23242" spans="1:4" x14ac:dyDescent="0.25">
      <c r="A23242" t="str">
        <f>HYPERLINK("https://www.773grp.com/globalSearch/HPABT6150HZSLC1R/page-1", "HPABT6150HZSLC1R")</f>
        <v>HPABT6150HZSLC1R</v>
      </c>
      <c r="B23242" s="3" t="s">
        <v>90</v>
      </c>
      <c r="C23242" s="5">
        <v>12737</v>
      </c>
      <c r="D23242" s="6">
        <v>7.73</v>
      </c>
    </row>
    <row r="23243" spans="1:4" x14ac:dyDescent="0.25">
      <c r="A23243" t="str">
        <f>HYPERLINK("https://www.773grp.com/globalSearch/LM3000SQ-NOPB/page-1", "LM3000SQ-NOPB")</f>
        <v>LM3000SQ-NOPB</v>
      </c>
      <c r="B23243" s="3" t="s">
        <v>90</v>
      </c>
      <c r="C23243" s="5">
        <v>1000</v>
      </c>
      <c r="D23243" s="6">
        <v>7.73</v>
      </c>
    </row>
    <row r="23244" spans="1:4" x14ac:dyDescent="0.25">
      <c r="A23244" t="str">
        <f>HYPERLINK("https://www.773grp.com/globalSearch/LM3754SQ-NOPB/page-1", "LM3754SQ-NOPB")</f>
        <v>LM3754SQ-NOPB</v>
      </c>
      <c r="B23244" s="3" t="s">
        <v>90</v>
      </c>
      <c r="C23244" s="5">
        <v>980</v>
      </c>
      <c r="D23244" s="6">
        <v>7.73</v>
      </c>
    </row>
    <row r="23245" spans="1:4" x14ac:dyDescent="0.25">
      <c r="A23245" t="str">
        <f>HYPERLINK("https://www.773grp.com/globalSearch/MSP430F247TPMR/page-1", "MSP430F247TPMR")</f>
        <v>MSP430F247TPMR</v>
      </c>
      <c r="B23245" s="3" t="s">
        <v>90</v>
      </c>
      <c r="C23245" s="5">
        <v>2067</v>
      </c>
      <c r="D23245" s="6">
        <v>7.73</v>
      </c>
    </row>
    <row r="23246" spans="1:4" x14ac:dyDescent="0.25">
      <c r="A23246" t="str">
        <f>HYPERLINK("https://www.773grp.com/globalSearch/MSP430F5419AIPZ/page-1", "MSP430F5419AIPZ")</f>
        <v>MSP430F5419AIPZ</v>
      </c>
      <c r="B23246" s="3" t="s">
        <v>90</v>
      </c>
      <c r="C23246" s="5">
        <v>870</v>
      </c>
      <c r="D23246" s="6">
        <v>7.73</v>
      </c>
    </row>
    <row r="23247" spans="1:4" x14ac:dyDescent="0.25">
      <c r="A23247" t="str">
        <f>HYPERLINK("https://www.773grp.com/globalSearch/PCM5102PW/page-1", "PCM5102PW")</f>
        <v>PCM5102PW</v>
      </c>
      <c r="B23247" s="3" t="s">
        <v>90</v>
      </c>
      <c r="C23247" s="5">
        <v>700</v>
      </c>
      <c r="D23247" s="6">
        <v>7.73</v>
      </c>
    </row>
    <row r="23248" spans="1:4" x14ac:dyDescent="0.25">
      <c r="A23248" t="str">
        <f>HYPERLINK("https://www.773grp.com/globalSearch/SN103914LPM/page-1", "SN103914LPM")</f>
        <v>SN103914LPM</v>
      </c>
      <c r="B23248" s="3" t="s">
        <v>90</v>
      </c>
      <c r="C23248" s="5">
        <v>8000</v>
      </c>
      <c r="D23248" s="6">
        <v>7.73</v>
      </c>
    </row>
    <row r="23249" spans="1:4" x14ac:dyDescent="0.25">
      <c r="A23249" t="str">
        <f>HYPERLINK("https://www.773grp.com/globalSearch/SN75234N/page-1", "SN75234N")</f>
        <v>SN75234N</v>
      </c>
      <c r="B23249" s="3" t="s">
        <v>90</v>
      </c>
      <c r="C23249" s="5">
        <v>15</v>
      </c>
      <c r="D23249" s="6">
        <v>7.73</v>
      </c>
    </row>
    <row r="23250" spans="1:4" x14ac:dyDescent="0.25">
      <c r="A23250" t="str">
        <f>HYPERLINK("https://www.773grp.com/globalSearch/TAS5342LDDVR/page-1", "TAS5342LDDVR")</f>
        <v>TAS5342LDDVR</v>
      </c>
      <c r="B23250" s="3" t="s">
        <v>90</v>
      </c>
      <c r="C23250" s="5">
        <v>2000</v>
      </c>
      <c r="D23250" s="6">
        <v>7.73</v>
      </c>
    </row>
    <row r="23251" spans="1:4" x14ac:dyDescent="0.25">
      <c r="A23251" t="str">
        <f>HYPERLINK("https://www.773grp.com/globalSearch/TLC1543QDWREP/page-1", "TLC1543QDWREP")</f>
        <v>TLC1543QDWREP</v>
      </c>
      <c r="B23251" s="3" t="s">
        <v>90</v>
      </c>
      <c r="C23251" s="5">
        <v>6169</v>
      </c>
      <c r="D23251" s="6">
        <v>7.73</v>
      </c>
    </row>
    <row r="23252" spans="1:4" x14ac:dyDescent="0.25">
      <c r="A23252" t="str">
        <f>HYPERLINK("https://www.773grp.com/globalSearch/TLE2074ACDWG4/page-1", "TLE2074ACDWG4")</f>
        <v>TLE2074ACDWG4</v>
      </c>
      <c r="B23252" s="3" t="s">
        <v>90</v>
      </c>
      <c r="C23252" s="5">
        <v>80</v>
      </c>
      <c r="D23252" s="6">
        <v>7.73</v>
      </c>
    </row>
    <row r="23253" spans="1:4" x14ac:dyDescent="0.25">
      <c r="A23253" t="str">
        <f>HYPERLINK("https://www.773grp.com/globalSearch/TPS54678RTER/page-1", "TPS54678RTER")</f>
        <v>TPS54678RTER</v>
      </c>
      <c r="B23253" s="3" t="s">
        <v>90</v>
      </c>
      <c r="C23253" s="5">
        <v>7658</v>
      </c>
      <c r="D23253" s="6">
        <v>7.73</v>
      </c>
    </row>
    <row r="23254" spans="1:4" x14ac:dyDescent="0.25">
      <c r="A23254" t="str">
        <f>HYPERLINK("https://www.773grp.com/globalSearch/TPS659101A1RSLR/page-1", "TPS659101A1RSLR")</f>
        <v>TPS659101A1RSLR</v>
      </c>
      <c r="B23254" s="3" t="s">
        <v>90</v>
      </c>
      <c r="C23254" s="5">
        <v>60</v>
      </c>
      <c r="D23254" s="6">
        <v>7.73</v>
      </c>
    </row>
    <row r="23255" spans="1:4" x14ac:dyDescent="0.25">
      <c r="A23255" t="str">
        <f>HYPERLINK("https://www.773grp.com/globalSearch/TPS65910A3A1RSLR/page-1", "TPS65910A3A1RSLR")</f>
        <v>TPS65910A3A1RSLR</v>
      </c>
      <c r="B23255" s="3" t="s">
        <v>90</v>
      </c>
      <c r="C23255" s="5">
        <v>54</v>
      </c>
      <c r="D23255" s="6">
        <v>7.73</v>
      </c>
    </row>
    <row r="23256" spans="1:4" x14ac:dyDescent="0.25">
      <c r="A23256" t="str">
        <f>HYPERLINK("https://www.773grp.com/globalSearch/TPS74401RGWR/page-1", "TPS74401RGWR")</f>
        <v>TPS74401RGWR</v>
      </c>
      <c r="B23256" s="3" t="s">
        <v>90</v>
      </c>
      <c r="C23256" s="5">
        <v>3110</v>
      </c>
      <c r="D23256" s="6">
        <v>7.73</v>
      </c>
    </row>
    <row r="23257" spans="1:4" x14ac:dyDescent="0.25">
      <c r="A23257" t="str">
        <f>HYPERLINK("https://www.773grp.com/globalSearch/TPS74401RGWRG4/page-1", "TPS74401RGWRG4")</f>
        <v>TPS74401RGWRG4</v>
      </c>
      <c r="B23257" s="3" t="s">
        <v>90</v>
      </c>
      <c r="C23257" s="5">
        <v>2138</v>
      </c>
      <c r="D23257" s="6">
        <v>7.73</v>
      </c>
    </row>
    <row r="23258" spans="1:4" x14ac:dyDescent="0.25">
      <c r="A23258" t="str">
        <f>HYPERLINK("https://www.773grp.com/globalSearch/UC2906NG4/page-1", "UC2906NG4")</f>
        <v>UC2906NG4</v>
      </c>
      <c r="B23258" s="3" t="s">
        <v>90</v>
      </c>
      <c r="C23258" s="5">
        <v>75</v>
      </c>
      <c r="D23258" s="6">
        <v>7.73</v>
      </c>
    </row>
    <row r="23259" spans="1:4" x14ac:dyDescent="0.25">
      <c r="A23259" t="str">
        <f>HYPERLINK("https://www.773grp.com/globalSearch/UCC2837DTR/page-1", "UCC2837DTR")</f>
        <v>UCC2837DTR</v>
      </c>
      <c r="B23259" s="3" t="s">
        <v>90</v>
      </c>
      <c r="C23259" s="5">
        <v>7500</v>
      </c>
      <c r="D23259" s="6">
        <v>7.73</v>
      </c>
    </row>
    <row r="23260" spans="1:4" x14ac:dyDescent="0.25">
      <c r="A23260" t="str">
        <f>HYPERLINK("https://www.773grp.com/globalSearch/UCC81174D/page-1", "UCC81174D")</f>
        <v>UCC81174D</v>
      </c>
      <c r="B23260" s="3" t="s">
        <v>90</v>
      </c>
      <c r="C23260" s="5">
        <v>900</v>
      </c>
      <c r="D23260" s="6">
        <v>7.73</v>
      </c>
    </row>
    <row r="23261" spans="1:4" x14ac:dyDescent="0.25">
      <c r="A23261" t="str">
        <f>HYPERLINK("https://www.773grp.com/globalSearch/ADC108S052CIMT-NOPB/page-1", "ADC108S052CIMT-NOPB")</f>
        <v>ADC108S052CIMT-NOPB</v>
      </c>
      <c r="B23261" s="3" t="s">
        <v>90</v>
      </c>
      <c r="C23261" s="5">
        <v>736</v>
      </c>
      <c r="D23261" s="6">
        <v>7.76</v>
      </c>
    </row>
    <row r="23262" spans="1:4" x14ac:dyDescent="0.25">
      <c r="A23262" t="str">
        <f>HYPERLINK("https://www.773grp.com/globalSearch/BQ34Z110PW/page-1", "BQ34Z110PW")</f>
        <v>BQ34Z110PW</v>
      </c>
      <c r="B23262" s="3" t="s">
        <v>90</v>
      </c>
      <c r="C23262" s="5">
        <v>5</v>
      </c>
      <c r="D23262" s="6">
        <v>7.76</v>
      </c>
    </row>
    <row r="23263" spans="1:4" x14ac:dyDescent="0.25">
      <c r="A23263" t="str">
        <f>HYPERLINK("https://www.773grp.com/globalSearch/LM2576HVS-5.0-NOPB/page-1", "LM2576HVS-5.0-NOPB")</f>
        <v>LM2576HVS-5.0-NOPB</v>
      </c>
      <c r="B23263" s="3" t="s">
        <v>90</v>
      </c>
      <c r="C23263" s="5">
        <v>1800</v>
      </c>
      <c r="D23263" s="6">
        <v>7.76</v>
      </c>
    </row>
    <row r="23264" spans="1:4" x14ac:dyDescent="0.25">
      <c r="A23264" t="str">
        <f>HYPERLINK("https://www.773grp.com/globalSearch/LM3S800-IQN50-C2/page-1", "LM3S800-IQN50-C2")</f>
        <v>LM3S800-IQN50-C2</v>
      </c>
      <c r="B23264" s="3" t="s">
        <v>90</v>
      </c>
      <c r="C23264" s="5">
        <v>749</v>
      </c>
      <c r="D23264" s="6">
        <v>7.8</v>
      </c>
    </row>
    <row r="23265" spans="1:4" x14ac:dyDescent="0.25">
      <c r="A23265" t="str">
        <f>HYPERLINK("https://www.773grp.com/globalSearch/SNJ54HC180J/page-1", "SNJ54HC180J")</f>
        <v>SNJ54HC180J</v>
      </c>
      <c r="B23265" s="3" t="s">
        <v>90</v>
      </c>
      <c r="C23265" s="5">
        <v>690</v>
      </c>
      <c r="D23265" s="6">
        <v>7.8</v>
      </c>
    </row>
    <row r="23266" spans="1:4" x14ac:dyDescent="0.25">
      <c r="A23266" t="str">
        <f>HYPERLINK("https://www.773grp.com/globalSearch/LP3971SQ-B510-NOPB/page-1", "LP3971SQ-B510-NOPB")</f>
        <v>LP3971SQ-B510-NOPB</v>
      </c>
      <c r="B23266" s="3" t="s">
        <v>90</v>
      </c>
      <c r="C23266" s="5">
        <v>1000</v>
      </c>
      <c r="D23266" s="6">
        <v>7.81</v>
      </c>
    </row>
    <row r="23267" spans="1:4" x14ac:dyDescent="0.25">
      <c r="A23267" t="str">
        <f>HYPERLINK("https://www.773grp.com/globalSearch/SN74ALS643A-1N/page-1", "SN74ALS643A-1N")</f>
        <v>SN74ALS643A-1N</v>
      </c>
      <c r="B23267" s="3" t="s">
        <v>90</v>
      </c>
      <c r="C23267" s="5">
        <v>2103</v>
      </c>
      <c r="D23267" s="6">
        <v>7.81</v>
      </c>
    </row>
    <row r="23268" spans="1:4" x14ac:dyDescent="0.25">
      <c r="A23268" t="str">
        <f>HYPERLINK("https://www.773grp.com/globalSearch/UC282TDTR-ADJ/page-1", "UC282TDTR-ADJ")</f>
        <v>UC282TDTR-ADJ</v>
      </c>
      <c r="B23268" s="3" t="s">
        <v>90</v>
      </c>
      <c r="C23268" s="5">
        <v>4000</v>
      </c>
      <c r="D23268" s="6">
        <v>7.81</v>
      </c>
    </row>
    <row r="23269" spans="1:4" x14ac:dyDescent="0.25">
      <c r="A23269" t="str">
        <f>HYPERLINK("https://www.773grp.com/globalSearch/UC3825ADWTR/page-1", "UC3825ADWTR")</f>
        <v>UC3825ADWTR</v>
      </c>
      <c r="B23269" s="3" t="s">
        <v>90</v>
      </c>
      <c r="C23269" s="5">
        <v>11000</v>
      </c>
      <c r="D23269" s="6">
        <v>7.81</v>
      </c>
    </row>
    <row r="23270" spans="1:4" x14ac:dyDescent="0.25">
      <c r="A23270" t="str">
        <f>HYPERLINK("https://www.773grp.com/globalSearch/UC382TDKTTT-ADJ/page-1", "UC382TDKTTT-ADJ")</f>
        <v>UC382TDKTTT-ADJ</v>
      </c>
      <c r="B23270" s="3" t="s">
        <v>90</v>
      </c>
      <c r="C23270" s="5">
        <v>3316</v>
      </c>
      <c r="D23270" s="6">
        <v>7.81</v>
      </c>
    </row>
    <row r="23271" spans="1:4" x14ac:dyDescent="0.25">
      <c r="A23271" t="str">
        <f>HYPERLINK("https://www.773grp.com/globalSearch/UC382TDTR-ADJ/page-1", "UC382TDTR-ADJ")</f>
        <v>UC382TDTR-ADJ</v>
      </c>
      <c r="B23271" s="3" t="s">
        <v>90</v>
      </c>
      <c r="C23271" s="5">
        <v>12500</v>
      </c>
      <c r="D23271" s="6">
        <v>7.81</v>
      </c>
    </row>
    <row r="23272" spans="1:4" x14ac:dyDescent="0.25">
      <c r="A23272" t="str">
        <f>HYPERLINK("https://www.773grp.com/globalSearch/UCC3911DP-4G4/page-1", "UCC3911DP-4G4")</f>
        <v>UCC3911DP-4G4</v>
      </c>
      <c r="B23272" s="3" t="s">
        <v>90</v>
      </c>
      <c r="C23272" s="5">
        <v>240</v>
      </c>
      <c r="D23272" s="6">
        <v>7.81</v>
      </c>
    </row>
    <row r="23273" spans="1:4" x14ac:dyDescent="0.25">
      <c r="A23273" t="str">
        <f>HYPERLINK("https://www.773grp.com/globalSearch/SN65ALS1176DR/page-1", "SN65ALS1176DR")</f>
        <v>SN65ALS1176DR</v>
      </c>
      <c r="B23273" s="3" t="s">
        <v>90</v>
      </c>
      <c r="C23273" s="5">
        <v>55000</v>
      </c>
      <c r="D23273" s="6">
        <v>7.85</v>
      </c>
    </row>
    <row r="23274" spans="1:4" x14ac:dyDescent="0.25">
      <c r="A23274" t="str">
        <f>HYPERLINK("https://www.773grp.com/globalSearch/SN75LV4737ADB/page-1", "SN75LV4737ADB")</f>
        <v>SN75LV4737ADB</v>
      </c>
      <c r="B23274" s="3" t="s">
        <v>90</v>
      </c>
      <c r="C23274" s="5">
        <v>121</v>
      </c>
      <c r="D23274" s="6">
        <v>7.85</v>
      </c>
    </row>
    <row r="23275" spans="1:4" x14ac:dyDescent="0.25">
      <c r="A23275" t="str">
        <f>HYPERLINK("https://www.773grp.com/globalSearch/CC8521RHAR/page-1", "CC8521RHAR")</f>
        <v>CC8521RHAR</v>
      </c>
      <c r="B23275" s="3" t="s">
        <v>90</v>
      </c>
      <c r="C23275" s="5">
        <v>2500</v>
      </c>
      <c r="D23275" s="6">
        <v>7.88</v>
      </c>
    </row>
    <row r="23276" spans="1:4" x14ac:dyDescent="0.25">
      <c r="A23276" t="str">
        <f>HYPERLINK("https://www.773grp.com/globalSearch/INA338AIDGST/page-1", "INA338AIDGST")</f>
        <v>INA338AIDGST</v>
      </c>
      <c r="B23276" s="3" t="s">
        <v>90</v>
      </c>
      <c r="C23276" s="5">
        <v>49</v>
      </c>
      <c r="D23276" s="6">
        <v>7.88</v>
      </c>
    </row>
    <row r="23277" spans="1:4" x14ac:dyDescent="0.25">
      <c r="A23277" t="str">
        <f>HYPERLINK("https://www.773grp.com/globalSearch/LM224J4/page-1", "LM224J4")</f>
        <v>LM224J4</v>
      </c>
      <c r="B23277" s="3" t="s">
        <v>90</v>
      </c>
      <c r="C23277" s="5">
        <v>595</v>
      </c>
      <c r="D23277" s="6">
        <v>7.88</v>
      </c>
    </row>
    <row r="23278" spans="1:4" x14ac:dyDescent="0.25">
      <c r="A23278" t="str">
        <f>HYPERLINK("https://www.773grp.com/globalSearch/OPA227U/page-1", "OPA227U")</f>
        <v>OPA227U</v>
      </c>
      <c r="B23278" s="3" t="s">
        <v>90</v>
      </c>
      <c r="C23278" s="5">
        <v>741</v>
      </c>
      <c r="D23278" s="6">
        <v>7.88</v>
      </c>
    </row>
    <row r="23279" spans="1:4" x14ac:dyDescent="0.25">
      <c r="A23279" t="str">
        <f>HYPERLINK("https://www.773grp.com/globalSearch/PCM1723EG/page-1", "PCM1723EG")</f>
        <v>PCM1723EG</v>
      </c>
      <c r="B23279" s="3" t="s">
        <v>90</v>
      </c>
      <c r="C23279" s="5">
        <v>2900</v>
      </c>
      <c r="D23279" s="6">
        <v>7.88</v>
      </c>
    </row>
    <row r="23280" spans="1:4" x14ac:dyDescent="0.25">
      <c r="A23280" t="str">
        <f>HYPERLINK("https://www.773grp.com/globalSearch/TLV1543IDBG4/page-1", "TLV1543IDBG4")</f>
        <v>TLV1543IDBG4</v>
      </c>
      <c r="B23280" s="3" t="s">
        <v>90</v>
      </c>
      <c r="C23280" s="5">
        <v>210</v>
      </c>
      <c r="D23280" s="6">
        <v>7.88</v>
      </c>
    </row>
    <row r="23281" spans="1:4" x14ac:dyDescent="0.25">
      <c r="A23281" t="str">
        <f>HYPERLINK("https://www.773grp.com/globalSearch/TLV1548CDBG4/page-1", "TLV1548CDBG4")</f>
        <v>TLV1548CDBG4</v>
      </c>
      <c r="B23281" s="3" t="s">
        <v>90</v>
      </c>
      <c r="C23281" s="5">
        <v>20</v>
      </c>
      <c r="D23281" s="6">
        <v>7.88</v>
      </c>
    </row>
    <row r="23282" spans="1:4" x14ac:dyDescent="0.25">
      <c r="A23282" t="str">
        <f>HYPERLINK("https://www.773grp.com/globalSearch/TMS320F28023DAS/page-1", "TMS320F28023DAS")</f>
        <v>TMS320F28023DAS</v>
      </c>
      <c r="B23282" s="3" t="s">
        <v>90</v>
      </c>
      <c r="C23282" s="5">
        <v>1466</v>
      </c>
      <c r="D23282" s="6">
        <v>7.88</v>
      </c>
    </row>
    <row r="23283" spans="1:4" x14ac:dyDescent="0.25">
      <c r="A23283" t="str">
        <f>HYPERLINK("https://www.773grp.com/globalSearch/TPS54290PWPR/page-1", "TPS54290PWPR")</f>
        <v>TPS54290PWPR</v>
      </c>
      <c r="B23283" s="3" t="s">
        <v>90</v>
      </c>
      <c r="C23283" s="5">
        <v>99810</v>
      </c>
      <c r="D23283" s="6">
        <v>7.88</v>
      </c>
    </row>
    <row r="23284" spans="1:4" x14ac:dyDescent="0.25">
      <c r="A23284" t="str">
        <f>HYPERLINK("https://www.773grp.com/globalSearch/TPS54291PWPR/page-1", "TPS54291PWPR")</f>
        <v>TPS54291PWPR</v>
      </c>
      <c r="B23284" s="3" t="s">
        <v>90</v>
      </c>
      <c r="C23284" s="5">
        <v>22000</v>
      </c>
      <c r="D23284" s="6">
        <v>7.88</v>
      </c>
    </row>
    <row r="23285" spans="1:4" x14ac:dyDescent="0.25">
      <c r="A23285" t="str">
        <f>HYPERLINK("https://www.773grp.com/globalSearch/TPS54292PWPR/page-1", "TPS54292PWPR")</f>
        <v>TPS54292PWPR</v>
      </c>
      <c r="B23285" s="3" t="s">
        <v>90</v>
      </c>
      <c r="C23285" s="5">
        <v>44000</v>
      </c>
      <c r="D23285" s="6">
        <v>7.88</v>
      </c>
    </row>
    <row r="23286" spans="1:4" x14ac:dyDescent="0.25">
      <c r="A23286" t="str">
        <f>HYPERLINK("https://www.773grp.com/globalSearch/TPS70351PWP/page-1", "TPS70351PWP")</f>
        <v>TPS70351PWP</v>
      </c>
      <c r="B23286" s="3" t="s">
        <v>90</v>
      </c>
      <c r="C23286" s="5">
        <v>559</v>
      </c>
      <c r="D23286" s="6">
        <v>7.88</v>
      </c>
    </row>
    <row r="23287" spans="1:4" x14ac:dyDescent="0.25">
      <c r="A23287" t="str">
        <f>HYPERLINK("https://www.773grp.com/globalSearch/TPS70402PWP/page-1", "TPS70402PWP")</f>
        <v>TPS70402PWP</v>
      </c>
      <c r="B23287" s="3" t="s">
        <v>90</v>
      </c>
      <c r="C23287" s="5">
        <v>40</v>
      </c>
      <c r="D23287" s="6">
        <v>7.88</v>
      </c>
    </row>
    <row r="23288" spans="1:4" x14ac:dyDescent="0.25">
      <c r="A23288" t="str">
        <f>HYPERLINK("https://www.773grp.com/globalSearch/TPS70402PWPG4/page-1", "TPS70402PWPG4")</f>
        <v>TPS70402PWPG4</v>
      </c>
      <c r="B23288" s="3" t="s">
        <v>90</v>
      </c>
      <c r="C23288" s="5">
        <v>60</v>
      </c>
      <c r="D23288" s="6">
        <v>7.88</v>
      </c>
    </row>
    <row r="23289" spans="1:4" x14ac:dyDescent="0.25">
      <c r="A23289" t="str">
        <f>HYPERLINK("https://www.773grp.com/globalSearch/THS4082IDGNG4/page-1", "THS4082IDGNG4")</f>
        <v>THS4082IDGNG4</v>
      </c>
      <c r="B23289" s="3" t="s">
        <v>90</v>
      </c>
      <c r="C23289" s="5">
        <v>110</v>
      </c>
      <c r="D23289" s="6">
        <v>7.9</v>
      </c>
    </row>
    <row r="23290" spans="1:4" x14ac:dyDescent="0.25">
      <c r="A23290" t="str">
        <f>HYPERLINK("https://www.773grp.com/globalSearch/LM25576MHX/page-1", "LM25576MHX")</f>
        <v>LM25576MHX</v>
      </c>
      <c r="B23290" s="3" t="s">
        <v>90</v>
      </c>
      <c r="C23290" s="5">
        <v>499</v>
      </c>
      <c r="D23290" s="6">
        <v>7.94</v>
      </c>
    </row>
    <row r="23291" spans="1:4" x14ac:dyDescent="0.25">
      <c r="A23291" t="str">
        <f>HYPERLINK("https://www.773grp.com/globalSearch/SNJ54F157AW/page-1", "SNJ54F157AW")</f>
        <v>SNJ54F157AW</v>
      </c>
      <c r="B23291" s="3" t="s">
        <v>90</v>
      </c>
      <c r="C23291" s="5">
        <v>150</v>
      </c>
      <c r="D23291" s="6">
        <v>7.94</v>
      </c>
    </row>
    <row r="23292" spans="1:4" x14ac:dyDescent="0.25">
      <c r="A23292" t="str">
        <f>HYPERLINK("https://www.773grp.com/globalSearch/SNJ54F158AW/page-1", "SNJ54F158AW")</f>
        <v>SNJ54F158AW</v>
      </c>
      <c r="B23292" s="3" t="s">
        <v>90</v>
      </c>
      <c r="C23292" s="5">
        <v>118</v>
      </c>
      <c r="D23292" s="6">
        <v>7.94</v>
      </c>
    </row>
    <row r="23293" spans="1:4" x14ac:dyDescent="0.25">
      <c r="A23293" t="str">
        <f>HYPERLINK("https://www.773grp.com/globalSearch/TL16C2550IPFB/page-1", "TL16C2550IPFB")</f>
        <v>TL16C2550IPFB</v>
      </c>
      <c r="B23293" s="3" t="s">
        <v>90</v>
      </c>
      <c r="C23293" s="5">
        <v>3235</v>
      </c>
      <c r="D23293" s="6">
        <v>7.94</v>
      </c>
    </row>
    <row r="23294" spans="1:4" x14ac:dyDescent="0.25">
      <c r="A23294" t="str">
        <f>HYPERLINK("https://www.773grp.com/globalSearch/TPS7A8300RGWT/page-1", "TPS7A8300RGWT")</f>
        <v>TPS7A8300RGWT</v>
      </c>
      <c r="B23294" s="3" t="s">
        <v>90</v>
      </c>
      <c r="C23294" s="5">
        <v>250</v>
      </c>
      <c r="D23294" s="6">
        <v>7.94</v>
      </c>
    </row>
    <row r="23295" spans="1:4" x14ac:dyDescent="0.25">
      <c r="A23295" t="str">
        <f>HYPERLINK("https://www.773grp.com/globalSearch/74ABT646ADBLE/page-1", "74ABT646ADBLE")</f>
        <v>74ABT646ADBLE</v>
      </c>
      <c r="B23295" s="3" t="s">
        <v>90</v>
      </c>
      <c r="C23295" s="5">
        <v>27000</v>
      </c>
      <c r="D23295" s="6">
        <v>7.96</v>
      </c>
    </row>
    <row r="23296" spans="1:4" x14ac:dyDescent="0.25">
      <c r="A23296" t="str">
        <f>HYPERLINK("https://www.773grp.com/globalSearch/SN74ABT16240DGGR/page-1", "SN74ABT16240DGGR")</f>
        <v>SN74ABT16240DGGR</v>
      </c>
      <c r="B23296" s="3" t="s">
        <v>90</v>
      </c>
      <c r="C23296" s="5">
        <v>9000</v>
      </c>
      <c r="D23296" s="6">
        <v>7.96</v>
      </c>
    </row>
    <row r="23297" spans="1:4" x14ac:dyDescent="0.25">
      <c r="A23297" t="str">
        <f>HYPERLINK("https://www.773grp.com/globalSearch/ADC0802LCN-NOPB/page-1", "ADC0802LCN-NOPB")</f>
        <v>ADC0802LCN-NOPB</v>
      </c>
      <c r="B23297" s="3" t="s">
        <v>90</v>
      </c>
      <c r="C23297" s="5">
        <v>78</v>
      </c>
      <c r="D23297" s="6">
        <v>7.99</v>
      </c>
    </row>
    <row r="23298" spans="1:4" x14ac:dyDescent="0.25">
      <c r="A23298" t="str">
        <f>HYPERLINK("https://www.773grp.com/globalSearch/SH6950ADA0PFP/page-1", "SH6950ADA0PFP")</f>
        <v>SH6950ADA0PFP</v>
      </c>
      <c r="B23298" s="3" t="s">
        <v>90</v>
      </c>
      <c r="C23298" s="5">
        <v>7</v>
      </c>
      <c r="D23298" s="6">
        <v>7.99</v>
      </c>
    </row>
    <row r="23299" spans="1:4" x14ac:dyDescent="0.25">
      <c r="A23299" t="str">
        <f>HYPERLINK("https://www.773grp.com/globalSearch/ADS1203IPWR/page-1", "ADS1203IPWR")</f>
        <v>ADS1203IPWR</v>
      </c>
      <c r="B23299" s="3" t="s">
        <v>90</v>
      </c>
      <c r="C23299" s="5">
        <v>2000</v>
      </c>
      <c r="D23299" s="6">
        <v>8.01</v>
      </c>
    </row>
    <row r="23300" spans="1:4" x14ac:dyDescent="0.25">
      <c r="A23300" t="str">
        <f>HYPERLINK("https://www.773grp.com/globalSearch/CDCE949PW/page-1", "CDCE949PW")</f>
        <v>CDCE949PW</v>
      </c>
      <c r="B23300" s="3" t="s">
        <v>90</v>
      </c>
      <c r="C23300" s="5">
        <v>620</v>
      </c>
      <c r="D23300" s="6">
        <v>8.01</v>
      </c>
    </row>
    <row r="23301" spans="1:4" x14ac:dyDescent="0.25">
      <c r="A23301" t="str">
        <f>HYPERLINK("https://www.773grp.com/globalSearch/CDCLVD1204RGTR/page-1", "CDCLVD1204RGTR")</f>
        <v>CDCLVD1204RGTR</v>
      </c>
      <c r="B23301" s="3" t="s">
        <v>90</v>
      </c>
      <c r="C23301" s="5">
        <v>3000</v>
      </c>
      <c r="D23301" s="6">
        <v>8.01</v>
      </c>
    </row>
    <row r="23302" spans="1:4" x14ac:dyDescent="0.25">
      <c r="A23302" t="str">
        <f>HYPERLINK("https://www.773grp.com/globalSearch/MSP430F6731IPZ/page-1", "MSP430F6731IPZ")</f>
        <v>MSP430F6731IPZ</v>
      </c>
      <c r="B23302" s="3" t="s">
        <v>90</v>
      </c>
      <c r="C23302" s="5">
        <v>459</v>
      </c>
      <c r="D23302" s="6">
        <v>8.01</v>
      </c>
    </row>
    <row r="23303" spans="1:4" x14ac:dyDescent="0.25">
      <c r="A23303" t="str">
        <f>HYPERLINK("https://www.773grp.com/globalSearch/OPA333AMDBVREP/page-1", "OPA333AMDBVREP")</f>
        <v>OPA333AMDBVREP</v>
      </c>
      <c r="B23303" s="3" t="s">
        <v>90</v>
      </c>
      <c r="C23303" s="5">
        <v>134</v>
      </c>
      <c r="D23303" s="6">
        <v>8.01</v>
      </c>
    </row>
    <row r="23304" spans="1:4" x14ac:dyDescent="0.25">
      <c r="A23304" t="str">
        <f>HYPERLINK("https://www.773grp.com/globalSearch/PTAS5111DAD/page-1", "PTAS5111DAD")</f>
        <v>PTAS5111DAD</v>
      </c>
      <c r="B23304" s="3" t="s">
        <v>90</v>
      </c>
      <c r="C23304" s="5">
        <v>966</v>
      </c>
      <c r="D23304" s="6">
        <v>8.01</v>
      </c>
    </row>
    <row r="23305" spans="1:4" x14ac:dyDescent="0.25">
      <c r="A23305" t="str">
        <f>HYPERLINK("https://www.773grp.com/globalSearch/SN74ALS133NS/page-1", "SN74ALS133NS")</f>
        <v>SN74ALS133NS</v>
      </c>
      <c r="B23305" s="3" t="s">
        <v>90</v>
      </c>
      <c r="C23305" s="5">
        <v>10700</v>
      </c>
      <c r="D23305" s="6">
        <v>8.01</v>
      </c>
    </row>
    <row r="23306" spans="1:4" x14ac:dyDescent="0.25">
      <c r="A23306" t="str">
        <f>HYPERLINK("https://www.773grp.com/globalSearch/SN74ALS8169NT/page-1", "SN74ALS8169NT")</f>
        <v>SN74ALS8169NT</v>
      </c>
      <c r="B23306" s="3" t="s">
        <v>90</v>
      </c>
      <c r="C23306" s="5">
        <v>960</v>
      </c>
      <c r="D23306" s="6">
        <v>8.01</v>
      </c>
    </row>
    <row r="23307" spans="1:4" x14ac:dyDescent="0.25">
      <c r="A23307" t="str">
        <f>HYPERLINK("https://www.773grp.com/globalSearch/SNSH6742CFA0PAGB/page-1", "SNSH6742CFA0PAGB")</f>
        <v>SNSH6742CFA0PAGB</v>
      </c>
      <c r="B23307" s="3" t="s">
        <v>90</v>
      </c>
      <c r="C23307" s="5">
        <v>1464</v>
      </c>
      <c r="D23307" s="6">
        <v>8.01</v>
      </c>
    </row>
    <row r="23308" spans="1:4" x14ac:dyDescent="0.25">
      <c r="A23308" t="str">
        <f>HYPERLINK("https://www.773grp.com/globalSearch/TLC1078CD/page-1", "TLC1078CD")</f>
        <v>TLC1078CD</v>
      </c>
      <c r="B23308" s="3" t="s">
        <v>90</v>
      </c>
      <c r="C23308" s="5">
        <v>424</v>
      </c>
      <c r="D23308" s="6">
        <v>8.01</v>
      </c>
    </row>
    <row r="23309" spans="1:4" x14ac:dyDescent="0.25">
      <c r="A23309" t="str">
        <f>HYPERLINK("https://www.773grp.com/globalSearch/TLE2064AMDG4/page-1", "TLE2064AMDG4")</f>
        <v>TLE2064AMDG4</v>
      </c>
      <c r="B23309" s="3" t="s">
        <v>90</v>
      </c>
      <c r="C23309" s="5">
        <v>2500</v>
      </c>
      <c r="D23309" s="6">
        <v>8.01</v>
      </c>
    </row>
    <row r="23310" spans="1:4" x14ac:dyDescent="0.25">
      <c r="A23310" t="str">
        <f>HYPERLINK("https://www.773grp.com/globalSearch/TLE2064AMDRG4/page-1", "TLE2064AMDRG4")</f>
        <v>TLE2064AMDRG4</v>
      </c>
      <c r="B23310" s="3" t="s">
        <v>90</v>
      </c>
      <c r="C23310" s="5">
        <v>5000</v>
      </c>
      <c r="D23310" s="6">
        <v>8.01</v>
      </c>
    </row>
    <row r="23311" spans="1:4" x14ac:dyDescent="0.25">
      <c r="A23311" t="str">
        <f>HYPERLINK("https://www.773grp.com/globalSearch/TLV320AIC10IGQER/page-1", "TLV320AIC10IGQER")</f>
        <v>TLV320AIC10IGQER</v>
      </c>
      <c r="B23311" s="3" t="s">
        <v>90</v>
      </c>
      <c r="C23311" s="5">
        <v>15000</v>
      </c>
      <c r="D23311" s="6">
        <v>8.01</v>
      </c>
    </row>
    <row r="23312" spans="1:4" x14ac:dyDescent="0.25">
      <c r="A23312" t="str">
        <f>HYPERLINK("https://www.773grp.com/globalSearch/TPA3000D1APWP/page-1", "TPA3000D1APWP")</f>
        <v>TPA3000D1APWP</v>
      </c>
      <c r="B23312" s="3" t="s">
        <v>90</v>
      </c>
      <c r="C23312" s="5">
        <v>2460</v>
      </c>
      <c r="D23312" s="6">
        <v>8.01</v>
      </c>
    </row>
    <row r="23313" spans="1:4" x14ac:dyDescent="0.25">
      <c r="A23313" t="str">
        <f>HYPERLINK("https://www.773grp.com/globalSearch/UCD3020RGZT/page-1", "UCD3020RGZT")</f>
        <v>UCD3020RGZT</v>
      </c>
      <c r="B23313" s="3" t="s">
        <v>90</v>
      </c>
      <c r="C23313" s="5">
        <v>235</v>
      </c>
      <c r="D23313" s="6">
        <v>8.01</v>
      </c>
    </row>
    <row r="23314" spans="1:4" x14ac:dyDescent="0.25">
      <c r="A23314" t="str">
        <f>HYPERLINK("https://www.773grp.com/globalSearch/CF4320HGKFR/page-1", "CF4320HGKFR")</f>
        <v>CF4320HGKFR</v>
      </c>
      <c r="B23314" s="3" t="s">
        <v>90</v>
      </c>
      <c r="C23314" s="5">
        <v>2000</v>
      </c>
      <c r="D23314" s="6">
        <v>8.0500000000000007</v>
      </c>
    </row>
    <row r="23315" spans="1:4" x14ac:dyDescent="0.25">
      <c r="A23315" t="str">
        <f>HYPERLINK("https://www.773grp.com/globalSearch/REF1004I-1.2/page-1", "REF1004I-1.2")</f>
        <v>REF1004I-1.2</v>
      </c>
      <c r="B23315" s="3" t="s">
        <v>90</v>
      </c>
      <c r="C23315" s="5">
        <v>200</v>
      </c>
      <c r="D23315" s="6">
        <v>8.0500000000000007</v>
      </c>
    </row>
    <row r="23316" spans="1:4" x14ac:dyDescent="0.25">
      <c r="A23316" t="str">
        <f>HYPERLINK("https://www.773grp.com/globalSearch/STLC876IDW/page-1", "STLC876IDW")</f>
        <v>STLC876IDW</v>
      </c>
      <c r="B23316" s="3" t="s">
        <v>90</v>
      </c>
      <c r="C23316" s="5">
        <v>10</v>
      </c>
      <c r="D23316" s="6">
        <v>8.0500000000000007</v>
      </c>
    </row>
    <row r="23317" spans="1:4" x14ac:dyDescent="0.25">
      <c r="A23317" t="str">
        <f>HYPERLINK("https://www.773grp.com/globalSearch/PCM2704CDBR/page-1", "PCM2704CDBR")</f>
        <v>PCM2704CDBR</v>
      </c>
      <c r="B23317" s="3" t="s">
        <v>90</v>
      </c>
      <c r="C23317" s="5">
        <v>1698</v>
      </c>
      <c r="D23317" s="6">
        <v>8.06</v>
      </c>
    </row>
    <row r="23318" spans="1:4" x14ac:dyDescent="0.25">
      <c r="A23318" t="str">
        <f>HYPERLINK("https://www.773grp.com/globalSearch/UC3867N/page-1", "UC3867N")</f>
        <v>UC3867N</v>
      </c>
      <c r="B23318" s="3" t="s">
        <v>90</v>
      </c>
      <c r="C23318" s="5">
        <v>9635</v>
      </c>
      <c r="D23318" s="6">
        <v>8.06</v>
      </c>
    </row>
    <row r="23319" spans="1:4" x14ac:dyDescent="0.25">
      <c r="A23319" t="str">
        <f>HYPERLINK("https://www.773grp.com/globalSearch/BQ24190RGET/page-1", "BQ24190RGET")</f>
        <v>BQ24190RGET</v>
      </c>
      <c r="B23319" s="3" t="s">
        <v>90</v>
      </c>
      <c r="C23319" s="5">
        <v>250</v>
      </c>
      <c r="D23319" s="6">
        <v>8.1</v>
      </c>
    </row>
    <row r="23320" spans="1:4" x14ac:dyDescent="0.25">
      <c r="A23320" t="str">
        <f>HYPERLINK("https://www.773grp.com/globalSearch/BQ24192IRGET/page-1", "BQ24192IRGET")</f>
        <v>BQ24192IRGET</v>
      </c>
      <c r="B23320" s="3" t="s">
        <v>90</v>
      </c>
      <c r="C23320" s="5">
        <v>250</v>
      </c>
      <c r="D23320" s="6">
        <v>8.1</v>
      </c>
    </row>
    <row r="23321" spans="1:4" x14ac:dyDescent="0.25">
      <c r="A23321" t="str">
        <f>HYPERLINK("https://www.773grp.com/globalSearch/LM21305SQE-NOPB/page-1", "LM21305SQE-NOPB")</f>
        <v>LM21305SQE-NOPB</v>
      </c>
      <c r="B23321" s="3" t="s">
        <v>90</v>
      </c>
      <c r="C23321" s="5">
        <v>129</v>
      </c>
      <c r="D23321" s="6">
        <v>8.1</v>
      </c>
    </row>
    <row r="23322" spans="1:4" x14ac:dyDescent="0.25">
      <c r="A23322" t="str">
        <f>HYPERLINK("https://www.773grp.com/globalSearch/LM2592HVS-ADJ-NOPB/page-1", "LM2592HVS-ADJ-NOPB")</f>
        <v>LM2592HVS-ADJ-NOPB</v>
      </c>
      <c r="B23322" s="3" t="s">
        <v>90</v>
      </c>
      <c r="C23322" s="5">
        <v>7110</v>
      </c>
      <c r="D23322" s="6">
        <v>8.1</v>
      </c>
    </row>
    <row r="23323" spans="1:4" x14ac:dyDescent="0.25">
      <c r="A23323" t="str">
        <f>HYPERLINK("https://www.773grp.com/globalSearch/LM5005MH/page-1", "LM5005MH")</f>
        <v>LM5005MH</v>
      </c>
      <c r="B23323" s="3" t="s">
        <v>90</v>
      </c>
      <c r="C23323" s="5">
        <v>292</v>
      </c>
      <c r="D23323" s="6">
        <v>8.1</v>
      </c>
    </row>
    <row r="23324" spans="1:4" x14ac:dyDescent="0.25">
      <c r="A23324" t="str">
        <f>HYPERLINK("https://www.773grp.com/globalSearch/REG104FA-A-500/page-1", "REG104FA-A-500")</f>
        <v>REG104FA-A-500</v>
      </c>
      <c r="B23324" s="3" t="s">
        <v>90</v>
      </c>
      <c r="C23324" s="5">
        <v>11000</v>
      </c>
      <c r="D23324" s="6">
        <v>8.1</v>
      </c>
    </row>
    <row r="23325" spans="1:4" x14ac:dyDescent="0.25">
      <c r="A23325" t="str">
        <f>HYPERLINK("https://www.773grp.com/globalSearch/MSP430F5513IRGCT/page-1", "MSP430F5513IRGCT")</f>
        <v>MSP430F5513IRGCT</v>
      </c>
      <c r="B23325" s="3" t="s">
        <v>90</v>
      </c>
      <c r="C23325" s="5">
        <v>240</v>
      </c>
      <c r="D23325" s="6">
        <v>8.14</v>
      </c>
    </row>
    <row r="23326" spans="1:4" x14ac:dyDescent="0.25">
      <c r="A23326" t="str">
        <f>HYPERLINK("https://www.773grp.com/globalSearch/SN65LVDS84AQDGGRQ1/page-1", "SN65LVDS84AQDGGRQ1")</f>
        <v>SN65LVDS84AQDGGRQ1</v>
      </c>
      <c r="B23326" s="3" t="s">
        <v>90</v>
      </c>
      <c r="C23326" s="5">
        <v>2000</v>
      </c>
      <c r="D23326" s="6">
        <v>8.14</v>
      </c>
    </row>
    <row r="23327" spans="1:4" x14ac:dyDescent="0.25">
      <c r="A23327" t="str">
        <f>HYPERLINK("https://www.773grp.com/globalSearch/SN65LVDS86AQDGG/page-1", "SN65LVDS86AQDGG")</f>
        <v>SN65LVDS86AQDGG</v>
      </c>
      <c r="B23327" s="3" t="s">
        <v>90</v>
      </c>
      <c r="C23327" s="5">
        <v>200</v>
      </c>
      <c r="D23327" s="6">
        <v>8.14</v>
      </c>
    </row>
    <row r="23328" spans="1:4" x14ac:dyDescent="0.25">
      <c r="A23328" t="str">
        <f>HYPERLINK("https://www.773grp.com/globalSearch/THS4304DG4/page-1", "THS4304DG4")</f>
        <v>THS4304DG4</v>
      </c>
      <c r="B23328" s="3" t="s">
        <v>90</v>
      </c>
      <c r="C23328" s="5">
        <v>75</v>
      </c>
      <c r="D23328" s="6">
        <v>8.14</v>
      </c>
    </row>
    <row r="23329" spans="1:4" x14ac:dyDescent="0.25">
      <c r="A23329" t="str">
        <f>HYPERLINK("https://www.773grp.com/globalSearch/TL252ACD/page-1", "TL252ACD")</f>
        <v>TL252ACD</v>
      </c>
      <c r="B23329" s="3" t="s">
        <v>90</v>
      </c>
      <c r="C23329" s="5">
        <v>1932</v>
      </c>
      <c r="D23329" s="6">
        <v>8.14</v>
      </c>
    </row>
    <row r="23330" spans="1:4" x14ac:dyDescent="0.25">
      <c r="A23330" t="str">
        <f>HYPERLINK("https://www.773grp.com/globalSearch/UC2525BDW-81132/page-1", "UC2525BDW-81132")</f>
        <v>UC2525BDW-81132</v>
      </c>
      <c r="B23330" s="3" t="s">
        <v>90</v>
      </c>
      <c r="C23330" s="5">
        <v>6520</v>
      </c>
      <c r="D23330" s="6">
        <v>8.14</v>
      </c>
    </row>
    <row r="23331" spans="1:4" x14ac:dyDescent="0.25">
      <c r="A23331" t="str">
        <f>HYPERLINK("https://www.773grp.com/globalSearch/6PAIC3104IRHBRQ1/page-1", "6PAIC3104IRHBRQ1")</f>
        <v>6PAIC3104IRHBRQ1</v>
      </c>
      <c r="B23331" s="3" t="s">
        <v>90</v>
      </c>
      <c r="C23331" s="5">
        <v>6000</v>
      </c>
      <c r="D23331" s="6">
        <v>8.15</v>
      </c>
    </row>
    <row r="23332" spans="1:4" x14ac:dyDescent="0.25">
      <c r="A23332" t="str">
        <f>HYPERLINK("https://www.773grp.com/globalSearch/AFE031AIRGZT/page-1", "AFE031AIRGZT")</f>
        <v>AFE031AIRGZT</v>
      </c>
      <c r="B23332" s="3" t="s">
        <v>90</v>
      </c>
      <c r="C23332" s="5">
        <v>500</v>
      </c>
      <c r="D23332" s="6">
        <v>8.15</v>
      </c>
    </row>
    <row r="23333" spans="1:4" x14ac:dyDescent="0.25">
      <c r="A23333" t="str">
        <f>HYPERLINK("https://www.773grp.com/globalSearch/BQ24707ARGRR/page-1", "BQ24707ARGRR")</f>
        <v>BQ24707ARGRR</v>
      </c>
      <c r="B23333" s="3" t="s">
        <v>90</v>
      </c>
      <c r="C23333" s="5">
        <v>3000</v>
      </c>
      <c r="D23333" s="6">
        <v>8.15</v>
      </c>
    </row>
    <row r="23334" spans="1:4" x14ac:dyDescent="0.25">
      <c r="A23334" t="str">
        <f>HYPERLINK("https://www.773grp.com/globalSearch/BQ24707RGRR/page-1", "BQ24707RGRR")</f>
        <v>BQ24707RGRR</v>
      </c>
      <c r="B23334" s="3" t="s">
        <v>90</v>
      </c>
      <c r="C23334" s="5">
        <v>39000</v>
      </c>
      <c r="D23334" s="6">
        <v>8.15</v>
      </c>
    </row>
    <row r="23335" spans="1:4" x14ac:dyDescent="0.25">
      <c r="A23335" t="str">
        <f>HYPERLINK("https://www.773grp.com/globalSearch/BQ24747RHDR/page-1", "BQ24747RHDR")</f>
        <v>BQ24747RHDR</v>
      </c>
      <c r="B23335" s="3" t="s">
        <v>90</v>
      </c>
      <c r="C23335" s="5">
        <v>3000</v>
      </c>
      <c r="D23335" s="6">
        <v>8.15</v>
      </c>
    </row>
    <row r="23336" spans="1:4" x14ac:dyDescent="0.25">
      <c r="A23336" t="str">
        <f>HYPERLINK("https://www.773grp.com/globalSearch/BQ24753ARHDT/page-1", "BQ24753ARHDT")</f>
        <v>BQ24753ARHDT</v>
      </c>
      <c r="B23336" s="3" t="s">
        <v>90</v>
      </c>
      <c r="C23336" s="5">
        <v>457</v>
      </c>
      <c r="D23336" s="6">
        <v>8.15</v>
      </c>
    </row>
    <row r="23337" spans="1:4" x14ac:dyDescent="0.25">
      <c r="A23337" t="str">
        <f>HYPERLINK("https://www.773grp.com/globalSearch/BQ51013YFFT/page-1", "BQ51013YFFT")</f>
        <v>BQ51013YFFT</v>
      </c>
      <c r="B23337" s="3" t="s">
        <v>90</v>
      </c>
      <c r="C23337" s="5">
        <v>409</v>
      </c>
      <c r="D23337" s="6">
        <v>8.15</v>
      </c>
    </row>
    <row r="23338" spans="1:4" x14ac:dyDescent="0.25">
      <c r="A23338" t="str">
        <f>HYPERLINK("https://www.773grp.com/globalSearch/DAC7563SDGST/page-1", "DAC7563SDGST")</f>
        <v>DAC7563SDGST</v>
      </c>
      <c r="B23338" s="3" t="s">
        <v>90</v>
      </c>
      <c r="C23338" s="5">
        <v>400</v>
      </c>
      <c r="D23338" s="6">
        <v>8.15</v>
      </c>
    </row>
    <row r="23339" spans="1:4" x14ac:dyDescent="0.25">
      <c r="A23339" t="str">
        <f>HYPERLINK("https://www.773grp.com/globalSearch/DAC7563SDSCT/page-1", "DAC7563SDSCT")</f>
        <v>DAC7563SDSCT</v>
      </c>
      <c r="B23339" s="3" t="s">
        <v>90</v>
      </c>
      <c r="C23339" s="5">
        <v>600</v>
      </c>
      <c r="D23339" s="6">
        <v>8.15</v>
      </c>
    </row>
    <row r="23340" spans="1:4" x14ac:dyDescent="0.25">
      <c r="A23340" t="str">
        <f>HYPERLINK("https://www.773grp.com/globalSearch/DC104BLYFBR/page-1", "DC104BLYFBR")</f>
        <v>DC104BLYFBR</v>
      </c>
      <c r="B23340" s="3" t="s">
        <v>90</v>
      </c>
      <c r="C23340" s="5">
        <v>39816</v>
      </c>
      <c r="D23340" s="6">
        <v>8.15</v>
      </c>
    </row>
    <row r="23341" spans="1:4" x14ac:dyDescent="0.25">
      <c r="A23341" t="str">
        <f>HYPERLINK("https://www.773grp.com/globalSearch/OPA2132UAG4/page-1", "OPA2132UAG4")</f>
        <v>OPA2132UAG4</v>
      </c>
      <c r="B23341" s="3" t="s">
        <v>90</v>
      </c>
      <c r="C23341" s="5">
        <v>120</v>
      </c>
      <c r="D23341" s="6">
        <v>8.15</v>
      </c>
    </row>
    <row r="23342" spans="1:4" x14ac:dyDescent="0.25">
      <c r="A23342" t="str">
        <f>HYPERLINK("https://www.773grp.com/globalSearch/OPA453TA-1/page-1", "OPA453TA-1")</f>
        <v>OPA453TA-1</v>
      </c>
      <c r="B23342" s="3" t="s">
        <v>90</v>
      </c>
      <c r="C23342" s="5">
        <v>2400</v>
      </c>
      <c r="D23342" s="6">
        <v>8.15</v>
      </c>
    </row>
    <row r="23343" spans="1:4" x14ac:dyDescent="0.25">
      <c r="A23343" t="str">
        <f>HYPERLINK("https://www.773grp.com/globalSearch/PCM1795DBR/page-1", "PCM1795DBR")</f>
        <v>PCM1795DBR</v>
      </c>
      <c r="B23343" s="3" t="s">
        <v>90</v>
      </c>
      <c r="C23343" s="5">
        <v>1960</v>
      </c>
      <c r="D23343" s="6">
        <v>8.15</v>
      </c>
    </row>
    <row r="23344" spans="1:4" x14ac:dyDescent="0.25">
      <c r="A23344" t="str">
        <f>HYPERLINK("https://www.773grp.com/globalSearch/REF3212AMDBVREP/page-1", "REF3212AMDBVREP")</f>
        <v>REF3212AMDBVREP</v>
      </c>
      <c r="B23344" s="3" t="s">
        <v>90</v>
      </c>
      <c r="C23344" s="5">
        <v>1760</v>
      </c>
      <c r="D23344" s="6">
        <v>8.15</v>
      </c>
    </row>
    <row r="23345" spans="1:4" x14ac:dyDescent="0.25">
      <c r="A23345" t="str">
        <f>HYPERLINK("https://www.773grp.com/globalSearch/REF3240AMDBVREP  REEL/page-1", "REF3240AMDBVREP  REEL")</f>
        <v>REF3240AMDBVREP  REEL</v>
      </c>
      <c r="B23345" s="3" t="s">
        <v>90</v>
      </c>
      <c r="C23345" s="5">
        <v>1343</v>
      </c>
      <c r="D23345" s="6">
        <v>8.15</v>
      </c>
    </row>
    <row r="23346" spans="1:4" x14ac:dyDescent="0.25">
      <c r="A23346" t="str">
        <f>HYPERLINK("https://www.773grp.com/globalSearch/THS4271D/page-1", "THS4271D")</f>
        <v>THS4271D</v>
      </c>
      <c r="B23346" s="3" t="s">
        <v>90</v>
      </c>
      <c r="C23346" s="5">
        <v>43</v>
      </c>
      <c r="D23346" s="6">
        <v>8.15</v>
      </c>
    </row>
    <row r="23347" spans="1:4" x14ac:dyDescent="0.25">
      <c r="A23347" t="str">
        <f>HYPERLINK("https://www.773grp.com/globalSearch/TLC2202CPS/page-1", "TLC2202CPS")</f>
        <v>TLC2202CPS</v>
      </c>
      <c r="B23347" s="3" t="s">
        <v>90</v>
      </c>
      <c r="C23347" s="5">
        <v>39</v>
      </c>
      <c r="D23347" s="6">
        <v>8.15</v>
      </c>
    </row>
    <row r="23348" spans="1:4" x14ac:dyDescent="0.25">
      <c r="A23348" t="str">
        <f>HYPERLINK("https://www.773grp.com/globalSearch/TLK1221RHAR/page-1", "TLK1221RHAR")</f>
        <v>TLK1221RHAR</v>
      </c>
      <c r="B23348" s="3" t="s">
        <v>90</v>
      </c>
      <c r="C23348" s="5">
        <v>1304</v>
      </c>
      <c r="D23348" s="6">
        <v>8.15</v>
      </c>
    </row>
    <row r="23349" spans="1:4" x14ac:dyDescent="0.25">
      <c r="A23349" t="str">
        <f>HYPERLINK("https://www.773grp.com/globalSearch/TLV1548QDBRG4Q1/page-1", "TLV1548QDBRG4Q1")</f>
        <v>TLV1548QDBRG4Q1</v>
      </c>
      <c r="B23349" s="3" t="s">
        <v>90</v>
      </c>
      <c r="C23349" s="5">
        <v>28000</v>
      </c>
      <c r="D23349" s="6">
        <v>8.15</v>
      </c>
    </row>
    <row r="23350" spans="1:4" x14ac:dyDescent="0.25">
      <c r="A23350" t="str">
        <f>HYPERLINK("https://www.773grp.com/globalSearch/TMS320F28023PTS/page-1", "TMS320F28023PTS")</f>
        <v>TMS320F28023PTS</v>
      </c>
      <c r="B23350" s="3" t="s">
        <v>90</v>
      </c>
      <c r="C23350" s="5">
        <v>6568</v>
      </c>
      <c r="D23350" s="6">
        <v>8.15</v>
      </c>
    </row>
    <row r="23351" spans="1:4" x14ac:dyDescent="0.25">
      <c r="A23351" t="str">
        <f>HYPERLINK("https://www.773grp.com/globalSearch/TMS320F28026DAT/page-1", "TMS320F28026DAT")</f>
        <v>TMS320F28026DAT</v>
      </c>
      <c r="B23351" s="3" t="s">
        <v>90</v>
      </c>
      <c r="C23351" s="5">
        <v>40</v>
      </c>
      <c r="D23351" s="6">
        <v>8.15</v>
      </c>
    </row>
    <row r="23352" spans="1:4" x14ac:dyDescent="0.25">
      <c r="A23352" t="str">
        <f>HYPERLINK("https://www.773grp.com/globalSearch/TPS2214/page-1", "TPS2214")</f>
        <v>TPS2214</v>
      </c>
      <c r="B23352" s="3" t="s">
        <v>90</v>
      </c>
      <c r="C23352" s="5">
        <v>960</v>
      </c>
      <c r="D23352" s="6">
        <v>8.15</v>
      </c>
    </row>
    <row r="23353" spans="1:4" x14ac:dyDescent="0.25">
      <c r="A23353" t="str">
        <f>HYPERLINK("https://www.773grp.com/globalSearch/TPS75701KTTR/page-1", "TPS75701KTTR")</f>
        <v>TPS75701KTTR</v>
      </c>
      <c r="B23353" s="3" t="s">
        <v>90</v>
      </c>
      <c r="C23353" s="5">
        <v>46000</v>
      </c>
      <c r="D23353" s="6">
        <v>8.15</v>
      </c>
    </row>
    <row r="23354" spans="1:4" x14ac:dyDescent="0.25">
      <c r="A23354" t="str">
        <f>HYPERLINK("https://www.773grp.com/globalSearch/TPS75733KTTR/page-1", "TPS75733KTTR")</f>
        <v>TPS75733KTTR</v>
      </c>
      <c r="B23354" s="3" t="s">
        <v>90</v>
      </c>
      <c r="C23354" s="5">
        <v>97413</v>
      </c>
      <c r="D23354" s="6">
        <v>8.15</v>
      </c>
    </row>
    <row r="23355" spans="1:4" x14ac:dyDescent="0.25">
      <c r="A23355" t="str">
        <f>HYPERLINK("https://www.773grp.com/globalSearch/TPS75733KTTRG3/page-1", "TPS75733KTTRG3")</f>
        <v>TPS75733KTTRG3</v>
      </c>
      <c r="B23355" s="3" t="s">
        <v>90</v>
      </c>
      <c r="C23355" s="5">
        <v>1784</v>
      </c>
      <c r="D23355" s="6">
        <v>8.15</v>
      </c>
    </row>
    <row r="23356" spans="1:4" x14ac:dyDescent="0.25">
      <c r="A23356" t="str">
        <f>HYPERLINK("https://www.773grp.com/globalSearch/TRF7960RHBT/page-1", "TRF7960RHBT")</f>
        <v>TRF7960RHBT</v>
      </c>
      <c r="B23356" s="3" t="s">
        <v>90</v>
      </c>
      <c r="C23356" s="5">
        <v>2500</v>
      </c>
      <c r="D23356" s="6">
        <v>8.15</v>
      </c>
    </row>
    <row r="23357" spans="1:4" x14ac:dyDescent="0.25">
      <c r="A23357" t="str">
        <f>HYPERLINK("https://www.773grp.com/globalSearch/TRPGP40TGA/page-1", "TRPGP40TGA")</f>
        <v>TRPGP40TGA</v>
      </c>
      <c r="B23357" s="3" t="s">
        <v>90</v>
      </c>
      <c r="C23357" s="5">
        <v>25808</v>
      </c>
      <c r="D23357" s="6">
        <v>8.15</v>
      </c>
    </row>
    <row r="23358" spans="1:4" x14ac:dyDescent="0.25">
      <c r="A23358" t="str">
        <f>HYPERLINK("https://www.773grp.com/globalSearch/UC2835D-70053/page-1", "UC2835D-70053")</f>
        <v>UC2835D-70053</v>
      </c>
      <c r="B23358" s="3" t="s">
        <v>90</v>
      </c>
      <c r="C23358" s="5">
        <v>185</v>
      </c>
      <c r="D23358" s="6">
        <v>8.15</v>
      </c>
    </row>
    <row r="23359" spans="1:4" x14ac:dyDescent="0.25">
      <c r="A23359" t="str">
        <f>HYPERLINK("https://www.773grp.com/globalSearch/UC2835D-70053/page-1", "UC2835D-70053")</f>
        <v>UC2835D-70053</v>
      </c>
      <c r="B23359" s="3" t="s">
        <v>90</v>
      </c>
      <c r="C23359" s="5">
        <v>1037</v>
      </c>
      <c r="D23359" s="6">
        <v>8.15</v>
      </c>
    </row>
    <row r="23360" spans="1:4" x14ac:dyDescent="0.25">
      <c r="A23360" t="str">
        <f>HYPERLINK("https://www.773grp.com/globalSearch/UCC284DPTR-5/page-1", "UCC284DPTR-5")</f>
        <v>UCC284DPTR-5</v>
      </c>
      <c r="B23360" s="3" t="s">
        <v>90</v>
      </c>
      <c r="C23360" s="5">
        <v>25000</v>
      </c>
      <c r="D23360" s="6">
        <v>8.15</v>
      </c>
    </row>
    <row r="23361" spans="1:4" x14ac:dyDescent="0.25">
      <c r="A23361" t="str">
        <f>HYPERLINK("https://www.773grp.com/globalSearch/UCC5643MWP/page-1", "UCC5643MWP")</f>
        <v>UCC5643MWP</v>
      </c>
      <c r="B23361" s="3" t="s">
        <v>90</v>
      </c>
      <c r="C23361" s="5">
        <v>6000</v>
      </c>
      <c r="D23361" s="6">
        <v>8.15</v>
      </c>
    </row>
    <row r="23362" spans="1:4" x14ac:dyDescent="0.25">
      <c r="A23362" t="str">
        <f>HYPERLINK("https://www.773grp.com/globalSearch/LM3S101-EQN20-C2T/page-1", "LM3S101-EQN20-C2T")</f>
        <v>LM3S101-EQN20-C2T</v>
      </c>
      <c r="B23362" s="3" t="s">
        <v>90</v>
      </c>
      <c r="C23362" s="5">
        <v>2000</v>
      </c>
      <c r="D23362" s="6">
        <v>8.19</v>
      </c>
    </row>
    <row r="23363" spans="1:4" x14ac:dyDescent="0.25">
      <c r="A23363" t="str">
        <f>HYPERLINK("https://www.773grp.com/globalSearch/SH6742CDAOPAG/page-1", "SH6742CDAOPAG")</f>
        <v>SH6742CDAOPAG</v>
      </c>
      <c r="B23363" s="3" t="s">
        <v>90</v>
      </c>
      <c r="C23363" s="5">
        <v>601</v>
      </c>
      <c r="D23363" s="6">
        <v>8.2100000000000009</v>
      </c>
    </row>
    <row r="23364" spans="1:4" x14ac:dyDescent="0.25">
      <c r="A23364" t="str">
        <f>HYPERLINK("https://www.773grp.com/globalSearch/ADC122S655CIMM-NOPB/page-1", "ADC122S655CIMM-NOPB")</f>
        <v>ADC122S655CIMM-NOPB</v>
      </c>
      <c r="B23364" s="3" t="s">
        <v>90</v>
      </c>
      <c r="C23364" s="5">
        <v>1042</v>
      </c>
      <c r="D23364" s="6">
        <v>8.24</v>
      </c>
    </row>
    <row r="23365" spans="1:4" x14ac:dyDescent="0.25">
      <c r="A23365" t="str">
        <f>HYPERLINK("https://www.773grp.com/globalSearch/SN65LVDS86AQDGGRQ1/page-1", "SN65LVDS86AQDGGRQ1")</f>
        <v>SN65LVDS86AQDGGRQ1</v>
      </c>
      <c r="B23365" s="3" t="s">
        <v>90</v>
      </c>
      <c r="C23365" s="5">
        <v>72000</v>
      </c>
      <c r="D23365" s="6">
        <v>8.24</v>
      </c>
    </row>
    <row r="23366" spans="1:4" x14ac:dyDescent="0.25">
      <c r="A23366" t="str">
        <f>HYPERLINK("https://www.773grp.com/globalSearch/SN74ALS166DBR/page-1", "SN74ALS166DBR")</f>
        <v>SN74ALS166DBR</v>
      </c>
      <c r="B23366" s="3" t="s">
        <v>90</v>
      </c>
      <c r="C23366" s="5">
        <v>2000</v>
      </c>
      <c r="D23366" s="6">
        <v>8.24</v>
      </c>
    </row>
    <row r="23367" spans="1:4" x14ac:dyDescent="0.25">
      <c r="A23367" t="str">
        <f>HYPERLINK("https://www.773grp.com/globalSearch/SN74ALS645ADB/page-1", "SN74ALS645ADB")</f>
        <v>SN74ALS645ADB</v>
      </c>
      <c r="B23367" s="3" t="s">
        <v>90</v>
      </c>
      <c r="C23367" s="5">
        <v>2724</v>
      </c>
      <c r="D23367" s="6">
        <v>8.24</v>
      </c>
    </row>
    <row r="23368" spans="1:4" x14ac:dyDescent="0.25">
      <c r="A23368" t="str">
        <f>HYPERLINK("https://www.773grp.com/globalSearch/SN75116NE4/page-1", "SN75116NE4")</f>
        <v>SN75116NE4</v>
      </c>
      <c r="B23368" s="3" t="s">
        <v>90</v>
      </c>
      <c r="C23368" s="5">
        <v>300</v>
      </c>
      <c r="D23368" s="6">
        <v>8.24</v>
      </c>
    </row>
    <row r="23369" spans="1:4" x14ac:dyDescent="0.25">
      <c r="A23369" t="str">
        <f>HYPERLINK("https://www.773grp.com/globalSearch/UC3823QTR-81015/page-1", "UC3823QTR-81015")</f>
        <v>UC3823QTR-81015</v>
      </c>
      <c r="B23369" s="3" t="s">
        <v>90</v>
      </c>
      <c r="C23369" s="5">
        <v>15000</v>
      </c>
      <c r="D23369" s="6">
        <v>8.24</v>
      </c>
    </row>
    <row r="23370" spans="1:4" x14ac:dyDescent="0.25">
      <c r="A23370" t="str">
        <f>HYPERLINK("https://www.773grp.com/globalSearch/BQ2031PN-A5/page-1", "BQ2031PN-A5")</f>
        <v>BQ2031PN-A5</v>
      </c>
      <c r="B23370" s="3" t="s">
        <v>90</v>
      </c>
      <c r="C23370" s="5">
        <v>17225</v>
      </c>
      <c r="D23370" s="6">
        <v>8.2799999999999994</v>
      </c>
    </row>
    <row r="23371" spans="1:4" x14ac:dyDescent="0.25">
      <c r="A23371" t="str">
        <f>HYPERLINK("https://www.773grp.com/globalSearch/BQ2031SN-A5TR/page-1", "BQ2031SN-A5TR")</f>
        <v>BQ2031SN-A5TR</v>
      </c>
      <c r="B23371" s="3" t="s">
        <v>90</v>
      </c>
      <c r="C23371" s="5">
        <v>570</v>
      </c>
      <c r="D23371" s="6">
        <v>8.2799999999999994</v>
      </c>
    </row>
    <row r="23372" spans="1:4" x14ac:dyDescent="0.25">
      <c r="A23372" t="str">
        <f>HYPERLINK("https://www.773grp.com/globalSearch/SN74CBTK33245GKER/page-1", "SN74CBTK33245GKER")</f>
        <v>SN74CBTK33245GKER</v>
      </c>
      <c r="B23372" s="3" t="s">
        <v>90</v>
      </c>
      <c r="C23372" s="5">
        <v>1000</v>
      </c>
      <c r="D23372" s="6">
        <v>8.2799999999999994</v>
      </c>
    </row>
    <row r="23373" spans="1:4" x14ac:dyDescent="0.25">
      <c r="A23373" t="str">
        <f>HYPERLINK("https://www.773grp.com/globalSearch/TMS320C5532AZHH10/page-1", "TMS320C5532AZHH10")</f>
        <v>TMS320C5532AZHH10</v>
      </c>
      <c r="B23373" s="3" t="s">
        <v>90</v>
      </c>
      <c r="C23373" s="5">
        <v>406</v>
      </c>
      <c r="D23373" s="6">
        <v>8.2799999999999994</v>
      </c>
    </row>
    <row r="23374" spans="1:4" x14ac:dyDescent="0.25">
      <c r="A23374" t="str">
        <f>HYPERLINK("https://www.773grp.com/globalSearch/TMS320C5533AZHH05/page-1", "TMS320C5533AZHH05")</f>
        <v>TMS320C5533AZHH05</v>
      </c>
      <c r="B23374" s="3" t="s">
        <v>90</v>
      </c>
      <c r="C23374" s="5">
        <v>658</v>
      </c>
      <c r="D23374" s="6">
        <v>8.2799999999999994</v>
      </c>
    </row>
    <row r="23375" spans="1:4" x14ac:dyDescent="0.25">
      <c r="A23375" t="str">
        <f>HYPERLINK("https://www.773grp.com/globalSearch/UC3610DW/page-1", "UC3610DW")</f>
        <v>UC3610DW</v>
      </c>
      <c r="B23375" s="3" t="s">
        <v>90</v>
      </c>
      <c r="C23375" s="5">
        <v>1680</v>
      </c>
      <c r="D23375" s="6">
        <v>8.2799999999999994</v>
      </c>
    </row>
    <row r="23376" spans="1:4" x14ac:dyDescent="0.25">
      <c r="A23376" t="str">
        <f>HYPERLINK("https://www.773grp.com/globalSearch/ADS7841EIDBQRQ1/page-1", "ADS7841EIDBQRQ1")</f>
        <v>ADS7841EIDBQRQ1</v>
      </c>
      <c r="B23376" s="3" t="s">
        <v>90</v>
      </c>
      <c r="C23376" s="5">
        <v>27225</v>
      </c>
      <c r="D23376" s="6">
        <v>8.3000000000000007</v>
      </c>
    </row>
    <row r="23377" spans="1:4" x14ac:dyDescent="0.25">
      <c r="A23377" t="str">
        <f>HYPERLINK("https://www.773grp.com/globalSearch/CDCLVC1310RHBR/page-1", "CDCLVC1310RHBR")</f>
        <v>CDCLVC1310RHBR</v>
      </c>
      <c r="B23377" s="3" t="s">
        <v>90</v>
      </c>
      <c r="C23377" s="5">
        <v>2107</v>
      </c>
      <c r="D23377" s="6">
        <v>8.3000000000000007</v>
      </c>
    </row>
    <row r="23378" spans="1:4" x14ac:dyDescent="0.25">
      <c r="A23378" t="str">
        <f>HYPERLINK("https://www.773grp.com/globalSearch/INA122UA/page-1", "INA122UA")</f>
        <v>INA122UA</v>
      </c>
      <c r="B23378" s="3" t="s">
        <v>90</v>
      </c>
      <c r="C23378" s="5">
        <v>6300</v>
      </c>
      <c r="D23378" s="6">
        <v>8.3000000000000007</v>
      </c>
    </row>
    <row r="23379" spans="1:4" x14ac:dyDescent="0.25">
      <c r="A23379" t="str">
        <f>HYPERLINK("https://www.773grp.com/globalSearch/PCM3070IRHBR/page-1", "PCM3070IRHBR")</f>
        <v>PCM3070IRHBR</v>
      </c>
      <c r="B23379" s="3" t="s">
        <v>90</v>
      </c>
      <c r="C23379" s="5">
        <v>30000</v>
      </c>
      <c r="D23379" s="6">
        <v>8.3000000000000007</v>
      </c>
    </row>
    <row r="23380" spans="1:4" x14ac:dyDescent="0.25">
      <c r="A23380" t="str">
        <f>HYPERLINK("https://www.773grp.com/globalSearch/REF5030IDR/page-1", "REF5030IDR")</f>
        <v>REF5030IDR</v>
      </c>
      <c r="B23380" s="3" t="s">
        <v>90</v>
      </c>
      <c r="C23380" s="5">
        <v>1475</v>
      </c>
      <c r="D23380" s="6">
        <v>8.3000000000000007</v>
      </c>
    </row>
    <row r="23381" spans="1:4" x14ac:dyDescent="0.25">
      <c r="A23381" t="str">
        <f>HYPERLINK("https://www.773grp.com/globalSearch/TLV320AIC3107IYZFT/page-1", "TLV320AIC3107IYZFT")</f>
        <v>TLV320AIC3107IYZFT</v>
      </c>
      <c r="B23381" s="3" t="s">
        <v>90</v>
      </c>
      <c r="C23381" s="5">
        <v>250</v>
      </c>
      <c r="D23381" s="6">
        <v>8.3000000000000007</v>
      </c>
    </row>
    <row r="23382" spans="1:4" x14ac:dyDescent="0.25">
      <c r="A23382" t="str">
        <f>HYPERLINK("https://www.773grp.com/globalSearch/TPS650231RSBR/page-1", "TPS650231RSBR")</f>
        <v>TPS650231RSBR</v>
      </c>
      <c r="B23382" s="3" t="s">
        <v>90</v>
      </c>
      <c r="C23382" s="5">
        <v>24000</v>
      </c>
      <c r="D23382" s="6">
        <v>8.3000000000000007</v>
      </c>
    </row>
    <row r="23383" spans="1:4" x14ac:dyDescent="0.25">
      <c r="A23383" t="str">
        <f>HYPERLINK("https://www.773grp.com/globalSearch/TPS65181RGZR/page-1", "TPS65181RGZR")</f>
        <v>TPS65181RGZR</v>
      </c>
      <c r="B23383" s="3" t="s">
        <v>90</v>
      </c>
      <c r="C23383" s="5">
        <v>5000</v>
      </c>
      <c r="D23383" s="6">
        <v>8.3000000000000007</v>
      </c>
    </row>
    <row r="23384" spans="1:4" x14ac:dyDescent="0.25">
      <c r="A23384" t="str">
        <f>HYPERLINK("https://www.773grp.com/globalSearch/UCC3895DWTR/page-1", "UCC3895DWTR")</f>
        <v>UCC3895DWTR</v>
      </c>
      <c r="B23384" s="3" t="s">
        <v>90</v>
      </c>
      <c r="C23384" s="5">
        <v>1413</v>
      </c>
      <c r="D23384" s="6">
        <v>8.3000000000000007</v>
      </c>
    </row>
    <row r="23385" spans="1:4" x14ac:dyDescent="0.25">
      <c r="A23385" t="str">
        <f>HYPERLINK("https://www.773grp.com/globalSearch/UCC3895DWTRG4/page-1", "UCC3895DWTRG4")</f>
        <v>UCC3895DWTRG4</v>
      </c>
      <c r="B23385" s="3" t="s">
        <v>90</v>
      </c>
      <c r="C23385" s="5">
        <v>1449</v>
      </c>
      <c r="D23385" s="6">
        <v>8.3000000000000007</v>
      </c>
    </row>
    <row r="23386" spans="1:4" x14ac:dyDescent="0.25">
      <c r="A23386" t="str">
        <f>HYPERLINK("https://www.773grp.com/globalSearch/UCC3895PWTR/page-1", "UCC3895PWTR")</f>
        <v>UCC3895PWTR</v>
      </c>
      <c r="B23386" s="3" t="s">
        <v>90</v>
      </c>
      <c r="C23386" s="5">
        <v>4000</v>
      </c>
      <c r="D23386" s="6">
        <v>8.3000000000000007</v>
      </c>
    </row>
    <row r="23387" spans="1:4" x14ac:dyDescent="0.25">
      <c r="A23387" t="str">
        <f>HYPERLINK("https://www.773grp.com/globalSearch/LMH6733MQ-NOPB/page-1", "LMH6733MQ-NOPB")</f>
        <v>LMH6733MQ-NOPB</v>
      </c>
      <c r="B23387" s="3" t="s">
        <v>90</v>
      </c>
      <c r="C23387" s="5">
        <v>4465</v>
      </c>
      <c r="D23387" s="6">
        <v>8.33</v>
      </c>
    </row>
    <row r="23388" spans="1:4" x14ac:dyDescent="0.25">
      <c r="A23388" t="str">
        <f>HYPERLINK("https://www.773grp.com/globalSearch/LM2575HVS-5.0/page-1", "LM2575HVS-5.0")</f>
        <v>LM2575HVS-5.0</v>
      </c>
      <c r="B23388" s="3" t="s">
        <v>90</v>
      </c>
      <c r="C23388" s="5">
        <v>45</v>
      </c>
      <c r="D23388" s="6">
        <v>8.35</v>
      </c>
    </row>
    <row r="23389" spans="1:4" x14ac:dyDescent="0.25">
      <c r="A23389" t="str">
        <f>HYPERLINK("https://www.773grp.com/globalSearch/LM2676S-5.0/page-1", "LM2676S-5.0")</f>
        <v>LM2676S-5.0</v>
      </c>
      <c r="B23389" s="3" t="s">
        <v>90</v>
      </c>
      <c r="C23389" s="5">
        <v>45</v>
      </c>
      <c r="D23389" s="6">
        <v>8.35</v>
      </c>
    </row>
    <row r="23390" spans="1:4" x14ac:dyDescent="0.25">
      <c r="A23390" t="str">
        <f>HYPERLINK("https://www.773grp.com/globalSearch/UCC29421PWTR/page-1", "UCC29421PWTR")</f>
        <v>UCC29421PWTR</v>
      </c>
      <c r="B23390" s="3" t="s">
        <v>90</v>
      </c>
      <c r="C23390" s="5">
        <v>8000</v>
      </c>
      <c r="D23390" s="6">
        <v>8.35</v>
      </c>
    </row>
    <row r="23391" spans="1:4" x14ac:dyDescent="0.25">
      <c r="A23391" t="str">
        <f>HYPERLINK("https://www.773grp.com/globalSearch/MSP430F5521IPN/page-1", "MSP430F5521IPN")</f>
        <v>MSP430F5521IPN</v>
      </c>
      <c r="B23391" s="3" t="s">
        <v>90</v>
      </c>
      <c r="C23391" s="5">
        <v>39</v>
      </c>
      <c r="D23391" s="6">
        <v>8.39</v>
      </c>
    </row>
    <row r="23392" spans="1:4" x14ac:dyDescent="0.25">
      <c r="A23392" t="str">
        <f>HYPERLINK("https://www.773grp.com/globalSearch/SN75LBC172ADW/page-1", "SN75LBC172ADW")</f>
        <v>SN75LBC172ADW</v>
      </c>
      <c r="B23392" s="3" t="s">
        <v>90</v>
      </c>
      <c r="C23392" s="5">
        <v>25</v>
      </c>
      <c r="D23392" s="6">
        <v>8.39</v>
      </c>
    </row>
    <row r="23393" spans="1:4" x14ac:dyDescent="0.25">
      <c r="A23393" t="str">
        <f>HYPERLINK("https://www.773grp.com/globalSearch/CD54HC00F3A/page-1", "CD54HC00F3A")</f>
        <v>CD54HC00F3A</v>
      </c>
      <c r="B23393" s="3" t="s">
        <v>90</v>
      </c>
      <c r="C23393" s="5">
        <v>70</v>
      </c>
      <c r="D23393" s="6">
        <v>8.4</v>
      </c>
    </row>
    <row r="23394" spans="1:4" x14ac:dyDescent="0.25">
      <c r="A23394" t="str">
        <f>HYPERLINK("https://www.773grp.com/globalSearch/DAC8550IDGKT/page-1", "DAC8550IDGKT")</f>
        <v>DAC8550IDGKT</v>
      </c>
      <c r="B23394" s="3" t="s">
        <v>90</v>
      </c>
      <c r="C23394" s="5">
        <v>5000</v>
      </c>
      <c r="D23394" s="6">
        <v>8.4</v>
      </c>
    </row>
    <row r="23395" spans="1:4" x14ac:dyDescent="0.25">
      <c r="A23395" t="str">
        <f>HYPERLINK("https://www.773grp.com/globalSearch/LMP92066PWP/page-1", "LMP92066PWP")</f>
        <v>LMP92066PWP</v>
      </c>
      <c r="B23395" s="3" t="s">
        <v>90</v>
      </c>
      <c r="C23395" s="5">
        <v>1472</v>
      </c>
      <c r="D23395" s="6">
        <v>8.4</v>
      </c>
    </row>
    <row r="23396" spans="1:4" x14ac:dyDescent="0.25">
      <c r="A23396" t="str">
        <f>HYPERLINK("https://www.773grp.com/globalSearch/TPS650243RHBT/page-1", "TPS650243RHBT")</f>
        <v>TPS650243RHBT</v>
      </c>
      <c r="B23396" s="3" t="s">
        <v>90</v>
      </c>
      <c r="C23396" s="5">
        <v>191</v>
      </c>
      <c r="D23396" s="6">
        <v>8.4</v>
      </c>
    </row>
    <row r="23397" spans="1:4" x14ac:dyDescent="0.25">
      <c r="A23397" t="str">
        <f>HYPERLINK("https://www.773grp.com/globalSearch/74LVT16245DGGR/page-1", "74LVT16245DGGR")</f>
        <v>74LVT16245DGGR</v>
      </c>
      <c r="B23397" s="3" t="s">
        <v>90</v>
      </c>
      <c r="C23397" s="5">
        <v>11000</v>
      </c>
      <c r="D23397" s="6">
        <v>8.44</v>
      </c>
    </row>
    <row r="23398" spans="1:4" x14ac:dyDescent="0.25">
      <c r="A23398" t="str">
        <f>HYPERLINK("https://www.773grp.com/globalSearch/BQ24105RHLR/page-1", "BQ24105RHLR")</f>
        <v>BQ24105RHLR</v>
      </c>
      <c r="B23398" s="3" t="s">
        <v>90</v>
      </c>
      <c r="C23398" s="5">
        <v>5688</v>
      </c>
      <c r="D23398" s="6">
        <v>8.44</v>
      </c>
    </row>
    <row r="23399" spans="1:4" x14ac:dyDescent="0.25">
      <c r="A23399" t="str">
        <f>HYPERLINK("https://www.773grp.com/globalSearch/BQ24125RHLR/page-1", "BQ24125RHLR")</f>
        <v>BQ24125RHLR</v>
      </c>
      <c r="B23399" s="3" t="s">
        <v>90</v>
      </c>
      <c r="C23399" s="5">
        <v>6000</v>
      </c>
      <c r="D23399" s="6">
        <v>8.44</v>
      </c>
    </row>
    <row r="23400" spans="1:4" x14ac:dyDescent="0.25">
      <c r="A23400" t="str">
        <f>HYPERLINK("https://www.773grp.com/globalSearch/BQ24726RGRR/page-1", "BQ24726RGRR")</f>
        <v>BQ24726RGRR</v>
      </c>
      <c r="B23400" s="3" t="s">
        <v>90</v>
      </c>
      <c r="C23400" s="5">
        <v>6000</v>
      </c>
      <c r="D23400" s="6">
        <v>8.44</v>
      </c>
    </row>
    <row r="23401" spans="1:4" x14ac:dyDescent="0.25">
      <c r="A23401" t="str">
        <f>HYPERLINK("https://www.773grp.com/globalSearch/BQ4802LYPW/page-1", "BQ4802LYPW")</f>
        <v>BQ4802LYPW</v>
      </c>
      <c r="B23401" s="3" t="s">
        <v>90</v>
      </c>
      <c r="C23401" s="5">
        <v>476</v>
      </c>
      <c r="D23401" s="6">
        <v>8.44</v>
      </c>
    </row>
    <row r="23402" spans="1:4" x14ac:dyDescent="0.25">
      <c r="A23402" t="str">
        <f>HYPERLINK("https://www.773grp.com/globalSearch/DAC124S085CISD-NOPB/page-1", "DAC124S085CISD-NOPB")</f>
        <v>DAC124S085CISD-NOPB</v>
      </c>
      <c r="B23402" s="3" t="s">
        <v>90</v>
      </c>
      <c r="C23402" s="5">
        <v>20</v>
      </c>
      <c r="D23402" s="6">
        <v>8.44</v>
      </c>
    </row>
    <row r="23403" spans="1:4" x14ac:dyDescent="0.25">
      <c r="A23403" t="str">
        <f>HYPERLINK("https://www.773grp.com/globalSearch/DAC5578SPWR/page-1", "DAC5578SPWR")</f>
        <v>DAC5578SPWR</v>
      </c>
      <c r="B23403" s="3" t="s">
        <v>90</v>
      </c>
      <c r="C23403" s="5">
        <v>4000</v>
      </c>
      <c r="D23403" s="6">
        <v>8.44</v>
      </c>
    </row>
    <row r="23404" spans="1:4" x14ac:dyDescent="0.25">
      <c r="A23404" t="str">
        <f>HYPERLINK("https://www.773grp.com/globalSearch/DAC7611UB-2K5/page-1", "DAC7611UB-2K5")</f>
        <v>DAC7611UB-2K5</v>
      </c>
      <c r="B23404" s="3" t="s">
        <v>90</v>
      </c>
      <c r="C23404" s="5">
        <v>15000</v>
      </c>
      <c r="D23404" s="6">
        <v>8.44</v>
      </c>
    </row>
    <row r="23405" spans="1:4" x14ac:dyDescent="0.25">
      <c r="A23405" t="str">
        <f>HYPERLINK("https://www.773grp.com/globalSearch/DRV8302DCA/page-1", "DRV8302DCA")</f>
        <v>DRV8302DCA</v>
      </c>
      <c r="B23405" s="3" t="s">
        <v>90</v>
      </c>
      <c r="C23405" s="5">
        <v>1054</v>
      </c>
      <c r="D23405" s="6">
        <v>8.44</v>
      </c>
    </row>
    <row r="23406" spans="1:4" x14ac:dyDescent="0.25">
      <c r="A23406" t="str">
        <f>HYPERLINK("https://www.773grp.com/globalSearch/INA121UA/page-1", "INA121UA")</f>
        <v>INA121UA</v>
      </c>
      <c r="B23406" s="3" t="s">
        <v>90</v>
      </c>
      <c r="C23406" s="5">
        <v>310</v>
      </c>
      <c r="D23406" s="6">
        <v>8.44</v>
      </c>
    </row>
    <row r="23407" spans="1:4" x14ac:dyDescent="0.25">
      <c r="A23407" t="str">
        <f>HYPERLINK("https://www.773grp.com/globalSearch/INA121UA/page-1", "INA121UA")</f>
        <v>INA121UA</v>
      </c>
      <c r="B23407" s="3" t="s">
        <v>90</v>
      </c>
      <c r="C23407" s="5">
        <v>150</v>
      </c>
      <c r="D23407" s="6">
        <v>8.44</v>
      </c>
    </row>
    <row r="23408" spans="1:4" x14ac:dyDescent="0.25">
      <c r="A23408" t="str">
        <f>HYPERLINK("https://www.773grp.com/globalSearch/INA121UAE4/page-1", "INA121UAE4")</f>
        <v>INA121UAE4</v>
      </c>
      <c r="B23408" s="3" t="s">
        <v>90</v>
      </c>
      <c r="C23408" s="5">
        <v>79</v>
      </c>
      <c r="D23408" s="6">
        <v>8.44</v>
      </c>
    </row>
    <row r="23409" spans="1:4" x14ac:dyDescent="0.25">
      <c r="A23409" t="str">
        <f>HYPERLINK("https://www.773grp.com/globalSearch/INA209AIPWG4/page-1", "INA209AIPWG4")</f>
        <v>INA209AIPWG4</v>
      </c>
      <c r="B23409" s="3" t="s">
        <v>90</v>
      </c>
      <c r="C23409" s="5">
        <v>40</v>
      </c>
      <c r="D23409" s="6">
        <v>8.44</v>
      </c>
    </row>
    <row r="23410" spans="1:4" x14ac:dyDescent="0.25">
      <c r="A23410" t="str">
        <f>HYPERLINK("https://www.773grp.com/globalSearch/ISO1176DWR/page-1", "ISO1176DWR")</f>
        <v>ISO1176DWR</v>
      </c>
      <c r="B23410" s="3" t="s">
        <v>90</v>
      </c>
      <c r="C23410" s="5">
        <v>332</v>
      </c>
      <c r="D23410" s="6">
        <v>8.44</v>
      </c>
    </row>
    <row r="23411" spans="1:4" x14ac:dyDescent="0.25">
      <c r="A23411" t="str">
        <f>HYPERLINK("https://www.773grp.com/globalSearch/ISO5500DWR/page-1", "ISO5500DWR")</f>
        <v>ISO5500DWR</v>
      </c>
      <c r="B23411" s="3" t="s">
        <v>90</v>
      </c>
      <c r="C23411" s="5">
        <v>1990</v>
      </c>
      <c r="D23411" s="6">
        <v>8.44</v>
      </c>
    </row>
    <row r="23412" spans="1:4" x14ac:dyDescent="0.25">
      <c r="A23412" t="str">
        <f>HYPERLINK("https://www.773grp.com/globalSearch/LM2585T-12-NOPB/page-1", "LM2585T-12-NOPB")</f>
        <v>LM2585T-12-NOPB</v>
      </c>
      <c r="B23412" s="3" t="s">
        <v>90</v>
      </c>
      <c r="C23412" s="5">
        <v>20</v>
      </c>
      <c r="D23412" s="6">
        <v>8.44</v>
      </c>
    </row>
    <row r="23413" spans="1:4" x14ac:dyDescent="0.25">
      <c r="A23413" t="str">
        <f>HYPERLINK("https://www.773grp.com/globalSearch/LP3972SQ-A514/page-1", "LP3972SQ-A514")</f>
        <v>LP3972SQ-A514</v>
      </c>
      <c r="B23413" s="3" t="s">
        <v>90</v>
      </c>
      <c r="C23413" s="5">
        <v>51</v>
      </c>
      <c r="D23413" s="6">
        <v>8.44</v>
      </c>
    </row>
    <row r="23414" spans="1:4" x14ac:dyDescent="0.25">
      <c r="A23414" t="str">
        <f>HYPERLINK("https://www.773grp.com/globalSearch/LT1014DINE4/page-1", "LT1014DINE4")</f>
        <v>LT1014DINE4</v>
      </c>
      <c r="B23414" s="3" t="s">
        <v>90</v>
      </c>
      <c r="C23414" s="5">
        <v>60</v>
      </c>
      <c r="D23414" s="6">
        <v>8.44</v>
      </c>
    </row>
    <row r="23415" spans="1:4" x14ac:dyDescent="0.25">
      <c r="A23415" t="str">
        <f>HYPERLINK("https://www.773grp.com/globalSearch/MSP430F6726IPZ/page-1", "MSP430F6726IPZ")</f>
        <v>MSP430F6726IPZ</v>
      </c>
      <c r="B23415" s="3" t="s">
        <v>90</v>
      </c>
      <c r="C23415" s="5">
        <v>334</v>
      </c>
      <c r="D23415" s="6">
        <v>8.44</v>
      </c>
    </row>
    <row r="23416" spans="1:4" x14ac:dyDescent="0.25">
      <c r="A23416" t="str">
        <f>HYPERLINK("https://www.773grp.com/globalSearch/OPA365AMDBVTEP/page-1", "OPA365AMDBVTEP")</f>
        <v>OPA365AMDBVTEP</v>
      </c>
      <c r="B23416" s="3" t="s">
        <v>90</v>
      </c>
      <c r="C23416" s="5">
        <v>250</v>
      </c>
      <c r="D23416" s="6">
        <v>8.44</v>
      </c>
    </row>
    <row r="23417" spans="1:4" x14ac:dyDescent="0.25">
      <c r="A23417" t="str">
        <f>HYPERLINK("https://www.773grp.com/globalSearch/PGA400QYZSRQ1/page-1", "PGA400QYZSRQ1")</f>
        <v>PGA400QYZSRQ1</v>
      </c>
      <c r="B23417" s="3" t="s">
        <v>90</v>
      </c>
      <c r="C23417" s="5">
        <v>900</v>
      </c>
      <c r="D23417" s="6">
        <v>8.44</v>
      </c>
    </row>
    <row r="23418" spans="1:4" x14ac:dyDescent="0.25">
      <c r="A23418" t="str">
        <f>HYPERLINK("https://www.773grp.com/globalSearch/SN65LVDS31MDREP/page-1", "SN65LVDS31MDREP")</f>
        <v>SN65LVDS31MDREP</v>
      </c>
      <c r="B23418" s="3" t="s">
        <v>90</v>
      </c>
      <c r="C23418" s="5">
        <v>191</v>
      </c>
      <c r="D23418" s="6">
        <v>8.44</v>
      </c>
    </row>
    <row r="23419" spans="1:4" x14ac:dyDescent="0.25">
      <c r="A23419" t="str">
        <f>HYPERLINK("https://www.773grp.com/globalSearch/SN65MLVD082DGGR/page-1", "SN65MLVD082DGGR")</f>
        <v>SN65MLVD082DGGR</v>
      </c>
      <c r="B23419" s="3" t="s">
        <v>90</v>
      </c>
      <c r="C23419" s="5">
        <v>1394</v>
      </c>
      <c r="D23419" s="6">
        <v>8.44</v>
      </c>
    </row>
    <row r="23420" spans="1:4" x14ac:dyDescent="0.25">
      <c r="A23420" t="str">
        <f>HYPERLINK("https://www.773grp.com/globalSearch/SN74ACT7200L50RJR/page-1", "SN74ACT7200L50RJR")</f>
        <v>SN74ACT7200L50RJR</v>
      </c>
      <c r="B23420" s="3" t="s">
        <v>90</v>
      </c>
      <c r="C23420" s="5">
        <v>62250</v>
      </c>
      <c r="D23420" s="6">
        <v>8.44</v>
      </c>
    </row>
    <row r="23421" spans="1:4" x14ac:dyDescent="0.25">
      <c r="A23421" t="str">
        <f>HYPERLINK("https://www.773grp.com/globalSearch/SN74ACT7200L50RL/page-1", "SN74ACT7200L50RL")</f>
        <v>SN74ACT7200L50RL</v>
      </c>
      <c r="B23421" s="3" t="s">
        <v>90</v>
      </c>
      <c r="C23421" s="5">
        <v>480</v>
      </c>
      <c r="D23421" s="6">
        <v>8.44</v>
      </c>
    </row>
    <row r="23422" spans="1:4" x14ac:dyDescent="0.25">
      <c r="A23422" t="str">
        <f>HYPERLINK("https://www.773grp.com/globalSearch/SN74AS642N/page-1", "SN74AS642N")</f>
        <v>SN74AS642N</v>
      </c>
      <c r="B23422" s="3" t="s">
        <v>90</v>
      </c>
      <c r="C23422" s="5">
        <v>42</v>
      </c>
      <c r="D23422" s="6">
        <v>8.44</v>
      </c>
    </row>
    <row r="23423" spans="1:4" x14ac:dyDescent="0.25">
      <c r="A23423" t="str">
        <f>HYPERLINK("https://www.773grp.com/globalSearch/SN74GTLP817PW/page-1", "SN74GTLP817PW")</f>
        <v>SN74GTLP817PW</v>
      </c>
      <c r="B23423" s="3" t="s">
        <v>90</v>
      </c>
      <c r="C23423" s="5">
        <v>4140</v>
      </c>
      <c r="D23423" s="6">
        <v>8.44</v>
      </c>
    </row>
    <row r="23424" spans="1:4" x14ac:dyDescent="0.25">
      <c r="A23424" t="str">
        <f>HYPERLINK("https://www.773grp.com/globalSearch/SN74VMEH22501DGGR/page-1", "SN74VMEH22501DGGR")</f>
        <v>SN74VMEH22501DGGR</v>
      </c>
      <c r="B23424" s="3" t="s">
        <v>90</v>
      </c>
      <c r="C23424" s="5">
        <v>2000</v>
      </c>
      <c r="D23424" s="6">
        <v>8.44</v>
      </c>
    </row>
    <row r="23425" spans="1:4" x14ac:dyDescent="0.25">
      <c r="A23425" t="str">
        <f>HYPERLINK("https://www.773grp.com/globalSearch/THS6022TPWP/page-1", "THS6022TPWP")</f>
        <v>THS6022TPWP</v>
      </c>
      <c r="B23425" s="3" t="s">
        <v>90</v>
      </c>
      <c r="C23425" s="5">
        <v>7380</v>
      </c>
      <c r="D23425" s="6">
        <v>8.44</v>
      </c>
    </row>
    <row r="23426" spans="1:4" x14ac:dyDescent="0.25">
      <c r="A23426" t="str">
        <f>HYPERLINK("https://www.773grp.com/globalSearch/THS8136PHP/page-1", "THS8136PHP")</f>
        <v>THS8136PHP</v>
      </c>
      <c r="B23426" s="3" t="s">
        <v>90</v>
      </c>
      <c r="C23426" s="5">
        <v>1017</v>
      </c>
      <c r="D23426" s="6">
        <v>8.44</v>
      </c>
    </row>
    <row r="23427" spans="1:4" x14ac:dyDescent="0.25">
      <c r="A23427" t="str">
        <f>HYPERLINK("https://www.773grp.com/globalSearch/TPS3600D20PWG4/page-1", "TPS3600D20PWG4")</f>
        <v>TPS3600D20PWG4</v>
      </c>
      <c r="B23427" s="3" t="s">
        <v>90</v>
      </c>
      <c r="C23427" s="5">
        <v>90</v>
      </c>
      <c r="D23427" s="6">
        <v>8.44</v>
      </c>
    </row>
    <row r="23428" spans="1:4" x14ac:dyDescent="0.25">
      <c r="A23428" t="str">
        <f>HYPERLINK("https://www.773grp.com/globalSearch/TPS3600D33PWG4/page-1", "TPS3600D33PWG4")</f>
        <v>TPS3600D33PWG4</v>
      </c>
      <c r="B23428" s="3" t="s">
        <v>90</v>
      </c>
      <c r="C23428" s="5">
        <v>65</v>
      </c>
      <c r="D23428" s="6">
        <v>8.44</v>
      </c>
    </row>
    <row r="23429" spans="1:4" x14ac:dyDescent="0.25">
      <c r="A23429" t="str">
        <f>HYPERLINK("https://www.773grp.com/globalSearch/TPS51222RTVR/page-1", "TPS51222RTVR")</f>
        <v>TPS51222RTVR</v>
      </c>
      <c r="B23429" s="3" t="s">
        <v>90</v>
      </c>
      <c r="C23429" s="5">
        <v>501000</v>
      </c>
      <c r="D23429" s="6">
        <v>8.44</v>
      </c>
    </row>
    <row r="23430" spans="1:4" x14ac:dyDescent="0.25">
      <c r="A23430" t="str">
        <f>HYPERLINK("https://www.773grp.com/globalSearch/TRPGR30TGC/page-1", "TRPGR30TGC")</f>
        <v>TRPGR30TGC</v>
      </c>
      <c r="B23430" s="3" t="s">
        <v>90</v>
      </c>
      <c r="C23430" s="5">
        <v>54200</v>
      </c>
      <c r="D23430" s="6">
        <v>8.44</v>
      </c>
    </row>
    <row r="23431" spans="1:4" x14ac:dyDescent="0.25">
      <c r="A23431" t="str">
        <f>HYPERLINK("https://www.773grp.com/globalSearch/TWL3027BGQWR/page-1", "TWL3027BGQWR")</f>
        <v>TWL3027BGQWR</v>
      </c>
      <c r="B23431" s="3" t="s">
        <v>90</v>
      </c>
      <c r="C23431" s="5">
        <v>15000</v>
      </c>
      <c r="D23431" s="6">
        <v>8.44</v>
      </c>
    </row>
    <row r="23432" spans="1:4" x14ac:dyDescent="0.25">
      <c r="A23432" t="str">
        <f>HYPERLINK("https://www.773grp.com/globalSearch/UC2543NG4/page-1", "UC2543NG4")</f>
        <v>UC2543NG4</v>
      </c>
      <c r="B23432" s="3" t="s">
        <v>90</v>
      </c>
      <c r="C23432" s="5">
        <v>25</v>
      </c>
      <c r="D23432" s="6">
        <v>8.44</v>
      </c>
    </row>
    <row r="23433" spans="1:4" x14ac:dyDescent="0.25">
      <c r="A23433" t="str">
        <f>HYPERLINK("https://www.773grp.com/globalSearch/UC3848DWTR/page-1", "UC3848DWTR")</f>
        <v>UC3848DWTR</v>
      </c>
      <c r="B23433" s="3" t="s">
        <v>90</v>
      </c>
      <c r="C23433" s="5">
        <v>4000</v>
      </c>
      <c r="D23433" s="6">
        <v>8.44</v>
      </c>
    </row>
    <row r="23434" spans="1:4" x14ac:dyDescent="0.25">
      <c r="A23434" t="str">
        <f>HYPERLINK("https://www.773grp.com/globalSearch/UC3872DWTR-1/page-1", "UC3872DWTR-1")</f>
        <v>UC3872DWTR-1</v>
      </c>
      <c r="B23434" s="3" t="s">
        <v>90</v>
      </c>
      <c r="C23434" s="5">
        <v>10000</v>
      </c>
      <c r="D23434" s="6">
        <v>8.44</v>
      </c>
    </row>
    <row r="23435" spans="1:4" x14ac:dyDescent="0.25">
      <c r="A23435" t="str">
        <f>HYPERLINK("https://www.773grp.com/globalSearch/MSP430F5515IPN/page-1", "MSP430F5515IPN")</f>
        <v>MSP430F5515IPN</v>
      </c>
      <c r="B23435" s="3" t="s">
        <v>90</v>
      </c>
      <c r="C23435" s="5">
        <v>13447</v>
      </c>
      <c r="D23435" s="6">
        <v>8.48</v>
      </c>
    </row>
    <row r="23436" spans="1:4" x14ac:dyDescent="0.25">
      <c r="A23436" t="str">
        <f>HYPERLINK("https://www.773grp.com/globalSearch/TL851CD/page-1", "TL851CD")</f>
        <v>TL851CD</v>
      </c>
      <c r="B23436" s="3" t="s">
        <v>90</v>
      </c>
      <c r="C23436" s="5">
        <v>45</v>
      </c>
      <c r="D23436" s="6">
        <v>8.48</v>
      </c>
    </row>
    <row r="23437" spans="1:4" x14ac:dyDescent="0.25">
      <c r="A23437" t="str">
        <f>HYPERLINK("https://www.773grp.com/globalSearch/8409101CA/page-1", "8409101CA")</f>
        <v>8409101CA</v>
      </c>
      <c r="B23437" s="3" t="s">
        <v>90</v>
      </c>
      <c r="C23437" s="5">
        <v>13</v>
      </c>
      <c r="D23437" s="6">
        <v>8.49</v>
      </c>
    </row>
    <row r="23438" spans="1:4" x14ac:dyDescent="0.25">
      <c r="A23438" t="str">
        <f>HYPERLINK("https://www.773grp.com/globalSearch/8409801CA/page-1", "8409801CA")</f>
        <v>8409801CA</v>
      </c>
      <c r="B23438" s="3" t="s">
        <v>90</v>
      </c>
      <c r="C23438" s="5">
        <v>9</v>
      </c>
      <c r="D23438" s="6">
        <v>8.49</v>
      </c>
    </row>
    <row r="23439" spans="1:4" x14ac:dyDescent="0.25">
      <c r="A23439" t="str">
        <f>HYPERLINK("https://www.773grp.com/globalSearch/MSP430F5522IRGCR/page-1", "MSP430F5522IRGCR")</f>
        <v>MSP430F5522IRGCR</v>
      </c>
      <c r="B23439" s="3" t="s">
        <v>90</v>
      </c>
      <c r="C23439" s="5">
        <v>4000</v>
      </c>
      <c r="D23439" s="6">
        <v>8.5299999999999994</v>
      </c>
    </row>
    <row r="23440" spans="1:4" x14ac:dyDescent="0.25">
      <c r="A23440" t="str">
        <f>HYPERLINK("https://www.773grp.com/globalSearch/SN74AC11874NT/page-1", "SN74AC11874NT")</f>
        <v>SN74AC11874NT</v>
      </c>
      <c r="B23440" s="3" t="s">
        <v>90</v>
      </c>
      <c r="C23440" s="5">
        <v>1061</v>
      </c>
      <c r="D23440" s="6">
        <v>8.5500000000000007</v>
      </c>
    </row>
    <row r="23441" spans="1:4" x14ac:dyDescent="0.25">
      <c r="A23441" t="str">
        <f>HYPERLINK("https://www.773grp.com/globalSearch/TPS650244IRHBRQ1/page-1", "TPS650244IRHBRQ1")</f>
        <v>TPS650244IRHBRQ1</v>
      </c>
      <c r="B23441" s="3" t="s">
        <v>90</v>
      </c>
      <c r="C23441" s="5">
        <v>2018</v>
      </c>
      <c r="D23441" s="6">
        <v>8.5500000000000007</v>
      </c>
    </row>
    <row r="23442" spans="1:4" x14ac:dyDescent="0.25">
      <c r="A23442" t="str">
        <f>HYPERLINK("https://www.773grp.com/globalSearch/BQ2054SNTR/page-1", "BQ2054SNTR")</f>
        <v>BQ2054SNTR</v>
      </c>
      <c r="B23442" s="3" t="s">
        <v>90</v>
      </c>
      <c r="C23442" s="5">
        <v>2500</v>
      </c>
      <c r="D23442" s="6">
        <v>8.58</v>
      </c>
    </row>
    <row r="23443" spans="1:4" x14ac:dyDescent="0.25">
      <c r="A23443" t="str">
        <f>HYPERLINK("https://www.773grp.com/globalSearch/CC2530F128RHAR/page-1", "CC2530F128RHAR")</f>
        <v>CC2530F128RHAR</v>
      </c>
      <c r="B23443" s="3" t="s">
        <v>90</v>
      </c>
      <c r="C23443" s="5">
        <v>1404</v>
      </c>
      <c r="D23443" s="6">
        <v>8.58</v>
      </c>
    </row>
    <row r="23444" spans="1:4" x14ac:dyDescent="0.25">
      <c r="A23444" t="str">
        <f>HYPERLINK("https://www.773grp.com/globalSearch/MSP430F6733IPZ/page-1", "MSP430F6733IPZ")</f>
        <v>MSP430F6733IPZ</v>
      </c>
      <c r="B23444" s="3" t="s">
        <v>90</v>
      </c>
      <c r="C23444" s="5">
        <v>75</v>
      </c>
      <c r="D23444" s="6">
        <v>8.58</v>
      </c>
    </row>
    <row r="23445" spans="1:4" x14ac:dyDescent="0.25">
      <c r="A23445" t="str">
        <f>HYPERLINK("https://www.773grp.com/globalSearch/OPA4131NJ/page-1", "OPA4131NJ")</f>
        <v>OPA4131NJ</v>
      </c>
      <c r="B23445" s="3" t="s">
        <v>90</v>
      </c>
      <c r="C23445" s="5">
        <v>4370</v>
      </c>
      <c r="D23445" s="6">
        <v>8.58</v>
      </c>
    </row>
    <row r="23446" spans="1:4" x14ac:dyDescent="0.25">
      <c r="A23446" t="str">
        <f>HYPERLINK("https://www.773grp.com/globalSearch/TMS320F28030PAGT/page-1", "TMS320F28030PAGT")</f>
        <v>TMS320F28030PAGT</v>
      </c>
      <c r="B23446" s="3" t="s">
        <v>90</v>
      </c>
      <c r="C23446" s="5">
        <v>606</v>
      </c>
      <c r="D23446" s="6">
        <v>8.58</v>
      </c>
    </row>
    <row r="23447" spans="1:4" x14ac:dyDescent="0.25">
      <c r="A23447" t="str">
        <f>HYPERLINK("https://www.773grp.com/globalSearch/TPS51462RGET/page-1", "TPS51462RGET")</f>
        <v>TPS51462RGET</v>
      </c>
      <c r="B23447" s="3" t="s">
        <v>90</v>
      </c>
      <c r="C23447" s="5">
        <v>250</v>
      </c>
      <c r="D23447" s="6">
        <v>8.58</v>
      </c>
    </row>
    <row r="23448" spans="1:4" x14ac:dyDescent="0.25">
      <c r="A23448" t="str">
        <f>HYPERLINK("https://www.773grp.com/globalSearch/TPS51650RSLT/page-1", "TPS51650RSLT")</f>
        <v>TPS51650RSLT</v>
      </c>
      <c r="B23448" s="3" t="s">
        <v>90</v>
      </c>
      <c r="C23448" s="5">
        <v>60</v>
      </c>
      <c r="D23448" s="6">
        <v>8.58</v>
      </c>
    </row>
    <row r="23449" spans="1:4" x14ac:dyDescent="0.25">
      <c r="A23449" t="str">
        <f>HYPERLINK("https://www.773grp.com/globalSearch/TPS59650RSLT/page-1", "TPS59650RSLT")</f>
        <v>TPS59650RSLT</v>
      </c>
      <c r="B23449" s="3" t="s">
        <v>90</v>
      </c>
      <c r="C23449" s="5">
        <v>280</v>
      </c>
      <c r="D23449" s="6">
        <v>8.58</v>
      </c>
    </row>
    <row r="23450" spans="1:4" x14ac:dyDescent="0.25">
      <c r="A23450" t="str">
        <f>HYPERLINK("https://www.773grp.com/globalSearch/UC2909N/page-1", "UC2909N")</f>
        <v>UC2909N</v>
      </c>
      <c r="B23450" s="3" t="s">
        <v>90</v>
      </c>
      <c r="C23450" s="5">
        <v>11440</v>
      </c>
      <c r="D23450" s="6">
        <v>8.58</v>
      </c>
    </row>
    <row r="23451" spans="1:4" x14ac:dyDescent="0.25">
      <c r="A23451" t="str">
        <f>HYPERLINK("https://www.773grp.com/globalSearch/UC37133D/page-1", "UC37133D")</f>
        <v>UC37133D</v>
      </c>
      <c r="B23451" s="3" t="s">
        <v>90</v>
      </c>
      <c r="C23451" s="5">
        <v>150</v>
      </c>
      <c r="D23451" s="6">
        <v>8.58</v>
      </c>
    </row>
    <row r="23452" spans="1:4" x14ac:dyDescent="0.25">
      <c r="A23452" t="str">
        <f>HYPERLINK("https://www.773grp.com/globalSearch/UCD7242RSJT/page-1", "UCD7242RSJT")</f>
        <v>UCD7242RSJT</v>
      </c>
      <c r="B23452" s="3" t="s">
        <v>90</v>
      </c>
      <c r="C23452" s="5">
        <v>1260</v>
      </c>
      <c r="D23452" s="6">
        <v>8.58</v>
      </c>
    </row>
    <row r="23453" spans="1:4" x14ac:dyDescent="0.25">
      <c r="A23453" t="str">
        <f>HYPERLINK("https://www.773grp.com/globalSearch/LM2593HVS-5.0-NOPB/page-1", "LM2593HVS-5.0-NOPB")</f>
        <v>LM2593HVS-5.0-NOPB</v>
      </c>
      <c r="B23453" s="3" t="s">
        <v>90</v>
      </c>
      <c r="C23453" s="5">
        <v>90</v>
      </c>
      <c r="D23453" s="6">
        <v>8.61</v>
      </c>
    </row>
    <row r="23454" spans="1:4" x14ac:dyDescent="0.25">
      <c r="A23454" t="str">
        <f>HYPERLINK("https://www.773grp.com/globalSearch/SN74ALS561ANE4/page-1", "SN74ALS561ANE4")</f>
        <v>SN74ALS561ANE4</v>
      </c>
      <c r="B23454" s="3" t="s">
        <v>90</v>
      </c>
      <c r="C23454" s="5">
        <v>109</v>
      </c>
      <c r="D23454" s="6">
        <v>8.64</v>
      </c>
    </row>
    <row r="23455" spans="1:4" x14ac:dyDescent="0.25">
      <c r="A23455" t="str">
        <f>HYPERLINK("https://www.773grp.com/globalSearch/DS90CF384AQMT-NOPB/page-1", "DS90CF384AQMT-NOPB")</f>
        <v>DS90CF384AQMT-NOPB</v>
      </c>
      <c r="B23455" s="3" t="s">
        <v>90</v>
      </c>
      <c r="C23455" s="5">
        <v>170</v>
      </c>
      <c r="D23455" s="6">
        <v>8.66</v>
      </c>
    </row>
    <row r="23456" spans="1:4" x14ac:dyDescent="0.25">
      <c r="A23456" t="str">
        <f>HYPERLINK("https://www.773grp.com/globalSearch/TLC1078MDG4/page-1", "TLC1078MDG4")</f>
        <v>TLC1078MDG4</v>
      </c>
      <c r="B23456" s="3" t="s">
        <v>90</v>
      </c>
      <c r="C23456" s="5">
        <v>3300</v>
      </c>
      <c r="D23456" s="6">
        <v>8.66</v>
      </c>
    </row>
    <row r="23457" spans="1:4" x14ac:dyDescent="0.25">
      <c r="A23457" t="str">
        <f>HYPERLINK("https://www.773grp.com/globalSearch/BQ4802YDWR/page-1", "BQ4802YDWR")</f>
        <v>BQ4802YDWR</v>
      </c>
      <c r="B23457" s="3" t="s">
        <v>90</v>
      </c>
      <c r="C23457" s="5">
        <v>4000</v>
      </c>
      <c r="D23457" s="6">
        <v>8.73</v>
      </c>
    </row>
    <row r="23458" spans="1:4" x14ac:dyDescent="0.25">
      <c r="A23458" t="str">
        <f>HYPERLINK("https://www.773grp.com/globalSearch/CC430F6137IRGCR/page-1", "CC430F6137IRGCR")</f>
        <v>CC430F6137IRGCR</v>
      </c>
      <c r="B23458" s="3" t="s">
        <v>90</v>
      </c>
      <c r="C23458" s="5">
        <v>9684</v>
      </c>
      <c r="D23458" s="6">
        <v>8.73</v>
      </c>
    </row>
    <row r="23459" spans="1:4" x14ac:dyDescent="0.25">
      <c r="A23459" t="str">
        <f>HYPERLINK("https://www.773grp.com/globalSearch/LM2586S-12-NOPB/page-1", "LM2586S-12-NOPB")</f>
        <v>LM2586S-12-NOPB</v>
      </c>
      <c r="B23459" s="3" t="s">
        <v>90</v>
      </c>
      <c r="C23459" s="5">
        <v>165</v>
      </c>
      <c r="D23459" s="6">
        <v>8.73</v>
      </c>
    </row>
    <row r="23460" spans="1:4" x14ac:dyDescent="0.25">
      <c r="A23460" t="str">
        <f>HYPERLINK("https://www.773grp.com/globalSearch/PCM1745E-2K/page-1", "PCM1745E-2K")</f>
        <v>PCM1745E-2K</v>
      </c>
      <c r="B23460" s="3" t="s">
        <v>90</v>
      </c>
      <c r="C23460" s="5">
        <v>36000</v>
      </c>
      <c r="D23460" s="6">
        <v>8.73</v>
      </c>
    </row>
    <row r="23461" spans="1:4" x14ac:dyDescent="0.25">
      <c r="A23461" t="str">
        <f>HYPERLINK("https://www.773grp.com/globalSearch/SN65HVD30MDREP/page-1", "SN65HVD30MDREP")</f>
        <v>SN65HVD30MDREP</v>
      </c>
      <c r="B23461" s="3" t="s">
        <v>90</v>
      </c>
      <c r="C23461" s="5">
        <v>2436</v>
      </c>
      <c r="D23461" s="6">
        <v>8.73</v>
      </c>
    </row>
    <row r="23462" spans="1:4" x14ac:dyDescent="0.25">
      <c r="A23462" t="str">
        <f>HYPERLINK("https://www.773grp.com/globalSearch/SN65HVD30MDREP/page-1", "SN65HVD30MDREP")</f>
        <v>SN65HVD30MDREP</v>
      </c>
      <c r="B23462" s="3" t="s">
        <v>90</v>
      </c>
      <c r="C23462" s="5">
        <v>2304</v>
      </c>
      <c r="D23462" s="6">
        <v>8.73</v>
      </c>
    </row>
    <row r="23463" spans="1:4" x14ac:dyDescent="0.25">
      <c r="A23463" t="str">
        <f>HYPERLINK("https://www.773grp.com/globalSearch/SN75324N/page-1", "SN75324N")</f>
        <v>SN75324N</v>
      </c>
      <c r="B23463" s="3" t="s">
        <v>90</v>
      </c>
      <c r="C23463" s="5">
        <v>15</v>
      </c>
      <c r="D23463" s="6">
        <v>8.73</v>
      </c>
    </row>
    <row r="23464" spans="1:4" x14ac:dyDescent="0.25">
      <c r="A23464" t="str">
        <f>HYPERLINK("https://www.773grp.com/globalSearch/SN75LBC174ADW/page-1", "SN75LBC174ADW")</f>
        <v>SN75LBC174ADW</v>
      </c>
      <c r="B23464" s="3" t="s">
        <v>90</v>
      </c>
      <c r="C23464" s="5">
        <v>404</v>
      </c>
      <c r="D23464" s="6">
        <v>8.73</v>
      </c>
    </row>
    <row r="23465" spans="1:4" x14ac:dyDescent="0.25">
      <c r="A23465" t="str">
        <f>HYPERLINK("https://www.773grp.com/globalSearch/TL16C752CIPFB/page-1", "TL16C752CIPFB")</f>
        <v>TL16C752CIPFB</v>
      </c>
      <c r="B23465" s="3" t="s">
        <v>90</v>
      </c>
      <c r="C23465" s="5">
        <v>704</v>
      </c>
      <c r="D23465" s="6">
        <v>8.73</v>
      </c>
    </row>
    <row r="23466" spans="1:4" x14ac:dyDescent="0.25">
      <c r="A23466" t="str">
        <f>HYPERLINK("https://www.773grp.com/globalSearch/TMS320F28026DAS/page-1", "TMS320F28026DAS")</f>
        <v>TMS320F28026DAS</v>
      </c>
      <c r="B23466" s="3" t="s">
        <v>90</v>
      </c>
      <c r="C23466" s="5">
        <v>99</v>
      </c>
      <c r="D23466" s="6">
        <v>8.73</v>
      </c>
    </row>
    <row r="23467" spans="1:4" x14ac:dyDescent="0.25">
      <c r="A23467" t="str">
        <f>HYPERLINK("https://www.773grp.com/globalSearch/TRF7970ARHBR/page-1", "TRF7970ARHBR")</f>
        <v>TRF7970ARHBR</v>
      </c>
      <c r="B23467" s="3" t="s">
        <v>90</v>
      </c>
      <c r="C23467" s="5">
        <v>2030</v>
      </c>
      <c r="D23467" s="6">
        <v>8.73</v>
      </c>
    </row>
    <row r="23468" spans="1:4" x14ac:dyDescent="0.25">
      <c r="A23468" t="str">
        <f>HYPERLINK("https://www.773grp.com/globalSearch/TSC2020IRTVR/page-1", "TSC2020IRTVR")</f>
        <v>TSC2020IRTVR</v>
      </c>
      <c r="B23468" s="3" t="s">
        <v>90</v>
      </c>
      <c r="C23468" s="5">
        <v>3000</v>
      </c>
      <c r="D23468" s="6">
        <v>8.73</v>
      </c>
    </row>
    <row r="23469" spans="1:4" x14ac:dyDescent="0.25">
      <c r="A23469" t="str">
        <f>HYPERLINK("https://www.773grp.com/globalSearch/UCC25701DTR/page-1", "UCC25701DTR")</f>
        <v>UCC25701DTR</v>
      </c>
      <c r="B23469" s="3" t="s">
        <v>90</v>
      </c>
      <c r="C23469" s="5">
        <v>11900</v>
      </c>
      <c r="D23469" s="6">
        <v>8.73</v>
      </c>
    </row>
    <row r="23470" spans="1:4" x14ac:dyDescent="0.25">
      <c r="A23470" t="str">
        <f>HYPERLINK("https://www.773grp.com/globalSearch/UCC25701DTR-81385/page-1", "UCC25701DTR-81385")</f>
        <v>UCC25701DTR-81385</v>
      </c>
      <c r="B23470" s="3" t="s">
        <v>90</v>
      </c>
      <c r="C23470" s="5">
        <v>31500</v>
      </c>
      <c r="D23470" s="6">
        <v>8.73</v>
      </c>
    </row>
    <row r="23471" spans="1:4" x14ac:dyDescent="0.25">
      <c r="A23471" t="str">
        <f>HYPERLINK("https://www.773grp.com/globalSearch/UCC2895DWTR/page-1", "UCC2895DWTR")</f>
        <v>UCC2895DWTR</v>
      </c>
      <c r="B23471" s="3" t="s">
        <v>90</v>
      </c>
      <c r="C23471" s="5">
        <v>2000</v>
      </c>
      <c r="D23471" s="6">
        <v>8.73</v>
      </c>
    </row>
    <row r="23472" spans="1:4" x14ac:dyDescent="0.25">
      <c r="A23472" t="str">
        <f>HYPERLINK("https://www.773grp.com/globalSearch/LM2678S-12/page-1", "LM2678S-12")</f>
        <v>LM2678S-12</v>
      </c>
      <c r="B23472" s="3" t="s">
        <v>90</v>
      </c>
      <c r="C23472" s="5">
        <v>127</v>
      </c>
      <c r="D23472" s="6">
        <v>8.74</v>
      </c>
    </row>
    <row r="23473" spans="1:4" x14ac:dyDescent="0.25">
      <c r="A23473" t="str">
        <f>HYPERLINK("https://www.773grp.com/globalSearch/SN74AS643N/page-1", "SN74AS643N")</f>
        <v>SN74AS643N</v>
      </c>
      <c r="B23473" s="3" t="s">
        <v>90</v>
      </c>
      <c r="C23473" s="5">
        <v>709</v>
      </c>
      <c r="D23473" s="6">
        <v>8.74</v>
      </c>
    </row>
    <row r="23474" spans="1:4" x14ac:dyDescent="0.25">
      <c r="A23474" t="str">
        <f>HYPERLINK("https://www.773grp.com/globalSearch/SNJ54HC03J/page-1", "SNJ54HC03J")</f>
        <v>SNJ54HC03J</v>
      </c>
      <c r="B23474" s="3" t="s">
        <v>90</v>
      </c>
      <c r="C23474" s="5">
        <v>113</v>
      </c>
      <c r="D23474" s="6">
        <v>8.74</v>
      </c>
    </row>
    <row r="23475" spans="1:4" x14ac:dyDescent="0.25">
      <c r="A23475" t="str">
        <f>HYPERLINK("https://www.773grp.com/globalSearch/BQ4845S-A4N/page-1", "BQ4845S-A4N")</f>
        <v>BQ4845S-A4N</v>
      </c>
      <c r="B23475" s="3" t="s">
        <v>90</v>
      </c>
      <c r="C23475" s="5">
        <v>1782</v>
      </c>
      <c r="D23475" s="6">
        <v>8.81</v>
      </c>
    </row>
    <row r="23476" spans="1:4" x14ac:dyDescent="0.25">
      <c r="A23476" t="str">
        <f>HYPERLINK("https://www.773grp.com/globalSearch/BQ4845YS-A4N/page-1", "BQ4845YS-A4N")</f>
        <v>BQ4845YS-A4N</v>
      </c>
      <c r="B23476" s="3" t="s">
        <v>90</v>
      </c>
      <c r="C23476" s="5">
        <v>4520</v>
      </c>
      <c r="D23476" s="6">
        <v>8.81</v>
      </c>
    </row>
    <row r="23477" spans="1:4" x14ac:dyDescent="0.25">
      <c r="A23477" t="str">
        <f>HYPERLINK("https://www.773grp.com/globalSearch/DS90CF364AMTD-NOPB/page-1", "DS90CF364AMTD-NOPB")</f>
        <v>DS90CF364AMTD-NOPB</v>
      </c>
      <c r="B23477" s="3" t="s">
        <v>90</v>
      </c>
      <c r="C23477" s="5">
        <v>2280</v>
      </c>
      <c r="D23477" s="6">
        <v>8.81</v>
      </c>
    </row>
    <row r="23478" spans="1:4" x14ac:dyDescent="0.25">
      <c r="A23478" t="str">
        <f>HYPERLINK("https://www.773grp.com/globalSearch/JM38510-33701BEA/page-1", "JM38510-33701BEA")</f>
        <v>JM38510-33701BEA</v>
      </c>
      <c r="B23478" s="3" t="s">
        <v>90</v>
      </c>
      <c r="C23478" s="5">
        <v>99</v>
      </c>
      <c r="D23478" s="6">
        <v>8.81</v>
      </c>
    </row>
    <row r="23479" spans="1:4" x14ac:dyDescent="0.25">
      <c r="A23479" t="str">
        <f>HYPERLINK("https://www.773grp.com/globalSearch/MSP430F5522IZQE/page-1", "MSP430F5522IZQE")</f>
        <v>MSP430F5522IZQE</v>
      </c>
      <c r="B23479" s="3" t="s">
        <v>90</v>
      </c>
      <c r="C23479" s="5">
        <v>50</v>
      </c>
      <c r="D23479" s="6">
        <v>8.81</v>
      </c>
    </row>
    <row r="23480" spans="1:4" x14ac:dyDescent="0.25">
      <c r="A23480" t="str">
        <f>HYPERLINK("https://www.773grp.com/globalSearch/RX-HDT-KMAB-C1/page-1", "RX-HDT-KMAB-C1")</f>
        <v>RX-HDT-KMAB-C1</v>
      </c>
      <c r="B23480" s="3" t="s">
        <v>90</v>
      </c>
      <c r="C23480" s="5">
        <v>1584</v>
      </c>
      <c r="D23480" s="6">
        <v>8.81</v>
      </c>
    </row>
    <row r="23481" spans="1:4" x14ac:dyDescent="0.25">
      <c r="A23481" t="str">
        <f>HYPERLINK("https://www.773grp.com/globalSearch/SN65LVDS22PW/page-1", "SN65LVDS22PW")</f>
        <v>SN65LVDS22PW</v>
      </c>
      <c r="B23481" s="3" t="s">
        <v>90</v>
      </c>
      <c r="C23481" s="5">
        <v>89</v>
      </c>
      <c r="D23481" s="6">
        <v>8.81</v>
      </c>
    </row>
    <row r="23482" spans="1:4" x14ac:dyDescent="0.25">
      <c r="A23482" t="str">
        <f>HYPERLINK("https://www.773grp.com/globalSearch/JM38510-33002BCA/page-1", "JM38510-33002BCA")</f>
        <v>JM38510-33002BCA</v>
      </c>
      <c r="B23482" s="3" t="s">
        <v>90</v>
      </c>
      <c r="C23482" s="5">
        <v>4</v>
      </c>
      <c r="D23482" s="6">
        <v>8.83</v>
      </c>
    </row>
    <row r="23483" spans="1:4" x14ac:dyDescent="0.25">
      <c r="A23483" t="str">
        <f>HYPERLINK("https://www.773grp.com/globalSearch/BQ77908ADBT/page-1", "BQ77908ADBT")</f>
        <v>BQ77908ADBT</v>
      </c>
      <c r="B23483" s="3" t="s">
        <v>90</v>
      </c>
      <c r="C23483" s="5">
        <v>127</v>
      </c>
      <c r="D23483" s="6">
        <v>8.86</v>
      </c>
    </row>
    <row r="23484" spans="1:4" x14ac:dyDescent="0.25">
      <c r="A23484" t="str">
        <f>HYPERLINK("https://www.773grp.com/globalSearch/MSP430F2471TPM/page-1", "MSP430F2471TPM")</f>
        <v>MSP430F2471TPM</v>
      </c>
      <c r="B23484" s="3" t="s">
        <v>90</v>
      </c>
      <c r="C23484" s="5">
        <v>6080</v>
      </c>
      <c r="D23484" s="6">
        <v>8.86</v>
      </c>
    </row>
    <row r="23485" spans="1:4" x14ac:dyDescent="0.25">
      <c r="A23485" t="str">
        <f>HYPERLINK("https://www.773grp.com/globalSearch/MSP430F2471TPMR/page-1", "MSP430F2471TPMR")</f>
        <v>MSP430F2471TPMR</v>
      </c>
      <c r="B23485" s="3" t="s">
        <v>90</v>
      </c>
      <c r="C23485" s="5">
        <v>2000</v>
      </c>
      <c r="D23485" s="6">
        <v>8.86</v>
      </c>
    </row>
    <row r="23486" spans="1:4" x14ac:dyDescent="0.25">
      <c r="A23486" t="str">
        <f>HYPERLINK("https://www.773grp.com/globalSearch/MSP430F6735IPN/page-1", "MSP430F6735IPN")</f>
        <v>MSP430F6735IPN</v>
      </c>
      <c r="B23486" s="3" t="s">
        <v>90</v>
      </c>
      <c r="C23486" s="5">
        <v>1229</v>
      </c>
      <c r="D23486" s="6">
        <v>8.86</v>
      </c>
    </row>
    <row r="23487" spans="1:4" x14ac:dyDescent="0.25">
      <c r="A23487" t="str">
        <f>HYPERLINK("https://www.773grp.com/globalSearch/REF5020IDGKT/page-1", "REF5020IDGKT")</f>
        <v>REF5020IDGKT</v>
      </c>
      <c r="B23487" s="3" t="s">
        <v>90</v>
      </c>
      <c r="C23487" s="5">
        <v>70</v>
      </c>
      <c r="D23487" s="6">
        <v>8.86</v>
      </c>
    </row>
    <row r="23488" spans="1:4" x14ac:dyDescent="0.25">
      <c r="A23488" t="str">
        <f>HYPERLINK("https://www.773grp.com/globalSearch/SN65HVD33MDREP/page-1", "SN65HVD33MDREP")</f>
        <v>SN65HVD33MDREP</v>
      </c>
      <c r="B23488" s="3" t="s">
        <v>90</v>
      </c>
      <c r="C23488" s="5">
        <v>564</v>
      </c>
      <c r="D23488" s="6">
        <v>8.86</v>
      </c>
    </row>
    <row r="23489" spans="1:4" x14ac:dyDescent="0.25">
      <c r="A23489" t="str">
        <f>HYPERLINK("https://www.773grp.com/globalSearch/TAS5706BPAP/page-1", "TAS5706BPAP")</f>
        <v>TAS5706BPAP</v>
      </c>
      <c r="B23489" s="3" t="s">
        <v>90</v>
      </c>
      <c r="C23489" s="5">
        <v>120</v>
      </c>
      <c r="D23489" s="6">
        <v>8.86</v>
      </c>
    </row>
    <row r="23490" spans="1:4" x14ac:dyDescent="0.25">
      <c r="A23490" t="str">
        <f>HYPERLINK("https://www.773grp.com/globalSearch/TPS51315RGFR/page-1", "TPS51315RGFR")</f>
        <v>TPS51315RGFR</v>
      </c>
      <c r="B23490" s="3" t="s">
        <v>90</v>
      </c>
      <c r="C23490" s="5">
        <v>3000</v>
      </c>
      <c r="D23490" s="6">
        <v>8.86</v>
      </c>
    </row>
    <row r="23491" spans="1:4" x14ac:dyDescent="0.25">
      <c r="A23491" t="str">
        <f>HYPERLINK("https://www.773grp.com/globalSearch/UCC28950PWR/page-1", "UCC28950PWR")</f>
        <v>UCC28950PWR</v>
      </c>
      <c r="B23491" s="3" t="s">
        <v>90</v>
      </c>
      <c r="C23491" s="5">
        <v>700</v>
      </c>
      <c r="D23491" s="6">
        <v>8.86</v>
      </c>
    </row>
    <row r="23492" spans="1:4" x14ac:dyDescent="0.25">
      <c r="A23492" t="str">
        <f>HYPERLINK("https://www.773grp.com/globalSearch/V62-06634-04YE/page-1", "V62-06634-04YE")</f>
        <v>V62-06634-04YE</v>
      </c>
      <c r="B23492" s="3" t="s">
        <v>90</v>
      </c>
      <c r="C23492" s="5">
        <v>625</v>
      </c>
      <c r="D23492" s="6">
        <v>8.86</v>
      </c>
    </row>
    <row r="23493" spans="1:4" x14ac:dyDescent="0.25">
      <c r="A23493" t="str">
        <f>HYPERLINK("https://www.773grp.com/globalSearch/ADS1226IRGVR/page-1", "ADS1226IRGVR")</f>
        <v>ADS1226IRGVR</v>
      </c>
      <c r="B23493" s="3" t="s">
        <v>90</v>
      </c>
      <c r="C23493" s="5">
        <v>15000</v>
      </c>
      <c r="D23493" s="6">
        <v>8.89</v>
      </c>
    </row>
    <row r="23494" spans="1:4" x14ac:dyDescent="0.25">
      <c r="A23494" t="str">
        <f>HYPERLINK("https://www.773grp.com/globalSearch/MSP430F5514IRGCR/page-1", "MSP430F5514IRGCR")</f>
        <v>MSP430F5514IRGCR</v>
      </c>
      <c r="B23494" s="3" t="s">
        <v>90</v>
      </c>
      <c r="C23494" s="5">
        <v>2000</v>
      </c>
      <c r="D23494" s="6">
        <v>8.89</v>
      </c>
    </row>
    <row r="23495" spans="1:4" x14ac:dyDescent="0.25">
      <c r="A23495" t="str">
        <f>HYPERLINK("https://www.773grp.com/globalSearch/RI-TRP-0105-30/page-1", "RI-TRP-0105-30")</f>
        <v>RI-TRP-0105-30</v>
      </c>
      <c r="B23495" s="3" t="s">
        <v>90</v>
      </c>
      <c r="C23495" s="5">
        <v>6128</v>
      </c>
      <c r="D23495" s="6">
        <v>8.89</v>
      </c>
    </row>
    <row r="23496" spans="1:4" x14ac:dyDescent="0.25">
      <c r="A23496" t="str">
        <f>HYPERLINK("https://www.773grp.com/globalSearch/TPS54678RTET/page-1", "TPS54678RTET")</f>
        <v>TPS54678RTET</v>
      </c>
      <c r="B23496" s="3" t="s">
        <v>90</v>
      </c>
      <c r="C23496" s="5">
        <v>423</v>
      </c>
      <c r="D23496" s="6">
        <v>8.89</v>
      </c>
    </row>
    <row r="23497" spans="1:4" x14ac:dyDescent="0.25">
      <c r="A23497" t="str">
        <f>HYPERLINK("https://www.773grp.com/globalSearch/TPS65910A31A1RSLT/page-1", "TPS65910A31A1RSLT")</f>
        <v>TPS65910A31A1RSLT</v>
      </c>
      <c r="B23497" s="3" t="s">
        <v>90</v>
      </c>
      <c r="C23497" s="5">
        <v>178</v>
      </c>
      <c r="D23497" s="6">
        <v>8.89</v>
      </c>
    </row>
    <row r="23498" spans="1:4" x14ac:dyDescent="0.25">
      <c r="A23498" t="str">
        <f>HYPERLINK("https://www.773grp.com/globalSearch/JM38510-34201BEA/page-1", "JM38510-34201BEA")</f>
        <v>JM38510-34201BEA</v>
      </c>
      <c r="B23498" s="3" t="s">
        <v>90</v>
      </c>
      <c r="C23498" s="5">
        <v>124</v>
      </c>
      <c r="D23498" s="6">
        <v>8.91</v>
      </c>
    </row>
    <row r="23499" spans="1:4" x14ac:dyDescent="0.25">
      <c r="A23499" t="str">
        <f>HYPERLINK("https://www.773grp.com/globalSearch/UCC394IN-5/page-1", "UCC394IN-5")</f>
        <v>UCC394IN-5</v>
      </c>
      <c r="B23499" s="3" t="s">
        <v>90</v>
      </c>
      <c r="C23499" s="5">
        <v>19</v>
      </c>
      <c r="D23499" s="6">
        <v>8.91</v>
      </c>
    </row>
    <row r="23500" spans="1:4" x14ac:dyDescent="0.25">
      <c r="A23500" t="str">
        <f>HYPERLINK("https://www.773grp.com/globalSearch/CD54HCT08F/page-1", "CD54HCT08F")</f>
        <v>CD54HCT08F</v>
      </c>
      <c r="B23500" s="3" t="s">
        <v>90</v>
      </c>
      <c r="C23500" s="5">
        <v>177</v>
      </c>
      <c r="D23500" s="6">
        <v>8.9499999999999993</v>
      </c>
    </row>
    <row r="23501" spans="1:4" x14ac:dyDescent="0.25">
      <c r="A23501" t="str">
        <f>HYPERLINK("https://www.773grp.com/globalSearch/5962-9686401QRA/page-1", "5962-9686401QRA")</f>
        <v>5962-9686401QRA</v>
      </c>
      <c r="B23501" s="3" t="s">
        <v>90</v>
      </c>
      <c r="C23501" s="5">
        <v>100</v>
      </c>
      <c r="D23501" s="6">
        <v>8.98</v>
      </c>
    </row>
    <row r="23502" spans="1:4" x14ac:dyDescent="0.25">
      <c r="A23502" t="str">
        <f>HYPERLINK("https://www.773grp.com/globalSearch/THS5641AIDWR/page-1", "THS5641AIDWR")</f>
        <v>THS5641AIDWR</v>
      </c>
      <c r="B23502" s="3" t="s">
        <v>90</v>
      </c>
      <c r="C23502" s="5">
        <v>8000</v>
      </c>
      <c r="D23502" s="6">
        <v>8.98</v>
      </c>
    </row>
    <row r="23503" spans="1:4" x14ac:dyDescent="0.25">
      <c r="A23503" t="str">
        <f>HYPERLINK("https://www.773grp.com/globalSearch/THS5641AIPWR/page-1", "THS5641AIPWR")</f>
        <v>THS5641AIPWR</v>
      </c>
      <c r="B23503" s="3" t="s">
        <v>90</v>
      </c>
      <c r="C23503" s="5">
        <v>1840</v>
      </c>
      <c r="D23503" s="6">
        <v>8.98</v>
      </c>
    </row>
    <row r="23504" spans="1:4" x14ac:dyDescent="0.25">
      <c r="A23504" t="str">
        <f>HYPERLINK("https://www.773grp.com/globalSearch/UCC3915PWP/page-1", "UCC3915PWP")</f>
        <v>UCC3915PWP</v>
      </c>
      <c r="B23504" s="3" t="s">
        <v>90</v>
      </c>
      <c r="C23504" s="5">
        <v>14940</v>
      </c>
      <c r="D23504" s="6">
        <v>8.98</v>
      </c>
    </row>
    <row r="23505" spans="1:4" x14ac:dyDescent="0.25">
      <c r="A23505" t="str">
        <f>HYPERLINK("https://www.773grp.com/globalSearch/BQ24616RGET/page-1", "BQ24616RGET")</f>
        <v>BQ24616RGET</v>
      </c>
      <c r="B23505" s="3" t="s">
        <v>90</v>
      </c>
      <c r="C23505" s="5">
        <v>109</v>
      </c>
      <c r="D23505" s="6">
        <v>9</v>
      </c>
    </row>
    <row r="23506" spans="1:4" x14ac:dyDescent="0.25">
      <c r="A23506" t="str">
        <f>HYPERLINK("https://www.773grp.com/globalSearch/BQ24617RGET/page-1", "BQ24617RGET")</f>
        <v>BQ24617RGET</v>
      </c>
      <c r="B23506" s="3" t="s">
        <v>90</v>
      </c>
      <c r="C23506" s="5">
        <v>19000</v>
      </c>
      <c r="D23506" s="6">
        <v>9</v>
      </c>
    </row>
    <row r="23507" spans="1:4" x14ac:dyDescent="0.25">
      <c r="A23507" t="str">
        <f>HYPERLINK("https://www.773grp.com/globalSearch/BQ24618RGET/page-1", "BQ24618RGET")</f>
        <v>BQ24618RGET</v>
      </c>
      <c r="B23507" s="3" t="s">
        <v>90</v>
      </c>
      <c r="C23507" s="5">
        <v>15000</v>
      </c>
      <c r="D23507" s="6">
        <v>9</v>
      </c>
    </row>
    <row r="23508" spans="1:4" x14ac:dyDescent="0.25">
      <c r="A23508" t="str">
        <f>HYPERLINK("https://www.773grp.com/globalSearch/CC2531F128RHAR/page-1", "CC2531F128RHAR")</f>
        <v>CC2531F128RHAR</v>
      </c>
      <c r="B23508" s="3" t="s">
        <v>90</v>
      </c>
      <c r="C23508" s="5">
        <v>2500</v>
      </c>
      <c r="D23508" s="6">
        <v>9</v>
      </c>
    </row>
    <row r="23509" spans="1:4" x14ac:dyDescent="0.25">
      <c r="A23509" t="str">
        <f>HYPERLINK("https://www.773grp.com/globalSearch/CDCLVP1204RGTR/page-1", "CDCLVP1204RGTR")</f>
        <v>CDCLVP1204RGTR</v>
      </c>
      <c r="B23509" s="3" t="s">
        <v>90</v>
      </c>
      <c r="C23509" s="5">
        <v>6000</v>
      </c>
      <c r="D23509" s="6">
        <v>9</v>
      </c>
    </row>
    <row r="23510" spans="1:4" x14ac:dyDescent="0.25">
      <c r="A23510" t="str">
        <f>HYPERLINK("https://www.773grp.com/globalSearch/D16061FN/page-1", "D16061FN")</f>
        <v>D16061FN</v>
      </c>
      <c r="B23510" s="3" t="s">
        <v>90</v>
      </c>
      <c r="C23510" s="5">
        <v>121</v>
      </c>
      <c r="D23510" s="6">
        <v>9</v>
      </c>
    </row>
    <row r="23511" spans="1:4" x14ac:dyDescent="0.25">
      <c r="A23511" t="str">
        <f>HYPERLINK("https://www.773grp.com/globalSearch/D646669EPGF/page-1", "D646669EPGF")</f>
        <v>D646669EPGF</v>
      </c>
      <c r="B23511" s="3" t="s">
        <v>90</v>
      </c>
      <c r="C23511" s="5">
        <v>52040</v>
      </c>
      <c r="D23511" s="6">
        <v>9</v>
      </c>
    </row>
    <row r="23512" spans="1:4" x14ac:dyDescent="0.25">
      <c r="A23512" t="str">
        <f>HYPERLINK("https://www.773grp.com/globalSearch/INA122U-2K5/page-1", "INA122U-2K5")</f>
        <v>INA122U-2K5</v>
      </c>
      <c r="B23512" s="3" t="s">
        <v>90</v>
      </c>
      <c r="C23512" s="5">
        <v>2500</v>
      </c>
      <c r="D23512" s="6">
        <v>9</v>
      </c>
    </row>
    <row r="23513" spans="1:4" x14ac:dyDescent="0.25">
      <c r="A23513" t="str">
        <f>HYPERLINK("https://www.773grp.com/globalSearch/MSP430F5524IRGCR/page-1", "MSP430F5524IRGCR")</f>
        <v>MSP430F5524IRGCR</v>
      </c>
      <c r="B23513" s="3" t="s">
        <v>90</v>
      </c>
      <c r="C23513" s="5">
        <v>1000</v>
      </c>
      <c r="D23513" s="6">
        <v>9</v>
      </c>
    </row>
    <row r="23514" spans="1:4" x14ac:dyDescent="0.25">
      <c r="A23514" t="str">
        <f>HYPERLINK("https://www.773grp.com/globalSearch/MSP430U283IPM/page-1", "MSP430U283IPM")</f>
        <v>MSP430U283IPM</v>
      </c>
      <c r="B23514" s="3" t="s">
        <v>90</v>
      </c>
      <c r="C23514" s="5">
        <v>4160</v>
      </c>
      <c r="D23514" s="6">
        <v>9</v>
      </c>
    </row>
    <row r="23515" spans="1:4" x14ac:dyDescent="0.25">
      <c r="A23515" t="str">
        <f>HYPERLINK("https://www.773grp.com/globalSearch/SN74ALS243ANS/page-1", "SN74ALS243ANS")</f>
        <v>SN74ALS243ANS</v>
      </c>
      <c r="B23515" s="3" t="s">
        <v>90</v>
      </c>
      <c r="C23515" s="5">
        <v>5700</v>
      </c>
      <c r="D23515" s="6">
        <v>9</v>
      </c>
    </row>
    <row r="23516" spans="1:4" x14ac:dyDescent="0.25">
      <c r="A23516" t="str">
        <f>HYPERLINK("https://www.773grp.com/globalSearch/TMDS442PNPR/page-1", "TMDS442PNPR")</f>
        <v>TMDS442PNPR</v>
      </c>
      <c r="B23516" s="3" t="s">
        <v>90</v>
      </c>
      <c r="C23516" s="5">
        <v>10000</v>
      </c>
      <c r="D23516" s="6">
        <v>9</v>
      </c>
    </row>
    <row r="23517" spans="1:4" x14ac:dyDescent="0.25">
      <c r="A23517" t="str">
        <f>HYPERLINK("https://www.773grp.com/globalSearch/TPS2075DBR/page-1", "TPS2075DBR")</f>
        <v>TPS2075DBR</v>
      </c>
      <c r="B23517" s="3" t="s">
        <v>90</v>
      </c>
      <c r="C23517" s="5">
        <v>8000</v>
      </c>
      <c r="D23517" s="6">
        <v>9</v>
      </c>
    </row>
    <row r="23518" spans="1:4" x14ac:dyDescent="0.25">
      <c r="A23518" t="str">
        <f>HYPERLINK("https://www.773grp.com/globalSearch/TPS54550PWP/page-1", "TPS54550PWP")</f>
        <v>TPS54550PWP</v>
      </c>
      <c r="B23518" s="3" t="s">
        <v>90</v>
      </c>
      <c r="C23518" s="5">
        <v>1169</v>
      </c>
      <c r="D23518" s="6">
        <v>9</v>
      </c>
    </row>
    <row r="23519" spans="1:4" x14ac:dyDescent="0.25">
      <c r="A23519" t="str">
        <f>HYPERLINK("https://www.773grp.com/globalSearch/TPS65921B1ZQZR/page-1", "TPS65921B1ZQZR")</f>
        <v>TPS65921B1ZQZR</v>
      </c>
      <c r="B23519" s="3" t="s">
        <v>90</v>
      </c>
      <c r="C23519" s="5">
        <v>26000</v>
      </c>
      <c r="D23519" s="6">
        <v>9</v>
      </c>
    </row>
    <row r="23520" spans="1:4" x14ac:dyDescent="0.25">
      <c r="A23520" t="str">
        <f>HYPERLINK("https://www.773grp.com/globalSearch/N74ALB16244DL/page-1", "N74ALB16244DL")</f>
        <v>N74ALB16244DL</v>
      </c>
      <c r="B23520" s="3" t="s">
        <v>90</v>
      </c>
      <c r="C23520" s="5">
        <v>49</v>
      </c>
      <c r="D23520" s="6">
        <v>9.0299999999999994</v>
      </c>
    </row>
    <row r="23521" spans="1:4" x14ac:dyDescent="0.25">
      <c r="A23521" t="str">
        <f>HYPERLINK("https://www.773grp.com/globalSearch/TLC5540CNS/page-1", "TLC5540CNS")</f>
        <v>TLC5540CNS</v>
      </c>
      <c r="B23521" s="3" t="s">
        <v>90</v>
      </c>
      <c r="C23521" s="5">
        <v>14306</v>
      </c>
      <c r="D23521" s="6">
        <v>9.0299999999999994</v>
      </c>
    </row>
    <row r="23522" spans="1:4" x14ac:dyDescent="0.25">
      <c r="A23522" t="str">
        <f>HYPERLINK("https://www.773grp.com/globalSearch/8404501CA/page-1", "8404501CA")</f>
        <v>8404501CA</v>
      </c>
      <c r="B23522" s="3" t="s">
        <v>90</v>
      </c>
      <c r="C23522" s="5">
        <v>4</v>
      </c>
      <c r="D23522" s="6">
        <v>9.06</v>
      </c>
    </row>
    <row r="23523" spans="1:4" x14ac:dyDescent="0.25">
      <c r="A23523" t="str">
        <f>HYPERLINK("https://www.773grp.com/globalSearch/BQ24195RGET/page-1", "BQ24195RGET")</f>
        <v>BQ24195RGET</v>
      </c>
      <c r="B23523" s="3" t="s">
        <v>90</v>
      </c>
      <c r="C23523" s="5">
        <v>250</v>
      </c>
      <c r="D23523" s="6">
        <v>9.06</v>
      </c>
    </row>
    <row r="23524" spans="1:4" x14ac:dyDescent="0.25">
      <c r="A23524" t="str">
        <f>HYPERLINK("https://www.773grp.com/globalSearch/SN65LBC172ADW/page-1", "SN65LBC172ADW")</f>
        <v>SN65LBC172ADW</v>
      </c>
      <c r="B23524" s="3" t="s">
        <v>90</v>
      </c>
      <c r="C23524" s="5">
        <v>25</v>
      </c>
      <c r="D23524" s="6">
        <v>9.06</v>
      </c>
    </row>
    <row r="23525" spans="1:4" x14ac:dyDescent="0.25">
      <c r="A23525" t="str">
        <f>HYPERLINK("https://www.773grp.com/globalSearch/SN74ACT7201LA50DVR/page-1", "SN74ACT7201LA50DVR")</f>
        <v>SN74ACT7201LA50DVR</v>
      </c>
      <c r="B23525" s="3" t="s">
        <v>90</v>
      </c>
      <c r="C23525" s="5">
        <v>2000</v>
      </c>
      <c r="D23525" s="6">
        <v>9.06</v>
      </c>
    </row>
    <row r="23526" spans="1:4" x14ac:dyDescent="0.25">
      <c r="A23526" t="str">
        <f>HYPERLINK("https://www.773grp.com/globalSearch/SN74ACT7201LA50RJR/page-1", "SN74ACT7201LA50RJR")</f>
        <v>SN74ACT7201LA50RJR</v>
      </c>
      <c r="B23526" s="3" t="s">
        <v>90</v>
      </c>
      <c r="C23526" s="5">
        <v>24750</v>
      </c>
      <c r="D23526" s="6">
        <v>9.06</v>
      </c>
    </row>
    <row r="23527" spans="1:4" x14ac:dyDescent="0.25">
      <c r="A23527" t="str">
        <f>HYPERLINK("https://www.773grp.com/globalSearch/SN74ALS528D/page-1", "SN74ALS528D")</f>
        <v>SN74ALS528D</v>
      </c>
      <c r="B23527" s="3" t="s">
        <v>90</v>
      </c>
      <c r="C23527" s="5">
        <v>2840</v>
      </c>
      <c r="D23527" s="6">
        <v>9.06</v>
      </c>
    </row>
    <row r="23528" spans="1:4" x14ac:dyDescent="0.25">
      <c r="A23528" t="str">
        <f>HYPERLINK("https://www.773grp.com/globalSearch/THS3115IPWPR/page-1", "THS3115IPWPR")</f>
        <v>THS3115IPWPR</v>
      </c>
      <c r="B23528" s="3" t="s">
        <v>90</v>
      </c>
      <c r="C23528" s="5">
        <v>2000</v>
      </c>
      <c r="D23528" s="6">
        <v>9.08</v>
      </c>
    </row>
    <row r="23529" spans="1:4" x14ac:dyDescent="0.25">
      <c r="A23529" t="str">
        <f>HYPERLINK("https://www.773grp.com/globalSearch/TP3057N-NOPB/page-1", "TP3057N-NOPB")</f>
        <v>TP3057N-NOPB</v>
      </c>
      <c r="B23529" s="3" t="s">
        <v>90</v>
      </c>
      <c r="C23529" s="5">
        <v>163</v>
      </c>
      <c r="D23529" s="6">
        <v>9.08</v>
      </c>
    </row>
    <row r="23530" spans="1:4" x14ac:dyDescent="0.25">
      <c r="A23530" t="str">
        <f>HYPERLINK("https://www.773grp.com/globalSearch/TP3067N-NOPB/page-1", "TP3067N-NOPB")</f>
        <v>TP3067N-NOPB</v>
      </c>
      <c r="B23530" s="3" t="s">
        <v>90</v>
      </c>
      <c r="C23530" s="5">
        <v>730</v>
      </c>
      <c r="D23530" s="6">
        <v>9.08</v>
      </c>
    </row>
    <row r="23531" spans="1:4" x14ac:dyDescent="0.25">
      <c r="A23531" t="str">
        <f>HYPERLINK("https://www.773grp.com/globalSearch/UC2825AQDWRQ1/page-1", "UC2825AQDWRQ1")</f>
        <v>UC2825AQDWRQ1</v>
      </c>
      <c r="B23531" s="3" t="s">
        <v>90</v>
      </c>
      <c r="C23531" s="5">
        <v>18000</v>
      </c>
      <c r="D23531" s="6">
        <v>9.08</v>
      </c>
    </row>
    <row r="23532" spans="1:4" x14ac:dyDescent="0.25">
      <c r="A23532" t="str">
        <f>HYPERLINK("https://www.773grp.com/globalSearch/TPS65232A0RHAR/page-1", "TPS65232A0RHAR")</f>
        <v>TPS65232A0RHAR</v>
      </c>
      <c r="B23532" s="3" t="s">
        <v>90</v>
      </c>
      <c r="C23532" s="5">
        <v>1794</v>
      </c>
      <c r="D23532" s="6">
        <v>9.11</v>
      </c>
    </row>
    <row r="23533" spans="1:4" x14ac:dyDescent="0.25">
      <c r="A23533" t="str">
        <f>HYPERLINK("https://www.773grp.com/globalSearch/TSC2200IPWG4/page-1", "TSC2200IPWG4")</f>
        <v>TSC2200IPWG4</v>
      </c>
      <c r="B23533" s="3" t="s">
        <v>90</v>
      </c>
      <c r="C23533" s="5">
        <v>150</v>
      </c>
      <c r="D23533" s="6">
        <v>9.11</v>
      </c>
    </row>
    <row r="23534" spans="1:4" x14ac:dyDescent="0.25">
      <c r="A23534" t="str">
        <f>HYPERLINK("https://www.773grp.com/globalSearch/BQ3060PWR/page-1", "BQ3060PWR")</f>
        <v>BQ3060PWR</v>
      </c>
      <c r="B23534" s="3" t="s">
        <v>90</v>
      </c>
      <c r="C23534" s="5">
        <v>36000</v>
      </c>
      <c r="D23534" s="6">
        <v>9.15</v>
      </c>
    </row>
    <row r="23535" spans="1:4" x14ac:dyDescent="0.25">
      <c r="A23535" t="str">
        <f>HYPERLINK("https://www.773grp.com/globalSearch/BQ77910ADBT/page-1", "BQ77910ADBT")</f>
        <v>BQ77910ADBT</v>
      </c>
      <c r="B23535" s="3" t="s">
        <v>90</v>
      </c>
      <c r="C23535" s="5">
        <v>100</v>
      </c>
      <c r="D23535" s="6">
        <v>9.15</v>
      </c>
    </row>
    <row r="23536" spans="1:4" x14ac:dyDescent="0.25">
      <c r="A23536" t="str">
        <f>HYPERLINK("https://www.773grp.com/globalSearch/CD9842DW/page-1", "CD9842DW")</f>
        <v>CD9842DW</v>
      </c>
      <c r="B23536" s="3" t="s">
        <v>90</v>
      </c>
      <c r="C23536" s="5">
        <v>5300</v>
      </c>
      <c r="D23536" s="6">
        <v>9.15</v>
      </c>
    </row>
    <row r="23537" spans="1:4" x14ac:dyDescent="0.25">
      <c r="A23537" t="str">
        <f>HYPERLINK("https://www.773grp.com/globalSearch/DS90CR217MTD-NOPB/page-1", "DS90CR217MTD-NOPB")</f>
        <v>DS90CR217MTD-NOPB</v>
      </c>
      <c r="B23537" s="3" t="s">
        <v>90</v>
      </c>
      <c r="C23537" s="5">
        <v>1026</v>
      </c>
      <c r="D23537" s="6">
        <v>9.15</v>
      </c>
    </row>
    <row r="23538" spans="1:4" x14ac:dyDescent="0.25">
      <c r="A23538" t="str">
        <f>HYPERLINK("https://www.773grp.com/globalSearch/INA149AID/page-1", "INA149AID")</f>
        <v>INA149AID</v>
      </c>
      <c r="B23538" s="3" t="s">
        <v>90</v>
      </c>
      <c r="C23538" s="5">
        <v>75</v>
      </c>
      <c r="D23538" s="6">
        <v>9.15</v>
      </c>
    </row>
    <row r="23539" spans="1:4" x14ac:dyDescent="0.25">
      <c r="A23539" t="str">
        <f>HYPERLINK("https://www.773grp.com/globalSearch/LM3S328-EQN25-C2/page-1", "LM3S328-EQN25-C2")</f>
        <v>LM3S328-EQN25-C2</v>
      </c>
      <c r="B23539" s="3" t="s">
        <v>90</v>
      </c>
      <c r="C23539" s="5">
        <v>121</v>
      </c>
      <c r="D23539" s="6">
        <v>9.15</v>
      </c>
    </row>
    <row r="23540" spans="1:4" x14ac:dyDescent="0.25">
      <c r="A23540" t="str">
        <f>HYPERLINK("https://www.773grp.com/globalSearch/LM3S801-IQN50-C2/page-1", "LM3S801-IQN50-C2")</f>
        <v>LM3S801-IQN50-C2</v>
      </c>
      <c r="B23540" s="3" t="s">
        <v>90</v>
      </c>
      <c r="C23540" s="5">
        <v>1322</v>
      </c>
      <c r="D23540" s="6">
        <v>9.15</v>
      </c>
    </row>
    <row r="23541" spans="1:4" x14ac:dyDescent="0.25">
      <c r="A23541" t="str">
        <f>HYPERLINK("https://www.773grp.com/globalSearch/LM3S818-IQN50-C2/page-1", "LM3S818-IQN50-C2")</f>
        <v>LM3S818-IQN50-C2</v>
      </c>
      <c r="B23541" s="3" t="s">
        <v>90</v>
      </c>
      <c r="C23541" s="5">
        <v>105</v>
      </c>
      <c r="D23541" s="6">
        <v>9.15</v>
      </c>
    </row>
    <row r="23542" spans="1:4" x14ac:dyDescent="0.25">
      <c r="A23542" t="str">
        <f>HYPERLINK("https://www.773grp.com/globalSearch/LM5119PSQ-NOPB/page-1", "LM5119PSQ-NOPB")</f>
        <v>LM5119PSQ-NOPB</v>
      </c>
      <c r="B23542" s="3" t="s">
        <v>90</v>
      </c>
      <c r="C23542" s="5">
        <v>1000</v>
      </c>
      <c r="D23542" s="6">
        <v>9.15</v>
      </c>
    </row>
    <row r="23543" spans="1:4" x14ac:dyDescent="0.25">
      <c r="A23543" t="str">
        <f>HYPERLINK("https://www.773grp.com/globalSearch/OPA551FAKTWTG3/page-1", "OPA551FAKTWTG3")</f>
        <v>OPA551FAKTWTG3</v>
      </c>
      <c r="B23543" s="3" t="s">
        <v>90</v>
      </c>
      <c r="C23543" s="5">
        <v>20</v>
      </c>
      <c r="D23543" s="6">
        <v>9.15</v>
      </c>
    </row>
    <row r="23544" spans="1:4" x14ac:dyDescent="0.25">
      <c r="A23544" t="str">
        <f>HYPERLINK("https://www.773grp.com/globalSearch/PCM3070IRHBT/page-1", "PCM3070IRHBT")</f>
        <v>PCM3070IRHBT</v>
      </c>
      <c r="B23544" s="3" t="s">
        <v>90</v>
      </c>
      <c r="C23544" s="5">
        <v>190</v>
      </c>
      <c r="D23544" s="6">
        <v>9.15</v>
      </c>
    </row>
    <row r="23545" spans="1:4" x14ac:dyDescent="0.25">
      <c r="A23545" t="str">
        <f>HYPERLINK("https://www.773grp.com/globalSearch/PCM5122PW/page-1", "PCM5122PW")</f>
        <v>PCM5122PW</v>
      </c>
      <c r="B23545" s="3" t="s">
        <v>90</v>
      </c>
      <c r="C23545" s="5">
        <v>100</v>
      </c>
      <c r="D23545" s="6">
        <v>9.15</v>
      </c>
    </row>
    <row r="23546" spans="1:4" x14ac:dyDescent="0.25">
      <c r="A23546" t="str">
        <f>HYPERLINK("https://www.773grp.com/globalSearch/REF5025IDG4/page-1", "REF5025IDG4")</f>
        <v>REF5025IDG4</v>
      </c>
      <c r="B23546" s="3" t="s">
        <v>90</v>
      </c>
      <c r="C23546" s="5">
        <v>53</v>
      </c>
      <c r="D23546" s="6">
        <v>9.15</v>
      </c>
    </row>
    <row r="23547" spans="1:4" x14ac:dyDescent="0.25">
      <c r="A23547" t="str">
        <f>HYPERLINK("https://www.773grp.com/globalSearch/REF5050IDG4/page-1", "REF5050IDG4")</f>
        <v>REF5050IDG4</v>
      </c>
      <c r="B23547" s="3" t="s">
        <v>90</v>
      </c>
      <c r="C23547" s="5">
        <v>68</v>
      </c>
      <c r="D23547" s="6">
        <v>9.15</v>
      </c>
    </row>
    <row r="23548" spans="1:4" x14ac:dyDescent="0.25">
      <c r="A23548" t="str">
        <f>HYPERLINK("https://www.773grp.com/globalSearch/SN5401WA/page-1", "SN5401WA")</f>
        <v>SN5401WA</v>
      </c>
      <c r="B23548" s="3" t="s">
        <v>90</v>
      </c>
      <c r="C23548" s="5">
        <v>366</v>
      </c>
      <c r="D23548" s="6">
        <v>9.15</v>
      </c>
    </row>
    <row r="23549" spans="1:4" x14ac:dyDescent="0.25">
      <c r="A23549" t="str">
        <f>HYPERLINK("https://www.773grp.com/globalSearch/SN74ABT16657DRL/page-1", "SN74ABT16657DRL")</f>
        <v>SN74ABT16657DRL</v>
      </c>
      <c r="B23549" s="3" t="s">
        <v>90</v>
      </c>
      <c r="C23549" s="5">
        <v>1000</v>
      </c>
      <c r="D23549" s="6">
        <v>9.15</v>
      </c>
    </row>
    <row r="23550" spans="1:4" x14ac:dyDescent="0.25">
      <c r="A23550" t="str">
        <f>HYPERLINK("https://www.773grp.com/globalSearch/SN74ALS244BFN/page-1", "SN74ALS244BFN")</f>
        <v>SN74ALS244BFN</v>
      </c>
      <c r="B23550" s="3" t="s">
        <v>90</v>
      </c>
      <c r="C23550" s="5">
        <v>1618</v>
      </c>
      <c r="D23550" s="6">
        <v>9.15</v>
      </c>
    </row>
    <row r="23551" spans="1:4" x14ac:dyDescent="0.25">
      <c r="A23551" t="str">
        <f>HYPERLINK("https://www.773grp.com/globalSearch/SNJ54HCT237J/page-1", "SNJ54HCT237J")</f>
        <v>SNJ54HCT237J</v>
      </c>
      <c r="B23551" s="3" t="s">
        <v>90</v>
      </c>
      <c r="C23551" s="5">
        <v>642</v>
      </c>
      <c r="D23551" s="6">
        <v>9.15</v>
      </c>
    </row>
    <row r="23552" spans="1:4" x14ac:dyDescent="0.25">
      <c r="A23552" t="str">
        <f>HYPERLINK("https://www.773grp.com/globalSearch/TLV320AIC32IRHBR/page-1", "TLV320AIC32IRHBR")</f>
        <v>TLV320AIC32IRHBR</v>
      </c>
      <c r="B23552" s="3" t="s">
        <v>90</v>
      </c>
      <c r="C23552" s="5">
        <v>6000</v>
      </c>
      <c r="D23552" s="6">
        <v>9.15</v>
      </c>
    </row>
    <row r="23553" spans="1:4" x14ac:dyDescent="0.25">
      <c r="A23553" t="str">
        <f>HYPERLINK("https://www.773grp.com/globalSearch/TMS320F28027DAS/page-1", "TMS320F28027DAS")</f>
        <v>TMS320F28027DAS</v>
      </c>
      <c r="B23553" s="3" t="s">
        <v>90</v>
      </c>
      <c r="C23553" s="5">
        <v>120</v>
      </c>
      <c r="D23553" s="6">
        <v>9.15</v>
      </c>
    </row>
    <row r="23554" spans="1:4" x14ac:dyDescent="0.25">
      <c r="A23554" t="str">
        <f>HYPERLINK("https://www.773grp.com/globalSearch/TWL1103GQE/page-1", "TWL1103GQE")</f>
        <v>TWL1103GQE</v>
      </c>
      <c r="B23554" s="3" t="s">
        <v>90</v>
      </c>
      <c r="C23554" s="5">
        <v>2209</v>
      </c>
      <c r="D23554" s="6">
        <v>9.15</v>
      </c>
    </row>
    <row r="23555" spans="1:4" x14ac:dyDescent="0.25">
      <c r="A23555" t="str">
        <f>HYPERLINK("https://www.773grp.com/globalSearch/UCC2919DG4/page-1", "UCC2919DG4")</f>
        <v>UCC2919DG4</v>
      </c>
      <c r="B23555" s="3" t="s">
        <v>90</v>
      </c>
      <c r="C23555" s="5">
        <v>40</v>
      </c>
      <c r="D23555" s="6">
        <v>9.15</v>
      </c>
    </row>
    <row r="23556" spans="1:4" x14ac:dyDescent="0.25">
      <c r="A23556" t="str">
        <f>HYPERLINK("https://www.773grp.com/globalSearch/MSP430F5514IZQER/page-1", "MSP430F5514IZQER")</f>
        <v>MSP430F5514IZQER</v>
      </c>
      <c r="B23556" s="3" t="s">
        <v>90</v>
      </c>
      <c r="C23556" s="5">
        <v>4996</v>
      </c>
      <c r="D23556" s="6">
        <v>9.16</v>
      </c>
    </row>
    <row r="23557" spans="1:4" x14ac:dyDescent="0.25">
      <c r="A23557" t="str">
        <f>HYPERLINK("https://www.773grp.com/globalSearch/TPA0172PWPG4/page-1", "TPA0172PWPG4")</f>
        <v>TPA0172PWPG4</v>
      </c>
      <c r="B23557" s="3" t="s">
        <v>90</v>
      </c>
      <c r="C23557" s="5">
        <v>60</v>
      </c>
      <c r="D23557" s="6">
        <v>9.1999999999999993</v>
      </c>
    </row>
    <row r="23558" spans="1:4" x14ac:dyDescent="0.25">
      <c r="A23558" t="str">
        <f>HYPERLINK("https://www.773grp.com/globalSearch/UC5601DWPTR-81136/page-1", "UC5601DWPTR-81136")</f>
        <v>UC5601DWPTR-81136</v>
      </c>
      <c r="B23558" s="3" t="s">
        <v>90</v>
      </c>
      <c r="C23558" s="5">
        <v>1000</v>
      </c>
      <c r="D23558" s="6">
        <v>9.1999999999999993</v>
      </c>
    </row>
    <row r="23559" spans="1:4" x14ac:dyDescent="0.25">
      <c r="A23559" t="str">
        <f>HYPERLINK("https://www.773grp.com/globalSearch/BQ500211RGZT/page-1", "BQ500211RGZT")</f>
        <v>BQ500211RGZT</v>
      </c>
      <c r="B23559" s="3" t="s">
        <v>90</v>
      </c>
      <c r="C23559" s="5">
        <v>104</v>
      </c>
      <c r="D23559" s="6">
        <v>9.23</v>
      </c>
    </row>
    <row r="23560" spans="1:4" x14ac:dyDescent="0.25">
      <c r="A23560" t="str">
        <f>HYPERLINK("https://www.773grp.com/globalSearch/TPS65257RHAT/page-1", "TPS65257RHAT")</f>
        <v>TPS65257RHAT</v>
      </c>
      <c r="B23560" s="3" t="s">
        <v>90</v>
      </c>
      <c r="C23560" s="5">
        <v>81</v>
      </c>
      <c r="D23560" s="6">
        <v>9.23</v>
      </c>
    </row>
    <row r="23561" spans="1:4" x14ac:dyDescent="0.25">
      <c r="A23561" t="str">
        <f>HYPERLINK("https://www.773grp.com/globalSearch/74ALVCH32244ZKER/page-1", "74ALVCH32244ZKER")</f>
        <v>74ALVCH32244ZKER</v>
      </c>
      <c r="B23561" s="3" t="s">
        <v>90</v>
      </c>
      <c r="C23561" s="5">
        <v>10000</v>
      </c>
      <c r="D23561" s="6">
        <v>9.25</v>
      </c>
    </row>
    <row r="23562" spans="1:4" x14ac:dyDescent="0.25">
      <c r="A23562" t="str">
        <f>HYPERLINK("https://www.773grp.com/globalSearch/74ALVCH32245ZKER/page-1", "74ALVCH32245ZKER")</f>
        <v>74ALVCH32245ZKER</v>
      </c>
      <c r="B23562" s="3" t="s">
        <v>90</v>
      </c>
      <c r="C23562" s="5">
        <v>12538</v>
      </c>
      <c r="D23562" s="6">
        <v>9.25</v>
      </c>
    </row>
    <row r="23563" spans="1:4" x14ac:dyDescent="0.25">
      <c r="A23563" t="str">
        <f>HYPERLINK("https://www.773grp.com/globalSearch/ADC0809CCV-NOPB/page-1", "ADC0809CCV-NOPB")</f>
        <v>ADC0809CCV-NOPB</v>
      </c>
      <c r="B23563" s="3" t="s">
        <v>90</v>
      </c>
      <c r="C23563" s="5">
        <v>105</v>
      </c>
      <c r="D23563" s="6">
        <v>9.25</v>
      </c>
    </row>
    <row r="23564" spans="1:4" x14ac:dyDescent="0.25">
      <c r="A23564" t="str">
        <f>HYPERLINK("https://www.773grp.com/globalSearch/LM2591HVS-ADJ/page-1", "LM2591HVS-ADJ")</f>
        <v>LM2591HVS-ADJ</v>
      </c>
      <c r="B23564" s="3" t="s">
        <v>90</v>
      </c>
      <c r="C23564" s="5">
        <v>135</v>
      </c>
      <c r="D23564" s="6">
        <v>9.25</v>
      </c>
    </row>
    <row r="23565" spans="1:4" x14ac:dyDescent="0.25">
      <c r="A23565" t="str">
        <f>HYPERLINK("https://www.773grp.com/globalSearch/LT1014DIDW/page-1", "LT1014DIDW")</f>
        <v>LT1014DIDW</v>
      </c>
      <c r="B23565" s="3" t="s">
        <v>90</v>
      </c>
      <c r="C23565" s="5">
        <v>700</v>
      </c>
      <c r="D23565" s="6">
        <v>9.25</v>
      </c>
    </row>
    <row r="23566" spans="1:4" x14ac:dyDescent="0.25">
      <c r="A23566" t="str">
        <f>HYPERLINK("https://www.773grp.com/globalSearch/MSP430F5525IPN/page-1", "MSP430F5525IPN")</f>
        <v>MSP430F5525IPN</v>
      </c>
      <c r="B23566" s="3" t="s">
        <v>90</v>
      </c>
      <c r="C23566" s="5">
        <v>41</v>
      </c>
      <c r="D23566" s="6">
        <v>9.25</v>
      </c>
    </row>
    <row r="23567" spans="1:4" x14ac:dyDescent="0.25">
      <c r="A23567" t="str">
        <f>HYPERLINK("https://www.773grp.com/globalSearch/SN74ABT116646DGGR/page-1", "SN74ABT116646DGGR")</f>
        <v>SN74ABT116646DGGR</v>
      </c>
      <c r="B23567" s="3" t="s">
        <v>90</v>
      </c>
      <c r="C23567" s="5">
        <v>2000</v>
      </c>
      <c r="D23567" s="6">
        <v>9.25</v>
      </c>
    </row>
    <row r="23568" spans="1:4" x14ac:dyDescent="0.25">
      <c r="A23568" t="str">
        <f>HYPERLINK("https://www.773grp.com/globalSearch/SN74SSTV16859RGQ8/page-1", "SN74SSTV16859RGQ8")</f>
        <v>SN74SSTV16859RGQ8</v>
      </c>
      <c r="B23568" s="3" t="s">
        <v>90</v>
      </c>
      <c r="C23568" s="5">
        <v>10000</v>
      </c>
      <c r="D23568" s="6">
        <v>9.25</v>
      </c>
    </row>
    <row r="23569" spans="1:4" x14ac:dyDescent="0.25">
      <c r="A23569" t="str">
        <f>HYPERLINK("https://www.773grp.com/globalSearch/THS3091DDAR/page-1", "THS3091DDAR")</f>
        <v>THS3091DDAR</v>
      </c>
      <c r="B23569" s="3" t="s">
        <v>90</v>
      </c>
      <c r="C23569" s="5">
        <v>12110</v>
      </c>
      <c r="D23569" s="6">
        <v>9.25</v>
      </c>
    </row>
    <row r="23570" spans="1:4" x14ac:dyDescent="0.25">
      <c r="A23570" t="str">
        <f>HYPERLINK("https://www.773grp.com/globalSearch/UCC284DP-ADJG4/page-1", "UCC284DP-ADJG4")</f>
        <v>UCC284DP-ADJG4</v>
      </c>
      <c r="B23570" s="3" t="s">
        <v>90</v>
      </c>
      <c r="C23570" s="5">
        <v>114</v>
      </c>
      <c r="D23570" s="6">
        <v>9.25</v>
      </c>
    </row>
    <row r="23571" spans="1:4" x14ac:dyDescent="0.25">
      <c r="A23571" t="str">
        <f>HYPERLINK("https://www.773grp.com/globalSearch/ADS7951SBDBTR/page-1", "ADS7951SBDBTR")</f>
        <v>ADS7951SBDBTR</v>
      </c>
      <c r="B23571" s="3" t="s">
        <v>90</v>
      </c>
      <c r="C23571" s="5">
        <v>1550</v>
      </c>
      <c r="D23571" s="6">
        <v>9.2899999999999991</v>
      </c>
    </row>
    <row r="23572" spans="1:4" x14ac:dyDescent="0.25">
      <c r="A23572" t="str">
        <f>HYPERLINK("https://www.773grp.com/globalSearch/ADS8634SRGET/page-1", "ADS8634SRGET")</f>
        <v>ADS8634SRGET</v>
      </c>
      <c r="B23572" s="3" t="s">
        <v>90</v>
      </c>
      <c r="C23572" s="5">
        <v>111</v>
      </c>
      <c r="D23572" s="6">
        <v>9.2899999999999991</v>
      </c>
    </row>
    <row r="23573" spans="1:4" x14ac:dyDescent="0.25">
      <c r="A23573" t="str">
        <f>HYPERLINK("https://www.773grp.com/globalSearch/BQ20Z90DBTR-V150/page-1", "BQ20Z90DBTR-V150")</f>
        <v>BQ20Z90DBTR-V150</v>
      </c>
      <c r="B23573" s="3" t="s">
        <v>90</v>
      </c>
      <c r="C23573" s="5">
        <v>2375</v>
      </c>
      <c r="D23573" s="6">
        <v>9.2899999999999991</v>
      </c>
    </row>
    <row r="23574" spans="1:4" x14ac:dyDescent="0.25">
      <c r="A23574" t="str">
        <f>HYPERLINK("https://www.773grp.com/globalSearch/ISO3086TDWR/page-1", "ISO3086TDWR")</f>
        <v>ISO3086TDWR</v>
      </c>
      <c r="B23574" s="3" t="s">
        <v>90</v>
      </c>
      <c r="C23574" s="5">
        <v>1499</v>
      </c>
      <c r="D23574" s="6">
        <v>9.2899999999999991</v>
      </c>
    </row>
    <row r="23575" spans="1:4" x14ac:dyDescent="0.25">
      <c r="A23575" t="str">
        <f>HYPERLINK("https://www.773grp.com/globalSearch/LM3S3J26-IQR50-C3/page-1", "LM3S3J26-IQR50-C3")</f>
        <v>LM3S3J26-IQR50-C3</v>
      </c>
      <c r="B23575" s="3" t="s">
        <v>90</v>
      </c>
      <c r="C23575" s="5">
        <v>2080</v>
      </c>
      <c r="D23575" s="6">
        <v>9.2899999999999991</v>
      </c>
    </row>
    <row r="23576" spans="1:4" x14ac:dyDescent="0.25">
      <c r="A23576" t="str">
        <f>HYPERLINK("https://www.773grp.com/globalSearch/LM4550BVHX-S5001320/page-1", "LM4550BVHX-S5001320")</f>
        <v>LM4550BVHX-S5001320</v>
      </c>
      <c r="B23576" s="3" t="s">
        <v>90</v>
      </c>
      <c r="C23576" s="5">
        <v>2000</v>
      </c>
      <c r="D23576" s="6">
        <v>9.2899999999999991</v>
      </c>
    </row>
    <row r="23577" spans="1:4" x14ac:dyDescent="0.25">
      <c r="A23577" t="str">
        <f>HYPERLINK("https://www.773grp.com/globalSearch/MSP430F2481TRGCT/page-1", "MSP430F2481TRGCT")</f>
        <v>MSP430F2481TRGCT</v>
      </c>
      <c r="B23577" s="3" t="s">
        <v>90</v>
      </c>
      <c r="C23577" s="5">
        <v>378</v>
      </c>
      <c r="D23577" s="6">
        <v>9.2899999999999991</v>
      </c>
    </row>
    <row r="23578" spans="1:4" x14ac:dyDescent="0.25">
      <c r="A23578" t="str">
        <f>HYPERLINK("https://www.773grp.com/globalSearch/MSP430F5524IZQE/page-1", "MSP430F5524IZQE")</f>
        <v>MSP430F5524IZQE</v>
      </c>
      <c r="B23578" s="3" t="s">
        <v>90</v>
      </c>
      <c r="C23578" s="5">
        <v>581</v>
      </c>
      <c r="D23578" s="6">
        <v>9.2899999999999991</v>
      </c>
    </row>
    <row r="23579" spans="1:4" x14ac:dyDescent="0.25">
      <c r="A23579" t="str">
        <f>HYPERLINK("https://www.773grp.com/globalSearch/MSP430F6734IPZ/page-1", "MSP430F6734IPZ")</f>
        <v>MSP430F6734IPZ</v>
      </c>
      <c r="B23579" s="3" t="s">
        <v>90</v>
      </c>
      <c r="C23579" s="5">
        <v>179</v>
      </c>
      <c r="D23579" s="6">
        <v>9.2899999999999991</v>
      </c>
    </row>
    <row r="23580" spans="1:4" x14ac:dyDescent="0.25">
      <c r="A23580" t="str">
        <f>HYPERLINK("https://www.773grp.com/globalSearch/MSP430FG4250IDL/page-1", "MSP430FG4250IDL")</f>
        <v>MSP430FG4250IDL</v>
      </c>
      <c r="B23580" s="3" t="s">
        <v>90</v>
      </c>
      <c r="C23580" s="5">
        <v>1072</v>
      </c>
      <c r="D23580" s="6">
        <v>9.2899999999999991</v>
      </c>
    </row>
    <row r="23581" spans="1:4" x14ac:dyDescent="0.25">
      <c r="A23581" t="str">
        <f>HYPERLINK("https://www.773grp.com/globalSearch/OPA1612AID/page-1", "OPA1612AID")</f>
        <v>OPA1612AID</v>
      </c>
      <c r="B23581" s="3" t="s">
        <v>90</v>
      </c>
      <c r="C23581" s="5">
        <v>28</v>
      </c>
      <c r="D23581" s="6">
        <v>9.2899999999999991</v>
      </c>
    </row>
    <row r="23582" spans="1:4" x14ac:dyDescent="0.25">
      <c r="A23582" t="str">
        <f>HYPERLINK("https://www.773grp.com/globalSearch/TPS659106A1RSL/page-1", "TPS659106A1RSL")</f>
        <v>TPS659106A1RSL</v>
      </c>
      <c r="B23582" s="3" t="s">
        <v>90</v>
      </c>
      <c r="C23582" s="5">
        <v>114</v>
      </c>
      <c r="D23582" s="6">
        <v>9.2899999999999991</v>
      </c>
    </row>
    <row r="23583" spans="1:4" x14ac:dyDescent="0.25">
      <c r="A23583" t="str">
        <f>HYPERLINK("https://www.773grp.com/globalSearch/TPS65910A1RSL/page-1", "TPS65910A1RSL")</f>
        <v>TPS65910A1RSL</v>
      </c>
      <c r="B23583" s="3" t="s">
        <v>90</v>
      </c>
      <c r="C23583" s="5">
        <v>60</v>
      </c>
      <c r="D23583" s="6">
        <v>9.2899999999999991</v>
      </c>
    </row>
    <row r="23584" spans="1:4" x14ac:dyDescent="0.25">
      <c r="A23584" t="str">
        <f>HYPERLINK("https://www.773grp.com/globalSearch/UC2906DW/page-1", "UC2906DW")</f>
        <v>UC2906DW</v>
      </c>
      <c r="B23584" s="3" t="s">
        <v>90</v>
      </c>
      <c r="C23584" s="5">
        <v>3520</v>
      </c>
      <c r="D23584" s="6">
        <v>9.2899999999999991</v>
      </c>
    </row>
    <row r="23585" spans="1:4" x14ac:dyDescent="0.25">
      <c r="A23585" t="str">
        <f>HYPERLINK("https://www.773grp.com/globalSearch/UC3872DWTR/page-1", "UC3872DWTR")</f>
        <v>UC3872DWTR</v>
      </c>
      <c r="B23585" s="3" t="s">
        <v>90</v>
      </c>
      <c r="C23585" s="5">
        <v>8000</v>
      </c>
      <c r="D23585" s="6">
        <v>9.2899999999999991</v>
      </c>
    </row>
    <row r="23586" spans="1:4" x14ac:dyDescent="0.25">
      <c r="A23586" t="str">
        <f>HYPERLINK("https://www.773grp.com/globalSearch/UC3872DWTR/page-1", "UC3872DWTR")</f>
        <v>UC3872DWTR</v>
      </c>
      <c r="B23586" s="3" t="s">
        <v>90</v>
      </c>
      <c r="C23586" s="5">
        <v>18000</v>
      </c>
      <c r="D23586" s="6">
        <v>9.2899999999999991</v>
      </c>
    </row>
    <row r="23587" spans="1:4" x14ac:dyDescent="0.25">
      <c r="A23587" t="str">
        <f>HYPERLINK("https://www.773grp.com/globalSearch/UC3872MTR/page-1", "UC3872MTR")</f>
        <v>UC3872MTR</v>
      </c>
      <c r="B23587" s="3" t="s">
        <v>90</v>
      </c>
      <c r="C23587" s="5">
        <v>15000</v>
      </c>
      <c r="D23587" s="6">
        <v>9.2899999999999991</v>
      </c>
    </row>
    <row r="23588" spans="1:4" x14ac:dyDescent="0.25">
      <c r="A23588" t="str">
        <f>HYPERLINK("https://www.773grp.com/globalSearch/REG104FA-2.5KTTTG3/page-1", "REG104FA-2.5KTTTG3")</f>
        <v>REG104FA-2.5KTTTG3</v>
      </c>
      <c r="B23588" s="3" t="s">
        <v>90</v>
      </c>
      <c r="C23588" s="5">
        <v>35</v>
      </c>
      <c r="D23588" s="6">
        <v>9.31</v>
      </c>
    </row>
    <row r="23589" spans="1:4" x14ac:dyDescent="0.25">
      <c r="A23589" t="str">
        <f>HYPERLINK("https://www.773grp.com/globalSearch/RI-TRP-WR3P-30/page-1", "RI-TRP-WR3P-30")</f>
        <v>RI-TRP-WR3P-30</v>
      </c>
      <c r="B23589" s="3" t="s">
        <v>90</v>
      </c>
      <c r="C23589" s="5">
        <v>4167</v>
      </c>
      <c r="D23589" s="6">
        <v>9.31</v>
      </c>
    </row>
    <row r="23590" spans="1:4" x14ac:dyDescent="0.25">
      <c r="A23590" t="str">
        <f>HYPERLINK("https://www.773grp.com/globalSearch/TPS5130PT/page-1", "TPS5130PT")</f>
        <v>TPS5130PT</v>
      </c>
      <c r="B23590" s="3" t="s">
        <v>90</v>
      </c>
      <c r="C23590" s="5">
        <v>1187</v>
      </c>
      <c r="D23590" s="6">
        <v>9.31</v>
      </c>
    </row>
    <row r="23591" spans="1:4" x14ac:dyDescent="0.25">
      <c r="A23591" t="str">
        <f>HYPERLINK("https://www.773grp.com/globalSearch/UC3825ADW/page-1", "UC3825ADW")</f>
        <v>UC3825ADW</v>
      </c>
      <c r="B23591" s="3" t="s">
        <v>90</v>
      </c>
      <c r="C23591" s="5">
        <v>4979</v>
      </c>
      <c r="D23591" s="6">
        <v>9.31</v>
      </c>
    </row>
    <row r="23592" spans="1:4" x14ac:dyDescent="0.25">
      <c r="A23592" t="str">
        <f>HYPERLINK("https://www.773grp.com/globalSearch/SN5986WA/page-1", "SN5986WA")</f>
        <v>SN5986WA</v>
      </c>
      <c r="B23592" s="3" t="s">
        <v>90</v>
      </c>
      <c r="C23592" s="5">
        <v>131</v>
      </c>
      <c r="D23592" s="6">
        <v>9.34</v>
      </c>
    </row>
    <row r="23593" spans="1:4" x14ac:dyDescent="0.25">
      <c r="A23593" t="str">
        <f>HYPERLINK("https://www.773grp.com/globalSearch/SNJ54HC386J/page-1", "SNJ54HC386J")</f>
        <v>SNJ54HC386J</v>
      </c>
      <c r="B23593" s="3" t="s">
        <v>90</v>
      </c>
      <c r="C23593" s="5">
        <v>146</v>
      </c>
      <c r="D23593" s="6">
        <v>9.34</v>
      </c>
    </row>
    <row r="23594" spans="1:4" x14ac:dyDescent="0.25">
      <c r="A23594" t="str">
        <f>HYPERLINK("https://www.773grp.com/globalSearch/TMS320F28027PTT/page-1", "TMS320F28027PTT")</f>
        <v>TMS320F28027PTT</v>
      </c>
      <c r="B23594" s="3" t="s">
        <v>90</v>
      </c>
      <c r="C23594" s="5">
        <v>15</v>
      </c>
      <c r="D23594" s="6">
        <v>9.34</v>
      </c>
    </row>
    <row r="23595" spans="1:4" x14ac:dyDescent="0.25">
      <c r="A23595" t="str">
        <f>HYPERLINK("https://www.773grp.com/globalSearch/SN54LS02J/page-1", "SN54LS02J")</f>
        <v>SN54LS02J</v>
      </c>
      <c r="B23595" s="3" t="s">
        <v>90</v>
      </c>
      <c r="C23595" s="5">
        <v>52</v>
      </c>
      <c r="D23595" s="6">
        <v>9.36</v>
      </c>
    </row>
    <row r="23596" spans="1:4" x14ac:dyDescent="0.25">
      <c r="A23596" t="str">
        <f>HYPERLINK("https://www.773grp.com/globalSearch/DAC8560IADGKT/page-1", "DAC8560IADGKT")</f>
        <v>DAC8560IADGKT</v>
      </c>
      <c r="B23596" s="3" t="s">
        <v>90</v>
      </c>
      <c r="C23596" s="5">
        <v>1</v>
      </c>
      <c r="D23596" s="6">
        <v>9.4</v>
      </c>
    </row>
    <row r="23597" spans="1:4" x14ac:dyDescent="0.25">
      <c r="A23597" t="str">
        <f>HYPERLINK("https://www.773grp.com/globalSearch/SN75LBC172AN/page-1", "SN75LBC172AN")</f>
        <v>SN75LBC172AN</v>
      </c>
      <c r="B23597" s="3" t="s">
        <v>90</v>
      </c>
      <c r="C23597" s="5">
        <v>3050</v>
      </c>
      <c r="D23597" s="6">
        <v>9.4</v>
      </c>
    </row>
    <row r="23598" spans="1:4" x14ac:dyDescent="0.25">
      <c r="A23598" t="str">
        <f>HYPERLINK("https://www.773grp.com/globalSearch/THS3095DDAR/page-1", "THS3095DDAR")</f>
        <v>THS3095DDAR</v>
      </c>
      <c r="B23598" s="3" t="s">
        <v>90</v>
      </c>
      <c r="C23598" s="5">
        <v>5000</v>
      </c>
      <c r="D23598" s="6">
        <v>9.4</v>
      </c>
    </row>
    <row r="23599" spans="1:4" x14ac:dyDescent="0.25">
      <c r="A23599" t="str">
        <f>HYPERLINK("https://www.773grp.com/globalSearch/TMS70C02FNLR/page-1", "TMS70C02FNLR")</f>
        <v>TMS70C02FNLR</v>
      </c>
      <c r="B23599" s="3" t="s">
        <v>90</v>
      </c>
      <c r="C23599" s="5">
        <v>28000</v>
      </c>
      <c r="D23599" s="6">
        <v>9.4</v>
      </c>
    </row>
    <row r="23600" spans="1:4" x14ac:dyDescent="0.25">
      <c r="A23600" t="str">
        <f>HYPERLINK("https://www.773grp.com/globalSearch/TPS40422RHAT/page-1", "TPS40422RHAT")</f>
        <v>TPS40422RHAT</v>
      </c>
      <c r="B23600" s="3" t="s">
        <v>90</v>
      </c>
      <c r="C23600" s="5">
        <v>424</v>
      </c>
      <c r="D23600" s="6">
        <v>9.4</v>
      </c>
    </row>
    <row r="23601" spans="1:4" x14ac:dyDescent="0.25">
      <c r="A23601" t="str">
        <f>HYPERLINK("https://www.773grp.com/globalSearch/ADS7818EB-250/page-1", "ADS7818EB-250")</f>
        <v>ADS7818EB-250</v>
      </c>
      <c r="B23601" s="3" t="s">
        <v>90</v>
      </c>
      <c r="C23601" s="5">
        <v>221</v>
      </c>
      <c r="D23601" s="6">
        <v>9.41</v>
      </c>
    </row>
    <row r="23602" spans="1:4" x14ac:dyDescent="0.25">
      <c r="A23602" t="str">
        <f>HYPERLINK("https://www.773grp.com/globalSearch/BQ24745RHDTG4/page-1", "BQ24745RHDTG4")</f>
        <v>BQ24745RHDTG4</v>
      </c>
      <c r="B23602" s="3" t="s">
        <v>90</v>
      </c>
      <c r="C23602" s="5">
        <v>39</v>
      </c>
      <c r="D23602" s="6">
        <v>9.41</v>
      </c>
    </row>
    <row r="23603" spans="1:4" x14ac:dyDescent="0.25">
      <c r="A23603" t="str">
        <f>HYPERLINK("https://www.773grp.com/globalSearch/BQ24747RHDT/page-1", "BQ24747RHDT")</f>
        <v>BQ24747RHDT</v>
      </c>
      <c r="B23603" s="3" t="s">
        <v>90</v>
      </c>
      <c r="C23603" s="5">
        <v>877</v>
      </c>
      <c r="D23603" s="6">
        <v>9.41</v>
      </c>
    </row>
    <row r="23604" spans="1:4" x14ac:dyDescent="0.25">
      <c r="A23604" t="str">
        <f>HYPERLINK("https://www.773grp.com/globalSearch/CC2530F64RHAT/page-1", "CC2530F64RHAT")</f>
        <v>CC2530F64RHAT</v>
      </c>
      <c r="B23604" s="3" t="s">
        <v>90</v>
      </c>
      <c r="C23604" s="5">
        <v>210</v>
      </c>
      <c r="D23604" s="6">
        <v>9.41</v>
      </c>
    </row>
    <row r="23605" spans="1:4" x14ac:dyDescent="0.25">
      <c r="A23605" t="str">
        <f>HYPERLINK("https://www.773grp.com/globalSearch/OPA561PWP/page-1", "OPA561PWP")</f>
        <v>OPA561PWP</v>
      </c>
      <c r="B23605" s="3" t="s">
        <v>90</v>
      </c>
      <c r="C23605" s="5">
        <v>207</v>
      </c>
      <c r="D23605" s="6">
        <v>9.41</v>
      </c>
    </row>
    <row r="23606" spans="1:4" x14ac:dyDescent="0.25">
      <c r="A23606" t="str">
        <f>HYPERLINK("https://www.773grp.com/globalSearch/SN65LBC174A16DW/page-1", "SN65LBC174A16DW")</f>
        <v>SN65LBC174A16DW</v>
      </c>
      <c r="B23606" s="3" t="s">
        <v>90</v>
      </c>
      <c r="C23606" s="5">
        <v>6</v>
      </c>
      <c r="D23606" s="6">
        <v>9.41</v>
      </c>
    </row>
    <row r="23607" spans="1:4" x14ac:dyDescent="0.25">
      <c r="A23607" t="str">
        <f>HYPERLINK("https://www.773grp.com/globalSearch/TLC16C550BIPT/page-1", "TLC16C550BIPT")</f>
        <v>TLC16C550BIPT</v>
      </c>
      <c r="B23607" s="3" t="s">
        <v>90</v>
      </c>
      <c r="C23607" s="5">
        <v>196</v>
      </c>
      <c r="D23607" s="6">
        <v>9.41</v>
      </c>
    </row>
    <row r="23608" spans="1:4" x14ac:dyDescent="0.25">
      <c r="A23608" t="str">
        <f>HYPERLINK("https://www.773grp.com/globalSearch/TLV5632EDW/page-1", "TLV5632EDW")</f>
        <v>TLV5632EDW</v>
      </c>
      <c r="B23608" s="3" t="s">
        <v>90</v>
      </c>
      <c r="C23608" s="5">
        <v>715</v>
      </c>
      <c r="D23608" s="6">
        <v>9.41</v>
      </c>
    </row>
    <row r="23609" spans="1:4" x14ac:dyDescent="0.25">
      <c r="A23609" t="str">
        <f>HYPERLINK("https://www.773grp.com/globalSearch/TMS320F28027PTS/page-1", "TMS320F28027PTS")</f>
        <v>TMS320F28027PTS</v>
      </c>
      <c r="B23609" s="3" t="s">
        <v>90</v>
      </c>
      <c r="C23609" s="5">
        <v>440</v>
      </c>
      <c r="D23609" s="6">
        <v>9.41</v>
      </c>
    </row>
    <row r="23610" spans="1:4" x14ac:dyDescent="0.25">
      <c r="A23610" t="str">
        <f>HYPERLINK("https://www.773grp.com/globalSearch/TMS320F28030PAGS/page-1", "TMS320F28030PAGS")</f>
        <v>TMS320F28030PAGS</v>
      </c>
      <c r="B23610" s="3" t="s">
        <v>90</v>
      </c>
      <c r="C23610" s="5">
        <v>86</v>
      </c>
      <c r="D23610" s="6">
        <v>9.41</v>
      </c>
    </row>
    <row r="23611" spans="1:4" x14ac:dyDescent="0.25">
      <c r="A23611" t="str">
        <f>HYPERLINK("https://www.773grp.com/globalSearch/TPS54612QPWPRDN/page-1", "TPS54612QPWPRDN")</f>
        <v>TPS54612QPWPRDN</v>
      </c>
      <c r="B23611" s="3" t="s">
        <v>90</v>
      </c>
      <c r="C23611" s="5">
        <v>1036</v>
      </c>
      <c r="D23611" s="6">
        <v>9.41</v>
      </c>
    </row>
    <row r="23612" spans="1:4" x14ac:dyDescent="0.25">
      <c r="A23612" t="str">
        <f>HYPERLINK("https://www.773grp.com/globalSearch/TWL1103TPBSRQ1/page-1", "TWL1103TPBSRQ1")</f>
        <v>TWL1103TPBSRQ1</v>
      </c>
      <c r="B23612" s="3" t="s">
        <v>90</v>
      </c>
      <c r="C23612" s="5">
        <v>26353</v>
      </c>
      <c r="D23612" s="6">
        <v>9.41</v>
      </c>
    </row>
    <row r="23613" spans="1:4" x14ac:dyDescent="0.25">
      <c r="A23613" t="str">
        <f>HYPERLINK("https://www.773grp.com/globalSearch/LP3853ES-2.5-NOPB/page-1", "LP3853ES-2.5-NOPB")</f>
        <v>LP3853ES-2.5-NOPB</v>
      </c>
      <c r="B23613" s="3" t="s">
        <v>90</v>
      </c>
      <c r="C23613" s="5">
        <v>25</v>
      </c>
      <c r="D23613" s="6">
        <v>9.4499999999999993</v>
      </c>
    </row>
    <row r="23614" spans="1:4" x14ac:dyDescent="0.25">
      <c r="A23614" t="str">
        <f>HYPERLINK("https://www.773grp.com/globalSearch/SN74CBTK32245ZKER/page-1", "SN74CBTK32245ZKER")</f>
        <v>SN74CBTK32245ZKER</v>
      </c>
      <c r="B23614" s="3" t="s">
        <v>90</v>
      </c>
      <c r="C23614" s="5">
        <v>1000</v>
      </c>
      <c r="D23614" s="6">
        <v>9.4499999999999993</v>
      </c>
    </row>
    <row r="23615" spans="1:4" x14ac:dyDescent="0.25">
      <c r="A23615" t="str">
        <f>HYPERLINK("https://www.773grp.com/globalSearch/SNJ54AC32J/page-1", "SNJ54AC32J")</f>
        <v>SNJ54AC32J</v>
      </c>
      <c r="B23615" s="3" t="s">
        <v>90</v>
      </c>
      <c r="C23615" s="5">
        <v>125</v>
      </c>
      <c r="D23615" s="6">
        <v>9.4499999999999993</v>
      </c>
    </row>
    <row r="23616" spans="1:4" x14ac:dyDescent="0.25">
      <c r="A23616" t="str">
        <f>HYPERLINK("https://www.773grp.com/globalSearch/TPS54291PWP/page-1", "TPS54291PWP")</f>
        <v>TPS54291PWP</v>
      </c>
      <c r="B23616" s="3" t="s">
        <v>90</v>
      </c>
      <c r="C23616" s="5">
        <v>14580</v>
      </c>
      <c r="D23616" s="6">
        <v>9.4499999999999993</v>
      </c>
    </row>
    <row r="23617" spans="1:4" x14ac:dyDescent="0.25">
      <c r="A23617" t="str">
        <f>HYPERLINK("https://www.773grp.com/globalSearch/TPS54292PWP/page-1", "TPS54292PWP")</f>
        <v>TPS54292PWP</v>
      </c>
      <c r="B23617" s="3" t="s">
        <v>90</v>
      </c>
      <c r="C23617" s="5">
        <v>9568</v>
      </c>
      <c r="D23617" s="6">
        <v>9.4499999999999993</v>
      </c>
    </row>
    <row r="23618" spans="1:4" x14ac:dyDescent="0.25">
      <c r="A23618" t="str">
        <f>HYPERLINK("https://www.773grp.com/globalSearch/5962-9851601QEA/page-1", "5962-9851601QEA")</f>
        <v>5962-9851601QEA</v>
      </c>
      <c r="B23618" s="3" t="s">
        <v>90</v>
      </c>
      <c r="C23618" s="5">
        <v>62</v>
      </c>
      <c r="D23618" s="6">
        <v>9.49</v>
      </c>
    </row>
    <row r="23619" spans="1:4" x14ac:dyDescent="0.25">
      <c r="A23619" t="str">
        <f>HYPERLINK("https://www.773grp.com/globalSearch/THS4130IDGNR/page-1", "THS4130IDGNR")</f>
        <v>THS4130IDGNR</v>
      </c>
      <c r="B23619" s="3" t="s">
        <v>90</v>
      </c>
      <c r="C23619" s="5">
        <v>2657</v>
      </c>
      <c r="D23619" s="6">
        <v>9.5</v>
      </c>
    </row>
    <row r="23620" spans="1:4" x14ac:dyDescent="0.25">
      <c r="A23620" t="str">
        <f>HYPERLINK("https://www.773grp.com/globalSearch/TLC5617A1D/page-1", "TLC5617A1D")</f>
        <v>TLC5617A1D</v>
      </c>
      <c r="B23620" s="3" t="s">
        <v>90</v>
      </c>
      <c r="C23620" s="5">
        <v>225</v>
      </c>
      <c r="D23620" s="6">
        <v>9.5</v>
      </c>
    </row>
    <row r="23621" spans="1:4" x14ac:dyDescent="0.25">
      <c r="A23621" t="str">
        <f>HYPERLINK("https://www.773grp.com/globalSearch/TMS27PC010-12NL/page-1", "TMS27PC010-12NL")</f>
        <v>TMS27PC010-12NL</v>
      </c>
      <c r="B23621" s="3" t="s">
        <v>90</v>
      </c>
      <c r="C23621" s="5">
        <v>9293</v>
      </c>
      <c r="D23621" s="6">
        <v>9.5</v>
      </c>
    </row>
    <row r="23622" spans="1:4" x14ac:dyDescent="0.25">
      <c r="A23622" t="str">
        <f>HYPERLINK("https://www.773grp.com/globalSearch/AFE4400RHAT/page-1", "AFE4400RHAT")</f>
        <v>AFE4400RHAT</v>
      </c>
      <c r="B23622" s="3" t="s">
        <v>90</v>
      </c>
      <c r="C23622" s="5">
        <v>40</v>
      </c>
      <c r="D23622" s="6">
        <v>9.5399999999999991</v>
      </c>
    </row>
    <row r="23623" spans="1:4" x14ac:dyDescent="0.25">
      <c r="A23623" t="str">
        <f>HYPERLINK("https://www.773grp.com/globalSearch/THS3061DGNR/page-1", "THS3061DGNR")</f>
        <v>THS3061DGNR</v>
      </c>
      <c r="B23623" s="3" t="s">
        <v>90</v>
      </c>
      <c r="C23623" s="5">
        <v>1000</v>
      </c>
      <c r="D23623" s="6">
        <v>9.5399999999999991</v>
      </c>
    </row>
    <row r="23624" spans="1:4" x14ac:dyDescent="0.25">
      <c r="A23624" t="str">
        <f>HYPERLINK("https://www.773grp.com/globalSearch/TPS650231RSBT/page-1", "TPS650231RSBT")</f>
        <v>TPS650231RSBT</v>
      </c>
      <c r="B23624" s="3" t="s">
        <v>90</v>
      </c>
      <c r="C23624" s="5">
        <v>2225</v>
      </c>
      <c r="D23624" s="6">
        <v>9.5399999999999991</v>
      </c>
    </row>
    <row r="23625" spans="1:4" x14ac:dyDescent="0.25">
      <c r="A23625" t="str">
        <f>HYPERLINK("https://www.773grp.com/globalSearch/TPS65023BRSBT/page-1", "TPS65023BRSBT")</f>
        <v>TPS65023BRSBT</v>
      </c>
      <c r="B23625" s="3" t="s">
        <v>90</v>
      </c>
      <c r="C23625" s="5">
        <v>120</v>
      </c>
      <c r="D23625" s="6">
        <v>9.5399999999999991</v>
      </c>
    </row>
    <row r="23626" spans="1:4" x14ac:dyDescent="0.25">
      <c r="A23626" t="str">
        <f>HYPERLINK("https://www.773grp.com/globalSearch/TPS84210RKGT/page-1", "TPS84210RKGT")</f>
        <v>TPS84210RKGT</v>
      </c>
      <c r="B23626" s="3" t="s">
        <v>90</v>
      </c>
      <c r="C23626" s="5">
        <v>2259</v>
      </c>
      <c r="D23626" s="6">
        <v>9.5399999999999991</v>
      </c>
    </row>
    <row r="23627" spans="1:4" x14ac:dyDescent="0.25">
      <c r="A23627" t="str">
        <f>HYPERLINK("https://www.773grp.com/globalSearch/MSP430F248TPM/page-1", "MSP430F248TPM")</f>
        <v>MSP430F248TPM</v>
      </c>
      <c r="B23627" s="3" t="s">
        <v>90</v>
      </c>
      <c r="C23627" s="5">
        <v>1557</v>
      </c>
      <c r="D23627" s="6">
        <v>9.56</v>
      </c>
    </row>
    <row r="23628" spans="1:4" x14ac:dyDescent="0.25">
      <c r="A23628" t="str">
        <f>HYPERLINK("https://www.773grp.com/globalSearch/MSP430F248TPMR/page-1", "MSP430F248TPMR")</f>
        <v>MSP430F248TPMR</v>
      </c>
      <c r="B23628" s="3" t="s">
        <v>90</v>
      </c>
      <c r="C23628" s="5">
        <v>2000</v>
      </c>
      <c r="D23628" s="6">
        <v>9.56</v>
      </c>
    </row>
    <row r="23629" spans="1:4" x14ac:dyDescent="0.25">
      <c r="A23629" t="str">
        <f>HYPERLINK("https://www.773grp.com/globalSearch/TMS320F28031PNT/page-1", "TMS320F28031PNT")</f>
        <v>TMS320F28031PNT</v>
      </c>
      <c r="B23629" s="3" t="s">
        <v>90</v>
      </c>
      <c r="C23629" s="5">
        <v>4</v>
      </c>
      <c r="D23629" s="6">
        <v>9.56</v>
      </c>
    </row>
    <row r="23630" spans="1:4" x14ac:dyDescent="0.25">
      <c r="A23630" t="str">
        <f>HYPERLINK("https://www.773grp.com/globalSearch/TPS5120QDBTRQ1G4/page-1", "TPS5120QDBTRQ1G4")</f>
        <v>TPS5120QDBTRQ1G4</v>
      </c>
      <c r="B23630" s="3" t="s">
        <v>90</v>
      </c>
      <c r="C23630" s="5">
        <v>60000</v>
      </c>
      <c r="D23630" s="6">
        <v>9.56</v>
      </c>
    </row>
    <row r="23631" spans="1:4" x14ac:dyDescent="0.25">
      <c r="A23631" t="str">
        <f>HYPERLINK("https://www.773grp.com/globalSearch/TPS51461RGET/page-1", "TPS51461RGET")</f>
        <v>TPS51461RGET</v>
      </c>
      <c r="B23631" s="3" t="s">
        <v>90</v>
      </c>
      <c r="C23631" s="5">
        <v>750</v>
      </c>
      <c r="D23631" s="6">
        <v>9.56</v>
      </c>
    </row>
    <row r="23632" spans="1:4" x14ac:dyDescent="0.25">
      <c r="A23632" t="str">
        <f>HYPERLINK("https://www.773grp.com/globalSearch/TPS51463RGET/page-1", "TPS51463RGET")</f>
        <v>TPS51463RGET</v>
      </c>
      <c r="B23632" s="3" t="s">
        <v>90</v>
      </c>
      <c r="C23632" s="5">
        <v>649</v>
      </c>
      <c r="D23632" s="6">
        <v>9.56</v>
      </c>
    </row>
    <row r="23633" spans="1:4" x14ac:dyDescent="0.25">
      <c r="A23633" t="str">
        <f>HYPERLINK("https://www.773grp.com/globalSearch/TPS65182RGZT/page-1", "TPS65182RGZT")</f>
        <v>TPS65182RGZT</v>
      </c>
      <c r="B23633" s="3" t="s">
        <v>90</v>
      </c>
      <c r="C23633" s="5">
        <v>4220</v>
      </c>
      <c r="D23633" s="6">
        <v>9.56</v>
      </c>
    </row>
    <row r="23634" spans="1:4" x14ac:dyDescent="0.25">
      <c r="A23634" t="str">
        <f>HYPERLINK("https://www.773grp.com/globalSearch/TPS74401KTWT/page-1", "TPS74401KTWT")</f>
        <v>TPS74401KTWT</v>
      </c>
      <c r="B23634" s="3" t="s">
        <v>90</v>
      </c>
      <c r="C23634" s="5">
        <v>2374</v>
      </c>
      <c r="D23634" s="6">
        <v>9.56</v>
      </c>
    </row>
    <row r="23635" spans="1:4" x14ac:dyDescent="0.25">
      <c r="A23635" t="str">
        <f>HYPERLINK("https://www.773grp.com/globalSearch/TVP5146M1PFPR/page-1", "TVP5146M1PFPR")</f>
        <v>TVP5146M1PFPR</v>
      </c>
      <c r="B23635" s="3" t="s">
        <v>90</v>
      </c>
      <c r="C23635" s="5">
        <v>12000</v>
      </c>
      <c r="D23635" s="6">
        <v>9.56</v>
      </c>
    </row>
    <row r="23636" spans="1:4" x14ac:dyDescent="0.25">
      <c r="A23636" t="str">
        <f>HYPERLINK("https://www.773grp.com/globalSearch/TLC5540IPWG4/page-1", "TLC5540IPWG4")</f>
        <v>TLC5540IPWG4</v>
      </c>
      <c r="B23636" s="3" t="s">
        <v>90</v>
      </c>
      <c r="C23636" s="5">
        <v>111</v>
      </c>
      <c r="D23636" s="6">
        <v>9.59</v>
      </c>
    </row>
    <row r="23637" spans="1:4" x14ac:dyDescent="0.25">
      <c r="A23637" t="str">
        <f>HYPERLINK("https://www.773grp.com/globalSearch/TLV320AIC1106PWG4/page-1", "TLV320AIC1106PWG4")</f>
        <v>TLV320AIC1106PWG4</v>
      </c>
      <c r="B23637" s="3" t="s">
        <v>90</v>
      </c>
      <c r="C23637" s="5">
        <v>20</v>
      </c>
      <c r="D23637" s="6">
        <v>9.59</v>
      </c>
    </row>
    <row r="23638" spans="1:4" x14ac:dyDescent="0.25">
      <c r="A23638" t="str">
        <f>HYPERLINK("https://www.773grp.com/globalSearch/D731971AGGMR/page-1", "D731971AGGMR")</f>
        <v>D731971AGGMR</v>
      </c>
      <c r="B23638" s="3" t="s">
        <v>90</v>
      </c>
      <c r="C23638" s="5">
        <v>34500</v>
      </c>
      <c r="D23638" s="6">
        <v>9.6300000000000008</v>
      </c>
    </row>
    <row r="23639" spans="1:4" x14ac:dyDescent="0.25">
      <c r="A23639" t="str">
        <f>HYPERLINK("https://www.773grp.com/globalSearch/CLVTH16245AIDLRCT/page-1", "CLVTH16245AIDLRCT")</f>
        <v>CLVTH16245AIDLRCT</v>
      </c>
      <c r="B23639" s="3" t="s">
        <v>90</v>
      </c>
      <c r="C23639" s="5">
        <v>3000</v>
      </c>
      <c r="D23639" s="6">
        <v>9.65</v>
      </c>
    </row>
    <row r="23640" spans="1:4" x14ac:dyDescent="0.25">
      <c r="A23640" t="str">
        <f>HYPERLINK("https://www.773grp.com/globalSearch/SN74AVC16374GQLR/page-1", "SN74AVC16374GQLR")</f>
        <v>SN74AVC16374GQLR</v>
      </c>
      <c r="B23640" s="3" t="s">
        <v>90</v>
      </c>
      <c r="C23640" s="5">
        <v>6000</v>
      </c>
      <c r="D23640" s="6">
        <v>9.65</v>
      </c>
    </row>
    <row r="23641" spans="1:4" x14ac:dyDescent="0.25">
      <c r="A23641" t="str">
        <f>HYPERLINK("https://www.773grp.com/globalSearch/TL441CNSR/page-1", "TL441CNSR")</f>
        <v>TL441CNSR</v>
      </c>
      <c r="B23641" s="3" t="s">
        <v>90</v>
      </c>
      <c r="C23641" s="5">
        <v>1785</v>
      </c>
      <c r="D23641" s="6">
        <v>9.65</v>
      </c>
    </row>
    <row r="23642" spans="1:4" x14ac:dyDescent="0.25">
      <c r="A23642" t="str">
        <f>HYPERLINK("https://www.773grp.com/globalSearch/UC5601QP-81020/page-1", "UC5601QP-81020")</f>
        <v>UC5601QP-81020</v>
      </c>
      <c r="B23642" s="3" t="s">
        <v>90</v>
      </c>
      <c r="C23642" s="5">
        <v>50</v>
      </c>
      <c r="D23642" s="6">
        <v>9.65</v>
      </c>
    </row>
    <row r="23643" spans="1:4" x14ac:dyDescent="0.25">
      <c r="A23643" t="str">
        <f>HYPERLINK("https://www.773grp.com/globalSearch/76000901EA/page-1", "76000901EA")</f>
        <v>76000901EA</v>
      </c>
      <c r="B23643" s="3" t="s">
        <v>90</v>
      </c>
      <c r="C23643" s="5">
        <v>192</v>
      </c>
      <c r="D23643" s="6">
        <v>9.68</v>
      </c>
    </row>
    <row r="23644" spans="1:4" x14ac:dyDescent="0.25">
      <c r="A23644" t="str">
        <f>HYPERLINK("https://www.773grp.com/globalSearch/PCM2705CDB/page-1", "PCM2705CDB")</f>
        <v>PCM2705CDB</v>
      </c>
      <c r="B23644" s="3" t="s">
        <v>90</v>
      </c>
      <c r="C23644" s="5">
        <v>150</v>
      </c>
      <c r="D23644" s="6">
        <v>9.68</v>
      </c>
    </row>
    <row r="23645" spans="1:4" x14ac:dyDescent="0.25">
      <c r="A23645" t="str">
        <f>HYPERLINK("https://www.773grp.com/globalSearch/XTNETV105PAP/page-1", "XTNETV105PAP")</f>
        <v>XTNETV105PAP</v>
      </c>
      <c r="B23645" s="3" t="s">
        <v>90</v>
      </c>
      <c r="C23645" s="5">
        <v>365</v>
      </c>
      <c r="D23645" s="6">
        <v>9.68</v>
      </c>
    </row>
    <row r="23646" spans="1:4" x14ac:dyDescent="0.25">
      <c r="A23646" t="str">
        <f>HYPERLINK("https://www.773grp.com/globalSearch/ADS1147IPWR/page-1", "ADS1147IPWR")</f>
        <v>ADS1147IPWR</v>
      </c>
      <c r="B23646" s="3" t="s">
        <v>90</v>
      </c>
      <c r="C23646" s="5">
        <v>234</v>
      </c>
      <c r="D23646" s="6">
        <v>9.6999999999999993</v>
      </c>
    </row>
    <row r="23647" spans="1:4" x14ac:dyDescent="0.25">
      <c r="A23647" t="str">
        <f>HYPERLINK("https://www.773grp.com/globalSearch/BQ20Z45DBTR-R1/page-1", "BQ20Z45DBTR-R1")</f>
        <v>BQ20Z45DBTR-R1</v>
      </c>
      <c r="B23647" s="3" t="s">
        <v>90</v>
      </c>
      <c r="C23647" s="5">
        <v>6000</v>
      </c>
      <c r="D23647" s="6">
        <v>9.6999999999999993</v>
      </c>
    </row>
    <row r="23648" spans="1:4" x14ac:dyDescent="0.25">
      <c r="A23648" t="str">
        <f>HYPERLINK("https://www.773grp.com/globalSearch/BQ24125RHLT/page-1", "BQ24125RHLT")</f>
        <v>BQ24125RHLT</v>
      </c>
      <c r="B23648" s="3" t="s">
        <v>90</v>
      </c>
      <c r="C23648" s="5">
        <v>1250</v>
      </c>
      <c r="D23648" s="6">
        <v>9.6999999999999993</v>
      </c>
    </row>
    <row r="23649" spans="1:4" x14ac:dyDescent="0.25">
      <c r="A23649" t="str">
        <f>HYPERLINK("https://www.773grp.com/globalSearch/BQ500211ARGZT/page-1", "BQ500211ARGZT")</f>
        <v>BQ500211ARGZT</v>
      </c>
      <c r="B23649" s="3" t="s">
        <v>90</v>
      </c>
      <c r="C23649" s="5">
        <v>250</v>
      </c>
      <c r="D23649" s="6">
        <v>9.6999999999999993</v>
      </c>
    </row>
    <row r="23650" spans="1:4" x14ac:dyDescent="0.25">
      <c r="A23650" t="str">
        <f>HYPERLINK("https://www.773grp.com/globalSearch/PCM3001EG/page-1", "PCM3001EG")</f>
        <v>PCM3001EG</v>
      </c>
      <c r="B23650" s="3" t="s">
        <v>90</v>
      </c>
      <c r="C23650" s="5">
        <v>188</v>
      </c>
      <c r="D23650" s="6">
        <v>9.6999999999999993</v>
      </c>
    </row>
    <row r="23651" spans="1:4" x14ac:dyDescent="0.25">
      <c r="A23651" t="str">
        <f>HYPERLINK("https://www.773grp.com/globalSearch/PCM3006TG/page-1", "PCM3006TG")</f>
        <v>PCM3006TG</v>
      </c>
      <c r="B23651" s="3" t="s">
        <v>90</v>
      </c>
      <c r="C23651" s="5">
        <v>418</v>
      </c>
      <c r="D23651" s="6">
        <v>9.6999999999999993</v>
      </c>
    </row>
    <row r="23652" spans="1:4" x14ac:dyDescent="0.25">
      <c r="A23652" t="str">
        <f>HYPERLINK("https://www.773grp.com/globalSearch/PTLV320AIC32IRHB/page-1", "PTLV320AIC32IRHB")</f>
        <v>PTLV320AIC32IRHB</v>
      </c>
      <c r="B23652" s="3" t="s">
        <v>90</v>
      </c>
      <c r="C23652" s="5">
        <v>351</v>
      </c>
      <c r="D23652" s="6">
        <v>9.6999999999999993</v>
      </c>
    </row>
    <row r="23653" spans="1:4" x14ac:dyDescent="0.25">
      <c r="A23653" t="str">
        <f>HYPERLINK("https://www.773grp.com/globalSearch/THS3112CD/page-1", "THS3112CD")</f>
        <v>THS3112CD</v>
      </c>
      <c r="B23653" s="3" t="s">
        <v>90</v>
      </c>
      <c r="C23653" s="5">
        <v>1800</v>
      </c>
      <c r="D23653" s="6">
        <v>9.6999999999999993</v>
      </c>
    </row>
    <row r="23654" spans="1:4" x14ac:dyDescent="0.25">
      <c r="A23654" t="str">
        <f>HYPERLINK("https://www.773grp.com/globalSearch/TLV320AIC33IRGZR/page-1", "TLV320AIC33IRGZR")</f>
        <v>TLV320AIC33IRGZR</v>
      </c>
      <c r="B23654" s="3" t="s">
        <v>90</v>
      </c>
      <c r="C23654" s="5">
        <v>910</v>
      </c>
      <c r="D23654" s="6">
        <v>9.6999999999999993</v>
      </c>
    </row>
    <row r="23655" spans="1:4" x14ac:dyDescent="0.25">
      <c r="A23655" t="str">
        <f>HYPERLINK("https://www.773grp.com/globalSearch/TNETV2402PGE/page-1", "TNETV2402PGE")</f>
        <v>TNETV2402PGE</v>
      </c>
      <c r="B23655" s="3" t="s">
        <v>90</v>
      </c>
      <c r="C23655" s="5">
        <v>3661</v>
      </c>
      <c r="D23655" s="6">
        <v>9.6999999999999993</v>
      </c>
    </row>
    <row r="23656" spans="1:4" x14ac:dyDescent="0.25">
      <c r="A23656" t="str">
        <f>HYPERLINK("https://www.773grp.com/globalSearch/TPS658310YFFR/page-1", "TPS658310YFFR")</f>
        <v>TPS658310YFFR</v>
      </c>
      <c r="B23656" s="3" t="s">
        <v>90</v>
      </c>
      <c r="C23656" s="5">
        <v>3000</v>
      </c>
      <c r="D23656" s="6">
        <v>9.6999999999999993</v>
      </c>
    </row>
    <row r="23657" spans="1:4" x14ac:dyDescent="0.25">
      <c r="A23657" t="str">
        <f>HYPERLINK("https://www.773grp.com/globalSearch/UCC2895QDWRQ1/page-1", "UCC2895QDWRQ1")</f>
        <v>UCC2895QDWRQ1</v>
      </c>
      <c r="B23657" s="3" t="s">
        <v>90</v>
      </c>
      <c r="C23657" s="5">
        <v>14279</v>
      </c>
      <c r="D23657" s="6">
        <v>9.6999999999999993</v>
      </c>
    </row>
    <row r="23658" spans="1:4" x14ac:dyDescent="0.25">
      <c r="A23658" t="str">
        <f>HYPERLINK("https://www.773grp.com/globalSearch/MSP430F5335IZQWT/page-1", "MSP430F5335IZQWT")</f>
        <v>MSP430F5335IZQWT</v>
      </c>
      <c r="B23658" s="3" t="s">
        <v>90</v>
      </c>
      <c r="C23658" s="5">
        <v>250</v>
      </c>
      <c r="D23658" s="6">
        <v>9.75</v>
      </c>
    </row>
    <row r="23659" spans="1:4" x14ac:dyDescent="0.25">
      <c r="A23659" t="str">
        <f>HYPERLINK("https://www.773grp.com/globalSearch/MSP430F5527IPN/page-1", "MSP430F5527IPN")</f>
        <v>MSP430F5527IPN</v>
      </c>
      <c r="B23659" s="3" t="s">
        <v>90</v>
      </c>
      <c r="C23659" s="5">
        <v>115</v>
      </c>
      <c r="D23659" s="6">
        <v>9.75</v>
      </c>
    </row>
    <row r="23660" spans="1:4" x14ac:dyDescent="0.25">
      <c r="A23660" t="str">
        <f>HYPERLINK("https://www.773grp.com/globalSearch/MSP430F5527IPNR/page-1", "MSP430F5527IPNR")</f>
        <v>MSP430F5527IPNR</v>
      </c>
      <c r="B23660" s="3" t="s">
        <v>90</v>
      </c>
      <c r="C23660" s="5">
        <v>51</v>
      </c>
      <c r="D23660" s="6">
        <v>9.75</v>
      </c>
    </row>
    <row r="23661" spans="1:4" x14ac:dyDescent="0.25">
      <c r="A23661" t="str">
        <f>HYPERLINK("https://www.773grp.com/globalSearch/THS3202DGNR/page-1", "THS3202DGNR")</f>
        <v>THS3202DGNR</v>
      </c>
      <c r="B23661" s="3" t="s">
        <v>90</v>
      </c>
      <c r="C23661" s="5">
        <v>2500</v>
      </c>
      <c r="D23661" s="6">
        <v>9.75</v>
      </c>
    </row>
    <row r="23662" spans="1:4" x14ac:dyDescent="0.25">
      <c r="A23662" t="str">
        <f>HYPERLINK("https://www.773grp.com/globalSearch/SE555JG/page-1", "SE555JG")</f>
        <v>SE555JG</v>
      </c>
      <c r="B23662" s="3" t="s">
        <v>90</v>
      </c>
      <c r="C23662" s="5">
        <v>159</v>
      </c>
      <c r="D23662" s="6">
        <v>9.7899999999999991</v>
      </c>
    </row>
    <row r="23663" spans="1:4" x14ac:dyDescent="0.25">
      <c r="A23663" t="str">
        <f>HYPERLINK("https://www.773grp.com/globalSearch/SNJ54ACT04J/page-1", "SNJ54ACT04J")</f>
        <v>SNJ54ACT04J</v>
      </c>
      <c r="B23663" s="3" t="s">
        <v>90</v>
      </c>
      <c r="C23663" s="5">
        <v>139</v>
      </c>
      <c r="D23663" s="6">
        <v>9.7899999999999991</v>
      </c>
    </row>
    <row r="23664" spans="1:4" x14ac:dyDescent="0.25">
      <c r="A23664" t="str">
        <f>HYPERLINK("https://www.773grp.com/globalSearch/ADS7841EB/page-1", "ADS7841EB")</f>
        <v>ADS7841EB</v>
      </c>
      <c r="B23664" s="3" t="s">
        <v>90</v>
      </c>
      <c r="C23664" s="5">
        <v>160</v>
      </c>
      <c r="D23664" s="6">
        <v>9.84</v>
      </c>
    </row>
    <row r="23665" spans="1:4" x14ac:dyDescent="0.25">
      <c r="A23665" t="str">
        <f>HYPERLINK("https://www.773grp.com/globalSearch/ADS7844E/page-1", "ADS7844E")</f>
        <v>ADS7844E</v>
      </c>
      <c r="B23665" s="3" t="s">
        <v>90</v>
      </c>
      <c r="C23665" s="5">
        <v>793</v>
      </c>
      <c r="D23665" s="6">
        <v>9.84</v>
      </c>
    </row>
    <row r="23666" spans="1:4" x14ac:dyDescent="0.25">
      <c r="A23666" t="str">
        <f>HYPERLINK("https://www.773grp.com/globalSearch/ADS7844N/page-1", "ADS7844N")</f>
        <v>ADS7844N</v>
      </c>
      <c r="B23666" s="3" t="s">
        <v>90</v>
      </c>
      <c r="C23666" s="5">
        <v>88</v>
      </c>
      <c r="D23666" s="6">
        <v>9.84</v>
      </c>
    </row>
    <row r="23667" spans="1:4" x14ac:dyDescent="0.25">
      <c r="A23667" t="str">
        <f>HYPERLINK("https://www.773grp.com/globalSearch/BQ2031SN-A5/page-1", "BQ2031SN-A5")</f>
        <v>BQ2031SN-A5</v>
      </c>
      <c r="B23667" s="3" t="s">
        <v>90</v>
      </c>
      <c r="C23667" s="5">
        <v>3520</v>
      </c>
      <c r="D23667" s="6">
        <v>9.84</v>
      </c>
    </row>
    <row r="23668" spans="1:4" x14ac:dyDescent="0.25">
      <c r="A23668" t="str">
        <f>HYPERLINK("https://www.773grp.com/globalSearch/BQ24751ARHDR/page-1", "BQ24751ARHDR")</f>
        <v>BQ24751ARHDR</v>
      </c>
      <c r="B23668" s="3" t="s">
        <v>90</v>
      </c>
      <c r="C23668" s="5">
        <v>24000</v>
      </c>
      <c r="D23668" s="6">
        <v>9.84</v>
      </c>
    </row>
    <row r="23669" spans="1:4" x14ac:dyDescent="0.25">
      <c r="A23669" t="str">
        <f>HYPERLINK("https://www.773grp.com/globalSearch/CC1020RUZR/page-1", "CC1020RUZR")</f>
        <v>CC1020RUZR</v>
      </c>
      <c r="B23669" s="3" t="s">
        <v>90</v>
      </c>
      <c r="C23669" s="5">
        <v>7500</v>
      </c>
      <c r="D23669" s="6">
        <v>9.84</v>
      </c>
    </row>
    <row r="23670" spans="1:4" x14ac:dyDescent="0.25">
      <c r="A23670" t="str">
        <f>HYPERLINK("https://www.773grp.com/globalSearch/CDC339NS/page-1", "CDC339NS")</f>
        <v>CDC339NS</v>
      </c>
      <c r="B23670" s="3" t="s">
        <v>90</v>
      </c>
      <c r="C23670" s="5">
        <v>7040</v>
      </c>
      <c r="D23670" s="6">
        <v>9.84</v>
      </c>
    </row>
    <row r="23671" spans="1:4" x14ac:dyDescent="0.25">
      <c r="A23671" t="str">
        <f>HYPERLINK("https://www.773grp.com/globalSearch/LM6144BIM-NOPB/page-1", "LM6144BIM-NOPB")</f>
        <v>LM6144BIM-NOPB</v>
      </c>
      <c r="B23671" s="3" t="s">
        <v>90</v>
      </c>
      <c r="C23671" s="5">
        <v>3300</v>
      </c>
      <c r="D23671" s="6">
        <v>9.84</v>
      </c>
    </row>
    <row r="23672" spans="1:4" x14ac:dyDescent="0.25">
      <c r="A23672" t="str">
        <f>HYPERLINK("https://www.773grp.com/globalSearch/LME49720HA-NOPB/page-1", "LME49720HA-NOPB")</f>
        <v>LME49720HA-NOPB</v>
      </c>
      <c r="B23672" s="3" t="s">
        <v>90</v>
      </c>
      <c r="C23672" s="5">
        <v>4</v>
      </c>
      <c r="D23672" s="6">
        <v>9.84</v>
      </c>
    </row>
    <row r="23673" spans="1:4" x14ac:dyDescent="0.25">
      <c r="A23673" t="str">
        <f>HYPERLINK("https://www.773grp.com/globalSearch/LMH0002SQ-NOPB/page-1", "LMH0002SQ-NOPB")</f>
        <v>LMH0002SQ-NOPB</v>
      </c>
      <c r="B23673" s="3" t="s">
        <v>90</v>
      </c>
      <c r="C23673" s="5">
        <v>1237</v>
      </c>
      <c r="D23673" s="6">
        <v>9.84</v>
      </c>
    </row>
    <row r="23674" spans="1:4" x14ac:dyDescent="0.25">
      <c r="A23674" t="str">
        <f>HYPERLINK("https://www.773grp.com/globalSearch/MSP430F6735IPZ/page-1", "MSP430F6735IPZ")</f>
        <v>MSP430F6735IPZ</v>
      </c>
      <c r="B23674" s="3" t="s">
        <v>90</v>
      </c>
      <c r="C23674" s="5">
        <v>489</v>
      </c>
      <c r="D23674" s="6">
        <v>9.84</v>
      </c>
    </row>
    <row r="23675" spans="1:4" x14ac:dyDescent="0.25">
      <c r="A23675" t="str">
        <f>HYPERLINK("https://www.773grp.com/globalSearch/OPA4209AIPW/page-1", "OPA4209AIPW")</f>
        <v>OPA4209AIPW</v>
      </c>
      <c r="B23675" s="3" t="s">
        <v>90</v>
      </c>
      <c r="C23675" s="5">
        <v>2</v>
      </c>
      <c r="D23675" s="6">
        <v>9.84</v>
      </c>
    </row>
    <row r="23676" spans="1:4" x14ac:dyDescent="0.25">
      <c r="A23676" t="str">
        <f>HYPERLINK("https://www.773grp.com/globalSearch/SN74ALV16245DL/page-1", "SN74ALV16245DL")</f>
        <v>SN74ALV16245DL</v>
      </c>
      <c r="B23676" s="3" t="s">
        <v>90</v>
      </c>
      <c r="C23676" s="5">
        <v>50</v>
      </c>
      <c r="D23676" s="6">
        <v>9.84</v>
      </c>
    </row>
    <row r="23677" spans="1:4" x14ac:dyDescent="0.25">
      <c r="A23677" t="str">
        <f>HYPERLINK("https://www.773grp.com/globalSearch/TLV5616IDGKR/page-1", "TLV5616IDGKR")</f>
        <v>TLV5616IDGKR</v>
      </c>
      <c r="B23677" s="3" t="s">
        <v>90</v>
      </c>
      <c r="C23677" s="5">
        <v>5000</v>
      </c>
      <c r="D23677" s="6">
        <v>9.84</v>
      </c>
    </row>
    <row r="23678" spans="1:4" x14ac:dyDescent="0.25">
      <c r="A23678" t="str">
        <f>HYPERLINK("https://www.773grp.com/globalSearch/TLV5616IDR/page-1", "TLV5616IDR")</f>
        <v>TLV5616IDR</v>
      </c>
      <c r="B23678" s="3" t="s">
        <v>90</v>
      </c>
      <c r="C23678" s="5">
        <v>5000</v>
      </c>
      <c r="D23678" s="6">
        <v>9.84</v>
      </c>
    </row>
    <row r="23679" spans="1:4" x14ac:dyDescent="0.25">
      <c r="A23679" t="str">
        <f>HYPERLINK("https://www.773grp.com/globalSearch/TMS44460-70DR/page-1", "TMS44460-70DR")</f>
        <v>TMS44460-70DR</v>
      </c>
      <c r="B23679" s="3" t="s">
        <v>90</v>
      </c>
      <c r="C23679" s="5">
        <v>3000</v>
      </c>
      <c r="D23679" s="6">
        <v>9.84</v>
      </c>
    </row>
    <row r="23680" spans="1:4" x14ac:dyDescent="0.25">
      <c r="A23680" t="str">
        <f>HYPERLINK("https://www.773grp.com/globalSearch/TPA3107D2PAP/page-1", "TPA3107D2PAP")</f>
        <v>TPA3107D2PAP</v>
      </c>
      <c r="B23680" s="3" t="s">
        <v>90</v>
      </c>
      <c r="C23680" s="5">
        <v>36</v>
      </c>
      <c r="D23680" s="6">
        <v>9.84</v>
      </c>
    </row>
    <row r="23681" spans="1:4" x14ac:dyDescent="0.25">
      <c r="A23681" t="str">
        <f>HYPERLINK("https://www.773grp.com/globalSearch/TPS23851DCER/page-1", "TPS23851DCER")</f>
        <v>TPS23851DCER</v>
      </c>
      <c r="B23681" s="3" t="s">
        <v>90</v>
      </c>
      <c r="C23681" s="5">
        <v>37000</v>
      </c>
      <c r="D23681" s="6">
        <v>9.84</v>
      </c>
    </row>
    <row r="23682" spans="1:4" x14ac:dyDescent="0.25">
      <c r="A23682" t="str">
        <f>HYPERLINK("https://www.773grp.com/globalSearch/TPS53353DQPR/page-1", "TPS53353DQPR")</f>
        <v>TPS53353DQPR</v>
      </c>
      <c r="B23682" s="3" t="s">
        <v>90</v>
      </c>
      <c r="C23682" s="5">
        <v>413</v>
      </c>
      <c r="D23682" s="6">
        <v>9.84</v>
      </c>
    </row>
    <row r="23683" spans="1:4" x14ac:dyDescent="0.25">
      <c r="A23683" t="str">
        <f>HYPERLINK("https://www.773grp.com/globalSearch/TSC2102BIDA/page-1", "TSC2102BIDA")</f>
        <v>TSC2102BIDA</v>
      </c>
      <c r="B23683" s="3" t="s">
        <v>90</v>
      </c>
      <c r="C23683" s="5">
        <v>4462</v>
      </c>
      <c r="D23683" s="6">
        <v>9.84</v>
      </c>
    </row>
    <row r="23684" spans="1:4" x14ac:dyDescent="0.25">
      <c r="A23684" t="str">
        <f>HYPERLINK("https://www.773grp.com/globalSearch/TSC2102BIDAR/page-1", "TSC2102BIDAR")</f>
        <v>TSC2102BIDAR</v>
      </c>
      <c r="B23684" s="3" t="s">
        <v>90</v>
      </c>
      <c r="C23684" s="5">
        <v>10000</v>
      </c>
      <c r="D23684" s="6">
        <v>9.84</v>
      </c>
    </row>
    <row r="23685" spans="1:4" x14ac:dyDescent="0.25">
      <c r="A23685" t="str">
        <f>HYPERLINK("https://www.773grp.com/globalSearch/UC3871DWTR-1/page-1", "UC3871DWTR-1")</f>
        <v>UC3871DWTR-1</v>
      </c>
      <c r="B23685" s="3" t="s">
        <v>90</v>
      </c>
      <c r="C23685" s="5">
        <v>10000</v>
      </c>
      <c r="D23685" s="6">
        <v>9.84</v>
      </c>
    </row>
    <row r="23686" spans="1:4" x14ac:dyDescent="0.25">
      <c r="A23686" t="str">
        <f>HYPERLINK("https://www.773grp.com/globalSearch/THS3001CDGNR/page-1", "THS3001CDGNR")</f>
        <v>THS3001CDGNR</v>
      </c>
      <c r="B23686" s="3" t="s">
        <v>90</v>
      </c>
      <c r="C23686" s="5">
        <v>2500</v>
      </c>
      <c r="D23686" s="6">
        <v>9.9</v>
      </c>
    </row>
    <row r="23687" spans="1:4" x14ac:dyDescent="0.25">
      <c r="A23687" t="str">
        <f>HYPERLINK("https://www.773grp.com/globalSearch/THS3001CDR/page-1", "THS3001CDR")</f>
        <v>THS3001CDR</v>
      </c>
      <c r="B23687" s="3" t="s">
        <v>90</v>
      </c>
      <c r="C23687" s="5">
        <v>2460</v>
      </c>
      <c r="D23687" s="6">
        <v>9.9</v>
      </c>
    </row>
    <row r="23688" spans="1:4" x14ac:dyDescent="0.25">
      <c r="A23688" t="str">
        <f>HYPERLINK("https://www.773grp.com/globalSearch/UC2833DWTR/page-1", "UC2833DWTR")</f>
        <v>UC2833DWTR</v>
      </c>
      <c r="B23688" s="3" t="s">
        <v>90</v>
      </c>
      <c r="C23688" s="5">
        <v>2000</v>
      </c>
      <c r="D23688" s="6">
        <v>9.9</v>
      </c>
    </row>
    <row r="23689" spans="1:4" x14ac:dyDescent="0.25">
      <c r="A23689" t="str">
        <f>HYPERLINK("https://www.773grp.com/globalSearch/UC3833DWTR/page-1", "UC3833DWTR")</f>
        <v>UC3833DWTR</v>
      </c>
      <c r="B23689" s="3" t="s">
        <v>90</v>
      </c>
      <c r="C23689" s="5">
        <v>2000</v>
      </c>
      <c r="D23689" s="6">
        <v>9.9</v>
      </c>
    </row>
    <row r="23690" spans="1:4" x14ac:dyDescent="0.25">
      <c r="A23690" t="str">
        <f>HYPERLINK("https://www.773grp.com/globalSearch/UC5601QPTR-81020/page-1", "UC5601QPTR-81020")</f>
        <v>UC5601QPTR-81020</v>
      </c>
      <c r="B23690" s="3" t="s">
        <v>90</v>
      </c>
      <c r="C23690" s="5">
        <v>7500</v>
      </c>
      <c r="D23690" s="6">
        <v>9.9</v>
      </c>
    </row>
    <row r="23691" spans="1:4" x14ac:dyDescent="0.25">
      <c r="A23691" t="str">
        <f>HYPERLINK("https://www.773grp.com/globalSearch/SN7BCT25642DW/page-1", "SN7BCT25642DW")</f>
        <v>SN7BCT25642DW</v>
      </c>
      <c r="B23691" s="3" t="s">
        <v>90</v>
      </c>
      <c r="C23691" s="5">
        <v>3000</v>
      </c>
      <c r="D23691" s="6">
        <v>9.93</v>
      </c>
    </row>
    <row r="23692" spans="1:4" x14ac:dyDescent="0.25">
      <c r="A23692" t="str">
        <f>HYPERLINK("https://www.773grp.com/globalSearch/32P4918A-CGF/page-1", "32P4918A-CGF")</f>
        <v>32P4918A-CGF</v>
      </c>
      <c r="B23692" s="3" t="s">
        <v>90</v>
      </c>
      <c r="C23692" s="5">
        <v>102201</v>
      </c>
      <c r="D23692" s="6">
        <v>9.9600000000000009</v>
      </c>
    </row>
    <row r="23693" spans="1:4" x14ac:dyDescent="0.25">
      <c r="A23693" t="str">
        <f>HYPERLINK("https://www.773grp.com/globalSearch/32P4918-CGF/page-1", "32P4918-CGF")</f>
        <v>32P4918-CGF</v>
      </c>
      <c r="B23693" s="3" t="s">
        <v>90</v>
      </c>
      <c r="C23693" s="5">
        <v>1374</v>
      </c>
      <c r="D23693" s="6">
        <v>9.9600000000000009</v>
      </c>
    </row>
    <row r="23694" spans="1:4" x14ac:dyDescent="0.25">
      <c r="A23694" t="str">
        <f>HYPERLINK("https://www.773grp.com/globalSearch/ADS1191IRSMT/page-1", "ADS1191IRSMT")</f>
        <v>ADS1191IRSMT</v>
      </c>
      <c r="B23694" s="3" t="s">
        <v>90</v>
      </c>
      <c r="C23694" s="5">
        <v>250</v>
      </c>
      <c r="D23694" s="6">
        <v>9.9600000000000009</v>
      </c>
    </row>
    <row r="23695" spans="1:4" x14ac:dyDescent="0.25">
      <c r="A23695" t="str">
        <f>HYPERLINK("https://www.773grp.com/globalSearch/CDCD5704PW/page-1", "CDCD5704PW")</f>
        <v>CDCD5704PW</v>
      </c>
      <c r="B23695" s="3" t="s">
        <v>90</v>
      </c>
      <c r="C23695" s="5">
        <v>120</v>
      </c>
      <c r="D23695" s="6">
        <v>9.9600000000000009</v>
      </c>
    </row>
    <row r="23696" spans="1:4" x14ac:dyDescent="0.25">
      <c r="A23696" t="str">
        <f>HYPERLINK("https://www.773grp.com/globalSearch/TMS320F28023DAQ/page-1", "TMS320F28023DAQ")</f>
        <v>TMS320F28023DAQ</v>
      </c>
      <c r="B23696" s="3" t="s">
        <v>90</v>
      </c>
      <c r="C23696" s="5">
        <v>35</v>
      </c>
      <c r="D23696" s="6">
        <v>9.9600000000000009</v>
      </c>
    </row>
    <row r="23697" spans="1:4" x14ac:dyDescent="0.25">
      <c r="A23697" t="str">
        <f>HYPERLINK("https://www.773grp.com/globalSearch/TP3057V-NOPB/page-1", "TP3057V-NOPB")</f>
        <v>TP3057V-NOPB</v>
      </c>
      <c r="B23697" s="3" t="s">
        <v>90</v>
      </c>
      <c r="C23697" s="5">
        <v>80</v>
      </c>
      <c r="D23697" s="6">
        <v>9.9600000000000009</v>
      </c>
    </row>
    <row r="23698" spans="1:4" x14ac:dyDescent="0.25">
      <c r="A23698" t="str">
        <f>HYPERLINK("https://www.773grp.com/globalSearch/UCC3895DW/page-1", "UCC3895DW")</f>
        <v>UCC3895DW</v>
      </c>
      <c r="B23698" s="3" t="s">
        <v>90</v>
      </c>
      <c r="C23698" s="5">
        <v>75</v>
      </c>
      <c r="D23698" s="6">
        <v>9.9600000000000009</v>
      </c>
    </row>
    <row r="23699" spans="1:4" x14ac:dyDescent="0.25">
      <c r="A23699" t="str">
        <f>HYPERLINK("https://www.773grp.com/globalSearch/CDC328ANSR/page-1", "CDC328ANSR")</f>
        <v>CDC328ANSR</v>
      </c>
      <c r="B23699" s="3" t="s">
        <v>90</v>
      </c>
      <c r="C23699" s="5">
        <v>1600</v>
      </c>
      <c r="D23699" s="6">
        <v>9.99</v>
      </c>
    </row>
    <row r="23700" spans="1:4" x14ac:dyDescent="0.25">
      <c r="A23700" t="str">
        <f>HYPERLINK("https://www.773grp.com/globalSearch/DS14C535MSAX-NOPB/page-1", "DS14C535MSAX-NOPB")</f>
        <v>DS14C535MSAX-NOPB</v>
      </c>
      <c r="B23700" s="3" t="s">
        <v>90</v>
      </c>
      <c r="C23700" s="5">
        <v>2000</v>
      </c>
      <c r="D23700" s="6">
        <v>9.99</v>
      </c>
    </row>
    <row r="23701" spans="1:4" x14ac:dyDescent="0.25">
      <c r="A23701" t="str">
        <f>HYPERLINK("https://www.773grp.com/globalSearch/INA121U-2K5/page-1", "INA121U-2K5")</f>
        <v>INA121U-2K5</v>
      </c>
      <c r="B23701" s="3" t="s">
        <v>90</v>
      </c>
      <c r="C23701" s="5">
        <v>60000</v>
      </c>
      <c r="D23701" s="6">
        <v>9.99</v>
      </c>
    </row>
    <row r="23702" spans="1:4" x14ac:dyDescent="0.25">
      <c r="A23702" t="str">
        <f>HYPERLINK("https://www.773grp.com/globalSearch/MSP430FW429IPMR/page-1", "MSP430FW429IPMR")</f>
        <v>MSP430FW429IPMR</v>
      </c>
      <c r="B23702" s="3" t="s">
        <v>90</v>
      </c>
      <c r="C23702" s="5">
        <v>988</v>
      </c>
      <c r="D23702" s="6">
        <v>9.99</v>
      </c>
    </row>
    <row r="23703" spans="1:4" x14ac:dyDescent="0.25">
      <c r="A23703" t="str">
        <f>HYPERLINK("https://www.773grp.com/globalSearch/S1064020NM/page-1", "S1064020NM")</f>
        <v>S1064020NM</v>
      </c>
      <c r="B23703" s="3" t="s">
        <v>90</v>
      </c>
      <c r="C23703" s="5">
        <v>2000</v>
      </c>
      <c r="D23703" s="6">
        <v>9.99</v>
      </c>
    </row>
    <row r="23704" spans="1:4" x14ac:dyDescent="0.25">
      <c r="A23704" t="str">
        <f>HYPERLINK("https://www.773grp.com/globalSearch/S1065007NM/page-1", "S1065007NM")</f>
        <v>S1065007NM</v>
      </c>
      <c r="B23704" s="3" t="s">
        <v>90</v>
      </c>
      <c r="C23704" s="5">
        <v>1827</v>
      </c>
      <c r="D23704" s="6">
        <v>9.99</v>
      </c>
    </row>
    <row r="23705" spans="1:4" x14ac:dyDescent="0.25">
      <c r="A23705" t="str">
        <f>HYPERLINK("https://www.773grp.com/globalSearch/S1073009N/page-1", "S1073009N")</f>
        <v>S1073009N</v>
      </c>
      <c r="B23705" s="3" t="s">
        <v>90</v>
      </c>
      <c r="C23705" s="5">
        <v>14350</v>
      </c>
      <c r="D23705" s="6">
        <v>9.99</v>
      </c>
    </row>
    <row r="23706" spans="1:4" x14ac:dyDescent="0.25">
      <c r="A23706" t="str">
        <f>HYPERLINK("https://www.773grp.com/globalSearch/SN104179N/page-1", "SN104179N")</f>
        <v>SN104179N</v>
      </c>
      <c r="B23706" s="3" t="s">
        <v>90</v>
      </c>
      <c r="C23706" s="5">
        <v>10360</v>
      </c>
      <c r="D23706" s="6">
        <v>9.99</v>
      </c>
    </row>
    <row r="23707" spans="1:4" x14ac:dyDescent="0.25">
      <c r="A23707" t="str">
        <f>HYPERLINK("https://www.773grp.com/globalSearch/SN104410P/page-1", "SN104410P")</f>
        <v>SN104410P</v>
      </c>
      <c r="B23707" s="3" t="s">
        <v>90</v>
      </c>
      <c r="C23707" s="5">
        <v>8432</v>
      </c>
      <c r="D23707" s="6">
        <v>9.99</v>
      </c>
    </row>
    <row r="23708" spans="1:4" x14ac:dyDescent="0.25">
      <c r="A23708" t="str">
        <f>HYPERLINK("https://www.773grp.com/globalSearch/SN200417N/page-1", "SN200417N")</f>
        <v>SN200417N</v>
      </c>
      <c r="B23708" s="3" t="s">
        <v>90</v>
      </c>
      <c r="C23708" s="5">
        <v>440</v>
      </c>
      <c r="D23708" s="6">
        <v>9.99</v>
      </c>
    </row>
    <row r="23709" spans="1:4" x14ac:dyDescent="0.25">
      <c r="A23709" t="str">
        <f>HYPERLINK("https://www.773grp.com/globalSearch/SN200428N/page-1", "SN200428N")</f>
        <v>SN200428N</v>
      </c>
      <c r="B23709" s="3" t="s">
        <v>90</v>
      </c>
      <c r="C23709" s="5">
        <v>9654</v>
      </c>
      <c r="D23709" s="6">
        <v>9.99</v>
      </c>
    </row>
    <row r="23710" spans="1:4" x14ac:dyDescent="0.25">
      <c r="A23710" t="str">
        <f>HYPERLINK("https://www.773grp.com/globalSearch/SN20417N/page-1", "SN20417N")</f>
        <v>SN20417N</v>
      </c>
      <c r="B23710" s="3" t="s">
        <v>90</v>
      </c>
      <c r="C23710" s="5">
        <v>1620</v>
      </c>
      <c r="D23710" s="6">
        <v>9.99</v>
      </c>
    </row>
    <row r="23711" spans="1:4" x14ac:dyDescent="0.25">
      <c r="A23711" t="str">
        <f>HYPERLINK("https://www.773grp.com/globalSearch/SN300602N/page-1", "SN300602N")</f>
        <v>SN300602N</v>
      </c>
      <c r="B23711" s="3" t="s">
        <v>90</v>
      </c>
      <c r="C23711" s="5">
        <v>2475</v>
      </c>
      <c r="D23711" s="6">
        <v>9.99</v>
      </c>
    </row>
    <row r="23712" spans="1:4" x14ac:dyDescent="0.25">
      <c r="A23712" t="str">
        <f>HYPERLINK("https://www.773grp.com/globalSearch/SN5474WA/page-1", "SN5474WA")</f>
        <v>SN5474WA</v>
      </c>
      <c r="B23712" s="3" t="s">
        <v>90</v>
      </c>
      <c r="C23712" s="5">
        <v>400</v>
      </c>
      <c r="D23712" s="6">
        <v>9.99</v>
      </c>
    </row>
    <row r="23713" spans="1:4" x14ac:dyDescent="0.25">
      <c r="A23713" t="str">
        <f>HYPERLINK("https://www.773grp.com/globalSearch/SN74ALS29842NT/page-1", "SN74ALS29842NT")</f>
        <v>SN74ALS29842NT</v>
      </c>
      <c r="B23713" s="3" t="s">
        <v>90</v>
      </c>
      <c r="C23713" s="5">
        <v>1034</v>
      </c>
      <c r="D23713" s="6">
        <v>9.99</v>
      </c>
    </row>
    <row r="23714" spans="1:4" x14ac:dyDescent="0.25">
      <c r="A23714" t="str">
        <f>HYPERLINK("https://www.773grp.com/globalSearch/TLV5535IPWRG4Q1/page-1", "TLV5535IPWRG4Q1")</f>
        <v>TLV5535IPWRG4Q1</v>
      </c>
      <c r="B23714" s="3" t="s">
        <v>90</v>
      </c>
      <c r="C23714" s="5">
        <v>2000</v>
      </c>
      <c r="D23714" s="6">
        <v>9.99</v>
      </c>
    </row>
    <row r="23715" spans="1:4" x14ac:dyDescent="0.25">
      <c r="A23715" t="str">
        <f>HYPERLINK("https://www.773grp.com/globalSearch/TPS65231A2DCA/page-1", "TPS65231A2DCA")</f>
        <v>TPS65231A2DCA</v>
      </c>
      <c r="B23715" s="3" t="s">
        <v>90</v>
      </c>
      <c r="C23715" s="5">
        <v>1820</v>
      </c>
      <c r="D23715" s="6">
        <v>9.99</v>
      </c>
    </row>
    <row r="23716" spans="1:4" x14ac:dyDescent="0.25">
      <c r="A23716" t="str">
        <f>HYPERLINK("https://www.773grp.com/globalSearch/RI-TRP-V9WK-00/page-1", "RI-TRP-V9WK-00")</f>
        <v>RI-TRP-V9WK-00</v>
      </c>
      <c r="B23716" s="3" t="s">
        <v>90</v>
      </c>
      <c r="C23716" s="5">
        <v>5478</v>
      </c>
      <c r="D23716" s="6">
        <v>10.01</v>
      </c>
    </row>
    <row r="23717" spans="1:4" x14ac:dyDescent="0.25">
      <c r="A23717" t="str">
        <f>HYPERLINK("https://www.773grp.com/globalSearch/TQC2804D-81164/page-1", "TQC2804D-81164")</f>
        <v>TQC2804D-81164</v>
      </c>
      <c r="B23717" s="3" t="s">
        <v>90</v>
      </c>
      <c r="C23717" s="5">
        <v>2352</v>
      </c>
      <c r="D23717" s="6">
        <v>10.01</v>
      </c>
    </row>
    <row r="23718" spans="1:4" x14ac:dyDescent="0.25">
      <c r="A23718" t="str">
        <f>HYPERLINK("https://www.773grp.com/globalSearch/74FCT162H501CTPACT/page-1", "74FCT162H501CTPACT")</f>
        <v>74FCT162H501CTPACT</v>
      </c>
      <c r="B23718" s="3" t="s">
        <v>90</v>
      </c>
      <c r="C23718" s="5">
        <v>10000</v>
      </c>
      <c r="D23718" s="6">
        <v>10.039999999999999</v>
      </c>
    </row>
    <row r="23719" spans="1:4" x14ac:dyDescent="0.25">
      <c r="A23719" t="str">
        <f>HYPERLINK("https://www.773grp.com/globalSearch/SN700863DWR/page-1", "SN700863DWR")</f>
        <v>SN700863DWR</v>
      </c>
      <c r="B23719" s="3" t="s">
        <v>90</v>
      </c>
      <c r="C23719" s="5">
        <v>6000</v>
      </c>
      <c r="D23719" s="6">
        <v>10.039999999999999</v>
      </c>
    </row>
    <row r="23720" spans="1:4" x14ac:dyDescent="0.25">
      <c r="A23720" t="str">
        <f>HYPERLINK("https://www.773grp.com/globalSearch/SN74ACT11646DW/page-1", "SN74ACT11646DW")</f>
        <v>SN74ACT11646DW</v>
      </c>
      <c r="B23720" s="3" t="s">
        <v>90</v>
      </c>
      <c r="C23720" s="5">
        <v>640</v>
      </c>
      <c r="D23720" s="6">
        <v>10.039999999999999</v>
      </c>
    </row>
    <row r="23721" spans="1:4" x14ac:dyDescent="0.25">
      <c r="A23721" t="str">
        <f>HYPERLINK("https://www.773grp.com/globalSearch/SN74AS757NS/page-1", "SN74AS757NS")</f>
        <v>SN74AS757NS</v>
      </c>
      <c r="B23721" s="3" t="s">
        <v>90</v>
      </c>
      <c r="C23721" s="5">
        <v>5280</v>
      </c>
      <c r="D23721" s="6">
        <v>10.039999999999999</v>
      </c>
    </row>
    <row r="23722" spans="1:4" x14ac:dyDescent="0.25">
      <c r="A23722" t="str">
        <f>HYPERLINK("https://www.773grp.com/globalSearch/SN74BCT2986BNT/page-1", "SN74BCT2986BNT")</f>
        <v>SN74BCT2986BNT</v>
      </c>
      <c r="B23722" s="3" t="s">
        <v>90</v>
      </c>
      <c r="C23722" s="5">
        <v>1437</v>
      </c>
      <c r="D23722" s="6">
        <v>10.039999999999999</v>
      </c>
    </row>
    <row r="23723" spans="1:4" x14ac:dyDescent="0.25">
      <c r="A23723" t="str">
        <f>HYPERLINK("https://www.773grp.com/globalSearch/ADS7828E-2K5/page-1", "ADS7828E-2K5")</f>
        <v>ADS7828E-2K5</v>
      </c>
      <c r="B23723" s="3" t="s">
        <v>90</v>
      </c>
      <c r="C23723" s="5">
        <v>2280</v>
      </c>
      <c r="D23723" s="6">
        <v>10.08</v>
      </c>
    </row>
    <row r="23724" spans="1:4" x14ac:dyDescent="0.25">
      <c r="A23724" t="str">
        <f>HYPERLINK("https://www.773grp.com/globalSearch/PCM5142PW/page-1", "PCM5142PW")</f>
        <v>PCM5142PW</v>
      </c>
      <c r="B23724" s="3" t="s">
        <v>90</v>
      </c>
      <c r="C23724" s="5">
        <v>100</v>
      </c>
      <c r="D23724" s="6">
        <v>10.08</v>
      </c>
    </row>
    <row r="23725" spans="1:4" x14ac:dyDescent="0.25">
      <c r="A23725" t="str">
        <f>HYPERLINK("https://www.773grp.com/globalSearch/THS8136IPHP/page-1", "THS8136IPHP")</f>
        <v>THS8136IPHP</v>
      </c>
      <c r="B23725" s="3" t="s">
        <v>90</v>
      </c>
      <c r="C23725" s="5">
        <v>100</v>
      </c>
      <c r="D23725" s="6">
        <v>10.09</v>
      </c>
    </row>
    <row r="23726" spans="1:4" x14ac:dyDescent="0.25">
      <c r="A23726" t="str">
        <f>HYPERLINK("https://www.773grp.com/globalSearch/BQ24753RHDT/page-1", "BQ24753RHDT")</f>
        <v>BQ24753RHDT</v>
      </c>
      <c r="B23726" s="3" t="s">
        <v>90</v>
      </c>
      <c r="C23726" s="5">
        <v>247</v>
      </c>
      <c r="D23726" s="6">
        <v>10.130000000000001</v>
      </c>
    </row>
    <row r="23727" spans="1:4" x14ac:dyDescent="0.25">
      <c r="A23727" t="str">
        <f>HYPERLINK("https://www.773grp.com/globalSearch/DAC5578SPW/page-1", "DAC5578SPW")</f>
        <v>DAC5578SPW</v>
      </c>
      <c r="B23727" s="3" t="s">
        <v>90</v>
      </c>
      <c r="C23727" s="5">
        <v>250</v>
      </c>
      <c r="D23727" s="6">
        <v>10.130000000000001</v>
      </c>
    </row>
    <row r="23728" spans="1:4" x14ac:dyDescent="0.25">
      <c r="A23728" t="str">
        <f>HYPERLINK("https://www.773grp.com/globalSearch/DAC7612UB-2K5/page-1", "DAC7612UB-2K5")</f>
        <v>DAC7612UB-2K5</v>
      </c>
      <c r="B23728" s="3" t="s">
        <v>90</v>
      </c>
      <c r="C23728" s="5">
        <v>35000</v>
      </c>
      <c r="D23728" s="6">
        <v>10.130000000000001</v>
      </c>
    </row>
    <row r="23729" spans="1:4" x14ac:dyDescent="0.25">
      <c r="A23729" t="str">
        <f>HYPERLINK("https://www.773grp.com/globalSearch/DS90C3201VS-NOPB/page-1", "DS90C3201VS-NOPB")</f>
        <v>DS90C3201VS-NOPB</v>
      </c>
      <c r="B23729" s="3" t="s">
        <v>90</v>
      </c>
      <c r="C23729" s="5">
        <v>180</v>
      </c>
      <c r="D23729" s="6">
        <v>10.130000000000001</v>
      </c>
    </row>
    <row r="23730" spans="1:4" x14ac:dyDescent="0.25">
      <c r="A23730" t="str">
        <f>HYPERLINK("https://www.773grp.com/globalSearch/OPA77EP/page-1", "OPA77EP")</f>
        <v>OPA77EP</v>
      </c>
      <c r="B23730" s="3" t="s">
        <v>90</v>
      </c>
      <c r="C23730" s="5">
        <v>114</v>
      </c>
      <c r="D23730" s="6">
        <v>10.130000000000001</v>
      </c>
    </row>
    <row r="23731" spans="1:4" x14ac:dyDescent="0.25">
      <c r="A23731" t="str">
        <f>HYPERLINK("https://www.773grp.com/globalSearch/PTLS24518DGG/page-1", "PTLS24518DGG")</f>
        <v>PTLS24518DGG</v>
      </c>
      <c r="B23731" s="3" t="s">
        <v>90</v>
      </c>
      <c r="C23731" s="5">
        <v>3299</v>
      </c>
      <c r="D23731" s="6">
        <v>10.130000000000001</v>
      </c>
    </row>
    <row r="23732" spans="1:4" x14ac:dyDescent="0.25">
      <c r="A23732" t="str">
        <f>HYPERLINK("https://www.773grp.com/globalSearch/SN65MLVD082DGGG4/page-1", "SN65MLVD082DGGG4")</f>
        <v>SN65MLVD082DGGG4</v>
      </c>
      <c r="B23732" s="3" t="s">
        <v>90</v>
      </c>
      <c r="C23732" s="5">
        <v>50</v>
      </c>
      <c r="D23732" s="6">
        <v>10.130000000000001</v>
      </c>
    </row>
    <row r="23733" spans="1:4" x14ac:dyDescent="0.25">
      <c r="A23733" t="str">
        <f>HYPERLINK("https://www.773grp.com/globalSearch/TAS5706APAP/page-1", "TAS5706APAP")</f>
        <v>TAS5706APAP</v>
      </c>
      <c r="B23733" s="3" t="s">
        <v>90</v>
      </c>
      <c r="C23733" s="5">
        <v>728</v>
      </c>
      <c r="D23733" s="6">
        <v>10.130000000000001</v>
      </c>
    </row>
    <row r="23734" spans="1:4" x14ac:dyDescent="0.25">
      <c r="A23734" t="str">
        <f>HYPERLINK("https://www.773grp.com/globalSearch/TAS5706APAPG4/page-1", "TAS5706APAPG4")</f>
        <v>TAS5706APAPG4</v>
      </c>
      <c r="B23734" s="3" t="s">
        <v>90</v>
      </c>
      <c r="C23734" s="5">
        <v>60</v>
      </c>
      <c r="D23734" s="6">
        <v>10.130000000000001</v>
      </c>
    </row>
    <row r="23735" spans="1:4" x14ac:dyDescent="0.25">
      <c r="A23735" t="str">
        <f>HYPERLINK("https://www.773grp.com/globalSearch/THS3201MDGNREP/page-1", "THS3201MDGNREP")</f>
        <v>THS3201MDGNREP</v>
      </c>
      <c r="B23735" s="3" t="s">
        <v>90</v>
      </c>
      <c r="C23735" s="5">
        <v>2326</v>
      </c>
      <c r="D23735" s="6">
        <v>10.130000000000001</v>
      </c>
    </row>
    <row r="23736" spans="1:4" x14ac:dyDescent="0.25">
      <c r="A23736" t="str">
        <f>HYPERLINK("https://www.773grp.com/globalSearch/THS6043CPWPR/page-1", "THS6043CPWPR")</f>
        <v>THS6043CPWPR</v>
      </c>
      <c r="B23736" s="3" t="s">
        <v>90</v>
      </c>
      <c r="C23736" s="5">
        <v>16000</v>
      </c>
      <c r="D23736" s="6">
        <v>10.130000000000001</v>
      </c>
    </row>
    <row r="23737" spans="1:4" x14ac:dyDescent="0.25">
      <c r="A23737" t="str">
        <f>HYPERLINK("https://www.773grp.com/globalSearch/TPS40021MPWPEP/page-1", "TPS40021MPWPEP")</f>
        <v>TPS40021MPWPEP</v>
      </c>
      <c r="B23737" s="3" t="s">
        <v>90</v>
      </c>
      <c r="C23737" s="5">
        <v>210</v>
      </c>
      <c r="D23737" s="6">
        <v>10.130000000000001</v>
      </c>
    </row>
    <row r="23738" spans="1:4" x14ac:dyDescent="0.25">
      <c r="A23738" t="str">
        <f>HYPERLINK("https://www.773grp.com/globalSearch/TPS65070RSLR/page-1", "TPS65070RSLR")</f>
        <v>TPS65070RSLR</v>
      </c>
      <c r="B23738" s="3" t="s">
        <v>90</v>
      </c>
      <c r="C23738" s="5">
        <v>2500</v>
      </c>
      <c r="D23738" s="6">
        <v>10.130000000000001</v>
      </c>
    </row>
    <row r="23739" spans="1:4" x14ac:dyDescent="0.25">
      <c r="A23739" t="str">
        <f>HYPERLINK("https://www.773grp.com/globalSearch/TPS650732RSLR/page-1", "TPS650732RSLR")</f>
        <v>TPS650732RSLR</v>
      </c>
      <c r="B23739" s="3" t="s">
        <v>90</v>
      </c>
      <c r="C23739" s="5">
        <v>5000</v>
      </c>
      <c r="D23739" s="6">
        <v>10.130000000000001</v>
      </c>
    </row>
    <row r="23740" spans="1:4" x14ac:dyDescent="0.25">
      <c r="A23740" t="str">
        <f>HYPERLINK("https://www.773grp.com/globalSearch/UC3848N/page-1", "UC3848N")</f>
        <v>UC3848N</v>
      </c>
      <c r="B23740" s="3" t="s">
        <v>90</v>
      </c>
      <c r="C23740" s="5">
        <v>4100</v>
      </c>
      <c r="D23740" s="6">
        <v>10.130000000000001</v>
      </c>
    </row>
    <row r="23741" spans="1:4" x14ac:dyDescent="0.25">
      <c r="A23741" t="str">
        <f>HYPERLINK("https://www.773grp.com/globalSearch/UCC2570N-81331/page-1", "UCC2570N-81331")</f>
        <v>UCC2570N-81331</v>
      </c>
      <c r="B23741" s="3" t="s">
        <v>90</v>
      </c>
      <c r="C23741" s="5">
        <v>12345</v>
      </c>
      <c r="D23741" s="6">
        <v>10.130000000000001</v>
      </c>
    </row>
    <row r="23742" spans="1:4" x14ac:dyDescent="0.25">
      <c r="A23742" t="str">
        <f>HYPERLINK("https://www.773grp.com/globalSearch/LM2678S-ADJ/page-1", "LM2678S-ADJ")</f>
        <v>LM2678S-ADJ</v>
      </c>
      <c r="B23742" s="3" t="s">
        <v>90</v>
      </c>
      <c r="C23742" s="5">
        <v>225</v>
      </c>
      <c r="D23742" s="6">
        <v>10.210000000000001</v>
      </c>
    </row>
    <row r="23743" spans="1:4" x14ac:dyDescent="0.25">
      <c r="A23743" t="str">
        <f>HYPERLINK("https://www.773grp.com/globalSearch/SN65LV1023ADBR/page-1", "SN65LV1023ADBR")</f>
        <v>SN65LV1023ADBR</v>
      </c>
      <c r="B23743" s="3" t="s">
        <v>90</v>
      </c>
      <c r="C23743" s="5">
        <v>2000</v>
      </c>
      <c r="D23743" s="6">
        <v>10.210000000000001</v>
      </c>
    </row>
    <row r="23744" spans="1:4" x14ac:dyDescent="0.25">
      <c r="A23744" t="str">
        <f>HYPERLINK("https://www.773grp.com/globalSearch/SNJ54ACT74J/page-1", "SNJ54ACT74J")</f>
        <v>SNJ54ACT74J</v>
      </c>
      <c r="B23744" s="3" t="s">
        <v>90</v>
      </c>
      <c r="C23744" s="5">
        <v>128</v>
      </c>
      <c r="D23744" s="6">
        <v>10.210000000000001</v>
      </c>
    </row>
    <row r="23745" spans="1:4" x14ac:dyDescent="0.25">
      <c r="A23745" t="str">
        <f>HYPERLINK("https://www.773grp.com/globalSearch/TM4C123BE6PMI/page-1", "TM4C123BE6PMI")</f>
        <v>TM4C123BE6PMI</v>
      </c>
      <c r="B23745" s="3" t="s">
        <v>90</v>
      </c>
      <c r="C23745" s="5">
        <v>136</v>
      </c>
      <c r="D23745" s="6">
        <v>10.210000000000001</v>
      </c>
    </row>
    <row r="23746" spans="1:4" x14ac:dyDescent="0.25">
      <c r="A23746" t="str">
        <f>HYPERLINK("https://www.773grp.com/globalSearch/ADS1286UAG4/page-1", "ADS1286UAG4")</f>
        <v>ADS1286UAG4</v>
      </c>
      <c r="B23746" s="3" t="s">
        <v>90</v>
      </c>
      <c r="C23746" s="5">
        <v>75</v>
      </c>
      <c r="D23746" s="6">
        <v>10.24</v>
      </c>
    </row>
    <row r="23747" spans="1:4" x14ac:dyDescent="0.25">
      <c r="A23747" t="str">
        <f>HYPERLINK("https://www.773grp.com/globalSearch/SN74ALVCH32501KR/page-1", "SN74ALVCH32501KR")</f>
        <v>SN74ALVCH32501KR</v>
      </c>
      <c r="B23747" s="3" t="s">
        <v>90</v>
      </c>
      <c r="C23747" s="5">
        <v>8919</v>
      </c>
      <c r="D23747" s="6">
        <v>10.24</v>
      </c>
    </row>
    <row r="23748" spans="1:4" x14ac:dyDescent="0.25">
      <c r="A23748" t="str">
        <f>HYPERLINK("https://www.773grp.com/globalSearch/SN74AS4374BNS/page-1", "SN74AS4374BNS")</f>
        <v>SN74AS4374BNS</v>
      </c>
      <c r="B23748" s="3" t="s">
        <v>90</v>
      </c>
      <c r="C23748" s="5">
        <v>720</v>
      </c>
      <c r="D23748" s="6">
        <v>10.24</v>
      </c>
    </row>
    <row r="23749" spans="1:4" x14ac:dyDescent="0.25">
      <c r="A23749" t="str">
        <f>HYPERLINK("https://www.773grp.com/globalSearch/SN74LS684NE4/page-1", "SN74LS684NE4")</f>
        <v>SN74LS684NE4</v>
      </c>
      <c r="B23749" s="3" t="s">
        <v>90</v>
      </c>
      <c r="C23749" s="5">
        <v>32</v>
      </c>
      <c r="D23749" s="6">
        <v>10.24</v>
      </c>
    </row>
    <row r="23750" spans="1:4" x14ac:dyDescent="0.25">
      <c r="A23750" t="str">
        <f>HYPERLINK("https://www.773grp.com/globalSearch/DS92LV1212AMSA-NOPB/page-1", "DS92LV1212AMSA-NOPB")</f>
        <v>DS92LV1212AMSA-NOPB</v>
      </c>
      <c r="B23750" s="3" t="s">
        <v>90</v>
      </c>
      <c r="C23750" s="5">
        <v>2058</v>
      </c>
      <c r="D23750" s="6">
        <v>10.26</v>
      </c>
    </row>
    <row r="23751" spans="1:4" x14ac:dyDescent="0.25">
      <c r="A23751" t="str">
        <f>HYPERLINK("https://www.773grp.com/globalSearch/MSP430F5528IZQE/page-1", "MSP430F5528IZQE")</f>
        <v>MSP430F5528IZQE</v>
      </c>
      <c r="B23751" s="3" t="s">
        <v>90</v>
      </c>
      <c r="C23751" s="5">
        <v>362</v>
      </c>
      <c r="D23751" s="6">
        <v>10.26</v>
      </c>
    </row>
    <row r="23752" spans="1:4" x14ac:dyDescent="0.25">
      <c r="A23752" t="str">
        <f>HYPERLINK("https://www.773grp.com/globalSearch/OPA4131NA/page-1", "OPA4131NA")</f>
        <v>OPA4131NA</v>
      </c>
      <c r="B23752" s="3" t="s">
        <v>90</v>
      </c>
      <c r="C23752" s="5">
        <v>17000</v>
      </c>
      <c r="D23752" s="6">
        <v>10.26</v>
      </c>
    </row>
    <row r="23753" spans="1:4" x14ac:dyDescent="0.25">
      <c r="A23753" t="str">
        <f>HYPERLINK("https://www.773grp.com/globalSearch/OPA4131UA-1K/page-1", "OPA4131UA-1K")</f>
        <v>OPA4131UA-1K</v>
      </c>
      <c r="B23753" s="3" t="s">
        <v>90</v>
      </c>
      <c r="C23753" s="5">
        <v>909</v>
      </c>
      <c r="D23753" s="6">
        <v>10.26</v>
      </c>
    </row>
    <row r="23754" spans="1:4" x14ac:dyDescent="0.25">
      <c r="A23754" t="str">
        <f>HYPERLINK("https://www.773grp.com/globalSearch/REF102BP/page-1", "REF102BP")</f>
        <v>REF102BP</v>
      </c>
      <c r="B23754" s="3" t="s">
        <v>90</v>
      </c>
      <c r="C23754" s="5">
        <v>37</v>
      </c>
      <c r="D23754" s="6">
        <v>10.26</v>
      </c>
    </row>
    <row r="23755" spans="1:4" x14ac:dyDescent="0.25">
      <c r="A23755" t="str">
        <f>HYPERLINK("https://www.773grp.com/globalSearch/TLC1514IDG4/page-1", "TLC1514IDG4")</f>
        <v>TLC1514IDG4</v>
      </c>
      <c r="B23755" s="3" t="s">
        <v>90</v>
      </c>
      <c r="C23755" s="5">
        <v>40</v>
      </c>
      <c r="D23755" s="6">
        <v>10.26</v>
      </c>
    </row>
    <row r="23756" spans="1:4" x14ac:dyDescent="0.25">
      <c r="A23756" t="str">
        <f>HYPERLINK("https://www.773grp.com/globalSearch/UCC3912DP-81218/page-1", "UCC3912DP-81218")</f>
        <v>UCC3912DP-81218</v>
      </c>
      <c r="B23756" s="3" t="s">
        <v>90</v>
      </c>
      <c r="C23756" s="5">
        <v>250</v>
      </c>
      <c r="D23756" s="6">
        <v>10.26</v>
      </c>
    </row>
    <row r="23757" spans="1:4" x14ac:dyDescent="0.25">
      <c r="A23757" t="str">
        <f>HYPERLINK("https://www.773grp.com/globalSearch/SN74ALS518NS/page-1", "SN74ALS518NS")</f>
        <v>SN74ALS518NS</v>
      </c>
      <c r="B23757" s="3" t="s">
        <v>90</v>
      </c>
      <c r="C23757" s="5">
        <v>4520</v>
      </c>
      <c r="D23757" s="6">
        <v>10.3</v>
      </c>
    </row>
    <row r="23758" spans="1:4" x14ac:dyDescent="0.25">
      <c r="A23758" t="str">
        <f>HYPERLINK("https://www.773grp.com/globalSearch/SN74ALS563BNS/page-1", "SN74ALS563BNS")</f>
        <v>SN74ALS563BNS</v>
      </c>
      <c r="B23758" s="3" t="s">
        <v>90</v>
      </c>
      <c r="C23758" s="5">
        <v>1400</v>
      </c>
      <c r="D23758" s="6">
        <v>10.33</v>
      </c>
    </row>
    <row r="23759" spans="1:4" x14ac:dyDescent="0.25">
      <c r="A23759" t="str">
        <f>HYPERLINK("https://www.773grp.com/globalSearch/CDCLVP1204RGTT/page-1", "CDCLVP1204RGTT")</f>
        <v>CDCLVP1204RGTT</v>
      </c>
      <c r="B23759" s="3" t="s">
        <v>90</v>
      </c>
      <c r="C23759" s="5">
        <v>2513</v>
      </c>
      <c r="D23759" s="6">
        <v>10.35</v>
      </c>
    </row>
    <row r="23760" spans="1:4" x14ac:dyDescent="0.25">
      <c r="A23760" t="str">
        <f>HYPERLINK("https://www.773grp.com/globalSearch/DS90CF364AMTDX/page-1", "DS90CF364AMTDX")</f>
        <v>DS90CF364AMTDX</v>
      </c>
      <c r="B23760" s="3" t="s">
        <v>90</v>
      </c>
      <c r="C23760" s="5">
        <v>1000</v>
      </c>
      <c r="D23760" s="6">
        <v>10.35</v>
      </c>
    </row>
    <row r="23761" spans="1:4" x14ac:dyDescent="0.25">
      <c r="A23761" t="str">
        <f>HYPERLINK("https://www.773grp.com/globalSearch/THS4130CDGK/page-1", "THS4130CDGK")</f>
        <v>THS4130CDGK</v>
      </c>
      <c r="B23761" s="3" t="s">
        <v>90</v>
      </c>
      <c r="C23761" s="5">
        <v>6720</v>
      </c>
      <c r="D23761" s="6">
        <v>10.35</v>
      </c>
    </row>
    <row r="23762" spans="1:4" x14ac:dyDescent="0.25">
      <c r="A23762" t="str">
        <f>HYPERLINK("https://www.773grp.com/globalSearch/UCC2895DW/page-1", "UCC2895DW")</f>
        <v>UCC2895DW</v>
      </c>
      <c r="B23762" s="3" t="s">
        <v>90</v>
      </c>
      <c r="C23762" s="5">
        <v>2825</v>
      </c>
      <c r="D23762" s="6">
        <v>10.38</v>
      </c>
    </row>
    <row r="23763" spans="1:4" x14ac:dyDescent="0.25">
      <c r="A23763" t="str">
        <f>HYPERLINK("https://www.773grp.com/globalSearch/ADS7952SBRHBR/page-1", "ADS7952SBRHBR")</f>
        <v>ADS7952SBRHBR</v>
      </c>
      <c r="B23763" s="3" t="s">
        <v>90</v>
      </c>
      <c r="C23763" s="5">
        <v>6000</v>
      </c>
      <c r="D23763" s="6">
        <v>10.41</v>
      </c>
    </row>
    <row r="23764" spans="1:4" x14ac:dyDescent="0.25">
      <c r="A23764" t="str">
        <f>HYPERLINK("https://www.773grp.com/globalSearch/INA128UAG4/page-1", "INA128UAG4")</f>
        <v>INA128UAG4</v>
      </c>
      <c r="B23764" s="3" t="s">
        <v>90</v>
      </c>
      <c r="C23764" s="5">
        <v>50</v>
      </c>
      <c r="D23764" s="6">
        <v>10.41</v>
      </c>
    </row>
    <row r="23765" spans="1:4" x14ac:dyDescent="0.25">
      <c r="A23765" t="str">
        <f>HYPERLINK("https://www.773grp.com/globalSearch/MSP430F4270IRGZT/page-1", "MSP430F4270IRGZT")</f>
        <v>MSP430F4270IRGZT</v>
      </c>
      <c r="B23765" s="3" t="s">
        <v>90</v>
      </c>
      <c r="C23765" s="5">
        <v>240</v>
      </c>
      <c r="D23765" s="6">
        <v>10.41</v>
      </c>
    </row>
    <row r="23766" spans="1:4" x14ac:dyDescent="0.25">
      <c r="A23766" t="str">
        <f>HYPERLINK("https://www.773grp.com/globalSearch/TPA3100D2IRGZRQ1/page-1", "TPA3100D2IRGZRQ1")</f>
        <v>TPA3100D2IRGZRQ1</v>
      </c>
      <c r="B23766" s="3" t="s">
        <v>90</v>
      </c>
      <c r="C23766" s="5">
        <v>2500</v>
      </c>
      <c r="D23766" s="6">
        <v>10.41</v>
      </c>
    </row>
    <row r="23767" spans="1:4" x14ac:dyDescent="0.25">
      <c r="A23767" t="str">
        <f>HYPERLINK("https://www.773grp.com/globalSearch/UC2707DWG4/page-1", "UC2707DWG4")</f>
        <v>UC2707DWG4</v>
      </c>
      <c r="B23767" s="3" t="s">
        <v>90</v>
      </c>
      <c r="C23767" s="5">
        <v>40</v>
      </c>
      <c r="D23767" s="6">
        <v>10.41</v>
      </c>
    </row>
    <row r="23768" spans="1:4" x14ac:dyDescent="0.25">
      <c r="A23768" t="str">
        <f>HYPERLINK("https://www.773grp.com/globalSearch/UC2827DWTR-1/page-1", "UC2827DWTR-1")</f>
        <v>UC2827DWTR-1</v>
      </c>
      <c r="B23768" s="3" t="s">
        <v>90</v>
      </c>
      <c r="C23768" s="5">
        <v>14000</v>
      </c>
      <c r="D23768" s="6">
        <v>10.41</v>
      </c>
    </row>
    <row r="23769" spans="1:4" x14ac:dyDescent="0.25">
      <c r="A23769" t="str">
        <f>HYPERLINK("https://www.773grp.com/globalSearch/UC3909DW/page-1", "UC3909DW")</f>
        <v>UC3909DW</v>
      </c>
      <c r="B23769" s="3" t="s">
        <v>90</v>
      </c>
      <c r="C23769" s="5">
        <v>2487</v>
      </c>
      <c r="D23769" s="6">
        <v>10.41</v>
      </c>
    </row>
    <row r="23770" spans="1:4" x14ac:dyDescent="0.25">
      <c r="A23770" t="str">
        <f>HYPERLINK("https://www.773grp.com/globalSearch/74AVCBH324245ZKER/page-1", "74AVCBH324245ZKER")</f>
        <v>74AVCBH324245ZKER</v>
      </c>
      <c r="B23770" s="3" t="s">
        <v>90</v>
      </c>
      <c r="C23770" s="5">
        <v>748</v>
      </c>
      <c r="D23770" s="6">
        <v>10.43</v>
      </c>
    </row>
    <row r="23771" spans="1:4" x14ac:dyDescent="0.25">
      <c r="A23771" t="str">
        <f>HYPERLINK("https://www.773grp.com/globalSearch/SN74ALS1645AN/page-1", "SN74ALS1645AN")</f>
        <v>SN74ALS1645AN</v>
      </c>
      <c r="B23771" s="3" t="s">
        <v>90</v>
      </c>
      <c r="C23771" s="5">
        <v>1080</v>
      </c>
      <c r="D23771" s="6">
        <v>10.43</v>
      </c>
    </row>
    <row r="23772" spans="1:4" x14ac:dyDescent="0.25">
      <c r="A23772" t="str">
        <f>HYPERLINK("https://www.773grp.com/globalSearch/SN74LVCH32374AZKER/page-1", "SN74LVCH32374AZKER")</f>
        <v>SN74LVCH32374AZKER</v>
      </c>
      <c r="B23772" s="3" t="s">
        <v>90</v>
      </c>
      <c r="C23772" s="5">
        <v>11000</v>
      </c>
      <c r="D23772" s="6">
        <v>10.43</v>
      </c>
    </row>
    <row r="23773" spans="1:4" x14ac:dyDescent="0.25">
      <c r="A23773" t="str">
        <f>HYPERLINK("https://www.773grp.com/globalSearch/UC3825ANG4/page-1", "UC3825ANG4")</f>
        <v>UC3825ANG4</v>
      </c>
      <c r="B23773" s="3" t="s">
        <v>90</v>
      </c>
      <c r="C23773" s="5">
        <v>99</v>
      </c>
      <c r="D23773" s="6">
        <v>10.43</v>
      </c>
    </row>
    <row r="23774" spans="1:4" x14ac:dyDescent="0.25">
      <c r="A23774" t="str">
        <f>HYPERLINK("https://www.773grp.com/globalSearch/PTSL1410/page-1", "PTSL1410")</f>
        <v>PTSL1410</v>
      </c>
      <c r="B23774" s="3" t="s">
        <v>90</v>
      </c>
      <c r="C23774" s="5">
        <v>5854</v>
      </c>
      <c r="D23774" s="6">
        <v>10.46</v>
      </c>
    </row>
    <row r="23775" spans="1:4" x14ac:dyDescent="0.25">
      <c r="A23775" t="str">
        <f>HYPERLINK("https://www.773grp.com/globalSearch/TPS54612PWPG4/page-1", "TPS54612PWPG4")</f>
        <v>TPS54612PWPG4</v>
      </c>
      <c r="B23775" s="3" t="s">
        <v>90</v>
      </c>
      <c r="C23775" s="5">
        <v>40</v>
      </c>
      <c r="D23775" s="6">
        <v>10.46</v>
      </c>
    </row>
    <row r="23776" spans="1:4" x14ac:dyDescent="0.25">
      <c r="A23776" t="str">
        <f>HYPERLINK("https://www.773grp.com/globalSearch/TPS54613PWPG4/page-1", "TPS54613PWPG4")</f>
        <v>TPS54613PWPG4</v>
      </c>
      <c r="B23776" s="3" t="s">
        <v>90</v>
      </c>
      <c r="C23776" s="5">
        <v>167</v>
      </c>
      <c r="D23776" s="6">
        <v>10.46</v>
      </c>
    </row>
    <row r="23777" spans="1:4" x14ac:dyDescent="0.25">
      <c r="A23777" t="str">
        <f>HYPERLINK("https://www.773grp.com/globalSearch/TPS54614PWP/page-1", "TPS54614PWP")</f>
        <v>TPS54614PWP</v>
      </c>
      <c r="B23777" s="3" t="s">
        <v>90</v>
      </c>
      <c r="C23777" s="5">
        <v>1129</v>
      </c>
      <c r="D23777" s="6">
        <v>10.46</v>
      </c>
    </row>
    <row r="23778" spans="1:4" x14ac:dyDescent="0.25">
      <c r="A23778" t="str">
        <f>HYPERLINK("https://www.773grp.com/globalSearch/TSL213A/page-1", "TSL213A")</f>
        <v>TSL213A</v>
      </c>
      <c r="B23778" s="3" t="s">
        <v>90</v>
      </c>
      <c r="C23778" s="5">
        <v>6366</v>
      </c>
      <c r="D23778" s="6">
        <v>10.46</v>
      </c>
    </row>
    <row r="23779" spans="1:4" x14ac:dyDescent="0.25">
      <c r="A23779" t="str">
        <f>HYPERLINK("https://www.773grp.com/globalSearch/TVP5151IPBS/page-1", "TVP5151IPBS")</f>
        <v>TVP5151IPBS</v>
      </c>
      <c r="B23779" s="3" t="s">
        <v>90</v>
      </c>
      <c r="C23779" s="5">
        <v>602</v>
      </c>
      <c r="D23779" s="6">
        <v>10.46</v>
      </c>
    </row>
    <row r="23780" spans="1:4" x14ac:dyDescent="0.25">
      <c r="A23780" t="str">
        <f>HYPERLINK("https://www.773grp.com/globalSearch/OPA4820IDG4/page-1", "OPA4820IDG4")</f>
        <v>OPA4820IDG4</v>
      </c>
      <c r="B23780" s="3" t="s">
        <v>90</v>
      </c>
      <c r="C23780" s="5">
        <v>50</v>
      </c>
      <c r="D23780" s="6">
        <v>10.5</v>
      </c>
    </row>
    <row r="23781" spans="1:4" x14ac:dyDescent="0.25">
      <c r="A23781" t="str">
        <f>HYPERLINK("https://www.773grp.com/globalSearch/TPS65232A0RHA/page-1", "TPS65232A0RHA")</f>
        <v>TPS65232A0RHA</v>
      </c>
      <c r="B23781" s="3" t="s">
        <v>90</v>
      </c>
      <c r="C23781" s="5">
        <v>805</v>
      </c>
      <c r="D23781" s="6">
        <v>10.5</v>
      </c>
    </row>
    <row r="23782" spans="1:4" x14ac:dyDescent="0.25">
      <c r="A23782" t="str">
        <f>HYPERLINK("https://www.773grp.com/globalSearch/SN755701FT/page-1", "SN755701FT")</f>
        <v>SN755701FT</v>
      </c>
      <c r="B23782" s="3" t="s">
        <v>90</v>
      </c>
      <c r="C23782" s="5">
        <v>111</v>
      </c>
      <c r="D23782" s="6">
        <v>10.51</v>
      </c>
    </row>
    <row r="23783" spans="1:4" x14ac:dyDescent="0.25">
      <c r="A23783" t="str">
        <f>HYPERLINK("https://www.773grp.com/globalSearch/SN755703FT/page-1", "SN755703FT")</f>
        <v>SN755703FT</v>
      </c>
      <c r="B23783" s="3" t="s">
        <v>90</v>
      </c>
      <c r="C23783" s="5">
        <v>546</v>
      </c>
      <c r="D23783" s="6">
        <v>10.51</v>
      </c>
    </row>
    <row r="23784" spans="1:4" x14ac:dyDescent="0.25">
      <c r="A23784" t="str">
        <f>HYPERLINK("https://www.773grp.com/globalSearch/TL082MJGB/page-1", "TL082MJGB")</f>
        <v>TL082MJGB</v>
      </c>
      <c r="B23784" s="3" t="s">
        <v>90</v>
      </c>
      <c r="C23784" s="5">
        <v>1690</v>
      </c>
      <c r="D23784" s="6">
        <v>10.51</v>
      </c>
    </row>
    <row r="23785" spans="1:4" x14ac:dyDescent="0.25">
      <c r="A23785" t="str">
        <f>HYPERLINK("https://www.773grp.com/globalSearch/TPS92551TZ-NOPB/page-1", "TPS92551TZ-NOPB")</f>
        <v>TPS92551TZ-NOPB</v>
      </c>
      <c r="B23785" s="3" t="s">
        <v>90</v>
      </c>
      <c r="C23785" s="5">
        <v>250</v>
      </c>
      <c r="D23785" s="6">
        <v>10.51</v>
      </c>
    </row>
    <row r="23786" spans="1:4" x14ac:dyDescent="0.25">
      <c r="A23786" t="str">
        <f>HYPERLINK("https://www.773grp.com/globalSearch/ADS7835EB-250/page-1", "ADS7835EB-250")</f>
        <v>ADS7835EB-250</v>
      </c>
      <c r="B23786" s="3" t="s">
        <v>90</v>
      </c>
      <c r="C23786" s="5">
        <v>5250</v>
      </c>
      <c r="D23786" s="6">
        <v>10.55</v>
      </c>
    </row>
    <row r="23787" spans="1:4" x14ac:dyDescent="0.25">
      <c r="A23787" t="str">
        <f>HYPERLINK("https://www.773grp.com/globalSearch/ADS8028IRTJT/page-1", "ADS8028IRTJT")</f>
        <v>ADS8028IRTJT</v>
      </c>
      <c r="B23787" s="3" t="s">
        <v>90</v>
      </c>
      <c r="C23787" s="5">
        <v>3</v>
      </c>
      <c r="D23787" s="6">
        <v>10.55</v>
      </c>
    </row>
    <row r="23788" spans="1:4" x14ac:dyDescent="0.25">
      <c r="A23788" t="str">
        <f>HYPERLINK("https://www.773grp.com/globalSearch/ADS8638SRGET/page-1", "ADS8638SRGET")</f>
        <v>ADS8638SRGET</v>
      </c>
      <c r="B23788" s="3" t="s">
        <v>90</v>
      </c>
      <c r="C23788" s="5">
        <v>367</v>
      </c>
      <c r="D23788" s="6">
        <v>10.55</v>
      </c>
    </row>
    <row r="23789" spans="1:4" x14ac:dyDescent="0.25">
      <c r="A23789" t="str">
        <f>HYPERLINK("https://www.773grp.com/globalSearch/BQ2016DBQ/page-1", "BQ2016DBQ")</f>
        <v>BQ2016DBQ</v>
      </c>
      <c r="B23789" s="3" t="s">
        <v>90</v>
      </c>
      <c r="C23789" s="5">
        <v>24040</v>
      </c>
      <c r="D23789" s="6">
        <v>10.55</v>
      </c>
    </row>
    <row r="23790" spans="1:4" x14ac:dyDescent="0.25">
      <c r="A23790" t="str">
        <f>HYPERLINK("https://www.773grp.com/globalSearch/BQ4802YPW/page-1", "BQ4802YPW")</f>
        <v>BQ4802YPW</v>
      </c>
      <c r="B23790" s="3" t="s">
        <v>90</v>
      </c>
      <c r="C23790" s="5">
        <v>5300</v>
      </c>
      <c r="D23790" s="6">
        <v>10.55</v>
      </c>
    </row>
    <row r="23791" spans="1:4" x14ac:dyDescent="0.25">
      <c r="A23791" t="str">
        <f>HYPERLINK("https://www.773grp.com/globalSearch/SN54HC114J/page-1", "SN54HC114J")</f>
        <v>SN54HC114J</v>
      </c>
      <c r="B23791" s="3" t="s">
        <v>90</v>
      </c>
      <c r="C23791" s="5">
        <v>250</v>
      </c>
      <c r="D23791" s="6">
        <v>10.55</v>
      </c>
    </row>
    <row r="23792" spans="1:4" x14ac:dyDescent="0.25">
      <c r="A23792" t="str">
        <f>HYPERLINK("https://www.773grp.com/globalSearch/TCM9090N/page-1", "TCM9090N")</f>
        <v>TCM9090N</v>
      </c>
      <c r="B23792" s="3" t="s">
        <v>90</v>
      </c>
      <c r="C23792" s="5">
        <v>199</v>
      </c>
      <c r="D23792" s="6">
        <v>10.55</v>
      </c>
    </row>
    <row r="23793" spans="1:4" x14ac:dyDescent="0.25">
      <c r="A23793" t="str">
        <f>HYPERLINK("https://www.773grp.com/globalSearch/TL7700PS-MAND/page-1", "TL7700PS-MAND")</f>
        <v>TL7700PS-MAND</v>
      </c>
      <c r="B23793" s="3" t="s">
        <v>90</v>
      </c>
      <c r="C23793" s="5">
        <v>69653</v>
      </c>
      <c r="D23793" s="6">
        <v>10.55</v>
      </c>
    </row>
    <row r="23794" spans="1:4" x14ac:dyDescent="0.25">
      <c r="A23794" t="str">
        <f>HYPERLINK("https://www.773grp.com/globalSearch/TNETE2201BPJWR/page-1", "TNETE2201BPJWR")</f>
        <v>TNETE2201BPJWR</v>
      </c>
      <c r="B23794" s="3" t="s">
        <v>90</v>
      </c>
      <c r="C23794" s="5">
        <v>1000</v>
      </c>
      <c r="D23794" s="6">
        <v>10.55</v>
      </c>
    </row>
    <row r="23795" spans="1:4" x14ac:dyDescent="0.25">
      <c r="A23795" t="str">
        <f>HYPERLINK("https://www.773grp.com/globalSearch/TPS43340QPHPRQ1/page-1", "TPS43340QPHPRQ1")</f>
        <v>TPS43340QPHPRQ1</v>
      </c>
      <c r="B23795" s="3" t="s">
        <v>90</v>
      </c>
      <c r="C23795" s="5">
        <v>1000</v>
      </c>
      <c r="D23795" s="6">
        <v>10.55</v>
      </c>
    </row>
    <row r="23796" spans="1:4" x14ac:dyDescent="0.25">
      <c r="A23796" t="str">
        <f>HYPERLINK("https://www.773grp.com/globalSearch/TPS6591106A2ZRCR/page-1", "TPS6591106A2ZRCR")</f>
        <v>TPS6591106A2ZRCR</v>
      </c>
      <c r="B23796" s="3" t="s">
        <v>90</v>
      </c>
      <c r="C23796" s="5">
        <v>40000</v>
      </c>
      <c r="D23796" s="6">
        <v>10.55</v>
      </c>
    </row>
    <row r="23797" spans="1:4" x14ac:dyDescent="0.25">
      <c r="A23797" t="str">
        <f>HYPERLINK("https://www.773grp.com/globalSearch/TPS659110A2ZRCR/page-1", "TPS659110A2ZRCR")</f>
        <v>TPS659110A2ZRCR</v>
      </c>
      <c r="B23797" s="3" t="s">
        <v>90</v>
      </c>
      <c r="C23797" s="5">
        <v>135000</v>
      </c>
      <c r="D23797" s="6">
        <v>10.55</v>
      </c>
    </row>
    <row r="23798" spans="1:4" x14ac:dyDescent="0.25">
      <c r="A23798" t="str">
        <f>HYPERLINK("https://www.773grp.com/globalSearch/TSC2111IRGZ/page-1", "TSC2111IRGZ")</f>
        <v>TSC2111IRGZ</v>
      </c>
      <c r="B23798" s="3" t="s">
        <v>90</v>
      </c>
      <c r="C23798" s="5">
        <v>1040</v>
      </c>
      <c r="D23798" s="6">
        <v>10.55</v>
      </c>
    </row>
    <row r="23799" spans="1:4" x14ac:dyDescent="0.25">
      <c r="A23799" t="str">
        <f>HYPERLINK("https://www.773grp.com/globalSearch/UCD3040RGCR/page-1", "UCD3040RGCR")</f>
        <v>UCD3040RGCR</v>
      </c>
      <c r="B23799" s="3" t="s">
        <v>90</v>
      </c>
      <c r="C23799" s="5">
        <v>12000</v>
      </c>
      <c r="D23799" s="6">
        <v>10.55</v>
      </c>
    </row>
    <row r="23800" spans="1:4" x14ac:dyDescent="0.25">
      <c r="A23800" t="str">
        <f>HYPERLINK("https://www.773grp.com/globalSearch/TMS320F28032PAGT/page-1", "TMS320F28032PAGT")</f>
        <v>TMS320F28032PAGT</v>
      </c>
      <c r="B23800" s="3" t="s">
        <v>90</v>
      </c>
      <c r="C23800" s="5">
        <v>110</v>
      </c>
      <c r="D23800" s="6">
        <v>10.58</v>
      </c>
    </row>
    <row r="23801" spans="1:4" x14ac:dyDescent="0.25">
      <c r="A23801" t="str">
        <f>HYPERLINK("https://www.773grp.com/globalSearch/CD54HC157F/page-1", "CD54HC157F")</f>
        <v>CD54HC157F</v>
      </c>
      <c r="B23801" s="3" t="s">
        <v>90</v>
      </c>
      <c r="C23801" s="5">
        <v>122</v>
      </c>
      <c r="D23801" s="6">
        <v>10.6</v>
      </c>
    </row>
    <row r="23802" spans="1:4" x14ac:dyDescent="0.25">
      <c r="A23802" t="str">
        <f>HYPERLINK("https://www.773grp.com/globalSearch/LM3S2016-IQC50-A2/page-1", "LM3S2016-IQC50-A2")</f>
        <v>LM3S2016-IQC50-A2</v>
      </c>
      <c r="B23802" s="3" t="s">
        <v>90</v>
      </c>
      <c r="C23802" s="5">
        <v>66</v>
      </c>
      <c r="D23802" s="6">
        <v>10.64</v>
      </c>
    </row>
    <row r="23803" spans="1:4" x14ac:dyDescent="0.25">
      <c r="A23803" t="str">
        <f>HYPERLINK("https://www.773grp.com/globalSearch/TLC320AC03CFNR/page-1", "TLC320AC03CFNR")</f>
        <v>TLC320AC03CFNR</v>
      </c>
      <c r="B23803" s="3" t="s">
        <v>90</v>
      </c>
      <c r="C23803" s="5">
        <v>7948</v>
      </c>
      <c r="D23803" s="6">
        <v>10.64</v>
      </c>
    </row>
    <row r="23804" spans="1:4" x14ac:dyDescent="0.25">
      <c r="A23804" t="str">
        <f>HYPERLINK("https://www.773grp.com/globalSearch/TM4C1237D5PZI/page-1", "TM4C1237D5PZI")</f>
        <v>TM4C1237D5PZI</v>
      </c>
      <c r="B23804" s="3" t="s">
        <v>90</v>
      </c>
      <c r="C23804" s="5">
        <v>90</v>
      </c>
      <c r="D23804" s="6">
        <v>10.64</v>
      </c>
    </row>
    <row r="23805" spans="1:4" x14ac:dyDescent="0.25">
      <c r="A23805" t="str">
        <f>HYPERLINK("https://www.773grp.com/globalSearch/TVP5147M1PFPR/page-1", "TVP5147M1PFPR")</f>
        <v>TVP5147M1PFPR</v>
      </c>
      <c r="B23805" s="3" t="s">
        <v>90</v>
      </c>
      <c r="C23805" s="5">
        <v>1418</v>
      </c>
      <c r="D23805" s="6">
        <v>10.64</v>
      </c>
    </row>
    <row r="23806" spans="1:4" x14ac:dyDescent="0.25">
      <c r="A23806" t="str">
        <f>HYPERLINK("https://www.773grp.com/globalSearch/SN74ALS805ADWR/page-1", "SN74ALS805ADWR")</f>
        <v>SN74ALS805ADWR</v>
      </c>
      <c r="B23806" s="3" t="s">
        <v>90</v>
      </c>
      <c r="C23806" s="5">
        <v>2000</v>
      </c>
      <c r="D23806" s="6">
        <v>10.66</v>
      </c>
    </row>
    <row r="23807" spans="1:4" x14ac:dyDescent="0.25">
      <c r="A23807" t="str">
        <f>HYPERLINK("https://www.773grp.com/globalSearch/CD40161BF3A/page-1", "CD40161BF3A")</f>
        <v>CD40161BF3A</v>
      </c>
      <c r="B23807" s="3" t="s">
        <v>90</v>
      </c>
      <c r="C23807" s="5">
        <v>54</v>
      </c>
      <c r="D23807" s="6">
        <v>10.69</v>
      </c>
    </row>
    <row r="23808" spans="1:4" x14ac:dyDescent="0.25">
      <c r="A23808" t="str">
        <f>HYPERLINK("https://www.773grp.com/globalSearch/MSP430F2491TPMR/page-1", "MSP430F2491TPMR")</f>
        <v>MSP430F2491TPMR</v>
      </c>
      <c r="B23808" s="3" t="s">
        <v>90</v>
      </c>
      <c r="C23808" s="5">
        <v>3000</v>
      </c>
      <c r="D23808" s="6">
        <v>10.69</v>
      </c>
    </row>
    <row r="23809" spans="1:4" x14ac:dyDescent="0.25">
      <c r="A23809" t="str">
        <f>HYPERLINK("https://www.773grp.com/globalSearch/MSP430F2491TRGCR/page-1", "MSP430F2491TRGCR")</f>
        <v>MSP430F2491TRGCR</v>
      </c>
      <c r="B23809" s="3" t="s">
        <v>90</v>
      </c>
      <c r="C23809" s="5">
        <v>2500</v>
      </c>
      <c r="D23809" s="6">
        <v>10.69</v>
      </c>
    </row>
    <row r="23810" spans="1:4" x14ac:dyDescent="0.25">
      <c r="A23810" t="str">
        <f>HYPERLINK("https://www.773grp.com/globalSearch/MSP430F436IPZR/page-1", "MSP430F436IPZR")</f>
        <v>MSP430F436IPZR</v>
      </c>
      <c r="B23810" s="3" t="s">
        <v>90</v>
      </c>
      <c r="C23810" s="5">
        <v>410</v>
      </c>
      <c r="D23810" s="6">
        <v>10.69</v>
      </c>
    </row>
    <row r="23811" spans="1:4" x14ac:dyDescent="0.25">
      <c r="A23811" t="str">
        <f>HYPERLINK("https://www.773grp.com/globalSearch/SN74ALS652A-1D/page-1", "SN74ALS652A-1D")</f>
        <v>SN74ALS652A-1D</v>
      </c>
      <c r="B23811" s="3" t="s">
        <v>90</v>
      </c>
      <c r="C23811" s="5">
        <v>1375</v>
      </c>
      <c r="D23811" s="6">
        <v>10.69</v>
      </c>
    </row>
    <row r="23812" spans="1:4" x14ac:dyDescent="0.25">
      <c r="A23812" t="str">
        <f>HYPERLINK("https://www.773grp.com/globalSearch/SN74AS8741DWR/page-1", "SN74AS8741DWR")</f>
        <v>SN74AS8741DWR</v>
      </c>
      <c r="B23812" s="3" t="s">
        <v>90</v>
      </c>
      <c r="C23812" s="5">
        <v>1000</v>
      </c>
      <c r="D23812" s="6">
        <v>10.69</v>
      </c>
    </row>
    <row r="23813" spans="1:4" x14ac:dyDescent="0.25">
      <c r="A23813" t="str">
        <f>HYPERLINK("https://www.773grp.com/globalSearch/DS92LV040ATLQA-NOPB/page-1", "DS92LV040ATLQA-NOPB")</f>
        <v>DS92LV040ATLQA-NOPB</v>
      </c>
      <c r="B23813" s="3" t="s">
        <v>90</v>
      </c>
      <c r="C23813" s="5">
        <v>250</v>
      </c>
      <c r="D23813" s="6">
        <v>10.75</v>
      </c>
    </row>
    <row r="23814" spans="1:4" x14ac:dyDescent="0.25">
      <c r="A23814" t="str">
        <f>HYPERLINK("https://www.773grp.com/globalSearch/THS4131CDGN/page-1", "THS4131CDGN")</f>
        <v>THS4131CDGN</v>
      </c>
      <c r="B23814" s="3" t="s">
        <v>90</v>
      </c>
      <c r="C23814" s="5">
        <v>1360</v>
      </c>
      <c r="D23814" s="6">
        <v>10.76</v>
      </c>
    </row>
    <row r="23815" spans="1:4" x14ac:dyDescent="0.25">
      <c r="A23815" t="str">
        <f>HYPERLINK("https://www.773grp.com/globalSearch/TPS65921B1ZQZ/page-1", "TPS65921B1ZQZ")</f>
        <v>TPS65921B1ZQZ</v>
      </c>
      <c r="B23815" s="3" t="s">
        <v>90</v>
      </c>
      <c r="C23815" s="5">
        <v>202</v>
      </c>
      <c r="D23815" s="6">
        <v>10.8</v>
      </c>
    </row>
    <row r="23816" spans="1:4" x14ac:dyDescent="0.25">
      <c r="A23816" t="str">
        <f>HYPERLINK("https://www.773grp.com/globalSearch/AMC1203DW/page-1", "AMC1203DW")</f>
        <v>AMC1203DW</v>
      </c>
      <c r="B23816" s="3" t="s">
        <v>90</v>
      </c>
      <c r="C23816" s="5">
        <v>105</v>
      </c>
      <c r="D23816" s="6">
        <v>10.84</v>
      </c>
    </row>
    <row r="23817" spans="1:4" x14ac:dyDescent="0.25">
      <c r="A23817" t="str">
        <f>HYPERLINK("https://www.773grp.com/globalSearch/LMK00304SQE-NOPB/page-1", "LMK00304SQE-NOPB")</f>
        <v>LMK00304SQE-NOPB</v>
      </c>
      <c r="B23817" s="3" t="s">
        <v>90</v>
      </c>
      <c r="C23817" s="5">
        <v>1500</v>
      </c>
      <c r="D23817" s="6">
        <v>10.84</v>
      </c>
    </row>
    <row r="23818" spans="1:4" x14ac:dyDescent="0.25">
      <c r="A23818" t="str">
        <f>HYPERLINK("https://www.773grp.com/globalSearch/MSP430FG437IPNR/page-1", "MSP430FG437IPNR")</f>
        <v>MSP430FG437IPNR</v>
      </c>
      <c r="B23818" s="3" t="s">
        <v>90</v>
      </c>
      <c r="C23818" s="5">
        <v>1000</v>
      </c>
      <c r="D23818" s="6">
        <v>10.84</v>
      </c>
    </row>
    <row r="23819" spans="1:4" x14ac:dyDescent="0.25">
      <c r="A23819" t="str">
        <f>HYPERLINK("https://www.773grp.com/globalSearch/TAS5121DKDE4/page-1", "TAS5121DKDE4")</f>
        <v>TAS5121DKDE4</v>
      </c>
      <c r="B23819" s="3" t="s">
        <v>90</v>
      </c>
      <c r="C23819" s="5">
        <v>86</v>
      </c>
      <c r="D23819" s="6">
        <v>10.84</v>
      </c>
    </row>
    <row r="23820" spans="1:4" x14ac:dyDescent="0.25">
      <c r="A23820" t="str">
        <f>HYPERLINK("https://www.773grp.com/globalSearch/THS7327PHP/page-1", "THS7327PHP")</f>
        <v>THS7327PHP</v>
      </c>
      <c r="B23820" s="3" t="s">
        <v>90</v>
      </c>
      <c r="C23820" s="5">
        <v>131</v>
      </c>
      <c r="D23820" s="6">
        <v>10.84</v>
      </c>
    </row>
    <row r="23821" spans="1:4" x14ac:dyDescent="0.25">
      <c r="A23821" t="str">
        <f>HYPERLINK("https://www.773grp.com/globalSearch/MSP430U223IDL/page-1", "MSP430U223IDL")</f>
        <v>MSP430U223IDL</v>
      </c>
      <c r="B23821" s="3" t="s">
        <v>90</v>
      </c>
      <c r="C23821" s="5">
        <v>5000</v>
      </c>
      <c r="D23821" s="6">
        <v>10.85</v>
      </c>
    </row>
    <row r="23822" spans="1:4" x14ac:dyDescent="0.25">
      <c r="A23822" t="str">
        <f>HYPERLINK("https://www.773grp.com/globalSearch/SN74ALB16244DGVR/page-1", "SN74ALB16244DGVR")</f>
        <v>SN74ALB16244DGVR</v>
      </c>
      <c r="B23822" s="3" t="s">
        <v>90</v>
      </c>
      <c r="C23822" s="5">
        <v>2000</v>
      </c>
      <c r="D23822" s="6">
        <v>10.85</v>
      </c>
    </row>
    <row r="23823" spans="1:4" x14ac:dyDescent="0.25">
      <c r="A23823" t="str">
        <f>HYPERLINK("https://www.773grp.com/globalSearch/SN74GTLPH32945ZKER/page-1", "SN74GTLPH32945ZKER")</f>
        <v>SN74GTLPH32945ZKER</v>
      </c>
      <c r="B23823" s="3" t="s">
        <v>90</v>
      </c>
      <c r="C23823" s="5">
        <v>3000</v>
      </c>
      <c r="D23823" s="6">
        <v>10.85</v>
      </c>
    </row>
    <row r="23824" spans="1:4" x14ac:dyDescent="0.25">
      <c r="A23824" t="str">
        <f>HYPERLINK("https://www.773grp.com/globalSearch/TBPAL20R4-7CNT/page-1", "TBPAL20R4-7CNT")</f>
        <v>TBPAL20R4-7CNT</v>
      </c>
      <c r="B23824" s="3" t="s">
        <v>90</v>
      </c>
      <c r="C23824" s="5">
        <v>4350</v>
      </c>
      <c r="D23824" s="6">
        <v>10.85</v>
      </c>
    </row>
    <row r="23825" spans="1:4" x14ac:dyDescent="0.25">
      <c r="A23825" t="str">
        <f>HYPERLINK("https://www.773grp.com/globalSearch/OPA2658E/page-1", "OPA2658E")</f>
        <v>OPA2658E</v>
      </c>
      <c r="B23825" s="3" t="s">
        <v>90</v>
      </c>
      <c r="C23825" s="5">
        <v>3695</v>
      </c>
      <c r="D23825" s="6">
        <v>10.91</v>
      </c>
    </row>
    <row r="23826" spans="1:4" x14ac:dyDescent="0.25">
      <c r="A23826" t="str">
        <f>HYPERLINK("https://www.773grp.com/globalSearch/THS4130CDGN/page-1", "THS4130CDGN")</f>
        <v>THS4130CDGN</v>
      </c>
      <c r="B23826" s="3" t="s">
        <v>90</v>
      </c>
      <c r="C23826" s="5">
        <v>16</v>
      </c>
      <c r="D23826" s="6">
        <v>10.91</v>
      </c>
    </row>
    <row r="23827" spans="1:4" x14ac:dyDescent="0.25">
      <c r="A23827" t="str">
        <f>HYPERLINK("https://www.773grp.com/globalSearch/TPS5633PWPR/page-1", "TPS5633PWPR")</f>
        <v>TPS5633PWPR</v>
      </c>
      <c r="B23827" s="3" t="s">
        <v>90</v>
      </c>
      <c r="C23827" s="5">
        <v>4000</v>
      </c>
      <c r="D23827" s="6">
        <v>10.91</v>
      </c>
    </row>
    <row r="23828" spans="1:4" x14ac:dyDescent="0.25">
      <c r="A23828" t="str">
        <f>HYPERLINK("https://www.773grp.com/globalSearch/RI-TRP-RFOB-01/page-1", "RI-TRP-RFOB-01")</f>
        <v>RI-TRP-RFOB-01</v>
      </c>
      <c r="B23828" s="3" t="s">
        <v>90</v>
      </c>
      <c r="C23828" s="5">
        <v>471</v>
      </c>
      <c r="D23828" s="6">
        <v>10.94</v>
      </c>
    </row>
    <row r="23829" spans="1:4" x14ac:dyDescent="0.25">
      <c r="A23829" t="str">
        <f>HYPERLINK("https://www.773grp.com/globalSearch/SN74AUC32244GKER/page-1", "SN74AUC32244GKER")</f>
        <v>SN74AUC32244GKER</v>
      </c>
      <c r="B23829" s="3" t="s">
        <v>90</v>
      </c>
      <c r="C23829" s="5">
        <v>3000</v>
      </c>
      <c r="D23829" s="6">
        <v>10.94</v>
      </c>
    </row>
    <row r="23830" spans="1:4" x14ac:dyDescent="0.25">
      <c r="A23830" t="str">
        <f>HYPERLINK("https://www.773grp.com/globalSearch/TM4C1232C3PMI/page-1", "TM4C1232C3PMI")</f>
        <v>TM4C1232C3PMI</v>
      </c>
      <c r="B23830" s="3" t="s">
        <v>90</v>
      </c>
      <c r="C23830" s="5">
        <v>160</v>
      </c>
      <c r="D23830" s="6">
        <v>10.94</v>
      </c>
    </row>
    <row r="23831" spans="1:4" x14ac:dyDescent="0.25">
      <c r="A23831" t="str">
        <f>HYPERLINK("https://www.773grp.com/globalSearch/UCC28950QPWRQ1/page-1", "UCC28950QPWRQ1")</f>
        <v>UCC28950QPWRQ1</v>
      </c>
      <c r="B23831" s="3" t="s">
        <v>90</v>
      </c>
      <c r="C23831" s="5">
        <v>4000</v>
      </c>
      <c r="D23831" s="6">
        <v>10.94</v>
      </c>
    </row>
    <row r="23832" spans="1:4" x14ac:dyDescent="0.25">
      <c r="A23832" t="str">
        <f>HYPERLINK("https://www.773grp.com/globalSearch/BQ24105IRHLRQ1/page-1", "BQ24105IRHLRQ1")</f>
        <v>BQ24105IRHLRQ1</v>
      </c>
      <c r="B23832" s="3" t="s">
        <v>90</v>
      </c>
      <c r="C23832" s="5">
        <v>17757</v>
      </c>
      <c r="D23832" s="6">
        <v>10.98</v>
      </c>
    </row>
    <row r="23833" spans="1:4" x14ac:dyDescent="0.25">
      <c r="A23833" t="str">
        <f>HYPERLINK("https://www.773grp.com/globalSearch/BQ3050DBTR/page-1", "BQ3050DBTR")</f>
        <v>BQ3050DBTR</v>
      </c>
      <c r="B23833" s="3" t="s">
        <v>90</v>
      </c>
      <c r="C23833" s="5">
        <v>9</v>
      </c>
      <c r="D23833" s="6">
        <v>10.98</v>
      </c>
    </row>
    <row r="23834" spans="1:4" x14ac:dyDescent="0.25">
      <c r="A23834" t="str">
        <f>HYPERLINK("https://www.773grp.com/globalSearch/BQ78412DDWR/page-1", "BQ78412DDWR")</f>
        <v>BQ78412DDWR</v>
      </c>
      <c r="B23834" s="3" t="s">
        <v>90</v>
      </c>
      <c r="C23834" s="5">
        <v>13800</v>
      </c>
      <c r="D23834" s="6">
        <v>10.98</v>
      </c>
    </row>
    <row r="23835" spans="1:4" x14ac:dyDescent="0.25">
      <c r="A23835" t="str">
        <f>HYPERLINK("https://www.773grp.com/globalSearch/LM158H/page-1", "LM158H")</f>
        <v>LM158H</v>
      </c>
      <c r="B23835" s="3" t="s">
        <v>90</v>
      </c>
      <c r="C23835" s="5">
        <v>483</v>
      </c>
      <c r="D23835" s="6">
        <v>10.98</v>
      </c>
    </row>
    <row r="23836" spans="1:4" x14ac:dyDescent="0.25">
      <c r="A23836" t="str">
        <f>HYPERLINK("https://www.773grp.com/globalSearch/MSP430F437IPZR/page-1", "MSP430F437IPZR")</f>
        <v>MSP430F437IPZR</v>
      </c>
      <c r="B23836" s="3" t="s">
        <v>90</v>
      </c>
      <c r="C23836" s="5">
        <v>2000</v>
      </c>
      <c r="D23836" s="6">
        <v>10.98</v>
      </c>
    </row>
    <row r="23837" spans="1:4" x14ac:dyDescent="0.25">
      <c r="A23837" t="str">
        <f>HYPERLINK("https://www.773grp.com/globalSearch/SN74ALS638ANS/page-1", "SN74ALS638ANS")</f>
        <v>SN74ALS638ANS</v>
      </c>
      <c r="B23837" s="3" t="s">
        <v>90</v>
      </c>
      <c r="C23837" s="5">
        <v>2440</v>
      </c>
      <c r="D23837" s="6">
        <v>10.98</v>
      </c>
    </row>
    <row r="23838" spans="1:4" x14ac:dyDescent="0.25">
      <c r="A23838" t="str">
        <f>HYPERLINK("https://www.773grp.com/globalSearch/SN74SSQEB32882ZALR/page-1", "SN74SSQEB32882ZALR")</f>
        <v>SN74SSQEB32882ZALR</v>
      </c>
      <c r="B23838" s="3" t="s">
        <v>90</v>
      </c>
      <c r="C23838" s="5">
        <v>2000</v>
      </c>
      <c r="D23838" s="6">
        <v>10.98</v>
      </c>
    </row>
    <row r="23839" spans="1:4" x14ac:dyDescent="0.25">
      <c r="A23839" t="str">
        <f>HYPERLINK("https://www.773grp.com/globalSearch/SN74SSQEC32882ZALR/page-1", "SN74SSQEC32882ZALR")</f>
        <v>SN74SSQEC32882ZALR</v>
      </c>
      <c r="B23839" s="3" t="s">
        <v>90</v>
      </c>
      <c r="C23839" s="5">
        <v>12000</v>
      </c>
      <c r="D23839" s="6">
        <v>10.98</v>
      </c>
    </row>
    <row r="23840" spans="1:4" x14ac:dyDescent="0.25">
      <c r="A23840" t="str">
        <f>HYPERLINK("https://www.773grp.com/globalSearch/TPS65530ARSLR/page-1", "TPS65530ARSLR")</f>
        <v>TPS65530ARSLR</v>
      </c>
      <c r="B23840" s="3" t="s">
        <v>90</v>
      </c>
      <c r="C23840" s="5">
        <v>80032</v>
      </c>
      <c r="D23840" s="6">
        <v>10.98</v>
      </c>
    </row>
    <row r="23841" spans="1:4" x14ac:dyDescent="0.25">
      <c r="A23841" t="str">
        <f>HYPERLINK("https://www.773grp.com/globalSearch/UCC2973PWG4/page-1", "UCC2973PWG4")</f>
        <v>UCC2973PWG4</v>
      </c>
      <c r="B23841" s="3" t="s">
        <v>90</v>
      </c>
      <c r="C23841" s="5">
        <v>61</v>
      </c>
      <c r="D23841" s="6">
        <v>10.98</v>
      </c>
    </row>
    <row r="23842" spans="1:4" x14ac:dyDescent="0.25">
      <c r="A23842" t="str">
        <f>HYPERLINK("https://www.773grp.com/globalSearch/UCC3973N/page-1", "UCC3973N")</f>
        <v>UCC3973N</v>
      </c>
      <c r="B23842" s="3" t="s">
        <v>90</v>
      </c>
      <c r="C23842" s="5">
        <v>2400</v>
      </c>
      <c r="D23842" s="6">
        <v>10.98</v>
      </c>
    </row>
    <row r="23843" spans="1:4" x14ac:dyDescent="0.25">
      <c r="A23843" t="str">
        <f>HYPERLINK("https://www.773grp.com/globalSearch/TPS65072RSLT/page-1", "TPS65072RSLT")</f>
        <v>TPS65072RSLT</v>
      </c>
      <c r="B23843" s="3" t="s">
        <v>90</v>
      </c>
      <c r="C23843" s="5">
        <v>1750</v>
      </c>
      <c r="D23843" s="6">
        <v>11</v>
      </c>
    </row>
    <row r="23844" spans="1:4" x14ac:dyDescent="0.25">
      <c r="A23844" t="str">
        <f>HYPERLINK("https://www.773grp.com/globalSearch/74ACT16543DGG/page-1", "74ACT16543DGG")</f>
        <v>74ACT16543DGG</v>
      </c>
      <c r="B23844" s="3" t="s">
        <v>90</v>
      </c>
      <c r="C23844" s="5">
        <v>1238</v>
      </c>
      <c r="D23844" s="6">
        <v>11.03</v>
      </c>
    </row>
    <row r="23845" spans="1:4" x14ac:dyDescent="0.25">
      <c r="A23845" t="str">
        <f>HYPERLINK("https://www.773grp.com/globalSearch/TMS470R1VF288PZAG4/page-1", "TMS470R1VF288PZAG4")</f>
        <v>TMS470R1VF288PZAG4</v>
      </c>
      <c r="B23845" s="3" t="s">
        <v>90</v>
      </c>
      <c r="C23845" s="5">
        <v>61</v>
      </c>
      <c r="D23845" s="6">
        <v>11.03</v>
      </c>
    </row>
    <row r="23846" spans="1:4" x14ac:dyDescent="0.25">
      <c r="A23846" t="str">
        <f>HYPERLINK("https://www.773grp.com/globalSearch/32P4101A-CGE/page-1", "32P4101A-CGE")</f>
        <v>32P4101A-CGE</v>
      </c>
      <c r="B23846" s="3" t="s">
        <v>90</v>
      </c>
      <c r="C23846" s="5">
        <v>17056</v>
      </c>
      <c r="D23846" s="6">
        <v>11.05</v>
      </c>
    </row>
    <row r="23847" spans="1:4" x14ac:dyDescent="0.25">
      <c r="A23847" t="str">
        <f>HYPERLINK("https://www.773grp.com/globalSearch/CF45538NSRG4/page-1", "CF45538NSRG4")</f>
        <v>CF45538NSRG4</v>
      </c>
      <c r="B23847" s="3" t="s">
        <v>90</v>
      </c>
      <c r="C23847" s="5">
        <v>61</v>
      </c>
      <c r="D23847" s="6">
        <v>11.05</v>
      </c>
    </row>
    <row r="23848" spans="1:4" x14ac:dyDescent="0.25">
      <c r="A23848" t="str">
        <f>HYPERLINK("https://www.773grp.com/globalSearch/LM201AH-NOPB/page-1", "LM201AH-NOPB")</f>
        <v>LM201AH-NOPB</v>
      </c>
      <c r="B23848" s="3" t="s">
        <v>90</v>
      </c>
      <c r="C23848" s="5">
        <v>4</v>
      </c>
      <c r="D23848" s="6">
        <v>11.05</v>
      </c>
    </row>
    <row r="23849" spans="1:4" x14ac:dyDescent="0.25">
      <c r="A23849" t="str">
        <f>HYPERLINK("https://www.773grp.com/globalSearch/SN72488N/page-1", "SN72488N")</f>
        <v>SN72488N</v>
      </c>
      <c r="B23849" s="3" t="s">
        <v>90</v>
      </c>
      <c r="C23849" s="5">
        <v>5825</v>
      </c>
      <c r="D23849" s="6">
        <v>11.05</v>
      </c>
    </row>
    <row r="23850" spans="1:4" x14ac:dyDescent="0.25">
      <c r="A23850" t="str">
        <f>HYPERLINK("https://www.773grp.com/globalSearch/SN75C23243DL/page-1", "SN75C23243DL")</f>
        <v>SN75C23243DL</v>
      </c>
      <c r="B23850" s="3" t="s">
        <v>90</v>
      </c>
      <c r="C23850" s="5">
        <v>1000</v>
      </c>
      <c r="D23850" s="6">
        <v>11.05</v>
      </c>
    </row>
    <row r="23851" spans="1:4" x14ac:dyDescent="0.25">
      <c r="A23851" t="str">
        <f>HYPERLINK("https://www.773grp.com/globalSearch/TLV320AIC23BIPWR/page-1", "TLV320AIC23BIPWR")</f>
        <v>TLV320AIC23BIPWR</v>
      </c>
      <c r="B23851" s="3" t="s">
        <v>90</v>
      </c>
      <c r="C23851" s="5">
        <v>2300</v>
      </c>
      <c r="D23851" s="6">
        <v>11.09</v>
      </c>
    </row>
    <row r="23852" spans="1:4" x14ac:dyDescent="0.25">
      <c r="A23852" t="str">
        <f>HYPERLINK("https://www.773grp.com/globalSearch/DIX9210PTR/page-1", "DIX9210PTR")</f>
        <v>DIX9210PTR</v>
      </c>
      <c r="B23852" s="3" t="s">
        <v>90</v>
      </c>
      <c r="C23852" s="5">
        <v>3000</v>
      </c>
      <c r="D23852" s="6">
        <v>11.1</v>
      </c>
    </row>
    <row r="23853" spans="1:4" x14ac:dyDescent="0.25">
      <c r="A23853" t="str">
        <f>HYPERLINK("https://www.773grp.com/globalSearch/DRV8312DDW/page-1", "DRV8312DDW")</f>
        <v>DRV8312DDW</v>
      </c>
      <c r="B23853" s="3" t="s">
        <v>90</v>
      </c>
      <c r="C23853" s="5">
        <v>5</v>
      </c>
      <c r="D23853" s="6">
        <v>11.1</v>
      </c>
    </row>
    <row r="23854" spans="1:4" x14ac:dyDescent="0.25">
      <c r="A23854" t="str">
        <f>HYPERLINK("https://www.773grp.com/globalSearch/PTSC2100IDA/page-1", "PTSC2100IDA")</f>
        <v>PTSC2100IDA</v>
      </c>
      <c r="B23854" s="3" t="s">
        <v>90</v>
      </c>
      <c r="C23854" s="5">
        <v>4324</v>
      </c>
      <c r="D23854" s="6">
        <v>11.1</v>
      </c>
    </row>
    <row r="23855" spans="1:4" x14ac:dyDescent="0.25">
      <c r="A23855" t="str">
        <f>HYPERLINK("https://www.773grp.com/globalSearch/SN75ALS170ADW/page-1", "SN75ALS170ADW")</f>
        <v>SN75ALS170ADW</v>
      </c>
      <c r="B23855" s="3" t="s">
        <v>90</v>
      </c>
      <c r="C23855" s="5">
        <v>25</v>
      </c>
      <c r="D23855" s="6">
        <v>11.1</v>
      </c>
    </row>
    <row r="23856" spans="1:4" x14ac:dyDescent="0.25">
      <c r="A23856" t="str">
        <f>HYPERLINK("https://www.773grp.com/globalSearch/TLV1508IPWR/page-1", "TLV1508IPWR")</f>
        <v>TLV1508IPWR</v>
      </c>
      <c r="B23856" s="3" t="s">
        <v>90</v>
      </c>
      <c r="C23856" s="5">
        <v>762</v>
      </c>
      <c r="D23856" s="6">
        <v>11.1</v>
      </c>
    </row>
    <row r="23857" spans="1:4" x14ac:dyDescent="0.25">
      <c r="A23857" t="str">
        <f>HYPERLINK("https://www.773grp.com/globalSearch/TMS4044-45NL/page-1", "TMS4044-45NL")</f>
        <v>TMS4044-45NL</v>
      </c>
      <c r="B23857" s="3" t="s">
        <v>90</v>
      </c>
      <c r="C23857" s="5">
        <v>4570</v>
      </c>
      <c r="D23857" s="6">
        <v>11.1</v>
      </c>
    </row>
    <row r="23858" spans="1:4" x14ac:dyDescent="0.25">
      <c r="A23858" t="str">
        <f>HYPERLINK("https://www.773grp.com/globalSearch/TMS4063NL/page-1", "TMS4063NL")</f>
        <v>TMS4063NL</v>
      </c>
      <c r="B23858" s="3" t="s">
        <v>90</v>
      </c>
      <c r="C23858" s="5">
        <v>1</v>
      </c>
      <c r="D23858" s="6">
        <v>11.1</v>
      </c>
    </row>
    <row r="23859" spans="1:4" x14ac:dyDescent="0.25">
      <c r="A23859" t="str">
        <f>HYPERLINK("https://www.773grp.com/globalSearch/UC2825AQDWREP/page-1", "UC2825AQDWREP")</f>
        <v>UC2825AQDWREP</v>
      </c>
      <c r="B23859" s="3" t="s">
        <v>90</v>
      </c>
      <c r="C23859" s="5">
        <v>445</v>
      </c>
      <c r="D23859" s="6">
        <v>11.1</v>
      </c>
    </row>
    <row r="23860" spans="1:4" x14ac:dyDescent="0.25">
      <c r="A23860" t="str">
        <f>HYPERLINK("https://www.773grp.com/globalSearch/SN200489DR/page-1", "SN200489DR")</f>
        <v>SN200489DR</v>
      </c>
      <c r="B23860" s="3" t="s">
        <v>90</v>
      </c>
      <c r="C23860" s="5">
        <v>2500</v>
      </c>
      <c r="D23860" s="6">
        <v>11.14</v>
      </c>
    </row>
    <row r="23861" spans="1:4" x14ac:dyDescent="0.25">
      <c r="A23861" t="str">
        <f>HYPERLINK("https://www.773grp.com/globalSearch/SN75LVDS88B/page-1", "SN75LVDS88B")</f>
        <v>SN75LVDS88B</v>
      </c>
      <c r="B23861" s="3" t="s">
        <v>90</v>
      </c>
      <c r="C23861" s="5">
        <v>74</v>
      </c>
      <c r="D23861" s="6">
        <v>11.14</v>
      </c>
    </row>
    <row r="23862" spans="1:4" x14ac:dyDescent="0.25">
      <c r="A23862" t="str">
        <f>HYPERLINK("https://www.773grp.com/globalSearch/THS3095DDA/page-1", "THS3095DDA")</f>
        <v>THS3095DDA</v>
      </c>
      <c r="B23862" s="3" t="s">
        <v>90</v>
      </c>
      <c r="C23862" s="5">
        <v>1025</v>
      </c>
      <c r="D23862" s="6">
        <v>11.14</v>
      </c>
    </row>
    <row r="23863" spans="1:4" x14ac:dyDescent="0.25">
      <c r="A23863" t="str">
        <f>HYPERLINK("https://www.773grp.com/globalSearch/THS3095DDAG4/page-1", "THS3095DDAG4")</f>
        <v>THS3095DDAG4</v>
      </c>
      <c r="B23863" s="3" t="s">
        <v>90</v>
      </c>
      <c r="C23863" s="5">
        <v>75</v>
      </c>
      <c r="D23863" s="6">
        <v>11.14</v>
      </c>
    </row>
    <row r="23864" spans="1:4" x14ac:dyDescent="0.25">
      <c r="A23864" t="str">
        <f>HYPERLINK("https://www.773grp.com/globalSearch/TMS320C5533AZHH10/page-1", "TMS320C5533AZHH10")</f>
        <v>TMS320C5533AZHH10</v>
      </c>
      <c r="B23864" s="3" t="s">
        <v>90</v>
      </c>
      <c r="C23864" s="5">
        <v>458</v>
      </c>
      <c r="D23864" s="6">
        <v>11.14</v>
      </c>
    </row>
    <row r="23865" spans="1:4" x14ac:dyDescent="0.25">
      <c r="A23865" t="str">
        <f>HYPERLINK("https://www.773grp.com/globalSearch/BQ500410ARGZT/page-1", "BQ500410ARGZT")</f>
        <v>BQ500410ARGZT</v>
      </c>
      <c r="B23865" s="3" t="s">
        <v>90</v>
      </c>
      <c r="C23865" s="5">
        <v>250</v>
      </c>
      <c r="D23865" s="6">
        <v>11.18</v>
      </c>
    </row>
    <row r="23866" spans="1:4" x14ac:dyDescent="0.25">
      <c r="A23866" t="str">
        <f>HYPERLINK("https://www.773grp.com/globalSearch/LM5064PMHE-NOPB/page-1", "LM5064PMHE-NOPB")</f>
        <v>LM5064PMHE-NOPB</v>
      </c>
      <c r="B23866" s="3" t="s">
        <v>90</v>
      </c>
      <c r="C23866" s="5">
        <v>750</v>
      </c>
      <c r="D23866" s="6">
        <v>11.18</v>
      </c>
    </row>
    <row r="23867" spans="1:4" x14ac:dyDescent="0.25">
      <c r="A23867" t="str">
        <f>HYPERLINK("https://www.773grp.com/globalSearch/THS4012IDG4/page-1", "THS4012IDG4")</f>
        <v>THS4012IDG4</v>
      </c>
      <c r="B23867" s="3" t="s">
        <v>90</v>
      </c>
      <c r="C23867" s="5">
        <v>75</v>
      </c>
      <c r="D23867" s="6">
        <v>11.19</v>
      </c>
    </row>
    <row r="23868" spans="1:4" x14ac:dyDescent="0.25">
      <c r="A23868" t="str">
        <f>HYPERLINK("https://www.773grp.com/globalSearch/DP83849IDVSX-NOPB/page-1", "DP83849IDVSX-NOPB")</f>
        <v>DP83849IDVSX-NOPB</v>
      </c>
      <c r="B23868" s="3" t="s">
        <v>90</v>
      </c>
      <c r="C23868" s="5">
        <v>2000</v>
      </c>
      <c r="D23868" s="6">
        <v>11.23</v>
      </c>
    </row>
    <row r="23869" spans="1:4" x14ac:dyDescent="0.25">
      <c r="A23869" t="str">
        <f>HYPERLINK("https://www.773grp.com/globalSearch/TPS659122YFFR/page-1", "TPS659122YFFR")</f>
        <v>TPS659122YFFR</v>
      </c>
      <c r="B23869" s="3" t="s">
        <v>90</v>
      </c>
      <c r="C23869" s="5">
        <v>2750</v>
      </c>
      <c r="D23869" s="6">
        <v>11.23</v>
      </c>
    </row>
    <row r="23870" spans="1:4" x14ac:dyDescent="0.25">
      <c r="A23870" t="str">
        <f>HYPERLINK("https://www.773grp.com/globalSearch/XTRF6900PT/page-1", "XTRF6900PT")</f>
        <v>XTRF6900PT</v>
      </c>
      <c r="B23870" s="3" t="s">
        <v>90</v>
      </c>
      <c r="C23870" s="5">
        <v>726</v>
      </c>
      <c r="D23870" s="6">
        <v>11.23</v>
      </c>
    </row>
    <row r="23871" spans="1:4" x14ac:dyDescent="0.25">
      <c r="A23871" t="str">
        <f>HYPERLINK("https://www.773grp.com/globalSearch/32P4101A-CGF/page-1", "32P4101A-CGF")</f>
        <v>32P4101A-CGF</v>
      </c>
      <c r="B23871" s="3" t="s">
        <v>90</v>
      </c>
      <c r="C23871" s="5">
        <v>7902</v>
      </c>
      <c r="D23871" s="6">
        <v>11.25</v>
      </c>
    </row>
    <row r="23872" spans="1:4" x14ac:dyDescent="0.25">
      <c r="A23872" t="str">
        <f>HYPERLINK("https://www.773grp.com/globalSearch/SN74CBT16390DGVR/page-1", "SN74CBT16390DGVR")</f>
        <v>SN74CBT16390DGVR</v>
      </c>
      <c r="B23872" s="3" t="s">
        <v>90</v>
      </c>
      <c r="C23872" s="5">
        <v>2656</v>
      </c>
      <c r="D23872" s="6">
        <v>11.25</v>
      </c>
    </row>
    <row r="23873" spans="1:4" x14ac:dyDescent="0.25">
      <c r="A23873" t="str">
        <f>HYPERLINK("https://www.773grp.com/globalSearch/SN74H11N3/page-1", "SN74H11N3")</f>
        <v>SN74H11N3</v>
      </c>
      <c r="B23873" s="3" t="s">
        <v>90</v>
      </c>
      <c r="C23873" s="5">
        <v>224</v>
      </c>
      <c r="D23873" s="6">
        <v>11.25</v>
      </c>
    </row>
    <row r="23874" spans="1:4" x14ac:dyDescent="0.25">
      <c r="A23874" t="str">
        <f>HYPERLINK("https://www.773grp.com/globalSearch/SN74H20N3/page-1", "SN74H20N3")</f>
        <v>SN74H20N3</v>
      </c>
      <c r="B23874" s="3" t="s">
        <v>90</v>
      </c>
      <c r="C23874" s="5">
        <v>4880</v>
      </c>
      <c r="D23874" s="6">
        <v>11.25</v>
      </c>
    </row>
    <row r="23875" spans="1:4" x14ac:dyDescent="0.25">
      <c r="A23875" t="str">
        <f>HYPERLINK("https://www.773grp.com/globalSearch/SN74H52N3/page-1", "SN74H52N3")</f>
        <v>SN74H52N3</v>
      </c>
      <c r="B23875" s="3" t="s">
        <v>90</v>
      </c>
      <c r="C23875" s="5">
        <v>2757</v>
      </c>
      <c r="D23875" s="6">
        <v>11.25</v>
      </c>
    </row>
    <row r="23876" spans="1:4" x14ac:dyDescent="0.25">
      <c r="A23876" t="str">
        <f>HYPERLINK("https://www.773grp.com/globalSearch/SN74H60N3/page-1", "SN74H60N3")</f>
        <v>SN74H60N3</v>
      </c>
      <c r="B23876" s="3" t="s">
        <v>90</v>
      </c>
      <c r="C23876" s="5">
        <v>2964</v>
      </c>
      <c r="D23876" s="6">
        <v>11.25</v>
      </c>
    </row>
    <row r="23877" spans="1:4" x14ac:dyDescent="0.25">
      <c r="A23877" t="str">
        <f>HYPERLINK("https://www.773grp.com/globalSearch/SN75ALS161DWR/page-1", "SN75ALS161DWR")</f>
        <v>SN75ALS161DWR</v>
      </c>
      <c r="B23877" s="3" t="s">
        <v>90</v>
      </c>
      <c r="C23877" s="5">
        <v>1025</v>
      </c>
      <c r="D23877" s="6">
        <v>11.25</v>
      </c>
    </row>
    <row r="23878" spans="1:4" x14ac:dyDescent="0.25">
      <c r="A23878" t="str">
        <f>HYPERLINK("https://www.773grp.com/globalSearch/SRC4190IDBRQ1/page-1", "SRC4190IDBRQ1")</f>
        <v>SRC4190IDBRQ1</v>
      </c>
      <c r="B23878" s="3" t="s">
        <v>90</v>
      </c>
      <c r="C23878" s="5">
        <v>2000</v>
      </c>
      <c r="D23878" s="6">
        <v>11.25</v>
      </c>
    </row>
    <row r="23879" spans="1:4" x14ac:dyDescent="0.25">
      <c r="A23879" t="str">
        <f>HYPERLINK("https://www.773grp.com/globalSearch/TFP401-1PZP/page-1", "TFP401-1PZP")</f>
        <v>TFP401-1PZP</v>
      </c>
      <c r="B23879" s="3" t="s">
        <v>90</v>
      </c>
      <c r="C23879" s="5">
        <v>104951</v>
      </c>
      <c r="D23879" s="6">
        <v>11.25</v>
      </c>
    </row>
    <row r="23880" spans="1:4" x14ac:dyDescent="0.25">
      <c r="A23880" t="str">
        <f>HYPERLINK("https://www.773grp.com/globalSearch/THS6012IGQER/page-1", "THS6012IGQER")</f>
        <v>THS6012IGQER</v>
      </c>
      <c r="B23880" s="3" t="s">
        <v>90</v>
      </c>
      <c r="C23880" s="5">
        <v>10000</v>
      </c>
      <c r="D23880" s="6">
        <v>11.25</v>
      </c>
    </row>
    <row r="23881" spans="1:4" x14ac:dyDescent="0.25">
      <c r="A23881" t="str">
        <f>HYPERLINK("https://www.773grp.com/globalSearch/TLV2553IDWRQ1/page-1", "TLV2553IDWRQ1")</f>
        <v>TLV2553IDWRQ1</v>
      </c>
      <c r="B23881" s="3" t="s">
        <v>90</v>
      </c>
      <c r="C23881" s="5">
        <v>10000</v>
      </c>
      <c r="D23881" s="6">
        <v>11.25</v>
      </c>
    </row>
    <row r="23882" spans="1:4" x14ac:dyDescent="0.25">
      <c r="A23882" t="str">
        <f>HYPERLINK("https://www.773grp.com/globalSearch/TLV320AIC3212IYZFT/page-1", "TLV320AIC3212IYZFT")</f>
        <v>TLV320AIC3212IYZFT</v>
      </c>
      <c r="B23882" s="3" t="s">
        <v>90</v>
      </c>
      <c r="C23882" s="5">
        <v>250</v>
      </c>
      <c r="D23882" s="6">
        <v>11.25</v>
      </c>
    </row>
    <row r="23883" spans="1:4" x14ac:dyDescent="0.25">
      <c r="A23883" t="str">
        <f>HYPERLINK("https://www.773grp.com/globalSearch/TMS45165-60DZ/page-1", "TMS45165-60DZ")</f>
        <v>TMS45165-60DZ</v>
      </c>
      <c r="B23883" s="3" t="s">
        <v>90</v>
      </c>
      <c r="C23883" s="5">
        <v>1420</v>
      </c>
      <c r="D23883" s="6">
        <v>11.25</v>
      </c>
    </row>
    <row r="23884" spans="1:4" x14ac:dyDescent="0.25">
      <c r="A23884" t="str">
        <f>HYPERLINK("https://www.773grp.com/globalSearch/TPS65217ARSLT/page-1", "TPS65217ARSLT")</f>
        <v>TPS65217ARSLT</v>
      </c>
      <c r="B23884" s="3" t="s">
        <v>90</v>
      </c>
      <c r="C23884" s="5">
        <v>400</v>
      </c>
      <c r="D23884" s="6">
        <v>11.25</v>
      </c>
    </row>
    <row r="23885" spans="1:4" x14ac:dyDescent="0.25">
      <c r="A23885" t="str">
        <f>HYPERLINK("https://www.773grp.com/globalSearch/TPS65217BRSLT/page-1", "TPS65217BRSLT")</f>
        <v>TPS65217BRSLT</v>
      </c>
      <c r="B23885" s="3" t="s">
        <v>90</v>
      </c>
      <c r="C23885" s="5">
        <v>566</v>
      </c>
      <c r="D23885" s="6">
        <v>11.25</v>
      </c>
    </row>
    <row r="23886" spans="1:4" x14ac:dyDescent="0.25">
      <c r="A23886" t="str">
        <f>HYPERLINK("https://www.773grp.com/globalSearch/TVP5150AM1IPBSQ1/page-1", "TVP5150AM1IPBSQ1")</f>
        <v>TVP5150AM1IPBSQ1</v>
      </c>
      <c r="B23886" s="3" t="s">
        <v>90</v>
      </c>
      <c r="C23886" s="5">
        <v>1114</v>
      </c>
      <c r="D23886" s="6">
        <v>11.25</v>
      </c>
    </row>
    <row r="23887" spans="1:4" x14ac:dyDescent="0.25">
      <c r="A23887" t="str">
        <f>HYPERLINK("https://www.773grp.com/globalSearch/XTR106UA-2K5/page-1", "XTR106UA-2K5")</f>
        <v>XTR106UA-2K5</v>
      </c>
      <c r="B23887" s="3" t="s">
        <v>90</v>
      </c>
      <c r="C23887" s="5">
        <v>7500</v>
      </c>
      <c r="D23887" s="6">
        <v>11.25</v>
      </c>
    </row>
    <row r="23888" spans="1:4" x14ac:dyDescent="0.25">
      <c r="A23888" t="str">
        <f>HYPERLINK("https://www.773grp.com/globalSearch/LMH0002SQE-NOPB/page-1", "LMH0002SQE-NOPB")</f>
        <v>LMH0002SQE-NOPB</v>
      </c>
      <c r="B23888" s="3" t="s">
        <v>90</v>
      </c>
      <c r="C23888" s="5">
        <v>3750</v>
      </c>
      <c r="D23888" s="6">
        <v>11.34</v>
      </c>
    </row>
    <row r="23889" spans="1:4" x14ac:dyDescent="0.25">
      <c r="A23889" t="str">
        <f>HYPERLINK("https://www.773grp.com/globalSearch/PCM2706CPJT/page-1", "PCM2706CPJT")</f>
        <v>PCM2706CPJT</v>
      </c>
      <c r="B23889" s="3" t="s">
        <v>90</v>
      </c>
      <c r="C23889" s="5">
        <v>250</v>
      </c>
      <c r="D23889" s="6">
        <v>11.34</v>
      </c>
    </row>
    <row r="23890" spans="1:4" x14ac:dyDescent="0.25">
      <c r="A23890" t="str">
        <f>HYPERLINK("https://www.773grp.com/globalSearch/TPS53353DQPT/page-1", "TPS53353DQPT")</f>
        <v>TPS53353DQPT</v>
      </c>
      <c r="B23890" s="3" t="s">
        <v>90</v>
      </c>
      <c r="C23890" s="5">
        <v>500</v>
      </c>
      <c r="D23890" s="6">
        <v>11.34</v>
      </c>
    </row>
    <row r="23891" spans="1:4" x14ac:dyDescent="0.25">
      <c r="A23891" t="str">
        <f>HYPERLINK("https://www.773grp.com/globalSearch/TPS65230A2DCA/page-1", "TPS65230A2DCA")</f>
        <v>TPS65230A2DCA</v>
      </c>
      <c r="B23891" s="3" t="s">
        <v>90</v>
      </c>
      <c r="C23891" s="5">
        <v>2599</v>
      </c>
      <c r="D23891" s="6">
        <v>11.34</v>
      </c>
    </row>
    <row r="23892" spans="1:4" x14ac:dyDescent="0.25">
      <c r="A23892" t="str">
        <f>HYPERLINK("https://www.773grp.com/globalSearch/TVP5151IZQC/page-1", "TVP5151IZQC")</f>
        <v>TVP5151IZQC</v>
      </c>
      <c r="B23892" s="3" t="s">
        <v>90</v>
      </c>
      <c r="C23892" s="5">
        <v>1440</v>
      </c>
      <c r="D23892" s="6">
        <v>11.34</v>
      </c>
    </row>
    <row r="23893" spans="1:4" x14ac:dyDescent="0.25">
      <c r="A23893" t="str">
        <f>HYPERLINK("https://www.773grp.com/globalSearch/BQ2010SN-D107TR/page-1", "BQ2010SN-D107TR")</f>
        <v>BQ2010SN-D107TR</v>
      </c>
      <c r="B23893" s="3" t="s">
        <v>90</v>
      </c>
      <c r="C23893" s="5">
        <v>2500</v>
      </c>
      <c r="D23893" s="6">
        <v>11.36</v>
      </c>
    </row>
    <row r="23894" spans="1:4" x14ac:dyDescent="0.25">
      <c r="A23894" t="str">
        <f>HYPERLINK("https://www.773grp.com/globalSearch/TMS320F28027PTQ/page-1", "TMS320F28027PTQ")</f>
        <v>TMS320F28027PTQ</v>
      </c>
      <c r="B23894" s="3" t="s">
        <v>90</v>
      </c>
      <c r="C23894" s="5">
        <v>1264</v>
      </c>
      <c r="D23894" s="6">
        <v>11.36</v>
      </c>
    </row>
    <row r="23895" spans="1:4" x14ac:dyDescent="0.25">
      <c r="A23895" t="str">
        <f>HYPERLINK("https://www.773grp.com/globalSearch/TMS320F28034PAGT/page-1", "TMS320F28034PAGT")</f>
        <v>TMS320F28034PAGT</v>
      </c>
      <c r="B23895" s="3" t="s">
        <v>90</v>
      </c>
      <c r="C23895" s="5">
        <v>480</v>
      </c>
      <c r="D23895" s="6">
        <v>11.36</v>
      </c>
    </row>
    <row r="23896" spans="1:4" x14ac:dyDescent="0.25">
      <c r="A23896" t="str">
        <f>HYPERLINK("https://www.773grp.com/globalSearch/ADS7844EB/page-1", "ADS7844EB")</f>
        <v>ADS7844EB</v>
      </c>
      <c r="B23896" s="3" t="s">
        <v>90</v>
      </c>
      <c r="C23896" s="5">
        <v>133</v>
      </c>
      <c r="D23896" s="6">
        <v>11.39</v>
      </c>
    </row>
    <row r="23897" spans="1:4" x14ac:dyDescent="0.25">
      <c r="A23897" t="str">
        <f>HYPERLINK("https://www.773grp.com/globalSearch/ADS7844NB/page-1", "ADS7844NB")</f>
        <v>ADS7844NB</v>
      </c>
      <c r="B23897" s="3" t="s">
        <v>90</v>
      </c>
      <c r="C23897" s="5">
        <v>1050</v>
      </c>
      <c r="D23897" s="6">
        <v>11.39</v>
      </c>
    </row>
    <row r="23898" spans="1:4" x14ac:dyDescent="0.25">
      <c r="A23898" t="str">
        <f>HYPERLINK("https://www.773grp.com/globalSearch/INA121U/page-1", "INA121U")</f>
        <v>INA121U</v>
      </c>
      <c r="B23898" s="3" t="s">
        <v>90</v>
      </c>
      <c r="C23898" s="5">
        <v>13910</v>
      </c>
      <c r="D23898" s="6">
        <v>11.39</v>
      </c>
    </row>
    <row r="23899" spans="1:4" x14ac:dyDescent="0.25">
      <c r="A23899" t="str">
        <f>HYPERLINK("https://www.773grp.com/globalSearch/JM38510-30001BCA/page-1", "JM38510-30001BCA")</f>
        <v>JM38510-30001BCA</v>
      </c>
      <c r="B23899" s="3" t="s">
        <v>90</v>
      </c>
      <c r="C23899" s="5">
        <v>8</v>
      </c>
      <c r="D23899" s="6">
        <v>11.39</v>
      </c>
    </row>
    <row r="23900" spans="1:4" x14ac:dyDescent="0.25">
      <c r="A23900" t="str">
        <f>HYPERLINK("https://www.773grp.com/globalSearch/MSP430F4481IPZR/page-1", "MSP430F4481IPZR")</f>
        <v>MSP430F4481IPZR</v>
      </c>
      <c r="B23900" s="3" t="s">
        <v>90</v>
      </c>
      <c r="C23900" s="5">
        <v>13000</v>
      </c>
      <c r="D23900" s="6">
        <v>11.39</v>
      </c>
    </row>
    <row r="23901" spans="1:4" x14ac:dyDescent="0.25">
      <c r="A23901" t="str">
        <f>HYPERLINK("https://www.773grp.com/globalSearch/OPA2228U-2K5/page-1", "OPA2228U-2K5")</f>
        <v>OPA2228U-2K5</v>
      </c>
      <c r="B23901" s="3" t="s">
        <v>90</v>
      </c>
      <c r="C23901" s="5">
        <v>2500</v>
      </c>
      <c r="D23901" s="6">
        <v>11.39</v>
      </c>
    </row>
    <row r="23902" spans="1:4" x14ac:dyDescent="0.25">
      <c r="A23902" t="str">
        <f>HYPERLINK("https://www.773grp.com/globalSearch/OPA4227UA-2K5/page-1", "OPA4227UA-2K5")</f>
        <v>OPA4227UA-2K5</v>
      </c>
      <c r="B23902" s="3" t="s">
        <v>90</v>
      </c>
      <c r="C23902" s="5">
        <v>7500</v>
      </c>
      <c r="D23902" s="6">
        <v>11.39</v>
      </c>
    </row>
    <row r="23903" spans="1:4" x14ac:dyDescent="0.25">
      <c r="A23903" t="str">
        <f>HYPERLINK("https://www.773grp.com/globalSearch/OPA4228UA-2K5/page-1", "OPA4228UA-2K5")</f>
        <v>OPA4228UA-2K5</v>
      </c>
      <c r="B23903" s="3" t="s">
        <v>90</v>
      </c>
      <c r="C23903" s="5">
        <v>19780</v>
      </c>
      <c r="D23903" s="6">
        <v>11.39</v>
      </c>
    </row>
    <row r="23904" spans="1:4" x14ac:dyDescent="0.25">
      <c r="A23904" t="str">
        <f>HYPERLINK("https://www.773grp.com/globalSearch/OPA4704EA-2K5/page-1", "OPA4704EA-2K5")</f>
        <v>OPA4704EA-2K5</v>
      </c>
      <c r="B23904" s="3" t="s">
        <v>90</v>
      </c>
      <c r="C23904" s="5">
        <v>296</v>
      </c>
      <c r="D23904" s="6">
        <v>11.39</v>
      </c>
    </row>
    <row r="23905" spans="1:4" x14ac:dyDescent="0.25">
      <c r="A23905" t="str">
        <f>HYPERLINK("https://www.773grp.com/globalSearch/SNJ54F175W/page-1", "SNJ54F175W")</f>
        <v>SNJ54F175W</v>
      </c>
      <c r="B23905" s="3" t="s">
        <v>90</v>
      </c>
      <c r="C23905" s="5">
        <v>312</v>
      </c>
      <c r="D23905" s="6">
        <v>11.39</v>
      </c>
    </row>
    <row r="23906" spans="1:4" x14ac:dyDescent="0.25">
      <c r="A23906" t="str">
        <f>HYPERLINK("https://www.773grp.com/globalSearch/SNJ54F253W/page-1", "SNJ54F253W")</f>
        <v>SNJ54F253W</v>
      </c>
      <c r="B23906" s="3" t="s">
        <v>90</v>
      </c>
      <c r="C23906" s="5">
        <v>1073</v>
      </c>
      <c r="D23906" s="6">
        <v>11.39</v>
      </c>
    </row>
    <row r="23907" spans="1:4" x14ac:dyDescent="0.25">
      <c r="A23907" t="str">
        <f>HYPERLINK("https://www.773grp.com/globalSearch/SNJ54F37W/page-1", "SNJ54F37W")</f>
        <v>SNJ54F37W</v>
      </c>
      <c r="B23907" s="3" t="s">
        <v>90</v>
      </c>
      <c r="C23907" s="5">
        <v>153</v>
      </c>
      <c r="D23907" s="6">
        <v>11.39</v>
      </c>
    </row>
    <row r="23908" spans="1:4" x14ac:dyDescent="0.25">
      <c r="A23908" t="str">
        <f>HYPERLINK("https://www.773grp.com/globalSearch/TMS45165-70DZR/page-1", "TMS45165-70DZR")</f>
        <v>TMS45165-70DZR</v>
      </c>
      <c r="B23908" s="3" t="s">
        <v>90</v>
      </c>
      <c r="C23908" s="5">
        <v>3750</v>
      </c>
      <c r="D23908" s="6">
        <v>11.39</v>
      </c>
    </row>
    <row r="23909" spans="1:4" x14ac:dyDescent="0.25">
      <c r="A23909" t="str">
        <f>HYPERLINK("https://www.773grp.com/globalSearch/UCD3040PFC/page-1", "UCD3040PFC")</f>
        <v>UCD3040PFC</v>
      </c>
      <c r="B23909" s="3" t="s">
        <v>90</v>
      </c>
      <c r="C23909" s="5">
        <v>852</v>
      </c>
      <c r="D23909" s="6">
        <v>11.39</v>
      </c>
    </row>
    <row r="23910" spans="1:4" x14ac:dyDescent="0.25">
      <c r="A23910" t="str">
        <f>HYPERLINK("https://www.773grp.com/globalSearch/Z45165-70DZR/page-1", "Z45165-70DZR")</f>
        <v>Z45165-70DZR</v>
      </c>
      <c r="B23910" s="3" t="s">
        <v>90</v>
      </c>
      <c r="C23910" s="5">
        <v>21000</v>
      </c>
      <c r="D23910" s="6">
        <v>11.39</v>
      </c>
    </row>
    <row r="23911" spans="1:4" x14ac:dyDescent="0.25">
      <c r="A23911" t="str">
        <f>HYPERLINK("https://www.773grp.com/globalSearch/UC382TH-ADJ/page-1", "UC382TH-ADJ")</f>
        <v>UC382TH-ADJ</v>
      </c>
      <c r="B23911" s="3" t="s">
        <v>90</v>
      </c>
      <c r="C23911" s="5">
        <v>2561</v>
      </c>
      <c r="D23911" s="6">
        <v>11.43</v>
      </c>
    </row>
    <row r="23912" spans="1:4" x14ac:dyDescent="0.25">
      <c r="A23912" t="str">
        <f>HYPERLINK("https://www.773grp.com/globalSearch/SN200441N/page-1", "SN200441N")</f>
        <v>SN200441N</v>
      </c>
      <c r="B23912" s="3" t="s">
        <v>90</v>
      </c>
      <c r="C23912" s="5">
        <v>11105</v>
      </c>
      <c r="D23912" s="6">
        <v>11.44</v>
      </c>
    </row>
    <row r="23913" spans="1:4" x14ac:dyDescent="0.25">
      <c r="A23913" t="str">
        <f>HYPERLINK("https://www.773grp.com/globalSearch/THS3061DGN/page-1", "THS3061DGN")</f>
        <v>THS3061DGN</v>
      </c>
      <c r="B23913" s="3" t="s">
        <v>90</v>
      </c>
      <c r="C23913" s="5">
        <v>160</v>
      </c>
      <c r="D23913" s="6">
        <v>11.44</v>
      </c>
    </row>
    <row r="23914" spans="1:4" x14ac:dyDescent="0.25">
      <c r="A23914" t="str">
        <f>HYPERLINK("https://www.773grp.com/globalSearch/JM38510-30605BCA/page-1", "JM38510-30605BCA")</f>
        <v>JM38510-30605BCA</v>
      </c>
      <c r="B23914" s="3" t="s">
        <v>90</v>
      </c>
      <c r="C23914" s="5">
        <v>109</v>
      </c>
      <c r="D23914" s="6">
        <v>11.48</v>
      </c>
    </row>
    <row r="23915" spans="1:4" x14ac:dyDescent="0.25">
      <c r="A23915" t="str">
        <f>HYPERLINK("https://www.773grp.com/globalSearch/RCV420JP/page-1", "RCV420JP")</f>
        <v>RCV420JP</v>
      </c>
      <c r="B23915" s="3" t="s">
        <v>90</v>
      </c>
      <c r="C23915" s="5">
        <v>345</v>
      </c>
      <c r="D23915" s="6">
        <v>11.48</v>
      </c>
    </row>
    <row r="23916" spans="1:4" x14ac:dyDescent="0.25">
      <c r="A23916" t="str">
        <f>HYPERLINK("https://www.773grp.com/globalSearch/UC382TV-ADJ/page-1", "UC382TV-ADJ")</f>
        <v>UC382TV-ADJ</v>
      </c>
      <c r="B23916" s="3" t="s">
        <v>90</v>
      </c>
      <c r="C23916" s="5">
        <v>5860</v>
      </c>
      <c r="D23916" s="6">
        <v>11.48</v>
      </c>
    </row>
    <row r="23917" spans="1:4" x14ac:dyDescent="0.25">
      <c r="A23917" t="str">
        <f>HYPERLINK("https://www.773grp.com/globalSearch/32R2211RX2CVTR/page-1", "32R2211RX2CVTR")</f>
        <v>32R2211RX2CVTR</v>
      </c>
      <c r="B23917" s="3" t="s">
        <v>90</v>
      </c>
      <c r="C23917" s="5">
        <v>6368</v>
      </c>
      <c r="D23917" s="6">
        <v>11.51</v>
      </c>
    </row>
    <row r="23918" spans="1:4" x14ac:dyDescent="0.25">
      <c r="A23918" t="str">
        <f>HYPERLINK("https://www.773grp.com/globalSearch/CDCUA877ZQLT/page-1", "CDCUA877ZQLT")</f>
        <v>CDCUA877ZQLT</v>
      </c>
      <c r="B23918" s="3" t="s">
        <v>90</v>
      </c>
      <c r="C23918" s="5">
        <v>25</v>
      </c>
      <c r="D23918" s="6">
        <v>11.53</v>
      </c>
    </row>
    <row r="23919" spans="1:4" x14ac:dyDescent="0.25">
      <c r="A23919" t="str">
        <f>HYPERLINK("https://www.773grp.com/globalSearch/MSP430F249TRGCT/page-1", "MSP430F249TRGCT")</f>
        <v>MSP430F249TRGCT</v>
      </c>
      <c r="B23919" s="3" t="s">
        <v>90</v>
      </c>
      <c r="C23919" s="5">
        <v>62</v>
      </c>
      <c r="D23919" s="6">
        <v>11.53</v>
      </c>
    </row>
    <row r="23920" spans="1:4" x14ac:dyDescent="0.25">
      <c r="A23920" t="str">
        <f>HYPERLINK("https://www.773grp.com/globalSearch/MSP430F5436AIZQWR/page-1", "MSP430F5436AIZQWR")</f>
        <v>MSP430F5436AIZQWR</v>
      </c>
      <c r="B23920" s="3" t="s">
        <v>90</v>
      </c>
      <c r="C23920" s="5">
        <v>15000</v>
      </c>
      <c r="D23920" s="6">
        <v>11.53</v>
      </c>
    </row>
    <row r="23921" spans="1:4" x14ac:dyDescent="0.25">
      <c r="A23921" t="str">
        <f>HYPERLINK("https://www.773grp.com/globalSearch/ONET2511TAY/page-1", "ONET2511TAY")</f>
        <v>ONET2511TAY</v>
      </c>
      <c r="B23921" s="3" t="s">
        <v>90</v>
      </c>
      <c r="C23921" s="5">
        <v>300</v>
      </c>
      <c r="D23921" s="6">
        <v>11.53</v>
      </c>
    </row>
    <row r="23922" spans="1:4" x14ac:dyDescent="0.25">
      <c r="A23922" t="str">
        <f>HYPERLINK("https://www.773grp.com/globalSearch/OPA4350EA/page-1", "OPA4350EA")</f>
        <v>OPA4350EA</v>
      </c>
      <c r="B23922" s="3" t="s">
        <v>90</v>
      </c>
      <c r="C23922" s="5">
        <v>3553</v>
      </c>
      <c r="D23922" s="6">
        <v>11.53</v>
      </c>
    </row>
    <row r="23923" spans="1:4" x14ac:dyDescent="0.25">
      <c r="A23923" t="str">
        <f>HYPERLINK("https://www.773grp.com/globalSearch/SN74BCT640NS/page-1", "SN74BCT640NS")</f>
        <v>SN74BCT640NS</v>
      </c>
      <c r="B23923" s="3" t="s">
        <v>90</v>
      </c>
      <c r="C23923" s="5">
        <v>40</v>
      </c>
      <c r="D23923" s="6">
        <v>11.53</v>
      </c>
    </row>
    <row r="23924" spans="1:4" x14ac:dyDescent="0.25">
      <c r="A23924" t="str">
        <f>HYPERLINK("https://www.773grp.com/globalSearch/THS770006IRGER/page-1", "THS770006IRGER")</f>
        <v>THS770006IRGER</v>
      </c>
      <c r="B23924" s="3" t="s">
        <v>90</v>
      </c>
      <c r="C23924" s="5">
        <v>12000</v>
      </c>
      <c r="D23924" s="6">
        <v>11.53</v>
      </c>
    </row>
    <row r="23925" spans="1:4" x14ac:dyDescent="0.25">
      <c r="A23925" t="str">
        <f>HYPERLINK("https://www.773grp.com/globalSearch/UCC3806DWTR/page-1", "UCC3806DWTR")</f>
        <v>UCC3806DWTR</v>
      </c>
      <c r="B23925" s="3" t="s">
        <v>90</v>
      </c>
      <c r="C23925" s="5">
        <v>2000</v>
      </c>
      <c r="D23925" s="6">
        <v>11.53</v>
      </c>
    </row>
    <row r="23926" spans="1:4" x14ac:dyDescent="0.25">
      <c r="A23926" t="str">
        <f>HYPERLINK("https://www.773grp.com/globalSearch/ADS7828E-250G4/page-1", "ADS7828E-250G4")</f>
        <v>ADS7828E-250G4</v>
      </c>
      <c r="B23926" s="3" t="s">
        <v>90</v>
      </c>
      <c r="C23926" s="5">
        <v>125</v>
      </c>
      <c r="D23926" s="6">
        <v>11.59</v>
      </c>
    </row>
    <row r="23927" spans="1:4" x14ac:dyDescent="0.25">
      <c r="A23927" t="str">
        <f>HYPERLINK("https://www.773grp.com/globalSearch/JM38510-30005BCA/page-1", "JM38510-30005BCA")</f>
        <v>JM38510-30005BCA</v>
      </c>
      <c r="B23927" s="3" t="s">
        <v>90</v>
      </c>
      <c r="C23927" s="5">
        <v>108</v>
      </c>
      <c r="D23927" s="6">
        <v>11.59</v>
      </c>
    </row>
    <row r="23928" spans="1:4" x14ac:dyDescent="0.25">
      <c r="A23928" t="str">
        <f>HYPERLINK("https://www.773grp.com/globalSearch/LMX5252LQ-NOPB/page-1", "LMX5252LQ-NOPB")</f>
        <v>LMX5252LQ-NOPB</v>
      </c>
      <c r="B23928" s="3" t="s">
        <v>90</v>
      </c>
      <c r="C23928" s="5">
        <v>1500</v>
      </c>
      <c r="D23928" s="6">
        <v>11.59</v>
      </c>
    </row>
    <row r="23929" spans="1:4" x14ac:dyDescent="0.25">
      <c r="A23929" t="str">
        <f>HYPERLINK("https://www.773grp.com/globalSearch/SN74ALVCR162269DL/page-1", "SN74ALVCR162269DL")</f>
        <v>SN74ALVCR162269DL</v>
      </c>
      <c r="B23929" s="3" t="s">
        <v>90</v>
      </c>
      <c r="C23929" s="5">
        <v>10107</v>
      </c>
      <c r="D23929" s="6">
        <v>11.59</v>
      </c>
    </row>
    <row r="23930" spans="1:4" x14ac:dyDescent="0.25">
      <c r="A23930" t="str">
        <f>HYPERLINK("https://www.773grp.com/globalSearch/TSC2020IRTVT/page-1", "TSC2020IRTVT")</f>
        <v>TSC2020IRTVT</v>
      </c>
      <c r="B23930" s="3" t="s">
        <v>90</v>
      </c>
      <c r="C23930" s="5">
        <v>6000</v>
      </c>
      <c r="D23930" s="6">
        <v>11.59</v>
      </c>
    </row>
    <row r="23931" spans="1:4" x14ac:dyDescent="0.25">
      <c r="A23931" t="str">
        <f>HYPERLINK("https://www.773grp.com/globalSearch/TUSB7320RKMR/page-1", "TUSB7320RKMR")</f>
        <v>TUSB7320RKMR</v>
      </c>
      <c r="B23931" s="3" t="s">
        <v>90</v>
      </c>
      <c r="C23931" s="5">
        <v>2518</v>
      </c>
      <c r="D23931" s="6">
        <v>11.59</v>
      </c>
    </row>
    <row r="23932" spans="1:4" x14ac:dyDescent="0.25">
      <c r="A23932" t="str">
        <f>HYPERLINK("https://www.773grp.com/globalSearch/SNJ54F51W/page-1", "SNJ54F51W")</f>
        <v>SNJ54F51W</v>
      </c>
      <c r="B23932" s="3" t="s">
        <v>90</v>
      </c>
      <c r="C23932" s="5">
        <v>455</v>
      </c>
      <c r="D23932" s="6">
        <v>11.61</v>
      </c>
    </row>
    <row r="23933" spans="1:4" x14ac:dyDescent="0.25">
      <c r="A23933" t="str">
        <f>HYPERLINK("https://www.773grp.com/globalSearch/AMC7891SRHHT/page-1", "AMC7891SRHHT")</f>
        <v>AMC7891SRHHT</v>
      </c>
      <c r="B23933" s="3" t="s">
        <v>90</v>
      </c>
      <c r="C23933" s="5">
        <v>250</v>
      </c>
      <c r="D23933" s="6">
        <v>11.65</v>
      </c>
    </row>
    <row r="23934" spans="1:4" x14ac:dyDescent="0.25">
      <c r="A23934" t="str">
        <f>HYPERLINK("https://www.773grp.com/globalSearch/DS91M040TSQE-NOPB/page-1", "DS91M040TSQE-NOPB")</f>
        <v>DS91M040TSQE-NOPB</v>
      </c>
      <c r="B23934" s="3" t="s">
        <v>90</v>
      </c>
      <c r="C23934" s="5">
        <v>240</v>
      </c>
      <c r="D23934" s="6">
        <v>11.65</v>
      </c>
    </row>
    <row r="23935" spans="1:4" x14ac:dyDescent="0.25">
      <c r="A23935" t="str">
        <f>HYPERLINK("https://www.773grp.com/globalSearch/PCM3008T/page-1", "PCM3008T")</f>
        <v>PCM3008T</v>
      </c>
      <c r="B23935" s="3" t="s">
        <v>90</v>
      </c>
      <c r="C23935" s="5">
        <v>84</v>
      </c>
      <c r="D23935" s="6">
        <v>11.65</v>
      </c>
    </row>
    <row r="23936" spans="1:4" x14ac:dyDescent="0.25">
      <c r="A23936" t="str">
        <f>HYPERLINK("https://www.773grp.com/globalSearch/SN74HC684DWR/page-1", "SN74HC684DWR")</f>
        <v>SN74HC684DWR</v>
      </c>
      <c r="B23936" s="3" t="s">
        <v>90</v>
      </c>
      <c r="C23936" s="5">
        <v>2000</v>
      </c>
      <c r="D23936" s="6">
        <v>11.65</v>
      </c>
    </row>
    <row r="23937" spans="1:4" x14ac:dyDescent="0.25">
      <c r="A23937" t="str">
        <f>HYPERLINK("https://www.773grp.com/globalSearch/TPS650732RSLT/page-1", "TPS650732RSLT")</f>
        <v>TPS650732RSLT</v>
      </c>
      <c r="B23937" s="3" t="s">
        <v>90</v>
      </c>
      <c r="C23937" s="5">
        <v>750</v>
      </c>
      <c r="D23937" s="6">
        <v>11.65</v>
      </c>
    </row>
    <row r="23938" spans="1:4" x14ac:dyDescent="0.25">
      <c r="A23938" t="str">
        <f>HYPERLINK("https://www.773grp.com/globalSearch/TVP5146M2PFPR/page-1", "TVP5146M2PFPR")</f>
        <v>TVP5146M2PFPR</v>
      </c>
      <c r="B23938" s="3" t="s">
        <v>90</v>
      </c>
      <c r="C23938" s="5">
        <v>1000</v>
      </c>
      <c r="D23938" s="6">
        <v>11.65</v>
      </c>
    </row>
    <row r="23939" spans="1:4" x14ac:dyDescent="0.25">
      <c r="A23939" t="str">
        <f>HYPERLINK("https://www.773grp.com/globalSearch/AMC1204BDW/page-1", "AMC1204BDW")</f>
        <v>AMC1204BDW</v>
      </c>
      <c r="B23939" s="3" t="s">
        <v>90</v>
      </c>
      <c r="C23939" s="5">
        <v>55</v>
      </c>
      <c r="D23939" s="6">
        <v>11.68</v>
      </c>
    </row>
    <row r="23940" spans="1:4" x14ac:dyDescent="0.25">
      <c r="A23940" t="str">
        <f>HYPERLINK("https://www.773grp.com/globalSearch/DRV1100U-2K5/page-1", "DRV1100U-2K5")</f>
        <v>DRV1100U-2K5</v>
      </c>
      <c r="B23940" s="3" t="s">
        <v>90</v>
      </c>
      <c r="C23940" s="5">
        <v>2500</v>
      </c>
      <c r="D23940" s="6">
        <v>11.68</v>
      </c>
    </row>
    <row r="23941" spans="1:4" x14ac:dyDescent="0.25">
      <c r="A23941" t="str">
        <f>HYPERLINK("https://www.773grp.com/globalSearch/LM3S1811-IQC50-C1/page-1", "LM3S1811-IQC50-C1")</f>
        <v>LM3S1811-IQC50-C1</v>
      </c>
      <c r="B23941" s="3" t="s">
        <v>90</v>
      </c>
      <c r="C23941" s="5">
        <v>89</v>
      </c>
      <c r="D23941" s="6">
        <v>11.68</v>
      </c>
    </row>
    <row r="23942" spans="1:4" x14ac:dyDescent="0.25">
      <c r="A23942" t="str">
        <f>HYPERLINK("https://www.773grp.com/globalSearch/LMP90098MHE-NOPB/page-1", "LMP90098MHE-NOPB")</f>
        <v>LMP90098MHE-NOPB</v>
      </c>
      <c r="B23942" s="3" t="s">
        <v>90</v>
      </c>
      <c r="C23942" s="5">
        <v>29</v>
      </c>
      <c r="D23942" s="6">
        <v>11.68</v>
      </c>
    </row>
    <row r="23943" spans="1:4" x14ac:dyDescent="0.25">
      <c r="A23943" t="str">
        <f>HYPERLINK("https://www.773grp.com/globalSearch/SN65LVDS96DGGR/page-1", "SN65LVDS96DGGR")</f>
        <v>SN65LVDS96DGGR</v>
      </c>
      <c r="B23943" s="3" t="s">
        <v>90</v>
      </c>
      <c r="C23943" s="5">
        <v>2000</v>
      </c>
      <c r="D23943" s="6">
        <v>11.68</v>
      </c>
    </row>
    <row r="23944" spans="1:4" x14ac:dyDescent="0.25">
      <c r="A23944" t="str">
        <f>HYPERLINK("https://www.773grp.com/globalSearch/UCC2915DPTR/page-1", "UCC2915DPTR")</f>
        <v>UCC2915DPTR</v>
      </c>
      <c r="B23944" s="3" t="s">
        <v>90</v>
      </c>
      <c r="C23944" s="5">
        <v>15000</v>
      </c>
      <c r="D23944" s="6">
        <v>11.68</v>
      </c>
    </row>
    <row r="23945" spans="1:4" x14ac:dyDescent="0.25">
      <c r="A23945" t="str">
        <f>HYPERLINK("https://www.773grp.com/globalSearch/SN74ALV16244ADLR/page-1", "SN74ALV16244ADLR")</f>
        <v>SN74ALV16244ADLR</v>
      </c>
      <c r="B23945" s="3" t="s">
        <v>90</v>
      </c>
      <c r="C23945" s="5">
        <v>1000</v>
      </c>
      <c r="D23945" s="6">
        <v>11.7</v>
      </c>
    </row>
    <row r="23946" spans="1:4" x14ac:dyDescent="0.25">
      <c r="A23946" t="str">
        <f>HYPERLINK("https://www.773grp.com/globalSearch/SNJ54LS241J/page-1", "SNJ54LS241J")</f>
        <v>SNJ54LS241J</v>
      </c>
      <c r="B23946" s="3" t="s">
        <v>90</v>
      </c>
      <c r="C23946" s="5">
        <v>44</v>
      </c>
      <c r="D23946" s="6">
        <v>11.7</v>
      </c>
    </row>
    <row r="23947" spans="1:4" x14ac:dyDescent="0.25">
      <c r="A23947" t="str">
        <f>HYPERLINK("https://www.773grp.com/globalSearch/THS3202DGN/page-1", "THS3202DGN")</f>
        <v>THS3202DGN</v>
      </c>
      <c r="B23947" s="3" t="s">
        <v>90</v>
      </c>
      <c r="C23947" s="5">
        <v>15</v>
      </c>
      <c r="D23947" s="6">
        <v>11.7</v>
      </c>
    </row>
    <row r="23948" spans="1:4" x14ac:dyDescent="0.25">
      <c r="A23948" t="str">
        <f>HYPERLINK("https://www.773grp.com/globalSearch/TM4C1233E6PZI/page-1", "TM4C1233E6PZI")</f>
        <v>TM4C1233E6PZI</v>
      </c>
      <c r="B23948" s="3" t="s">
        <v>90</v>
      </c>
      <c r="C23948" s="5">
        <v>90</v>
      </c>
      <c r="D23948" s="6">
        <v>11.7</v>
      </c>
    </row>
    <row r="23949" spans="1:4" x14ac:dyDescent="0.25">
      <c r="A23949" t="str">
        <f>HYPERLINK("https://www.773grp.com/globalSearch/UC2823DW-70032/page-1", "UC2823DW-70032")</f>
        <v>UC2823DW-70032</v>
      </c>
      <c r="B23949" s="3" t="s">
        <v>90</v>
      </c>
      <c r="C23949" s="5">
        <v>5020</v>
      </c>
      <c r="D23949" s="6">
        <v>11.7</v>
      </c>
    </row>
    <row r="23950" spans="1:4" x14ac:dyDescent="0.25">
      <c r="A23950" t="str">
        <f>HYPERLINK("https://www.773grp.com/globalSearch/UC2823DW-70032/page-1", "UC2823DW-70032")</f>
        <v>UC2823DW-70032</v>
      </c>
      <c r="B23950" s="3" t="s">
        <v>90</v>
      </c>
      <c r="C23950" s="5">
        <v>2800</v>
      </c>
      <c r="D23950" s="6">
        <v>11.7</v>
      </c>
    </row>
    <row r="23951" spans="1:4" x14ac:dyDescent="0.25">
      <c r="A23951" t="str">
        <f>HYPERLINK("https://www.773grp.com/globalSearch/SN65LV1023ARHBT/page-1", "SN65LV1023ARHBT")</f>
        <v>SN65LV1023ARHBT</v>
      </c>
      <c r="B23951" s="3" t="s">
        <v>90</v>
      </c>
      <c r="C23951" s="5">
        <v>2565</v>
      </c>
      <c r="D23951" s="6">
        <v>11.73</v>
      </c>
    </row>
    <row r="23952" spans="1:4" x14ac:dyDescent="0.25">
      <c r="A23952" t="str">
        <f>HYPERLINK("https://www.773grp.com/globalSearch/SN74AS826ANT/page-1", "SN74AS826ANT")</f>
        <v>SN74AS826ANT</v>
      </c>
      <c r="B23952" s="3" t="s">
        <v>90</v>
      </c>
      <c r="C23952" s="5">
        <v>5</v>
      </c>
      <c r="D23952" s="6">
        <v>11.76</v>
      </c>
    </row>
    <row r="23953" spans="1:4" x14ac:dyDescent="0.25">
      <c r="A23953" t="str">
        <f>HYPERLINK("https://www.773grp.com/globalSearch/TM4C1232D5PMI/page-1", "TM4C1232D5PMI")</f>
        <v>TM4C1232D5PMI</v>
      </c>
      <c r="B23953" s="3" t="s">
        <v>90</v>
      </c>
      <c r="C23953" s="5">
        <v>160</v>
      </c>
      <c r="D23953" s="6">
        <v>11.78</v>
      </c>
    </row>
    <row r="23954" spans="1:4" x14ac:dyDescent="0.25">
      <c r="A23954" t="str">
        <f>HYPERLINK("https://www.773grp.com/globalSearch/TSP50P11CDW2D1/page-1", "TSP50P11CDW2D1")</f>
        <v>TSP50P11CDW2D1</v>
      </c>
      <c r="B23954" s="3" t="s">
        <v>90</v>
      </c>
      <c r="C23954" s="5">
        <v>207</v>
      </c>
      <c r="D23954" s="6">
        <v>11.78</v>
      </c>
    </row>
    <row r="23955" spans="1:4" x14ac:dyDescent="0.25">
      <c r="A23955" t="str">
        <f>HYPERLINK("https://www.773grp.com/globalSearch/UC2833DW/page-1", "UC2833DW")</f>
        <v>UC2833DW</v>
      </c>
      <c r="B23955" s="3" t="s">
        <v>90</v>
      </c>
      <c r="C23955" s="5">
        <v>10200</v>
      </c>
      <c r="D23955" s="6">
        <v>11.78</v>
      </c>
    </row>
    <row r="23956" spans="1:4" x14ac:dyDescent="0.25">
      <c r="A23956" t="str">
        <f>HYPERLINK("https://www.773grp.com/globalSearch/BUF634U/page-1", "BUF634U")</f>
        <v>BUF634U</v>
      </c>
      <c r="B23956" s="3" t="s">
        <v>90</v>
      </c>
      <c r="C23956" s="5">
        <v>189</v>
      </c>
      <c r="D23956" s="6">
        <v>11.81</v>
      </c>
    </row>
    <row r="23957" spans="1:4" x14ac:dyDescent="0.25">
      <c r="A23957" t="str">
        <f>HYPERLINK("https://www.773grp.com/globalSearch/CC1020RUZ/page-1", "CC1020RUZ")</f>
        <v>CC1020RUZ</v>
      </c>
      <c r="B23957" s="3" t="s">
        <v>90</v>
      </c>
      <c r="C23957" s="5">
        <v>2038</v>
      </c>
      <c r="D23957" s="6">
        <v>11.81</v>
      </c>
    </row>
    <row r="23958" spans="1:4" x14ac:dyDescent="0.25">
      <c r="A23958" t="str">
        <f>HYPERLINK("https://www.773grp.com/globalSearch/DAC7564IAPWG4/page-1", "DAC7564IAPWG4")</f>
        <v>DAC7564IAPWG4</v>
      </c>
      <c r="B23958" s="3" t="s">
        <v>90</v>
      </c>
      <c r="C23958" s="5">
        <v>65</v>
      </c>
      <c r="D23958" s="6">
        <v>11.81</v>
      </c>
    </row>
    <row r="23959" spans="1:4" x14ac:dyDescent="0.25">
      <c r="A23959" t="str">
        <f>HYPERLINK("https://www.773grp.com/globalSearch/INA115AU-1K/page-1", "INA115AU-1K")</f>
        <v>INA115AU-1K</v>
      </c>
      <c r="B23959" s="3" t="s">
        <v>90</v>
      </c>
      <c r="C23959" s="5">
        <v>35000</v>
      </c>
      <c r="D23959" s="6">
        <v>11.81</v>
      </c>
    </row>
    <row r="23960" spans="1:4" x14ac:dyDescent="0.25">
      <c r="A23960" t="str">
        <f>HYPERLINK("https://www.773grp.com/globalSearch/INA115AU-1/page-1", "INA115AU-1")</f>
        <v>INA115AU-1</v>
      </c>
      <c r="B23960" s="3" t="s">
        <v>90</v>
      </c>
      <c r="C23960" s="5">
        <v>1139</v>
      </c>
      <c r="D23960" s="6">
        <v>11.81</v>
      </c>
    </row>
    <row r="23961" spans="1:4" x14ac:dyDescent="0.25">
      <c r="A23961" t="str">
        <f>HYPERLINK("https://www.773grp.com/globalSearch/INA115AU-1-1K/page-1", "INA115AU-1-1K")</f>
        <v>INA115AU-1-1K</v>
      </c>
      <c r="B23961" s="3" t="s">
        <v>90</v>
      </c>
      <c r="C23961" s="5">
        <v>3000</v>
      </c>
      <c r="D23961" s="6">
        <v>11.81</v>
      </c>
    </row>
    <row r="23962" spans="1:4" x14ac:dyDescent="0.25">
      <c r="A23962" t="str">
        <f>HYPERLINK("https://www.773grp.com/globalSearch/MSP430F5435AIPN/page-1", "MSP430F5435AIPN")</f>
        <v>MSP430F5435AIPN</v>
      </c>
      <c r="B23962" s="3" t="s">
        <v>90</v>
      </c>
      <c r="C23962" s="5">
        <v>145</v>
      </c>
      <c r="D23962" s="6">
        <v>11.81</v>
      </c>
    </row>
    <row r="23963" spans="1:4" x14ac:dyDescent="0.25">
      <c r="A23963" t="str">
        <f>HYPERLINK("https://www.773grp.com/globalSearch/TAS5612LADDV/page-1", "TAS5612LADDV")</f>
        <v>TAS5612LADDV</v>
      </c>
      <c r="B23963" s="3" t="s">
        <v>90</v>
      </c>
      <c r="C23963" s="5">
        <v>2015</v>
      </c>
      <c r="D23963" s="6">
        <v>11.81</v>
      </c>
    </row>
    <row r="23964" spans="1:4" x14ac:dyDescent="0.25">
      <c r="A23964" t="str">
        <f>HYPERLINK("https://www.773grp.com/globalSearch/TLC1542CDW/page-1", "TLC1542CDW")</f>
        <v>TLC1542CDW</v>
      </c>
      <c r="B23964" s="3" t="s">
        <v>90</v>
      </c>
      <c r="C23964" s="5">
        <v>645</v>
      </c>
      <c r="D23964" s="6">
        <v>11.81</v>
      </c>
    </row>
    <row r="23965" spans="1:4" x14ac:dyDescent="0.25">
      <c r="A23965" t="str">
        <f>HYPERLINK("https://www.773grp.com/globalSearch/UC2832DWTR/page-1", "UC2832DWTR")</f>
        <v>UC2832DWTR</v>
      </c>
      <c r="B23965" s="3" t="s">
        <v>90</v>
      </c>
      <c r="C23965" s="5">
        <v>20000</v>
      </c>
      <c r="D23965" s="6">
        <v>11.81</v>
      </c>
    </row>
    <row r="23966" spans="1:4" x14ac:dyDescent="0.25">
      <c r="A23966" t="str">
        <f>HYPERLINK("https://www.773grp.com/globalSearch/LF356H/page-1", "LF356H")</f>
        <v>LF356H</v>
      </c>
      <c r="B23966" s="3" t="s">
        <v>90</v>
      </c>
      <c r="C23966" s="5">
        <v>97</v>
      </c>
      <c r="D23966" s="6">
        <v>11.86</v>
      </c>
    </row>
    <row r="23967" spans="1:4" x14ac:dyDescent="0.25">
      <c r="A23967" t="str">
        <f>HYPERLINK("https://www.773grp.com/globalSearch/SN74AS843ANT/page-1", "SN74AS843ANT")</f>
        <v>SN74AS843ANT</v>
      </c>
      <c r="B23967" s="3" t="s">
        <v>90</v>
      </c>
      <c r="C23967" s="5">
        <v>10</v>
      </c>
      <c r="D23967" s="6">
        <v>11.86</v>
      </c>
    </row>
    <row r="23968" spans="1:4" x14ac:dyDescent="0.25">
      <c r="A23968" t="str">
        <f>HYPERLINK("https://www.773grp.com/globalSearch/THS3001CDGN/page-1", "THS3001CDGN")</f>
        <v>THS3001CDGN</v>
      </c>
      <c r="B23968" s="3" t="s">
        <v>90</v>
      </c>
      <c r="C23968" s="5">
        <v>5194</v>
      </c>
      <c r="D23968" s="6">
        <v>11.86</v>
      </c>
    </row>
    <row r="23969" spans="1:4" x14ac:dyDescent="0.25">
      <c r="A23969" t="str">
        <f>HYPERLINK("https://www.773grp.com/globalSearch/THS8135PHPG4/page-1", "THS8135PHPG4")</f>
        <v>THS8135PHPG4</v>
      </c>
      <c r="B23969" s="3" t="s">
        <v>90</v>
      </c>
      <c r="C23969" s="5">
        <v>1663</v>
      </c>
      <c r="D23969" s="6">
        <v>11.86</v>
      </c>
    </row>
    <row r="23970" spans="1:4" x14ac:dyDescent="0.25">
      <c r="A23970" t="str">
        <f>HYPERLINK("https://www.773grp.com/globalSearch/DS14C535MSA-NOPB/page-1", "DS14C535MSA-NOPB")</f>
        <v>DS14C535MSA-NOPB</v>
      </c>
      <c r="B23970" s="3" t="s">
        <v>90</v>
      </c>
      <c r="C23970" s="5">
        <v>229</v>
      </c>
      <c r="D23970" s="6">
        <v>11.9</v>
      </c>
    </row>
    <row r="23971" spans="1:4" x14ac:dyDescent="0.25">
      <c r="A23971" t="str">
        <f>HYPERLINK("https://www.773grp.com/globalSearch/DS90CR215MTD/page-1", "DS90CR215MTD")</f>
        <v>DS90CR215MTD</v>
      </c>
      <c r="B23971" s="3" t="s">
        <v>90</v>
      </c>
      <c r="C23971" s="5">
        <v>114</v>
      </c>
      <c r="D23971" s="6">
        <v>11.9</v>
      </c>
    </row>
    <row r="23972" spans="1:4" x14ac:dyDescent="0.25">
      <c r="A23972" t="str">
        <f>HYPERLINK("https://www.773grp.com/globalSearch/PC16550DV-NOPB/page-1", "PC16550DV-NOPB")</f>
        <v>PC16550DV-NOPB</v>
      </c>
      <c r="B23972" s="3" t="s">
        <v>90</v>
      </c>
      <c r="C23972" s="5">
        <v>1300</v>
      </c>
      <c r="D23972" s="6">
        <v>11.9</v>
      </c>
    </row>
    <row r="23973" spans="1:4" x14ac:dyDescent="0.25">
      <c r="A23973" t="str">
        <f>HYPERLINK("https://www.773grp.com/globalSearch/TLC1542IN/page-1", "TLC1542IN")</f>
        <v>TLC1542IN</v>
      </c>
      <c r="B23973" s="3" t="s">
        <v>90</v>
      </c>
      <c r="C23973" s="5">
        <v>35240</v>
      </c>
      <c r="D23973" s="6">
        <v>11.9</v>
      </c>
    </row>
    <row r="23974" spans="1:4" x14ac:dyDescent="0.25">
      <c r="A23974" t="str">
        <f>HYPERLINK("https://www.773grp.com/globalSearch/TLC1542INE4/page-1", "TLC1542INE4")</f>
        <v>TLC1542INE4</v>
      </c>
      <c r="B23974" s="3" t="s">
        <v>90</v>
      </c>
      <c r="C23974" s="5">
        <v>20</v>
      </c>
      <c r="D23974" s="6">
        <v>11.9</v>
      </c>
    </row>
    <row r="23975" spans="1:4" x14ac:dyDescent="0.25">
      <c r="A23975" t="str">
        <f>HYPERLINK("https://www.773grp.com/globalSearch/TM4C123AH6PMI/page-1", "TM4C123AH6PMI")</f>
        <v>TM4C123AH6PMI</v>
      </c>
      <c r="B23975" s="3" t="s">
        <v>90</v>
      </c>
      <c r="C23975" s="5">
        <v>160</v>
      </c>
      <c r="D23975" s="6">
        <v>11.9</v>
      </c>
    </row>
    <row r="23976" spans="1:4" x14ac:dyDescent="0.25">
      <c r="A23976" t="str">
        <f>HYPERLINK("https://www.773grp.com/globalSearch/TM4C123BH6PMI/page-1", "TM4C123BH6PMI")</f>
        <v>TM4C123BH6PMI</v>
      </c>
      <c r="B23976" s="3" t="s">
        <v>90</v>
      </c>
      <c r="C23976" s="5">
        <v>160</v>
      </c>
      <c r="D23976" s="6">
        <v>11.9</v>
      </c>
    </row>
    <row r="23977" spans="1:4" x14ac:dyDescent="0.25">
      <c r="A23977" t="str">
        <f>HYPERLINK("https://www.773grp.com/globalSearch/TM4C1231H6PZI/page-1", "TM4C1231H6PZI")</f>
        <v>TM4C1231H6PZI</v>
      </c>
      <c r="B23977" s="3" t="s">
        <v>90</v>
      </c>
      <c r="C23977" s="5">
        <v>65</v>
      </c>
      <c r="D23977" s="6">
        <v>11.93</v>
      </c>
    </row>
    <row r="23978" spans="1:4" x14ac:dyDescent="0.25">
      <c r="A23978" t="str">
        <f>HYPERLINK("https://www.773grp.com/globalSearch/32P4910BP-CGF/page-1", "32P4910BP-CGF")</f>
        <v>32P4910BP-CGF</v>
      </c>
      <c r="B23978" s="3" t="s">
        <v>90</v>
      </c>
      <c r="C23978" s="5">
        <v>100000</v>
      </c>
      <c r="D23978" s="6">
        <v>11.95</v>
      </c>
    </row>
    <row r="23979" spans="1:4" x14ac:dyDescent="0.25">
      <c r="A23979" t="str">
        <f>HYPERLINK("https://www.773grp.com/globalSearch/DAC7612UB/page-1", "DAC7612UB")</f>
        <v>DAC7612UB</v>
      </c>
      <c r="B23979" s="3" t="s">
        <v>90</v>
      </c>
      <c r="C23979" s="5">
        <v>67050</v>
      </c>
      <c r="D23979" s="6">
        <v>11.95</v>
      </c>
    </row>
    <row r="23980" spans="1:4" x14ac:dyDescent="0.25">
      <c r="A23980" t="str">
        <f>HYPERLINK("https://www.773grp.com/globalSearch/LMZ12001TZX-ADJ-NOPB/page-1", "LMZ12001TZX-ADJ-NOPB")</f>
        <v>LMZ12001TZX-ADJ-NOPB</v>
      </c>
      <c r="B23980" s="3" t="s">
        <v>90</v>
      </c>
      <c r="C23980" s="5">
        <v>500</v>
      </c>
      <c r="D23980" s="6">
        <v>11.95</v>
      </c>
    </row>
    <row r="23981" spans="1:4" x14ac:dyDescent="0.25">
      <c r="A23981" t="str">
        <f>HYPERLINK("https://www.773grp.com/globalSearch/OPT211P-J/page-1", "OPT211P-J")</f>
        <v>OPT211P-J</v>
      </c>
      <c r="B23981" s="3" t="s">
        <v>90</v>
      </c>
      <c r="C23981" s="5">
        <v>38</v>
      </c>
      <c r="D23981" s="6">
        <v>11.95</v>
      </c>
    </row>
    <row r="23982" spans="1:4" x14ac:dyDescent="0.25">
      <c r="A23982" t="str">
        <f>HYPERLINK("https://www.773grp.com/globalSearch/SN54HCT237J/page-1", "SN54HCT237J")</f>
        <v>SN54HCT237J</v>
      </c>
      <c r="B23982" s="3" t="s">
        <v>90</v>
      </c>
      <c r="C23982" s="5">
        <v>47</v>
      </c>
      <c r="D23982" s="6">
        <v>11.95</v>
      </c>
    </row>
    <row r="23983" spans="1:4" x14ac:dyDescent="0.25">
      <c r="A23983" t="str">
        <f>HYPERLINK("https://www.773grp.com/globalSearch/SN65LVPE502CPRGER/page-1", "SN65LVPE502CPRGER")</f>
        <v>SN65LVPE502CPRGER</v>
      </c>
      <c r="B23983" s="3" t="s">
        <v>90</v>
      </c>
      <c r="C23983" s="5">
        <v>4961</v>
      </c>
      <c r="D23983" s="6">
        <v>11.95</v>
      </c>
    </row>
    <row r="23984" spans="1:4" x14ac:dyDescent="0.25">
      <c r="A23984" t="str">
        <f>HYPERLINK("https://www.773grp.com/globalSearch/SN74ALS808AFN/page-1", "SN74ALS808AFN")</f>
        <v>SN74ALS808AFN</v>
      </c>
      <c r="B23984" s="3" t="s">
        <v>90</v>
      </c>
      <c r="C23984" s="5">
        <v>1246</v>
      </c>
      <c r="D23984" s="6">
        <v>11.95</v>
      </c>
    </row>
    <row r="23985" spans="1:4" x14ac:dyDescent="0.25">
      <c r="A23985" t="str">
        <f>HYPERLINK("https://www.773grp.com/globalSearch/SN74AS533FN/page-1", "SN74AS533FN")</f>
        <v>SN74AS533FN</v>
      </c>
      <c r="B23985" s="3" t="s">
        <v>90</v>
      </c>
      <c r="C23985" s="5">
        <v>792</v>
      </c>
      <c r="D23985" s="6">
        <v>11.95</v>
      </c>
    </row>
    <row r="23986" spans="1:4" x14ac:dyDescent="0.25">
      <c r="A23986" t="str">
        <f>HYPERLINK("https://www.773grp.com/globalSearch/SN74H01N3/page-1", "SN74H01N3")</f>
        <v>SN74H01N3</v>
      </c>
      <c r="B23986" s="3" t="s">
        <v>90</v>
      </c>
      <c r="C23986" s="5">
        <v>341</v>
      </c>
      <c r="D23986" s="6">
        <v>11.95</v>
      </c>
    </row>
    <row r="23987" spans="1:4" x14ac:dyDescent="0.25">
      <c r="A23987" t="str">
        <f>HYPERLINK("https://www.773grp.com/globalSearch/SN74H05N3/page-1", "SN74H05N3")</f>
        <v>SN74H05N3</v>
      </c>
      <c r="B23987" s="3" t="s">
        <v>90</v>
      </c>
      <c r="C23987" s="5">
        <v>3464</v>
      </c>
      <c r="D23987" s="6">
        <v>11.95</v>
      </c>
    </row>
    <row r="23988" spans="1:4" x14ac:dyDescent="0.25">
      <c r="A23988" t="str">
        <f>HYPERLINK("https://www.773grp.com/globalSearch/SN75LVDS888PFD/page-1", "SN75LVDS888PFD")</f>
        <v>SN75LVDS888PFD</v>
      </c>
      <c r="B23988" s="3" t="s">
        <v>90</v>
      </c>
      <c r="C23988" s="5">
        <v>1</v>
      </c>
      <c r="D23988" s="6">
        <v>11.95</v>
      </c>
    </row>
    <row r="23989" spans="1:4" x14ac:dyDescent="0.25">
      <c r="A23989" t="str">
        <f>HYPERLINK("https://www.773grp.com/globalSearch/SNJ54HC533J/page-1", "SNJ54HC533J")</f>
        <v>SNJ54HC533J</v>
      </c>
      <c r="B23989" s="3" t="s">
        <v>90</v>
      </c>
      <c r="C23989" s="5">
        <v>1103</v>
      </c>
      <c r="D23989" s="6">
        <v>11.95</v>
      </c>
    </row>
    <row r="23990" spans="1:4" x14ac:dyDescent="0.25">
      <c r="A23990" t="str">
        <f>HYPERLINK("https://www.773grp.com/globalSearch/TLK6201EARGTR/page-1", "TLK6201EARGTR")</f>
        <v>TLK6201EARGTR</v>
      </c>
      <c r="B23990" s="3" t="s">
        <v>90</v>
      </c>
      <c r="C23990" s="5">
        <v>5174</v>
      </c>
      <c r="D23990" s="6">
        <v>11.95</v>
      </c>
    </row>
    <row r="23991" spans="1:4" x14ac:dyDescent="0.25">
      <c r="A23991" t="str">
        <f>HYPERLINK("https://www.773grp.com/globalSearch/TMS320F28032PNS/page-1", "TMS320F28032PNS")</f>
        <v>TMS320F28032PNS</v>
      </c>
      <c r="B23991" s="3" t="s">
        <v>90</v>
      </c>
      <c r="C23991" s="5">
        <v>3</v>
      </c>
      <c r="D23991" s="6">
        <v>11.95</v>
      </c>
    </row>
    <row r="23992" spans="1:4" x14ac:dyDescent="0.25">
      <c r="A23992" t="str">
        <f>HYPERLINK("https://www.773grp.com/globalSearch/TPS62110MRSAREP/page-1", "TPS62110MRSAREP")</f>
        <v>TPS62110MRSAREP</v>
      </c>
      <c r="B23992" s="3" t="s">
        <v>90</v>
      </c>
      <c r="C23992" s="5">
        <v>1096</v>
      </c>
      <c r="D23992" s="6">
        <v>11.95</v>
      </c>
    </row>
    <row r="23993" spans="1:4" x14ac:dyDescent="0.25">
      <c r="A23993" t="str">
        <f>HYPERLINK("https://www.773grp.com/globalSearch/BQ20Z40PW-R1/page-1", "BQ20Z40PW-R1")</f>
        <v>BQ20Z40PW-R1</v>
      </c>
      <c r="B23993" s="3" t="s">
        <v>90</v>
      </c>
      <c r="C23993" s="5">
        <v>2730</v>
      </c>
      <c r="D23993" s="6">
        <v>11.99</v>
      </c>
    </row>
    <row r="23994" spans="1:4" x14ac:dyDescent="0.25">
      <c r="A23994" t="str">
        <f>HYPERLINK("https://www.773grp.com/globalSearch/BQ2913SN-A513TR/page-1", "BQ2913SN-A513TR")</f>
        <v>BQ2913SN-A513TR</v>
      </c>
      <c r="B23994" s="3" t="s">
        <v>90</v>
      </c>
      <c r="C23994" s="5">
        <v>15000</v>
      </c>
      <c r="D23994" s="6">
        <v>11.99</v>
      </c>
    </row>
    <row r="23995" spans="1:4" x14ac:dyDescent="0.25">
      <c r="A23995" t="str">
        <f>HYPERLINK("https://www.773grp.com/globalSearch/TMS320F2801PZA-60/page-1", "TMS320F2801PZA-60")</f>
        <v>TMS320F2801PZA-60</v>
      </c>
      <c r="B23995" s="3" t="s">
        <v>90</v>
      </c>
      <c r="C23995" s="5">
        <v>21</v>
      </c>
      <c r="D23995" s="6">
        <v>11.99</v>
      </c>
    </row>
    <row r="23996" spans="1:4" x14ac:dyDescent="0.25">
      <c r="A23996" t="str">
        <f>HYPERLINK("https://www.773grp.com/globalSearch/TVP5146PFPR/page-1", "TVP5146PFPR")</f>
        <v>TVP5146PFPR</v>
      </c>
      <c r="B23996" s="3" t="s">
        <v>90</v>
      </c>
      <c r="C23996" s="5">
        <v>4000</v>
      </c>
      <c r="D23996" s="6">
        <v>12.01</v>
      </c>
    </row>
    <row r="23997" spans="1:4" x14ac:dyDescent="0.25">
      <c r="A23997" t="str">
        <f>HYPERLINK("https://www.773grp.com/globalSearch/TM4C123GE6PZI/page-1", "TM4C123GE6PZI")</f>
        <v>TM4C123GE6PZI</v>
      </c>
      <c r="B23997" s="3" t="s">
        <v>90</v>
      </c>
      <c r="C23997" s="5">
        <v>90</v>
      </c>
      <c r="D23997" s="6">
        <v>12.04</v>
      </c>
    </row>
    <row r="23998" spans="1:4" x14ac:dyDescent="0.25">
      <c r="A23998" t="str">
        <f>HYPERLINK("https://www.773grp.com/globalSearch/32R2210RX-4CV/page-1", "32R2210RX-4CV")</f>
        <v>32R2210RX-4CV</v>
      </c>
      <c r="B23998" s="3" t="s">
        <v>90</v>
      </c>
      <c r="C23998" s="5">
        <v>130048</v>
      </c>
      <c r="D23998" s="6">
        <v>12.06</v>
      </c>
    </row>
    <row r="23999" spans="1:4" x14ac:dyDescent="0.25">
      <c r="A23999" t="str">
        <f>HYPERLINK("https://www.773grp.com/globalSearch/32R2212RV-4CV/page-1", "32R2212RV-4CV")</f>
        <v>32R2212RV-4CV</v>
      </c>
      <c r="B23999" s="3" t="s">
        <v>90</v>
      </c>
      <c r="C23999" s="5">
        <v>12619</v>
      </c>
      <c r="D23999" s="6">
        <v>12.06</v>
      </c>
    </row>
    <row r="24000" spans="1:4" x14ac:dyDescent="0.25">
      <c r="A24000" t="str">
        <f>HYPERLINK("https://www.773grp.com/globalSearch/MPD13648WA/page-1", "MPD13648WA")</f>
        <v>MPD13648WA</v>
      </c>
      <c r="B24000" s="3" t="s">
        <v>90</v>
      </c>
      <c r="C24000" s="5">
        <v>327</v>
      </c>
      <c r="D24000" s="6">
        <v>12.06</v>
      </c>
    </row>
    <row r="24001" spans="1:4" x14ac:dyDescent="0.25">
      <c r="A24001" t="str">
        <f>HYPERLINK("https://www.773grp.com/globalSearch/BQ20Z65DBTR/page-1", "BQ20Z65DBTR")</f>
        <v>BQ20Z65DBTR</v>
      </c>
      <c r="B24001" s="3" t="s">
        <v>90</v>
      </c>
      <c r="C24001" s="5">
        <v>9970</v>
      </c>
      <c r="D24001" s="6">
        <v>12.1</v>
      </c>
    </row>
    <row r="24002" spans="1:4" x14ac:dyDescent="0.25">
      <c r="A24002" t="str">
        <f>HYPERLINK("https://www.773grp.com/globalSearch/DS90C365AMT/page-1", "DS90C365AMT")</f>
        <v>DS90C365AMT</v>
      </c>
      <c r="B24002" s="3" t="s">
        <v>90</v>
      </c>
      <c r="C24002" s="5">
        <v>106</v>
      </c>
      <c r="D24002" s="6">
        <v>12.1</v>
      </c>
    </row>
    <row r="24003" spans="1:4" x14ac:dyDescent="0.25">
      <c r="A24003" t="str">
        <f>HYPERLINK("https://www.773grp.com/globalSearch/INA141UAE4/page-1", "INA141UAE4")</f>
        <v>INA141UAE4</v>
      </c>
      <c r="B24003" s="3" t="s">
        <v>90</v>
      </c>
      <c r="C24003" s="5">
        <v>29</v>
      </c>
      <c r="D24003" s="6">
        <v>12.1</v>
      </c>
    </row>
    <row r="24004" spans="1:4" x14ac:dyDescent="0.25">
      <c r="A24004" t="str">
        <f>HYPERLINK("https://www.773grp.com/globalSearch/ISO35MDW/page-1", "ISO35MDW")</f>
        <v>ISO35MDW</v>
      </c>
      <c r="B24004" s="3" t="s">
        <v>90</v>
      </c>
      <c r="C24004" s="5">
        <v>35</v>
      </c>
      <c r="D24004" s="6">
        <v>12.1</v>
      </c>
    </row>
    <row r="24005" spans="1:4" x14ac:dyDescent="0.25">
      <c r="A24005" t="str">
        <f>HYPERLINK("https://www.773grp.com/globalSearch/MSP430F437IPN/page-1", "MSP430F437IPN")</f>
        <v>MSP430F437IPN</v>
      </c>
      <c r="B24005" s="3" t="s">
        <v>90</v>
      </c>
      <c r="C24005" s="5">
        <v>57715</v>
      </c>
      <c r="D24005" s="6">
        <v>12.1</v>
      </c>
    </row>
    <row r="24006" spans="1:4" x14ac:dyDescent="0.25">
      <c r="A24006" t="str">
        <f>HYPERLINK("https://www.773grp.com/globalSearch/SLC320AD535PM-MCI/page-1", "SLC320AD535PM-MCI")</f>
        <v>SLC320AD535PM-MCI</v>
      </c>
      <c r="B24006" s="3" t="s">
        <v>90</v>
      </c>
      <c r="C24006" s="5">
        <v>320</v>
      </c>
      <c r="D24006" s="6">
        <v>12.1</v>
      </c>
    </row>
    <row r="24007" spans="1:4" x14ac:dyDescent="0.25">
      <c r="A24007" t="str">
        <f>HYPERLINK("https://www.773grp.com/globalSearch/T7705102CA/page-1", "T7705102CA")</f>
        <v>T7705102CA</v>
      </c>
      <c r="B24007" s="3" t="s">
        <v>90</v>
      </c>
      <c r="C24007" s="5">
        <v>8</v>
      </c>
      <c r="D24007" s="6">
        <v>12.1</v>
      </c>
    </row>
    <row r="24008" spans="1:4" x14ac:dyDescent="0.25">
      <c r="A24008" t="str">
        <f>HYPERLINK("https://www.773grp.com/globalSearch/TLV2556IPW/page-1", "TLV2556IPW")</f>
        <v>TLV2556IPW</v>
      </c>
      <c r="B24008" s="3" t="s">
        <v>90</v>
      </c>
      <c r="C24008" s="5">
        <v>632</v>
      </c>
      <c r="D24008" s="6">
        <v>12.1</v>
      </c>
    </row>
    <row r="24009" spans="1:4" x14ac:dyDescent="0.25">
      <c r="A24009" t="str">
        <f>HYPERLINK("https://www.773grp.com/globalSearch/TM4C1236D5PMI/page-1", "TM4C1236D5PMI")</f>
        <v>TM4C1236D5PMI</v>
      </c>
      <c r="B24009" s="3" t="s">
        <v>90</v>
      </c>
      <c r="C24009" s="5">
        <v>160</v>
      </c>
      <c r="D24009" s="6">
        <v>12.1</v>
      </c>
    </row>
    <row r="24010" spans="1:4" x14ac:dyDescent="0.25">
      <c r="A24010" t="str">
        <f>HYPERLINK("https://www.773grp.com/globalSearch/TSN74ALVCH162601DL/page-1", "TSN74ALVCH162601DL")</f>
        <v>TSN74ALVCH162601DL</v>
      </c>
      <c r="B24010" s="3" t="s">
        <v>90</v>
      </c>
      <c r="C24010" s="5">
        <v>2</v>
      </c>
      <c r="D24010" s="6">
        <v>12.1</v>
      </c>
    </row>
    <row r="24011" spans="1:4" x14ac:dyDescent="0.25">
      <c r="A24011" t="str">
        <f>HYPERLINK("https://www.773grp.com/globalSearch/TPS53355DQPT/page-1", "TPS53355DQPT")</f>
        <v>TPS53355DQPT</v>
      </c>
      <c r="B24011" s="3" t="str">
        <f>HYPERLINK("https://www.773grp.com/manufacturer/texas-instruments?pageNo=13", "Texas Instruments")</f>
        <v>Texas Instruments</v>
      </c>
      <c r="C24011" s="5">
        <v>4602</v>
      </c>
      <c r="D24011" s="6">
        <v>12.11</v>
      </c>
    </row>
    <row r="24012" spans="1:4" x14ac:dyDescent="0.25">
      <c r="A24012" t="str">
        <f>HYPERLINK("https://www.773grp.com/globalSearch/TPS56221DQPT/page-1", "TPS56221DQPT")</f>
        <v>TPS56221DQPT</v>
      </c>
      <c r="B24012" s="3" t="str">
        <f>HYPERLINK("https://www.773grp.com/manufacturer/texas-instruments?pageNo=14", "Texas Instruments")</f>
        <v>Texas Instruments</v>
      </c>
      <c r="C24012" s="5">
        <v>250</v>
      </c>
      <c r="D24012" s="6">
        <v>12.11</v>
      </c>
    </row>
    <row r="24013" spans="1:4" x14ac:dyDescent="0.25">
      <c r="A24013" t="str">
        <f>HYPERLINK("https://www.773grp.com/globalSearch/320AC01C/page-1", "320AC01C")</f>
        <v>320AC01C</v>
      </c>
      <c r="B24013" s="3" t="str">
        <f>HYPERLINK("https://www.773grp.com/manufacturer/texas-instruments?pageNo=15", "Texas Instruments")</f>
        <v>Texas Instruments</v>
      </c>
      <c r="C24013" s="5">
        <v>808</v>
      </c>
      <c r="D24013" s="6">
        <v>12.15</v>
      </c>
    </row>
    <row r="24014" spans="1:4" x14ac:dyDescent="0.25">
      <c r="A24014" t="str">
        <f>HYPERLINK("https://www.773grp.com/globalSearch/PCM2707CPJT/page-1", "PCM2707CPJT")</f>
        <v>PCM2707CPJT</v>
      </c>
      <c r="B24014" s="3" t="str">
        <f>HYPERLINK("https://www.773grp.com/manufacturer/texas-instruments?pageNo=19", "Texas Instruments")</f>
        <v>Texas Instruments</v>
      </c>
      <c r="C24014" s="5">
        <v>233</v>
      </c>
      <c r="D24014" s="6">
        <v>12.15</v>
      </c>
    </row>
    <row r="24015" spans="1:4" x14ac:dyDescent="0.25">
      <c r="A24015" t="str">
        <f>HYPERLINK("https://www.773grp.com/globalSearch/TM4C1237D5PMI/page-1", "TM4C1237D5PMI")</f>
        <v>TM4C1237D5PMI</v>
      </c>
      <c r="B24015" s="3" t="str">
        <f>HYPERLINK("https://www.773grp.com/manufacturer/texas-instruments?pageNo=25", "Texas Instruments")</f>
        <v>Texas Instruments</v>
      </c>
      <c r="C24015" s="5">
        <v>160</v>
      </c>
      <c r="D24015" s="6">
        <v>12.15</v>
      </c>
    </row>
    <row r="24016" spans="1:4" x14ac:dyDescent="0.25">
      <c r="A24016" t="str">
        <f>HYPERLINK("https://www.773grp.com/globalSearch/MSP430F148IPMR/page-1", "MSP430F148IPMR")</f>
        <v>MSP430F148IPMR</v>
      </c>
      <c r="B24016" s="3" t="str">
        <f>HYPERLINK("https://www.773grp.com/manufacturer/texas-instruments?pageNo=28", "Texas Instruments")</f>
        <v>Texas Instruments</v>
      </c>
      <c r="C24016" s="5">
        <v>3000</v>
      </c>
      <c r="D24016" s="6">
        <v>12.19</v>
      </c>
    </row>
    <row r="24017" spans="1:4" x14ac:dyDescent="0.25">
      <c r="A24017" t="str">
        <f>HYPERLINK("https://www.773grp.com/globalSearch/TMS50C20NL/page-1", "TMS50C20NL")</f>
        <v>TMS50C20NL</v>
      </c>
      <c r="B24017" s="3" t="str">
        <f>HYPERLINK("https://www.773grp.com/manufacturer/texas-instruments?pageNo=35", "Texas Instruments")</f>
        <v>Texas Instruments</v>
      </c>
      <c r="C24017" s="5">
        <v>310</v>
      </c>
      <c r="D24017" s="6">
        <v>12.19</v>
      </c>
    </row>
    <row r="24018" spans="1:4" x14ac:dyDescent="0.25">
      <c r="A24018" t="str">
        <f>HYPERLINK("https://www.773grp.com/globalSearch/BQ20Z70PW-V160/page-1", "BQ20Z70PW-V160")</f>
        <v>BQ20Z70PW-V160</v>
      </c>
      <c r="B24018" s="3" t="str">
        <f>HYPERLINK("https://www.773grp.com/manufacturer/texas-instruments?pageNo=43", "Texas Instruments")</f>
        <v>Texas Instruments</v>
      </c>
      <c r="C24018" s="5">
        <v>3500</v>
      </c>
      <c r="D24018" s="6">
        <v>12.24</v>
      </c>
    </row>
    <row r="24019" spans="1:4" x14ac:dyDescent="0.25">
      <c r="A24019" t="str">
        <f>HYPERLINK("https://www.773grp.com/globalSearch/OPA827AIDGKT/page-1", "OPA827AIDGKT")</f>
        <v>OPA827AIDGKT</v>
      </c>
      <c r="B24019" s="3" t="str">
        <f>HYPERLINK("https://www.773grp.com/manufacturer/texas-instruments?pageNo=49", "Texas Instruments")</f>
        <v>Texas Instruments</v>
      </c>
      <c r="C24019" s="5">
        <v>500</v>
      </c>
      <c r="D24019" s="6">
        <v>12.24</v>
      </c>
    </row>
    <row r="24020" spans="1:4" x14ac:dyDescent="0.25">
      <c r="A24020" t="str">
        <f>HYPERLINK("https://www.773grp.com/globalSearch/PGA870IRHDR/page-1", "PGA870IRHDR")</f>
        <v>PGA870IRHDR</v>
      </c>
      <c r="B24020" s="3" t="str">
        <f>HYPERLINK("https://www.773grp.com/manufacturer/texas-instruments?pageNo=54", "Texas Instruments")</f>
        <v>Texas Instruments</v>
      </c>
      <c r="C24020" s="5">
        <v>2900</v>
      </c>
      <c r="D24020" s="6">
        <v>12.24</v>
      </c>
    </row>
    <row r="24021" spans="1:4" x14ac:dyDescent="0.25">
      <c r="A24021" t="str">
        <f>HYPERLINK("https://www.773grp.com/globalSearch/SI3016-FSSF-ZYPCOM/page-1", "SI3016-FSSF-ZYPCOM")</f>
        <v>SI3016-FSSF-ZYPCOM</v>
      </c>
      <c r="B24021" s="3" t="str">
        <f>HYPERLINK("https://www.773grp.com/manufacturer/texas-instruments?pageNo=55", "Texas Instruments")</f>
        <v>Texas Instruments</v>
      </c>
      <c r="C24021" s="5">
        <v>20</v>
      </c>
      <c r="D24021" s="6">
        <v>12.24</v>
      </c>
    </row>
    <row r="24022" spans="1:4" x14ac:dyDescent="0.25">
      <c r="A24022" t="str">
        <f>HYPERLINK("https://www.773grp.com/globalSearch/SN74AS756DW/page-1", "SN74AS756DW")</f>
        <v>SN74AS756DW</v>
      </c>
      <c r="B24022" s="3" t="str">
        <f>HYPERLINK("https://www.773grp.com/manufacturer/texas-instruments?pageNo=72", "Texas Instruments")</f>
        <v>Texas Instruments</v>
      </c>
      <c r="C24022" s="5">
        <v>3036</v>
      </c>
      <c r="D24022" s="6">
        <v>12.26</v>
      </c>
    </row>
    <row r="24023" spans="1:4" x14ac:dyDescent="0.25">
      <c r="A24023" t="str">
        <f>HYPERLINK("https://www.773grp.com/globalSearch/THS4502CDGNR/page-1", "THS4502CDGNR")</f>
        <v>THS4502CDGNR</v>
      </c>
      <c r="B24023" s="3" t="str">
        <f>HYPERLINK("https://www.773grp.com/manufacturer/texas-instruments?pageNo=75", "Texas Instruments")</f>
        <v>Texas Instruments</v>
      </c>
      <c r="C24023" s="5">
        <v>5000</v>
      </c>
      <c r="D24023" s="6">
        <v>12.26</v>
      </c>
    </row>
    <row r="24024" spans="1:4" x14ac:dyDescent="0.25">
      <c r="A24024" t="str">
        <f>HYPERLINK("https://www.773grp.com/globalSearch/SN74LS638A-1DW/page-1", "SN74LS638A-1DW")</f>
        <v>SN74LS638A-1DW</v>
      </c>
      <c r="B24024" s="3" t="str">
        <f>HYPERLINK("https://www.773grp.com/manufacturer/texas-instruments?pageNo=81", "Texas Instruments")</f>
        <v>Texas Instruments</v>
      </c>
      <c r="C24024" s="5">
        <v>53</v>
      </c>
      <c r="D24024" s="6">
        <v>12.29</v>
      </c>
    </row>
    <row r="24025" spans="1:4" x14ac:dyDescent="0.25">
      <c r="A24025" t="str">
        <f>HYPERLINK("https://www.773grp.com/globalSearch/MSP430F5635IPZ/page-1", "MSP430F5635IPZ")</f>
        <v>MSP430F5635IPZ</v>
      </c>
      <c r="B24025" s="3" t="str">
        <f>HYPERLINK("https://www.773grp.com/manufacturer/texas-instruments?pageNo=90", "Texas Instruments")</f>
        <v>Texas Instruments</v>
      </c>
      <c r="C24025" s="5">
        <v>6</v>
      </c>
      <c r="D24025" s="6">
        <v>12.35</v>
      </c>
    </row>
    <row r="24026" spans="1:4" x14ac:dyDescent="0.25">
      <c r="A24026" t="str">
        <f>HYPERLINK("https://www.773grp.com/globalSearch/MSP430F5635IPZR/page-1", "MSP430F5635IPZR")</f>
        <v>MSP430F5635IPZR</v>
      </c>
      <c r="B24026" s="3" t="str">
        <f>HYPERLINK("https://www.773grp.com/manufacturer/texas-instruments?pageNo=91", "Texas Instruments")</f>
        <v>Texas Instruments</v>
      </c>
      <c r="C24026" s="5">
        <v>1000</v>
      </c>
      <c r="D24026" s="6">
        <v>12.35</v>
      </c>
    </row>
    <row r="24027" spans="1:4" x14ac:dyDescent="0.25">
      <c r="A24027" t="str">
        <f>HYPERLINK("https://www.773grp.com/globalSearch/MSP430FE427AIPM/page-1", "MSP430FE427AIPM")</f>
        <v>MSP430FE427AIPM</v>
      </c>
      <c r="B24027" s="3" t="str">
        <f>HYPERLINK("https://www.773grp.com/manufacturer/texas-instruments?pageNo=92", "Texas Instruments")</f>
        <v>Texas Instruments</v>
      </c>
      <c r="C24027" s="5">
        <v>197</v>
      </c>
      <c r="D24027" s="6">
        <v>12.35</v>
      </c>
    </row>
    <row r="24028" spans="1:4" x14ac:dyDescent="0.25">
      <c r="A24028" t="str">
        <f>HYPERLINK("https://www.773grp.com/globalSearch/MSP430FE427AIPMR/page-1", "MSP430FE427AIPMR")</f>
        <v>MSP430FE427AIPMR</v>
      </c>
      <c r="B24028" s="3" t="str">
        <f>HYPERLINK("https://www.773grp.com/manufacturer/texas-instruments?pageNo=93", "Texas Instruments")</f>
        <v>Texas Instruments</v>
      </c>
      <c r="C24028" s="5">
        <v>3000</v>
      </c>
      <c r="D24028" s="6">
        <v>12.35</v>
      </c>
    </row>
    <row r="24029" spans="1:4" x14ac:dyDescent="0.25">
      <c r="A24029" t="str">
        <f>HYPERLINK("https://www.773grp.com/globalSearch/SNJ54HC194J/page-1", "SNJ54HC194J")</f>
        <v>SNJ54HC194J</v>
      </c>
      <c r="B24029" s="3" t="str">
        <f>HYPERLINK("https://www.773grp.com/manufacturer/texas-instruments?pageNo=103", "Texas Instruments")</f>
        <v>Texas Instruments</v>
      </c>
      <c r="C24029" s="5">
        <v>90</v>
      </c>
      <c r="D24029" s="6">
        <v>12.35</v>
      </c>
    </row>
    <row r="24030" spans="1:4" x14ac:dyDescent="0.25">
      <c r="A24030" t="str">
        <f>HYPERLINK("https://www.773grp.com/globalSearch/SNJ54HC237J/page-1", "SNJ54HC237J")</f>
        <v>SNJ54HC237J</v>
      </c>
      <c r="B24030" s="3" t="str">
        <f>HYPERLINK("https://www.773grp.com/manufacturer/texas-instruments?pageNo=104", "Texas Instruments")</f>
        <v>Texas Instruments</v>
      </c>
      <c r="C24030" s="5">
        <v>467</v>
      </c>
      <c r="D24030" s="6">
        <v>12.35</v>
      </c>
    </row>
    <row r="24031" spans="1:4" x14ac:dyDescent="0.25">
      <c r="A24031" t="str">
        <f>HYPERLINK("https://www.773grp.com/globalSearch/VSP5611RSHR/page-1", "VSP5611RSHR")</f>
        <v>VSP5611RSHR</v>
      </c>
      <c r="B24031" s="3" t="str">
        <f>HYPERLINK("https://www.773grp.com/manufacturer/texas-instruments?pageNo=110", "Texas Instruments")</f>
        <v>Texas Instruments</v>
      </c>
      <c r="C24031" s="5">
        <v>1668</v>
      </c>
      <c r="D24031" s="6">
        <v>12.35</v>
      </c>
    </row>
    <row r="24032" spans="1:4" x14ac:dyDescent="0.25">
      <c r="A24032" t="str">
        <f>HYPERLINK("https://www.773grp.com/globalSearch/VSP5621RSLR/page-1", "VSP5621RSLR")</f>
        <v>VSP5621RSLR</v>
      </c>
      <c r="B24032" s="3" t="str">
        <f>HYPERLINK("https://www.773grp.com/manufacturer/texas-instruments?pageNo=111", "Texas Instruments")</f>
        <v>Texas Instruments</v>
      </c>
      <c r="C24032" s="5">
        <v>30</v>
      </c>
      <c r="D24032" s="6">
        <v>12.35</v>
      </c>
    </row>
    <row r="24033" spans="1:4" x14ac:dyDescent="0.25">
      <c r="A24033" t="str">
        <f>HYPERLINK("https://www.773grp.com/globalSearch/BQ20849DBTR/page-1", "BQ20849DBTR")</f>
        <v>BQ20849DBTR</v>
      </c>
      <c r="B24033" s="3" t="str">
        <f>HYPERLINK("https://www.773grp.com/manufacturer/texas-instruments?pageNo=115", "Texas Instruments")</f>
        <v>Texas Instruments</v>
      </c>
      <c r="C24033" s="5">
        <v>36000</v>
      </c>
      <c r="D24033" s="6">
        <v>12.38</v>
      </c>
    </row>
    <row r="24034" spans="1:4" x14ac:dyDescent="0.25">
      <c r="A24034" t="str">
        <f>HYPERLINK("https://www.773grp.com/globalSearch/CDCF5801DBQR/page-1", "CDCF5801DBQR")</f>
        <v>CDCF5801DBQR</v>
      </c>
      <c r="B24034" s="3" t="str">
        <f>HYPERLINK("https://www.773grp.com/manufacturer/texas-instruments?pageNo=117", "Texas Instruments")</f>
        <v>Texas Instruments</v>
      </c>
      <c r="C24034" s="5">
        <v>5000</v>
      </c>
      <c r="D24034" s="6">
        <v>12.38</v>
      </c>
    </row>
    <row r="24035" spans="1:4" x14ac:dyDescent="0.25">
      <c r="A24035" t="str">
        <f>HYPERLINK("https://www.773grp.com/globalSearch/CSSTV32852GKFREP/page-1", "CSSTV32852GKFREP")</f>
        <v>CSSTV32852GKFREP</v>
      </c>
      <c r="B24035" s="3" t="str">
        <f>HYPERLINK("https://www.773grp.com/manufacturer/texas-instruments?pageNo=121", "Texas Instruments")</f>
        <v>Texas Instruments</v>
      </c>
      <c r="C24035" s="5">
        <v>200</v>
      </c>
      <c r="D24035" s="6">
        <v>12.38</v>
      </c>
    </row>
    <row r="24036" spans="1:4" x14ac:dyDescent="0.25">
      <c r="A24036" t="str">
        <f>HYPERLINK("https://www.773grp.com/globalSearch/MSP430F5435IPNR/page-1", "MSP430F5435IPNR")</f>
        <v>MSP430F5435IPNR</v>
      </c>
      <c r="B24036" s="3" t="str">
        <f>HYPERLINK("https://www.773grp.com/manufacturer/texas-instruments?pageNo=131", "Texas Instruments")</f>
        <v>Texas Instruments</v>
      </c>
      <c r="C24036" s="5">
        <v>1000</v>
      </c>
      <c r="D24036" s="6">
        <v>12.38</v>
      </c>
    </row>
    <row r="24037" spans="1:4" x14ac:dyDescent="0.25">
      <c r="A24037" t="str">
        <f>HYPERLINK("https://www.773grp.com/globalSearch/MSP430U275IPM/page-1", "MSP430U275IPM")</f>
        <v>MSP430U275IPM</v>
      </c>
      <c r="B24037" s="3" t="str">
        <f>HYPERLINK("https://www.773grp.com/manufacturer/texas-instruments?pageNo=132", "Texas Instruments")</f>
        <v>Texas Instruments</v>
      </c>
      <c r="C24037" s="5">
        <v>3040</v>
      </c>
      <c r="D24037" s="6">
        <v>12.38</v>
      </c>
    </row>
    <row r="24038" spans="1:4" x14ac:dyDescent="0.25">
      <c r="A24038" t="str">
        <f>HYPERLINK("https://www.773grp.com/globalSearch/OPA2227U/page-1", "OPA2227U")</f>
        <v>OPA2227U</v>
      </c>
      <c r="B24038" s="3" t="str">
        <f>HYPERLINK("https://www.773grp.com/manufacturer/texas-instruments?pageNo=134", "Texas Instruments")</f>
        <v>Texas Instruments</v>
      </c>
      <c r="C24038" s="5">
        <v>10052</v>
      </c>
      <c r="D24038" s="6">
        <v>12.38</v>
      </c>
    </row>
    <row r="24039" spans="1:4" x14ac:dyDescent="0.25">
      <c r="A24039" t="str">
        <f>HYPERLINK("https://www.773grp.com/globalSearch/SN65LVCP202RGET/page-1", "SN65LVCP202RGET")</f>
        <v>SN65LVCP202RGET</v>
      </c>
      <c r="B24039" s="3" t="str">
        <f>HYPERLINK("https://www.773grp.com/manufacturer/texas-instruments?pageNo=141", "Texas Instruments")</f>
        <v>Texas Instruments</v>
      </c>
      <c r="C24039" s="5">
        <v>11000</v>
      </c>
      <c r="D24039" s="6">
        <v>12.38</v>
      </c>
    </row>
    <row r="24040" spans="1:4" x14ac:dyDescent="0.25">
      <c r="A24040" t="str">
        <f>HYPERLINK("https://www.773grp.com/globalSearch/TM4C123BH6PZI/page-1", "TM4C123BH6PZI")</f>
        <v>TM4C123BH6PZI</v>
      </c>
      <c r="B24040" s="3" t="str">
        <f>HYPERLINK("https://www.773grp.com/manufacturer/texas-instruments?pageNo=151", "Texas Instruments")</f>
        <v>Texas Instruments</v>
      </c>
      <c r="C24040" s="5">
        <v>10</v>
      </c>
      <c r="D24040" s="6">
        <v>12.38</v>
      </c>
    </row>
    <row r="24041" spans="1:4" x14ac:dyDescent="0.25">
      <c r="A24041" t="str">
        <f>HYPERLINK("https://www.773grp.com/globalSearch/TPS65950A2ZXNR/page-1", "TPS65950A2ZXNR")</f>
        <v>TPS65950A2ZXNR</v>
      </c>
      <c r="B24041" s="3" t="str">
        <f>HYPERLINK("https://www.773grp.com/manufacturer/texas-instruments?pageNo=153", "Texas Instruments")</f>
        <v>Texas Instruments</v>
      </c>
      <c r="C24041" s="5">
        <v>4000</v>
      </c>
      <c r="D24041" s="6">
        <v>12.38</v>
      </c>
    </row>
    <row r="24042" spans="1:4" x14ac:dyDescent="0.25">
      <c r="A24042" t="str">
        <f>HYPERLINK("https://www.773grp.com/globalSearch/DS90LV004TVS/page-1", "DS90LV004TVS")</f>
        <v>DS90LV004TVS</v>
      </c>
      <c r="B24042" s="3" t="str">
        <f>HYPERLINK("https://www.773grp.com/manufacturer/texas-instruments?pageNo=170", "Texas Instruments")</f>
        <v>Texas Instruments</v>
      </c>
      <c r="C24042" s="5">
        <v>132</v>
      </c>
      <c r="D24042" s="6">
        <v>12.45</v>
      </c>
    </row>
    <row r="24043" spans="1:4" x14ac:dyDescent="0.25">
      <c r="A24043" t="str">
        <f>HYPERLINK("https://www.773grp.com/globalSearch/SN74VMEH22501ZQLR/page-1", "SN74VMEH22501ZQLR")</f>
        <v>SN74VMEH22501ZQLR</v>
      </c>
      <c r="B24043" s="3" t="str">
        <f>HYPERLINK("https://www.773grp.com/manufacturer/texas-instruments?pageNo=178", "Texas Instruments")</f>
        <v>Texas Instruments</v>
      </c>
      <c r="C24043" s="5">
        <v>145</v>
      </c>
      <c r="D24043" s="6">
        <v>12.45</v>
      </c>
    </row>
    <row r="24044" spans="1:4" x14ac:dyDescent="0.25">
      <c r="A24044" t="str">
        <f>HYPERLINK("https://www.773grp.com/globalSearch/SNJ54ALS74AJ/page-1", "SNJ54ALS74AJ")</f>
        <v>SNJ54ALS74AJ</v>
      </c>
      <c r="B24044" s="3" t="str">
        <f>HYPERLINK("https://www.773grp.com/manufacturer/texas-instruments?pageNo=198", "Texas Instruments")</f>
        <v>Texas Instruments</v>
      </c>
      <c r="C24044" s="5">
        <v>4</v>
      </c>
      <c r="D24044" s="6">
        <v>12.49</v>
      </c>
    </row>
    <row r="24045" spans="1:4" x14ac:dyDescent="0.25">
      <c r="A24045" t="str">
        <f>HYPERLINK("https://www.773grp.com/globalSearch/TM4C123GE6PZT/page-1", "TM4C123GE6PZT")</f>
        <v>TM4C123GE6PZT</v>
      </c>
      <c r="B24045" s="3" t="str">
        <f>HYPERLINK("https://www.773grp.com/manufacturer/texas-instruments?pageNo=199", "Texas Instruments")</f>
        <v>Texas Instruments</v>
      </c>
      <c r="C24045" s="5">
        <v>90</v>
      </c>
      <c r="D24045" s="6">
        <v>12.49</v>
      </c>
    </row>
    <row r="24046" spans="1:4" x14ac:dyDescent="0.25">
      <c r="A24046" t="str">
        <f>HYPERLINK("https://www.773grp.com/globalSearch/34R3435-CV/page-1", "34R3435-CV")</f>
        <v>34R3435-CV</v>
      </c>
      <c r="B24046" s="3" t="str">
        <f>HYPERLINK("https://www.773grp.com/manufacturer/texas-instruments?pageNo=200", "Texas Instruments")</f>
        <v>Texas Instruments</v>
      </c>
      <c r="C24046" s="5">
        <v>8</v>
      </c>
      <c r="D24046" s="6">
        <v>12.53</v>
      </c>
    </row>
    <row r="24047" spans="1:4" x14ac:dyDescent="0.25">
      <c r="A24047" t="str">
        <f>HYPERLINK("https://www.773grp.com/globalSearch/ADS1247IPWR/page-1", "ADS1247IPWR")</f>
        <v>ADS1247IPWR</v>
      </c>
      <c r="B24047" s="3" t="str">
        <f>HYPERLINK("https://www.773grp.com/manufacturer/texas-instruments?pageNo=201", "Texas Instruments")</f>
        <v>Texas Instruments</v>
      </c>
      <c r="C24047" s="5">
        <v>2000</v>
      </c>
      <c r="D24047" s="6">
        <v>12.53</v>
      </c>
    </row>
    <row r="24048" spans="1:4" x14ac:dyDescent="0.25">
      <c r="A24048" t="str">
        <f>HYPERLINK("https://www.773grp.com/globalSearch/CDC5801ADBQ/page-1", "CDC5801ADBQ")</f>
        <v>CDC5801ADBQ</v>
      </c>
      <c r="B24048" s="3" t="str">
        <f>HYPERLINK("https://www.773grp.com/manufacturer/texas-instruments?pageNo=207", "Texas Instruments")</f>
        <v>Texas Instruments</v>
      </c>
      <c r="C24048" s="5">
        <v>34</v>
      </c>
      <c r="D24048" s="6">
        <v>12.53</v>
      </c>
    </row>
    <row r="24049" spans="1:4" x14ac:dyDescent="0.25">
      <c r="A24049" t="str">
        <f>HYPERLINK("https://www.773grp.com/globalSearch/CDCLVD1208RHDT/page-1", "CDCLVD1208RHDT")</f>
        <v>CDCLVD1208RHDT</v>
      </c>
      <c r="B24049" s="3" t="str">
        <f>HYPERLINK("https://www.773grp.com/manufacturer/texas-instruments?pageNo=208", "Texas Instruments")</f>
        <v>Texas Instruments</v>
      </c>
      <c r="C24049" s="5">
        <v>250</v>
      </c>
      <c r="D24049" s="6">
        <v>12.53</v>
      </c>
    </row>
    <row r="24050" spans="1:4" x14ac:dyDescent="0.25">
      <c r="A24050" t="str">
        <f>HYPERLINK("https://www.773grp.com/globalSearch/CLC007BM-NOPB/page-1", "CLC007BM-NOPB")</f>
        <v>CLC007BM-NOPB</v>
      </c>
      <c r="B24050" s="3" t="str">
        <f>HYPERLINK("https://www.773grp.com/manufacturer/texas-instruments?pageNo=209", "Texas Instruments")</f>
        <v>Texas Instruments</v>
      </c>
      <c r="C24050" s="5">
        <v>95</v>
      </c>
      <c r="D24050" s="6">
        <v>12.53</v>
      </c>
    </row>
    <row r="24051" spans="1:4" x14ac:dyDescent="0.25">
      <c r="A24051" t="str">
        <f>HYPERLINK("https://www.773grp.com/globalSearch/DAC8162SDGST/page-1", "DAC8162SDGST")</f>
        <v>DAC8162SDGST</v>
      </c>
      <c r="B24051" s="3" t="str">
        <f>HYPERLINK("https://www.773grp.com/manufacturer/texas-instruments?pageNo=212", "Texas Instruments")</f>
        <v>Texas Instruments</v>
      </c>
      <c r="C24051" s="5">
        <v>600</v>
      </c>
      <c r="D24051" s="6">
        <v>12.53</v>
      </c>
    </row>
    <row r="24052" spans="1:4" x14ac:dyDescent="0.25">
      <c r="A24052" t="str">
        <f>HYPERLINK("https://www.773grp.com/globalSearch/DAC8162SDSCT/page-1", "DAC8162SDSCT")</f>
        <v>DAC8162SDSCT</v>
      </c>
      <c r="B24052" s="3" t="str">
        <f>HYPERLINK("https://www.773grp.com/manufacturer/texas-instruments?pageNo=213", "Texas Instruments")</f>
        <v>Texas Instruments</v>
      </c>
      <c r="C24052" s="5">
        <v>700</v>
      </c>
      <c r="D24052" s="6">
        <v>12.53</v>
      </c>
    </row>
    <row r="24053" spans="1:4" x14ac:dyDescent="0.25">
      <c r="A24053" t="str">
        <f>HYPERLINK("https://www.773grp.com/globalSearch/DAC8163SDGST/page-1", "DAC8163SDGST")</f>
        <v>DAC8163SDGST</v>
      </c>
      <c r="B24053" s="3" t="str">
        <f>HYPERLINK("https://www.773grp.com/manufacturer/texas-instruments?pageNo=214", "Texas Instruments")</f>
        <v>Texas Instruments</v>
      </c>
      <c r="C24053" s="5">
        <v>100</v>
      </c>
      <c r="D24053" s="6">
        <v>12.53</v>
      </c>
    </row>
    <row r="24054" spans="1:4" x14ac:dyDescent="0.25">
      <c r="A24054" t="str">
        <f>HYPERLINK("https://www.773grp.com/globalSearch/DAC8163SDSCT/page-1", "DAC8163SDSCT")</f>
        <v>DAC8163SDSCT</v>
      </c>
      <c r="B24054" s="3" t="str">
        <f>HYPERLINK("https://www.773grp.com/manufacturer/texas-instruments?pageNo=215", "Texas Instruments")</f>
        <v>Texas Instruments</v>
      </c>
      <c r="C24054" s="5">
        <v>750</v>
      </c>
      <c r="D24054" s="6">
        <v>12.53</v>
      </c>
    </row>
    <row r="24055" spans="1:4" x14ac:dyDescent="0.25">
      <c r="A24055" t="str">
        <f>HYPERLINK("https://www.773grp.com/globalSearch/LM3S1651-IQC80-C3/page-1", "LM3S1651-IQC80-C3")</f>
        <v>LM3S1651-IQC80-C3</v>
      </c>
      <c r="B24055" s="3" t="str">
        <f>HYPERLINK("https://www.773grp.com/manufacturer/texas-instruments?pageNo=216", "Texas Instruments")</f>
        <v>Texas Instruments</v>
      </c>
      <c r="C24055" s="5">
        <v>6660</v>
      </c>
      <c r="D24055" s="6">
        <v>12.53</v>
      </c>
    </row>
    <row r="24056" spans="1:4" x14ac:dyDescent="0.25">
      <c r="A24056" t="str">
        <f>HYPERLINK("https://www.773grp.com/globalSearch/MSP430F435IPNR24/page-1", "MSP430F435IPNR24")</f>
        <v>MSP430F435IPNR24</v>
      </c>
      <c r="B24056" s="3" t="str">
        <f>HYPERLINK("https://www.773grp.com/manufacturer/texas-instruments?pageNo=217", "Texas Instruments")</f>
        <v>Texas Instruments</v>
      </c>
      <c r="C24056" s="5">
        <v>3000</v>
      </c>
      <c r="D24056" s="6">
        <v>12.53</v>
      </c>
    </row>
    <row r="24057" spans="1:4" x14ac:dyDescent="0.25">
      <c r="A24057" t="str">
        <f>HYPERLINK("https://www.773grp.com/globalSearch/PTHS6012IGQER/page-1", "PTHS6012IGQER")</f>
        <v>PTHS6012IGQER</v>
      </c>
      <c r="B24057" s="3" t="str">
        <f>HYPERLINK("https://www.773grp.com/manufacturer/texas-instruments?pageNo=218", "Texas Instruments")</f>
        <v>Texas Instruments</v>
      </c>
      <c r="C24057" s="5">
        <v>2217</v>
      </c>
      <c r="D24057" s="6">
        <v>12.53</v>
      </c>
    </row>
    <row r="24058" spans="1:4" x14ac:dyDescent="0.25">
      <c r="A24058" t="str">
        <f>HYPERLINK("https://www.773grp.com/globalSearch/TAS5121IDKDE4/page-1", "TAS5121IDKDE4")</f>
        <v>TAS5121IDKDE4</v>
      </c>
      <c r="B24058" s="3" t="str">
        <f>HYPERLINK("https://www.773grp.com/manufacturer/texas-instruments?pageNo=222", "Texas Instruments")</f>
        <v>Texas Instruments</v>
      </c>
      <c r="C24058" s="5">
        <v>41</v>
      </c>
      <c r="D24058" s="6">
        <v>12.53</v>
      </c>
    </row>
    <row r="24059" spans="1:4" x14ac:dyDescent="0.25">
      <c r="A24059" t="str">
        <f>HYPERLINK("https://www.773grp.com/globalSearch/TL16CRK514APJM/page-1", "TL16CRK514APJM")</f>
        <v>TL16CRK514APJM</v>
      </c>
      <c r="B24059" s="3" t="str">
        <f>HYPERLINK("https://www.773grp.com/manufacturer/texas-instruments?pageNo=225", "Texas Instruments")</f>
        <v>Texas Instruments</v>
      </c>
      <c r="C24059" s="5">
        <v>5726</v>
      </c>
      <c r="D24059" s="6">
        <v>12.53</v>
      </c>
    </row>
    <row r="24060" spans="1:4" x14ac:dyDescent="0.25">
      <c r="A24060" t="str">
        <f>HYPERLINK("https://www.773grp.com/globalSearch/TMS320F28026FPTT/page-1", "TMS320F28026FPTT")</f>
        <v>TMS320F28026FPTT</v>
      </c>
      <c r="B24060" s="3" t="str">
        <f>HYPERLINK("https://www.773grp.com/manufacturer/texas-instruments?pageNo=232", "Texas Instruments")</f>
        <v>Texas Instruments</v>
      </c>
      <c r="C24060" s="5">
        <v>250</v>
      </c>
      <c r="D24060" s="6">
        <v>12.53</v>
      </c>
    </row>
    <row r="24061" spans="1:4" x14ac:dyDescent="0.25">
      <c r="A24061" t="str">
        <f>HYPERLINK("https://www.773grp.com/globalSearch/DS90C387VJDX-NOPB/page-1", "DS90C387VJDX-NOPB")</f>
        <v>DS90C387VJDX-NOPB</v>
      </c>
      <c r="B24061" s="3" t="str">
        <f>HYPERLINK("https://www.773grp.com/manufacturer/texas-instruments?pageNo=244", "Texas Instruments")</f>
        <v>Texas Instruments</v>
      </c>
      <c r="C24061" s="5">
        <v>4000</v>
      </c>
      <c r="D24061" s="6">
        <v>12.54</v>
      </c>
    </row>
    <row r="24062" spans="1:4" x14ac:dyDescent="0.25">
      <c r="A24062" t="str">
        <f>HYPERLINK("https://www.773grp.com/globalSearch/THS4502IDGNR/page-1", "THS4502IDGNR")</f>
        <v>THS4502IDGNR</v>
      </c>
      <c r="B24062" s="3" t="str">
        <f>HYPERLINK("https://www.773grp.com/manufacturer/texas-instruments?pageNo=248", "Texas Instruments")</f>
        <v>Texas Instruments</v>
      </c>
      <c r="C24062" s="5">
        <v>2500</v>
      </c>
      <c r="D24062" s="6">
        <v>12.54</v>
      </c>
    </row>
    <row r="24063" spans="1:4" x14ac:dyDescent="0.25">
      <c r="A24063" t="str">
        <f>HYPERLINK("https://www.773grp.com/globalSearch/CD54HCT11F/page-1", "CD54HCT11F")</f>
        <v>CD54HCT11F</v>
      </c>
      <c r="B24063" s="3" t="str">
        <f>HYPERLINK("https://www.773grp.com/manufacturer/texas-instruments?pageNo=261", "Texas Instruments")</f>
        <v>Texas Instruments</v>
      </c>
      <c r="C24063" s="5">
        <v>78</v>
      </c>
      <c r="D24063" s="6">
        <v>12.6</v>
      </c>
    </row>
    <row r="24064" spans="1:4" x14ac:dyDescent="0.25">
      <c r="A24064" t="str">
        <f>HYPERLINK("https://www.773grp.com/globalSearch/SNJ54F280BW/page-1", "SNJ54F280BW")</f>
        <v>SNJ54F280BW</v>
      </c>
      <c r="B24064" s="3" t="str">
        <f>HYPERLINK("https://www.773grp.com/manufacturer/texas-instruments?pageNo=267", "Texas Instruments")</f>
        <v>Texas Instruments</v>
      </c>
      <c r="C24064" s="5">
        <v>63</v>
      </c>
      <c r="D24064" s="6">
        <v>12.63</v>
      </c>
    </row>
    <row r="24065" spans="1:4" x14ac:dyDescent="0.25">
      <c r="A24065" t="str">
        <f>HYPERLINK("https://www.773grp.com/globalSearch/TM4C1233D5PZI/page-1", "TM4C1233D5PZI")</f>
        <v>TM4C1233D5PZI</v>
      </c>
      <c r="B24065" s="3" t="str">
        <f>HYPERLINK("https://www.773grp.com/manufacturer/texas-instruments?pageNo=269", "Texas Instruments")</f>
        <v>Texas Instruments</v>
      </c>
      <c r="C24065" s="5">
        <v>630</v>
      </c>
      <c r="D24065" s="6">
        <v>12.63</v>
      </c>
    </row>
    <row r="24066" spans="1:4" x14ac:dyDescent="0.25">
      <c r="A24066" t="str">
        <f>HYPERLINK("https://www.773grp.com/globalSearch/ADS1291IPBS/page-1", "ADS1291IPBS")</f>
        <v>ADS1291IPBS</v>
      </c>
      <c r="B24066" s="3" t="str">
        <f>HYPERLINK("https://www.773grp.com/manufacturer/texas-instruments?pageNo=270", "Texas Instruments")</f>
        <v>Texas Instruments</v>
      </c>
      <c r="C24066" s="5">
        <v>500</v>
      </c>
      <c r="D24066" s="6">
        <v>12.66</v>
      </c>
    </row>
    <row r="24067" spans="1:4" x14ac:dyDescent="0.25">
      <c r="A24067" t="str">
        <f>HYPERLINK("https://www.773grp.com/globalSearch/ADS1291IRSMT/page-1", "ADS1291IRSMT")</f>
        <v>ADS1291IRSMT</v>
      </c>
      <c r="B24067" s="3" t="str">
        <f>HYPERLINK("https://www.773grp.com/manufacturer/texas-instruments?pageNo=271", "Texas Instruments")</f>
        <v>Texas Instruments</v>
      </c>
      <c r="C24067" s="5">
        <v>250</v>
      </c>
      <c r="D24067" s="6">
        <v>12.66</v>
      </c>
    </row>
    <row r="24068" spans="1:4" x14ac:dyDescent="0.25">
      <c r="A24068" t="str">
        <f>HYPERLINK("https://www.773grp.com/globalSearch/BQ20Z40PWR/page-1", "BQ20Z40PWR")</f>
        <v>BQ20Z40PWR</v>
      </c>
      <c r="B24068" s="3" t="str">
        <f>HYPERLINK("https://www.773grp.com/manufacturer/texas-instruments?pageNo=272", "Texas Instruments")</f>
        <v>Texas Instruments</v>
      </c>
      <c r="C24068" s="5">
        <v>8000</v>
      </c>
      <c r="D24068" s="6">
        <v>12.66</v>
      </c>
    </row>
    <row r="24069" spans="1:4" x14ac:dyDescent="0.25">
      <c r="A24069" t="str">
        <f>HYPERLINK("https://www.773grp.com/globalSearch/BQ20Z70PWR-V150/page-1", "BQ20Z70PWR-V150")</f>
        <v>BQ20Z70PWR-V150</v>
      </c>
      <c r="B24069" s="3" t="str">
        <f>HYPERLINK("https://www.773grp.com/manufacturer/texas-instruments?pageNo=274", "Texas Instruments")</f>
        <v>Texas Instruments</v>
      </c>
      <c r="C24069" s="5">
        <v>6000</v>
      </c>
      <c r="D24069" s="6">
        <v>12.66</v>
      </c>
    </row>
    <row r="24070" spans="1:4" x14ac:dyDescent="0.25">
      <c r="A24070" t="str">
        <f>HYPERLINK("https://www.773grp.com/globalSearch/BQ500110RGZR/page-1", "BQ500110RGZR")</f>
        <v>BQ500110RGZR</v>
      </c>
      <c r="B24070" s="3" t="str">
        <f>HYPERLINK("https://www.773grp.com/manufacturer/texas-instruments?pageNo=275", "Texas Instruments")</f>
        <v>Texas Instruments</v>
      </c>
      <c r="C24070" s="5">
        <v>81402</v>
      </c>
      <c r="D24070" s="6">
        <v>12.66</v>
      </c>
    </row>
    <row r="24071" spans="1:4" x14ac:dyDescent="0.25">
      <c r="A24071" t="str">
        <f>HYPERLINK("https://www.773grp.com/globalSearch/PCM1717EG/page-1", "PCM1717EG")</f>
        <v>PCM1717EG</v>
      </c>
      <c r="B24071" s="3" t="str">
        <f>HYPERLINK("https://www.773grp.com/manufacturer/texas-instruments?pageNo=278", "Texas Instruments")</f>
        <v>Texas Instruments</v>
      </c>
      <c r="C24071" s="5">
        <v>1950</v>
      </c>
      <c r="D24071" s="6">
        <v>12.66</v>
      </c>
    </row>
    <row r="24072" spans="1:4" x14ac:dyDescent="0.25">
      <c r="A24072" t="str">
        <f>HYPERLINK("https://www.773grp.com/globalSearch/PCM2903CDBR/page-1", "PCM2903CDBR")</f>
        <v>PCM2903CDBR</v>
      </c>
      <c r="B24072" s="3" t="str">
        <f>HYPERLINK("https://www.773grp.com/manufacturer/texas-instruments?pageNo=281", "Texas Instruments")</f>
        <v>Texas Instruments</v>
      </c>
      <c r="C24072" s="5">
        <v>1238</v>
      </c>
      <c r="D24072" s="6">
        <v>12.66</v>
      </c>
    </row>
    <row r="24073" spans="1:4" x14ac:dyDescent="0.25">
      <c r="A24073" t="str">
        <f>HYPERLINK("https://www.773grp.com/globalSearch/SN54HC36J/page-1", "SN54HC36J")</f>
        <v>SN54HC36J</v>
      </c>
      <c r="B24073" s="3" t="str">
        <f>HYPERLINK("https://www.773grp.com/manufacturer/texas-instruments?pageNo=282", "Texas Instruments")</f>
        <v>Texas Instruments</v>
      </c>
      <c r="C24073" s="5">
        <v>311</v>
      </c>
      <c r="D24073" s="6">
        <v>12.66</v>
      </c>
    </row>
    <row r="24074" spans="1:4" x14ac:dyDescent="0.25">
      <c r="A24074" t="str">
        <f>HYPERLINK("https://www.773grp.com/globalSearch/SN74ACT7201LA25DVR/page-1", "SN74ACT7201LA25DVR")</f>
        <v>SN74ACT7201LA25DVR</v>
      </c>
      <c r="B24074" s="3" t="str">
        <f>HYPERLINK("https://www.773grp.com/manufacturer/texas-instruments?pageNo=287", "Texas Instruments")</f>
        <v>Texas Instruments</v>
      </c>
      <c r="C24074" s="5">
        <v>3000</v>
      </c>
      <c r="D24074" s="6">
        <v>12.66</v>
      </c>
    </row>
    <row r="24075" spans="1:4" x14ac:dyDescent="0.25">
      <c r="A24075" t="str">
        <f>HYPERLINK("https://www.773grp.com/globalSearch/SN74ACT7201LA25RJR/page-1", "SN74ACT7201LA25RJR")</f>
        <v>SN74ACT7201LA25RJR</v>
      </c>
      <c r="B24075" s="3" t="str">
        <f>HYPERLINK("https://www.773grp.com/manufacturer/texas-instruments?pageNo=290", "Texas Instruments")</f>
        <v>Texas Instruments</v>
      </c>
      <c r="C24075" s="5">
        <v>750</v>
      </c>
      <c r="D24075" s="6">
        <v>12.66</v>
      </c>
    </row>
    <row r="24076" spans="1:4" x14ac:dyDescent="0.25">
      <c r="A24076" t="str">
        <f>HYPERLINK("https://www.773grp.com/globalSearch/SN74ALS20AFN/page-1", "SN74ALS20AFN")</f>
        <v>SN74ALS20AFN</v>
      </c>
      <c r="B24076" s="3" t="str">
        <f>HYPERLINK("https://www.773grp.com/manufacturer/texas-instruments?pageNo=291", "Texas Instruments")</f>
        <v>Texas Instruments</v>
      </c>
      <c r="C24076" s="5">
        <v>291</v>
      </c>
      <c r="D24076" s="6">
        <v>12.66</v>
      </c>
    </row>
    <row r="24077" spans="1:4" x14ac:dyDescent="0.25">
      <c r="A24077" t="str">
        <f>HYPERLINK("https://www.773grp.com/globalSearch/SN74HC623DW/page-1", "SN74HC623DW")</f>
        <v>SN74HC623DW</v>
      </c>
      <c r="B24077" s="3" t="str">
        <f>HYPERLINK("https://www.773grp.com/manufacturer/texas-instruments?pageNo=295", "Texas Instruments")</f>
        <v>Texas Instruments</v>
      </c>
      <c r="C24077" s="5">
        <v>1675</v>
      </c>
      <c r="D24077" s="6">
        <v>12.66</v>
      </c>
    </row>
    <row r="24078" spans="1:4" x14ac:dyDescent="0.25">
      <c r="A24078" t="str">
        <f>HYPERLINK("https://www.773grp.com/globalSearch/SN74LS669NE4/page-1", "SN74LS669NE4")</f>
        <v>SN74LS669NE4</v>
      </c>
      <c r="B24078" s="3" t="str">
        <f>HYPERLINK("https://www.773grp.com/manufacturer/texas-instruments?pageNo=298", "Texas Instruments")</f>
        <v>Texas Instruments</v>
      </c>
      <c r="C24078" s="5">
        <v>50</v>
      </c>
      <c r="D24078" s="6">
        <v>12.66</v>
      </c>
    </row>
    <row r="24079" spans="1:4" x14ac:dyDescent="0.25">
      <c r="A24079" t="str">
        <f>HYPERLINK("https://www.773grp.com/globalSearch/TLV5604CD/page-1", "TLV5604CD")</f>
        <v>TLV5604CD</v>
      </c>
      <c r="B24079" s="3" t="str">
        <f>HYPERLINK("https://www.773grp.com/manufacturer/texas-instruments?pageNo=307", "Texas Instruments")</f>
        <v>Texas Instruments</v>
      </c>
      <c r="C24079" s="5">
        <v>94</v>
      </c>
      <c r="D24079" s="6">
        <v>12.66</v>
      </c>
    </row>
    <row r="24080" spans="1:4" x14ac:dyDescent="0.25">
      <c r="A24080" t="str">
        <f>HYPERLINK("https://www.773grp.com/globalSearch/TPS6591102A2ZRC/page-1", "TPS6591102A2ZRC")</f>
        <v>TPS6591102A2ZRC</v>
      </c>
      <c r="B24080" s="3" t="str">
        <f>HYPERLINK("https://www.773grp.com/manufacturer/texas-instruments?pageNo=314", "Texas Instruments")</f>
        <v>Texas Instruments</v>
      </c>
      <c r="C24080" s="5">
        <v>720</v>
      </c>
      <c r="D24080" s="6">
        <v>12.66</v>
      </c>
    </row>
    <row r="24081" spans="1:4" x14ac:dyDescent="0.25">
      <c r="A24081" t="str">
        <f>HYPERLINK("https://www.773grp.com/globalSearch/TPS6591104A2ZRC/page-1", "TPS6591104A2ZRC")</f>
        <v>TPS6591104A2ZRC</v>
      </c>
      <c r="B24081" s="3" t="str">
        <f>HYPERLINK("https://www.773grp.com/manufacturer/texas-instruments?pageNo=315", "Texas Instruments")</f>
        <v>Texas Instruments</v>
      </c>
      <c r="C24081" s="5">
        <v>140</v>
      </c>
      <c r="D24081" s="6">
        <v>12.66</v>
      </c>
    </row>
    <row r="24082" spans="1:4" x14ac:dyDescent="0.25">
      <c r="A24082" t="str">
        <f>HYPERLINK("https://www.773grp.com/globalSearch/TPS6591104EA2ZRC/page-1", "TPS6591104EA2ZRC")</f>
        <v>TPS6591104EA2ZRC</v>
      </c>
      <c r="B24082" s="3" t="str">
        <f>HYPERLINK("https://www.773grp.com/manufacturer/texas-instruments?pageNo=316", "Texas Instruments")</f>
        <v>Texas Instruments</v>
      </c>
      <c r="C24082" s="5">
        <v>3752</v>
      </c>
      <c r="D24082" s="6">
        <v>12.66</v>
      </c>
    </row>
    <row r="24083" spans="1:4" x14ac:dyDescent="0.25">
      <c r="A24083" t="str">
        <f>HYPERLINK("https://www.773grp.com/globalSearch/TPS659110A2ZRC/page-1", "TPS659110A2ZRC")</f>
        <v>TPS659110A2ZRC</v>
      </c>
      <c r="B24083" s="3" t="str">
        <f>HYPERLINK("https://www.773grp.com/manufacturer/texas-instruments?pageNo=317", "Texas Instruments")</f>
        <v>Texas Instruments</v>
      </c>
      <c r="C24083" s="5">
        <v>125</v>
      </c>
      <c r="D24083" s="6">
        <v>12.66</v>
      </c>
    </row>
    <row r="24084" spans="1:4" x14ac:dyDescent="0.25">
      <c r="A24084" t="str">
        <f>HYPERLINK("https://www.773grp.com/globalSearch/TPS659113A2ZRC/page-1", "TPS659113A2ZRC")</f>
        <v>TPS659113A2ZRC</v>
      </c>
      <c r="B24084" s="3" t="str">
        <f>HYPERLINK("https://www.773grp.com/manufacturer/texas-instruments?pageNo=318", "Texas Instruments")</f>
        <v>Texas Instruments</v>
      </c>
      <c r="C24084" s="5">
        <v>240</v>
      </c>
      <c r="D24084" s="6">
        <v>12.66</v>
      </c>
    </row>
    <row r="24085" spans="1:4" x14ac:dyDescent="0.25">
      <c r="A24085" t="str">
        <f>HYPERLINK("https://www.773grp.com/globalSearch/TPS65920A2ZCH/page-1", "TPS65920A2ZCH")</f>
        <v>TPS65920A2ZCH</v>
      </c>
      <c r="B24085" s="3" t="str">
        <f>HYPERLINK("https://www.773grp.com/manufacturer/texas-instruments?pageNo=319", "Texas Instruments")</f>
        <v>Texas Instruments</v>
      </c>
      <c r="C24085" s="5">
        <v>800</v>
      </c>
      <c r="D24085" s="6">
        <v>12.66</v>
      </c>
    </row>
    <row r="24086" spans="1:4" x14ac:dyDescent="0.25">
      <c r="A24086" t="str">
        <f>HYPERLINK("https://www.773grp.com/globalSearch/TSL265/page-1", "TSL265")</f>
        <v>TSL265</v>
      </c>
      <c r="B24086" s="3" t="str">
        <f>HYPERLINK("https://www.773grp.com/manufacturer/texas-instruments?pageNo=321", "Texas Instruments")</f>
        <v>Texas Instruments</v>
      </c>
      <c r="C24086" s="5">
        <v>4000</v>
      </c>
      <c r="D24086" s="6">
        <v>12.66</v>
      </c>
    </row>
    <row r="24087" spans="1:4" x14ac:dyDescent="0.25">
      <c r="A24087" t="str">
        <f>HYPERLINK("https://www.773grp.com/globalSearch/UC2708DWG4/page-1", "UC2708DWG4")</f>
        <v>UC2708DWG4</v>
      </c>
      <c r="B24087" s="3" t="str">
        <f>HYPERLINK("https://www.773grp.com/manufacturer/texas-instruments?pageNo=323", "Texas Instruments")</f>
        <v>Texas Instruments</v>
      </c>
      <c r="C24087" s="5">
        <v>40</v>
      </c>
      <c r="D24087" s="6">
        <v>12.66</v>
      </c>
    </row>
    <row r="24088" spans="1:4" x14ac:dyDescent="0.25">
      <c r="A24088" t="str">
        <f>HYPERLINK("https://www.773grp.com/globalSearch/UCD9246RGCR/page-1", "UCD9246RGCR")</f>
        <v>UCD9246RGCR</v>
      </c>
      <c r="B24088" s="3" t="str">
        <f>HYPERLINK("https://www.773grp.com/manufacturer/texas-instruments?pageNo=324", "Texas Instruments")</f>
        <v>Texas Instruments</v>
      </c>
      <c r="C24088" s="5">
        <v>227</v>
      </c>
      <c r="D24088" s="6">
        <v>12.66</v>
      </c>
    </row>
    <row r="24089" spans="1:4" x14ac:dyDescent="0.25">
      <c r="A24089" t="str">
        <f>HYPERLINK("https://www.773grp.com/globalSearch/VSP10T21PFB/page-1", "VSP10T21PFB")</f>
        <v>VSP10T21PFB</v>
      </c>
      <c r="B24089" s="3" t="str">
        <f>HYPERLINK("https://www.773grp.com/manufacturer/texas-instruments?pageNo=325", "Texas Instruments")</f>
        <v>Texas Instruments</v>
      </c>
      <c r="C24089" s="5">
        <v>9500</v>
      </c>
      <c r="D24089" s="6">
        <v>12.66</v>
      </c>
    </row>
    <row r="24090" spans="1:4" x14ac:dyDescent="0.25">
      <c r="A24090" t="str">
        <f>HYPERLINK("https://www.773grp.com/globalSearch/ADC12010CIVY/page-1", "ADC12010CIVY")</f>
        <v>ADC12010CIVY</v>
      </c>
      <c r="B24090" s="3" t="str">
        <f>HYPERLINK("https://www.773grp.com/manufacturer/texas-instruments?pageNo=326", "Texas Instruments")</f>
        <v>Texas Instruments</v>
      </c>
      <c r="C24090" s="5">
        <v>250</v>
      </c>
      <c r="D24090" s="6">
        <v>12.69</v>
      </c>
    </row>
    <row r="24091" spans="1:4" x14ac:dyDescent="0.25">
      <c r="A24091" t="str">
        <f>HYPERLINK("https://www.773grp.com/globalSearch/ADC10065CIMT-NOPB/page-1", "ADC10065CIMT-NOPB")</f>
        <v>ADC10065CIMT-NOPB</v>
      </c>
      <c r="B24091" s="3" t="str">
        <f>HYPERLINK("https://www.773grp.com/manufacturer/texas-instruments?pageNo=330", "Texas Instruments")</f>
        <v>Texas Instruments</v>
      </c>
      <c r="C24091" s="5">
        <v>2336</v>
      </c>
      <c r="D24091" s="6">
        <v>12.71</v>
      </c>
    </row>
    <row r="24092" spans="1:4" x14ac:dyDescent="0.25">
      <c r="A24092" t="str">
        <f>HYPERLINK("https://www.773grp.com/globalSearch/34R3435-CVR/page-1", "34R3435-CVR")</f>
        <v>34R3435-CVR</v>
      </c>
      <c r="B24092" s="3" t="str">
        <f>HYPERLINK("https://www.773grp.com/manufacturer/texas-instruments?pageNo=349", "Texas Instruments")</f>
        <v>Texas Instruments</v>
      </c>
      <c r="C24092" s="5">
        <v>22720</v>
      </c>
      <c r="D24092" s="6">
        <v>12.74</v>
      </c>
    </row>
    <row r="24093" spans="1:4" x14ac:dyDescent="0.25">
      <c r="A24093" t="str">
        <f>HYPERLINK("https://www.773grp.com/globalSearch/ADC0848BCVX-NOPB/page-1", "ADC0848BCVX-NOPB")</f>
        <v>ADC0848BCVX-NOPB</v>
      </c>
      <c r="B24093" s="3" t="str">
        <f>HYPERLINK("https://www.773grp.com/manufacturer/texas-instruments?pageNo=350", "Texas Instruments")</f>
        <v>Texas Instruments</v>
      </c>
      <c r="C24093" s="5">
        <v>3000</v>
      </c>
      <c r="D24093" s="6">
        <v>12.74</v>
      </c>
    </row>
    <row r="24094" spans="1:4" x14ac:dyDescent="0.25">
      <c r="A24094" t="str">
        <f>HYPERLINK("https://www.773grp.com/globalSearch/ADC0848CCV/page-1", "ADC0848CCV")</f>
        <v>ADC0848CCV</v>
      </c>
      <c r="B24094" s="3" t="str">
        <f>HYPERLINK("https://www.773grp.com/manufacturer/texas-instruments?pageNo=351", "Texas Instruments")</f>
        <v>Texas Instruments</v>
      </c>
      <c r="C24094" s="5">
        <v>104</v>
      </c>
      <c r="D24094" s="6">
        <v>12.74</v>
      </c>
    </row>
    <row r="24095" spans="1:4" x14ac:dyDescent="0.25">
      <c r="A24095" t="str">
        <f>HYPERLINK("https://www.773grp.com/globalSearch/DS32EL0421SQE-NOPB/page-1", "DS32EL0421SQE-NOPB")</f>
        <v>DS32EL0421SQE-NOPB</v>
      </c>
      <c r="B24095" s="3" t="str">
        <f>HYPERLINK("https://www.773grp.com/manufacturer/texas-instruments?pageNo=357", "Texas Instruments")</f>
        <v>Texas Instruments</v>
      </c>
      <c r="C24095" s="5">
        <v>250</v>
      </c>
      <c r="D24095" s="6">
        <v>12.78</v>
      </c>
    </row>
    <row r="24096" spans="1:4" x14ac:dyDescent="0.25">
      <c r="A24096" t="str">
        <f>HYPERLINK("https://www.773grp.com/globalSearch/MSP430F6636IPZ/page-1", "MSP430F6636IPZ")</f>
        <v>MSP430F6636IPZ</v>
      </c>
      <c r="B24096" s="3" t="str">
        <f>HYPERLINK("https://www.773grp.com/manufacturer/texas-instruments?pageNo=359", "Texas Instruments")</f>
        <v>Texas Instruments</v>
      </c>
      <c r="C24096" s="5">
        <v>50</v>
      </c>
      <c r="D24096" s="6">
        <v>12.78</v>
      </c>
    </row>
    <row r="24097" spans="1:4" x14ac:dyDescent="0.25">
      <c r="A24097" t="str">
        <f>HYPERLINK("https://www.773grp.com/globalSearch/ADS7945SRTET/page-1", "ADS7945SRTET")</f>
        <v>ADS7945SRTET</v>
      </c>
      <c r="B24097" s="3" t="str">
        <f>HYPERLINK("https://www.773grp.com/manufacturer/texas-instruments?pageNo=366", "Texas Instruments")</f>
        <v>Texas Instruments</v>
      </c>
      <c r="C24097" s="5">
        <v>250</v>
      </c>
      <c r="D24097" s="6">
        <v>12.79</v>
      </c>
    </row>
    <row r="24098" spans="1:4" x14ac:dyDescent="0.25">
      <c r="A24098" t="str">
        <f>HYPERLINK("https://www.773grp.com/globalSearch/MSP430F5438AIZQWR/page-1", "MSP430F5438AIZQWR")</f>
        <v>MSP430F5438AIZQWR</v>
      </c>
      <c r="B24098" s="3" t="str">
        <f>HYPERLINK("https://www.773grp.com/manufacturer/texas-instruments?pageNo=373", "Texas Instruments")</f>
        <v>Texas Instruments</v>
      </c>
      <c r="C24098" s="5">
        <v>14068</v>
      </c>
      <c r="D24098" s="6">
        <v>12.79</v>
      </c>
    </row>
    <row r="24099" spans="1:4" x14ac:dyDescent="0.25">
      <c r="A24099" t="str">
        <f>HYPERLINK("https://www.773grp.com/globalSearch/MSP430F5438IPZR/page-1", "MSP430F5438IPZR")</f>
        <v>MSP430F5438IPZR</v>
      </c>
      <c r="B24099" s="3" t="str">
        <f>HYPERLINK("https://www.773grp.com/manufacturer/texas-instruments?pageNo=374", "Texas Instruments")</f>
        <v>Texas Instruments</v>
      </c>
      <c r="C24099" s="5">
        <v>3000</v>
      </c>
      <c r="D24099" s="6">
        <v>12.79</v>
      </c>
    </row>
    <row r="24100" spans="1:4" x14ac:dyDescent="0.25">
      <c r="A24100" t="str">
        <f>HYPERLINK("https://www.773grp.com/globalSearch/ONET1191PRGTT/page-1", "ONET1191PRGTT")</f>
        <v>ONET1191PRGTT</v>
      </c>
      <c r="B24100" s="3" t="str">
        <f>HYPERLINK("https://www.773grp.com/manufacturer/texas-instruments?pageNo=375", "Texas Instruments")</f>
        <v>Texas Instruments</v>
      </c>
      <c r="C24100" s="5">
        <v>250</v>
      </c>
      <c r="D24100" s="6">
        <v>12.79</v>
      </c>
    </row>
    <row r="24101" spans="1:4" x14ac:dyDescent="0.25">
      <c r="A24101" t="str">
        <f>HYPERLINK("https://www.773grp.com/globalSearch/TLV25431DW/page-1", "TLV25431DW")</f>
        <v>TLV25431DW</v>
      </c>
      <c r="B24101" s="3" t="str">
        <f>HYPERLINK("https://www.773grp.com/manufacturer/texas-instruments?pageNo=381", "Texas Instruments")</f>
        <v>Texas Instruments</v>
      </c>
      <c r="C24101" s="5">
        <v>4</v>
      </c>
      <c r="D24101" s="6">
        <v>12.79</v>
      </c>
    </row>
    <row r="24102" spans="1:4" x14ac:dyDescent="0.25">
      <c r="A24102" t="str">
        <f>HYPERLINK("https://www.773grp.com/globalSearch/TLV5636CDGKR/page-1", "TLV5636CDGKR")</f>
        <v>TLV5636CDGKR</v>
      </c>
      <c r="B24102" s="3" t="str">
        <f>HYPERLINK("https://www.773grp.com/manufacturer/texas-instruments?pageNo=383", "Texas Instruments")</f>
        <v>Texas Instruments</v>
      </c>
      <c r="C24102" s="5">
        <v>5000</v>
      </c>
      <c r="D24102" s="6">
        <v>12.79</v>
      </c>
    </row>
    <row r="24103" spans="1:4" x14ac:dyDescent="0.25">
      <c r="A24103" t="str">
        <f>HYPERLINK("https://www.773grp.com/globalSearch/TPS65930A2ZCH/page-1", "TPS65930A2ZCH")</f>
        <v>TPS65930A2ZCH</v>
      </c>
      <c r="B24103" s="3" t="str">
        <f>HYPERLINK("https://www.773grp.com/manufacturer/texas-instruments?pageNo=392", "Texas Instruments")</f>
        <v>Texas Instruments</v>
      </c>
      <c r="C24103" s="5">
        <v>920</v>
      </c>
      <c r="D24103" s="6">
        <v>12.83</v>
      </c>
    </row>
    <row r="24104" spans="1:4" x14ac:dyDescent="0.25">
      <c r="A24104" t="str">
        <f>HYPERLINK("https://www.773grp.com/globalSearch/SN74ALS577ADWR/page-1", "SN74ALS577ADWR")</f>
        <v>SN74ALS577ADWR</v>
      </c>
      <c r="B24104" s="3" t="str">
        <f>HYPERLINK("https://www.773grp.com/manufacturer/texas-instruments?pageNo=407", "Texas Instruments")</f>
        <v>Texas Instruments</v>
      </c>
      <c r="C24104" s="5">
        <v>10</v>
      </c>
      <c r="D24104" s="6">
        <v>12.86</v>
      </c>
    </row>
    <row r="24105" spans="1:4" x14ac:dyDescent="0.25">
      <c r="A24105" t="str">
        <f>HYPERLINK("https://www.773grp.com/globalSearch/SNJ54LS138J/page-1", "SNJ54LS138J")</f>
        <v>SNJ54LS138J</v>
      </c>
      <c r="B24105" s="3" t="str">
        <f>HYPERLINK("https://www.773grp.com/manufacturer/texas-instruments?pageNo=416", "Texas Instruments")</f>
        <v>Texas Instruments</v>
      </c>
      <c r="C24105" s="5">
        <v>36</v>
      </c>
      <c r="D24105" s="6">
        <v>12.86</v>
      </c>
    </row>
    <row r="24106" spans="1:4" x14ac:dyDescent="0.25">
      <c r="A24106" t="str">
        <f>HYPERLINK("https://www.773grp.com/globalSearch/TAS5504APAG/page-1", "TAS5504APAG")</f>
        <v>TAS5504APAG</v>
      </c>
      <c r="B24106" s="3" t="str">
        <f>HYPERLINK("https://www.773grp.com/manufacturer/texas-instruments?pageNo=421", "Texas Instruments")</f>
        <v>Texas Instruments</v>
      </c>
      <c r="C24106" s="5">
        <v>138</v>
      </c>
      <c r="D24106" s="6">
        <v>12.88</v>
      </c>
    </row>
    <row r="24107" spans="1:4" x14ac:dyDescent="0.25">
      <c r="A24107" t="str">
        <f>HYPERLINK("https://www.773grp.com/globalSearch/CD54HCT138F3A/page-1", "CD54HCT138F3A")</f>
        <v>CD54HCT138F3A</v>
      </c>
      <c r="B24107" s="3" t="str">
        <f>HYPERLINK("https://www.773grp.com/manufacturer/texas-instruments?pageNo=425", "Texas Instruments")</f>
        <v>Texas Instruments</v>
      </c>
      <c r="C24107" s="5">
        <v>11</v>
      </c>
      <c r="D24107" s="6">
        <v>12.91</v>
      </c>
    </row>
    <row r="24108" spans="1:4" x14ac:dyDescent="0.25">
      <c r="A24108" t="str">
        <f>HYPERLINK("https://www.773grp.com/globalSearch/LM193AH-NOPB/page-1", "LM193AH-NOPB")</f>
        <v>LM193AH-NOPB</v>
      </c>
      <c r="B24108" s="3" t="str">
        <f>HYPERLINK("https://www.773grp.com/manufacturer/texas-instruments?pageNo=426", "Texas Instruments")</f>
        <v>Texas Instruments</v>
      </c>
      <c r="C24108" s="5">
        <v>2</v>
      </c>
      <c r="D24108" s="6">
        <v>12.91</v>
      </c>
    </row>
    <row r="24109" spans="1:4" x14ac:dyDescent="0.25">
      <c r="A24109" t="str">
        <f>HYPERLINK("https://www.773grp.com/globalSearch/TMS6287-45N/page-1", "TMS6287-45N")</f>
        <v>TMS6287-45N</v>
      </c>
      <c r="B24109" s="3" t="str">
        <f>HYPERLINK("https://www.773grp.com/manufacturer/texas-instruments?pageNo=429", "Texas Instruments")</f>
        <v>Texas Instruments</v>
      </c>
      <c r="C24109" s="5">
        <v>82107</v>
      </c>
      <c r="D24109" s="6">
        <v>12.91</v>
      </c>
    </row>
    <row r="24110" spans="1:4" x14ac:dyDescent="0.25">
      <c r="A24110" t="str">
        <f>HYPERLINK("https://www.773grp.com/globalSearch/BQ48SH-28X6NSH/page-1", "BQ48SH-28X6NSH")</f>
        <v>BQ48SH-28X6NSH</v>
      </c>
      <c r="B24110" s="3" t="str">
        <f>HYPERLINK("https://www.773grp.com/manufacturer/texas-instruments?pageNo=433", "Texas Instruments")</f>
        <v>Texas Instruments</v>
      </c>
      <c r="C24110" s="5">
        <v>39498</v>
      </c>
      <c r="D24110" s="6">
        <v>12.94</v>
      </c>
    </row>
    <row r="24111" spans="1:4" x14ac:dyDescent="0.25">
      <c r="A24111" t="str">
        <f>HYPERLINK("https://www.773grp.com/globalSearch/DAC6574IDGSG4/page-1", "DAC6574IDGSG4")</f>
        <v>DAC6574IDGSG4</v>
      </c>
      <c r="B24111" s="3" t="str">
        <f>HYPERLINK("https://www.773grp.com/manufacturer/texas-instruments?pageNo=437", "Texas Instruments")</f>
        <v>Texas Instruments</v>
      </c>
      <c r="C24111" s="5">
        <v>45</v>
      </c>
      <c r="D24111" s="6">
        <v>12.94</v>
      </c>
    </row>
    <row r="24112" spans="1:4" x14ac:dyDescent="0.25">
      <c r="A24112" t="str">
        <f>HYPERLINK("https://www.773grp.com/globalSearch/SN65LVPE501RGET/page-1", "SN65LVPE501RGET")</f>
        <v>SN65LVPE501RGET</v>
      </c>
      <c r="B24112" s="3" t="str">
        <f>HYPERLINK("https://www.773grp.com/manufacturer/texas-instruments?pageNo=449", "Texas Instruments")</f>
        <v>Texas Instruments</v>
      </c>
      <c r="C24112" s="5">
        <v>243</v>
      </c>
      <c r="D24112" s="6">
        <v>12.94</v>
      </c>
    </row>
    <row r="24113" spans="1:4" x14ac:dyDescent="0.25">
      <c r="A24113" t="str">
        <f>HYPERLINK("https://www.773grp.com/globalSearch/TLV1570CPW/page-1", "TLV1570CPW")</f>
        <v>TLV1570CPW</v>
      </c>
      <c r="B24113" s="3" t="str">
        <f>HYPERLINK("https://www.773grp.com/manufacturer/texas-instruments?pageNo=452", "Texas Instruments")</f>
        <v>Texas Instruments</v>
      </c>
      <c r="C24113" s="5">
        <v>78</v>
      </c>
      <c r="D24113" s="6">
        <v>12.94</v>
      </c>
    </row>
    <row r="24114" spans="1:4" x14ac:dyDescent="0.25">
      <c r="A24114" t="str">
        <f>HYPERLINK("https://www.773grp.com/globalSearch/TPS54872PWPR/page-1", "TPS54872PWPR")</f>
        <v>TPS54872PWPR</v>
      </c>
      <c r="B24114" s="3" t="str">
        <f>HYPERLINK("https://www.773grp.com/manufacturer/texas-instruments?pageNo=457", "Texas Instruments")</f>
        <v>Texas Instruments</v>
      </c>
      <c r="C24114" s="5">
        <v>8000</v>
      </c>
      <c r="D24114" s="6">
        <v>12.94</v>
      </c>
    </row>
    <row r="24115" spans="1:4" x14ac:dyDescent="0.25">
      <c r="A24115" t="str">
        <f>HYPERLINK("https://www.773grp.com/globalSearch/TPS54880PWPR/page-1", "TPS54880PWPR")</f>
        <v>TPS54880PWPR</v>
      </c>
      <c r="B24115" s="3" t="str">
        <f>HYPERLINK("https://www.773grp.com/manufacturer/texas-instruments?pageNo=458", "Texas Instruments")</f>
        <v>Texas Instruments</v>
      </c>
      <c r="C24115" s="5">
        <v>21660</v>
      </c>
      <c r="D24115" s="6">
        <v>12.94</v>
      </c>
    </row>
    <row r="24116" spans="1:4" x14ac:dyDescent="0.25">
      <c r="A24116" t="str">
        <f>HYPERLINK("https://www.773grp.com/globalSearch/UCD9244RGCT/page-1", "UCD9244RGCT")</f>
        <v>UCD9244RGCT</v>
      </c>
      <c r="B24116" s="3" t="str">
        <f>HYPERLINK("https://www.773grp.com/manufacturer/texas-instruments?pageNo=459", "Texas Instruments")</f>
        <v>Texas Instruments</v>
      </c>
      <c r="C24116" s="5">
        <v>110</v>
      </c>
      <c r="D24116" s="6">
        <v>12.94</v>
      </c>
    </row>
    <row r="24117" spans="1:4" x14ac:dyDescent="0.25">
      <c r="A24117" t="str">
        <f>HYPERLINK("https://www.773grp.com/globalSearch/WM2630IDT/page-1", "WM2630IDT")</f>
        <v>WM2630IDT</v>
      </c>
      <c r="B24117" s="3" t="str">
        <f>HYPERLINK("https://www.773grp.com/manufacturer/texas-instruments?pageNo=460", "Texas Instruments")</f>
        <v>Texas Instruments</v>
      </c>
      <c r="C24117" s="5">
        <v>2450</v>
      </c>
      <c r="D24117" s="6">
        <v>12.94</v>
      </c>
    </row>
    <row r="24118" spans="1:4" x14ac:dyDescent="0.25">
      <c r="A24118" t="str">
        <f>HYPERLINK("https://www.773grp.com/globalSearch/INA129U-2K5/page-1", "INA129U-2K5")</f>
        <v>INA129U-2K5</v>
      </c>
      <c r="B24118" s="3" t="str">
        <f>HYPERLINK("https://www.773grp.com/manufacturer/texas-instruments?pageNo=464", "Texas Instruments")</f>
        <v>Texas Instruments</v>
      </c>
      <c r="C24118" s="5">
        <v>17500</v>
      </c>
      <c r="D24118" s="6">
        <v>12.96</v>
      </c>
    </row>
    <row r="24119" spans="1:4" x14ac:dyDescent="0.25">
      <c r="A24119" t="str">
        <f>HYPERLINK("https://www.773grp.com/globalSearch/ADS1192IRSMT/page-1", "ADS1192IRSMT")</f>
        <v>ADS1192IRSMT</v>
      </c>
      <c r="B24119" s="3" t="str">
        <f>HYPERLINK("https://www.773grp.com/manufacturer/texas-instruments?pageNo=476", "Texas Instruments")</f>
        <v>Texas Instruments</v>
      </c>
      <c r="C24119" s="5">
        <v>250</v>
      </c>
      <c r="D24119" s="6">
        <v>13</v>
      </c>
    </row>
    <row r="24120" spans="1:4" x14ac:dyDescent="0.25">
      <c r="A24120" t="str">
        <f>HYPERLINK("https://www.773grp.com/globalSearch/SN74LS275N/page-1", "SN74LS275N")</f>
        <v>SN74LS275N</v>
      </c>
      <c r="B24120" s="3" t="str">
        <f>HYPERLINK("https://www.773grp.com/manufacturer/texas-instruments?pageNo=482", "Texas Instruments")</f>
        <v>Texas Instruments</v>
      </c>
      <c r="C24120" s="5">
        <v>2551</v>
      </c>
      <c r="D24120" s="6">
        <v>13</v>
      </c>
    </row>
    <row r="24121" spans="1:4" x14ac:dyDescent="0.25">
      <c r="A24121" t="str">
        <f>HYPERLINK("https://www.773grp.com/globalSearch/SNJ54ALS112AJ/page-1", "SNJ54ALS112AJ")</f>
        <v>SNJ54ALS112AJ</v>
      </c>
      <c r="B24121" s="3" t="str">
        <f>HYPERLINK("https://www.773grp.com/manufacturer/texas-instruments?pageNo=483", "Texas Instruments")</f>
        <v>Texas Instruments</v>
      </c>
      <c r="C24121" s="5">
        <v>59</v>
      </c>
      <c r="D24121" s="6">
        <v>13</v>
      </c>
    </row>
    <row r="24122" spans="1:4" x14ac:dyDescent="0.25">
      <c r="A24122" t="str">
        <f>HYPERLINK("https://www.773grp.com/globalSearch/TLV5619IDWRG4/page-1", "TLV5619IDWRG4")</f>
        <v>TLV5619IDWRG4</v>
      </c>
      <c r="B24122" s="3" t="str">
        <f>HYPERLINK("https://www.773grp.com/manufacturer/texas-instruments?pageNo=484", "Texas Instruments")</f>
        <v>Texas Instruments</v>
      </c>
      <c r="C24122" s="5">
        <v>2</v>
      </c>
      <c r="D24122" s="6">
        <v>13</v>
      </c>
    </row>
    <row r="24123" spans="1:4" x14ac:dyDescent="0.25">
      <c r="A24123" t="str">
        <f>HYPERLINK("https://www.773grp.com/globalSearch/BQ2013HSN-A514/page-1", "BQ2013HSN-A514")</f>
        <v>BQ2013HSN-A514</v>
      </c>
      <c r="B24123" s="3" t="str">
        <f>HYPERLINK("https://www.773grp.com/manufacturer/texas-instruments?pageNo=486", "Texas Instruments")</f>
        <v>Texas Instruments</v>
      </c>
      <c r="C24123" s="5">
        <v>1200</v>
      </c>
      <c r="D24123" s="6">
        <v>13.03</v>
      </c>
    </row>
    <row r="24124" spans="1:4" x14ac:dyDescent="0.25">
      <c r="A24124" t="str">
        <f>HYPERLINK("https://www.773grp.com/globalSearch/BQ2050HSN-A508/page-1", "BQ2050HSN-A508")</f>
        <v>BQ2050HSN-A508</v>
      </c>
      <c r="B24124" s="3" t="str">
        <f>HYPERLINK("https://www.773grp.com/manufacturer/texas-instruments?pageNo=487", "Texas Instruments")</f>
        <v>Texas Instruments</v>
      </c>
      <c r="C24124" s="5">
        <v>50</v>
      </c>
      <c r="D24124" s="6">
        <v>13.03</v>
      </c>
    </row>
    <row r="24125" spans="1:4" x14ac:dyDescent="0.25">
      <c r="A24125" t="str">
        <f>HYPERLINK("https://www.773grp.com/globalSearch/TLC555MJGB/page-1", "TLC555MJGB")</f>
        <v>TLC555MJGB</v>
      </c>
      <c r="B24125" s="3" t="str">
        <f>HYPERLINK("https://www.773grp.com/manufacturer/texas-instruments?pageNo=493", "Texas Instruments")</f>
        <v>Texas Instruments</v>
      </c>
      <c r="C24125" s="5">
        <v>92</v>
      </c>
      <c r="D24125" s="6">
        <v>13.03</v>
      </c>
    </row>
    <row r="24126" spans="1:4" x14ac:dyDescent="0.25">
      <c r="A24126" t="str">
        <f>HYPERLINK("https://www.773grp.com/globalSearch/32R2220RX-4CVT/page-1", "32R2220RX-4CVT")</f>
        <v>32R2220RX-4CVT</v>
      </c>
      <c r="B24126" s="3" t="str">
        <f>HYPERLINK("https://www.773grp.com/manufacturer/texas-instruments?pageNo=496", "Texas Instruments")</f>
        <v>Texas Instruments</v>
      </c>
      <c r="C24126" s="5">
        <v>2668</v>
      </c>
      <c r="D24126" s="6">
        <v>13.05</v>
      </c>
    </row>
    <row r="24127" spans="1:4" x14ac:dyDescent="0.25">
      <c r="A24127" t="str">
        <f>HYPERLINK("https://www.773grp.com/globalSearch/32R2412RX-4CVT/page-1", "32R2412RX-4CVT")</f>
        <v>32R2412RX-4CVT</v>
      </c>
      <c r="B24127" s="3" t="str">
        <f>HYPERLINK("https://www.773grp.com/manufacturer/texas-instruments?pageNo=497", "Texas Instruments")</f>
        <v>Texas Instruments</v>
      </c>
      <c r="C24127" s="5">
        <v>6003</v>
      </c>
      <c r="D24127" s="6">
        <v>13.05</v>
      </c>
    </row>
    <row r="24128" spans="1:4" x14ac:dyDescent="0.25">
      <c r="A24128" t="str">
        <f>HYPERLINK("https://www.773grp.com/globalSearch/32R2412RY-4CVT/page-1", "32R2412RY-4CVT")</f>
        <v>32R2412RY-4CVT</v>
      </c>
      <c r="B24128" s="3" t="str">
        <f>HYPERLINK("https://www.773grp.com/manufacturer/texas-instruments?pageNo=498", "Texas Instruments")</f>
        <v>Texas Instruments</v>
      </c>
      <c r="C24128" s="5">
        <v>73651</v>
      </c>
      <c r="D24128" s="6">
        <v>13.05</v>
      </c>
    </row>
    <row r="24129" spans="1:4" x14ac:dyDescent="0.25">
      <c r="A24129" t="str">
        <f>HYPERLINK("https://www.773grp.com/globalSearch/TM4C1232E6PMI/page-1", "TM4C1232E6PMI")</f>
        <v>TM4C1232E6PMI</v>
      </c>
      <c r="B24129" s="3" t="str">
        <f>HYPERLINK("https://www.773grp.com/manufacturer/texas-instruments?pageNo=509", "Texas Instruments")</f>
        <v>Texas Instruments</v>
      </c>
      <c r="C24129" s="5">
        <v>160</v>
      </c>
      <c r="D24129" s="6">
        <v>13.05</v>
      </c>
    </row>
    <row r="24130" spans="1:4" x14ac:dyDescent="0.25">
      <c r="A24130" t="str">
        <f>HYPERLINK("https://www.773grp.com/globalSearch/TM4C1236E6PMI/page-1", "TM4C1236E6PMI")</f>
        <v>TM4C1236E6PMI</v>
      </c>
      <c r="B24130" s="3" t="str">
        <f>HYPERLINK("https://www.773grp.com/manufacturer/texas-instruments?pageNo=510", "Texas Instruments")</f>
        <v>Texas Instruments</v>
      </c>
      <c r="C24130" s="5">
        <v>160</v>
      </c>
      <c r="D24130" s="6">
        <v>13.05</v>
      </c>
    </row>
    <row r="24131" spans="1:4" x14ac:dyDescent="0.25">
      <c r="A24131" t="str">
        <f>HYPERLINK("https://www.773grp.com/globalSearch/CDC706PW/page-1", "CDC706PW")</f>
        <v>CDC706PW</v>
      </c>
      <c r="B24131" s="3" t="str">
        <f>HYPERLINK("https://www.773grp.com/manufacturer/texas-instruments?pageNo=513", "Texas Instruments")</f>
        <v>Texas Instruments</v>
      </c>
      <c r="C24131" s="5">
        <v>70</v>
      </c>
      <c r="D24131" s="6">
        <v>13.08</v>
      </c>
    </row>
    <row r="24132" spans="1:4" x14ac:dyDescent="0.25">
      <c r="A24132" t="str">
        <f>HYPERLINK("https://www.773grp.com/globalSearch/COP8SAC728M8-NOPB/page-1", "COP8SAC728M8-NOPB")</f>
        <v>COP8SAC728M8-NOPB</v>
      </c>
      <c r="B24132" s="3" t="str">
        <f>HYPERLINK("https://www.773grp.com/manufacturer/texas-instruments?pageNo=517", "Texas Instruments")</f>
        <v>Texas Instruments</v>
      </c>
      <c r="C24132" s="5">
        <v>1248</v>
      </c>
      <c r="D24132" s="6">
        <v>13.08</v>
      </c>
    </row>
    <row r="24133" spans="1:4" x14ac:dyDescent="0.25">
      <c r="A24133" t="str">
        <f>HYPERLINK("https://www.773grp.com/globalSearch/DRV8412DDW/page-1", "DRV8412DDW")</f>
        <v>DRV8412DDW</v>
      </c>
      <c r="B24133" s="3" t="str">
        <f>HYPERLINK("https://www.773grp.com/manufacturer/texas-instruments?pageNo=518", "Texas Instruments")</f>
        <v>Texas Instruments</v>
      </c>
      <c r="C24133" s="5">
        <v>70</v>
      </c>
      <c r="D24133" s="6">
        <v>13.08</v>
      </c>
    </row>
    <row r="24134" spans="1:4" x14ac:dyDescent="0.25">
      <c r="A24134" t="str">
        <f>HYPERLINK("https://www.773grp.com/globalSearch/MSP430F2410TRGCT/page-1", "MSP430F2410TRGCT")</f>
        <v>MSP430F2410TRGCT</v>
      </c>
      <c r="B24134" s="3" t="str">
        <f>HYPERLINK("https://www.773grp.com/manufacturer/texas-instruments?pageNo=519", "Texas Instruments")</f>
        <v>Texas Instruments</v>
      </c>
      <c r="C24134" s="5">
        <v>251</v>
      </c>
      <c r="D24134" s="6">
        <v>13.08</v>
      </c>
    </row>
    <row r="24135" spans="1:4" x14ac:dyDescent="0.25">
      <c r="A24135" t="str">
        <f>HYPERLINK("https://www.773grp.com/globalSearch/PPCI1420PDV/page-1", "PPCI1420PDV")</f>
        <v>PPCI1420PDV</v>
      </c>
      <c r="B24135" s="3" t="str">
        <f>HYPERLINK("https://www.773grp.com/manufacturer/texas-instruments?pageNo=528", "Texas Instruments")</f>
        <v>Texas Instruments</v>
      </c>
      <c r="C24135" s="5">
        <v>1243</v>
      </c>
      <c r="D24135" s="6">
        <v>13.08</v>
      </c>
    </row>
    <row r="24136" spans="1:4" x14ac:dyDescent="0.25">
      <c r="A24136" t="str">
        <f>HYPERLINK("https://www.773grp.com/globalSearch/TAS5614LADDV/page-1", "TAS5614LADDV")</f>
        <v>TAS5614LADDV</v>
      </c>
      <c r="B24136" s="3" t="str">
        <f>HYPERLINK("https://www.773grp.com/manufacturer/texas-instruments?pageNo=531", "Texas Instruments")</f>
        <v>Texas Instruments</v>
      </c>
      <c r="C24136" s="5">
        <v>1085</v>
      </c>
      <c r="D24136" s="6">
        <v>13.08</v>
      </c>
    </row>
    <row r="24137" spans="1:4" x14ac:dyDescent="0.25">
      <c r="A24137" t="str">
        <f>HYPERLINK("https://www.773grp.com/globalSearch/LTC1050CP/page-1", "LTC1050CP")</f>
        <v>LTC1050CP</v>
      </c>
      <c r="B24137" s="3" t="str">
        <f>HYPERLINK("https://www.773grp.com/manufacturer/texas-instruments?pageNo=539", "Texas Instruments")</f>
        <v>Texas Instruments</v>
      </c>
      <c r="C24137" s="5">
        <v>14839</v>
      </c>
      <c r="D24137" s="6">
        <v>13.11</v>
      </c>
    </row>
    <row r="24138" spans="1:4" x14ac:dyDescent="0.25">
      <c r="A24138" t="str">
        <f>HYPERLINK("https://www.773grp.com/globalSearch/MSP430F149IRTDR/page-1", "MSP430F149IRTDR")</f>
        <v>MSP430F149IRTDR</v>
      </c>
      <c r="B24138" s="3" t="str">
        <f>HYPERLINK("https://www.773grp.com/manufacturer/texas-instruments?pageNo=541", "Texas Instruments")</f>
        <v>Texas Instruments</v>
      </c>
      <c r="C24138" s="5">
        <v>2053</v>
      </c>
      <c r="D24138" s="6">
        <v>13.11</v>
      </c>
    </row>
    <row r="24139" spans="1:4" x14ac:dyDescent="0.25">
      <c r="A24139" t="str">
        <f>HYPERLINK("https://www.773grp.com/globalSearch/TM4C1237E6PMI/page-1", "TM4C1237E6PMI")</f>
        <v>TM4C1237E6PMI</v>
      </c>
      <c r="B24139" s="3" t="str">
        <f>HYPERLINK("https://www.773grp.com/manufacturer/texas-instruments?pageNo=550", "Texas Instruments")</f>
        <v>Texas Instruments</v>
      </c>
      <c r="C24139" s="5">
        <v>160</v>
      </c>
      <c r="D24139" s="6">
        <v>13.13</v>
      </c>
    </row>
    <row r="24140" spans="1:4" x14ac:dyDescent="0.25">
      <c r="A24140" t="str">
        <f>HYPERLINK("https://www.773grp.com/globalSearch/TSC3926DS/page-1", "TSC3926DS")</f>
        <v>TSC3926DS</v>
      </c>
      <c r="B24140" s="3" t="str">
        <f>HYPERLINK("https://www.773grp.com/manufacturer/texas-instruments?pageNo=551", "Texas Instruments")</f>
        <v>Texas Instruments</v>
      </c>
      <c r="C24140" s="5">
        <v>3767</v>
      </c>
      <c r="D24140" s="6">
        <v>13.13</v>
      </c>
    </row>
    <row r="24141" spans="1:4" x14ac:dyDescent="0.25">
      <c r="A24141" t="str">
        <f>HYPERLINK("https://www.773grp.com/globalSearch/32P4918B-CGF/page-1", "32P4918B-CGF")</f>
        <v>32P4918B-CGF</v>
      </c>
      <c r="B24141" s="3" t="str">
        <f>HYPERLINK("https://www.773grp.com/manufacturer/texas-instruments?pageNo=559", "Texas Instruments")</f>
        <v>Texas Instruments</v>
      </c>
      <c r="C24141" s="5">
        <v>30319</v>
      </c>
      <c r="D24141" s="6">
        <v>13.21</v>
      </c>
    </row>
    <row r="24142" spans="1:4" x14ac:dyDescent="0.25">
      <c r="A24142" t="str">
        <f>HYPERLINK("https://www.773grp.com/globalSearch/ADS7953SRHBT/page-1", "ADS7953SRHBT")</f>
        <v>ADS7953SRHBT</v>
      </c>
      <c r="B24142" s="3" t="str">
        <f>HYPERLINK("https://www.773grp.com/manufacturer/texas-instruments?pageNo=561", "Texas Instruments")</f>
        <v>Texas Instruments</v>
      </c>
      <c r="C24142" s="5">
        <v>53</v>
      </c>
      <c r="D24142" s="6">
        <v>13.21</v>
      </c>
    </row>
    <row r="24143" spans="1:4" x14ac:dyDescent="0.25">
      <c r="A24143" t="str">
        <f>HYPERLINK("https://www.773grp.com/globalSearch/BQ20Z90DBTR-V110/page-1", "BQ20Z90DBTR-V110")</f>
        <v>BQ20Z90DBTR-V110</v>
      </c>
      <c r="B24143" s="3" t="str">
        <f>HYPERLINK("https://www.773grp.com/manufacturer/texas-instruments?pageNo=563", "Texas Instruments")</f>
        <v>Texas Instruments</v>
      </c>
      <c r="C24143" s="5">
        <v>6000</v>
      </c>
      <c r="D24143" s="6">
        <v>13.21</v>
      </c>
    </row>
    <row r="24144" spans="1:4" x14ac:dyDescent="0.25">
      <c r="A24144" t="str">
        <f>HYPERLINK("https://www.773grp.com/globalSearch/DRV8332DKDR/page-1", "DRV8332DKDR")</f>
        <v>DRV8332DKDR</v>
      </c>
      <c r="B24144" s="3" t="str">
        <f>HYPERLINK("https://www.773grp.com/manufacturer/texas-instruments?pageNo=566", "Texas Instruments")</f>
        <v>Texas Instruments</v>
      </c>
      <c r="C24144" s="5">
        <v>500</v>
      </c>
      <c r="D24144" s="6">
        <v>13.21</v>
      </c>
    </row>
    <row r="24145" spans="1:4" x14ac:dyDescent="0.25">
      <c r="A24145" t="str">
        <f>HYPERLINK("https://www.773grp.com/globalSearch/LM3S5R31-IQC80-C3/page-1", "LM3S5R31-IQC80-C3")</f>
        <v>LM3S5R31-IQC80-C3</v>
      </c>
      <c r="B24145" s="3" t="str">
        <f>HYPERLINK("https://www.773grp.com/manufacturer/texas-instruments?pageNo=567", "Texas Instruments")</f>
        <v>Texas Instruments</v>
      </c>
      <c r="C24145" s="5">
        <v>270</v>
      </c>
      <c r="D24145" s="6">
        <v>13.21</v>
      </c>
    </row>
    <row r="24146" spans="1:4" x14ac:dyDescent="0.25">
      <c r="A24146" t="str">
        <f>HYPERLINK("https://www.773grp.com/globalSearch/MSP430F6438IPZR/page-1", "MSP430F6438IPZR")</f>
        <v>MSP430F6438IPZR</v>
      </c>
      <c r="B24146" s="3" t="str">
        <f>HYPERLINK("https://www.773grp.com/manufacturer/texas-instruments?pageNo=569", "Texas Instruments")</f>
        <v>Texas Instruments</v>
      </c>
      <c r="C24146" s="5">
        <v>829</v>
      </c>
      <c r="D24146" s="6">
        <v>13.21</v>
      </c>
    </row>
    <row r="24147" spans="1:4" x14ac:dyDescent="0.25">
      <c r="A24147" t="str">
        <f>HYPERLINK("https://www.773grp.com/globalSearch/OPA569AIDWPG4/page-1", "OPA569AIDWPG4")</f>
        <v>OPA569AIDWPG4</v>
      </c>
      <c r="B24147" s="3" t="str">
        <f>HYPERLINK("https://www.773grp.com/manufacturer/texas-instruments?pageNo=571", "Texas Instruments")</f>
        <v>Texas Instruments</v>
      </c>
      <c r="C24147" s="5">
        <v>20</v>
      </c>
      <c r="D24147" s="6">
        <v>13.21</v>
      </c>
    </row>
    <row r="24148" spans="1:4" x14ac:dyDescent="0.25">
      <c r="A24148" t="str">
        <f>HYPERLINK("https://www.773grp.com/globalSearch/TLC5902/page-1", "TLC5902")</f>
        <v>TLC5902</v>
      </c>
      <c r="B24148" s="3" t="str">
        <f>HYPERLINK("https://www.773grp.com/manufacturer/texas-instruments?pageNo=576", "Texas Instruments")</f>
        <v>Texas Instruments</v>
      </c>
      <c r="C24148" s="5">
        <v>92</v>
      </c>
      <c r="D24148" s="6">
        <v>13.21</v>
      </c>
    </row>
    <row r="24149" spans="1:4" x14ac:dyDescent="0.25">
      <c r="A24149" t="str">
        <f>HYPERLINK("https://www.773grp.com/globalSearch/TM4C1233H6PZI/page-1", "TM4C1233H6PZI")</f>
        <v>TM4C1233H6PZI</v>
      </c>
      <c r="B24149" s="3" t="str">
        <f>HYPERLINK("https://www.773grp.com/manufacturer/texas-instruments?pageNo=580", "Texas Instruments")</f>
        <v>Texas Instruments</v>
      </c>
      <c r="C24149" s="5">
        <v>90</v>
      </c>
      <c r="D24149" s="6">
        <v>13.21</v>
      </c>
    </row>
    <row r="24150" spans="1:4" x14ac:dyDescent="0.25">
      <c r="A24150" t="str">
        <f>HYPERLINK("https://www.773grp.com/globalSearch/TPS54314MPWPREP/page-1", "TPS54314MPWPREP")</f>
        <v>TPS54314MPWPREP</v>
      </c>
      <c r="B24150" s="3" t="str">
        <f>HYPERLINK("https://www.773grp.com/manufacturer/texas-instruments?pageNo=582", "Texas Instruments")</f>
        <v>Texas Instruments</v>
      </c>
      <c r="C24150" s="5">
        <v>5169</v>
      </c>
      <c r="D24150" s="6">
        <v>13.21</v>
      </c>
    </row>
    <row r="24151" spans="1:4" x14ac:dyDescent="0.25">
      <c r="A24151" t="str">
        <f>HYPERLINK("https://www.773grp.com/globalSearch/LM239J/page-1", "LM239J")</f>
        <v>LM239J</v>
      </c>
      <c r="B24151" s="3" t="str">
        <f>HYPERLINK("https://www.773grp.com/manufacturer/texas-instruments?pageNo=586", "Texas Instruments")</f>
        <v>Texas Instruments</v>
      </c>
      <c r="C24151" s="5">
        <v>25</v>
      </c>
      <c r="D24151" s="6">
        <v>13.25</v>
      </c>
    </row>
    <row r="24152" spans="1:4" x14ac:dyDescent="0.25">
      <c r="A24152" t="str">
        <f>HYPERLINK("https://www.773grp.com/globalSearch/PTH08080WAH/page-1", "PTH08080WAH")</f>
        <v>PTH08080WAH</v>
      </c>
      <c r="B24152" s="3" t="str">
        <f>HYPERLINK("https://www.773grp.com/manufacturer/texas-instruments?pageNo=592", "Texas Instruments")</f>
        <v>Texas Instruments</v>
      </c>
      <c r="C24152" s="5">
        <v>9000</v>
      </c>
      <c r="D24152" s="6">
        <v>13.25</v>
      </c>
    </row>
    <row r="24153" spans="1:4" x14ac:dyDescent="0.25">
      <c r="A24153" t="str">
        <f>HYPERLINK("https://www.773grp.com/globalSearch/PTH08080WAZ/page-1", "PTH08080WAZ")</f>
        <v>PTH08080WAZ</v>
      </c>
      <c r="B24153" s="3" t="str">
        <f>HYPERLINK("https://www.773grp.com/manufacturer/texas-instruments?pageNo=595", "Texas Instruments")</f>
        <v>Texas Instruments</v>
      </c>
      <c r="C24153" s="5">
        <v>88</v>
      </c>
      <c r="D24153" s="6">
        <v>13.25</v>
      </c>
    </row>
    <row r="24154" spans="1:4" x14ac:dyDescent="0.25">
      <c r="A24154" t="str">
        <f>HYPERLINK("https://www.773grp.com/globalSearch/SN74LS595NS/page-1", "SN74LS595NS")</f>
        <v>SN74LS595NS</v>
      </c>
      <c r="B24154" s="3" t="str">
        <f>HYPERLINK("https://www.773grp.com/manufacturer/texas-instruments?pageNo=606", "Texas Instruments")</f>
        <v>Texas Instruments</v>
      </c>
      <c r="C24154" s="5">
        <v>1200</v>
      </c>
      <c r="D24154" s="6">
        <v>13.25</v>
      </c>
    </row>
    <row r="24155" spans="1:4" x14ac:dyDescent="0.25">
      <c r="A24155" t="str">
        <f>HYPERLINK("https://www.773grp.com/globalSearch/MSP430F5637IPZ/page-1", "MSP430F5637IPZ")</f>
        <v>MSP430F5637IPZ</v>
      </c>
      <c r="B24155" s="3" t="str">
        <f>HYPERLINK("https://www.773grp.com/manufacturer/texas-instruments?pageNo=614", "Texas Instruments")</f>
        <v>Texas Instruments</v>
      </c>
      <c r="C24155" s="5">
        <v>90</v>
      </c>
      <c r="D24155" s="6">
        <v>13.28</v>
      </c>
    </row>
    <row r="24156" spans="1:4" x14ac:dyDescent="0.25">
      <c r="A24156" t="str">
        <f>HYPERLINK("https://www.773grp.com/globalSearch/MSP430F6632IPZ/page-1", "MSP430F6632IPZ")</f>
        <v>MSP430F6632IPZ</v>
      </c>
      <c r="B24156" s="3" t="str">
        <f>HYPERLINK("https://www.773grp.com/manufacturer/texas-instruments?pageNo=615", "Texas Instruments")</f>
        <v>Texas Instruments</v>
      </c>
      <c r="C24156" s="5">
        <v>180</v>
      </c>
      <c r="D24156" s="6">
        <v>13.28</v>
      </c>
    </row>
    <row r="24157" spans="1:4" x14ac:dyDescent="0.25">
      <c r="A24157" t="str">
        <f>HYPERLINK("https://www.773grp.com/globalSearch/SN74ACT7203L50RJR/page-1", "SN74ACT7203L50RJR")</f>
        <v>SN74ACT7203L50RJR</v>
      </c>
      <c r="B24157" s="3" t="str">
        <f>HYPERLINK("https://www.773grp.com/manufacturer/texas-instruments?pageNo=620", "Texas Instruments")</f>
        <v>Texas Instruments</v>
      </c>
      <c r="C24157" s="5">
        <v>3000</v>
      </c>
      <c r="D24157" s="6">
        <v>13.28</v>
      </c>
    </row>
    <row r="24158" spans="1:4" x14ac:dyDescent="0.25">
      <c r="A24158" t="str">
        <f>HYPERLINK("https://www.773grp.com/globalSearch/TM4C123BH6ZRBI/page-1", "TM4C123BH6ZRBI")</f>
        <v>TM4C123BH6ZRBI</v>
      </c>
      <c r="B24158" s="3" t="str">
        <f>HYPERLINK("https://www.773grp.com/manufacturer/texas-instruments?pageNo=624", "Texas Instruments")</f>
        <v>Texas Instruments</v>
      </c>
      <c r="C24158" s="5">
        <v>80</v>
      </c>
      <c r="D24158" s="6">
        <v>13.28</v>
      </c>
    </row>
    <row r="24159" spans="1:4" x14ac:dyDescent="0.25">
      <c r="A24159" t="str">
        <f>HYPERLINK("https://www.773grp.com/globalSearch/SN74LS592NS/page-1", "SN74LS592NS")</f>
        <v>SN74LS592NS</v>
      </c>
      <c r="B24159" s="3" t="str">
        <f>HYPERLINK("https://www.773grp.com/manufacturer/texas-instruments?pageNo=631", "Texas Instruments")</f>
        <v>Texas Instruments</v>
      </c>
      <c r="C24159" s="5">
        <v>1250</v>
      </c>
      <c r="D24159" s="6">
        <v>13.3</v>
      </c>
    </row>
    <row r="24160" spans="1:4" x14ac:dyDescent="0.25">
      <c r="A24160" t="str">
        <f>HYPERLINK("https://www.773grp.com/globalSearch/UC494CJ/page-1", "UC494CJ")</f>
        <v>UC494CJ</v>
      </c>
      <c r="B24160" s="3" t="str">
        <f>HYPERLINK("https://www.773grp.com/manufacturer/texas-instruments?pageNo=639", "Texas Instruments")</f>
        <v>Texas Instruments</v>
      </c>
      <c r="C24160" s="5">
        <v>66</v>
      </c>
      <c r="D24160" s="6">
        <v>13.3</v>
      </c>
    </row>
    <row r="24161" spans="1:4" x14ac:dyDescent="0.25">
      <c r="A24161" t="str">
        <f>HYPERLINK("https://www.773grp.com/globalSearch/SN74ACT7200L25DVR/page-1", "SN74ACT7200L25DVR")</f>
        <v>SN74ACT7200L25DVR</v>
      </c>
      <c r="B24161" s="3" t="str">
        <f>HYPERLINK("https://www.773grp.com/manufacturer/texas-instruments?pageNo=647", "Texas Instruments")</f>
        <v>Texas Instruments</v>
      </c>
      <c r="C24161" s="5">
        <v>13000</v>
      </c>
      <c r="D24161" s="6">
        <v>13.34</v>
      </c>
    </row>
    <row r="24162" spans="1:4" x14ac:dyDescent="0.25">
      <c r="A24162" t="str">
        <f>HYPERLINK("https://www.773grp.com/globalSearch/TUSB7320RKMT/page-1", "TUSB7320RKMT")</f>
        <v>TUSB7320RKMT</v>
      </c>
      <c r="B24162" s="3" t="str">
        <f>HYPERLINK("https://www.773grp.com/manufacturer/texas-instruments?pageNo=651", "Texas Instruments")</f>
        <v>Texas Instruments</v>
      </c>
      <c r="C24162" s="5">
        <v>2500</v>
      </c>
      <c r="D24162" s="6">
        <v>13.34</v>
      </c>
    </row>
    <row r="24163" spans="1:4" x14ac:dyDescent="0.25">
      <c r="A24163" t="str">
        <f>HYPERLINK("https://www.773grp.com/globalSearch/DP83849IFVS-NOPB/page-1", "DP83849IFVS-NOPB")</f>
        <v>DP83849IFVS-NOPB</v>
      </c>
      <c r="B24163" s="3" t="str">
        <f>HYPERLINK("https://www.773grp.com/manufacturer/texas-instruments?pageNo=655", "Texas Instruments")</f>
        <v>Texas Instruments</v>
      </c>
      <c r="C24163" s="5">
        <v>669</v>
      </c>
      <c r="D24163" s="6">
        <v>13.36</v>
      </c>
    </row>
    <row r="24164" spans="1:4" x14ac:dyDescent="0.25">
      <c r="A24164" t="str">
        <f>HYPERLINK("https://www.773grp.com/globalSearch/MSP430F4794IPZ/page-1", "MSP430F4794IPZ")</f>
        <v>MSP430F4794IPZ</v>
      </c>
      <c r="B24164" s="3" t="str">
        <f>HYPERLINK("https://www.773grp.com/manufacturer/texas-instruments?pageNo=656", "Texas Instruments")</f>
        <v>Texas Instruments</v>
      </c>
      <c r="C24164" s="5">
        <v>30</v>
      </c>
      <c r="D24164" s="6">
        <v>13.36</v>
      </c>
    </row>
    <row r="24165" spans="1:4" x14ac:dyDescent="0.25">
      <c r="A24165" t="str">
        <f>HYPERLINK("https://www.773grp.com/globalSearch/MSP430F5436IPZR/page-1", "MSP430F5436IPZR")</f>
        <v>MSP430F5436IPZR</v>
      </c>
      <c r="B24165" s="3" t="str">
        <f>HYPERLINK("https://www.773grp.com/manufacturer/texas-instruments?pageNo=657", "Texas Instruments")</f>
        <v>Texas Instruments</v>
      </c>
      <c r="C24165" s="5">
        <v>2846</v>
      </c>
      <c r="D24165" s="6">
        <v>13.36</v>
      </c>
    </row>
    <row r="24166" spans="1:4" x14ac:dyDescent="0.25">
      <c r="A24166" t="str">
        <f>HYPERLINK("https://www.773grp.com/globalSearch/MSP430FG477IPN/page-1", "MSP430FG477IPN")</f>
        <v>MSP430FG477IPN</v>
      </c>
      <c r="B24166" s="3" t="str">
        <f>HYPERLINK("https://www.773grp.com/manufacturer/texas-instruments?pageNo=658", "Texas Instruments")</f>
        <v>Texas Instruments</v>
      </c>
      <c r="C24166" s="5">
        <v>32</v>
      </c>
      <c r="D24166" s="6">
        <v>13.36</v>
      </c>
    </row>
    <row r="24167" spans="1:4" x14ac:dyDescent="0.25">
      <c r="A24167" t="str">
        <f>HYPERLINK("https://www.773grp.com/globalSearch/PCI1410ARFP/page-1", "PCI1410ARFP")</f>
        <v>PCI1410ARFP</v>
      </c>
      <c r="B24167" s="3" t="str">
        <f>HYPERLINK("https://www.773grp.com/manufacturer/texas-instruments?pageNo=662", "Texas Instruments")</f>
        <v>Texas Instruments</v>
      </c>
      <c r="C24167" s="5">
        <v>4865</v>
      </c>
      <c r="D24167" s="6">
        <v>13.36</v>
      </c>
    </row>
    <row r="24168" spans="1:4" x14ac:dyDescent="0.25">
      <c r="A24168" t="str">
        <f>HYPERLINK("https://www.773grp.com/globalSearch/TLV5604ID/page-1", "TLV5604ID")</f>
        <v>TLV5604ID</v>
      </c>
      <c r="B24168" s="3" t="str">
        <f>HYPERLINK("https://www.773grp.com/manufacturer/texas-instruments?pageNo=676", "Texas Instruments")</f>
        <v>Texas Instruments</v>
      </c>
      <c r="C24168" s="5">
        <v>30</v>
      </c>
      <c r="D24168" s="6">
        <v>13.36</v>
      </c>
    </row>
    <row r="24169" spans="1:4" x14ac:dyDescent="0.25">
      <c r="A24169" t="str">
        <f>HYPERLINK("https://www.773grp.com/globalSearch/TPS2384APAPR/page-1", "TPS2384APAPR")</f>
        <v>TPS2384APAPR</v>
      </c>
      <c r="B24169" s="3" t="str">
        <f>HYPERLINK("https://www.773grp.com/manufacturer/texas-instruments?pageNo=678", "Texas Instruments")</f>
        <v>Texas Instruments</v>
      </c>
      <c r="C24169" s="5">
        <v>10000</v>
      </c>
      <c r="D24169" s="6">
        <v>13.36</v>
      </c>
    </row>
    <row r="24170" spans="1:4" x14ac:dyDescent="0.25">
      <c r="A24170" t="str">
        <f>HYPERLINK("https://www.773grp.com/globalSearch/TPS2384APJDR/page-1", "TPS2384APJDR")</f>
        <v>TPS2384APJDR</v>
      </c>
      <c r="B24170" s="3" t="str">
        <f>HYPERLINK("https://www.773grp.com/manufacturer/texas-instruments?pageNo=679", "Texas Instruments")</f>
        <v>Texas Instruments</v>
      </c>
      <c r="C24170" s="5">
        <v>2000</v>
      </c>
      <c r="D24170" s="6">
        <v>13.36</v>
      </c>
    </row>
    <row r="24171" spans="1:4" x14ac:dyDescent="0.25">
      <c r="A24171" t="str">
        <f>HYPERLINK("https://www.773grp.com/globalSearch/TPS2384PAPR/page-1", "TPS2384PAPR")</f>
        <v>TPS2384PAPR</v>
      </c>
      <c r="B24171" s="3" t="str">
        <f>HYPERLINK("https://www.773grp.com/manufacturer/texas-instruments?pageNo=680", "Texas Instruments")</f>
        <v>Texas Instruments</v>
      </c>
      <c r="C24171" s="5">
        <v>550</v>
      </c>
      <c r="D24171" s="6">
        <v>13.36</v>
      </c>
    </row>
    <row r="24172" spans="1:4" x14ac:dyDescent="0.25">
      <c r="A24172" t="str">
        <f>HYPERLINK("https://www.773grp.com/globalSearch/DS25MB100TSQ-NOPB/page-1", "DS25MB100TSQ-NOPB")</f>
        <v>DS25MB100TSQ-NOPB</v>
      </c>
      <c r="B24172" s="3" t="str">
        <f>HYPERLINK("https://www.773grp.com/manufacturer/texas-instruments?pageNo=694", "Texas Instruments")</f>
        <v>Texas Instruments</v>
      </c>
      <c r="C24172" s="5">
        <v>47</v>
      </c>
      <c r="D24172" s="6">
        <v>13.41</v>
      </c>
    </row>
    <row r="24173" spans="1:4" x14ac:dyDescent="0.25">
      <c r="A24173" t="str">
        <f>HYPERLINK("https://www.773grp.com/globalSearch/8407101RA/page-1", "8407101RA")</f>
        <v>8407101RA</v>
      </c>
      <c r="B24173" s="3" t="str">
        <f>HYPERLINK("https://www.773grp.com/manufacturer/texas-instruments?pageNo=699", "Texas Instruments")</f>
        <v>Texas Instruments</v>
      </c>
      <c r="C24173" s="5">
        <v>57</v>
      </c>
      <c r="D24173" s="6">
        <v>13.45</v>
      </c>
    </row>
    <row r="24174" spans="1:4" x14ac:dyDescent="0.25">
      <c r="A24174" t="str">
        <f>HYPERLINK("https://www.773grp.com/globalSearch/CD4093BF3A/page-1", "CD4093BF3A")</f>
        <v>CD4093BF3A</v>
      </c>
      <c r="B24174" s="3" t="str">
        <f>HYPERLINK("https://www.773grp.com/manufacturer/texas-instruments?pageNo=700", "Texas Instruments")</f>
        <v>Texas Instruments</v>
      </c>
      <c r="C24174" s="5">
        <v>3</v>
      </c>
      <c r="D24174" s="6">
        <v>13.45</v>
      </c>
    </row>
    <row r="24175" spans="1:4" x14ac:dyDescent="0.25">
      <c r="A24175" t="str">
        <f>HYPERLINK("https://www.773grp.com/globalSearch/DP83630SQ-NOPB/page-1", "DP83630SQ-NOPB")</f>
        <v>DP83630SQ-NOPB</v>
      </c>
      <c r="B24175" s="3" t="str">
        <f>HYPERLINK("https://www.773grp.com/manufacturer/texas-instruments?pageNo=701", "Texas Instruments")</f>
        <v>Texas Instruments</v>
      </c>
      <c r="C24175" s="5">
        <v>1000</v>
      </c>
      <c r="D24175" s="6">
        <v>13.45</v>
      </c>
    </row>
    <row r="24176" spans="1:4" x14ac:dyDescent="0.25">
      <c r="A24176" t="str">
        <f>HYPERLINK("https://www.773grp.com/globalSearch/SNJ54HC373J/page-1", "SNJ54HC373J")</f>
        <v>SNJ54HC373J</v>
      </c>
      <c r="B24176" s="3" t="str">
        <f>HYPERLINK("https://www.773grp.com/manufacturer/texas-instruments?pageNo=702", "Texas Instruments")</f>
        <v>Texas Instruments</v>
      </c>
      <c r="C24176" s="5">
        <v>55</v>
      </c>
      <c r="D24176" s="6">
        <v>13.45</v>
      </c>
    </row>
    <row r="24177" spans="1:4" x14ac:dyDescent="0.25">
      <c r="A24177" t="str">
        <f>HYPERLINK("https://www.773grp.com/globalSearch/UCC2806DW-70038/page-1", "UCC2806DW-70038")</f>
        <v>UCC2806DW-70038</v>
      </c>
      <c r="B24177" s="3" t="str">
        <f>HYPERLINK("https://www.773grp.com/manufacturer/texas-instruments?pageNo=711", "Texas Instruments")</f>
        <v>Texas Instruments</v>
      </c>
      <c r="C24177" s="5">
        <v>54</v>
      </c>
      <c r="D24177" s="6">
        <v>13.45</v>
      </c>
    </row>
    <row r="24178" spans="1:4" x14ac:dyDescent="0.25">
      <c r="A24178" t="str">
        <f>HYPERLINK("https://www.773grp.com/globalSearch/CD54HCT244F3A/page-1", "CD54HCT244F3A")</f>
        <v>CD54HCT244F3A</v>
      </c>
      <c r="B24178" s="3" t="str">
        <f>HYPERLINK("https://www.773grp.com/manufacturer/texas-instruments?pageNo=714", "Texas Instruments")</f>
        <v>Texas Instruments</v>
      </c>
      <c r="C24178" s="5">
        <v>72</v>
      </c>
      <c r="D24178" s="6">
        <v>13.46</v>
      </c>
    </row>
    <row r="24179" spans="1:4" x14ac:dyDescent="0.25">
      <c r="A24179" t="str">
        <f>HYPERLINK("https://www.773grp.com/globalSearch/DS90UR124QVS-NOPB/page-1", "DS90UR124QVS-NOPB")</f>
        <v>DS90UR124QVS-NOPB</v>
      </c>
      <c r="B24179" s="3" t="str">
        <f>HYPERLINK("https://www.773grp.com/manufacturer/texas-instruments?pageNo=715", "Texas Instruments")</f>
        <v>Texas Instruments</v>
      </c>
      <c r="C24179" s="5">
        <v>219</v>
      </c>
      <c r="D24179" s="6">
        <v>13.46</v>
      </c>
    </row>
    <row r="24180" spans="1:4" x14ac:dyDescent="0.25">
      <c r="A24180" t="str">
        <f>HYPERLINK("https://www.773grp.com/globalSearch/DS90UR241IVS-NOPB/page-1", "DS90UR241IVS-NOPB")</f>
        <v>DS90UR241IVS-NOPB</v>
      </c>
      <c r="B24180" s="3" t="str">
        <f>HYPERLINK("https://www.773grp.com/manufacturer/texas-instruments?pageNo=716", "Texas Instruments")</f>
        <v>Texas Instruments</v>
      </c>
      <c r="C24180" s="5">
        <v>250</v>
      </c>
      <c r="D24180" s="6">
        <v>13.46</v>
      </c>
    </row>
    <row r="24181" spans="1:4" x14ac:dyDescent="0.25">
      <c r="A24181" t="str">
        <f>HYPERLINK("https://www.773grp.com/globalSearch/MSP430F6635IPZ/page-1", "MSP430F6635IPZ")</f>
        <v>MSP430F6635IPZ</v>
      </c>
      <c r="B24181" s="3" t="str">
        <f>HYPERLINK("https://www.773grp.com/manufacturer/texas-instruments?pageNo=717", "Texas Instruments")</f>
        <v>Texas Instruments</v>
      </c>
      <c r="C24181" s="5">
        <v>90</v>
      </c>
      <c r="D24181" s="6">
        <v>13.46</v>
      </c>
    </row>
    <row r="24182" spans="1:4" x14ac:dyDescent="0.25">
      <c r="A24182" t="str">
        <f>HYPERLINK("https://www.773grp.com/globalSearch/SN74LS597NS/page-1", "SN74LS597NS")</f>
        <v>SN74LS597NS</v>
      </c>
      <c r="B24182" s="3" t="str">
        <f>HYPERLINK("https://www.773grp.com/manufacturer/texas-instruments?pageNo=719", "Texas Instruments")</f>
        <v>Texas Instruments</v>
      </c>
      <c r="C24182" s="5">
        <v>1150</v>
      </c>
      <c r="D24182" s="6">
        <v>13.46</v>
      </c>
    </row>
    <row r="24183" spans="1:4" x14ac:dyDescent="0.25">
      <c r="A24183" t="str">
        <f>HYPERLINK("https://www.773grp.com/globalSearch/TM4C123FE6PMI/page-1", "TM4C123FE6PMI")</f>
        <v>TM4C123FE6PMI</v>
      </c>
      <c r="B24183" s="3" t="str">
        <f>HYPERLINK("https://www.773grp.com/manufacturer/texas-instruments?pageNo=723", "Texas Instruments")</f>
        <v>Texas Instruments</v>
      </c>
      <c r="C24183" s="5">
        <v>160</v>
      </c>
      <c r="D24183" s="6">
        <v>13.46</v>
      </c>
    </row>
    <row r="24184" spans="1:4" x14ac:dyDescent="0.25">
      <c r="A24184" t="str">
        <f>HYPERLINK("https://www.773grp.com/globalSearch/ADS8324E-250/page-1", "ADS8324E-250")</f>
        <v>ADS8324E-250</v>
      </c>
      <c r="B24184" s="3" t="str">
        <f>HYPERLINK("https://www.773grp.com/manufacturer/texas-instruments?pageNo=724", "Texas Instruments")</f>
        <v>Texas Instruments</v>
      </c>
      <c r="C24184" s="5">
        <v>750</v>
      </c>
      <c r="D24184" s="6">
        <v>13.5</v>
      </c>
    </row>
    <row r="24185" spans="1:4" x14ac:dyDescent="0.25">
      <c r="A24185" t="str">
        <f>HYPERLINK("https://www.773grp.com/globalSearch/BQ20Z60DBTR-R1/page-1", "BQ20Z60DBTR-R1")</f>
        <v>BQ20Z60DBTR-R1</v>
      </c>
      <c r="B24185" s="3" t="str">
        <f>HYPERLINK("https://www.773grp.com/manufacturer/texas-instruments?pageNo=725", "Texas Instruments")</f>
        <v>Texas Instruments</v>
      </c>
      <c r="C24185" s="5">
        <v>4000</v>
      </c>
      <c r="D24185" s="6">
        <v>13.5</v>
      </c>
    </row>
    <row r="24186" spans="1:4" x14ac:dyDescent="0.25">
      <c r="A24186" t="str">
        <f>HYPERLINK("https://www.773grp.com/globalSearch/DS92LX1622SQX-NOPB/page-1", "DS92LX1622SQX-NOPB")</f>
        <v>DS92LX1622SQX-NOPB</v>
      </c>
      <c r="B24186" s="3" t="str">
        <f>HYPERLINK("https://www.773grp.com/manufacturer/texas-instruments?pageNo=727", "Texas Instruments")</f>
        <v>Texas Instruments</v>
      </c>
      <c r="C24186" s="5">
        <v>15000</v>
      </c>
      <c r="D24186" s="6">
        <v>13.5</v>
      </c>
    </row>
    <row r="24187" spans="1:4" x14ac:dyDescent="0.25">
      <c r="A24187" t="str">
        <f>HYPERLINK("https://www.773grp.com/globalSearch/INA111AU-1K/page-1", "INA111AU-1K")</f>
        <v>INA111AU-1K</v>
      </c>
      <c r="B24187" s="3" t="str">
        <f>HYPERLINK("https://www.773grp.com/manufacturer/texas-instruments?pageNo=728", "Texas Instruments")</f>
        <v>Texas Instruments</v>
      </c>
      <c r="C24187" s="5">
        <v>16220</v>
      </c>
      <c r="D24187" s="6">
        <v>13.5</v>
      </c>
    </row>
    <row r="24188" spans="1:4" x14ac:dyDescent="0.25">
      <c r="A24188" t="str">
        <f>HYPERLINK("https://www.773grp.com/globalSearch/INA114AU-1K/page-1", "INA114AU-1K")</f>
        <v>INA114AU-1K</v>
      </c>
      <c r="B24188" s="3" t="str">
        <f>HYPERLINK("https://www.773grp.com/manufacturer/texas-instruments?pageNo=729", "Texas Instruments")</f>
        <v>Texas Instruments</v>
      </c>
      <c r="C24188" s="5">
        <v>55000</v>
      </c>
      <c r="D24188" s="6">
        <v>13.5</v>
      </c>
    </row>
    <row r="24189" spans="1:4" x14ac:dyDescent="0.25">
      <c r="A24189" t="str">
        <f>HYPERLINK("https://www.773grp.com/globalSearch/MSP430F2417TPMR/page-1", "MSP430F2417TPMR")</f>
        <v>MSP430F2417TPMR</v>
      </c>
      <c r="B24189" s="3" t="str">
        <f>HYPERLINK("https://www.773grp.com/manufacturer/texas-instruments?pageNo=733", "Texas Instruments")</f>
        <v>Texas Instruments</v>
      </c>
      <c r="C24189" s="5">
        <v>1725</v>
      </c>
      <c r="D24189" s="6">
        <v>13.5</v>
      </c>
    </row>
    <row r="24190" spans="1:4" x14ac:dyDescent="0.25">
      <c r="A24190" t="str">
        <f>HYPERLINK("https://www.773grp.com/globalSearch/SN5493AWA/page-1", "SN5493AWA")</f>
        <v>SN5493AWA</v>
      </c>
      <c r="B24190" s="3" t="str">
        <f>HYPERLINK("https://www.773grp.com/manufacturer/texas-instruments?pageNo=740", "Texas Instruments")</f>
        <v>Texas Instruments</v>
      </c>
      <c r="C24190" s="5">
        <v>431</v>
      </c>
      <c r="D24190" s="6">
        <v>13.5</v>
      </c>
    </row>
    <row r="24191" spans="1:4" x14ac:dyDescent="0.25">
      <c r="A24191" t="str">
        <f>HYPERLINK("https://www.773grp.com/globalSearch/TM4C123GE6PMI/page-1", "TM4C123GE6PMI")</f>
        <v>TM4C123GE6PMI</v>
      </c>
      <c r="B24191" s="3" t="str">
        <f>HYPERLINK("https://www.773grp.com/manufacturer/texas-instruments?pageNo=754", "Texas Instruments")</f>
        <v>Texas Instruments</v>
      </c>
      <c r="C24191" s="5">
        <v>140</v>
      </c>
      <c r="D24191" s="6">
        <v>13.5</v>
      </c>
    </row>
    <row r="24192" spans="1:4" x14ac:dyDescent="0.25">
      <c r="A24192" t="str">
        <f>HYPERLINK("https://www.773grp.com/globalSearch/TMS320F28035PAGT/page-1", "TMS320F28035PAGT")</f>
        <v>TMS320F28035PAGT</v>
      </c>
      <c r="B24192" s="3" t="str">
        <f>HYPERLINK("https://www.773grp.com/manufacturer/texas-instruments?pageNo=755", "Texas Instruments")</f>
        <v>Texas Instruments</v>
      </c>
      <c r="C24192" s="5">
        <v>19</v>
      </c>
      <c r="D24192" s="6">
        <v>13.5</v>
      </c>
    </row>
    <row r="24193" spans="1:4" x14ac:dyDescent="0.25">
      <c r="A24193" t="str">
        <f>HYPERLINK("https://www.773grp.com/globalSearch/UC2879DWG4/page-1", "UC2879DWG4")</f>
        <v>UC2879DWG4</v>
      </c>
      <c r="B24193" s="3" t="str">
        <f>HYPERLINK("https://www.773grp.com/manufacturer/texas-instruments?pageNo=763", "Texas Instruments")</f>
        <v>Texas Instruments</v>
      </c>
      <c r="C24193" s="5">
        <v>50</v>
      </c>
      <c r="D24193" s="6">
        <v>13.5</v>
      </c>
    </row>
    <row r="24194" spans="1:4" x14ac:dyDescent="0.25">
      <c r="A24194" t="str">
        <f>HYPERLINK("https://www.773grp.com/globalSearch/LM235H-NOPB/page-1", "LM235H-NOPB")</f>
        <v>LM235H-NOPB</v>
      </c>
      <c r="B24194" s="3" t="str">
        <f>HYPERLINK("https://www.773grp.com/manufacturer/texas-instruments?pageNo=772", "Texas Instruments")</f>
        <v>Texas Instruments</v>
      </c>
      <c r="C24194" s="5">
        <v>405</v>
      </c>
      <c r="D24194" s="6">
        <v>13.55</v>
      </c>
    </row>
    <row r="24195" spans="1:4" x14ac:dyDescent="0.25">
      <c r="A24195" t="str">
        <f>HYPERLINK("https://www.773grp.com/globalSearch/SNJ54HC240J/page-1", "SNJ54HC240J")</f>
        <v>SNJ54HC240J</v>
      </c>
      <c r="B24195" s="3" t="str">
        <f>HYPERLINK("https://www.773grp.com/manufacturer/texas-instruments?pageNo=787", "Texas Instruments")</f>
        <v>Texas Instruments</v>
      </c>
      <c r="C24195" s="5">
        <v>46</v>
      </c>
      <c r="D24195" s="6">
        <v>13.59</v>
      </c>
    </row>
    <row r="24196" spans="1:4" x14ac:dyDescent="0.25">
      <c r="A24196" t="str">
        <f>HYPERLINK("https://www.773grp.com/globalSearch/TMS320F28030PNQ/page-1", "TMS320F28030PNQ")</f>
        <v>TMS320F28030PNQ</v>
      </c>
      <c r="B24196" s="3" t="str">
        <f>HYPERLINK("https://www.773grp.com/manufacturer/texas-instruments?pageNo=790", "Texas Instruments")</f>
        <v>Texas Instruments</v>
      </c>
      <c r="C24196" s="5">
        <v>138</v>
      </c>
      <c r="D24196" s="6">
        <v>13.59</v>
      </c>
    </row>
    <row r="24197" spans="1:4" x14ac:dyDescent="0.25">
      <c r="A24197" t="str">
        <f>HYPERLINK("https://www.773grp.com/globalSearch/CC2420-RTB1/page-1", "CC2420-RTB1")</f>
        <v>CC2420-RTB1</v>
      </c>
      <c r="B24197" s="3" t="str">
        <f>HYPERLINK("https://www.773grp.com/manufacturer/texas-instruments?pageNo=791", "Texas Instruments")</f>
        <v>Texas Instruments</v>
      </c>
      <c r="C24197" s="5">
        <v>52</v>
      </c>
      <c r="D24197" s="6">
        <v>13.61</v>
      </c>
    </row>
    <row r="24198" spans="1:4" x14ac:dyDescent="0.25">
      <c r="A24198" t="str">
        <f>HYPERLINK("https://www.773grp.com/globalSearch/TLV320AIC23PWG4/page-1", "TLV320AIC23PWG4")</f>
        <v>TLV320AIC23PWG4</v>
      </c>
      <c r="B24198" s="3" t="str">
        <f>HYPERLINK("https://www.773grp.com/manufacturer/texas-instruments?pageNo=801", "Texas Instruments")</f>
        <v>Texas Instruments</v>
      </c>
      <c r="C24198" s="5">
        <v>50</v>
      </c>
      <c r="D24198" s="6">
        <v>13.61</v>
      </c>
    </row>
    <row r="24199" spans="1:4" x14ac:dyDescent="0.25">
      <c r="A24199" t="str">
        <f>HYPERLINK("https://www.773grp.com/globalSearch/ADS1292RIPBSR/page-1", "ADS1292RIPBSR")</f>
        <v>ADS1292RIPBSR</v>
      </c>
      <c r="B24199" s="3" t="str">
        <f>HYPERLINK("https://www.773grp.com/manufacturer/texas-instruments?pageNo=803", "Texas Instruments")</f>
        <v>Texas Instruments</v>
      </c>
      <c r="C24199" s="5">
        <v>1940</v>
      </c>
      <c r="D24199" s="6">
        <v>13.64</v>
      </c>
    </row>
    <row r="24200" spans="1:4" x14ac:dyDescent="0.25">
      <c r="A24200" t="str">
        <f>HYPERLINK("https://www.773grp.com/globalSearch/DAC8562SDSCT/page-1", "DAC8562SDSCT")</f>
        <v>DAC8562SDSCT</v>
      </c>
      <c r="B24200" s="3" t="str">
        <f>HYPERLINK("https://www.773grp.com/manufacturer/texas-instruments?pageNo=811", "Texas Instruments")</f>
        <v>Texas Instruments</v>
      </c>
      <c r="C24200" s="5">
        <v>500</v>
      </c>
      <c r="D24200" s="6">
        <v>13.64</v>
      </c>
    </row>
    <row r="24201" spans="1:4" x14ac:dyDescent="0.25">
      <c r="A24201" t="str">
        <f>HYPERLINK("https://www.773grp.com/globalSearch/DAC8563SDSCT/page-1", "DAC8563SDSCT")</f>
        <v>DAC8563SDSCT</v>
      </c>
      <c r="B24201" s="3" t="str">
        <f>HYPERLINK("https://www.773grp.com/manufacturer/texas-instruments?pageNo=812", "Texas Instruments")</f>
        <v>Texas Instruments</v>
      </c>
      <c r="C24201" s="5">
        <v>680</v>
      </c>
      <c r="D24201" s="6">
        <v>13.64</v>
      </c>
    </row>
    <row r="24202" spans="1:4" x14ac:dyDescent="0.25">
      <c r="A24202" t="str">
        <f>HYPERLINK("https://www.773grp.com/globalSearch/OPA4227UAG4/page-1", "OPA4227UAG4")</f>
        <v>OPA4227UAG4</v>
      </c>
      <c r="B24202" s="3" t="str">
        <f>HYPERLINK("https://www.773grp.com/manufacturer/texas-instruments?pageNo=814", "Texas Instruments")</f>
        <v>Texas Instruments</v>
      </c>
      <c r="C24202" s="5">
        <v>6</v>
      </c>
      <c r="D24202" s="6">
        <v>13.64</v>
      </c>
    </row>
    <row r="24203" spans="1:4" x14ac:dyDescent="0.25">
      <c r="A24203" t="str">
        <f>HYPERLINK("https://www.773grp.com/globalSearch/OPA4228UA/page-1", "OPA4228UA")</f>
        <v>OPA4228UA</v>
      </c>
      <c r="B24203" s="3" t="str">
        <f>HYPERLINK("https://www.773grp.com/manufacturer/texas-instruments?pageNo=815", "Texas Instruments")</f>
        <v>Texas Instruments</v>
      </c>
      <c r="C24203" s="5">
        <v>116096</v>
      </c>
      <c r="D24203" s="6">
        <v>13.64</v>
      </c>
    </row>
    <row r="24204" spans="1:4" x14ac:dyDescent="0.25">
      <c r="A24204" t="str">
        <f>HYPERLINK("https://www.773grp.com/globalSearch/OPA4228UA/page-1", "OPA4228UA")</f>
        <v>OPA4228UA</v>
      </c>
      <c r="B24204" s="3" t="str">
        <f>HYPERLINK("https://www.773grp.com/manufacturer/texas-instruments?pageNo=816", "Texas Instruments")</f>
        <v>Texas Instruments</v>
      </c>
      <c r="C24204" s="5">
        <v>1970</v>
      </c>
      <c r="D24204" s="6">
        <v>13.64</v>
      </c>
    </row>
    <row r="24205" spans="1:4" x14ac:dyDescent="0.25">
      <c r="A24205" t="str">
        <f>HYPERLINK("https://www.773grp.com/globalSearch/MSP430V138TDA/page-1", "MSP430V138TDA")</f>
        <v>MSP430V138TDA</v>
      </c>
      <c r="B24205" s="3" t="str">
        <f>HYPERLINK("https://www.773grp.com/manufacturer/texas-instruments?pageNo=831", "Texas Instruments")</f>
        <v>Texas Instruments</v>
      </c>
      <c r="C24205" s="5">
        <v>2600</v>
      </c>
      <c r="D24205" s="6">
        <v>13.68</v>
      </c>
    </row>
    <row r="24206" spans="1:4" x14ac:dyDescent="0.25">
      <c r="A24206" t="str">
        <f>HYPERLINK("https://www.773grp.com/globalSearch/MSP430V138TRHAT/page-1", "MSP430V138TRHAT")</f>
        <v>MSP430V138TRHAT</v>
      </c>
      <c r="B24206" s="3" t="str">
        <f>HYPERLINK("https://www.773grp.com/manufacturer/texas-instruments?pageNo=832", "Texas Instruments")</f>
        <v>Texas Instruments</v>
      </c>
      <c r="C24206" s="5">
        <v>4000</v>
      </c>
      <c r="D24206" s="6">
        <v>13.68</v>
      </c>
    </row>
    <row r="24207" spans="1:4" x14ac:dyDescent="0.25">
      <c r="A24207" t="str">
        <f>HYPERLINK("https://www.773grp.com/globalSearch/UCC2806DWTR-70038/page-1", "UCC2806DWTR-70038")</f>
        <v>UCC2806DWTR-70038</v>
      </c>
      <c r="B24207" s="3" t="str">
        <f>HYPERLINK("https://www.773grp.com/manufacturer/texas-instruments?pageNo=863", "Texas Instruments")</f>
        <v>Texas Instruments</v>
      </c>
      <c r="C24207" s="5">
        <v>6000</v>
      </c>
      <c r="D24207" s="6">
        <v>13.73</v>
      </c>
    </row>
    <row r="24208" spans="1:4" x14ac:dyDescent="0.25">
      <c r="A24208" t="str">
        <f>HYPERLINK("https://www.773grp.com/globalSearch/32F8120-CLR/page-1", "32F8120-CLR")</f>
        <v>32F8120-CLR</v>
      </c>
      <c r="B24208" s="3" t="str">
        <f>HYPERLINK("https://www.773grp.com/manufacturer/texas-instruments?pageNo=866", "Texas Instruments")</f>
        <v>Texas Instruments</v>
      </c>
      <c r="C24208" s="5">
        <v>960</v>
      </c>
      <c r="D24208" s="6">
        <v>13.75</v>
      </c>
    </row>
    <row r="24209" spans="1:4" x14ac:dyDescent="0.25">
      <c r="A24209" t="str">
        <f>HYPERLINK("https://www.773grp.com/globalSearch/MSP430F6635IZQWR/page-1", "MSP430F6635IZQWR")</f>
        <v>MSP430F6635IZQWR</v>
      </c>
      <c r="B24209" s="3" t="str">
        <f>HYPERLINK("https://www.773grp.com/manufacturer/texas-instruments?pageNo=869", "Texas Instruments")</f>
        <v>Texas Instruments</v>
      </c>
      <c r="C24209" s="5">
        <v>4999</v>
      </c>
      <c r="D24209" s="6">
        <v>13.75</v>
      </c>
    </row>
    <row r="24210" spans="1:4" x14ac:dyDescent="0.25">
      <c r="A24210" t="str">
        <f>HYPERLINK("https://www.773grp.com/globalSearch/SN74ALS679NS/page-1", "SN74ALS679NS")</f>
        <v>SN74ALS679NS</v>
      </c>
      <c r="B24210" s="3" t="str">
        <f>HYPERLINK("https://www.773grp.com/manufacturer/texas-instruments?pageNo=870", "Texas Instruments")</f>
        <v>Texas Instruments</v>
      </c>
      <c r="C24210" s="5">
        <v>7480</v>
      </c>
      <c r="D24210" s="6">
        <v>13.75</v>
      </c>
    </row>
    <row r="24211" spans="1:4" x14ac:dyDescent="0.25">
      <c r="A24211" t="str">
        <f>HYPERLINK("https://www.773grp.com/globalSearch/THS4631DDA/page-1", "THS4631DDA")</f>
        <v>THS4631DDA</v>
      </c>
      <c r="B24211" s="3" t="str">
        <f>HYPERLINK("https://www.773grp.com/manufacturer/texas-instruments?pageNo=872", "Texas Instruments")</f>
        <v>Texas Instruments</v>
      </c>
      <c r="C24211" s="5">
        <v>5100</v>
      </c>
      <c r="D24211" s="6">
        <v>13.75</v>
      </c>
    </row>
    <row r="24212" spans="1:4" x14ac:dyDescent="0.25">
      <c r="A24212" t="str">
        <f>HYPERLINK("https://www.773grp.com/globalSearch/THS4631DGN/page-1", "THS4631DGN")</f>
        <v>THS4631DGN</v>
      </c>
      <c r="B24212" s="3" t="str">
        <f>HYPERLINK("https://www.773grp.com/manufacturer/texas-instruments?pageNo=873", "Texas Instruments")</f>
        <v>Texas Instruments</v>
      </c>
      <c r="C24212" s="5">
        <v>419</v>
      </c>
      <c r="D24212" s="6">
        <v>13.75</v>
      </c>
    </row>
    <row r="24213" spans="1:4" x14ac:dyDescent="0.25">
      <c r="A24213" t="str">
        <f>HYPERLINK("https://www.773grp.com/globalSearch/TMS320F28034RSHS/page-1", "TMS320F28034RSHS")</f>
        <v>TMS320F28034RSHS</v>
      </c>
      <c r="B24213" s="3" t="str">
        <f>HYPERLINK("https://www.773grp.com/manufacturer/texas-instruments?pageNo=874", "Texas Instruments")</f>
        <v>Texas Instruments</v>
      </c>
      <c r="C24213" s="5">
        <v>273</v>
      </c>
      <c r="D24213" s="6">
        <v>13.75</v>
      </c>
    </row>
    <row r="24214" spans="1:4" x14ac:dyDescent="0.25">
      <c r="A24214" t="str">
        <f>HYPERLINK("https://www.773grp.com/globalSearch/ADS1234IPWG4/page-1", "ADS1234IPWG4")</f>
        <v>ADS1234IPWG4</v>
      </c>
      <c r="B24214" s="3" t="str">
        <f>HYPERLINK("https://www.773grp.com/manufacturer/texas-instruments?pageNo=877", "Texas Instruments")</f>
        <v>Texas Instruments</v>
      </c>
      <c r="C24214" s="5">
        <v>40</v>
      </c>
      <c r="D24214" s="6">
        <v>13.79</v>
      </c>
    </row>
    <row r="24215" spans="1:4" x14ac:dyDescent="0.25">
      <c r="A24215" t="str">
        <f>HYPERLINK("https://www.773grp.com/globalSearch/ADS7887MDBVT/page-1", "ADS7887MDBVT")</f>
        <v>ADS7887MDBVT</v>
      </c>
      <c r="B24215" s="3" t="str">
        <f>HYPERLINK("https://www.773grp.com/manufacturer/texas-instruments?pageNo=881", "Texas Instruments")</f>
        <v>Texas Instruments</v>
      </c>
      <c r="C24215" s="5">
        <v>250</v>
      </c>
      <c r="D24215" s="6">
        <v>13.79</v>
      </c>
    </row>
    <row r="24216" spans="1:4" x14ac:dyDescent="0.25">
      <c r="A24216" t="str">
        <f>HYPERLINK("https://www.773grp.com/globalSearch/ADS7953SBDBTR/page-1", "ADS7953SBDBTR")</f>
        <v>ADS7953SBDBTR</v>
      </c>
      <c r="B24216" s="3" t="str">
        <f>HYPERLINK("https://www.773grp.com/manufacturer/texas-instruments?pageNo=882", "Texas Instruments")</f>
        <v>Texas Instruments</v>
      </c>
      <c r="C24216" s="5">
        <v>1870</v>
      </c>
      <c r="D24216" s="6">
        <v>13.79</v>
      </c>
    </row>
    <row r="24217" spans="1:4" x14ac:dyDescent="0.25">
      <c r="A24217" t="str">
        <f>HYPERLINK("https://www.773grp.com/globalSearch/N74GTLPH16916VR/page-1", "N74GTLPH16916VR")</f>
        <v>N74GTLPH16916VR</v>
      </c>
      <c r="B24217" s="3" t="str">
        <f>HYPERLINK("https://www.773grp.com/manufacturer/texas-instruments?pageNo=884", "Texas Instruments")</f>
        <v>Texas Instruments</v>
      </c>
      <c r="C24217" s="5">
        <v>10000</v>
      </c>
      <c r="D24217" s="6">
        <v>13.79</v>
      </c>
    </row>
    <row r="24218" spans="1:4" x14ac:dyDescent="0.25">
      <c r="A24218" t="str">
        <f>HYPERLINK("https://www.773grp.com/globalSearch/PCM3168APAPR/page-1", "PCM3168APAPR")</f>
        <v>PCM3168APAPR</v>
      </c>
      <c r="B24218" s="3" t="str">
        <f>HYPERLINK("https://www.773grp.com/manufacturer/texas-instruments?pageNo=886", "Texas Instruments")</f>
        <v>Texas Instruments</v>
      </c>
      <c r="C24218" s="5">
        <v>3000</v>
      </c>
      <c r="D24218" s="6">
        <v>13.79</v>
      </c>
    </row>
    <row r="24219" spans="1:4" x14ac:dyDescent="0.25">
      <c r="A24219" t="str">
        <f>HYPERLINK("https://www.773grp.com/globalSearch/PTAS5111DADR/page-1", "PTAS5111DADR")</f>
        <v>PTAS5111DADR</v>
      </c>
      <c r="B24219" s="3" t="str">
        <f>HYPERLINK("https://www.773grp.com/manufacturer/texas-instruments?pageNo=887", "Texas Instruments")</f>
        <v>Texas Instruments</v>
      </c>
      <c r="C24219" s="5">
        <v>2000</v>
      </c>
      <c r="D24219" s="6">
        <v>13.79</v>
      </c>
    </row>
    <row r="24220" spans="1:4" x14ac:dyDescent="0.25">
      <c r="A24220" t="str">
        <f>HYPERLINK("https://www.773grp.com/globalSearch/PTAS5112DFD/page-1", "PTAS5112DFD")</f>
        <v>PTAS5112DFD</v>
      </c>
      <c r="B24220" s="3" t="str">
        <f>HYPERLINK("https://www.773grp.com/manufacturer/texas-instruments?pageNo=888", "Texas Instruments")</f>
        <v>Texas Instruments</v>
      </c>
      <c r="C24220" s="5">
        <v>170</v>
      </c>
      <c r="D24220" s="6">
        <v>13.79</v>
      </c>
    </row>
    <row r="24221" spans="1:4" x14ac:dyDescent="0.25">
      <c r="A24221" t="str">
        <f>HYPERLINK("https://www.773grp.com/globalSearch/SNJ54HC114J/page-1", "SNJ54HC114J")</f>
        <v>SNJ54HC114J</v>
      </c>
      <c r="B24221" s="3" t="str">
        <f>HYPERLINK("https://www.773grp.com/manufacturer/texas-instruments?pageNo=889", "Texas Instruments")</f>
        <v>Texas Instruments</v>
      </c>
      <c r="C24221" s="5">
        <v>56</v>
      </c>
      <c r="D24221" s="6">
        <v>13.79</v>
      </c>
    </row>
    <row r="24222" spans="1:4" x14ac:dyDescent="0.25">
      <c r="A24222" t="str">
        <f>HYPERLINK("https://www.773grp.com/globalSearch/TLK6201EARGTT/page-1", "TLK6201EARGTT")</f>
        <v>TLK6201EARGTT</v>
      </c>
      <c r="B24222" s="3" t="str">
        <f>HYPERLINK("https://www.773grp.com/manufacturer/texas-instruments?pageNo=895", "Texas Instruments")</f>
        <v>Texas Instruments</v>
      </c>
      <c r="C24222" s="5">
        <v>15293</v>
      </c>
      <c r="D24222" s="6">
        <v>13.79</v>
      </c>
    </row>
    <row r="24223" spans="1:4" x14ac:dyDescent="0.25">
      <c r="A24223" t="str">
        <f>HYPERLINK("https://www.773grp.com/globalSearch/UCC2806DWTR/page-1", "UCC2806DWTR")</f>
        <v>UCC2806DWTR</v>
      </c>
      <c r="B24223" s="3" t="str">
        <f>HYPERLINK("https://www.773grp.com/manufacturer/texas-instruments?pageNo=903", "Texas Instruments")</f>
        <v>Texas Instruments</v>
      </c>
      <c r="C24223" s="5">
        <v>1900</v>
      </c>
      <c r="D24223" s="6">
        <v>13.79</v>
      </c>
    </row>
    <row r="24224" spans="1:4" x14ac:dyDescent="0.25">
      <c r="A24224" t="str">
        <f>HYPERLINK("https://www.773grp.com/globalSearch/UCC5632MWP/page-1", "UCC5632MWP")</f>
        <v>UCC5632MWP</v>
      </c>
      <c r="B24224" s="3" t="str">
        <f>HYPERLINK("https://www.773grp.com/manufacturer/texas-instruments?pageNo=907", "Texas Instruments")</f>
        <v>Texas Instruments</v>
      </c>
      <c r="C24224" s="5">
        <v>870</v>
      </c>
      <c r="D24224" s="6">
        <v>13.79</v>
      </c>
    </row>
    <row r="24225" spans="1:4" x14ac:dyDescent="0.25">
      <c r="A24225" t="str">
        <f>HYPERLINK("https://www.773grp.com/globalSearch/DS90UB902QSQE-NOPB/page-1", "DS90UB902QSQE-NOPB")</f>
        <v>DS90UB902QSQE-NOPB</v>
      </c>
      <c r="B24225" s="3" t="str">
        <f>HYPERLINK("https://www.773grp.com/manufacturer/texas-instruments?pageNo=908", "Texas Instruments")</f>
        <v>Texas Instruments</v>
      </c>
      <c r="C24225" s="5">
        <v>20</v>
      </c>
      <c r="D24225" s="6">
        <v>13.8</v>
      </c>
    </row>
    <row r="24226" spans="1:4" x14ac:dyDescent="0.25">
      <c r="A24226" t="str">
        <f>HYPERLINK("https://www.773grp.com/globalSearch/TM4C1231H6PGEI/page-1", "TM4C1231H6PGEI")</f>
        <v>TM4C1231H6PGEI</v>
      </c>
      <c r="B24226" s="3" t="str">
        <f>HYPERLINK("https://www.773grp.com/manufacturer/texas-instruments?pageNo=917", "Texas Instruments")</f>
        <v>Texas Instruments</v>
      </c>
      <c r="C24226" s="5">
        <v>120</v>
      </c>
      <c r="D24226" s="6">
        <v>13.84</v>
      </c>
    </row>
    <row r="24227" spans="1:4" x14ac:dyDescent="0.25">
      <c r="A24227" t="str">
        <f>HYPERLINK("https://www.773grp.com/globalSearch/TMS320VC5501PGF300/page-1", "TMS320VC5501PGF300")</f>
        <v>TMS320VC5501PGF300</v>
      </c>
      <c r="B24227" s="3" t="str">
        <f>HYPERLINK("https://www.773grp.com/manufacturer/texas-instruments?pageNo=919", "Texas Instruments")</f>
        <v>Texas Instruments</v>
      </c>
      <c r="C24227" s="5">
        <v>2597</v>
      </c>
      <c r="D24227" s="6">
        <v>13.84</v>
      </c>
    </row>
    <row r="24228" spans="1:4" x14ac:dyDescent="0.25">
      <c r="A24228" t="str">
        <f>HYPERLINK("https://www.773grp.com/globalSearch/MSP430BT5190IPZR/page-1", "MSP430BT5190IPZR")</f>
        <v>MSP430BT5190IPZR</v>
      </c>
      <c r="B24228" s="3" t="str">
        <f>HYPERLINK("https://www.773grp.com/manufacturer/texas-instruments?pageNo=959", "Texas Instruments")</f>
        <v>Texas Instruments</v>
      </c>
      <c r="C24228" s="5">
        <v>1975</v>
      </c>
      <c r="D24228" s="6">
        <v>13.93</v>
      </c>
    </row>
    <row r="24229" spans="1:4" x14ac:dyDescent="0.25">
      <c r="A24229" t="str">
        <f>HYPERLINK("https://www.773grp.com/globalSearch/MSP430BT5190IZQWT/page-1", "MSP430BT5190IZQWT")</f>
        <v>MSP430BT5190IZQWT</v>
      </c>
      <c r="B24229" s="3" t="str">
        <f>HYPERLINK("https://www.773grp.com/manufacturer/texas-instruments?pageNo=960", "Texas Instruments")</f>
        <v>Texas Instruments</v>
      </c>
      <c r="C24229" s="5">
        <v>130</v>
      </c>
      <c r="D24229" s="6">
        <v>13.93</v>
      </c>
    </row>
    <row r="24230" spans="1:4" x14ac:dyDescent="0.25">
      <c r="A24230" t="str">
        <f>HYPERLINK("https://www.773grp.com/globalSearch/OPA602AUE4/page-1", "OPA602AUE4")</f>
        <v>OPA602AUE4</v>
      </c>
      <c r="B24230" s="3" t="str">
        <f>HYPERLINK("https://www.773grp.com/manufacturer/texas-instruments?pageNo=963", "Texas Instruments")</f>
        <v>Texas Instruments</v>
      </c>
      <c r="C24230" s="5">
        <v>49</v>
      </c>
      <c r="D24230" s="6">
        <v>13.93</v>
      </c>
    </row>
    <row r="24231" spans="1:4" x14ac:dyDescent="0.25">
      <c r="A24231" t="str">
        <f>HYPERLINK("https://www.773grp.com/globalSearch/OPA602AUG4/page-1", "OPA602AUG4")</f>
        <v>OPA602AUG4</v>
      </c>
      <c r="B24231" s="3" t="str">
        <f>HYPERLINK("https://www.773grp.com/manufacturer/texas-instruments?pageNo=964", "Texas Instruments")</f>
        <v>Texas Instruments</v>
      </c>
      <c r="C24231" s="5">
        <v>71</v>
      </c>
      <c r="D24231" s="6">
        <v>13.93</v>
      </c>
    </row>
    <row r="24232" spans="1:4" x14ac:dyDescent="0.25">
      <c r="A24232" t="str">
        <f>HYPERLINK("https://www.773grp.com/globalSearch/TLK4211EARGT/page-1", "TLK4211EARGT")</f>
        <v>TLK4211EARGT</v>
      </c>
      <c r="B24232" s="3" t="str">
        <f>HYPERLINK("https://www.773grp.com/manufacturer/texas-instruments?pageNo=970", "Texas Instruments")</f>
        <v>Texas Instruments</v>
      </c>
      <c r="C24232" s="5">
        <v>500</v>
      </c>
      <c r="D24232" s="6">
        <v>13.93</v>
      </c>
    </row>
    <row r="24233" spans="1:4" x14ac:dyDescent="0.25">
      <c r="A24233" t="str">
        <f>HYPERLINK("https://www.773grp.com/globalSearch/TPS658640ZGUR/page-1", "TPS658640ZGUR")</f>
        <v>TPS658640ZGUR</v>
      </c>
      <c r="B24233" s="3" t="str">
        <f>HYPERLINK("https://www.773grp.com/manufacturer/texas-instruments?pageNo=976", "Texas Instruments")</f>
        <v>Texas Instruments</v>
      </c>
      <c r="C24233" s="5">
        <v>9000</v>
      </c>
      <c r="D24233" s="6">
        <v>13.93</v>
      </c>
    </row>
    <row r="24234" spans="1:4" x14ac:dyDescent="0.25">
      <c r="A24234" t="str">
        <f>HYPERLINK("https://www.773grp.com/globalSearch/TPS658640ZQZR/page-1", "TPS658640ZQZR")</f>
        <v>TPS658640ZQZR</v>
      </c>
      <c r="B24234" s="3" t="str">
        <f>HYPERLINK("https://www.773grp.com/manufacturer/texas-instruments?pageNo=977", "Texas Instruments")</f>
        <v>Texas Instruments</v>
      </c>
      <c r="C24234" s="5">
        <v>25000</v>
      </c>
      <c r="D24234" s="6">
        <v>13.93</v>
      </c>
    </row>
    <row r="24235" spans="1:4" x14ac:dyDescent="0.25">
      <c r="A24235" t="str">
        <f>HYPERLINK("https://www.773grp.com/globalSearch/UC2901MDREP/page-1", "UC2901MDREP")</f>
        <v>UC2901MDREP</v>
      </c>
      <c r="B24235" s="3" t="str">
        <f>HYPERLINK("https://www.773grp.com/manufacturer/texas-instruments?pageNo=983", "Texas Instruments")</f>
        <v>Texas Instruments</v>
      </c>
      <c r="C24235" s="5">
        <v>2500</v>
      </c>
      <c r="D24235" s="6">
        <v>13.93</v>
      </c>
    </row>
    <row r="24236" spans="1:4" x14ac:dyDescent="0.25">
      <c r="A24236" t="str">
        <f>HYPERLINK("https://www.773grp.com/globalSearch/SNJ54HC174J/page-1", "SNJ54HC174J")</f>
        <v>SNJ54HC174J</v>
      </c>
      <c r="B24236" s="3" t="str">
        <f>HYPERLINK("https://www.773grp.com/manufacturer/texas-instruments?pageNo=985", "Texas Instruments")</f>
        <v>Texas Instruments</v>
      </c>
      <c r="C24236" s="5">
        <v>62</v>
      </c>
      <c r="D24236" s="6">
        <v>13.95</v>
      </c>
    </row>
    <row r="24237" spans="1:4" x14ac:dyDescent="0.25">
      <c r="A24237" t="str">
        <f>HYPERLINK("https://www.773grp.com/globalSearch/UC2708N/page-1", "UC2708N")</f>
        <v>UC2708N</v>
      </c>
      <c r="B24237" s="3" t="s">
        <v>90</v>
      </c>
      <c r="C24237" s="5">
        <v>500</v>
      </c>
      <c r="D24237" s="6">
        <v>13.95</v>
      </c>
    </row>
    <row r="24238" spans="1:4" x14ac:dyDescent="0.25">
      <c r="A24238" t="str">
        <f>HYPERLINK("https://www.773grp.com/globalSearch/UC2708NG4/page-1", "UC2708NG4")</f>
        <v>UC2708NG4</v>
      </c>
      <c r="B24238" s="3" t="s">
        <v>90</v>
      </c>
      <c r="C24238" s="5">
        <v>50</v>
      </c>
      <c r="D24238" s="6">
        <v>13.95</v>
      </c>
    </row>
    <row r="24239" spans="1:4" x14ac:dyDescent="0.25">
      <c r="A24239" t="str">
        <f>HYPERLINK("https://www.773grp.com/globalSearch/RI-TRP-WFOB-01/page-1", "RI-TRP-WFOB-01")</f>
        <v>RI-TRP-WFOB-01</v>
      </c>
      <c r="B24239" s="3" t="s">
        <v>90</v>
      </c>
      <c r="C24239" s="5">
        <v>322</v>
      </c>
      <c r="D24239" s="6">
        <v>13.98</v>
      </c>
    </row>
    <row r="24240" spans="1:4" x14ac:dyDescent="0.25">
      <c r="A24240" t="str">
        <f>HYPERLINK("https://www.773grp.com/globalSearch/TVP5146M2IPFP/page-1", "TVP5146M2IPFP")</f>
        <v>TVP5146M2IPFP</v>
      </c>
      <c r="B24240" s="3" t="s">
        <v>90</v>
      </c>
      <c r="C24240" s="5">
        <v>87</v>
      </c>
      <c r="D24240" s="6">
        <v>13.98</v>
      </c>
    </row>
    <row r="24241" spans="1:4" x14ac:dyDescent="0.25">
      <c r="A24241" t="str">
        <f>HYPERLINK("https://www.773grp.com/globalSearch/DRV1100UG4/page-1", "DRV1100UG4")</f>
        <v>DRV1100UG4</v>
      </c>
      <c r="B24241" s="3" t="s">
        <v>90</v>
      </c>
      <c r="C24241" s="5">
        <v>14</v>
      </c>
      <c r="D24241" s="6">
        <v>14.01</v>
      </c>
    </row>
    <row r="24242" spans="1:4" x14ac:dyDescent="0.25">
      <c r="A24242" t="str">
        <f>HYPERLINK("https://www.773grp.com/globalSearch/TM4C1237E6PZI/page-1", "TM4C1237E6PZI")</f>
        <v>TM4C1237E6PZI</v>
      </c>
      <c r="B24242" s="3" t="s">
        <v>90</v>
      </c>
      <c r="C24242" s="5">
        <v>90</v>
      </c>
      <c r="D24242" s="6">
        <v>14.04</v>
      </c>
    </row>
    <row r="24243" spans="1:4" x14ac:dyDescent="0.25">
      <c r="A24243" t="str">
        <f>HYPERLINK("https://www.773grp.com/globalSearch/32R2210RX-4CL/page-1", "32R2210RX-4CL")</f>
        <v>32R2210RX-4CL</v>
      </c>
      <c r="B24243" s="3" t="s">
        <v>90</v>
      </c>
      <c r="C24243" s="5">
        <v>4416</v>
      </c>
      <c r="D24243" s="6">
        <v>14.06</v>
      </c>
    </row>
    <row r="24244" spans="1:4" x14ac:dyDescent="0.25">
      <c r="A24244" t="str">
        <f>HYPERLINK("https://www.773grp.com/globalSearch/34R3430R-4CV/page-1", "34R3430R-4CV")</f>
        <v>34R3430R-4CV</v>
      </c>
      <c r="B24244" s="3" t="s">
        <v>90</v>
      </c>
      <c r="C24244" s="5">
        <v>40495</v>
      </c>
      <c r="D24244" s="6">
        <v>14.06</v>
      </c>
    </row>
    <row r="24245" spans="1:4" x14ac:dyDescent="0.25">
      <c r="A24245" t="str">
        <f>HYPERLINK("https://www.773grp.com/globalSearch/551012922-001-NOPB/page-1", "551012922-001-NOPB")</f>
        <v>551012922-001-NOPB</v>
      </c>
      <c r="B24245" s="3" t="s">
        <v>90</v>
      </c>
      <c r="C24245" s="5">
        <v>6</v>
      </c>
      <c r="D24245" s="6">
        <v>14.06</v>
      </c>
    </row>
    <row r="24246" spans="1:4" x14ac:dyDescent="0.25">
      <c r="A24246" t="str">
        <f>HYPERLINK("https://www.773grp.com/globalSearch/ADC161S626CIMM-NOPB/page-1", "ADC161S626CIMM-NOPB")</f>
        <v>ADC161S626CIMM-NOPB</v>
      </c>
      <c r="B24246" s="3" t="s">
        <v>90</v>
      </c>
      <c r="C24246" s="5">
        <v>1000</v>
      </c>
      <c r="D24246" s="6">
        <v>14.06</v>
      </c>
    </row>
    <row r="24247" spans="1:4" x14ac:dyDescent="0.25">
      <c r="A24247" t="str">
        <f>HYPERLINK("https://www.773grp.com/globalSearch/BQ2084DBTR-V150/page-1", "BQ2084DBTR-V150")</f>
        <v>BQ2084DBTR-V150</v>
      </c>
      <c r="B24247" s="3" t="s">
        <v>90</v>
      </c>
      <c r="C24247" s="5">
        <v>4000</v>
      </c>
      <c r="D24247" s="6">
        <v>14.06</v>
      </c>
    </row>
    <row r="24248" spans="1:4" x14ac:dyDescent="0.25">
      <c r="A24248" t="str">
        <f>HYPERLINK("https://www.773grp.com/globalSearch/BQ20Z95DBTR/page-1", "BQ20Z95DBTR")</f>
        <v>BQ20Z95DBTR</v>
      </c>
      <c r="B24248" s="3" t="s">
        <v>90</v>
      </c>
      <c r="C24248" s="5">
        <v>2000</v>
      </c>
      <c r="D24248" s="6">
        <v>14.06</v>
      </c>
    </row>
    <row r="24249" spans="1:4" x14ac:dyDescent="0.25">
      <c r="A24249" t="str">
        <f>HYPERLINK("https://www.773grp.com/globalSearch/CDCLVP2104RHDR/page-1", "CDCLVP2104RHDR")</f>
        <v>CDCLVP2104RHDR</v>
      </c>
      <c r="B24249" s="3" t="s">
        <v>90</v>
      </c>
      <c r="C24249" s="5">
        <v>3000</v>
      </c>
      <c r="D24249" s="6">
        <v>14.06</v>
      </c>
    </row>
    <row r="24250" spans="1:4" x14ac:dyDescent="0.25">
      <c r="A24250" t="str">
        <f>HYPERLINK("https://www.773grp.com/globalSearch/D12941PN/page-1", "D12941PN")</f>
        <v>D12941PN</v>
      </c>
      <c r="B24250" s="3" t="s">
        <v>90</v>
      </c>
      <c r="C24250" s="5">
        <v>1352</v>
      </c>
      <c r="D24250" s="6">
        <v>14.06</v>
      </c>
    </row>
    <row r="24251" spans="1:4" x14ac:dyDescent="0.25">
      <c r="A24251" t="str">
        <f>HYPERLINK("https://www.773grp.com/globalSearch/D16032FN/page-1", "D16032FN")</f>
        <v>D16032FN</v>
      </c>
      <c r="B24251" s="3" t="s">
        <v>90</v>
      </c>
      <c r="C24251" s="5">
        <v>1767</v>
      </c>
      <c r="D24251" s="6">
        <v>14.06</v>
      </c>
    </row>
    <row r="24252" spans="1:4" x14ac:dyDescent="0.25">
      <c r="A24252" t="str">
        <f>HYPERLINK("https://www.773grp.com/globalSearch/D16032N/page-1", "D16032N")</f>
        <v>D16032N</v>
      </c>
      <c r="B24252" s="3" t="s">
        <v>90</v>
      </c>
      <c r="C24252" s="5">
        <v>1490</v>
      </c>
      <c r="D24252" s="6">
        <v>14.06</v>
      </c>
    </row>
    <row r="24253" spans="1:4" x14ac:dyDescent="0.25">
      <c r="A24253" t="str">
        <f>HYPERLINK("https://www.773grp.com/globalSearch/D721634EPGF/page-1", "D721634EPGF")</f>
        <v>D721634EPGF</v>
      </c>
      <c r="B24253" s="3" t="s">
        <v>90</v>
      </c>
      <c r="C24253" s="5">
        <v>57472</v>
      </c>
      <c r="D24253" s="6">
        <v>14.06</v>
      </c>
    </row>
    <row r="24254" spans="1:4" x14ac:dyDescent="0.25">
      <c r="A24254" t="str">
        <f>HYPERLINK("https://www.773grp.com/globalSearch/DEM-BUF-SOT-1A/page-1", "DEM-BUF-SOT-1A")</f>
        <v>DEM-BUF-SOT-1A</v>
      </c>
      <c r="B24254" s="3" t="s">
        <v>90</v>
      </c>
      <c r="C24254" s="5">
        <v>12</v>
      </c>
      <c r="D24254" s="6">
        <v>14.06</v>
      </c>
    </row>
    <row r="24255" spans="1:4" x14ac:dyDescent="0.25">
      <c r="A24255" t="str">
        <f>HYPERLINK("https://www.773grp.com/globalSearch/DEM-OPA-MSOP-1A/page-1", "DEM-OPA-MSOP-1A")</f>
        <v>DEM-OPA-MSOP-1A</v>
      </c>
      <c r="B24255" s="3" t="s">
        <v>90</v>
      </c>
      <c r="C24255" s="5">
        <v>3</v>
      </c>
      <c r="D24255" s="6">
        <v>14.06</v>
      </c>
    </row>
    <row r="24256" spans="1:4" x14ac:dyDescent="0.25">
      <c r="A24256" t="str">
        <f>HYPERLINK("https://www.773grp.com/globalSearch/DEM-OPA-MSOP-2A/page-1", "DEM-OPA-MSOP-2A")</f>
        <v>DEM-OPA-MSOP-2A</v>
      </c>
      <c r="B24256" s="3" t="s">
        <v>90</v>
      </c>
      <c r="C24256" s="5">
        <v>2</v>
      </c>
      <c r="D24256" s="6">
        <v>14.06</v>
      </c>
    </row>
    <row r="24257" spans="1:4" x14ac:dyDescent="0.25">
      <c r="A24257" t="str">
        <f>HYPERLINK("https://www.773grp.com/globalSearch/DEM-OPA-MSOP-2B/page-1", "DEM-OPA-MSOP-2B")</f>
        <v>DEM-OPA-MSOP-2B</v>
      </c>
      <c r="B24257" s="3" t="s">
        <v>90</v>
      </c>
      <c r="C24257" s="5">
        <v>2</v>
      </c>
      <c r="D24257" s="6">
        <v>14.06</v>
      </c>
    </row>
    <row r="24258" spans="1:4" x14ac:dyDescent="0.25">
      <c r="A24258" t="str">
        <f>HYPERLINK("https://www.773grp.com/globalSearch/DEM-OPA-SO-2C/page-1", "DEM-OPA-SO-2C")</f>
        <v>DEM-OPA-SO-2C</v>
      </c>
      <c r="B24258" s="3" t="s">
        <v>90</v>
      </c>
      <c r="C24258" s="5">
        <v>1</v>
      </c>
      <c r="D24258" s="6">
        <v>14.06</v>
      </c>
    </row>
    <row r="24259" spans="1:4" x14ac:dyDescent="0.25">
      <c r="A24259" t="str">
        <f>HYPERLINK("https://www.773grp.com/globalSearch/DEM-OPA-SO-2D/page-1", "DEM-OPA-SO-2D")</f>
        <v>DEM-OPA-SO-2D</v>
      </c>
      <c r="B24259" s="3" t="s">
        <v>90</v>
      </c>
      <c r="C24259" s="5">
        <v>2</v>
      </c>
      <c r="D24259" s="6">
        <v>14.06</v>
      </c>
    </row>
    <row r="24260" spans="1:4" x14ac:dyDescent="0.25">
      <c r="A24260" t="str">
        <f>HYPERLINK("https://www.773grp.com/globalSearch/DEM-OPA-SO-3A/page-1", "DEM-OPA-SO-3A")</f>
        <v>DEM-OPA-SO-3A</v>
      </c>
      <c r="B24260" s="3" t="s">
        <v>90</v>
      </c>
      <c r="C24260" s="5">
        <v>2</v>
      </c>
      <c r="D24260" s="6">
        <v>14.06</v>
      </c>
    </row>
    <row r="24261" spans="1:4" x14ac:dyDescent="0.25">
      <c r="A24261" t="str">
        <f>HYPERLINK("https://www.773grp.com/globalSearch/DEM-OPA-SO-3B/page-1", "DEM-OPA-SO-3B")</f>
        <v>DEM-OPA-SO-3B</v>
      </c>
      <c r="B24261" s="3" t="s">
        <v>90</v>
      </c>
      <c r="C24261" s="5">
        <v>2</v>
      </c>
      <c r="D24261" s="6">
        <v>14.06</v>
      </c>
    </row>
    <row r="24262" spans="1:4" x14ac:dyDescent="0.25">
      <c r="A24262" t="str">
        <f>HYPERLINK("https://www.773grp.com/globalSearch/DEM-OPA-SOT-2A/page-1", "DEM-OPA-SOT-2A")</f>
        <v>DEM-OPA-SOT-2A</v>
      </c>
      <c r="B24262" s="3" t="s">
        <v>90</v>
      </c>
      <c r="C24262" s="5">
        <v>1</v>
      </c>
      <c r="D24262" s="6">
        <v>14.06</v>
      </c>
    </row>
    <row r="24263" spans="1:4" x14ac:dyDescent="0.25">
      <c r="A24263" t="str">
        <f>HYPERLINK("https://www.773grp.com/globalSearch/DEM-OPA-SSOP-3A/page-1", "DEM-OPA-SSOP-3A")</f>
        <v>DEM-OPA-SSOP-3A</v>
      </c>
      <c r="B24263" s="3" t="s">
        <v>90</v>
      </c>
      <c r="C24263" s="5">
        <v>2</v>
      </c>
      <c r="D24263" s="6">
        <v>14.06</v>
      </c>
    </row>
    <row r="24264" spans="1:4" x14ac:dyDescent="0.25">
      <c r="A24264" t="str">
        <f>HYPERLINK("https://www.773grp.com/globalSearch/DEM-OPA-SSOP-3B/page-1", "DEM-OPA-SSOP-3B")</f>
        <v>DEM-OPA-SSOP-3B</v>
      </c>
      <c r="B24264" s="3" t="s">
        <v>90</v>
      </c>
      <c r="C24264" s="5">
        <v>1</v>
      </c>
      <c r="D24264" s="6">
        <v>14.06</v>
      </c>
    </row>
    <row r="24265" spans="1:4" x14ac:dyDescent="0.25">
      <c r="A24265" t="str">
        <f>HYPERLINK("https://www.773grp.com/globalSearch/DEM-OPA-SSOP-3D/page-1", "DEM-OPA-SSOP-3D")</f>
        <v>DEM-OPA-SSOP-3D</v>
      </c>
      <c r="B24265" s="3" t="s">
        <v>90</v>
      </c>
      <c r="C24265" s="5">
        <v>1</v>
      </c>
      <c r="D24265" s="6">
        <v>14.06</v>
      </c>
    </row>
    <row r="24266" spans="1:4" x14ac:dyDescent="0.25">
      <c r="A24266" t="str">
        <f>HYPERLINK("https://www.773grp.com/globalSearch/DEM-SOT223LDO/page-1", "DEM-SOT223LDO")</f>
        <v>DEM-SOT223LDO</v>
      </c>
      <c r="B24266" s="3" t="s">
        <v>90</v>
      </c>
      <c r="C24266" s="5">
        <v>35</v>
      </c>
      <c r="D24266" s="6">
        <v>14.06</v>
      </c>
    </row>
    <row r="24267" spans="1:4" x14ac:dyDescent="0.25">
      <c r="A24267" t="str">
        <f>HYPERLINK("https://www.773grp.com/globalSearch/DEM-SOT23LDO/page-1", "DEM-SOT23LDO")</f>
        <v>DEM-SOT23LDO</v>
      </c>
      <c r="B24267" s="3" t="s">
        <v>90</v>
      </c>
      <c r="C24267" s="5">
        <v>3</v>
      </c>
      <c r="D24267" s="6">
        <v>14.06</v>
      </c>
    </row>
    <row r="24268" spans="1:4" x14ac:dyDescent="0.25">
      <c r="A24268" t="str">
        <f>HYPERLINK("https://www.773grp.com/globalSearch/DEM-VCA-SO-1A/page-1", "DEM-VCA-SO-1A")</f>
        <v>DEM-VCA-SO-1A</v>
      </c>
      <c r="B24268" s="3" t="s">
        <v>90</v>
      </c>
      <c r="C24268" s="5">
        <v>103</v>
      </c>
      <c r="D24268" s="6">
        <v>14.06</v>
      </c>
    </row>
    <row r="24269" spans="1:4" x14ac:dyDescent="0.25">
      <c r="A24269" t="str">
        <f>HYPERLINK("https://www.773grp.com/globalSearch/INA103KU-1K/page-1", "INA103KU-1K")</f>
        <v>INA103KU-1K</v>
      </c>
      <c r="B24269" s="3" t="s">
        <v>90</v>
      </c>
      <c r="C24269" s="5">
        <v>5000</v>
      </c>
      <c r="D24269" s="6">
        <v>14.06</v>
      </c>
    </row>
    <row r="24270" spans="1:4" x14ac:dyDescent="0.25">
      <c r="A24270" t="str">
        <f>HYPERLINK("https://www.773grp.com/globalSearch/MSP430F2418TPM/page-1", "MSP430F2418TPM")</f>
        <v>MSP430F2418TPM</v>
      </c>
      <c r="B24270" s="3" t="s">
        <v>90</v>
      </c>
      <c r="C24270" s="5">
        <v>61</v>
      </c>
      <c r="D24270" s="6">
        <v>14.06</v>
      </c>
    </row>
    <row r="24271" spans="1:4" x14ac:dyDescent="0.25">
      <c r="A24271" t="str">
        <f>HYPERLINK("https://www.773grp.com/globalSearch/MSP430F47163IPZ/page-1", "MSP430F47163IPZ")</f>
        <v>MSP430F47163IPZ</v>
      </c>
      <c r="B24271" s="3" t="s">
        <v>90</v>
      </c>
      <c r="C24271" s="5">
        <v>80</v>
      </c>
      <c r="D24271" s="6">
        <v>14.06</v>
      </c>
    </row>
    <row r="24272" spans="1:4" x14ac:dyDescent="0.25">
      <c r="A24272" t="str">
        <f>HYPERLINK("https://www.773grp.com/globalSearch/OPAMPEVM-MSOPTSSOP/page-1", "OPAMPEVM-MSOPTSSOP")</f>
        <v>OPAMPEVM-MSOPTSSOP</v>
      </c>
      <c r="B24272" s="3" t="s">
        <v>90</v>
      </c>
      <c r="C24272" s="5">
        <v>1</v>
      </c>
      <c r="D24272" s="6">
        <v>14.06</v>
      </c>
    </row>
    <row r="24273" spans="1:4" x14ac:dyDescent="0.25">
      <c r="A24273" t="str">
        <f>HYPERLINK("https://www.773grp.com/globalSearch/SN39956J/page-1", "SN39956J")</f>
        <v>SN39956J</v>
      </c>
      <c r="B24273" s="3" t="s">
        <v>90</v>
      </c>
      <c r="C24273" s="5">
        <v>134</v>
      </c>
      <c r="D24273" s="6">
        <v>14.06</v>
      </c>
    </row>
    <row r="24274" spans="1:4" x14ac:dyDescent="0.25">
      <c r="A24274" t="str">
        <f>HYPERLINK("https://www.773grp.com/globalSearch/SN5447AJ/page-1", "SN5447AJ")</f>
        <v>SN5447AJ</v>
      </c>
      <c r="B24274" s="3" t="s">
        <v>90</v>
      </c>
      <c r="C24274" s="5">
        <v>6</v>
      </c>
      <c r="D24274" s="6">
        <v>14.06</v>
      </c>
    </row>
    <row r="24275" spans="1:4" x14ac:dyDescent="0.25">
      <c r="A24275" t="str">
        <f>HYPERLINK("https://www.773grp.com/globalSearch/SN74ALS621A-1NS/page-1", "SN74ALS621A-1NS")</f>
        <v>SN74ALS621A-1NS</v>
      </c>
      <c r="B24275" s="3" t="s">
        <v>90</v>
      </c>
      <c r="C24275" s="5">
        <v>2200</v>
      </c>
      <c r="D24275" s="6">
        <v>14.06</v>
      </c>
    </row>
    <row r="24276" spans="1:4" x14ac:dyDescent="0.25">
      <c r="A24276" t="str">
        <f>HYPERLINK("https://www.773grp.com/globalSearch/SN74ALS812NT/page-1", "SN74ALS812NT")</f>
        <v>SN74ALS812NT</v>
      </c>
      <c r="B24276" s="3" t="s">
        <v>90</v>
      </c>
      <c r="C24276" s="5">
        <v>2670</v>
      </c>
      <c r="D24276" s="6">
        <v>14.06</v>
      </c>
    </row>
    <row r="24277" spans="1:4" x14ac:dyDescent="0.25">
      <c r="A24277" t="str">
        <f>HYPERLINK("https://www.773grp.com/globalSearch/SN74AS621N/page-1", "SN74AS621N")</f>
        <v>SN74AS621N</v>
      </c>
      <c r="B24277" s="3" t="s">
        <v>90</v>
      </c>
      <c r="C24277" s="5">
        <v>2595</v>
      </c>
      <c r="D24277" s="6">
        <v>14.06</v>
      </c>
    </row>
    <row r="24278" spans="1:4" x14ac:dyDescent="0.25">
      <c r="A24278" t="str">
        <f>HYPERLINK("https://www.773grp.com/globalSearch/SN74AS622N/page-1", "SN74AS622N")</f>
        <v>SN74AS622N</v>
      </c>
      <c r="B24278" s="3" t="s">
        <v>90</v>
      </c>
      <c r="C24278" s="5">
        <v>497</v>
      </c>
      <c r="D24278" s="6">
        <v>14.06</v>
      </c>
    </row>
    <row r="24279" spans="1:4" x14ac:dyDescent="0.25">
      <c r="A24279" t="str">
        <f>HYPERLINK("https://www.773grp.com/globalSearch/SN74GTLPH161DGGR/page-1", "SN74GTLPH161DGGR")</f>
        <v>SN74GTLPH161DGGR</v>
      </c>
      <c r="B24279" s="3" t="s">
        <v>90</v>
      </c>
      <c r="C24279" s="5">
        <v>4000</v>
      </c>
      <c r="D24279" s="6">
        <v>14.06</v>
      </c>
    </row>
    <row r="24280" spans="1:4" x14ac:dyDescent="0.25">
      <c r="A24280" t="str">
        <f>HYPERLINK("https://www.773grp.com/globalSearch/SNJ54HC152J/page-1", "SNJ54HC152J")</f>
        <v>SNJ54HC152J</v>
      </c>
      <c r="B24280" s="3" t="s">
        <v>90</v>
      </c>
      <c r="C24280" s="5">
        <v>8</v>
      </c>
      <c r="D24280" s="6">
        <v>14.06</v>
      </c>
    </row>
    <row r="24281" spans="1:4" x14ac:dyDescent="0.25">
      <c r="A24281" t="str">
        <f>HYPERLINK("https://www.773grp.com/globalSearch/TL16CFM405PH/page-1", "TL16CFM405PH")</f>
        <v>TL16CFM405PH</v>
      </c>
      <c r="B24281" s="3" t="s">
        <v>90</v>
      </c>
      <c r="C24281" s="5">
        <v>5682</v>
      </c>
      <c r="D24281" s="6">
        <v>14.06</v>
      </c>
    </row>
    <row r="24282" spans="1:4" x14ac:dyDescent="0.25">
      <c r="A24282" t="str">
        <f>HYPERLINK("https://www.773grp.com/globalSearch/TMS4C1050-60DJ/page-1", "TMS4C1050-60DJ")</f>
        <v>TMS4C1050-60DJ</v>
      </c>
      <c r="B24282" s="3" t="s">
        <v>90</v>
      </c>
      <c r="C24282" s="5">
        <v>101</v>
      </c>
      <c r="D24282" s="6">
        <v>14.06</v>
      </c>
    </row>
    <row r="24283" spans="1:4" x14ac:dyDescent="0.25">
      <c r="A24283" t="str">
        <f>HYPERLINK("https://www.773grp.com/globalSearch/TMS4C1050B-40SD/page-1", "TMS4C1050B-40SD")</f>
        <v>TMS4C1050B-40SD</v>
      </c>
      <c r="B24283" s="3" t="s">
        <v>90</v>
      </c>
      <c r="C24283" s="5">
        <v>313</v>
      </c>
      <c r="D24283" s="6">
        <v>14.06</v>
      </c>
    </row>
    <row r="24284" spans="1:4" x14ac:dyDescent="0.25">
      <c r="A24284" t="str">
        <f>HYPERLINK("https://www.773grp.com/globalSearch/TMS4C1060B-40N/page-1", "TMS4C1060B-40N")</f>
        <v>TMS4C1060B-40N</v>
      </c>
      <c r="B24284" s="3" t="s">
        <v>90</v>
      </c>
      <c r="C24284" s="5">
        <v>34</v>
      </c>
      <c r="D24284" s="6">
        <v>14.06</v>
      </c>
    </row>
    <row r="24285" spans="1:4" x14ac:dyDescent="0.25">
      <c r="A24285" t="str">
        <f>HYPERLINK("https://www.773grp.com/globalSearch/TMS4C1070B-30N/page-1", "TMS4C1070B-30N")</f>
        <v>TMS4C1070B-30N</v>
      </c>
      <c r="B24285" s="3" t="s">
        <v>90</v>
      </c>
      <c r="C24285" s="5">
        <v>99876</v>
      </c>
      <c r="D24285" s="6">
        <v>14.06</v>
      </c>
    </row>
    <row r="24286" spans="1:4" x14ac:dyDescent="0.25">
      <c r="A24286" t="str">
        <f>HYPERLINK("https://www.773grp.com/globalSearch/TMS4C1080-60DG/page-1", "TMS4C1080-60DG")</f>
        <v>TMS4C1080-60DG</v>
      </c>
      <c r="B24286" s="3" t="s">
        <v>90</v>
      </c>
      <c r="C24286" s="5">
        <v>247</v>
      </c>
      <c r="D24286" s="6">
        <v>14.06</v>
      </c>
    </row>
    <row r="24287" spans="1:4" x14ac:dyDescent="0.25">
      <c r="A24287" t="str">
        <f>HYPERLINK("https://www.773grp.com/globalSearch/TMS4C1081-60DG/page-1", "TMS4C1081-60DG")</f>
        <v>TMS4C1081-60DG</v>
      </c>
      <c r="B24287" s="3" t="s">
        <v>90</v>
      </c>
      <c r="C24287" s="5">
        <v>1286</v>
      </c>
      <c r="D24287" s="6">
        <v>14.06</v>
      </c>
    </row>
    <row r="24288" spans="1:4" x14ac:dyDescent="0.25">
      <c r="A24288" t="str">
        <f>HYPERLINK("https://www.773grp.com/globalSearch/TPS60400EVM-178/page-1", "TPS60400EVM-178")</f>
        <v>TPS60400EVM-178</v>
      </c>
      <c r="B24288" s="3" t="s">
        <v>90</v>
      </c>
      <c r="C24288" s="5">
        <v>5</v>
      </c>
      <c r="D24288" s="6">
        <v>14.06</v>
      </c>
    </row>
    <row r="24289" spans="1:4" x14ac:dyDescent="0.25">
      <c r="A24289" t="str">
        <f>HYPERLINK("https://www.773grp.com/globalSearch/TSP50P11007CNL/page-1", "TSP50P11007CNL")</f>
        <v>TSP50P11007CNL</v>
      </c>
      <c r="B24289" s="3" t="s">
        <v>90</v>
      </c>
      <c r="C24289" s="5">
        <v>1763</v>
      </c>
      <c r="D24289" s="6">
        <v>14.06</v>
      </c>
    </row>
    <row r="24290" spans="1:4" x14ac:dyDescent="0.25">
      <c r="A24290" t="str">
        <f>HYPERLINK("https://www.773grp.com/globalSearch/UC385T-ADJU/page-1", "UC385T-ADJU")</f>
        <v>UC385T-ADJU</v>
      </c>
      <c r="B24290" s="3" t="s">
        <v>90</v>
      </c>
      <c r="C24290" s="5">
        <v>8</v>
      </c>
      <c r="D24290" s="6">
        <v>14.06</v>
      </c>
    </row>
    <row r="24291" spans="1:4" x14ac:dyDescent="0.25">
      <c r="A24291" t="str">
        <f>HYPERLINK("https://www.773grp.com/globalSearch/DCP010512P-U-7/page-1", "DCP010512P-U-7")</f>
        <v>DCP010512P-U-7</v>
      </c>
      <c r="B24291" s="3" t="s">
        <v>90</v>
      </c>
      <c r="C24291" s="5">
        <v>3</v>
      </c>
      <c r="D24291" s="6">
        <v>14.09</v>
      </c>
    </row>
    <row r="24292" spans="1:4" x14ac:dyDescent="0.25">
      <c r="A24292" t="str">
        <f>HYPERLINK("https://www.773grp.com/globalSearch/6PAIC3254IRHBRQ1/page-1", "6PAIC3254IRHBRQ1")</f>
        <v>6PAIC3254IRHBRQ1</v>
      </c>
      <c r="B24292" s="3" t="s">
        <v>90</v>
      </c>
      <c r="C24292" s="5">
        <v>2960</v>
      </c>
      <c r="D24292" s="6">
        <v>14.13</v>
      </c>
    </row>
    <row r="24293" spans="1:4" x14ac:dyDescent="0.25">
      <c r="A24293" t="str">
        <f>HYPERLINK("https://www.773grp.com/globalSearch/TM4C1233H6PGEI/page-1", "TM4C1233H6PGEI")</f>
        <v>TM4C1233H6PGEI</v>
      </c>
      <c r="B24293" s="3" t="s">
        <v>90</v>
      </c>
      <c r="C24293" s="5">
        <v>60</v>
      </c>
      <c r="D24293" s="6">
        <v>14.18</v>
      </c>
    </row>
    <row r="24294" spans="1:4" x14ac:dyDescent="0.25">
      <c r="A24294" t="str">
        <f>HYPERLINK("https://www.773grp.com/globalSearch/COP8SAC720N8YYY-NOPB/page-1", "COP8SAC720N8YYY-NOPB")</f>
        <v>COP8SAC720N8YYY-NOPB</v>
      </c>
      <c r="B24294" s="3" t="s">
        <v>90</v>
      </c>
      <c r="C24294" s="5">
        <v>126</v>
      </c>
      <c r="D24294" s="6">
        <v>14.21</v>
      </c>
    </row>
    <row r="24295" spans="1:4" x14ac:dyDescent="0.25">
      <c r="A24295" t="str">
        <f>HYPERLINK("https://www.773grp.com/globalSearch/MSP430F5438AIZQWT/page-1", "MSP430F5438AIZQWT")</f>
        <v>MSP430F5438AIZQWT</v>
      </c>
      <c r="B24295" s="3" t="s">
        <v>90</v>
      </c>
      <c r="C24295" s="5">
        <v>392</v>
      </c>
      <c r="D24295" s="6">
        <v>14.21</v>
      </c>
    </row>
    <row r="24296" spans="1:4" x14ac:dyDescent="0.25">
      <c r="A24296" t="str">
        <f>HYPERLINK("https://www.773grp.com/globalSearch/MSP430F5438IPZ/page-1", "MSP430F5438IPZ")</f>
        <v>MSP430F5438IPZ</v>
      </c>
      <c r="B24296" s="3" t="s">
        <v>90</v>
      </c>
      <c r="C24296" s="5">
        <v>206</v>
      </c>
      <c r="D24296" s="6">
        <v>14.21</v>
      </c>
    </row>
    <row r="24297" spans="1:4" x14ac:dyDescent="0.25">
      <c r="A24297" t="str">
        <f>HYPERLINK("https://www.773grp.com/globalSearch/TAS5622ADDV/page-1", "TAS5622ADDV")</f>
        <v>TAS5622ADDV</v>
      </c>
      <c r="B24297" s="3" t="s">
        <v>90</v>
      </c>
      <c r="C24297" s="5">
        <v>2655</v>
      </c>
      <c r="D24297" s="6">
        <v>14.21</v>
      </c>
    </row>
    <row r="24298" spans="1:4" x14ac:dyDescent="0.25">
      <c r="A24298" t="str">
        <f>HYPERLINK("https://www.773grp.com/globalSearch/34R3430R-4CVR/page-1", "34R3430R-4CVR")</f>
        <v>34R3430R-4CVR</v>
      </c>
      <c r="B24298" s="3" t="s">
        <v>90</v>
      </c>
      <c r="C24298" s="5">
        <v>182500</v>
      </c>
      <c r="D24298" s="6">
        <v>14.31</v>
      </c>
    </row>
    <row r="24299" spans="1:4" x14ac:dyDescent="0.25">
      <c r="A24299" t="str">
        <f>HYPERLINK("https://www.773grp.com/globalSearch/SNJ54LS245J/page-1", "SNJ54LS245J")</f>
        <v>SNJ54LS245J</v>
      </c>
      <c r="B24299" s="3" t="s">
        <v>90</v>
      </c>
      <c r="C24299" s="5">
        <v>45</v>
      </c>
      <c r="D24299" s="6">
        <v>14.31</v>
      </c>
    </row>
    <row r="24300" spans="1:4" x14ac:dyDescent="0.25">
      <c r="A24300" t="str">
        <f>HYPERLINK("https://www.773grp.com/globalSearch/MSP430F47126IPZ/page-1", "MSP430F47126IPZ")</f>
        <v>MSP430F47126IPZ</v>
      </c>
      <c r="B24300" s="3" t="s">
        <v>90</v>
      </c>
      <c r="C24300" s="5">
        <v>58</v>
      </c>
      <c r="D24300" s="6">
        <v>14.35</v>
      </c>
    </row>
    <row r="24301" spans="1:4" x14ac:dyDescent="0.25">
      <c r="A24301" t="str">
        <f>HYPERLINK("https://www.773grp.com/globalSearch/MSP430F478IZQW/page-1", "MSP430F478IZQW")</f>
        <v>MSP430F478IZQW</v>
      </c>
      <c r="B24301" s="3" t="s">
        <v>90</v>
      </c>
      <c r="C24301" s="5">
        <v>64</v>
      </c>
      <c r="D24301" s="6">
        <v>14.35</v>
      </c>
    </row>
    <row r="24302" spans="1:4" x14ac:dyDescent="0.25">
      <c r="A24302" t="str">
        <f>HYPERLINK("https://www.773grp.com/globalSearch/MSP430F478IZQWR/page-1", "MSP430F478IZQWR")</f>
        <v>MSP430F478IZQWR</v>
      </c>
      <c r="B24302" s="3" t="s">
        <v>90</v>
      </c>
      <c r="C24302" s="5">
        <v>22500</v>
      </c>
      <c r="D24302" s="6">
        <v>14.35</v>
      </c>
    </row>
    <row r="24303" spans="1:4" x14ac:dyDescent="0.25">
      <c r="A24303" t="str">
        <f>HYPERLINK("https://www.773grp.com/globalSearch/OPA121KU-2K5/page-1", "OPA121KU-2K5")</f>
        <v>OPA121KU-2K5</v>
      </c>
      <c r="B24303" s="3" t="s">
        <v>90</v>
      </c>
      <c r="C24303" s="5">
        <v>2500</v>
      </c>
      <c r="D24303" s="6">
        <v>14.35</v>
      </c>
    </row>
    <row r="24304" spans="1:4" x14ac:dyDescent="0.25">
      <c r="A24304" t="str">
        <f>HYPERLINK("https://www.773grp.com/globalSearch/TLV5637ID/page-1", "TLV5637ID")</f>
        <v>TLV5637ID</v>
      </c>
      <c r="B24304" s="3" t="s">
        <v>90</v>
      </c>
      <c r="C24304" s="5">
        <v>5325</v>
      </c>
      <c r="D24304" s="6">
        <v>14.35</v>
      </c>
    </row>
    <row r="24305" spans="1:4" x14ac:dyDescent="0.25">
      <c r="A24305" t="str">
        <f>HYPERLINK("https://www.773grp.com/globalSearch/TM4C123BH6PGEI/page-1", "TM4C123BH6PGEI")</f>
        <v>TM4C123BH6PGEI</v>
      </c>
      <c r="B24305" s="3" t="s">
        <v>90</v>
      </c>
      <c r="C24305" s="5">
        <v>10</v>
      </c>
      <c r="D24305" s="6">
        <v>14.35</v>
      </c>
    </row>
    <row r="24306" spans="1:4" x14ac:dyDescent="0.25">
      <c r="A24306" t="str">
        <f>HYPERLINK("https://www.773grp.com/globalSearch/MSP430F1491IPMR/page-1", "MSP430F1491IPMR")</f>
        <v>MSP430F1491IPMR</v>
      </c>
      <c r="B24306" s="3" t="s">
        <v>90</v>
      </c>
      <c r="C24306" s="5">
        <v>2000</v>
      </c>
      <c r="D24306" s="6">
        <v>14.38</v>
      </c>
    </row>
    <row r="24307" spans="1:4" x14ac:dyDescent="0.25">
      <c r="A24307" t="str">
        <f>HYPERLINK("https://www.773grp.com/globalSearch/U2823ADW/page-1", "U2823ADW")</f>
        <v>U2823ADW</v>
      </c>
      <c r="B24307" s="3" t="s">
        <v>90</v>
      </c>
      <c r="C24307" s="5">
        <v>11</v>
      </c>
      <c r="D24307" s="6">
        <v>14.38</v>
      </c>
    </row>
    <row r="24308" spans="1:4" x14ac:dyDescent="0.25">
      <c r="A24308" t="str">
        <f>HYPERLINK("https://www.773grp.com/globalSearch/MSP430F149IPAG/page-1", "MSP430F149IPAG")</f>
        <v>MSP430F149IPAG</v>
      </c>
      <c r="B24308" s="3" t="s">
        <v>90</v>
      </c>
      <c r="C24308" s="5">
        <v>89</v>
      </c>
      <c r="D24308" s="6">
        <v>14.43</v>
      </c>
    </row>
    <row r="24309" spans="1:4" x14ac:dyDescent="0.25">
      <c r="A24309" t="str">
        <f>HYPERLINK("https://www.773grp.com/globalSearch/MSP430F149IRTDT/page-1", "MSP430F149IRTDT")</f>
        <v>MSP430F149IRTDT</v>
      </c>
      <c r="B24309" s="3" t="s">
        <v>90</v>
      </c>
      <c r="C24309" s="5">
        <v>500</v>
      </c>
      <c r="D24309" s="6">
        <v>14.43</v>
      </c>
    </row>
    <row r="24310" spans="1:4" x14ac:dyDescent="0.25">
      <c r="A24310" t="str">
        <f>HYPERLINK("https://www.773grp.com/globalSearch/PCM2906CDB/page-1", "PCM2906CDB")</f>
        <v>PCM2906CDB</v>
      </c>
      <c r="B24310" s="3" t="s">
        <v>90</v>
      </c>
      <c r="C24310" s="5">
        <v>300</v>
      </c>
      <c r="D24310" s="6">
        <v>14.43</v>
      </c>
    </row>
    <row r="24311" spans="1:4" x14ac:dyDescent="0.25">
      <c r="A24311" t="str">
        <f>HYPERLINK("https://www.773grp.com/globalSearch/RI-TRP-DR2B/page-1", "RI-TRP-DR2B")</f>
        <v>RI-TRP-DR2B</v>
      </c>
      <c r="B24311" s="3" t="s">
        <v>90</v>
      </c>
      <c r="C24311" s="5">
        <v>20379</v>
      </c>
      <c r="D24311" s="6">
        <v>14.46</v>
      </c>
    </row>
    <row r="24312" spans="1:4" x14ac:dyDescent="0.25">
      <c r="A24312" t="str">
        <f>HYPERLINK("https://www.773grp.com/globalSearch/ADS8321E-2K5/page-1", "ADS8321E-2K5")</f>
        <v>ADS8321E-2K5</v>
      </c>
      <c r="B24312" s="3" t="s">
        <v>90</v>
      </c>
      <c r="C24312" s="5">
        <v>53700</v>
      </c>
      <c r="D24312" s="6">
        <v>14.48</v>
      </c>
    </row>
    <row r="24313" spans="1:4" x14ac:dyDescent="0.25">
      <c r="A24313" t="str">
        <f>HYPERLINK("https://www.773grp.com/globalSearch/BQ20Z80ADBTR-V110/page-1", "BQ20Z80ADBTR-V110")</f>
        <v>BQ20Z80ADBTR-V110</v>
      </c>
      <c r="B24313" s="3" t="s">
        <v>90</v>
      </c>
      <c r="C24313" s="5">
        <v>6000</v>
      </c>
      <c r="D24313" s="6">
        <v>14.48</v>
      </c>
    </row>
    <row r="24314" spans="1:4" x14ac:dyDescent="0.25">
      <c r="A24314" t="str">
        <f>HYPERLINK("https://www.773grp.com/globalSearch/LMZ12003TZX-ADJ-NOPB/page-1", "LMZ12003TZX-ADJ-NOPB")</f>
        <v>LMZ12003TZX-ADJ-NOPB</v>
      </c>
      <c r="B24314" s="3" t="s">
        <v>90</v>
      </c>
      <c r="C24314" s="5">
        <v>1000</v>
      </c>
      <c r="D24314" s="6">
        <v>14.48</v>
      </c>
    </row>
    <row r="24315" spans="1:4" x14ac:dyDescent="0.25">
      <c r="A24315" t="str">
        <f>HYPERLINK("https://www.773grp.com/globalSearch/OPA211IDRGR/page-1", "OPA211IDRGR")</f>
        <v>OPA211IDRGR</v>
      </c>
      <c r="B24315" s="3" t="s">
        <v>90</v>
      </c>
      <c r="C24315" s="5">
        <v>972</v>
      </c>
      <c r="D24315" s="6">
        <v>14.48</v>
      </c>
    </row>
    <row r="24316" spans="1:4" x14ac:dyDescent="0.25">
      <c r="A24316" t="str">
        <f>HYPERLINK("https://www.773grp.com/globalSearch/TLV2542IDGKR/page-1", "TLV2542IDGKR")</f>
        <v>TLV2542IDGKR</v>
      </c>
      <c r="B24316" s="3" t="s">
        <v>90</v>
      </c>
      <c r="C24316" s="5">
        <v>15000</v>
      </c>
      <c r="D24316" s="6">
        <v>14.48</v>
      </c>
    </row>
    <row r="24317" spans="1:4" x14ac:dyDescent="0.25">
      <c r="A24317" t="str">
        <f>HYPERLINK("https://www.773grp.com/globalSearch/SN54LS367AJ/page-1", "SN54LS367AJ")</f>
        <v>SN54LS367AJ</v>
      </c>
      <c r="B24317" s="3" t="s">
        <v>90</v>
      </c>
      <c r="C24317" s="5">
        <v>139</v>
      </c>
      <c r="D24317" s="6">
        <v>14.51</v>
      </c>
    </row>
    <row r="24318" spans="1:4" x14ac:dyDescent="0.25">
      <c r="A24318" t="str">
        <f>HYPERLINK("https://www.773grp.com/globalSearch/LMH7324SQ-NOPB/page-1", "LMH7324SQ-NOPB")</f>
        <v>LMH7324SQ-NOPB</v>
      </c>
      <c r="B24318" s="3" t="s">
        <v>90</v>
      </c>
      <c r="C24318" s="5">
        <v>36</v>
      </c>
      <c r="D24318" s="6">
        <v>14.6</v>
      </c>
    </row>
    <row r="24319" spans="1:4" x14ac:dyDescent="0.25">
      <c r="A24319" t="str">
        <f>HYPERLINK("https://www.773grp.com/globalSearch/PCI1420PDQ/page-1", "PCI1420PDQ")</f>
        <v>PCI1420PDQ</v>
      </c>
      <c r="B24319" s="3" t="s">
        <v>90</v>
      </c>
      <c r="C24319" s="5">
        <v>75</v>
      </c>
      <c r="D24319" s="6">
        <v>14.6</v>
      </c>
    </row>
    <row r="24320" spans="1:4" x14ac:dyDescent="0.25">
      <c r="A24320" t="str">
        <f>HYPERLINK("https://www.773grp.com/globalSearch/BQ20Z65DBT/page-1", "BQ20Z65DBT")</f>
        <v>BQ20Z65DBT</v>
      </c>
      <c r="B24320" s="3" t="s">
        <v>90</v>
      </c>
      <c r="C24320" s="5">
        <v>1355</v>
      </c>
      <c r="D24320" s="6">
        <v>14.63</v>
      </c>
    </row>
    <row r="24321" spans="1:4" x14ac:dyDescent="0.25">
      <c r="A24321" t="str">
        <f>HYPERLINK("https://www.773grp.com/globalSearch/BQ20Z90DBTV110/page-1", "BQ20Z90DBTV110")</f>
        <v>BQ20Z90DBTV110</v>
      </c>
      <c r="B24321" s="3" t="s">
        <v>90</v>
      </c>
      <c r="C24321" s="5">
        <v>120</v>
      </c>
      <c r="D24321" s="6">
        <v>14.63</v>
      </c>
    </row>
    <row r="24322" spans="1:4" x14ac:dyDescent="0.25">
      <c r="A24322" t="str">
        <f>HYPERLINK("https://www.773grp.com/globalSearch/BQ500110RGZT/page-1", "BQ500110RGZT")</f>
        <v>BQ500110RGZT</v>
      </c>
      <c r="B24322" s="3" t="s">
        <v>90</v>
      </c>
      <c r="C24322" s="5">
        <v>500</v>
      </c>
      <c r="D24322" s="6">
        <v>14.63</v>
      </c>
    </row>
    <row r="24323" spans="1:4" x14ac:dyDescent="0.25">
      <c r="A24323" t="str">
        <f>HYPERLINK("https://www.773grp.com/globalSearch/LM3S5749-IQC50/page-1", "LM3S5749-IQC50")</f>
        <v>LM3S5749-IQC50</v>
      </c>
      <c r="B24323" s="3" t="s">
        <v>90</v>
      </c>
      <c r="C24323" s="5">
        <v>5</v>
      </c>
      <c r="D24323" s="6">
        <v>14.63</v>
      </c>
    </row>
    <row r="24324" spans="1:4" x14ac:dyDescent="0.25">
      <c r="A24324" t="str">
        <f>HYPERLINK("https://www.773grp.com/globalSearch/MSP430F47127IPZR/page-1", "MSP430F47127IPZR")</f>
        <v>MSP430F47127IPZR</v>
      </c>
      <c r="B24324" s="3" t="s">
        <v>90</v>
      </c>
      <c r="C24324" s="5">
        <v>5000</v>
      </c>
      <c r="D24324" s="6">
        <v>14.63</v>
      </c>
    </row>
    <row r="24325" spans="1:4" x14ac:dyDescent="0.25">
      <c r="A24325" t="str">
        <f>HYPERLINK("https://www.773grp.com/globalSearch/MSP430F5436IPZ/page-1", "MSP430F5436IPZ")</f>
        <v>MSP430F5436IPZ</v>
      </c>
      <c r="B24325" s="3" t="s">
        <v>90</v>
      </c>
      <c r="C24325" s="5">
        <v>76</v>
      </c>
      <c r="D24325" s="6">
        <v>14.63</v>
      </c>
    </row>
    <row r="24326" spans="1:4" x14ac:dyDescent="0.25">
      <c r="A24326" t="str">
        <f>HYPERLINK("https://www.773grp.com/globalSearch/OPA2211AIDRGR/page-1", "OPA2211AIDRGR")</f>
        <v>OPA2211AIDRGR</v>
      </c>
      <c r="B24326" s="3" t="s">
        <v>90</v>
      </c>
      <c r="C24326" s="5">
        <v>481</v>
      </c>
      <c r="D24326" s="6">
        <v>14.63</v>
      </c>
    </row>
    <row r="24327" spans="1:4" x14ac:dyDescent="0.25">
      <c r="A24327" t="str">
        <f>HYPERLINK("https://www.773grp.com/globalSearch/TLV2544QD/page-1", "TLV2544QD")</f>
        <v>TLV2544QD</v>
      </c>
      <c r="B24327" s="3" t="s">
        <v>90</v>
      </c>
      <c r="C24327" s="5">
        <v>260</v>
      </c>
      <c r="D24327" s="6">
        <v>14.63</v>
      </c>
    </row>
    <row r="24328" spans="1:4" x14ac:dyDescent="0.25">
      <c r="A24328" t="str">
        <f>HYPERLINK("https://www.773grp.com/globalSearch/TLV2548IDWR/page-1", "TLV2548IDWR")</f>
        <v>TLV2548IDWR</v>
      </c>
      <c r="B24328" s="3" t="s">
        <v>90</v>
      </c>
      <c r="C24328" s="5">
        <v>7285</v>
      </c>
      <c r="D24328" s="6">
        <v>14.63</v>
      </c>
    </row>
    <row r="24329" spans="1:4" x14ac:dyDescent="0.25">
      <c r="A24329" t="str">
        <f>HYPERLINK("https://www.773grp.com/globalSearch/TUSB7340RKMT/page-1", "TUSB7340RKMT")</f>
        <v>TUSB7340RKMT</v>
      </c>
      <c r="B24329" s="3" t="s">
        <v>90</v>
      </c>
      <c r="C24329" s="5">
        <v>148</v>
      </c>
      <c r="D24329" s="6">
        <v>14.63</v>
      </c>
    </row>
    <row r="24330" spans="1:4" x14ac:dyDescent="0.25">
      <c r="A24330" t="str">
        <f>HYPERLINK("https://www.773grp.com/globalSearch/UCC2895DW-1/page-1", "UCC2895DW-1")</f>
        <v>UCC2895DW-1</v>
      </c>
      <c r="B24330" s="3" t="s">
        <v>90</v>
      </c>
      <c r="C24330" s="5">
        <v>100</v>
      </c>
      <c r="D24330" s="6">
        <v>14.63</v>
      </c>
    </row>
    <row r="24331" spans="1:4" x14ac:dyDescent="0.25">
      <c r="A24331" t="str">
        <f>HYPERLINK("https://www.773grp.com/globalSearch/SN74LVTH18502APMR/page-1", "SN74LVTH18502APMR")</f>
        <v>SN74LVTH18502APMR</v>
      </c>
      <c r="B24331" s="3" t="s">
        <v>90</v>
      </c>
      <c r="C24331" s="5">
        <v>4000</v>
      </c>
      <c r="D24331" s="6">
        <v>14.65</v>
      </c>
    </row>
    <row r="24332" spans="1:4" x14ac:dyDescent="0.25">
      <c r="A24332" t="str">
        <f>HYPERLINK("https://www.773grp.com/globalSearch/TMS370C250FNA/page-1", "TMS370C250FNA")</f>
        <v>TMS370C250FNA</v>
      </c>
      <c r="B24332" s="3" t="s">
        <v>90</v>
      </c>
      <c r="C24332" s="5">
        <v>10</v>
      </c>
      <c r="D24332" s="6">
        <v>14.65</v>
      </c>
    </row>
    <row r="24333" spans="1:4" x14ac:dyDescent="0.25">
      <c r="A24333" t="str">
        <f>HYPERLINK("https://www.773grp.com/globalSearch/SNJ54HC368J/page-1", "SNJ54HC368J")</f>
        <v>SNJ54HC368J</v>
      </c>
      <c r="B24333" s="3" t="s">
        <v>90</v>
      </c>
      <c r="C24333" s="5">
        <v>79</v>
      </c>
      <c r="D24333" s="6">
        <v>14.69</v>
      </c>
    </row>
    <row r="24334" spans="1:4" x14ac:dyDescent="0.25">
      <c r="A24334" t="str">
        <f>HYPERLINK("https://www.773grp.com/globalSearch/TL072MJGB/page-1", "TL072MJGB")</f>
        <v>TL072MJGB</v>
      </c>
      <c r="B24334" s="3" t="s">
        <v>90</v>
      </c>
      <c r="C24334" s="5">
        <v>99</v>
      </c>
      <c r="D24334" s="6">
        <v>14.69</v>
      </c>
    </row>
    <row r="24335" spans="1:4" x14ac:dyDescent="0.25">
      <c r="A24335" t="str">
        <f>HYPERLINK("https://www.773grp.com/globalSearch/THS4502CDGNG4/page-1", "THS4502CDGNG4")</f>
        <v>THS4502CDGNG4</v>
      </c>
      <c r="B24335" s="3" t="s">
        <v>90</v>
      </c>
      <c r="C24335" s="5">
        <v>159</v>
      </c>
      <c r="D24335" s="6">
        <v>14.71</v>
      </c>
    </row>
    <row r="24336" spans="1:4" x14ac:dyDescent="0.25">
      <c r="A24336" t="str">
        <f>HYPERLINK("https://www.773grp.com/globalSearch/THS4503CDG4/page-1", "THS4503CDG4")</f>
        <v>THS4503CDG4</v>
      </c>
      <c r="B24336" s="3" t="s">
        <v>90</v>
      </c>
      <c r="C24336" s="5">
        <v>55</v>
      </c>
      <c r="D24336" s="6">
        <v>14.71</v>
      </c>
    </row>
    <row r="24337" spans="1:4" x14ac:dyDescent="0.25">
      <c r="A24337" t="str">
        <f>HYPERLINK("https://www.773grp.com/globalSearch/THS4503CDGK/page-1", "THS4503CDGK")</f>
        <v>THS4503CDGK</v>
      </c>
      <c r="B24337" s="3" t="s">
        <v>90</v>
      </c>
      <c r="C24337" s="5">
        <v>4400</v>
      </c>
      <c r="D24337" s="6">
        <v>14.71</v>
      </c>
    </row>
    <row r="24338" spans="1:4" x14ac:dyDescent="0.25">
      <c r="A24338" t="str">
        <f>HYPERLINK("https://www.773grp.com/globalSearch/TM4C1232H6PMI/page-1", "TM4C1232H6PMI")</f>
        <v>TM4C1232H6PMI</v>
      </c>
      <c r="B24338" s="3" t="s">
        <v>90</v>
      </c>
      <c r="C24338" s="5">
        <v>640</v>
      </c>
      <c r="D24338" s="6">
        <v>14.71</v>
      </c>
    </row>
    <row r="24339" spans="1:4" x14ac:dyDescent="0.25">
      <c r="A24339" t="str">
        <f>HYPERLINK("https://www.773grp.com/globalSearch/TM4C1233H6PMI/page-1", "TM4C1233H6PMI")</f>
        <v>TM4C1233H6PMI</v>
      </c>
      <c r="B24339" s="3" t="s">
        <v>90</v>
      </c>
      <c r="C24339" s="5">
        <v>160</v>
      </c>
      <c r="D24339" s="6">
        <v>14.71</v>
      </c>
    </row>
    <row r="24340" spans="1:4" x14ac:dyDescent="0.25">
      <c r="A24340" t="str">
        <f>HYPERLINK("https://www.773grp.com/globalSearch/5962-8860601EQ/page-1", "5962-8860601EQ")</f>
        <v>5962-8860601EQ</v>
      </c>
      <c r="B24340" s="3" t="s">
        <v>90</v>
      </c>
      <c r="C24340" s="5">
        <v>89</v>
      </c>
      <c r="D24340" s="6">
        <v>14.76</v>
      </c>
    </row>
    <row r="24341" spans="1:4" x14ac:dyDescent="0.25">
      <c r="A24341" t="str">
        <f>HYPERLINK("https://www.773grp.com/globalSearch/SN75LVDT386DGG/page-1", "SN75LVDT386DGG")</f>
        <v>SN75LVDT386DGG</v>
      </c>
      <c r="B24341" s="3" t="s">
        <v>90</v>
      </c>
      <c r="C24341" s="5">
        <v>23000</v>
      </c>
      <c r="D24341" s="6">
        <v>14.76</v>
      </c>
    </row>
    <row r="24342" spans="1:4" x14ac:dyDescent="0.25">
      <c r="A24342" t="str">
        <f>HYPERLINK("https://www.773grp.com/globalSearch/TLE2061MLB/page-1", "TLE2061MLB")</f>
        <v>TLE2061MLB</v>
      </c>
      <c r="B24342" s="3" t="s">
        <v>90</v>
      </c>
      <c r="C24342" s="5">
        <v>493</v>
      </c>
      <c r="D24342" s="6">
        <v>14.76</v>
      </c>
    </row>
    <row r="24343" spans="1:4" x14ac:dyDescent="0.25">
      <c r="A24343" t="str">
        <f>HYPERLINK("https://www.773grp.com/globalSearch/SN74LVTH32245GKER/page-1", "SN74LVTH32245GKER")</f>
        <v>SN74LVTH32245GKER</v>
      </c>
      <c r="B24343" s="3" t="s">
        <v>90</v>
      </c>
      <c r="C24343" s="5">
        <v>1000</v>
      </c>
      <c r="D24343" s="6">
        <v>14.8</v>
      </c>
    </row>
    <row r="24344" spans="1:4" x14ac:dyDescent="0.25">
      <c r="A24344" t="str">
        <f>HYPERLINK("https://www.773grp.com/globalSearch/TM4C123GH6PGEI/page-1", "TM4C123GH6PGEI")</f>
        <v>TM4C123GH6PGEI</v>
      </c>
      <c r="B24344" s="3" t="s">
        <v>90</v>
      </c>
      <c r="C24344" s="5">
        <v>30</v>
      </c>
      <c r="D24344" s="6">
        <v>14.8</v>
      </c>
    </row>
    <row r="24345" spans="1:4" x14ac:dyDescent="0.25">
      <c r="A24345" t="str">
        <f>HYPERLINK("https://www.773grp.com/globalSearch/SNACT7805-25DLR/page-1", "SNACT7805-25DLR")</f>
        <v>SNACT7805-25DLR</v>
      </c>
      <c r="B24345" s="3" t="s">
        <v>90</v>
      </c>
      <c r="C24345" s="5">
        <v>500</v>
      </c>
      <c r="D24345" s="6">
        <v>14.81</v>
      </c>
    </row>
    <row r="24346" spans="1:4" x14ac:dyDescent="0.25">
      <c r="A24346" t="str">
        <f>HYPERLINK("https://www.773grp.com/globalSearch/SNJ54HC153J/page-1", "SNJ54HC153J")</f>
        <v>SNJ54HC153J</v>
      </c>
      <c r="B24346" s="3" t="s">
        <v>90</v>
      </c>
      <c r="C24346" s="5">
        <v>47</v>
      </c>
      <c r="D24346" s="6">
        <v>14.85</v>
      </c>
    </row>
    <row r="24347" spans="1:4" x14ac:dyDescent="0.25">
      <c r="A24347" t="str">
        <f>HYPERLINK("https://www.773grp.com/globalSearch/TPS65951A1ZGU/page-1", "TPS65951A1ZGU")</f>
        <v>TPS65951A1ZGU</v>
      </c>
      <c r="B24347" s="3" t="s">
        <v>90</v>
      </c>
      <c r="C24347" s="5">
        <v>7</v>
      </c>
      <c r="D24347" s="6">
        <v>14.85</v>
      </c>
    </row>
    <row r="24348" spans="1:4" x14ac:dyDescent="0.25">
      <c r="A24348" t="str">
        <f>HYPERLINK("https://www.773grp.com/globalSearch/XTR105PAG4/page-1", "XTR105PAG4")</f>
        <v>XTR105PAG4</v>
      </c>
      <c r="B24348" s="3" t="s">
        <v>90</v>
      </c>
      <c r="C24348" s="5">
        <v>45</v>
      </c>
      <c r="D24348" s="6">
        <v>14.89</v>
      </c>
    </row>
    <row r="24349" spans="1:4" x14ac:dyDescent="0.25">
      <c r="A24349" t="str">
        <f>HYPERLINK("https://www.773grp.com/globalSearch/5692-9070201MEA/page-1", "5692-9070201MEA")</f>
        <v>5692-9070201MEA</v>
      </c>
      <c r="B24349" s="3" t="s">
        <v>90</v>
      </c>
      <c r="C24349" s="5">
        <v>50</v>
      </c>
      <c r="D24349" s="6">
        <v>14.9</v>
      </c>
    </row>
    <row r="24350" spans="1:4" x14ac:dyDescent="0.25">
      <c r="A24350" t="str">
        <f>HYPERLINK("https://www.773grp.com/globalSearch/MSP430F2419TPM/page-1", "MSP430F2419TPM")</f>
        <v>MSP430F2419TPM</v>
      </c>
      <c r="B24350" s="3" t="s">
        <v>90</v>
      </c>
      <c r="C24350" s="5">
        <v>650</v>
      </c>
      <c r="D24350" s="6">
        <v>14.9</v>
      </c>
    </row>
    <row r="24351" spans="1:4" x14ac:dyDescent="0.25">
      <c r="A24351" t="str">
        <f>HYPERLINK("https://www.773grp.com/globalSearch/TAS5613APHD/page-1", "TAS5613APHD")</f>
        <v>TAS5613APHD</v>
      </c>
      <c r="B24351" s="3" t="s">
        <v>90</v>
      </c>
      <c r="C24351" s="5">
        <v>300</v>
      </c>
      <c r="D24351" s="6">
        <v>14.9</v>
      </c>
    </row>
    <row r="24352" spans="1:4" x14ac:dyDescent="0.25">
      <c r="A24352" t="str">
        <f>HYPERLINK("https://www.773grp.com/globalSearch/TAS5614APHD/page-1", "TAS5614APHD")</f>
        <v>TAS5614APHD</v>
      </c>
      <c r="B24352" s="3" t="s">
        <v>90</v>
      </c>
      <c r="C24352" s="5">
        <v>86</v>
      </c>
      <c r="D24352" s="6">
        <v>14.9</v>
      </c>
    </row>
    <row r="24353" spans="1:4" x14ac:dyDescent="0.25">
      <c r="A24353" t="str">
        <f>HYPERLINK("https://www.773grp.com/globalSearch/TM4C1236H6PMI/page-1", "TM4C1236H6PMI")</f>
        <v>TM4C1236H6PMI</v>
      </c>
      <c r="B24353" s="3" t="s">
        <v>90</v>
      </c>
      <c r="C24353" s="5">
        <v>80</v>
      </c>
      <c r="D24353" s="6">
        <v>14.9</v>
      </c>
    </row>
    <row r="24354" spans="1:4" x14ac:dyDescent="0.25">
      <c r="A24354" t="str">
        <f>HYPERLINK("https://www.773grp.com/globalSearch/TM4C123GH6ZRBI/page-1", "TM4C123GH6ZRBI")</f>
        <v>TM4C123GH6ZRBI</v>
      </c>
      <c r="B24354" s="3" t="s">
        <v>90</v>
      </c>
      <c r="C24354" s="5">
        <v>20</v>
      </c>
      <c r="D24354" s="6">
        <v>14.9</v>
      </c>
    </row>
    <row r="24355" spans="1:4" x14ac:dyDescent="0.25">
      <c r="A24355" t="str">
        <f>HYPERLINK("https://www.773grp.com/globalSearch/LT1012CD/page-1", "LT1012CD")</f>
        <v>LT1012CD</v>
      </c>
      <c r="B24355" s="3" t="s">
        <v>90</v>
      </c>
      <c r="C24355" s="5">
        <v>131</v>
      </c>
      <c r="D24355" s="6">
        <v>14.99</v>
      </c>
    </row>
    <row r="24356" spans="1:4" x14ac:dyDescent="0.25">
      <c r="A24356" t="str">
        <f>HYPERLINK("https://www.773grp.com/globalSearch/SN74ALS819NT/page-1", "SN74ALS819NT")</f>
        <v>SN74ALS819NT</v>
      </c>
      <c r="B24356" s="3" t="s">
        <v>90</v>
      </c>
      <c r="C24356" s="5">
        <v>750</v>
      </c>
      <c r="D24356" s="6">
        <v>14.99</v>
      </c>
    </row>
    <row r="24357" spans="1:4" x14ac:dyDescent="0.25">
      <c r="A24357" t="str">
        <f>HYPERLINK("https://www.773grp.com/globalSearch/TL16NP550AFNR/page-1", "TL16NP550AFNR")</f>
        <v>TL16NP550AFNR</v>
      </c>
      <c r="B24357" s="3" t="s">
        <v>90</v>
      </c>
      <c r="C24357" s="5">
        <v>500</v>
      </c>
      <c r="D24357" s="6">
        <v>14.99</v>
      </c>
    </row>
    <row r="24358" spans="1:4" x14ac:dyDescent="0.25">
      <c r="A24358" t="str">
        <f>HYPERLINK("https://www.773grp.com/globalSearch/TM4C1237H6PMI/page-1", "TM4C1237H6PMI")</f>
        <v>TM4C1237H6PMI</v>
      </c>
      <c r="B24358" s="3" t="s">
        <v>90</v>
      </c>
      <c r="C24358" s="5">
        <v>160</v>
      </c>
      <c r="D24358" s="6">
        <v>15.03</v>
      </c>
    </row>
    <row r="24359" spans="1:4" x14ac:dyDescent="0.25">
      <c r="A24359" t="str">
        <f>HYPERLINK("https://www.773grp.com/globalSearch/ADS7953SDBT/page-1", "ADS7953SDBT")</f>
        <v>ADS7953SDBT</v>
      </c>
      <c r="B24359" s="3" t="s">
        <v>90</v>
      </c>
      <c r="C24359" s="5">
        <v>25</v>
      </c>
      <c r="D24359" s="6">
        <v>15.05</v>
      </c>
    </row>
    <row r="24360" spans="1:4" x14ac:dyDescent="0.25">
      <c r="A24360" t="str">
        <f>HYPERLINK("https://www.773grp.com/globalSearch/DS32ELX0124SQE-NOPB/page-1", "DS32ELX0124SQE-NOPB")</f>
        <v>DS32ELX0124SQE-NOPB</v>
      </c>
      <c r="B24360" s="3" t="s">
        <v>90</v>
      </c>
      <c r="C24360" s="5">
        <v>250</v>
      </c>
      <c r="D24360" s="6">
        <v>15.05</v>
      </c>
    </row>
    <row r="24361" spans="1:4" x14ac:dyDescent="0.25">
      <c r="A24361" t="str">
        <f>HYPERLINK("https://www.773grp.com/globalSearch/TAS5624ADDV/page-1", "TAS5624ADDV")</f>
        <v>TAS5624ADDV</v>
      </c>
      <c r="B24361" s="3" t="s">
        <v>90</v>
      </c>
      <c r="C24361" s="5">
        <v>1015</v>
      </c>
      <c r="D24361" s="6">
        <v>15.05</v>
      </c>
    </row>
    <row r="24362" spans="1:4" x14ac:dyDescent="0.25">
      <c r="A24362" t="str">
        <f>HYPERLINK("https://www.773grp.com/globalSearch/TMS370C6C2AFNT/page-1", "TMS370C6C2AFNT")</f>
        <v>TMS370C6C2AFNT</v>
      </c>
      <c r="B24362" s="3" t="s">
        <v>90</v>
      </c>
      <c r="C24362" s="5">
        <v>610</v>
      </c>
      <c r="D24362" s="6">
        <v>15.05</v>
      </c>
    </row>
    <row r="24363" spans="1:4" x14ac:dyDescent="0.25">
      <c r="A24363" t="str">
        <f>HYPERLINK("https://www.773grp.com/globalSearch/UC2875DWP-81261/page-1", "UC2875DWP-81261")</f>
        <v>UC2875DWP-81261</v>
      </c>
      <c r="B24363" s="3" t="s">
        <v>90</v>
      </c>
      <c r="C24363" s="5">
        <v>360</v>
      </c>
      <c r="D24363" s="6">
        <v>15.05</v>
      </c>
    </row>
    <row r="24364" spans="1:4" x14ac:dyDescent="0.25">
      <c r="A24364" t="str">
        <f>HYPERLINK("https://www.773grp.com/globalSearch/UC2875DWPTR/page-1", "UC2875DWPTR")</f>
        <v>UC2875DWPTR</v>
      </c>
      <c r="B24364" s="3" t="s">
        <v>90</v>
      </c>
      <c r="C24364" s="5">
        <v>5865</v>
      </c>
      <c r="D24364" s="6">
        <v>15.05</v>
      </c>
    </row>
    <row r="24365" spans="1:4" x14ac:dyDescent="0.25">
      <c r="A24365" t="str">
        <f>HYPERLINK("https://www.773grp.com/globalSearch/UC2875N-81290/page-1", "UC2875N-81290")</f>
        <v>UC2875N-81290</v>
      </c>
      <c r="B24365" s="3" t="s">
        <v>90</v>
      </c>
      <c r="C24365" s="5">
        <v>1940</v>
      </c>
      <c r="D24365" s="6">
        <v>15.05</v>
      </c>
    </row>
    <row r="24366" spans="1:4" x14ac:dyDescent="0.25">
      <c r="A24366" t="str">
        <f>HYPERLINK("https://www.773grp.com/globalSearch/UC2875N-81290/page-1", "UC2875N-81290")</f>
        <v>UC2875N-81290</v>
      </c>
      <c r="B24366" s="3" t="s">
        <v>90</v>
      </c>
      <c r="C24366" s="5">
        <v>690</v>
      </c>
      <c r="D24366" s="6">
        <v>15.05</v>
      </c>
    </row>
    <row r="24367" spans="1:4" x14ac:dyDescent="0.25">
      <c r="A24367" t="str">
        <f>HYPERLINK("https://www.773grp.com/globalSearch/CD54HC4050F3A/page-1", "CD54HC4050F3A")</f>
        <v>CD54HC4050F3A</v>
      </c>
      <c r="B24367" s="3" t="s">
        <v>90</v>
      </c>
      <c r="C24367" s="5">
        <v>22</v>
      </c>
      <c r="D24367" s="6">
        <v>15.08</v>
      </c>
    </row>
    <row r="24368" spans="1:4" x14ac:dyDescent="0.25">
      <c r="A24368" t="str">
        <f>HYPERLINK("https://www.773grp.com/globalSearch/CDC208NSR/page-1", "CDC208NSR")</f>
        <v>CDC208NSR</v>
      </c>
      <c r="B24368" s="3" t="s">
        <v>90</v>
      </c>
      <c r="C24368" s="5">
        <v>2000</v>
      </c>
      <c r="D24368" s="6">
        <v>15.08</v>
      </c>
    </row>
    <row r="24369" spans="1:4" x14ac:dyDescent="0.25">
      <c r="A24369" t="str">
        <f>HYPERLINK("https://www.773grp.com/globalSearch/DS92LV0412SQE-NOPB/page-1", "DS92LV0412SQE-NOPB")</f>
        <v>DS92LV0412SQE-NOPB</v>
      </c>
      <c r="B24369" s="3" t="s">
        <v>90</v>
      </c>
      <c r="C24369" s="5">
        <v>100</v>
      </c>
      <c r="D24369" s="6">
        <v>15.08</v>
      </c>
    </row>
    <row r="24370" spans="1:4" x14ac:dyDescent="0.25">
      <c r="A24370" t="str">
        <f>HYPERLINK("https://www.773grp.com/globalSearch/PCM2903BDBR/page-1", "PCM2903BDBR")</f>
        <v>PCM2903BDBR</v>
      </c>
      <c r="B24370" s="3" t="s">
        <v>90</v>
      </c>
      <c r="C24370" s="5">
        <v>2235</v>
      </c>
      <c r="D24370" s="6">
        <v>15.08</v>
      </c>
    </row>
    <row r="24371" spans="1:4" x14ac:dyDescent="0.25">
      <c r="A24371" t="str">
        <f>HYPERLINK("https://www.773grp.com/globalSearch/SN54HC540J/page-1", "SN54HC540J")</f>
        <v>SN54HC540J</v>
      </c>
      <c r="B24371" s="3" t="s">
        <v>90</v>
      </c>
      <c r="C24371" s="5">
        <v>19</v>
      </c>
      <c r="D24371" s="6">
        <v>15.08</v>
      </c>
    </row>
    <row r="24372" spans="1:4" x14ac:dyDescent="0.25">
      <c r="A24372" t="str">
        <f>HYPERLINK("https://www.773grp.com/globalSearch/TMX320VC5401PGE50/page-1", "TMX320VC5401PGE50")</f>
        <v>TMX320VC5401PGE50</v>
      </c>
      <c r="B24372" s="3" t="s">
        <v>90</v>
      </c>
      <c r="C24372" s="5">
        <v>2282</v>
      </c>
      <c r="D24372" s="6">
        <v>15.08</v>
      </c>
    </row>
    <row r="24373" spans="1:4" x14ac:dyDescent="0.25">
      <c r="A24373" t="str">
        <f>HYPERLINK("https://www.773grp.com/globalSearch/UC3825BDWTR/page-1", "UC3825BDWTR")</f>
        <v>UC3825BDWTR</v>
      </c>
      <c r="B24373" s="3" t="s">
        <v>90</v>
      </c>
      <c r="C24373" s="5">
        <v>2000</v>
      </c>
      <c r="D24373" s="6">
        <v>15.08</v>
      </c>
    </row>
    <row r="24374" spans="1:4" x14ac:dyDescent="0.25">
      <c r="A24374" t="str">
        <f>HYPERLINK("https://www.773grp.com/globalSearch/MSP430F155IRTDR/page-1", "MSP430F155IRTDR")</f>
        <v>MSP430F155IRTDR</v>
      </c>
      <c r="B24374" s="3" t="s">
        <v>90</v>
      </c>
      <c r="C24374" s="5">
        <v>2500</v>
      </c>
      <c r="D24374" s="6">
        <v>15.14</v>
      </c>
    </row>
    <row r="24375" spans="1:4" x14ac:dyDescent="0.25">
      <c r="A24375" t="str">
        <f>HYPERLINK("https://www.773grp.com/globalSearch/SN54HC541J/page-1", "SN54HC541J")</f>
        <v>SN54HC541J</v>
      </c>
      <c r="B24375" s="3" t="s">
        <v>90</v>
      </c>
      <c r="C24375" s="5">
        <v>221</v>
      </c>
      <c r="D24375" s="6">
        <v>15.14</v>
      </c>
    </row>
    <row r="24376" spans="1:4" x14ac:dyDescent="0.25">
      <c r="A24376" t="str">
        <f>HYPERLINK("https://www.773grp.com/globalSearch/SN65LVDS94DGGG4/page-1", "SN65LVDS94DGGG4")</f>
        <v>SN65LVDS94DGGG4</v>
      </c>
      <c r="B24376" s="3" t="s">
        <v>90</v>
      </c>
      <c r="C24376" s="5">
        <v>10</v>
      </c>
      <c r="D24376" s="6">
        <v>15.14</v>
      </c>
    </row>
    <row r="24377" spans="1:4" x14ac:dyDescent="0.25">
      <c r="A24377" t="str">
        <f>HYPERLINK("https://www.773grp.com/globalSearch/ADC0848BCV-NOPB/page-1", "ADC0848BCV-NOPB")</f>
        <v>ADC0848BCV-NOPB</v>
      </c>
      <c r="B24377" s="3" t="s">
        <v>90</v>
      </c>
      <c r="C24377" s="5">
        <v>210</v>
      </c>
      <c r="D24377" s="6">
        <v>15.15</v>
      </c>
    </row>
    <row r="24378" spans="1:4" x14ac:dyDescent="0.25">
      <c r="A24378" t="str">
        <f>HYPERLINK("https://www.773grp.com/globalSearch/DRV101T/page-1", "DRV101T")</f>
        <v>DRV101T</v>
      </c>
      <c r="B24378" s="3" t="s">
        <v>90</v>
      </c>
      <c r="C24378" s="5">
        <v>1700</v>
      </c>
      <c r="D24378" s="6">
        <v>15.15</v>
      </c>
    </row>
    <row r="24379" spans="1:4" x14ac:dyDescent="0.25">
      <c r="A24379" t="str">
        <f>HYPERLINK("https://www.773grp.com/globalSearch/DRV101TG3/page-1", "DRV101TG3")</f>
        <v>DRV101TG3</v>
      </c>
      <c r="B24379" s="3" t="s">
        <v>90</v>
      </c>
      <c r="C24379" s="5">
        <v>2</v>
      </c>
      <c r="D24379" s="6">
        <v>15.15</v>
      </c>
    </row>
    <row r="24380" spans="1:4" x14ac:dyDescent="0.25">
      <c r="A24380" t="str">
        <f>HYPERLINK("https://www.773grp.com/globalSearch/BQ20Z70PW-V150/page-1", "BQ20Z70PW-V150")</f>
        <v>BQ20Z70PW-V150</v>
      </c>
      <c r="B24380" s="3" t="s">
        <v>90</v>
      </c>
      <c r="C24380" s="5">
        <v>6580</v>
      </c>
      <c r="D24380" s="6">
        <v>15.19</v>
      </c>
    </row>
    <row r="24381" spans="1:4" x14ac:dyDescent="0.25">
      <c r="A24381" t="str">
        <f>HYPERLINK("https://www.773grp.com/globalSearch/BQ20Z75DBT-V180/page-1", "BQ20Z75DBT-V180")</f>
        <v>BQ20Z75DBT-V180</v>
      </c>
      <c r="B24381" s="3" t="s">
        <v>90</v>
      </c>
      <c r="C24381" s="5">
        <v>4835</v>
      </c>
      <c r="D24381" s="6">
        <v>15.19</v>
      </c>
    </row>
    <row r="24382" spans="1:4" x14ac:dyDescent="0.25">
      <c r="A24382" t="str">
        <f>HYPERLINK("https://www.773grp.com/globalSearch/DAC7617U-1K/page-1", "DAC7617U-1K")</f>
        <v>DAC7617U-1K</v>
      </c>
      <c r="B24382" s="3" t="s">
        <v>90</v>
      </c>
      <c r="C24382" s="5">
        <v>2000</v>
      </c>
      <c r="D24382" s="6">
        <v>15.19</v>
      </c>
    </row>
    <row r="24383" spans="1:4" x14ac:dyDescent="0.25">
      <c r="A24383" t="str">
        <f>HYPERLINK("https://www.773grp.com/globalSearch/DRV8809PAP/page-1", "DRV8809PAP")</f>
        <v>DRV8809PAP</v>
      </c>
      <c r="B24383" s="3" t="s">
        <v>90</v>
      </c>
      <c r="C24383" s="5">
        <v>150</v>
      </c>
      <c r="D24383" s="6">
        <v>15.19</v>
      </c>
    </row>
    <row r="24384" spans="1:4" x14ac:dyDescent="0.25">
      <c r="A24384" t="str">
        <f>HYPERLINK("https://www.773grp.com/globalSearch/SN65LVPE504RUAR/page-1", "SN65LVPE504RUAR")</f>
        <v>SN65LVPE504RUAR</v>
      </c>
      <c r="B24384" s="3" t="s">
        <v>90</v>
      </c>
      <c r="C24384" s="5">
        <v>1956</v>
      </c>
      <c r="D24384" s="6">
        <v>15.19</v>
      </c>
    </row>
    <row r="24385" spans="1:4" x14ac:dyDescent="0.25">
      <c r="A24385" t="str">
        <f>HYPERLINK("https://www.773grp.com/globalSearch/TLC2543CDB/page-1", "TLC2543CDB")</f>
        <v>TLC2543CDB</v>
      </c>
      <c r="B24385" s="3" t="s">
        <v>90</v>
      </c>
      <c r="C24385" s="5">
        <v>296</v>
      </c>
      <c r="D24385" s="6">
        <v>15.19</v>
      </c>
    </row>
    <row r="24386" spans="1:4" x14ac:dyDescent="0.25">
      <c r="A24386" t="str">
        <f>HYPERLINK("https://www.773grp.com/globalSearch/TMS320F28035PNS/page-1", "TMS320F28035PNS")</f>
        <v>TMS320F28035PNS</v>
      </c>
      <c r="B24386" s="3" t="s">
        <v>90</v>
      </c>
      <c r="C24386" s="5">
        <v>19</v>
      </c>
      <c r="D24386" s="6">
        <v>15.19</v>
      </c>
    </row>
    <row r="24387" spans="1:4" x14ac:dyDescent="0.25">
      <c r="A24387" t="str">
        <f>HYPERLINK("https://www.773grp.com/globalSearch/TWL6030B1AACMR/page-1", "TWL6030B1AACMR")</f>
        <v>TWL6030B1AACMR</v>
      </c>
      <c r="B24387" s="3" t="s">
        <v>90</v>
      </c>
      <c r="C24387" s="5">
        <v>1560</v>
      </c>
      <c r="D24387" s="6">
        <v>15.19</v>
      </c>
    </row>
    <row r="24388" spans="1:4" x14ac:dyDescent="0.25">
      <c r="A24388" t="str">
        <f>HYPERLINK("https://www.773grp.com/globalSearch/LM124AJ/page-1", "LM124AJ")</f>
        <v>LM124AJ</v>
      </c>
      <c r="B24388" s="3" t="s">
        <v>90</v>
      </c>
      <c r="C24388" s="5">
        <v>47</v>
      </c>
      <c r="D24388" s="6">
        <v>15.23</v>
      </c>
    </row>
    <row r="24389" spans="1:4" x14ac:dyDescent="0.25">
      <c r="A24389" t="str">
        <f>HYPERLINK("https://www.773grp.com/globalSearch/TMS45169-60DZ/page-1", "TMS45169-60DZ")</f>
        <v>TMS45169-60DZ</v>
      </c>
      <c r="B24389" s="3" t="s">
        <v>90</v>
      </c>
      <c r="C24389" s="5">
        <v>7632</v>
      </c>
      <c r="D24389" s="6">
        <v>15.23</v>
      </c>
    </row>
    <row r="24390" spans="1:4" x14ac:dyDescent="0.25">
      <c r="A24390" t="str">
        <f>HYPERLINK("https://www.773grp.com/globalSearch/TJ1060/page-1", "TJ1060")</f>
        <v>TJ1060</v>
      </c>
      <c r="B24390" s="3" t="s">
        <v>90</v>
      </c>
      <c r="C24390" s="5">
        <v>50</v>
      </c>
      <c r="D24390" s="6">
        <v>15.24</v>
      </c>
    </row>
    <row r="24391" spans="1:4" x14ac:dyDescent="0.25">
      <c r="A24391" t="str">
        <f>HYPERLINK("https://www.773grp.com/globalSearch/CD4049UBF/page-1", "CD4049UBF")</f>
        <v>CD4049UBF</v>
      </c>
      <c r="B24391" s="3" t="s">
        <v>90</v>
      </c>
      <c r="C24391" s="5">
        <v>360</v>
      </c>
      <c r="D24391" s="6">
        <v>15.28</v>
      </c>
    </row>
    <row r="24392" spans="1:4" x14ac:dyDescent="0.25">
      <c r="A24392" t="str">
        <f>HYPERLINK("https://www.773grp.com/globalSearch/TLE2071MJGB/page-1", "TLE2071MJGB")</f>
        <v>TLE2071MJGB</v>
      </c>
      <c r="B24392" s="3" t="s">
        <v>90</v>
      </c>
      <c r="C24392" s="5">
        <v>7</v>
      </c>
      <c r="D24392" s="6">
        <v>15.28</v>
      </c>
    </row>
    <row r="24393" spans="1:4" x14ac:dyDescent="0.25">
      <c r="A24393" t="str">
        <f>HYPERLINK("https://www.773grp.com/globalSearch/TM4C123FH6PMI/page-1", "TM4C123FH6PMI")</f>
        <v>TM4C123FH6PMI</v>
      </c>
      <c r="B24393" s="3" t="s">
        <v>90</v>
      </c>
      <c r="C24393" s="5">
        <v>160</v>
      </c>
      <c r="D24393" s="6">
        <v>15.28</v>
      </c>
    </row>
    <row r="24394" spans="1:4" x14ac:dyDescent="0.25">
      <c r="A24394" t="str">
        <f>HYPERLINK("https://www.773grp.com/globalSearch/TM4C123GH6PMI/page-1", "TM4C123GH6PMI")</f>
        <v>TM4C123GH6PMI</v>
      </c>
      <c r="B24394" s="3" t="s">
        <v>90</v>
      </c>
      <c r="C24394" s="5">
        <v>110</v>
      </c>
      <c r="D24394" s="6">
        <v>15.3</v>
      </c>
    </row>
    <row r="24395" spans="1:4" x14ac:dyDescent="0.25">
      <c r="A24395" t="str">
        <f>HYPERLINK("https://www.773grp.com/globalSearch/BQ20Z80DBTR-V102/page-1", "BQ20Z80DBTR-V102")</f>
        <v>BQ20Z80DBTR-V102</v>
      </c>
      <c r="B24395" s="3" t="s">
        <v>90</v>
      </c>
      <c r="C24395" s="5">
        <v>22000</v>
      </c>
      <c r="D24395" s="6">
        <v>15.33</v>
      </c>
    </row>
    <row r="24396" spans="1:4" x14ac:dyDescent="0.25">
      <c r="A24396" t="str">
        <f>HYPERLINK("https://www.773grp.com/globalSearch/MSP430F5437IPN/page-1", "MSP430F5437IPN")</f>
        <v>MSP430F5437IPN</v>
      </c>
      <c r="B24396" s="3" t="s">
        <v>90</v>
      </c>
      <c r="C24396" s="5">
        <v>789</v>
      </c>
      <c r="D24396" s="6">
        <v>15.33</v>
      </c>
    </row>
    <row r="24397" spans="1:4" x14ac:dyDescent="0.25">
      <c r="A24397" t="str">
        <f>HYPERLINK("https://www.773grp.com/globalSearch/OPA4132UAE4/page-1", "OPA4132UAE4")</f>
        <v>OPA4132UAE4</v>
      </c>
      <c r="B24397" s="3" t="s">
        <v>90</v>
      </c>
      <c r="C24397" s="5">
        <v>40</v>
      </c>
      <c r="D24397" s="6">
        <v>15.33</v>
      </c>
    </row>
    <row r="24398" spans="1:4" x14ac:dyDescent="0.25">
      <c r="A24398" t="str">
        <f>HYPERLINK("https://www.773grp.com/globalSearch/PTH08000WAZ/page-1", "PTH08000WAZ")</f>
        <v>PTH08000WAZ</v>
      </c>
      <c r="B24398" s="3" t="s">
        <v>90</v>
      </c>
      <c r="C24398" s="5">
        <v>5</v>
      </c>
      <c r="D24398" s="6">
        <v>15.33</v>
      </c>
    </row>
    <row r="24399" spans="1:4" x14ac:dyDescent="0.25">
      <c r="A24399" t="str">
        <f>HYPERLINK("https://www.773grp.com/globalSearch/PTH08000WAZT/page-1", "PTH08000WAZT")</f>
        <v>PTH08000WAZT</v>
      </c>
      <c r="B24399" s="3" t="s">
        <v>90</v>
      </c>
      <c r="C24399" s="5">
        <v>314</v>
      </c>
      <c r="D24399" s="6">
        <v>15.33</v>
      </c>
    </row>
    <row r="24400" spans="1:4" x14ac:dyDescent="0.25">
      <c r="A24400" t="str">
        <f>HYPERLINK("https://www.773grp.com/globalSearch/TFP403PZPG4/page-1", "TFP403PZPG4")</f>
        <v>TFP403PZPG4</v>
      </c>
      <c r="B24400" s="3" t="s">
        <v>90</v>
      </c>
      <c r="C24400" s="5">
        <v>132</v>
      </c>
      <c r="D24400" s="6">
        <v>15.33</v>
      </c>
    </row>
    <row r="24401" spans="1:4" x14ac:dyDescent="0.25">
      <c r="A24401" t="str">
        <f>HYPERLINK("https://www.773grp.com/globalSearch/5962-9758801Q2A/page-1", "5962-9758801Q2A")</f>
        <v>5962-9758801Q2A</v>
      </c>
      <c r="B24401" s="3" t="s">
        <v>90</v>
      </c>
      <c r="C24401" s="5">
        <v>37</v>
      </c>
      <c r="D24401" s="6">
        <v>15.36</v>
      </c>
    </row>
    <row r="24402" spans="1:4" x14ac:dyDescent="0.25">
      <c r="A24402" t="str">
        <f>HYPERLINK("https://www.773grp.com/globalSearch/CDC337DWR/page-1", "CDC337DWR")</f>
        <v>CDC337DWR</v>
      </c>
      <c r="B24402" s="3" t="s">
        <v>90</v>
      </c>
      <c r="C24402" s="5">
        <v>32000</v>
      </c>
      <c r="D24402" s="6">
        <v>15.36</v>
      </c>
    </row>
    <row r="24403" spans="1:4" x14ac:dyDescent="0.25">
      <c r="A24403" t="str">
        <f>HYPERLINK("https://www.773grp.com/globalSearch/JM38510-33002B2A/page-1", "JM38510-33002B2A")</f>
        <v>JM38510-33002B2A</v>
      </c>
      <c r="B24403" s="3" t="s">
        <v>90</v>
      </c>
      <c r="C24403" s="5">
        <v>12</v>
      </c>
      <c r="D24403" s="6">
        <v>15.36</v>
      </c>
    </row>
    <row r="24404" spans="1:4" x14ac:dyDescent="0.25">
      <c r="A24404" t="str">
        <f>HYPERLINK("https://www.773grp.com/globalSearch/SNJ54F32FK/page-1", "SNJ54F32FK")</f>
        <v>SNJ54F32FK</v>
      </c>
      <c r="B24404" s="3" t="s">
        <v>90</v>
      </c>
      <c r="C24404" s="5">
        <v>45</v>
      </c>
      <c r="D24404" s="6">
        <v>15.36</v>
      </c>
    </row>
    <row r="24405" spans="1:4" x14ac:dyDescent="0.25">
      <c r="A24405" t="str">
        <f>HYPERLINK("https://www.773grp.com/globalSearch/UC2872N/page-1", "UC2872N")</f>
        <v>UC2872N</v>
      </c>
      <c r="B24405" s="3" t="s">
        <v>90</v>
      </c>
      <c r="C24405" s="5">
        <v>24000</v>
      </c>
      <c r="D24405" s="6">
        <v>15.36</v>
      </c>
    </row>
    <row r="24406" spans="1:4" x14ac:dyDescent="0.25">
      <c r="A24406" t="str">
        <f>HYPERLINK("https://www.773grp.com/globalSearch/TM4C123GH6PGET/page-1", "TM4C123GH6PGET")</f>
        <v>TM4C123GH6PGET</v>
      </c>
      <c r="B24406" s="3" t="s">
        <v>90</v>
      </c>
      <c r="C24406" s="5">
        <v>60</v>
      </c>
      <c r="D24406" s="6">
        <v>15.39</v>
      </c>
    </row>
    <row r="24407" spans="1:4" x14ac:dyDescent="0.25">
      <c r="A24407" t="str">
        <f>HYPERLINK("https://www.773grp.com/globalSearch/5962-9757701Q2A/page-1", "5962-9757701Q2A")</f>
        <v>5962-9757701Q2A</v>
      </c>
      <c r="B24407" s="3" t="s">
        <v>90</v>
      </c>
      <c r="C24407" s="5">
        <v>19</v>
      </c>
      <c r="D24407" s="6">
        <v>15.41</v>
      </c>
    </row>
    <row r="24408" spans="1:4" x14ac:dyDescent="0.25">
      <c r="A24408" t="str">
        <f>HYPERLINK("https://www.773grp.com/globalSearch/THS1031CPW/page-1", "THS1031CPW")</f>
        <v>THS1031CPW</v>
      </c>
      <c r="B24408" s="3" t="s">
        <v>90</v>
      </c>
      <c r="C24408" s="5">
        <v>22</v>
      </c>
      <c r="D24408" s="6">
        <v>15.41</v>
      </c>
    </row>
    <row r="24409" spans="1:4" x14ac:dyDescent="0.25">
      <c r="A24409" t="str">
        <f>HYPERLINK("https://www.773grp.com/globalSearch/UC2625Q-70040/page-1", "UC2625Q-70040")</f>
        <v>UC2625Q-70040</v>
      </c>
      <c r="B24409" s="3" t="s">
        <v>90</v>
      </c>
      <c r="C24409" s="5">
        <v>75258</v>
      </c>
      <c r="D24409" s="6">
        <v>15.44</v>
      </c>
    </row>
    <row r="24410" spans="1:4" x14ac:dyDescent="0.25">
      <c r="A24410" t="str">
        <f>HYPERLINK("https://www.773grp.com/globalSearch/UC5170Q-80068/page-1", "UC5170Q-80068")</f>
        <v>UC5170Q-80068</v>
      </c>
      <c r="B24410" s="3" t="s">
        <v>90</v>
      </c>
      <c r="C24410" s="5">
        <v>41</v>
      </c>
      <c r="D24410" s="6">
        <v>15.44</v>
      </c>
    </row>
    <row r="24411" spans="1:4" x14ac:dyDescent="0.25">
      <c r="A24411" t="str">
        <f>HYPERLINK("https://www.773grp.com/globalSearch/BQ2084DBTR-V142/page-1", "BQ2084DBTR-V142")</f>
        <v>BQ2084DBTR-V142</v>
      </c>
      <c r="B24411" s="3" t="s">
        <v>90</v>
      </c>
      <c r="C24411" s="5">
        <v>12000</v>
      </c>
      <c r="D24411" s="6">
        <v>15.48</v>
      </c>
    </row>
    <row r="24412" spans="1:4" x14ac:dyDescent="0.25">
      <c r="A24412" t="str">
        <f>HYPERLINK("https://www.773grp.com/globalSearch/LM101ALB/page-1", "LM101ALB")</f>
        <v>LM101ALB</v>
      </c>
      <c r="B24412" s="3" t="s">
        <v>90</v>
      </c>
      <c r="C24412" s="5">
        <v>838</v>
      </c>
      <c r="D24412" s="6">
        <v>15.48</v>
      </c>
    </row>
    <row r="24413" spans="1:4" x14ac:dyDescent="0.25">
      <c r="A24413" t="str">
        <f>HYPERLINK("https://www.773grp.com/globalSearch/LMX2531LQ1146E-NOPB/page-1", "LMX2531LQ1146E-NOPB")</f>
        <v>LMX2531LQ1146E-NOPB</v>
      </c>
      <c r="B24413" s="3" t="s">
        <v>90</v>
      </c>
      <c r="C24413" s="5">
        <v>1000</v>
      </c>
      <c r="D24413" s="6">
        <v>15.48</v>
      </c>
    </row>
    <row r="24414" spans="1:4" x14ac:dyDescent="0.25">
      <c r="A24414" t="str">
        <f>HYPERLINK("https://www.773grp.com/globalSearch/PCI1520IPDVEP/page-1", "PCI1520IPDVEP")</f>
        <v>PCI1520IPDVEP</v>
      </c>
      <c r="B24414" s="3" t="s">
        <v>90</v>
      </c>
      <c r="C24414" s="5">
        <v>470</v>
      </c>
      <c r="D24414" s="6">
        <v>15.48</v>
      </c>
    </row>
    <row r="24415" spans="1:4" x14ac:dyDescent="0.25">
      <c r="A24415" t="str">
        <f>HYPERLINK("https://www.773grp.com/globalSearch/SN74ALS164DW/page-1", "SN74ALS164DW")</f>
        <v>SN74ALS164DW</v>
      </c>
      <c r="B24415" s="3" t="s">
        <v>90</v>
      </c>
      <c r="C24415" s="5">
        <v>25</v>
      </c>
      <c r="D24415" s="6">
        <v>15.48</v>
      </c>
    </row>
    <row r="24416" spans="1:4" x14ac:dyDescent="0.25">
      <c r="A24416" t="str">
        <f>HYPERLINK("https://www.773grp.com/globalSearch/TCM8031PN/page-1", "TCM8031PN")</f>
        <v>TCM8031PN</v>
      </c>
      <c r="B24416" s="3" t="s">
        <v>90</v>
      </c>
      <c r="C24416" s="5">
        <v>1741</v>
      </c>
      <c r="D24416" s="6">
        <v>15.48</v>
      </c>
    </row>
    <row r="24417" spans="1:4" x14ac:dyDescent="0.25">
      <c r="A24417" t="str">
        <f>HYPERLINK("https://www.773grp.com/globalSearch/TRF372017IRGZR/page-1", "TRF372017IRGZR")</f>
        <v>TRF372017IRGZR</v>
      </c>
      <c r="B24417" s="3" t="s">
        <v>90</v>
      </c>
      <c r="C24417" s="5">
        <v>5000</v>
      </c>
      <c r="D24417" s="6">
        <v>15.48</v>
      </c>
    </row>
    <row r="24418" spans="1:4" x14ac:dyDescent="0.25">
      <c r="A24418" t="str">
        <f>HYPERLINK("https://www.773grp.com/globalSearch/DCP012415DP-5/page-1", "DCP012415DP-5")</f>
        <v>DCP012415DP-5</v>
      </c>
      <c r="B24418" s="3" t="s">
        <v>90</v>
      </c>
      <c r="C24418" s="5">
        <v>559</v>
      </c>
      <c r="D24418" s="6">
        <v>15.49</v>
      </c>
    </row>
    <row r="24419" spans="1:4" x14ac:dyDescent="0.25">
      <c r="A24419" t="str">
        <f>HYPERLINK("https://www.773grp.com/globalSearch/DS16EV5110SQ-NOPB/page-1", "DS16EV5110SQ-NOPB")</f>
        <v>DS16EV5110SQ-NOPB</v>
      </c>
      <c r="B24419" s="3" t="s">
        <v>90</v>
      </c>
      <c r="C24419" s="5">
        <v>250</v>
      </c>
      <c r="D24419" s="6">
        <v>15.53</v>
      </c>
    </row>
    <row r="24420" spans="1:4" x14ac:dyDescent="0.25">
      <c r="A24420" t="str">
        <f>HYPERLINK("https://www.773grp.com/globalSearch/SNJ5401J/page-1", "SNJ5401J")</f>
        <v>SNJ5401J</v>
      </c>
      <c r="B24420" s="3" t="s">
        <v>90</v>
      </c>
      <c r="C24420" s="5">
        <v>64</v>
      </c>
      <c r="D24420" s="6">
        <v>15.53</v>
      </c>
    </row>
    <row r="24421" spans="1:4" x14ac:dyDescent="0.25">
      <c r="A24421" t="str">
        <f>HYPERLINK("https://www.773grp.com/globalSearch/TMS320F28016PZQ/page-1", "TMS320F28016PZQ")</f>
        <v>TMS320F28016PZQ</v>
      </c>
      <c r="B24421" s="3" t="s">
        <v>90</v>
      </c>
      <c r="C24421" s="5">
        <v>101</v>
      </c>
      <c r="D24421" s="6">
        <v>15.56</v>
      </c>
    </row>
    <row r="24422" spans="1:4" x14ac:dyDescent="0.25">
      <c r="A24422" t="str">
        <f>HYPERLINK("https://www.773grp.com/globalSearch/CDCLVP111VF/page-1", "CDCLVP111VF")</f>
        <v>CDCLVP111VF</v>
      </c>
      <c r="B24422" s="3" t="s">
        <v>90</v>
      </c>
      <c r="C24422" s="5">
        <v>5750</v>
      </c>
      <c r="D24422" s="6">
        <v>15.61</v>
      </c>
    </row>
    <row r="24423" spans="1:4" x14ac:dyDescent="0.25">
      <c r="A24423" t="str">
        <f>HYPERLINK("https://www.773grp.com/globalSearch/MSP430F6638IZQWT/page-1", "MSP430F6638IZQWT")</f>
        <v>MSP430F6638IZQWT</v>
      </c>
      <c r="B24423" s="3" t="s">
        <v>90</v>
      </c>
      <c r="C24423" s="5">
        <v>90</v>
      </c>
      <c r="D24423" s="6">
        <v>15.61</v>
      </c>
    </row>
    <row r="24424" spans="1:4" x14ac:dyDescent="0.25">
      <c r="A24424" t="str">
        <f>HYPERLINK("https://www.773grp.com/globalSearch/TL16CRK600APJM/page-1", "TL16CRK600APJM")</f>
        <v>TL16CRK600APJM</v>
      </c>
      <c r="B24424" s="3" t="s">
        <v>90</v>
      </c>
      <c r="C24424" s="5">
        <v>39501</v>
      </c>
      <c r="D24424" s="6">
        <v>15.64</v>
      </c>
    </row>
    <row r="24425" spans="1:4" x14ac:dyDescent="0.25">
      <c r="A24425" t="str">
        <f>HYPERLINK("https://www.773grp.com/globalSearch/TM4C123GH6ZRBT/page-1", "TM4C123GH6ZRBT")</f>
        <v>TM4C123GH6ZRBT</v>
      </c>
      <c r="B24425" s="3" t="s">
        <v>90</v>
      </c>
      <c r="C24425" s="5">
        <v>168</v>
      </c>
      <c r="D24425" s="6">
        <v>15.64</v>
      </c>
    </row>
    <row r="24426" spans="1:4" x14ac:dyDescent="0.25">
      <c r="A24426" t="str">
        <f>HYPERLINK("https://www.773grp.com/globalSearch/ADS1292IPBS/page-1", "ADS1292IPBS")</f>
        <v>ADS1292IPBS</v>
      </c>
      <c r="B24426" s="3" t="s">
        <v>90</v>
      </c>
      <c r="C24426" s="5">
        <v>242</v>
      </c>
      <c r="D24426" s="6">
        <v>15.7</v>
      </c>
    </row>
    <row r="24427" spans="1:4" x14ac:dyDescent="0.25">
      <c r="A24427" t="str">
        <f>HYPERLINK("https://www.773grp.com/globalSearch/ADS1292IRSMT/page-1", "ADS1292IRSMT")</f>
        <v>ADS1292IRSMT</v>
      </c>
      <c r="B24427" s="3" t="s">
        <v>90</v>
      </c>
      <c r="C24427" s="5">
        <v>250</v>
      </c>
      <c r="D24427" s="6">
        <v>15.7</v>
      </c>
    </row>
    <row r="24428" spans="1:4" x14ac:dyDescent="0.25">
      <c r="A24428" t="str">
        <f>HYPERLINK("https://www.773grp.com/globalSearch/LM109H/page-1", "LM109H")</f>
        <v>LM109H</v>
      </c>
      <c r="B24428" s="3" t="s">
        <v>90</v>
      </c>
      <c r="C24428" s="5">
        <v>272</v>
      </c>
      <c r="D24428" s="6">
        <v>15.7</v>
      </c>
    </row>
    <row r="24429" spans="1:4" x14ac:dyDescent="0.25">
      <c r="A24429" t="str">
        <f>HYPERLINK("https://www.773grp.com/globalSearch/SCAN15MB200TSQ-NOPB/page-1", "SCAN15MB200TSQ-NOPB")</f>
        <v>SCAN15MB200TSQ-NOPB</v>
      </c>
      <c r="B24429" s="3" t="s">
        <v>90</v>
      </c>
      <c r="C24429" s="5">
        <v>500</v>
      </c>
      <c r="D24429" s="6">
        <v>15.7</v>
      </c>
    </row>
    <row r="24430" spans="1:4" x14ac:dyDescent="0.25">
      <c r="A24430" t="str">
        <f>HYPERLINK("https://www.773grp.com/globalSearch/33R3750ACGT/page-1", "33R3750ACGT")</f>
        <v>33R3750ACGT</v>
      </c>
      <c r="B24430" s="3" t="s">
        <v>90</v>
      </c>
      <c r="C24430" s="5">
        <v>4359</v>
      </c>
      <c r="D24430" s="6">
        <v>15.75</v>
      </c>
    </row>
    <row r="24431" spans="1:4" x14ac:dyDescent="0.25">
      <c r="A24431" t="str">
        <f>HYPERLINK("https://www.773grp.com/globalSearch/BQ20Z655DBT/page-1", "BQ20Z655DBT")</f>
        <v>BQ20Z655DBT</v>
      </c>
      <c r="B24431" s="3" t="s">
        <v>90</v>
      </c>
      <c r="C24431" s="5">
        <v>138</v>
      </c>
      <c r="D24431" s="6">
        <v>15.75</v>
      </c>
    </row>
    <row r="24432" spans="1:4" x14ac:dyDescent="0.25">
      <c r="A24432" t="str">
        <f>HYPERLINK("https://www.773grp.com/globalSearch/OPA2132U/page-1", "OPA2132U")</f>
        <v>OPA2132U</v>
      </c>
      <c r="B24432" s="3" t="s">
        <v>90</v>
      </c>
      <c r="C24432" s="5">
        <v>1943</v>
      </c>
      <c r="D24432" s="6">
        <v>15.75</v>
      </c>
    </row>
    <row r="24433" spans="1:4" x14ac:dyDescent="0.25">
      <c r="A24433" t="str">
        <f>HYPERLINK("https://www.773grp.com/globalSearch/OPA2132U/page-1", "OPA2132U")</f>
        <v>OPA2132U</v>
      </c>
      <c r="B24433" s="3" t="s">
        <v>90</v>
      </c>
      <c r="C24433" s="5">
        <v>1575</v>
      </c>
      <c r="D24433" s="6">
        <v>15.75</v>
      </c>
    </row>
    <row r="24434" spans="1:4" x14ac:dyDescent="0.25">
      <c r="A24434" t="str">
        <f>HYPERLINK("https://www.773grp.com/globalSearch/OPA2132UG4/page-1", "OPA2132UG4")</f>
        <v>OPA2132UG4</v>
      </c>
      <c r="B24434" s="3" t="s">
        <v>90</v>
      </c>
      <c r="C24434" s="5">
        <v>60</v>
      </c>
      <c r="D24434" s="6">
        <v>15.75</v>
      </c>
    </row>
    <row r="24435" spans="1:4" x14ac:dyDescent="0.25">
      <c r="A24435" t="str">
        <f>HYPERLINK("https://www.773grp.com/globalSearch/OPA4350UAG4/page-1", "OPA4350UAG4")</f>
        <v>OPA4350UAG4</v>
      </c>
      <c r="B24435" s="3" t="s">
        <v>90</v>
      </c>
      <c r="C24435" s="5">
        <v>88</v>
      </c>
      <c r="D24435" s="6">
        <v>15.75</v>
      </c>
    </row>
    <row r="24436" spans="1:4" x14ac:dyDescent="0.25">
      <c r="A24436" t="str">
        <f>HYPERLINK("https://www.773grp.com/globalSearch/PCM2912PJT/page-1", "PCM2912PJT")</f>
        <v>PCM2912PJT</v>
      </c>
      <c r="B24436" s="3" t="s">
        <v>90</v>
      </c>
      <c r="C24436" s="5">
        <v>880</v>
      </c>
      <c r="D24436" s="6">
        <v>15.75</v>
      </c>
    </row>
    <row r="24437" spans="1:4" x14ac:dyDescent="0.25">
      <c r="A24437" t="str">
        <f>HYPERLINK("https://www.773grp.com/globalSearch/SN5451WA/page-1", "SN5451WA")</f>
        <v>SN5451WA</v>
      </c>
      <c r="B24437" s="3" t="s">
        <v>90</v>
      </c>
      <c r="C24437" s="5">
        <v>484</v>
      </c>
      <c r="D24437" s="6">
        <v>15.75</v>
      </c>
    </row>
    <row r="24438" spans="1:4" x14ac:dyDescent="0.25">
      <c r="A24438" t="str">
        <f>HYPERLINK("https://www.773grp.com/globalSearch/SN65LVDS387DGG/page-1", "SN65LVDS387DGG")</f>
        <v>SN65LVDS387DGG</v>
      </c>
      <c r="B24438" s="3" t="s">
        <v>90</v>
      </c>
      <c r="C24438" s="5">
        <v>3</v>
      </c>
      <c r="D24438" s="6">
        <v>15.75</v>
      </c>
    </row>
    <row r="24439" spans="1:4" x14ac:dyDescent="0.25">
      <c r="A24439" t="str">
        <f>HYPERLINK("https://www.773grp.com/globalSearch/SN75LVDT1422PAG/page-1", "SN75LVDT1422PAG")</f>
        <v>SN75LVDT1422PAG</v>
      </c>
      <c r="B24439" s="3" t="s">
        <v>90</v>
      </c>
      <c r="C24439" s="5">
        <v>1600</v>
      </c>
      <c r="D24439" s="6">
        <v>15.75</v>
      </c>
    </row>
    <row r="24440" spans="1:4" x14ac:dyDescent="0.25">
      <c r="A24440" t="str">
        <f>HYPERLINK("https://www.773grp.com/globalSearch/TLC2543IDBRQ1/page-1", "TLC2543IDBRQ1")</f>
        <v>TLC2543IDBRQ1</v>
      </c>
      <c r="B24440" s="3" t="s">
        <v>90</v>
      </c>
      <c r="C24440" s="5">
        <v>20000</v>
      </c>
      <c r="D24440" s="6">
        <v>15.75</v>
      </c>
    </row>
    <row r="24441" spans="1:4" x14ac:dyDescent="0.25">
      <c r="A24441" t="str">
        <f>HYPERLINK("https://www.773grp.com/globalSearch/TLV320AIC14IDBT-1/page-1", "TLV320AIC14IDBT-1")</f>
        <v>TLV320AIC14IDBT-1</v>
      </c>
      <c r="B24441" s="3" t="s">
        <v>90</v>
      </c>
      <c r="C24441" s="5">
        <v>6270</v>
      </c>
      <c r="D24441" s="6">
        <v>15.75</v>
      </c>
    </row>
    <row r="24442" spans="1:4" x14ac:dyDescent="0.25">
      <c r="A24442" t="str">
        <f>HYPERLINK("https://www.773grp.com/globalSearch/XTR106U-2K5/page-1", "XTR106U-2K5")</f>
        <v>XTR106U-2K5</v>
      </c>
      <c r="B24442" s="3" t="s">
        <v>90</v>
      </c>
      <c r="C24442" s="5">
        <v>12500</v>
      </c>
      <c r="D24442" s="6">
        <v>15.75</v>
      </c>
    </row>
    <row r="24443" spans="1:4" x14ac:dyDescent="0.25">
      <c r="A24443" t="str">
        <f>HYPERLINK("https://www.773grp.com/globalSearch/UCD3138064RGCT/page-1", "UCD3138064RGCT")</f>
        <v>UCD3138064RGCT</v>
      </c>
      <c r="B24443" s="3" t="s">
        <v>90</v>
      </c>
      <c r="C24443" s="5">
        <v>750</v>
      </c>
      <c r="D24443" s="6">
        <v>15.81</v>
      </c>
    </row>
    <row r="24444" spans="1:4" x14ac:dyDescent="0.25">
      <c r="A24444" t="str">
        <f>HYPERLINK("https://www.773grp.com/globalSearch/UCD3138064RGZT/page-1", "UCD3138064RGZT")</f>
        <v>UCD3138064RGZT</v>
      </c>
      <c r="B24444" s="3" t="s">
        <v>90</v>
      </c>
      <c r="C24444" s="5">
        <v>2000</v>
      </c>
      <c r="D24444" s="6">
        <v>15.81</v>
      </c>
    </row>
    <row r="24445" spans="1:4" x14ac:dyDescent="0.25">
      <c r="A24445" t="str">
        <f>HYPERLINK("https://www.773grp.com/globalSearch/TMS370C150AFNT/page-1", "TMS370C150AFNT")</f>
        <v>TMS370C150AFNT</v>
      </c>
      <c r="B24445" s="3" t="s">
        <v>90</v>
      </c>
      <c r="C24445" s="5">
        <v>1044</v>
      </c>
      <c r="D24445" s="6">
        <v>15.83</v>
      </c>
    </row>
    <row r="24446" spans="1:4" x14ac:dyDescent="0.25">
      <c r="A24446" t="str">
        <f>HYPERLINK("https://www.773grp.com/globalSearch/TP3070V-XG-NOPB/page-1", "TP3070V-XG-NOPB")</f>
        <v>TP3070V-XG-NOPB</v>
      </c>
      <c r="B24446" s="3" t="s">
        <v>90</v>
      </c>
      <c r="C24446" s="5">
        <v>2889</v>
      </c>
      <c r="D24446" s="6">
        <v>15.83</v>
      </c>
    </row>
    <row r="24447" spans="1:4" x14ac:dyDescent="0.25">
      <c r="A24447" t="str">
        <f>HYPERLINK("https://www.773grp.com/globalSearch/DRV8332DKD/page-1", "DRV8332DKD")</f>
        <v>DRV8332DKD</v>
      </c>
      <c r="B24447" s="3" t="s">
        <v>90</v>
      </c>
      <c r="C24447" s="5">
        <v>2349</v>
      </c>
      <c r="D24447" s="6">
        <v>15.9</v>
      </c>
    </row>
    <row r="24448" spans="1:4" x14ac:dyDescent="0.25">
      <c r="A24448" t="str">
        <f>HYPERLINK("https://www.773grp.com/globalSearch/INA2141UA-1K/page-1", "INA2141UA-1K")</f>
        <v>INA2141UA-1K</v>
      </c>
      <c r="B24448" s="3" t="s">
        <v>90</v>
      </c>
      <c r="C24448" s="5">
        <v>25000</v>
      </c>
      <c r="D24448" s="6">
        <v>15.9</v>
      </c>
    </row>
    <row r="24449" spans="1:4" x14ac:dyDescent="0.25">
      <c r="A24449" t="str">
        <f>HYPERLINK("https://www.773grp.com/globalSearch/LM3S6637-IQC50/page-1", "LM3S6637-IQC50")</f>
        <v>LM3S6637-IQC50</v>
      </c>
      <c r="B24449" s="3" t="s">
        <v>90</v>
      </c>
      <c r="C24449" s="5">
        <v>25</v>
      </c>
      <c r="D24449" s="6">
        <v>15.9</v>
      </c>
    </row>
    <row r="24450" spans="1:4" x14ac:dyDescent="0.25">
      <c r="A24450" t="str">
        <f>HYPERLINK("https://www.773grp.com/globalSearch/THS6032IDWPR/page-1", "THS6032IDWPR")</f>
        <v>THS6032IDWPR</v>
      </c>
      <c r="B24450" s="3" t="s">
        <v>90</v>
      </c>
      <c r="C24450" s="5">
        <v>8000</v>
      </c>
      <c r="D24450" s="6">
        <v>15.9</v>
      </c>
    </row>
    <row r="24451" spans="1:4" x14ac:dyDescent="0.25">
      <c r="A24451" t="str">
        <f>HYPERLINK("https://www.773grp.com/globalSearch/DS90CR285MTD/page-1", "DS90CR285MTD")</f>
        <v>DS90CR285MTD</v>
      </c>
      <c r="B24451" s="3" t="s">
        <v>90</v>
      </c>
      <c r="C24451" s="5">
        <v>34</v>
      </c>
      <c r="D24451" s="6">
        <v>15.95</v>
      </c>
    </row>
    <row r="24452" spans="1:4" x14ac:dyDescent="0.25">
      <c r="A24452" t="str">
        <f>HYPERLINK("https://www.773grp.com/globalSearch/SN74ACT7202LA25DV-M/page-1", "SN74ACT7202LA25DV-M")</f>
        <v>SN74ACT7202LA25DV-M</v>
      </c>
      <c r="B24452" s="3" t="s">
        <v>90</v>
      </c>
      <c r="C24452" s="5">
        <v>394</v>
      </c>
      <c r="D24452" s="6">
        <v>15.95</v>
      </c>
    </row>
    <row r="24453" spans="1:4" x14ac:dyDescent="0.25">
      <c r="A24453" t="str">
        <f>HYPERLINK("https://www.773grp.com/globalSearch/SN74ACT7202LA25RJR/page-1", "SN74ACT7202LA25RJR")</f>
        <v>SN74ACT7202LA25RJR</v>
      </c>
      <c r="B24453" s="3" t="s">
        <v>90</v>
      </c>
      <c r="C24453" s="5">
        <v>19000</v>
      </c>
      <c r="D24453" s="6">
        <v>15.95</v>
      </c>
    </row>
    <row r="24454" spans="1:4" x14ac:dyDescent="0.25">
      <c r="A24454" t="str">
        <f>HYPERLINK("https://www.773grp.com/globalSearch/TUSB3200ACPAH/page-1", "TUSB3200ACPAH")</f>
        <v>TUSB3200ACPAH</v>
      </c>
      <c r="B24454" s="3" t="s">
        <v>90</v>
      </c>
      <c r="C24454" s="5">
        <v>664</v>
      </c>
      <c r="D24454" s="6">
        <v>15.95</v>
      </c>
    </row>
    <row r="24455" spans="1:4" x14ac:dyDescent="0.25">
      <c r="A24455" t="str">
        <f>HYPERLINK("https://www.773grp.com/globalSearch/TUSB3200CPAH/page-1", "TUSB3200CPAH")</f>
        <v>TUSB3200CPAH</v>
      </c>
      <c r="B24455" s="3" t="s">
        <v>90</v>
      </c>
      <c r="C24455" s="5">
        <v>42</v>
      </c>
      <c r="D24455" s="6">
        <v>15.95</v>
      </c>
    </row>
    <row r="24456" spans="1:4" x14ac:dyDescent="0.25">
      <c r="A24456" t="str">
        <f>HYPERLINK("https://www.773grp.com/globalSearch/CD54HC165F3A/page-1", "CD54HC165F3A")</f>
        <v>CD54HC165F3A</v>
      </c>
      <c r="B24456" s="3" t="s">
        <v>90</v>
      </c>
      <c r="C24456" s="5">
        <v>45</v>
      </c>
      <c r="D24456" s="6">
        <v>15.98</v>
      </c>
    </row>
    <row r="24457" spans="1:4" x14ac:dyDescent="0.25">
      <c r="A24457" t="str">
        <f>HYPERLINK("https://www.773grp.com/globalSearch/LM185H-2.5/page-1", "LM185H-2.5")</f>
        <v>LM185H-2.5</v>
      </c>
      <c r="B24457" s="3" t="s">
        <v>90</v>
      </c>
      <c r="C24457" s="5">
        <v>90</v>
      </c>
      <c r="D24457" s="6">
        <v>15.98</v>
      </c>
    </row>
    <row r="24458" spans="1:4" x14ac:dyDescent="0.25">
      <c r="A24458" t="str">
        <f>HYPERLINK("https://www.773grp.com/globalSearch/TSLM1100/page-1", "TSLM1100")</f>
        <v>TSLM1100</v>
      </c>
      <c r="B24458" s="3" t="s">
        <v>90</v>
      </c>
      <c r="C24458" s="5">
        <v>92558</v>
      </c>
      <c r="D24458" s="6">
        <v>16</v>
      </c>
    </row>
    <row r="24459" spans="1:4" x14ac:dyDescent="0.25">
      <c r="A24459" t="str">
        <f>HYPERLINK("https://www.773grp.com/globalSearch/ADS130E08IPAG/page-1", "ADS130E08IPAG")</f>
        <v>ADS130E08IPAG</v>
      </c>
      <c r="B24459" s="3" t="s">
        <v>90</v>
      </c>
      <c r="C24459" s="5">
        <v>948</v>
      </c>
      <c r="D24459" s="6">
        <v>16.04</v>
      </c>
    </row>
    <row r="24460" spans="1:4" x14ac:dyDescent="0.25">
      <c r="A24460" t="str">
        <f>HYPERLINK("https://www.773grp.com/globalSearch/MSP430F47166IPZ/page-1", "MSP430F47166IPZ")</f>
        <v>MSP430F47166IPZ</v>
      </c>
      <c r="B24460" s="3" t="s">
        <v>90</v>
      </c>
      <c r="C24460" s="5">
        <v>540</v>
      </c>
      <c r="D24460" s="6">
        <v>16.04</v>
      </c>
    </row>
    <row r="24461" spans="1:4" x14ac:dyDescent="0.25">
      <c r="A24461" t="str">
        <f>HYPERLINK("https://www.773grp.com/globalSearch/MSP430F47166IPZR/page-1", "MSP430F47166IPZR")</f>
        <v>MSP430F47166IPZR</v>
      </c>
      <c r="B24461" s="3" t="s">
        <v>90</v>
      </c>
      <c r="C24461" s="5">
        <v>1226</v>
      </c>
      <c r="D24461" s="6">
        <v>16.04</v>
      </c>
    </row>
    <row r="24462" spans="1:4" x14ac:dyDescent="0.25">
      <c r="A24462" t="str">
        <f>HYPERLINK("https://www.773grp.com/globalSearch/OPA211IDGKT/page-1", "OPA211IDGKT")</f>
        <v>OPA211IDGKT</v>
      </c>
      <c r="B24462" s="3" t="s">
        <v>90</v>
      </c>
      <c r="C24462" s="5">
        <v>500</v>
      </c>
      <c r="D24462" s="6">
        <v>16.04</v>
      </c>
    </row>
    <row r="24463" spans="1:4" x14ac:dyDescent="0.25">
      <c r="A24463" t="str">
        <f>HYPERLINK("https://www.773grp.com/globalSearch/TLC2543IDB/page-1", "TLC2543IDB")</f>
        <v>TLC2543IDB</v>
      </c>
      <c r="B24463" s="3" t="s">
        <v>90</v>
      </c>
      <c r="C24463" s="5">
        <v>70</v>
      </c>
      <c r="D24463" s="6">
        <v>16.04</v>
      </c>
    </row>
    <row r="24464" spans="1:4" x14ac:dyDescent="0.25">
      <c r="A24464" t="str">
        <f>HYPERLINK("https://www.773grp.com/globalSearch/TLC2543IDWG4/page-1", "TLC2543IDWG4")</f>
        <v>TLC2543IDWG4</v>
      </c>
      <c r="B24464" s="3" t="s">
        <v>90</v>
      </c>
      <c r="C24464" s="5">
        <v>45</v>
      </c>
      <c r="D24464" s="6">
        <v>16.04</v>
      </c>
    </row>
    <row r="24465" spans="1:4" x14ac:dyDescent="0.25">
      <c r="A24465" t="str">
        <f>HYPERLINK("https://www.773grp.com/globalSearch/TLV320AIC3262IYZFT/page-1", "TLV320AIC3262IYZFT")</f>
        <v>TLV320AIC3262IYZFT</v>
      </c>
      <c r="B24465" s="3" t="s">
        <v>90</v>
      </c>
      <c r="C24465" s="5">
        <v>1150</v>
      </c>
      <c r="D24465" s="6">
        <v>16.04</v>
      </c>
    </row>
    <row r="24466" spans="1:4" x14ac:dyDescent="0.25">
      <c r="A24466" t="str">
        <f>HYPERLINK("https://www.773grp.com/globalSearch/TM4C123FH6PMT/page-1", "TM4C123FH6PMT")</f>
        <v>TM4C123FH6PMT</v>
      </c>
      <c r="B24466" s="3" t="s">
        <v>90</v>
      </c>
      <c r="C24466" s="5">
        <v>160</v>
      </c>
      <c r="D24466" s="6">
        <v>16.04</v>
      </c>
    </row>
    <row r="24467" spans="1:4" x14ac:dyDescent="0.25">
      <c r="A24467" t="str">
        <f>HYPERLINK("https://www.773grp.com/globalSearch/TMS320F28PLC83PNT/page-1", "TMS320F28PLC83PNT")</f>
        <v>TMS320F28PLC83PNT</v>
      </c>
      <c r="B24467" s="3" t="s">
        <v>90</v>
      </c>
      <c r="C24467" s="5">
        <v>5000</v>
      </c>
      <c r="D24467" s="6">
        <v>16.04</v>
      </c>
    </row>
    <row r="24468" spans="1:4" x14ac:dyDescent="0.25">
      <c r="A24468" t="str">
        <f>HYPERLINK("https://www.773grp.com/globalSearch/TMS320F28PLC83PNTR/page-1", "TMS320F28PLC83PNTR")</f>
        <v>TMS320F28PLC83PNTR</v>
      </c>
      <c r="B24468" s="3" t="s">
        <v>90</v>
      </c>
      <c r="C24468" s="5">
        <v>1000</v>
      </c>
      <c r="D24468" s="6">
        <v>16.04</v>
      </c>
    </row>
    <row r="24469" spans="1:4" x14ac:dyDescent="0.25">
      <c r="A24469" t="str">
        <f>HYPERLINK("https://www.773grp.com/globalSearch/TPS2384APAP/page-1", "TPS2384APAP")</f>
        <v>TPS2384APAP</v>
      </c>
      <c r="B24469" s="3" t="s">
        <v>90</v>
      </c>
      <c r="C24469" s="5">
        <v>620</v>
      </c>
      <c r="D24469" s="6">
        <v>16.04</v>
      </c>
    </row>
    <row r="24470" spans="1:4" x14ac:dyDescent="0.25">
      <c r="A24470" t="str">
        <f>HYPERLINK("https://www.773grp.com/globalSearch/TPS2384PAP/page-1", "TPS2384PAP")</f>
        <v>TPS2384PAP</v>
      </c>
      <c r="B24470" s="3" t="s">
        <v>90</v>
      </c>
      <c r="C24470" s="5">
        <v>160</v>
      </c>
      <c r="D24470" s="6">
        <v>16.04</v>
      </c>
    </row>
    <row r="24471" spans="1:4" x14ac:dyDescent="0.25">
      <c r="A24471" t="str">
        <f>HYPERLINK("https://www.773grp.com/globalSearch/TPS2384PAPG4/page-1", "TPS2384PAPG4")</f>
        <v>TPS2384PAPG4</v>
      </c>
      <c r="B24471" s="3" t="s">
        <v>90</v>
      </c>
      <c r="C24471" s="5">
        <v>130</v>
      </c>
      <c r="D24471" s="6">
        <v>16.04</v>
      </c>
    </row>
    <row r="24472" spans="1:4" x14ac:dyDescent="0.25">
      <c r="A24472" t="str">
        <f>HYPERLINK("https://www.773grp.com/globalSearch/TPS658640ZGUT/page-1", "TPS658640ZGUT")</f>
        <v>TPS658640ZGUT</v>
      </c>
      <c r="B24472" s="3" t="s">
        <v>90</v>
      </c>
      <c r="C24472" s="5">
        <v>250</v>
      </c>
      <c r="D24472" s="6">
        <v>16.04</v>
      </c>
    </row>
    <row r="24473" spans="1:4" x14ac:dyDescent="0.25">
      <c r="A24473" t="str">
        <f>HYPERLINK("https://www.773grp.com/globalSearch/TPS658640ZQZT/page-1", "TPS658640ZQZT")</f>
        <v>TPS658640ZQZT</v>
      </c>
      <c r="B24473" s="3" t="s">
        <v>90</v>
      </c>
      <c r="C24473" s="5">
        <v>294</v>
      </c>
      <c r="D24473" s="6">
        <v>16.04</v>
      </c>
    </row>
    <row r="24474" spans="1:4" x14ac:dyDescent="0.25">
      <c r="A24474" t="str">
        <f>HYPERLINK("https://www.773grp.com/globalSearch/TPS658643ZGUT/page-1", "TPS658643ZGUT")</f>
        <v>TPS658643ZGUT</v>
      </c>
      <c r="B24474" s="3" t="s">
        <v>90</v>
      </c>
      <c r="C24474" s="5">
        <v>298</v>
      </c>
      <c r="D24474" s="6">
        <v>16.04</v>
      </c>
    </row>
    <row r="24475" spans="1:4" x14ac:dyDescent="0.25">
      <c r="A24475" t="str">
        <f>HYPERLINK("https://www.773grp.com/globalSearch/TPS658643ZQZT/page-1", "TPS658643ZQZT")</f>
        <v>TPS658643ZQZT</v>
      </c>
      <c r="B24475" s="3" t="s">
        <v>90</v>
      </c>
      <c r="C24475" s="5">
        <v>300</v>
      </c>
      <c r="D24475" s="6">
        <v>16.04</v>
      </c>
    </row>
    <row r="24476" spans="1:4" x14ac:dyDescent="0.25">
      <c r="A24476" t="str">
        <f>HYPERLINK("https://www.773grp.com/globalSearch/TRF370315IRGET/page-1", "TRF370315IRGET")</f>
        <v>TRF370315IRGET</v>
      </c>
      <c r="B24476" s="3" t="s">
        <v>90</v>
      </c>
      <c r="C24476" s="5">
        <v>250</v>
      </c>
      <c r="D24476" s="6">
        <v>16.04</v>
      </c>
    </row>
    <row r="24477" spans="1:4" x14ac:dyDescent="0.25">
      <c r="A24477" t="str">
        <f>HYPERLINK("https://www.773grp.com/globalSearch/TRF370333IRGET/page-1", "TRF370333IRGET")</f>
        <v>TRF370333IRGET</v>
      </c>
      <c r="B24477" s="3" t="s">
        <v>90</v>
      </c>
      <c r="C24477" s="5">
        <v>6000</v>
      </c>
      <c r="D24477" s="6">
        <v>16.04</v>
      </c>
    </row>
    <row r="24478" spans="1:4" x14ac:dyDescent="0.25">
      <c r="A24478" t="str">
        <f>HYPERLINK("https://www.773grp.com/globalSearch/8512401EA/page-1", "8512401EA")</f>
        <v>8512401EA</v>
      </c>
      <c r="B24478" s="3" t="s">
        <v>90</v>
      </c>
      <c r="C24478" s="5">
        <v>300</v>
      </c>
      <c r="D24478" s="6">
        <v>16.059999999999999</v>
      </c>
    </row>
    <row r="24479" spans="1:4" x14ac:dyDescent="0.25">
      <c r="A24479" t="str">
        <f>HYPERLINK("https://www.773grp.com/globalSearch/SN74HSTL168220GGR/page-1", "SN74HSTL168220GGR")</f>
        <v>SN74HSTL168220GGR</v>
      </c>
      <c r="B24479" s="3" t="s">
        <v>90</v>
      </c>
      <c r="C24479" s="5">
        <v>2000</v>
      </c>
      <c r="D24479" s="6">
        <v>16.059999999999999</v>
      </c>
    </row>
    <row r="24480" spans="1:4" x14ac:dyDescent="0.25">
      <c r="A24480" t="str">
        <f>HYPERLINK("https://www.773grp.com/globalSearch/SNJ54AC00FK/page-1", "SNJ54AC00FK")</f>
        <v>SNJ54AC00FK</v>
      </c>
      <c r="B24480" s="3" t="s">
        <v>90</v>
      </c>
      <c r="C24480" s="5">
        <v>349</v>
      </c>
      <c r="D24480" s="6">
        <v>16.059999999999999</v>
      </c>
    </row>
    <row r="24481" spans="1:4" x14ac:dyDescent="0.25">
      <c r="A24481" t="str">
        <f>HYPERLINK("https://www.773grp.com/globalSearch/TM4C123GH6PMT/page-1", "TM4C123GH6PMT")</f>
        <v>TM4C123GH6PMT</v>
      </c>
      <c r="B24481" s="3" t="s">
        <v>90</v>
      </c>
      <c r="C24481" s="5">
        <v>160</v>
      </c>
      <c r="D24481" s="6">
        <v>16.059999999999999</v>
      </c>
    </row>
    <row r="24482" spans="1:4" x14ac:dyDescent="0.25">
      <c r="A24482" t="str">
        <f>HYPERLINK("https://www.773grp.com/globalSearch/DAC7545KU-1/page-1", "DAC7545KU-1")</f>
        <v>DAC7545KU-1</v>
      </c>
      <c r="B24482" s="3" t="s">
        <v>90</v>
      </c>
      <c r="C24482" s="5">
        <v>352</v>
      </c>
      <c r="D24482" s="6">
        <v>16.11</v>
      </c>
    </row>
    <row r="24483" spans="1:4" x14ac:dyDescent="0.25">
      <c r="A24483" t="str">
        <f>HYPERLINK("https://www.773grp.com/globalSearch/CD339DW/page-1", "CD339DW")</f>
        <v>CD339DW</v>
      </c>
      <c r="B24483" s="3" t="s">
        <v>90</v>
      </c>
      <c r="C24483" s="5">
        <v>1175</v>
      </c>
      <c r="D24483" s="6">
        <v>16.149999999999999</v>
      </c>
    </row>
    <row r="24484" spans="1:4" x14ac:dyDescent="0.25">
      <c r="A24484" t="str">
        <f>HYPERLINK("https://www.773grp.com/globalSearch/DS92LX2122SQE-NOPB/page-1", "DS92LX2122SQE-NOPB")</f>
        <v>DS92LX2122SQE-NOPB</v>
      </c>
      <c r="B24484" s="3" t="s">
        <v>90</v>
      </c>
      <c r="C24484" s="5">
        <v>3750</v>
      </c>
      <c r="D24484" s="6">
        <v>16.149999999999999</v>
      </c>
    </row>
    <row r="24485" spans="1:4" x14ac:dyDescent="0.25">
      <c r="A24485" t="str">
        <f>HYPERLINK("https://www.773grp.com/globalSearch/74ALVCH16841DLR/page-1", "74ALVCH16841DLR")</f>
        <v>74ALVCH16841DLR</v>
      </c>
      <c r="B24485" s="3" t="s">
        <v>90</v>
      </c>
      <c r="C24485" s="5">
        <v>6000</v>
      </c>
      <c r="D24485" s="6">
        <v>16.16</v>
      </c>
    </row>
    <row r="24486" spans="1:4" x14ac:dyDescent="0.25">
      <c r="A24486" t="str">
        <f>HYPERLINK("https://www.773grp.com/globalSearch/CDCLVP1208RHDT/page-1", "CDCLVP1208RHDT")</f>
        <v>CDCLVP1208RHDT</v>
      </c>
      <c r="B24486" s="3" t="s">
        <v>90</v>
      </c>
      <c r="C24486" s="5">
        <v>3440</v>
      </c>
      <c r="D24486" s="6">
        <v>16.16</v>
      </c>
    </row>
    <row r="24487" spans="1:4" x14ac:dyDescent="0.25">
      <c r="A24487" t="str">
        <f>HYPERLINK("https://www.773grp.com/globalSearch/JM38510-00602BEA/page-1", "JM38510-00602BEA")</f>
        <v>JM38510-00602BEA</v>
      </c>
      <c r="B24487" s="3" t="s">
        <v>90</v>
      </c>
      <c r="C24487" s="5">
        <v>1831</v>
      </c>
      <c r="D24487" s="6">
        <v>16.16</v>
      </c>
    </row>
    <row r="24488" spans="1:4" x14ac:dyDescent="0.25">
      <c r="A24488" t="str">
        <f>HYPERLINK("https://www.773grp.com/globalSearch/LM3S2B93-IQC80-C3/page-1", "LM3S2B93-IQC80-C3")</f>
        <v>LM3S2B93-IQC80-C3</v>
      </c>
      <c r="B24488" s="3" t="s">
        <v>90</v>
      </c>
      <c r="C24488" s="5">
        <v>202</v>
      </c>
      <c r="D24488" s="6">
        <v>16.16</v>
      </c>
    </row>
    <row r="24489" spans="1:4" x14ac:dyDescent="0.25">
      <c r="A24489" t="str">
        <f>HYPERLINK("https://www.773grp.com/globalSearch/LMK00308SQE-NOPB/page-1", "LMK00308SQE-NOPB")</f>
        <v>LMK00308SQE-NOPB</v>
      </c>
      <c r="B24489" s="3" t="s">
        <v>90</v>
      </c>
      <c r="C24489" s="5">
        <v>1000</v>
      </c>
      <c r="D24489" s="6">
        <v>16.16</v>
      </c>
    </row>
    <row r="24490" spans="1:4" x14ac:dyDescent="0.25">
      <c r="A24490" t="str">
        <f>HYPERLINK("https://www.773grp.com/globalSearch/OPA547F-500/page-1", "OPA547F-500")</f>
        <v>OPA547F-500</v>
      </c>
      <c r="B24490" s="3" t="s">
        <v>90</v>
      </c>
      <c r="C24490" s="5">
        <v>5301</v>
      </c>
      <c r="D24490" s="6">
        <v>16.16</v>
      </c>
    </row>
    <row r="24491" spans="1:4" x14ac:dyDescent="0.25">
      <c r="A24491" t="str">
        <f>HYPERLINK("https://www.773grp.com/globalSearch/OPA547F-500G3/page-1", "OPA547F-500G3")</f>
        <v>OPA547F-500G3</v>
      </c>
      <c r="B24491" s="3" t="s">
        <v>90</v>
      </c>
      <c r="C24491" s="5">
        <v>124</v>
      </c>
      <c r="D24491" s="6">
        <v>16.16</v>
      </c>
    </row>
    <row r="24492" spans="1:4" x14ac:dyDescent="0.25">
      <c r="A24492" t="str">
        <f>HYPERLINK("https://www.773grp.com/globalSearch/OPA547T/page-1", "OPA547T")</f>
        <v>OPA547T</v>
      </c>
      <c r="B24492" s="3" t="s">
        <v>90</v>
      </c>
      <c r="C24492" s="5">
        <v>5800</v>
      </c>
      <c r="D24492" s="6">
        <v>16.16</v>
      </c>
    </row>
    <row r="24493" spans="1:4" x14ac:dyDescent="0.25">
      <c r="A24493" t="str">
        <f>HYPERLINK("https://www.773grp.com/globalSearch/OPA547T/page-1", "OPA547T")</f>
        <v>OPA547T</v>
      </c>
      <c r="B24493" s="3" t="s">
        <v>90</v>
      </c>
      <c r="C24493" s="5">
        <v>3150</v>
      </c>
      <c r="D24493" s="6">
        <v>16.16</v>
      </c>
    </row>
    <row r="24494" spans="1:4" x14ac:dyDescent="0.25">
      <c r="A24494" t="str">
        <f>HYPERLINK("https://www.773grp.com/globalSearch/RF430F5978IRGCR/page-1", "RF430F5978IRGCR")</f>
        <v>RF430F5978IRGCR</v>
      </c>
      <c r="B24494" s="3" t="s">
        <v>90</v>
      </c>
      <c r="C24494" s="5">
        <v>9448</v>
      </c>
      <c r="D24494" s="6">
        <v>16.16</v>
      </c>
    </row>
    <row r="24495" spans="1:4" x14ac:dyDescent="0.25">
      <c r="A24495" t="str">
        <f>HYPERLINK("https://www.773grp.com/globalSearch/TLE2161MLB/page-1", "TLE2161MLB")</f>
        <v>TLE2161MLB</v>
      </c>
      <c r="B24495" s="3" t="s">
        <v>90</v>
      </c>
      <c r="C24495" s="5">
        <v>183</v>
      </c>
      <c r="D24495" s="6">
        <v>16.16</v>
      </c>
    </row>
    <row r="24496" spans="1:4" x14ac:dyDescent="0.25">
      <c r="A24496" t="str">
        <f>HYPERLINK("https://www.773grp.com/globalSearch/TLV5638QD/page-1", "TLV5638QD")</f>
        <v>TLV5638QD</v>
      </c>
      <c r="B24496" s="3" t="s">
        <v>90</v>
      </c>
      <c r="C24496" s="5">
        <v>3210</v>
      </c>
      <c r="D24496" s="6">
        <v>16.16</v>
      </c>
    </row>
    <row r="24497" spans="1:4" x14ac:dyDescent="0.25">
      <c r="A24497" t="str">
        <f>HYPERLINK("https://www.773grp.com/globalSearch/TLV5638QDG4/page-1", "TLV5638QDG4")</f>
        <v>TLV5638QDG4</v>
      </c>
      <c r="B24497" s="3" t="s">
        <v>90</v>
      </c>
      <c r="C24497" s="5">
        <v>11100</v>
      </c>
      <c r="D24497" s="6">
        <v>16.16</v>
      </c>
    </row>
    <row r="24498" spans="1:4" x14ac:dyDescent="0.25">
      <c r="A24498" t="str">
        <f>HYPERLINK("https://www.773grp.com/globalSearch/TLV5638QDRG4/page-1", "TLV5638QDRG4")</f>
        <v>TLV5638QDRG4</v>
      </c>
      <c r="B24498" s="3" t="s">
        <v>90</v>
      </c>
      <c r="C24498" s="5">
        <v>27500</v>
      </c>
      <c r="D24498" s="6">
        <v>16.16</v>
      </c>
    </row>
    <row r="24499" spans="1:4" x14ac:dyDescent="0.25">
      <c r="A24499" t="str">
        <f>HYPERLINK("https://www.773grp.com/globalSearch/TPS2202IDF/page-1", "TPS2202IDF")</f>
        <v>TPS2202IDF</v>
      </c>
      <c r="B24499" s="3" t="s">
        <v>90</v>
      </c>
      <c r="C24499" s="5">
        <v>375</v>
      </c>
      <c r="D24499" s="6">
        <v>16.16</v>
      </c>
    </row>
    <row r="24500" spans="1:4" x14ac:dyDescent="0.25">
      <c r="A24500" t="str">
        <f>HYPERLINK("https://www.773grp.com/globalSearch/TPS220AIDF/page-1", "TPS220AIDF")</f>
        <v>TPS220AIDF</v>
      </c>
      <c r="B24500" s="3" t="s">
        <v>90</v>
      </c>
      <c r="C24500" s="5">
        <v>290</v>
      </c>
      <c r="D24500" s="6">
        <v>16.16</v>
      </c>
    </row>
    <row r="24501" spans="1:4" x14ac:dyDescent="0.25">
      <c r="A24501" t="str">
        <f>HYPERLINK("https://www.773grp.com/globalSearch/8404302CA/page-1", "8404302CA")</f>
        <v>8404302CA</v>
      </c>
      <c r="B24501" s="3" t="s">
        <v>90</v>
      </c>
      <c r="C24501" s="5">
        <v>188</v>
      </c>
      <c r="D24501" s="6">
        <v>16.2</v>
      </c>
    </row>
    <row r="24502" spans="1:4" x14ac:dyDescent="0.25">
      <c r="A24502" t="str">
        <f>HYPERLINK("https://www.773grp.com/globalSearch/TL051AMJGB/page-1", "TL051AMJGB")</f>
        <v>TL051AMJGB</v>
      </c>
      <c r="B24502" s="3" t="s">
        <v>90</v>
      </c>
      <c r="C24502" s="5">
        <v>50</v>
      </c>
      <c r="D24502" s="6">
        <v>16.2</v>
      </c>
    </row>
    <row r="24503" spans="1:4" x14ac:dyDescent="0.25">
      <c r="A24503" t="str">
        <f>HYPERLINK("https://www.773grp.com/globalSearch/ADS1292RIRSMT/page-1", "ADS1292RIRSMT")</f>
        <v>ADS1292RIRSMT</v>
      </c>
      <c r="B24503" s="3" t="s">
        <v>90</v>
      </c>
      <c r="C24503" s="5">
        <v>96</v>
      </c>
      <c r="D24503" s="6">
        <v>16.25</v>
      </c>
    </row>
    <row r="24504" spans="1:4" x14ac:dyDescent="0.25">
      <c r="A24504" t="str">
        <f>HYPERLINK("https://www.773grp.com/globalSearch/SN74ACT7201LA20R2/page-1", "SN74ACT7201LA20R2")</f>
        <v>SN74ACT7201LA20R2</v>
      </c>
      <c r="B24504" s="3" t="s">
        <v>90</v>
      </c>
      <c r="C24504" s="5">
        <v>288</v>
      </c>
      <c r="D24504" s="6">
        <v>16.25</v>
      </c>
    </row>
    <row r="24505" spans="1:4" x14ac:dyDescent="0.25">
      <c r="A24505" t="str">
        <f>HYPERLINK("https://www.773grp.com/globalSearch/TL084MJ/page-1", "TL084MJ")</f>
        <v>TL084MJ</v>
      </c>
      <c r="B24505" s="3" t="s">
        <v>90</v>
      </c>
      <c r="C24505" s="5">
        <v>107</v>
      </c>
      <c r="D24505" s="6">
        <v>16.29</v>
      </c>
    </row>
    <row r="24506" spans="1:4" x14ac:dyDescent="0.25">
      <c r="A24506" t="str">
        <f>HYPERLINK("https://www.773grp.com/globalSearch/INA111AU/page-1", "INA111AU")</f>
        <v>INA111AU</v>
      </c>
      <c r="B24506" s="3" t="s">
        <v>90</v>
      </c>
      <c r="C24506" s="5">
        <v>37200</v>
      </c>
      <c r="D24506" s="6">
        <v>16.309999999999999</v>
      </c>
    </row>
    <row r="24507" spans="1:4" x14ac:dyDescent="0.25">
      <c r="A24507" t="str">
        <f>HYPERLINK("https://www.773grp.com/globalSearch/INA111AU/page-1", "INA111AU")</f>
        <v>INA111AU</v>
      </c>
      <c r="B24507" s="3" t="s">
        <v>90</v>
      </c>
      <c r="C24507" s="5">
        <v>1680</v>
      </c>
      <c r="D24507" s="6">
        <v>16.309999999999999</v>
      </c>
    </row>
    <row r="24508" spans="1:4" x14ac:dyDescent="0.25">
      <c r="A24508" t="str">
        <f>HYPERLINK("https://www.773grp.com/globalSearch/INA111AUE4/page-1", "INA111AUE4")</f>
        <v>INA111AUE4</v>
      </c>
      <c r="B24508" s="3" t="s">
        <v>90</v>
      </c>
      <c r="C24508" s="5">
        <v>22</v>
      </c>
      <c r="D24508" s="6">
        <v>16.309999999999999</v>
      </c>
    </row>
    <row r="24509" spans="1:4" x14ac:dyDescent="0.25">
      <c r="A24509" t="str">
        <f>HYPERLINK("https://www.773grp.com/globalSearch/INA114AU/page-1", "INA114AU")</f>
        <v>INA114AU</v>
      </c>
      <c r="B24509" s="3" t="s">
        <v>90</v>
      </c>
      <c r="C24509" s="5">
        <v>17280</v>
      </c>
      <c r="D24509" s="6">
        <v>16.309999999999999</v>
      </c>
    </row>
    <row r="24510" spans="1:4" x14ac:dyDescent="0.25">
      <c r="A24510" t="str">
        <f>HYPERLINK("https://www.773grp.com/globalSearch/INA114AU/page-1", "INA114AU")</f>
        <v>INA114AU</v>
      </c>
      <c r="B24510" s="3" t="s">
        <v>90</v>
      </c>
      <c r="C24510" s="5">
        <v>2400</v>
      </c>
      <c r="D24510" s="6">
        <v>16.309999999999999</v>
      </c>
    </row>
    <row r="24511" spans="1:4" x14ac:dyDescent="0.25">
      <c r="A24511" t="str">
        <f>HYPERLINK("https://www.773grp.com/globalSearch/SN65LVCP402RGER/page-1", "SN65LVCP402RGER")</f>
        <v>SN65LVCP402RGER</v>
      </c>
      <c r="B24511" s="3" t="s">
        <v>90</v>
      </c>
      <c r="C24511" s="5">
        <v>9000</v>
      </c>
      <c r="D24511" s="6">
        <v>16.309999999999999</v>
      </c>
    </row>
    <row r="24512" spans="1:4" x14ac:dyDescent="0.25">
      <c r="A24512" t="str">
        <f>HYPERLINK("https://www.773grp.com/globalSearch/TMS320F28035RSHS/page-1", "TMS320F28035RSHS")</f>
        <v>TMS320F28035RSHS</v>
      </c>
      <c r="B24512" s="3" t="s">
        <v>90</v>
      </c>
      <c r="C24512" s="5">
        <v>1312</v>
      </c>
      <c r="D24512" s="6">
        <v>16.309999999999999</v>
      </c>
    </row>
    <row r="24513" spans="1:4" x14ac:dyDescent="0.25">
      <c r="A24513" t="str">
        <f>HYPERLINK("https://www.773grp.com/globalSearch/32F8104-CNR/page-1", "32F8104-CNR")</f>
        <v>32F8104-CNR</v>
      </c>
      <c r="B24513" s="3" t="s">
        <v>90</v>
      </c>
      <c r="C24513" s="5">
        <v>8699</v>
      </c>
      <c r="D24513" s="6">
        <v>16.34</v>
      </c>
    </row>
    <row r="24514" spans="1:4" x14ac:dyDescent="0.25">
      <c r="A24514" t="str">
        <f>HYPERLINK("https://www.773grp.com/globalSearch/CD4013BF/page-1", "CD4013BF")</f>
        <v>CD4013BF</v>
      </c>
      <c r="B24514" s="3" t="s">
        <v>90</v>
      </c>
      <c r="C24514" s="5">
        <v>4</v>
      </c>
      <c r="D24514" s="6">
        <v>16.34</v>
      </c>
    </row>
    <row r="24515" spans="1:4" x14ac:dyDescent="0.25">
      <c r="A24515" t="str">
        <f>HYPERLINK("https://www.773grp.com/globalSearch/LM136H-2.5/page-1", "LM136H-2.5")</f>
        <v>LM136H-2.5</v>
      </c>
      <c r="B24515" s="3" t="s">
        <v>90</v>
      </c>
      <c r="C24515" s="5">
        <v>1098</v>
      </c>
      <c r="D24515" s="6">
        <v>16.34</v>
      </c>
    </row>
    <row r="24516" spans="1:4" x14ac:dyDescent="0.25">
      <c r="A24516" t="str">
        <f>HYPERLINK("https://www.773grp.com/globalSearch/TL16C554AIFN/page-1", "TL16C554AIFN")</f>
        <v>TL16C554AIFN</v>
      </c>
      <c r="B24516" s="3" t="s">
        <v>90</v>
      </c>
      <c r="C24516" s="5">
        <v>9</v>
      </c>
      <c r="D24516" s="6">
        <v>16.34</v>
      </c>
    </row>
    <row r="24517" spans="1:4" x14ac:dyDescent="0.25">
      <c r="A24517" t="str">
        <f>HYPERLINK("https://www.773grp.com/globalSearch/BQ2060ADBQ/page-1", "BQ2060ADBQ")</f>
        <v>BQ2060ADBQ</v>
      </c>
      <c r="B24517" s="3" t="s">
        <v>90</v>
      </c>
      <c r="C24517" s="5">
        <v>74440</v>
      </c>
      <c r="D24517" s="6">
        <v>16.45</v>
      </c>
    </row>
    <row r="24518" spans="1:4" x14ac:dyDescent="0.25">
      <c r="A24518" t="str">
        <f>HYPERLINK("https://www.773grp.com/globalSearch/DCP010505BP-UE4/page-1", "DCP010505BP-UE4")</f>
        <v>DCP010505BP-UE4</v>
      </c>
      <c r="B24518" s="3" t="s">
        <v>90</v>
      </c>
      <c r="C24518" s="5">
        <v>45</v>
      </c>
      <c r="D24518" s="6">
        <v>16.45</v>
      </c>
    </row>
    <row r="24519" spans="1:4" x14ac:dyDescent="0.25">
      <c r="A24519" t="str">
        <f>HYPERLINK("https://www.773grp.com/globalSearch/DCP010512DBP-U-700/page-1", "DCP010512DBP-U-700")</f>
        <v>DCP010512DBP-U-700</v>
      </c>
      <c r="B24519" s="3" t="s">
        <v>90</v>
      </c>
      <c r="C24519" s="5">
        <v>370</v>
      </c>
      <c r="D24519" s="6">
        <v>16.45</v>
      </c>
    </row>
    <row r="24520" spans="1:4" x14ac:dyDescent="0.25">
      <c r="A24520" t="str">
        <f>HYPERLINK("https://www.773grp.com/globalSearch/DCP010515DBP-U-700/page-1", "DCP010515DBP-U-700")</f>
        <v>DCP010515DBP-U-700</v>
      </c>
      <c r="B24520" s="3" t="s">
        <v>90</v>
      </c>
      <c r="C24520" s="5">
        <v>700</v>
      </c>
      <c r="D24520" s="6">
        <v>16.45</v>
      </c>
    </row>
    <row r="24521" spans="1:4" x14ac:dyDescent="0.25">
      <c r="A24521" t="str">
        <f>HYPERLINK("https://www.773grp.com/globalSearch/PTAS5162DKD/page-1", "PTAS5162DKD")</f>
        <v>PTAS5162DKD</v>
      </c>
      <c r="B24521" s="3" t="s">
        <v>90</v>
      </c>
      <c r="C24521" s="5">
        <v>100</v>
      </c>
      <c r="D24521" s="6">
        <v>16.45</v>
      </c>
    </row>
    <row r="24522" spans="1:4" x14ac:dyDescent="0.25">
      <c r="A24522" t="str">
        <f>HYPERLINK("https://www.773grp.com/globalSearch/UC29432DG4/page-1", "UC29432DG4")</f>
        <v>UC29432DG4</v>
      </c>
      <c r="B24522" s="3" t="s">
        <v>90</v>
      </c>
      <c r="C24522" s="5">
        <v>50</v>
      </c>
      <c r="D24522" s="6">
        <v>16.45</v>
      </c>
    </row>
    <row r="24523" spans="1:4" x14ac:dyDescent="0.25">
      <c r="A24523" t="str">
        <f>HYPERLINK("https://www.773grp.com/globalSearch/ADC10040QCIMT-NOPB/page-1", "ADC10040QCIMT-NOPB")</f>
        <v>ADC10040QCIMT-NOPB</v>
      </c>
      <c r="B24523" s="3" t="s">
        <v>90</v>
      </c>
      <c r="C24523" s="5">
        <v>4272</v>
      </c>
      <c r="D24523" s="6">
        <v>16.489999999999998</v>
      </c>
    </row>
    <row r="24524" spans="1:4" x14ac:dyDescent="0.25">
      <c r="A24524" t="str">
        <f>HYPERLINK("https://www.773grp.com/globalSearch/RI-TRP-IR2B-30/page-1", "RI-TRP-IR2B-30")</f>
        <v>RI-TRP-IR2B-30</v>
      </c>
      <c r="B24524" s="3" t="s">
        <v>90</v>
      </c>
      <c r="C24524" s="5">
        <v>6128</v>
      </c>
      <c r="D24524" s="6">
        <v>16.489999999999998</v>
      </c>
    </row>
    <row r="24525" spans="1:4" x14ac:dyDescent="0.25">
      <c r="A24525" t="str">
        <f>HYPERLINK("https://www.773grp.com/globalSearch/SN89746J/page-1", "SN89746J")</f>
        <v>SN89746J</v>
      </c>
      <c r="B24525" s="3" t="s">
        <v>90</v>
      </c>
      <c r="C24525" s="5">
        <v>9</v>
      </c>
      <c r="D24525" s="6">
        <v>16.489999999999998</v>
      </c>
    </row>
    <row r="24526" spans="1:4" x14ac:dyDescent="0.25">
      <c r="A24526" t="str">
        <f>HYPERLINK("https://www.773grp.com/globalSearch/SNJ54AC00W/page-1", "SNJ54AC00W")</f>
        <v>SNJ54AC00W</v>
      </c>
      <c r="B24526" s="3" t="s">
        <v>90</v>
      </c>
      <c r="C24526" s="5">
        <v>41</v>
      </c>
      <c r="D24526" s="6">
        <v>16.489999999999998</v>
      </c>
    </row>
    <row r="24527" spans="1:4" x14ac:dyDescent="0.25">
      <c r="A24527" t="str">
        <f>HYPERLINK("https://www.773grp.com/globalSearch/DCP011515DBP/page-1", "DCP011515DBP")</f>
        <v>DCP011515DBP</v>
      </c>
      <c r="B24527" s="3" t="s">
        <v>90</v>
      </c>
      <c r="C24527" s="5">
        <v>15</v>
      </c>
      <c r="D24527" s="6">
        <v>16.579999999999998</v>
      </c>
    </row>
    <row r="24528" spans="1:4" x14ac:dyDescent="0.25">
      <c r="A24528" t="str">
        <f>HYPERLINK("https://www.773grp.com/globalSearch/CD4015BF/page-1", "CD4015BF")</f>
        <v>CD4015BF</v>
      </c>
      <c r="B24528" s="3" t="s">
        <v>90</v>
      </c>
      <c r="C24528" s="5">
        <v>1</v>
      </c>
      <c r="D24528" s="6">
        <v>16.59</v>
      </c>
    </row>
    <row r="24529" spans="1:4" x14ac:dyDescent="0.25">
      <c r="A24529" t="str">
        <f>HYPERLINK("https://www.773grp.com/globalSearch/DCV010512DP-U-700/page-1", "DCV010512DP-U-700")</f>
        <v>DCV010512DP-U-700</v>
      </c>
      <c r="B24529" s="3" t="s">
        <v>90</v>
      </c>
      <c r="C24529" s="5">
        <v>2100</v>
      </c>
      <c r="D24529" s="6">
        <v>16.59</v>
      </c>
    </row>
    <row r="24530" spans="1:4" x14ac:dyDescent="0.25">
      <c r="A24530" t="str">
        <f>HYPERLINK("https://www.773grp.com/globalSearch/LM3S1D21-IQC80-A1/page-1", "LM3S1D21-IQC80-A1")</f>
        <v>LM3S1D21-IQC80-A1</v>
      </c>
      <c r="B24530" s="3" t="s">
        <v>90</v>
      </c>
      <c r="C24530" s="5">
        <v>1260</v>
      </c>
      <c r="D24530" s="6">
        <v>16.59</v>
      </c>
    </row>
    <row r="24531" spans="1:4" x14ac:dyDescent="0.25">
      <c r="A24531" t="str">
        <f>HYPERLINK("https://www.773grp.com/globalSearch/TLV5608IDW/page-1", "TLV5608IDW")</f>
        <v>TLV5608IDW</v>
      </c>
      <c r="B24531" s="3" t="s">
        <v>90</v>
      </c>
      <c r="C24531" s="5">
        <v>25</v>
      </c>
      <c r="D24531" s="6">
        <v>16.59</v>
      </c>
    </row>
    <row r="24532" spans="1:4" x14ac:dyDescent="0.25">
      <c r="A24532" t="str">
        <f>HYPERLINK("https://www.773grp.com/globalSearch/TRF3705IRGET/page-1", "TRF3705IRGET")</f>
        <v>TRF3705IRGET</v>
      </c>
      <c r="B24532" s="3" t="s">
        <v>90</v>
      </c>
      <c r="C24532" s="5">
        <v>109</v>
      </c>
      <c r="D24532" s="6">
        <v>16.59</v>
      </c>
    </row>
    <row r="24533" spans="1:4" x14ac:dyDescent="0.25">
      <c r="A24533" t="str">
        <f>HYPERLINK("https://www.773grp.com/globalSearch/DAC7641Y/page-1", "DAC7641Y")</f>
        <v>DAC7641Y</v>
      </c>
      <c r="B24533" s="3" t="s">
        <v>90</v>
      </c>
      <c r="C24533" s="5">
        <v>221</v>
      </c>
      <c r="D24533" s="6">
        <v>16.649999999999999</v>
      </c>
    </row>
    <row r="24534" spans="1:4" x14ac:dyDescent="0.25">
      <c r="A24534" t="str">
        <f>HYPERLINK("https://www.773grp.com/globalSearch/LM135H-NOPB/page-1", "LM135H-NOPB")</f>
        <v>LM135H-NOPB</v>
      </c>
      <c r="B24534" s="3" t="s">
        <v>90</v>
      </c>
      <c r="C24534" s="5">
        <v>705</v>
      </c>
      <c r="D24534" s="6">
        <v>16.68</v>
      </c>
    </row>
    <row r="24535" spans="1:4" x14ac:dyDescent="0.25">
      <c r="A24535" t="str">
        <f>HYPERLINK("https://www.773grp.com/globalSearch/PPCI1410PGE/page-1", "PPCI1410PGE")</f>
        <v>PPCI1410PGE</v>
      </c>
      <c r="B24535" s="3" t="s">
        <v>90</v>
      </c>
      <c r="C24535" s="5">
        <v>1505</v>
      </c>
      <c r="D24535" s="6">
        <v>16.71</v>
      </c>
    </row>
    <row r="24536" spans="1:4" x14ac:dyDescent="0.25">
      <c r="A24536" t="str">
        <f>HYPERLINK("https://www.773grp.com/globalSearch/34R3430-4CVR/page-1", "34R3430-4CVR")</f>
        <v>34R3430-4CVR</v>
      </c>
      <c r="B24536" s="3" t="s">
        <v>90</v>
      </c>
      <c r="C24536" s="5">
        <v>2500</v>
      </c>
      <c r="D24536" s="6">
        <v>16.739999999999998</v>
      </c>
    </row>
    <row r="24537" spans="1:4" x14ac:dyDescent="0.25">
      <c r="A24537" t="str">
        <f>HYPERLINK("https://www.773grp.com/globalSearch/ADS1158IRTCR/page-1", "ADS1158IRTCR")</f>
        <v>ADS1158IRTCR</v>
      </c>
      <c r="B24537" s="3" t="s">
        <v>90</v>
      </c>
      <c r="C24537" s="5">
        <v>72474</v>
      </c>
      <c r="D24537" s="6">
        <v>16.739999999999998</v>
      </c>
    </row>
    <row r="24538" spans="1:4" x14ac:dyDescent="0.25">
      <c r="A24538" t="str">
        <f>HYPERLINK("https://www.773grp.com/globalSearch/MSP430F157IPM/page-1", "MSP430F157IPM")</f>
        <v>MSP430F157IPM</v>
      </c>
      <c r="B24538" s="3" t="s">
        <v>90</v>
      </c>
      <c r="C24538" s="5">
        <v>150</v>
      </c>
      <c r="D24538" s="6">
        <v>16.739999999999998</v>
      </c>
    </row>
    <row r="24539" spans="1:4" x14ac:dyDescent="0.25">
      <c r="A24539" t="str">
        <f>HYPERLINK("https://www.773grp.com/globalSearch/TMS320F28035PAGQ/page-1", "TMS320F28035PAGQ")</f>
        <v>TMS320F28035PAGQ</v>
      </c>
      <c r="B24539" s="3" t="s">
        <v>90</v>
      </c>
      <c r="C24539" s="5">
        <v>2</v>
      </c>
      <c r="D24539" s="6">
        <v>16.739999999999998</v>
      </c>
    </row>
    <row r="24540" spans="1:4" x14ac:dyDescent="0.25">
      <c r="A24540" t="str">
        <f>HYPERLINK("https://www.773grp.com/globalSearch/TMS320F28PLC93PNT/page-1", "TMS320F28PLC93PNT")</f>
        <v>TMS320F28PLC93PNT</v>
      </c>
      <c r="B24540" s="3" t="s">
        <v>90</v>
      </c>
      <c r="C24540" s="5">
        <v>464</v>
      </c>
      <c r="D24540" s="6">
        <v>16.739999999999998</v>
      </c>
    </row>
    <row r="24541" spans="1:4" x14ac:dyDescent="0.25">
      <c r="A24541" t="str">
        <f>HYPERLINK("https://www.773grp.com/globalSearch/TPS658621AZGUR-1/page-1", "TPS658621AZGUR-1")</f>
        <v>TPS658621AZGUR-1</v>
      </c>
      <c r="B24541" s="3" t="s">
        <v>90</v>
      </c>
      <c r="C24541" s="5">
        <v>211000</v>
      </c>
      <c r="D24541" s="6">
        <v>16.739999999999998</v>
      </c>
    </row>
    <row r="24542" spans="1:4" x14ac:dyDescent="0.25">
      <c r="A24542" t="str">
        <f>HYPERLINK("https://www.773grp.com/globalSearch/TPS658621CZGUR/page-1", "TPS658621CZGUR")</f>
        <v>TPS658621CZGUR</v>
      </c>
      <c r="B24542" s="3" t="s">
        <v>90</v>
      </c>
      <c r="C24542" s="5">
        <v>9750</v>
      </c>
      <c r="D24542" s="6">
        <v>16.739999999999998</v>
      </c>
    </row>
    <row r="24543" spans="1:4" x14ac:dyDescent="0.25">
      <c r="A24543" t="str">
        <f>HYPERLINK("https://www.773grp.com/globalSearch/TPS658621CZQZR/page-1", "TPS658621CZQZR")</f>
        <v>TPS658621CZQZR</v>
      </c>
      <c r="B24543" s="3" t="s">
        <v>90</v>
      </c>
      <c r="C24543" s="5">
        <v>37500</v>
      </c>
      <c r="D24543" s="6">
        <v>16.739999999999998</v>
      </c>
    </row>
    <row r="24544" spans="1:4" x14ac:dyDescent="0.25">
      <c r="A24544" t="str">
        <f>HYPERLINK("https://www.773grp.com/globalSearch/TPS658621DZGUR/page-1", "TPS658621DZGUR")</f>
        <v>TPS658621DZGUR</v>
      </c>
      <c r="B24544" s="3" t="s">
        <v>90</v>
      </c>
      <c r="C24544" s="5">
        <v>27000</v>
      </c>
      <c r="D24544" s="6">
        <v>16.739999999999998</v>
      </c>
    </row>
    <row r="24545" spans="1:4" x14ac:dyDescent="0.25">
      <c r="A24545" t="str">
        <f>HYPERLINK("https://www.773grp.com/globalSearch/TPS658621DZQZR/page-1", "TPS658621DZQZR")</f>
        <v>TPS658621DZQZR</v>
      </c>
      <c r="B24545" s="3" t="s">
        <v>90</v>
      </c>
      <c r="C24545" s="5">
        <v>5000</v>
      </c>
      <c r="D24545" s="6">
        <v>16.739999999999998</v>
      </c>
    </row>
    <row r="24546" spans="1:4" x14ac:dyDescent="0.25">
      <c r="A24546" t="str">
        <f>HYPERLINK("https://www.773grp.com/globalSearch/TPS658623ZQZR/page-1", "TPS658623ZQZR")</f>
        <v>TPS658623ZQZR</v>
      </c>
      <c r="B24546" s="3" t="s">
        <v>90</v>
      </c>
      <c r="C24546" s="5">
        <v>12462</v>
      </c>
      <c r="D24546" s="6">
        <v>16.739999999999998</v>
      </c>
    </row>
    <row r="24547" spans="1:4" x14ac:dyDescent="0.25">
      <c r="A24547" t="str">
        <f>HYPERLINK("https://www.773grp.com/globalSearch/TSB11LV00PM/page-1", "TSB11LV00PM")</f>
        <v>TSB11LV00PM</v>
      </c>
      <c r="B24547" s="3" t="s">
        <v>90</v>
      </c>
      <c r="C24547" s="5">
        <v>13566</v>
      </c>
      <c r="D24547" s="6">
        <v>16.739999999999998</v>
      </c>
    </row>
    <row r="24548" spans="1:4" x14ac:dyDescent="0.25">
      <c r="A24548" t="str">
        <f>HYPERLINK("https://www.773grp.com/globalSearch/TMX320VC5402GGLL100/page-1", "TMX320VC5402GGLL100")</f>
        <v>TMX320VC5402GGLL100</v>
      </c>
      <c r="B24548" s="3" t="s">
        <v>90</v>
      </c>
      <c r="C24548" s="5">
        <v>160</v>
      </c>
      <c r="D24548" s="6">
        <v>16.79</v>
      </c>
    </row>
    <row r="24549" spans="1:4" x14ac:dyDescent="0.25">
      <c r="A24549" t="str">
        <f>HYPERLINK("https://www.773grp.com/globalSearch/SNJ54HC163J/page-1", "SNJ54HC163J")</f>
        <v>SNJ54HC163J</v>
      </c>
      <c r="B24549" s="3" t="s">
        <v>90</v>
      </c>
      <c r="C24549" s="5">
        <v>74</v>
      </c>
      <c r="D24549" s="6">
        <v>16.829999999999998</v>
      </c>
    </row>
    <row r="24550" spans="1:4" x14ac:dyDescent="0.25">
      <c r="A24550" t="str">
        <f>HYPERLINK("https://www.773grp.com/globalSearch/BQ78PL114RGZR/page-1", "BQ78PL114RGZR")</f>
        <v>BQ78PL114RGZR</v>
      </c>
      <c r="B24550" s="3" t="s">
        <v>90</v>
      </c>
      <c r="C24550" s="5">
        <v>69</v>
      </c>
      <c r="D24550" s="6">
        <v>16.88</v>
      </c>
    </row>
    <row r="24551" spans="1:4" x14ac:dyDescent="0.25">
      <c r="A24551" t="str">
        <f>HYPERLINK("https://www.773grp.com/globalSearch/BQ78PL116RGZR/page-1", "BQ78PL116RGZR")</f>
        <v>BQ78PL116RGZR</v>
      </c>
      <c r="B24551" s="3" t="s">
        <v>90</v>
      </c>
      <c r="C24551" s="5">
        <v>5000</v>
      </c>
      <c r="D24551" s="6">
        <v>16.88</v>
      </c>
    </row>
    <row r="24552" spans="1:4" x14ac:dyDescent="0.25">
      <c r="A24552" t="str">
        <f>HYPERLINK("https://www.773grp.com/globalSearch/DAC7678SPWR/page-1", "DAC7678SPWR")</f>
        <v>DAC7678SPWR</v>
      </c>
      <c r="B24552" s="3" t="s">
        <v>90</v>
      </c>
      <c r="C24552" s="5">
        <v>937</v>
      </c>
      <c r="D24552" s="6">
        <v>16.88</v>
      </c>
    </row>
    <row r="24553" spans="1:4" x14ac:dyDescent="0.25">
      <c r="A24553" t="str">
        <f>HYPERLINK("https://www.773grp.com/globalSearch/PTR08060WVD/page-1", "PTR08060WVD")</f>
        <v>PTR08060WVD</v>
      </c>
      <c r="B24553" s="3" t="s">
        <v>90</v>
      </c>
      <c r="C24553" s="5">
        <v>2</v>
      </c>
      <c r="D24553" s="6">
        <v>16.88</v>
      </c>
    </row>
    <row r="24554" spans="1:4" x14ac:dyDescent="0.25">
      <c r="A24554" t="str">
        <f>HYPERLINK("https://www.773grp.com/globalSearch/REF5050MDREP/page-1", "REF5050MDREP")</f>
        <v>REF5050MDREP</v>
      </c>
      <c r="B24554" s="3" t="s">
        <v>90</v>
      </c>
      <c r="C24554" s="5">
        <v>2540</v>
      </c>
      <c r="D24554" s="6">
        <v>16.88</v>
      </c>
    </row>
    <row r="24555" spans="1:4" x14ac:dyDescent="0.25">
      <c r="A24555" t="str">
        <f>HYPERLINK("https://www.773grp.com/globalSearch/SN55150JG/page-1", "SN55150JG")</f>
        <v>SN55150JG</v>
      </c>
      <c r="B24555" s="3" t="s">
        <v>90</v>
      </c>
      <c r="C24555" s="5">
        <v>2</v>
      </c>
      <c r="D24555" s="6">
        <v>16.88</v>
      </c>
    </row>
    <row r="24556" spans="1:4" x14ac:dyDescent="0.25">
      <c r="A24556" t="str">
        <f>HYPERLINK("https://www.773grp.com/globalSearch/SRC4382IPFBR/page-1", "SRC4382IPFBR")</f>
        <v>SRC4382IPFBR</v>
      </c>
      <c r="B24556" s="3" t="s">
        <v>90</v>
      </c>
      <c r="C24556" s="5">
        <v>998</v>
      </c>
      <c r="D24556" s="6">
        <v>16.88</v>
      </c>
    </row>
    <row r="24557" spans="1:4" x14ac:dyDescent="0.25">
      <c r="A24557" t="str">
        <f>HYPERLINK("https://www.773grp.com/globalSearch/TL16CRK514PJM/page-1", "TL16CRK514PJM")</f>
        <v>TL16CRK514PJM</v>
      </c>
      <c r="B24557" s="3" t="s">
        <v>90</v>
      </c>
      <c r="C24557" s="5">
        <v>23</v>
      </c>
      <c r="D24557" s="6">
        <v>16.88</v>
      </c>
    </row>
    <row r="24558" spans="1:4" x14ac:dyDescent="0.25">
      <c r="A24558" t="str">
        <f>HYPERLINK("https://www.773grp.com/globalSearch/TLV2548QDWRG4/page-1", "TLV2548QDWRG4")</f>
        <v>TLV2548QDWRG4</v>
      </c>
      <c r="B24558" s="3" t="s">
        <v>90</v>
      </c>
      <c r="C24558" s="5">
        <v>18000</v>
      </c>
      <c r="D24558" s="6">
        <v>16.88</v>
      </c>
    </row>
    <row r="24559" spans="1:4" x14ac:dyDescent="0.25">
      <c r="A24559" t="str">
        <f>HYPERLINK("https://www.773grp.com/globalSearch/TLV5638ID/page-1", "TLV5638ID")</f>
        <v>TLV5638ID</v>
      </c>
      <c r="B24559" s="3" t="s">
        <v>90</v>
      </c>
      <c r="C24559" s="5">
        <v>20</v>
      </c>
      <c r="D24559" s="6">
        <v>16.88</v>
      </c>
    </row>
    <row r="24560" spans="1:4" x14ac:dyDescent="0.25">
      <c r="A24560" t="str">
        <f>HYPERLINK("https://www.773grp.com/globalSearch/TLV5638IDG4/page-1", "TLV5638IDG4")</f>
        <v>TLV5638IDG4</v>
      </c>
      <c r="B24560" s="3" t="s">
        <v>90</v>
      </c>
      <c r="C24560" s="5">
        <v>55</v>
      </c>
      <c r="D24560" s="6">
        <v>16.88</v>
      </c>
    </row>
    <row r="24561" spans="1:4" x14ac:dyDescent="0.25">
      <c r="A24561" t="str">
        <f>HYPERLINK("https://www.773grp.com/globalSearch/TMS320F2802PZS-60/page-1", "TMS320F2802PZS-60")</f>
        <v>TMS320F2802PZS-60</v>
      </c>
      <c r="B24561" s="3" t="s">
        <v>90</v>
      </c>
      <c r="C24561" s="5">
        <v>350</v>
      </c>
      <c r="D24561" s="6">
        <v>16.88</v>
      </c>
    </row>
    <row r="24562" spans="1:4" x14ac:dyDescent="0.25">
      <c r="A24562" t="str">
        <f>HYPERLINK("https://www.773grp.com/globalSearch/DS50PCI401SQE-NOPB/page-1", "DS50PCI401SQE-NOPB")</f>
        <v>DS50PCI401SQE-NOPB</v>
      </c>
      <c r="B24562" s="3" t="s">
        <v>90</v>
      </c>
      <c r="C24562" s="5">
        <v>46</v>
      </c>
      <c r="D24562" s="6">
        <v>16.91</v>
      </c>
    </row>
    <row r="24563" spans="1:4" x14ac:dyDescent="0.25">
      <c r="A24563" t="str">
        <f>HYPERLINK("https://www.773grp.com/globalSearch/DAC900TPWRQ1/page-1", "DAC900TPWRQ1")</f>
        <v>DAC900TPWRQ1</v>
      </c>
      <c r="B24563" s="3" t="s">
        <v>90</v>
      </c>
      <c r="C24563" s="5">
        <v>2500</v>
      </c>
      <c r="D24563" s="6">
        <v>16.93</v>
      </c>
    </row>
    <row r="24564" spans="1:4" x14ac:dyDescent="0.25">
      <c r="A24564" t="str">
        <f>HYPERLINK("https://www.773grp.com/globalSearch/TAS5000PFBG4/page-1", "TAS5000PFBG4")</f>
        <v>TAS5000PFBG4</v>
      </c>
      <c r="B24564" s="3" t="s">
        <v>90</v>
      </c>
      <c r="C24564" s="5">
        <v>250</v>
      </c>
      <c r="D24564" s="6">
        <v>16.93</v>
      </c>
    </row>
    <row r="24565" spans="1:4" x14ac:dyDescent="0.25">
      <c r="A24565" t="str">
        <f>HYPERLINK("https://www.773grp.com/globalSearch/LM3S3634-IQR50-A0/page-1", "LM3S3634-IQR50-A0")</f>
        <v>LM3S3634-IQR50-A0</v>
      </c>
      <c r="B24565" s="3" t="s">
        <v>90</v>
      </c>
      <c r="C24565" s="5">
        <v>852</v>
      </c>
      <c r="D24565" s="6">
        <v>16.96</v>
      </c>
    </row>
    <row r="24566" spans="1:4" x14ac:dyDescent="0.25">
      <c r="A24566" t="str">
        <f>HYPERLINK("https://www.773grp.com/globalSearch/MSP430F2617TPMR/page-1", "MSP430F2617TPMR")</f>
        <v>MSP430F2617TPMR</v>
      </c>
      <c r="B24566" s="3" t="s">
        <v>90</v>
      </c>
      <c r="C24566" s="5">
        <v>1074</v>
      </c>
      <c r="D24566" s="6">
        <v>17.010000000000002</v>
      </c>
    </row>
    <row r="24567" spans="1:4" x14ac:dyDescent="0.25">
      <c r="A24567" t="str">
        <f>HYPERLINK("https://www.773grp.com/globalSearch/SNJ54HC245J/page-1", "SNJ54HC245J")</f>
        <v>SNJ54HC245J</v>
      </c>
      <c r="B24567" s="3" t="s">
        <v>90</v>
      </c>
      <c r="C24567" s="5">
        <v>11</v>
      </c>
      <c r="D24567" s="6">
        <v>17.010000000000002</v>
      </c>
    </row>
    <row r="24568" spans="1:4" x14ac:dyDescent="0.25">
      <c r="A24568" t="str">
        <f>HYPERLINK("https://www.773grp.com/globalSearch/SN103657D/page-1", "SN103657D")</f>
        <v>SN103657D</v>
      </c>
      <c r="B24568" s="3" t="s">
        <v>90</v>
      </c>
      <c r="C24568" s="5">
        <v>898</v>
      </c>
      <c r="D24568" s="6">
        <v>17.13</v>
      </c>
    </row>
    <row r="24569" spans="1:4" x14ac:dyDescent="0.25">
      <c r="A24569" t="str">
        <f>HYPERLINK("https://www.773grp.com/globalSearch/SN65LVDM1677DGGR/page-1", "SN65LVDM1677DGGR")</f>
        <v>SN65LVDM1677DGGR</v>
      </c>
      <c r="B24569" s="3" t="s">
        <v>90</v>
      </c>
      <c r="C24569" s="5">
        <v>10000</v>
      </c>
      <c r="D24569" s="6">
        <v>17.13</v>
      </c>
    </row>
    <row r="24570" spans="1:4" x14ac:dyDescent="0.25">
      <c r="A24570" t="str">
        <f>HYPERLINK("https://www.773grp.com/globalSearch/SCANSTA111SMX/page-1", "SCANSTA111SMX")</f>
        <v>SCANSTA111SMX</v>
      </c>
      <c r="B24570" s="3" t="s">
        <v>90</v>
      </c>
      <c r="C24570" s="5">
        <v>400</v>
      </c>
      <c r="D24570" s="6">
        <v>17.16</v>
      </c>
    </row>
    <row r="24571" spans="1:4" x14ac:dyDescent="0.25">
      <c r="A24571" t="str">
        <f>HYPERLINK("https://www.773grp.com/globalSearch/TP3465V/page-1", "TP3465V")</f>
        <v>TP3465V</v>
      </c>
      <c r="B24571" s="3" t="s">
        <v>90</v>
      </c>
      <c r="C24571" s="5">
        <v>55</v>
      </c>
      <c r="D24571" s="6">
        <v>17.16</v>
      </c>
    </row>
    <row r="24572" spans="1:4" x14ac:dyDescent="0.25">
      <c r="A24572" t="str">
        <f>HYPERLINK("https://www.773grp.com/globalSearch/TAS3108DCP/page-1", "TAS3108DCP")</f>
        <v>TAS3108DCP</v>
      </c>
      <c r="B24572" s="3" t="s">
        <v>90</v>
      </c>
      <c r="C24572" s="5">
        <v>500</v>
      </c>
      <c r="D24572" s="6">
        <v>17.21</v>
      </c>
    </row>
    <row r="24573" spans="1:4" x14ac:dyDescent="0.25">
      <c r="A24573" t="str">
        <f>HYPERLINK("https://www.773grp.com/globalSearch/LM3S5732-IQR50-A0/page-1", "LM3S5732-IQR50-A0")</f>
        <v>LM3S5732-IQR50-A0</v>
      </c>
      <c r="B24573" s="3" t="s">
        <v>90</v>
      </c>
      <c r="C24573" s="5">
        <v>3</v>
      </c>
      <c r="D24573" s="6">
        <v>17.25</v>
      </c>
    </row>
    <row r="24574" spans="1:4" x14ac:dyDescent="0.25">
      <c r="A24574" t="str">
        <f>HYPERLINK("https://www.773grp.com/globalSearch/ADS1201U-1/page-1", "ADS1201U-1")</f>
        <v>ADS1201U-1</v>
      </c>
      <c r="B24574" s="3" t="s">
        <v>90</v>
      </c>
      <c r="C24574" s="5">
        <v>432</v>
      </c>
      <c r="D24574" s="6">
        <v>17.3</v>
      </c>
    </row>
    <row r="24575" spans="1:4" x14ac:dyDescent="0.25">
      <c r="A24575" t="str">
        <f>HYPERLINK("https://www.773grp.com/globalSearch/ADS1201U-1-1K/page-1", "ADS1201U-1-1K")</f>
        <v>ADS1201U-1-1K</v>
      </c>
      <c r="B24575" s="3" t="s">
        <v>90</v>
      </c>
      <c r="C24575" s="5">
        <v>272</v>
      </c>
      <c r="D24575" s="6">
        <v>17.3</v>
      </c>
    </row>
    <row r="24576" spans="1:4" x14ac:dyDescent="0.25">
      <c r="A24576" t="str">
        <f>HYPERLINK("https://www.773grp.com/globalSearch/BQ20Z65DBT-R1/page-1", "BQ20Z65DBT-R1")</f>
        <v>BQ20Z65DBT-R1</v>
      </c>
      <c r="B24576" s="3" t="s">
        <v>90</v>
      </c>
      <c r="C24576" s="5">
        <v>50</v>
      </c>
      <c r="D24576" s="6">
        <v>17.3</v>
      </c>
    </row>
    <row r="24577" spans="1:4" x14ac:dyDescent="0.25">
      <c r="A24577" t="str">
        <f>HYPERLINK("https://www.773grp.com/globalSearch/TMS320F28035PNQ/page-1", "TMS320F28035PNQ")</f>
        <v>TMS320F28035PNQ</v>
      </c>
      <c r="B24577" s="3" t="s">
        <v>90</v>
      </c>
      <c r="C24577" s="5">
        <v>624</v>
      </c>
      <c r="D24577" s="6">
        <v>17.3</v>
      </c>
    </row>
    <row r="24578" spans="1:4" x14ac:dyDescent="0.25">
      <c r="A24578" t="str">
        <f>HYPERLINK("https://www.773grp.com/globalSearch/TAS3103ADBT/page-1", "TAS3103ADBT")</f>
        <v>TAS3103ADBT</v>
      </c>
      <c r="B24578" s="3" t="s">
        <v>90</v>
      </c>
      <c r="C24578" s="5">
        <v>810</v>
      </c>
      <c r="D24578" s="6">
        <v>17.350000000000001</v>
      </c>
    </row>
    <row r="24579" spans="1:4" x14ac:dyDescent="0.25">
      <c r="A24579" t="str">
        <f>HYPERLINK("https://www.773grp.com/globalSearch/ADC108S102CIMT/page-1", "ADC108S102CIMT")</f>
        <v>ADC108S102CIMT</v>
      </c>
      <c r="B24579" s="3" t="s">
        <v>90</v>
      </c>
      <c r="C24579" s="5">
        <v>28</v>
      </c>
      <c r="D24579" s="6">
        <v>17.41</v>
      </c>
    </row>
    <row r="24580" spans="1:4" x14ac:dyDescent="0.25">
      <c r="A24580" t="str">
        <f>HYPERLINK("https://www.773grp.com/globalSearch/INA115BU/page-1", "INA115BU")</f>
        <v>INA115BU</v>
      </c>
      <c r="B24580" s="3" t="s">
        <v>90</v>
      </c>
      <c r="C24580" s="5">
        <v>3440</v>
      </c>
      <c r="D24580" s="6">
        <v>17.440000000000001</v>
      </c>
    </row>
    <row r="24581" spans="1:4" x14ac:dyDescent="0.25">
      <c r="A24581" t="str">
        <f>HYPERLINK("https://www.773grp.com/globalSearch/TL28L92IFR/page-1", "TL28L92IFR")</f>
        <v>TL28L92IFR</v>
      </c>
      <c r="B24581" s="3" t="s">
        <v>90</v>
      </c>
      <c r="C24581" s="5">
        <v>768</v>
      </c>
      <c r="D24581" s="6">
        <v>17.440000000000001</v>
      </c>
    </row>
    <row r="24582" spans="1:4" x14ac:dyDescent="0.25">
      <c r="A24582" t="str">
        <f>HYPERLINK("https://www.773grp.com/globalSearch/TLV2542ID/page-1", "TLV2542ID")</f>
        <v>TLV2542ID</v>
      </c>
      <c r="B24582" s="3" t="s">
        <v>90</v>
      </c>
      <c r="C24582" s="5">
        <v>9075</v>
      </c>
      <c r="D24582" s="6">
        <v>17.440000000000001</v>
      </c>
    </row>
    <row r="24583" spans="1:4" x14ac:dyDescent="0.25">
      <c r="A24583" t="str">
        <f>HYPERLINK("https://www.773grp.com/globalSearch/UCD9240RGCT/page-1", "UCD9240RGCT")</f>
        <v>UCD9240RGCT</v>
      </c>
      <c r="B24583" s="3" t="s">
        <v>90</v>
      </c>
      <c r="C24583" s="5">
        <v>610</v>
      </c>
      <c r="D24583" s="6">
        <v>17.46</v>
      </c>
    </row>
    <row r="24584" spans="1:4" x14ac:dyDescent="0.25">
      <c r="A24584" t="str">
        <f>HYPERLINK("https://www.773grp.com/globalSearch/SRC4193IDBG4/page-1", "SRC4193IDBG4")</f>
        <v>SRC4193IDBG4</v>
      </c>
      <c r="B24584" s="3" t="s">
        <v>90</v>
      </c>
      <c r="C24584" s="5">
        <v>25</v>
      </c>
      <c r="D24584" s="6">
        <v>17.55</v>
      </c>
    </row>
    <row r="24585" spans="1:4" x14ac:dyDescent="0.25">
      <c r="A24585" t="str">
        <f>HYPERLINK("https://www.773grp.com/globalSearch/BQ34Z651DBT/page-1", "BQ34Z651DBT")</f>
        <v>BQ34Z651DBT</v>
      </c>
      <c r="B24585" s="3" t="s">
        <v>90</v>
      </c>
      <c r="C24585" s="5">
        <v>20</v>
      </c>
      <c r="D24585" s="6">
        <v>17.59</v>
      </c>
    </row>
    <row r="24586" spans="1:4" x14ac:dyDescent="0.25">
      <c r="A24586" t="str">
        <f>HYPERLINK("https://www.773grp.com/globalSearch/DAC8831IDR/page-1", "DAC8831IDR")</f>
        <v>DAC8831IDR</v>
      </c>
      <c r="B24586" s="3" t="s">
        <v>90</v>
      </c>
      <c r="C24586" s="5">
        <v>5000</v>
      </c>
      <c r="D24586" s="6">
        <v>17.59</v>
      </c>
    </row>
    <row r="24587" spans="1:4" x14ac:dyDescent="0.25">
      <c r="A24587" t="str">
        <f>HYPERLINK("https://www.773grp.com/globalSearch/PCM1602KYIPTRVS/page-1", "PCM1602KYIPTRVS")</f>
        <v>PCM1602KYIPTRVS</v>
      </c>
      <c r="B24587" s="3" t="s">
        <v>90</v>
      </c>
      <c r="C24587" s="5">
        <v>3000</v>
      </c>
      <c r="D24587" s="6">
        <v>17.59</v>
      </c>
    </row>
    <row r="24588" spans="1:4" x14ac:dyDescent="0.25">
      <c r="A24588" t="str">
        <f>HYPERLINK("https://www.773grp.com/globalSearch/SN103913DWR/page-1", "SN103913DWR")</f>
        <v>SN103913DWR</v>
      </c>
      <c r="B24588" s="3" t="s">
        <v>90</v>
      </c>
      <c r="C24588" s="5">
        <v>6000</v>
      </c>
      <c r="D24588" s="6">
        <v>17.59</v>
      </c>
    </row>
    <row r="24589" spans="1:4" x14ac:dyDescent="0.25">
      <c r="A24589" t="str">
        <f>HYPERLINK("https://www.773grp.com/globalSearch/TLC3541IDGKR/page-1", "TLC3541IDGKR")</f>
        <v>TLC3541IDGKR</v>
      </c>
      <c r="B24589" s="3" t="s">
        <v>90</v>
      </c>
      <c r="C24589" s="5">
        <v>12500</v>
      </c>
      <c r="D24589" s="6">
        <v>17.59</v>
      </c>
    </row>
    <row r="24590" spans="1:4" x14ac:dyDescent="0.25">
      <c r="A24590" t="str">
        <f>HYPERLINK("https://www.773grp.com/globalSearch/TLV2548IDW/page-1", "TLV2548IDW")</f>
        <v>TLV2548IDW</v>
      </c>
      <c r="B24590" s="3" t="s">
        <v>90</v>
      </c>
      <c r="C24590" s="5">
        <v>350</v>
      </c>
      <c r="D24590" s="6">
        <v>17.59</v>
      </c>
    </row>
    <row r="24591" spans="1:4" x14ac:dyDescent="0.25">
      <c r="A24591" t="str">
        <f>HYPERLINK("https://www.773grp.com/globalSearch/CD4060BF/page-1", "CD4060BF")</f>
        <v>CD4060BF</v>
      </c>
      <c r="B24591" s="3" t="s">
        <v>90</v>
      </c>
      <c r="C24591" s="5">
        <v>39</v>
      </c>
      <c r="D24591" s="6">
        <v>17.66</v>
      </c>
    </row>
    <row r="24592" spans="1:4" x14ac:dyDescent="0.25">
      <c r="A24592" t="str">
        <f>HYPERLINK("https://www.773grp.com/globalSearch/SN74LS590NS/page-1", "SN74LS590NS")</f>
        <v>SN74LS590NS</v>
      </c>
      <c r="B24592" s="3" t="s">
        <v>90</v>
      </c>
      <c r="C24592" s="5">
        <v>2700</v>
      </c>
      <c r="D24592" s="6">
        <v>17.66</v>
      </c>
    </row>
    <row r="24593" spans="1:4" x14ac:dyDescent="0.25">
      <c r="A24593" t="str">
        <f>HYPERLINK("https://www.773grp.com/globalSearch/SN54LS195AJ/page-1", "SN54LS195AJ")</f>
        <v>SN54LS195AJ</v>
      </c>
      <c r="B24593" s="3" t="s">
        <v>90</v>
      </c>
      <c r="C24593" s="5">
        <v>43</v>
      </c>
      <c r="D24593" s="6">
        <v>17.690000000000001</v>
      </c>
    </row>
    <row r="24594" spans="1:4" x14ac:dyDescent="0.25">
      <c r="A24594" t="str">
        <f>HYPERLINK("https://www.773grp.com/globalSearch/MSP430F4616IPZ/page-1", "MSP430F4616IPZ")</f>
        <v>MSP430F4616IPZ</v>
      </c>
      <c r="B24594" s="3" t="s">
        <v>90</v>
      </c>
      <c r="C24594" s="5">
        <v>90</v>
      </c>
      <c r="D24594" s="6">
        <v>17.73</v>
      </c>
    </row>
    <row r="24595" spans="1:4" x14ac:dyDescent="0.25">
      <c r="A24595" t="str">
        <f>HYPERLINK("https://www.773grp.com/globalSearch/TAS5261DKDG4/page-1", "TAS5261DKDG4")</f>
        <v>TAS5261DKDG4</v>
      </c>
      <c r="B24595" s="3" t="s">
        <v>90</v>
      </c>
      <c r="C24595" s="5">
        <v>60</v>
      </c>
      <c r="D24595" s="6">
        <v>17.73</v>
      </c>
    </row>
    <row r="24596" spans="1:4" x14ac:dyDescent="0.25">
      <c r="A24596" t="str">
        <f>HYPERLINK("https://www.773grp.com/globalSearch/CD4049UBF3A/page-1", "CD4049UBF3A")</f>
        <v>CD4049UBF3A</v>
      </c>
      <c r="B24596" s="3" t="s">
        <v>90</v>
      </c>
      <c r="C24596" s="5">
        <v>6</v>
      </c>
      <c r="D24596" s="6">
        <v>17.78</v>
      </c>
    </row>
    <row r="24597" spans="1:4" x14ac:dyDescent="0.25">
      <c r="A24597" t="str">
        <f>HYPERLINK("https://www.773grp.com/globalSearch/DCP020505P/page-1", "DCP020505P")</f>
        <v>DCP020505P</v>
      </c>
      <c r="B24597" s="3" t="s">
        <v>90</v>
      </c>
      <c r="C24597" s="5">
        <v>72</v>
      </c>
      <c r="D24597" s="6">
        <v>17.8</v>
      </c>
    </row>
    <row r="24598" spans="1:4" x14ac:dyDescent="0.25">
      <c r="A24598" t="str">
        <f>HYPERLINK("https://www.773grp.com/globalSearch/DCP020515DU/page-1", "DCP020515DU")</f>
        <v>DCP020515DU</v>
      </c>
      <c r="B24598" s="3" t="s">
        <v>90</v>
      </c>
      <c r="C24598" s="5">
        <v>112</v>
      </c>
      <c r="D24598" s="6">
        <v>17.8</v>
      </c>
    </row>
    <row r="24599" spans="1:4" x14ac:dyDescent="0.25">
      <c r="A24599" t="str">
        <f>HYPERLINK("https://www.773grp.com/globalSearch/DCP020515DU-1K/page-1", "DCP020515DU-1K")</f>
        <v>DCP020515DU-1K</v>
      </c>
      <c r="B24599" s="3" t="s">
        <v>90</v>
      </c>
      <c r="C24599" s="5">
        <v>9000</v>
      </c>
      <c r="D24599" s="6">
        <v>17.8</v>
      </c>
    </row>
    <row r="24600" spans="1:4" x14ac:dyDescent="0.25">
      <c r="A24600" t="str">
        <f>HYPERLINK("https://www.773grp.com/globalSearch/DCP022405DU/page-1", "DCP022405DU")</f>
        <v>DCP022405DU</v>
      </c>
      <c r="B24600" s="3" t="s">
        <v>90</v>
      </c>
      <c r="C24600" s="5">
        <v>1288</v>
      </c>
      <c r="D24600" s="6">
        <v>17.8</v>
      </c>
    </row>
    <row r="24601" spans="1:4" x14ac:dyDescent="0.25">
      <c r="A24601" t="str">
        <f>HYPERLINK("https://www.773grp.com/globalSearch/DS100BR111SQE-NOPB/page-1", "DS100BR111SQE-NOPB")</f>
        <v>DS100BR111SQE-NOPB</v>
      </c>
      <c r="B24601" s="3" t="s">
        <v>90</v>
      </c>
      <c r="C24601" s="5">
        <v>10</v>
      </c>
      <c r="D24601" s="6">
        <v>17.8</v>
      </c>
    </row>
    <row r="24602" spans="1:4" x14ac:dyDescent="0.25">
      <c r="A24602" t="str">
        <f>HYPERLINK("https://www.773grp.com/globalSearch/DS100BR111SQE-NOPB/page-1", "DS100BR111SQE-NOPB")</f>
        <v>DS100BR111SQE-NOPB</v>
      </c>
      <c r="B24602" s="3" t="s">
        <v>90</v>
      </c>
      <c r="C24602" s="5">
        <v>1750</v>
      </c>
      <c r="D24602" s="6">
        <v>17.8</v>
      </c>
    </row>
    <row r="24603" spans="1:4" x14ac:dyDescent="0.25">
      <c r="A24603" t="str">
        <f>HYPERLINK("https://www.773grp.com/globalSearch/LMX2531LQ1650E-NOPB/page-1", "LMX2531LQ1650E-NOPB")</f>
        <v>LMX2531LQ1650E-NOPB</v>
      </c>
      <c r="B24603" s="3" t="s">
        <v>90</v>
      </c>
      <c r="C24603" s="5">
        <v>3250</v>
      </c>
      <c r="D24603" s="6">
        <v>17.8</v>
      </c>
    </row>
    <row r="24604" spans="1:4" x14ac:dyDescent="0.25">
      <c r="A24604" t="str">
        <f>HYPERLINK("https://www.773grp.com/globalSearch/LMX2531LQ1778E-NOPB/page-1", "LMX2531LQ1778E-NOPB")</f>
        <v>LMX2531LQ1778E-NOPB</v>
      </c>
      <c r="B24604" s="3" t="s">
        <v>90</v>
      </c>
      <c r="C24604" s="5">
        <v>500</v>
      </c>
      <c r="D24604" s="6">
        <v>17.8</v>
      </c>
    </row>
    <row r="24605" spans="1:4" x14ac:dyDescent="0.25">
      <c r="A24605" t="str">
        <f>HYPERLINK("https://www.773grp.com/globalSearch/TCM9088PM/page-1", "TCM9088PM")</f>
        <v>TCM9088PM</v>
      </c>
      <c r="B24605" s="3" t="s">
        <v>90</v>
      </c>
      <c r="C24605" s="5">
        <v>116</v>
      </c>
      <c r="D24605" s="6">
        <v>17.8</v>
      </c>
    </row>
    <row r="24606" spans="1:4" x14ac:dyDescent="0.25">
      <c r="A24606" t="str">
        <f>HYPERLINK("https://www.773grp.com/globalSearch/TMS44800R-70DZ/page-1", "TMS44800R-70DZ")</f>
        <v>TMS44800R-70DZ</v>
      </c>
      <c r="B24606" s="3" t="s">
        <v>90</v>
      </c>
      <c r="C24606" s="5">
        <v>13533</v>
      </c>
      <c r="D24606" s="6">
        <v>17.8</v>
      </c>
    </row>
    <row r="24607" spans="1:4" x14ac:dyDescent="0.25">
      <c r="A24607" t="str">
        <f>HYPERLINK("https://www.773grp.com/globalSearch/CDC2351QDBG4/page-1", "CDC2351QDBG4")</f>
        <v>CDC2351QDBG4</v>
      </c>
      <c r="B24607" s="3" t="s">
        <v>90</v>
      </c>
      <c r="C24607" s="5">
        <v>8100</v>
      </c>
      <c r="D24607" s="6">
        <v>17.84</v>
      </c>
    </row>
    <row r="24608" spans="1:4" x14ac:dyDescent="0.25">
      <c r="A24608" t="str">
        <f>HYPERLINK("https://www.773grp.com/globalSearch/SN7ACT7802-25PN/page-1", "SN7ACT7802-25PN")</f>
        <v>SN7ACT7802-25PN</v>
      </c>
      <c r="B24608" s="3" t="s">
        <v>90</v>
      </c>
      <c r="C24608" s="5">
        <v>108</v>
      </c>
      <c r="D24608" s="6">
        <v>17.84</v>
      </c>
    </row>
    <row r="24609" spans="1:4" x14ac:dyDescent="0.25">
      <c r="A24609" t="str">
        <f>HYPERLINK("https://www.773grp.com/globalSearch/MSP430F2618TPMR/page-1", "MSP430F2618TPMR")</f>
        <v>MSP430F2618TPMR</v>
      </c>
      <c r="B24609" s="3" t="s">
        <v>90</v>
      </c>
      <c r="C24609" s="5">
        <v>1160</v>
      </c>
      <c r="D24609" s="6">
        <v>17.850000000000001</v>
      </c>
    </row>
    <row r="24610" spans="1:4" x14ac:dyDescent="0.25">
      <c r="A24610" t="str">
        <f>HYPERLINK("https://www.773grp.com/globalSearch/RI-R6C-001A-03/page-1", "RI-R6C-001A-03")</f>
        <v>RI-R6C-001A-03</v>
      </c>
      <c r="B24610" s="3" t="s">
        <v>90</v>
      </c>
      <c r="C24610" s="5">
        <v>2160</v>
      </c>
      <c r="D24610" s="6">
        <v>17.850000000000001</v>
      </c>
    </row>
    <row r="24611" spans="1:4" x14ac:dyDescent="0.25">
      <c r="A24611" t="str">
        <f>HYPERLINK("https://www.773grp.com/globalSearch/TSB12LV32PZG4/page-1", "TSB12LV32PZG4")</f>
        <v>TSB12LV32PZG4</v>
      </c>
      <c r="B24611" s="3" t="s">
        <v>90</v>
      </c>
      <c r="C24611" s="5">
        <v>85</v>
      </c>
      <c r="D24611" s="6">
        <v>17.850000000000001</v>
      </c>
    </row>
    <row r="24612" spans="1:4" x14ac:dyDescent="0.25">
      <c r="A24612" t="str">
        <f>HYPERLINK("https://www.773grp.com/globalSearch/TMS320F2801PZA/page-1", "TMS320F2801PZA")</f>
        <v>TMS320F2801PZA</v>
      </c>
      <c r="B24612" s="3" t="s">
        <v>90</v>
      </c>
      <c r="C24612" s="5">
        <v>1660</v>
      </c>
      <c r="D24612" s="6">
        <v>17.89</v>
      </c>
    </row>
    <row r="24613" spans="1:4" x14ac:dyDescent="0.25">
      <c r="A24613" t="str">
        <f>HYPERLINK("https://www.773grp.com/globalSearch/LM35CH/page-1", "LM35CH")</f>
        <v>LM35CH</v>
      </c>
      <c r="B24613" s="3" t="s">
        <v>90</v>
      </c>
      <c r="C24613" s="5">
        <v>644</v>
      </c>
      <c r="D24613" s="6">
        <v>17.93</v>
      </c>
    </row>
    <row r="24614" spans="1:4" x14ac:dyDescent="0.25">
      <c r="A24614" t="str">
        <f>HYPERLINK("https://www.773grp.com/globalSearch/5962-8685301CA/page-1", "5962-8685301CA")</f>
        <v>5962-8685301CA</v>
      </c>
      <c r="B24614" s="3" t="s">
        <v>90</v>
      </c>
      <c r="C24614" s="5">
        <v>31</v>
      </c>
      <c r="D24614" s="6">
        <v>17.940000000000001</v>
      </c>
    </row>
    <row r="24615" spans="1:4" x14ac:dyDescent="0.25">
      <c r="A24615" t="str">
        <f>HYPERLINK("https://www.773grp.com/globalSearch/LM3S5632-IQR50-A0/page-1", "LM3S5632-IQR50-A0")</f>
        <v>LM3S5632-IQR50-A0</v>
      </c>
      <c r="B24615" s="3" t="s">
        <v>90</v>
      </c>
      <c r="C24615" s="5">
        <v>79</v>
      </c>
      <c r="D24615" s="6">
        <v>17.98</v>
      </c>
    </row>
    <row r="24616" spans="1:4" x14ac:dyDescent="0.25">
      <c r="A24616" t="str">
        <f>HYPERLINK("https://www.773grp.com/globalSearch/PTSB14C01APM/page-1", "PTSB14C01APM")</f>
        <v>PTSB14C01APM</v>
      </c>
      <c r="B24616" s="3" t="s">
        <v>90</v>
      </c>
      <c r="C24616" s="5">
        <v>2</v>
      </c>
      <c r="D24616" s="6">
        <v>18</v>
      </c>
    </row>
    <row r="24617" spans="1:4" x14ac:dyDescent="0.25">
      <c r="A24617" t="str">
        <f>HYPERLINK("https://www.773grp.com/globalSearch/TPS54610MPWPREP/page-1", "TPS54610MPWPREP")</f>
        <v>TPS54610MPWPREP</v>
      </c>
      <c r="B24617" s="3" t="s">
        <v>90</v>
      </c>
      <c r="C24617" s="5">
        <v>1400</v>
      </c>
      <c r="D24617" s="6">
        <v>18</v>
      </c>
    </row>
    <row r="24618" spans="1:4" x14ac:dyDescent="0.25">
      <c r="A24618" t="str">
        <f>HYPERLINK("https://www.773grp.com/globalSearch/AM1705DPTP3/page-1", "AM1705DPTP3")</f>
        <v>AM1705DPTP3</v>
      </c>
      <c r="B24618" s="3" t="s">
        <v>90</v>
      </c>
      <c r="C24618" s="5">
        <v>520</v>
      </c>
      <c r="D24618" s="6">
        <v>18.03</v>
      </c>
    </row>
    <row r="24619" spans="1:4" x14ac:dyDescent="0.25">
      <c r="A24619" t="str">
        <f>HYPERLINK("https://www.773grp.com/globalSearch/RI-TRP-R9UR-30/page-1", "RI-TRP-R9UR-30")</f>
        <v>RI-TRP-R9UR-30</v>
      </c>
      <c r="B24619" s="3" t="s">
        <v>90</v>
      </c>
      <c r="C24619" s="5">
        <v>60</v>
      </c>
      <c r="D24619" s="6">
        <v>18.059999999999999</v>
      </c>
    </row>
    <row r="24620" spans="1:4" x14ac:dyDescent="0.25">
      <c r="A24620" t="str">
        <f>HYPERLINK("https://www.773grp.com/globalSearch/TMS370C742AFNTG4/page-1", "TMS370C742AFNTG4")</f>
        <v>TMS370C742AFNTG4</v>
      </c>
      <c r="B24620" s="3" t="s">
        <v>90</v>
      </c>
      <c r="C24620" s="5">
        <v>2</v>
      </c>
      <c r="D24620" s="6">
        <v>18.059999999999999</v>
      </c>
    </row>
    <row r="24621" spans="1:4" x14ac:dyDescent="0.25">
      <c r="A24621" t="str">
        <f>HYPERLINK("https://www.773grp.com/globalSearch/SN74AS638ANS/page-1", "SN74AS638ANS")</f>
        <v>SN74AS638ANS</v>
      </c>
      <c r="B24621" s="3" t="s">
        <v>90</v>
      </c>
      <c r="C24621" s="5">
        <v>40</v>
      </c>
      <c r="D24621" s="6">
        <v>18.09</v>
      </c>
    </row>
    <row r="24622" spans="1:4" x14ac:dyDescent="0.25">
      <c r="A24622" t="str">
        <f>HYPERLINK("https://www.773grp.com/globalSearch/TM4C1237H6PGEI/page-1", "TM4C1237H6PGEI")</f>
        <v>TM4C1237H6PGEI</v>
      </c>
      <c r="B24622" s="3" t="s">
        <v>90</v>
      </c>
      <c r="C24622" s="5">
        <v>60</v>
      </c>
      <c r="D24622" s="6">
        <v>18.11</v>
      </c>
    </row>
    <row r="24623" spans="1:4" x14ac:dyDescent="0.25">
      <c r="A24623" t="str">
        <f>HYPERLINK("https://www.773grp.com/globalSearch/AM1707CZKB4/page-1", "AM1707CZKB4")</f>
        <v>AM1707CZKB4</v>
      </c>
      <c r="B24623" s="3" t="s">
        <v>90</v>
      </c>
      <c r="C24623" s="5">
        <v>2155</v>
      </c>
      <c r="D24623" s="6">
        <v>18.14</v>
      </c>
    </row>
    <row r="24624" spans="1:4" x14ac:dyDescent="0.25">
      <c r="A24624" t="str">
        <f>HYPERLINK("https://www.773grp.com/globalSearch/DAC8532IDGK/page-1", "DAC8532IDGK")</f>
        <v>DAC8532IDGK</v>
      </c>
      <c r="B24624" s="3" t="s">
        <v>90</v>
      </c>
      <c r="C24624" s="5">
        <v>925</v>
      </c>
      <c r="D24624" s="6">
        <v>18.14</v>
      </c>
    </row>
    <row r="24625" spans="1:4" x14ac:dyDescent="0.25">
      <c r="A24625" t="str">
        <f>HYPERLINK("https://www.773grp.com/globalSearch/DS42MB200TSQ-NOPB/page-1", "DS42MB200TSQ-NOPB")</f>
        <v>DS42MB200TSQ-NOPB</v>
      </c>
      <c r="B24625" s="3" t="s">
        <v>90</v>
      </c>
      <c r="C24625" s="5">
        <v>100</v>
      </c>
      <c r="D24625" s="6">
        <v>18.14</v>
      </c>
    </row>
    <row r="24626" spans="1:4" x14ac:dyDescent="0.25">
      <c r="A24626" t="str">
        <f>HYPERLINK("https://www.773grp.com/globalSearch/LM3S5B91-IQC80-C3/page-1", "LM3S5B91-IQC80-C3")</f>
        <v>LM3S5B91-IQC80-C3</v>
      </c>
      <c r="B24626" s="3" t="s">
        <v>90</v>
      </c>
      <c r="C24626" s="5">
        <v>6930</v>
      </c>
      <c r="D24626" s="6">
        <v>18.14</v>
      </c>
    </row>
    <row r="24627" spans="1:4" x14ac:dyDescent="0.25">
      <c r="A24627" t="str">
        <f>HYPERLINK("https://www.773grp.com/globalSearch/TMX320F28035RSHS/page-1", "TMX320F28035RSHS")</f>
        <v>TMX320F28035RSHS</v>
      </c>
      <c r="B24627" s="3" t="s">
        <v>90</v>
      </c>
      <c r="C24627" s="5">
        <v>152</v>
      </c>
      <c r="D24627" s="6">
        <v>18.14</v>
      </c>
    </row>
    <row r="24628" spans="1:4" x14ac:dyDescent="0.25">
      <c r="A24628" t="str">
        <f>HYPERLINK("https://www.773grp.com/globalSearch/CD4077BF/page-1", "CD4077BF")</f>
        <v>CD4077BF</v>
      </c>
      <c r="B24628" s="3" t="s">
        <v>90</v>
      </c>
      <c r="C24628" s="5">
        <v>40</v>
      </c>
      <c r="D24628" s="6">
        <v>18.190000000000001</v>
      </c>
    </row>
    <row r="24629" spans="1:4" x14ac:dyDescent="0.25">
      <c r="A24629" t="str">
        <f>HYPERLINK("https://www.773grp.com/globalSearch/DCV010505P-U-700/page-1", "DCV010505P-U-700")</f>
        <v>DCV010505P-U-700</v>
      </c>
      <c r="B24629" s="3" t="s">
        <v>90</v>
      </c>
      <c r="C24629" s="5">
        <v>700</v>
      </c>
      <c r="D24629" s="6">
        <v>18.260000000000002</v>
      </c>
    </row>
    <row r="24630" spans="1:4" x14ac:dyDescent="0.25">
      <c r="A24630" t="str">
        <f>HYPERLINK("https://www.773grp.com/globalSearch/DCV011515DP-U-700/page-1", "DCV011515DP-U-700")</f>
        <v>DCV011515DP-U-700</v>
      </c>
      <c r="B24630" s="3" t="s">
        <v>90</v>
      </c>
      <c r="C24630" s="5">
        <v>655</v>
      </c>
      <c r="D24630" s="6">
        <v>18.260000000000002</v>
      </c>
    </row>
    <row r="24631" spans="1:4" x14ac:dyDescent="0.25">
      <c r="A24631" t="str">
        <f>HYPERLINK("https://www.773grp.com/globalSearch/DAC7617U/page-1", "DAC7617U")</f>
        <v>DAC7617U</v>
      </c>
      <c r="B24631" s="3" t="s">
        <v>90</v>
      </c>
      <c r="C24631" s="5">
        <v>1381</v>
      </c>
      <c r="D24631" s="6">
        <v>18.28</v>
      </c>
    </row>
    <row r="24632" spans="1:4" x14ac:dyDescent="0.25">
      <c r="A24632" t="str">
        <f>HYPERLINK("https://www.773grp.com/globalSearch/LMX2541SQ2060E-NOPB/page-1", "LMX2541SQ2060E-NOPB")</f>
        <v>LMX2541SQ2060E-NOPB</v>
      </c>
      <c r="B24632" s="3" t="s">
        <v>90</v>
      </c>
      <c r="C24632" s="5">
        <v>76</v>
      </c>
      <c r="D24632" s="6">
        <v>18.28</v>
      </c>
    </row>
    <row r="24633" spans="1:4" x14ac:dyDescent="0.25">
      <c r="A24633" t="str">
        <f>HYPERLINK("https://www.773grp.com/globalSearch/LMX2541SQ2060E-NOPB/page-1", "LMX2541SQ2060E-NOPB")</f>
        <v>LMX2541SQ2060E-NOPB</v>
      </c>
      <c r="B24633" s="3" t="s">
        <v>90</v>
      </c>
      <c r="C24633" s="5">
        <v>3</v>
      </c>
      <c r="D24633" s="6">
        <v>18.28</v>
      </c>
    </row>
    <row r="24634" spans="1:4" x14ac:dyDescent="0.25">
      <c r="A24634" t="str">
        <f>HYPERLINK("https://www.773grp.com/globalSearch/SN74ACT16864DLR/page-1", "SN74ACT16864DLR")</f>
        <v>SN74ACT16864DLR</v>
      </c>
      <c r="B24634" s="3" t="s">
        <v>90</v>
      </c>
      <c r="C24634" s="5">
        <v>500</v>
      </c>
      <c r="D24634" s="6">
        <v>18.28</v>
      </c>
    </row>
    <row r="24635" spans="1:4" x14ac:dyDescent="0.25">
      <c r="A24635" t="str">
        <f>HYPERLINK("https://www.773grp.com/globalSearch/SP3345ABAOPM/page-1", "SP3345ABAOPM")</f>
        <v>SP3345ABAOPM</v>
      </c>
      <c r="B24635" s="3" t="s">
        <v>90</v>
      </c>
      <c r="C24635" s="5">
        <v>245</v>
      </c>
      <c r="D24635" s="6">
        <v>18.28</v>
      </c>
    </row>
    <row r="24636" spans="1:4" x14ac:dyDescent="0.25">
      <c r="A24636" t="str">
        <f>HYPERLINK("https://www.773grp.com/globalSearch/SP3345ACA0PMR/page-1", "SP3345ACA0PMR")</f>
        <v>SP3345ACA0PMR</v>
      </c>
      <c r="B24636" s="3" t="s">
        <v>90</v>
      </c>
      <c r="C24636" s="5">
        <v>223</v>
      </c>
      <c r="D24636" s="6">
        <v>18.28</v>
      </c>
    </row>
    <row r="24637" spans="1:4" x14ac:dyDescent="0.25">
      <c r="A24637" t="str">
        <f>HYPERLINK("https://www.773grp.com/globalSearch/SP3415AFA0DGG/page-1", "SP3415AFA0DGG")</f>
        <v>SP3415AFA0DGG</v>
      </c>
      <c r="B24637" s="3" t="s">
        <v>90</v>
      </c>
      <c r="C24637" s="5">
        <v>9</v>
      </c>
      <c r="D24637" s="6">
        <v>18.28</v>
      </c>
    </row>
    <row r="24638" spans="1:4" x14ac:dyDescent="0.25">
      <c r="A24638" t="str">
        <f>HYPERLINK("https://www.773grp.com/globalSearch/SP3721AAD0PM/page-1", "SP3721AAD0PM")</f>
        <v>SP3721AAD0PM</v>
      </c>
      <c r="B24638" s="3" t="s">
        <v>90</v>
      </c>
      <c r="C24638" s="5">
        <v>2880</v>
      </c>
      <c r="D24638" s="6">
        <v>18.28</v>
      </c>
    </row>
    <row r="24639" spans="1:4" x14ac:dyDescent="0.25">
      <c r="A24639" t="str">
        <f>HYPERLINK("https://www.773grp.com/globalSearch/SP3721DAA0PM/page-1", "SP3721DAA0PM")</f>
        <v>SP3721DAA0PM</v>
      </c>
      <c r="B24639" s="3" t="s">
        <v>90</v>
      </c>
      <c r="C24639" s="5">
        <v>140</v>
      </c>
      <c r="D24639" s="6">
        <v>18.28</v>
      </c>
    </row>
    <row r="24640" spans="1:4" x14ac:dyDescent="0.25">
      <c r="A24640" t="str">
        <f>HYPERLINK("https://www.773grp.com/globalSearch/SP3721DBA0PM/page-1", "SP3721DBA0PM")</f>
        <v>SP3721DBA0PM</v>
      </c>
      <c r="B24640" s="3" t="s">
        <v>90</v>
      </c>
      <c r="C24640" s="5">
        <v>15</v>
      </c>
      <c r="D24640" s="6">
        <v>18.28</v>
      </c>
    </row>
    <row r="24641" spans="1:4" x14ac:dyDescent="0.25">
      <c r="A24641" t="str">
        <f>HYPERLINK("https://www.773grp.com/globalSearch/SP3723ACC0PM/page-1", "SP3723ACC0PM")</f>
        <v>SP3723ACC0PM</v>
      </c>
      <c r="B24641" s="3" t="s">
        <v>90</v>
      </c>
      <c r="C24641" s="5">
        <v>1435</v>
      </c>
      <c r="D24641" s="6">
        <v>18.28</v>
      </c>
    </row>
    <row r="24642" spans="1:4" x14ac:dyDescent="0.25">
      <c r="A24642" t="str">
        <f>HYPERLINK("https://www.773grp.com/globalSearch/SP3723CAB0PM/page-1", "SP3723CAB0PM")</f>
        <v>SP3723CAB0PM</v>
      </c>
      <c r="B24642" s="3" t="s">
        <v>90</v>
      </c>
      <c r="C24642" s="5">
        <v>1120</v>
      </c>
      <c r="D24642" s="6">
        <v>18.28</v>
      </c>
    </row>
    <row r="24643" spans="1:4" x14ac:dyDescent="0.25">
      <c r="A24643" t="str">
        <f>HYPERLINK("https://www.773grp.com/globalSearch/SP3723CAD0PM/page-1", "SP3723CAD0PM")</f>
        <v>SP3723CAD0PM</v>
      </c>
      <c r="B24643" s="3" t="s">
        <v>90</v>
      </c>
      <c r="C24643" s="5">
        <v>5136</v>
      </c>
      <c r="D24643" s="6">
        <v>18.28</v>
      </c>
    </row>
    <row r="24644" spans="1:4" x14ac:dyDescent="0.25">
      <c r="A24644" t="str">
        <f>HYPERLINK("https://www.773grp.com/globalSearch/SP3723CAG0PM/page-1", "SP3723CAG0PM")</f>
        <v>SP3723CAG0PM</v>
      </c>
      <c r="B24644" s="3" t="s">
        <v>90</v>
      </c>
      <c r="C24644" s="5">
        <v>1309</v>
      </c>
      <c r="D24644" s="6">
        <v>18.28</v>
      </c>
    </row>
    <row r="24645" spans="1:4" x14ac:dyDescent="0.25">
      <c r="A24645" t="str">
        <f>HYPERLINK("https://www.773grp.com/globalSearch/SP3723DBC0PM/page-1", "SP3723DBC0PM")</f>
        <v>SP3723DBC0PM</v>
      </c>
      <c r="B24645" s="3" t="s">
        <v>90</v>
      </c>
      <c r="C24645" s="5">
        <v>595</v>
      </c>
      <c r="D24645" s="6">
        <v>18.28</v>
      </c>
    </row>
    <row r="24646" spans="1:4" x14ac:dyDescent="0.25">
      <c r="A24646" t="str">
        <f>HYPERLINK("https://www.773grp.com/globalSearch/SP3727DBA0PMR/page-1", "SP3727DBA0PMR")</f>
        <v>SP3727DBA0PMR</v>
      </c>
      <c r="B24646" s="3" t="s">
        <v>90</v>
      </c>
      <c r="C24646" s="5">
        <v>1000</v>
      </c>
      <c r="D24646" s="6">
        <v>18.28</v>
      </c>
    </row>
    <row r="24647" spans="1:4" x14ac:dyDescent="0.25">
      <c r="A24647" t="str">
        <f>HYPERLINK("https://www.773grp.com/globalSearch/SP3731ADB0PZ/page-1", "SP3731ADB0PZ")</f>
        <v>SP3731ADB0PZ</v>
      </c>
      <c r="B24647" s="3" t="s">
        <v>90</v>
      </c>
      <c r="C24647" s="5">
        <v>73158</v>
      </c>
      <c r="D24647" s="6">
        <v>18.28</v>
      </c>
    </row>
    <row r="24648" spans="1:4" x14ac:dyDescent="0.25">
      <c r="A24648" t="str">
        <f>HYPERLINK("https://www.773grp.com/globalSearch/SP3732BED0PZ/page-1", "SP3732BED0PZ")</f>
        <v>SP3732BED0PZ</v>
      </c>
      <c r="B24648" s="3" t="s">
        <v>90</v>
      </c>
      <c r="C24648" s="5">
        <v>8820</v>
      </c>
      <c r="D24648" s="6">
        <v>18.28</v>
      </c>
    </row>
    <row r="24649" spans="1:4" x14ac:dyDescent="0.25">
      <c r="A24649" t="str">
        <f>HYPERLINK("https://www.773grp.com/globalSearch/TRF3765IRHBT/page-1", "TRF3765IRHBT")</f>
        <v>TRF3765IRHBT</v>
      </c>
      <c r="B24649" s="3" t="s">
        <v>90</v>
      </c>
      <c r="C24649" s="5">
        <v>541</v>
      </c>
      <c r="D24649" s="6">
        <v>18.28</v>
      </c>
    </row>
    <row r="24650" spans="1:4" x14ac:dyDescent="0.25">
      <c r="A24650" t="str">
        <f>HYPERLINK("https://www.773grp.com/globalSearch/WM8144CCPT/page-1", "WM8144CCPT")</f>
        <v>WM8144CCPT</v>
      </c>
      <c r="B24650" s="3" t="s">
        <v>90</v>
      </c>
      <c r="C24650" s="5">
        <v>546</v>
      </c>
      <c r="D24650" s="6">
        <v>18.28</v>
      </c>
    </row>
    <row r="24651" spans="1:4" x14ac:dyDescent="0.25">
      <c r="A24651" t="str">
        <f>HYPERLINK("https://www.773grp.com/globalSearch/WM8144CPT/page-1", "WM8144CPT")</f>
        <v>WM8144CPT</v>
      </c>
      <c r="B24651" s="3" t="s">
        <v>90</v>
      </c>
      <c r="C24651" s="5">
        <v>5000</v>
      </c>
      <c r="D24651" s="6">
        <v>18.28</v>
      </c>
    </row>
    <row r="24652" spans="1:4" x14ac:dyDescent="0.25">
      <c r="A24652" t="str">
        <f>HYPERLINK("https://www.773grp.com/globalSearch/X4MF04207SPZQQ1/page-1", "X4MF04207SPZQQ1")</f>
        <v>X4MF04207SPZQQ1</v>
      </c>
      <c r="B24652" s="3" t="s">
        <v>90</v>
      </c>
      <c r="C24652" s="5">
        <v>49</v>
      </c>
      <c r="D24652" s="6">
        <v>18.28</v>
      </c>
    </row>
    <row r="24653" spans="1:4" x14ac:dyDescent="0.25">
      <c r="A24653" t="str">
        <f>HYPERLINK("https://www.773grp.com/globalSearch/NJ54ALS374J/page-1", "NJ54ALS374J")</f>
        <v>NJ54ALS374J</v>
      </c>
      <c r="B24653" s="3" t="s">
        <v>90</v>
      </c>
      <c r="C24653" s="5">
        <v>3</v>
      </c>
      <c r="D24653" s="6">
        <v>18.309999999999999</v>
      </c>
    </row>
    <row r="24654" spans="1:4" x14ac:dyDescent="0.25">
      <c r="A24654" t="str">
        <f>HYPERLINK("https://www.773grp.com/globalSearch/CD54HCT132F3A/page-1", "CD54HCT132F3A")</f>
        <v>CD54HCT132F3A</v>
      </c>
      <c r="B24654" s="3" t="s">
        <v>90</v>
      </c>
      <c r="C24654" s="5">
        <v>8</v>
      </c>
      <c r="D24654" s="6">
        <v>18.34</v>
      </c>
    </row>
    <row r="24655" spans="1:4" x14ac:dyDescent="0.25">
      <c r="A24655" t="str">
        <f>HYPERLINK("https://www.773grp.com/globalSearch/TLS84910PN/page-1", "TLS84910PN")</f>
        <v>TLS84910PN</v>
      </c>
      <c r="B24655" s="3" t="s">
        <v>90</v>
      </c>
      <c r="C24655" s="5">
        <v>10982</v>
      </c>
      <c r="D24655" s="6">
        <v>18.34</v>
      </c>
    </row>
    <row r="24656" spans="1:4" x14ac:dyDescent="0.25">
      <c r="A24656" t="str">
        <f>HYPERLINK("https://www.773grp.com/globalSearch/CD4027BF/page-1", "CD4027BF")</f>
        <v>CD4027BF</v>
      </c>
      <c r="B24656" s="3" t="s">
        <v>90</v>
      </c>
      <c r="C24656" s="5">
        <v>128</v>
      </c>
      <c r="D24656" s="6">
        <v>18.36</v>
      </c>
    </row>
    <row r="24657" spans="1:4" x14ac:dyDescent="0.25">
      <c r="A24657" t="str">
        <f>HYPERLINK("https://www.773grp.com/globalSearch/AM1705CPTPA3/page-1", "AM1705CPTPA3")</f>
        <v>AM1705CPTPA3</v>
      </c>
      <c r="B24657" s="3" t="s">
        <v>90</v>
      </c>
      <c r="C24657" s="5">
        <v>2200</v>
      </c>
      <c r="D24657" s="6">
        <v>18.43</v>
      </c>
    </row>
    <row r="24658" spans="1:4" x14ac:dyDescent="0.25">
      <c r="A24658" t="str">
        <f>HYPERLINK("https://www.773grp.com/globalSearch/DCR010503U-1K/page-1", "DCR010503U-1K")</f>
        <v>DCR010503U-1K</v>
      </c>
      <c r="B24658" s="3" t="s">
        <v>90</v>
      </c>
      <c r="C24658" s="5">
        <v>644</v>
      </c>
      <c r="D24658" s="6">
        <v>18.43</v>
      </c>
    </row>
    <row r="24659" spans="1:4" x14ac:dyDescent="0.25">
      <c r="A24659" t="str">
        <f>HYPERLINK("https://www.773grp.com/globalSearch/DCR010505U-1K/page-1", "DCR010505U-1K")</f>
        <v>DCR010505U-1K</v>
      </c>
      <c r="B24659" s="3" t="s">
        <v>90</v>
      </c>
      <c r="C24659" s="5">
        <v>396</v>
      </c>
      <c r="D24659" s="6">
        <v>18.43</v>
      </c>
    </row>
    <row r="24660" spans="1:4" x14ac:dyDescent="0.25">
      <c r="A24660" t="str">
        <f>HYPERLINK("https://www.773grp.com/globalSearch/INA114BU-1K/page-1", "INA114BU-1K")</f>
        <v>INA114BU-1K</v>
      </c>
      <c r="B24660" s="3" t="s">
        <v>90</v>
      </c>
      <c r="C24660" s="5">
        <v>3000</v>
      </c>
      <c r="D24660" s="6">
        <v>18.43</v>
      </c>
    </row>
    <row r="24661" spans="1:4" x14ac:dyDescent="0.25">
      <c r="A24661" t="str">
        <f>HYPERLINK("https://www.773grp.com/globalSearch/LMD18400N-NOPB/page-1", "LMD18400N-NOPB")</f>
        <v>LMD18400N-NOPB</v>
      </c>
      <c r="B24661" s="3" t="s">
        <v>90</v>
      </c>
      <c r="C24661" s="5">
        <v>1800</v>
      </c>
      <c r="D24661" s="6">
        <v>18.43</v>
      </c>
    </row>
    <row r="24662" spans="1:4" x14ac:dyDescent="0.25">
      <c r="A24662" t="str">
        <f>HYPERLINK("https://www.773grp.com/globalSearch/TAS5613PHD/page-1", "TAS5613PHD")</f>
        <v>TAS5613PHD</v>
      </c>
      <c r="B24662" s="3" t="s">
        <v>90</v>
      </c>
      <c r="C24662" s="5">
        <v>34</v>
      </c>
      <c r="D24662" s="6">
        <v>18.43</v>
      </c>
    </row>
    <row r="24663" spans="1:4" x14ac:dyDescent="0.25">
      <c r="A24663" t="str">
        <f>HYPERLINK("https://www.773grp.com/globalSearch/SNJ54ACT00FK/page-1", "SNJ54ACT00FK")</f>
        <v>SNJ54ACT00FK</v>
      </c>
      <c r="B24663" s="3" t="s">
        <v>90</v>
      </c>
      <c r="C24663" s="5">
        <v>11</v>
      </c>
      <c r="D24663" s="6">
        <v>18.45</v>
      </c>
    </row>
    <row r="24664" spans="1:4" x14ac:dyDescent="0.25">
      <c r="A24664" t="str">
        <f>HYPERLINK("https://www.773grp.com/globalSearch/SNJ54F540J/page-1", "SNJ54F540J")</f>
        <v>SNJ54F540J</v>
      </c>
      <c r="B24664" s="3" t="s">
        <v>90</v>
      </c>
      <c r="C24664" s="5">
        <v>3009</v>
      </c>
      <c r="D24664" s="6">
        <v>18.45</v>
      </c>
    </row>
    <row r="24665" spans="1:4" x14ac:dyDescent="0.25">
      <c r="A24665" t="str">
        <f>HYPERLINK("https://www.773grp.com/globalSearch/TMZ626802-12DGE/page-1", "TMZ626802-12DGE")</f>
        <v>TMZ626802-12DGE</v>
      </c>
      <c r="B24665" s="3" t="s">
        <v>90</v>
      </c>
      <c r="C24665" s="5">
        <v>882</v>
      </c>
      <c r="D24665" s="6">
        <v>18.45</v>
      </c>
    </row>
    <row r="24666" spans="1:4" x14ac:dyDescent="0.25">
      <c r="A24666" t="str">
        <f>HYPERLINK("https://www.773grp.com/globalSearch/DP83816AVNG/page-1", "DP83816AVNG")</f>
        <v>DP83816AVNG</v>
      </c>
      <c r="B24666" s="3" t="s">
        <v>90</v>
      </c>
      <c r="C24666" s="5">
        <v>120</v>
      </c>
      <c r="D24666" s="6">
        <v>18.510000000000002</v>
      </c>
    </row>
    <row r="24667" spans="1:4" x14ac:dyDescent="0.25">
      <c r="A24667" t="str">
        <f>HYPERLINK("https://www.773grp.com/globalSearch/CD4040BF3A/page-1", "CD4040BF3A")</f>
        <v>CD4040BF3A</v>
      </c>
      <c r="B24667" s="3" t="s">
        <v>90</v>
      </c>
      <c r="C24667" s="5">
        <v>78</v>
      </c>
      <c r="D24667" s="6">
        <v>18.53</v>
      </c>
    </row>
    <row r="24668" spans="1:4" x14ac:dyDescent="0.25">
      <c r="A24668" t="str">
        <f>HYPERLINK("https://www.773grp.com/globalSearch/DAC8555IPWG4/page-1", "DAC8555IPWG4")</f>
        <v>DAC8555IPWG4</v>
      </c>
      <c r="B24668" s="3" t="s">
        <v>90</v>
      </c>
      <c r="C24668" s="5">
        <v>60</v>
      </c>
      <c r="D24668" s="6">
        <v>18.559999999999999</v>
      </c>
    </row>
    <row r="24669" spans="1:4" x14ac:dyDescent="0.25">
      <c r="A24669" t="str">
        <f>HYPERLINK("https://www.773grp.com/globalSearch/SN72PV195DBTR/page-1", "SN72PV195DBTR")</f>
        <v>SN72PV195DBTR</v>
      </c>
      <c r="B24669" s="3" t="s">
        <v>90</v>
      </c>
      <c r="C24669" s="5">
        <v>4000</v>
      </c>
      <c r="D24669" s="6">
        <v>18.559999999999999</v>
      </c>
    </row>
    <row r="24670" spans="1:4" x14ac:dyDescent="0.25">
      <c r="A24670" t="str">
        <f>HYPERLINK("https://www.773grp.com/globalSearch/SNJ54ALS253J/page-1", "SNJ54ALS253J")</f>
        <v>SNJ54ALS253J</v>
      </c>
      <c r="B24670" s="3" t="s">
        <v>90</v>
      </c>
      <c r="C24670" s="5">
        <v>60</v>
      </c>
      <c r="D24670" s="6">
        <v>18.600000000000001</v>
      </c>
    </row>
    <row r="24671" spans="1:4" x14ac:dyDescent="0.25">
      <c r="A24671" t="str">
        <f>HYPERLINK("https://www.773grp.com/globalSearch/5962-9555001NXDR/page-1", "5962-9555001NXDR")</f>
        <v>5962-9555001NXDR</v>
      </c>
      <c r="B24671" s="3" t="s">
        <v>90</v>
      </c>
      <c r="C24671" s="5">
        <v>2500</v>
      </c>
      <c r="D24671" s="6">
        <v>18.61</v>
      </c>
    </row>
    <row r="24672" spans="1:4" x14ac:dyDescent="0.25">
      <c r="A24672" t="str">
        <f>HYPERLINK("https://www.773grp.com/globalSearch/2A660/page-1", "2A660")</f>
        <v>2A660</v>
      </c>
      <c r="B24672" s="3" t="s">
        <v>90</v>
      </c>
      <c r="C24672" s="5">
        <v>3499</v>
      </c>
      <c r="D24672" s="6">
        <v>18.7</v>
      </c>
    </row>
    <row r="24673" spans="1:4" x14ac:dyDescent="0.25">
      <c r="A24673" t="str">
        <f>HYPERLINK("https://www.773grp.com/globalSearch/MSP430F2619TPN/page-1", "MSP430F2619TPN")</f>
        <v>MSP430F2619TPN</v>
      </c>
      <c r="B24673" s="3" t="s">
        <v>90</v>
      </c>
      <c r="C24673" s="5">
        <v>300</v>
      </c>
      <c r="D24673" s="6">
        <v>18.7</v>
      </c>
    </row>
    <row r="24674" spans="1:4" x14ac:dyDescent="0.25">
      <c r="A24674" t="str">
        <f>HYPERLINK("https://www.773grp.com/globalSearch/OPA602BP/page-1", "OPA602BP")</f>
        <v>OPA602BP</v>
      </c>
      <c r="B24674" s="3" t="s">
        <v>90</v>
      </c>
      <c r="C24674" s="5">
        <v>2000</v>
      </c>
      <c r="D24674" s="6">
        <v>18.7</v>
      </c>
    </row>
    <row r="24675" spans="1:4" x14ac:dyDescent="0.25">
      <c r="A24675" t="str">
        <f>HYPERLINK("https://www.773grp.com/globalSearch/TMS45169-70DZ/page-1", "TMS45169-70DZ")</f>
        <v>TMS45169-70DZ</v>
      </c>
      <c r="B24675" s="3" t="s">
        <v>90</v>
      </c>
      <c r="C24675" s="5">
        <v>331</v>
      </c>
      <c r="D24675" s="6">
        <v>18.739999999999998</v>
      </c>
    </row>
    <row r="24676" spans="1:4" x14ac:dyDescent="0.25">
      <c r="A24676" t="str">
        <f>HYPERLINK("https://www.773grp.com/globalSearch/LM137H-NOPB/page-1", "LM137H-NOPB")</f>
        <v>LM137H-NOPB</v>
      </c>
      <c r="B24676" s="3" t="s">
        <v>90</v>
      </c>
      <c r="C24676" s="5">
        <v>640</v>
      </c>
      <c r="D24676" s="6">
        <v>18.760000000000002</v>
      </c>
    </row>
    <row r="24677" spans="1:4" x14ac:dyDescent="0.25">
      <c r="A24677" t="str">
        <f>HYPERLINK("https://www.773grp.com/globalSearch/UC3875DWP-81316/page-1", "UC3875DWP-81316")</f>
        <v>UC3875DWP-81316</v>
      </c>
      <c r="B24677" s="3" t="s">
        <v>90</v>
      </c>
      <c r="C24677" s="5">
        <v>280</v>
      </c>
      <c r="D24677" s="6">
        <v>18.760000000000002</v>
      </c>
    </row>
    <row r="24678" spans="1:4" x14ac:dyDescent="0.25">
      <c r="A24678" t="str">
        <f>HYPERLINK("https://www.773grp.com/globalSearch/UC3875DWP-81316/page-1", "UC3875DWP-81316")</f>
        <v>UC3875DWP-81316</v>
      </c>
      <c r="B24678" s="3" t="s">
        <v>90</v>
      </c>
      <c r="C24678" s="5">
        <v>100</v>
      </c>
      <c r="D24678" s="6">
        <v>18.760000000000002</v>
      </c>
    </row>
    <row r="24679" spans="1:4" x14ac:dyDescent="0.25">
      <c r="A24679" t="str">
        <f>HYPERLINK("https://www.773grp.com/globalSearch/ADS8320EB-250/page-1", "ADS8320EB-250")</f>
        <v>ADS8320EB-250</v>
      </c>
      <c r="B24679" s="3" t="s">
        <v>90</v>
      </c>
      <c r="C24679" s="5">
        <v>748</v>
      </c>
      <c r="D24679" s="6">
        <v>18.850000000000001</v>
      </c>
    </row>
    <row r="24680" spans="1:4" x14ac:dyDescent="0.25">
      <c r="A24680" t="str">
        <f>HYPERLINK("https://www.773grp.com/globalSearch/BQ2083DBTR-V132/page-1", "BQ2083DBTR-V132")</f>
        <v>BQ2083DBTR-V132</v>
      </c>
      <c r="B24680" s="3" t="s">
        <v>90</v>
      </c>
      <c r="C24680" s="5">
        <v>4000</v>
      </c>
      <c r="D24680" s="6">
        <v>18.850000000000001</v>
      </c>
    </row>
    <row r="24681" spans="1:4" x14ac:dyDescent="0.25">
      <c r="A24681" t="str">
        <f>HYPERLINK("https://www.773grp.com/globalSearch/BQ2083DBT-V132/page-1", "BQ2083DBT-V132")</f>
        <v>BQ2083DBT-V132</v>
      </c>
      <c r="B24681" s="3" t="s">
        <v>90</v>
      </c>
      <c r="C24681" s="5">
        <v>2900</v>
      </c>
      <c r="D24681" s="6">
        <v>18.850000000000001</v>
      </c>
    </row>
    <row r="24682" spans="1:4" x14ac:dyDescent="0.25">
      <c r="A24682" t="str">
        <f>HYPERLINK("https://www.773grp.com/globalSearch/DAC7614U-1K/page-1", "DAC7614U-1K")</f>
        <v>DAC7614U-1K</v>
      </c>
      <c r="B24682" s="3" t="s">
        <v>90</v>
      </c>
      <c r="C24682" s="5">
        <v>23800</v>
      </c>
      <c r="D24682" s="6">
        <v>18.850000000000001</v>
      </c>
    </row>
    <row r="24683" spans="1:4" x14ac:dyDescent="0.25">
      <c r="A24683" t="str">
        <f>HYPERLINK("https://www.773grp.com/globalSearch/LMH6521SQE-NOPB/page-1", "LMH6521SQE-NOPB")</f>
        <v>LMH6521SQE-NOPB</v>
      </c>
      <c r="B24683" s="3" t="s">
        <v>90</v>
      </c>
      <c r="C24683" s="5">
        <v>25</v>
      </c>
      <c r="D24683" s="6">
        <v>18.850000000000001</v>
      </c>
    </row>
    <row r="24684" spans="1:4" x14ac:dyDescent="0.25">
      <c r="A24684" t="str">
        <f>HYPERLINK("https://www.773grp.com/globalSearch/TAS5611PHD/page-1", "TAS5611PHD")</f>
        <v>TAS5611PHD</v>
      </c>
      <c r="B24684" s="3" t="s">
        <v>90</v>
      </c>
      <c r="C24684" s="5">
        <v>70</v>
      </c>
      <c r="D24684" s="6">
        <v>18.850000000000001</v>
      </c>
    </row>
    <row r="24685" spans="1:4" x14ac:dyDescent="0.25">
      <c r="A24685" t="str">
        <f>HYPERLINK("https://www.773grp.com/globalSearch/TMS320F28062FPNT/page-1", "TMS320F28062FPNT")</f>
        <v>TMS320F28062FPNT</v>
      </c>
      <c r="B24685" s="3" t="s">
        <v>90</v>
      </c>
      <c r="C24685" s="5">
        <v>357</v>
      </c>
      <c r="D24685" s="6">
        <v>18.850000000000001</v>
      </c>
    </row>
    <row r="24686" spans="1:4" x14ac:dyDescent="0.25">
      <c r="A24686" t="str">
        <f>HYPERLINK("https://www.773grp.com/globalSearch/TSB12LV32IPZ/page-1", "TSB12LV32IPZ")</f>
        <v>TSB12LV32IPZ</v>
      </c>
      <c r="B24686" s="3" t="s">
        <v>90</v>
      </c>
      <c r="C24686" s="5">
        <v>350</v>
      </c>
      <c r="D24686" s="6">
        <v>18.850000000000001</v>
      </c>
    </row>
    <row r="24687" spans="1:4" x14ac:dyDescent="0.25">
      <c r="A24687" t="str">
        <f>HYPERLINK("https://www.773grp.com/globalSearch/TVP5154APNP/page-1", "TVP5154APNP")</f>
        <v>TVP5154APNP</v>
      </c>
      <c r="B24687" s="3" t="s">
        <v>90</v>
      </c>
      <c r="C24687" s="5">
        <v>212</v>
      </c>
      <c r="D24687" s="6">
        <v>18.95</v>
      </c>
    </row>
    <row r="24688" spans="1:4" x14ac:dyDescent="0.25">
      <c r="A24688" t="str">
        <f>HYPERLINK("https://www.773grp.com/globalSearch/TVP5154APNPR/page-1", "TVP5154APNPR")</f>
        <v>TVP5154APNPR</v>
      </c>
      <c r="B24688" s="3" t="s">
        <v>90</v>
      </c>
      <c r="C24688" s="5">
        <v>600</v>
      </c>
      <c r="D24688" s="6">
        <v>18.95</v>
      </c>
    </row>
    <row r="24689" spans="1:4" x14ac:dyDescent="0.25">
      <c r="A24689" t="str">
        <f>HYPERLINK("https://www.773grp.com/globalSearch/ADS1204IRHBR/page-1", "ADS1204IRHBR")</f>
        <v>ADS1204IRHBR</v>
      </c>
      <c r="B24689" s="3" t="s">
        <v>90</v>
      </c>
      <c r="C24689" s="5">
        <v>11800</v>
      </c>
      <c r="D24689" s="6">
        <v>18.989999999999998</v>
      </c>
    </row>
    <row r="24690" spans="1:4" x14ac:dyDescent="0.25">
      <c r="A24690" t="str">
        <f>HYPERLINK("https://www.773grp.com/globalSearch/ADS1259IPW/page-1", "ADS1259IPW")</f>
        <v>ADS1259IPW</v>
      </c>
      <c r="B24690" s="3" t="s">
        <v>90</v>
      </c>
      <c r="C24690" s="5">
        <v>15</v>
      </c>
      <c r="D24690" s="6">
        <v>18.989999999999998</v>
      </c>
    </row>
    <row r="24691" spans="1:4" x14ac:dyDescent="0.25">
      <c r="A24691" t="str">
        <f>HYPERLINK("https://www.773grp.com/globalSearch/UA747MWB/page-1", "UA747MWB")</f>
        <v>UA747MWB</v>
      </c>
      <c r="B24691" s="3" t="s">
        <v>90</v>
      </c>
      <c r="C24691" s="5">
        <v>192</v>
      </c>
      <c r="D24691" s="6">
        <v>18.989999999999998</v>
      </c>
    </row>
    <row r="24692" spans="1:4" x14ac:dyDescent="0.25">
      <c r="A24692" t="str">
        <f>HYPERLINK("https://www.773grp.com/globalSearch/UC2625Q/page-1", "UC2625Q")</f>
        <v>UC2625Q</v>
      </c>
      <c r="B24692" s="3" t="s">
        <v>90</v>
      </c>
      <c r="C24692" s="5">
        <v>2701</v>
      </c>
      <c r="D24692" s="6">
        <v>18.989999999999998</v>
      </c>
    </row>
    <row r="24693" spans="1:4" x14ac:dyDescent="0.25">
      <c r="A24693" t="str">
        <f>HYPERLINK("https://www.773grp.com/globalSearch/SN54AS138J/page-1", "SN54AS138J")</f>
        <v>SN54AS138J</v>
      </c>
      <c r="B24693" s="3" t="s">
        <v>90</v>
      </c>
      <c r="C24693" s="5">
        <v>19</v>
      </c>
      <c r="D24693" s="6">
        <v>19.010000000000002</v>
      </c>
    </row>
    <row r="24694" spans="1:4" x14ac:dyDescent="0.25">
      <c r="A24694" t="str">
        <f>HYPERLINK("https://www.773grp.com/globalSearch/5962-8769901MDA/page-1", "5962-8769901MDA")</f>
        <v>5962-8769901MDA</v>
      </c>
      <c r="B24694" s="3" t="s">
        <v>90</v>
      </c>
      <c r="C24694" s="5">
        <v>44</v>
      </c>
      <c r="D24694" s="6">
        <v>19.100000000000001</v>
      </c>
    </row>
    <row r="24695" spans="1:4" x14ac:dyDescent="0.25">
      <c r="A24695" t="str">
        <f>HYPERLINK("https://www.773grp.com/globalSearch/CD4025BF3A/page-1", "CD4025BF3A")</f>
        <v>CD4025BF3A</v>
      </c>
      <c r="B24695" s="3" t="s">
        <v>90</v>
      </c>
      <c r="C24695" s="5">
        <v>16</v>
      </c>
      <c r="D24695" s="6">
        <v>19.100000000000001</v>
      </c>
    </row>
    <row r="24696" spans="1:4" x14ac:dyDescent="0.25">
      <c r="A24696" t="str">
        <f>HYPERLINK("https://www.773grp.com/globalSearch/AM1705BPTPD4/page-1", "AM1705BPTPD4")</f>
        <v>AM1705BPTPD4</v>
      </c>
      <c r="B24696" s="3" t="s">
        <v>90</v>
      </c>
      <c r="C24696" s="5">
        <v>307</v>
      </c>
      <c r="D24696" s="6">
        <v>19.13</v>
      </c>
    </row>
    <row r="24697" spans="1:4" x14ac:dyDescent="0.25">
      <c r="A24697" t="str">
        <f>HYPERLINK("https://www.773grp.com/globalSearch/SNJ54ALS175J/page-1", "SNJ54ALS175J")</f>
        <v>SNJ54ALS175J</v>
      </c>
      <c r="B24697" s="3" t="s">
        <v>90</v>
      </c>
      <c r="C24697" s="5">
        <v>37</v>
      </c>
      <c r="D24697" s="6">
        <v>19.13</v>
      </c>
    </row>
    <row r="24698" spans="1:4" x14ac:dyDescent="0.25">
      <c r="A24698" t="str">
        <f>HYPERLINK("https://www.773grp.com/globalSearch/32R1606AR4CVT/page-1", "32R1606AR4CVT")</f>
        <v>32R1606AR4CVT</v>
      </c>
      <c r="B24698" s="3" t="s">
        <v>90</v>
      </c>
      <c r="C24698" s="5">
        <v>339</v>
      </c>
      <c r="D24698" s="6">
        <v>19.149999999999999</v>
      </c>
    </row>
    <row r="24699" spans="1:4" x14ac:dyDescent="0.25">
      <c r="A24699" t="str">
        <f>HYPERLINK("https://www.773grp.com/globalSearch/32R1607AR-4CVT/page-1", "32R1607AR-4CVT")</f>
        <v>32R1607AR-4CVT</v>
      </c>
      <c r="B24699" s="3" t="s">
        <v>90</v>
      </c>
      <c r="C24699" s="5">
        <v>33852</v>
      </c>
      <c r="D24699" s="6">
        <v>19.149999999999999</v>
      </c>
    </row>
    <row r="24700" spans="1:4" x14ac:dyDescent="0.25">
      <c r="A24700" t="str">
        <f>HYPERLINK("https://www.773grp.com/globalSearch/CD40105BF/page-1", "CD40105BF")</f>
        <v>CD40105BF</v>
      </c>
      <c r="B24700" s="3" t="s">
        <v>90</v>
      </c>
      <c r="C24700" s="5">
        <v>155</v>
      </c>
      <c r="D24700" s="6">
        <v>19.149999999999999</v>
      </c>
    </row>
    <row r="24701" spans="1:4" x14ac:dyDescent="0.25">
      <c r="A24701" t="str">
        <f>HYPERLINK("https://www.773grp.com/globalSearch/TLC3548IPWR/page-1", "TLC3548IPWR")</f>
        <v>TLC3548IPWR</v>
      </c>
      <c r="B24701" s="3" t="s">
        <v>90</v>
      </c>
      <c r="C24701" s="5">
        <v>2000</v>
      </c>
      <c r="D24701" s="6">
        <v>19.28</v>
      </c>
    </row>
    <row r="24702" spans="1:4" x14ac:dyDescent="0.25">
      <c r="A24702" t="str">
        <f>HYPERLINK("https://www.773grp.com/globalSearch/TPS658621AZGUT-1/page-1", "TPS658621AZGUT-1")</f>
        <v>TPS658621AZGUT-1</v>
      </c>
      <c r="B24702" s="3" t="s">
        <v>90</v>
      </c>
      <c r="C24702" s="5">
        <v>782</v>
      </c>
      <c r="D24702" s="6">
        <v>19.28</v>
      </c>
    </row>
    <row r="24703" spans="1:4" x14ac:dyDescent="0.25">
      <c r="A24703" t="str">
        <f>HYPERLINK("https://www.773grp.com/globalSearch/TPS658621DZGUT/page-1", "TPS658621DZGUT")</f>
        <v>TPS658621DZGUT</v>
      </c>
      <c r="B24703" s="3" t="s">
        <v>90</v>
      </c>
      <c r="C24703" s="5">
        <v>7915</v>
      </c>
      <c r="D24703" s="6">
        <v>19.28</v>
      </c>
    </row>
    <row r="24704" spans="1:4" x14ac:dyDescent="0.25">
      <c r="A24704" t="str">
        <f>HYPERLINK("https://www.773grp.com/globalSearch/TPS658621DZQZT/page-1", "TPS658621DZQZT")</f>
        <v>TPS658621DZQZT</v>
      </c>
      <c r="B24704" s="3" t="s">
        <v>90</v>
      </c>
      <c r="C24704" s="5">
        <v>750</v>
      </c>
      <c r="D24704" s="6">
        <v>19.28</v>
      </c>
    </row>
    <row r="24705" spans="1:4" x14ac:dyDescent="0.25">
      <c r="A24705" t="str">
        <f>HYPERLINK("https://www.773grp.com/globalSearch/TPS658623ZGUT/page-1", "TPS658623ZGUT")</f>
        <v>TPS658623ZGUT</v>
      </c>
      <c r="B24705" s="3" t="s">
        <v>90</v>
      </c>
      <c r="C24705" s="5">
        <v>2174</v>
      </c>
      <c r="D24705" s="6">
        <v>19.28</v>
      </c>
    </row>
    <row r="24706" spans="1:4" x14ac:dyDescent="0.25">
      <c r="A24706" t="str">
        <f>HYPERLINK("https://www.773grp.com/globalSearch/TPS658623ZQZT/page-1", "TPS658623ZQZT")</f>
        <v>TPS658623ZQZT</v>
      </c>
      <c r="B24706" s="3" t="s">
        <v>90</v>
      </c>
      <c r="C24706" s="5">
        <v>9994</v>
      </c>
      <c r="D24706" s="6">
        <v>19.28</v>
      </c>
    </row>
    <row r="24707" spans="1:4" x14ac:dyDescent="0.25">
      <c r="A24707" t="str">
        <f>HYPERLINK("https://www.773grp.com/globalSearch/UC3855BDW/page-1", "UC3855BDW")</f>
        <v>UC3855BDW</v>
      </c>
      <c r="B24707" s="3" t="s">
        <v>90</v>
      </c>
      <c r="C24707" s="5">
        <v>1050</v>
      </c>
      <c r="D24707" s="6">
        <v>19.28</v>
      </c>
    </row>
    <row r="24708" spans="1:4" x14ac:dyDescent="0.25">
      <c r="A24708" t="str">
        <f>HYPERLINK("https://www.773grp.com/globalSearch/V62-04752-01XE/page-1", "V62-04752-01XE")</f>
        <v>V62-04752-01XE</v>
      </c>
      <c r="B24708" s="3" t="s">
        <v>90</v>
      </c>
      <c r="C24708" s="5">
        <v>944</v>
      </c>
      <c r="D24708" s="6">
        <v>19.28</v>
      </c>
    </row>
    <row r="24709" spans="1:4" x14ac:dyDescent="0.25">
      <c r="A24709" t="str">
        <f>HYPERLINK("https://www.773grp.com/globalSearch/5962-9322701QRA/page-1", "5962-9322701QRA")</f>
        <v>5962-9322701QRA</v>
      </c>
      <c r="B24709" s="3" t="s">
        <v>90</v>
      </c>
      <c r="C24709" s="5">
        <v>48</v>
      </c>
      <c r="D24709" s="6">
        <v>19.350000000000001</v>
      </c>
    </row>
    <row r="24710" spans="1:4" x14ac:dyDescent="0.25">
      <c r="A24710" t="str">
        <f>HYPERLINK("https://www.773grp.com/globalSearch/MSP430F167IPM/page-1", "MSP430F167IPM")</f>
        <v>MSP430F167IPM</v>
      </c>
      <c r="B24710" s="3" t="s">
        <v>90</v>
      </c>
      <c r="C24710" s="5">
        <v>145</v>
      </c>
      <c r="D24710" s="6">
        <v>19.350000000000001</v>
      </c>
    </row>
    <row r="24711" spans="1:4" x14ac:dyDescent="0.25">
      <c r="A24711" t="str">
        <f>HYPERLINK("https://www.773grp.com/globalSearch/PTH04T260WAD/page-1", "PTH04T260WAD")</f>
        <v>PTH04T260WAD</v>
      </c>
      <c r="B24711" s="3" t="s">
        <v>90</v>
      </c>
      <c r="C24711" s="5">
        <v>1</v>
      </c>
      <c r="D24711" s="6">
        <v>19.350000000000001</v>
      </c>
    </row>
    <row r="24712" spans="1:4" x14ac:dyDescent="0.25">
      <c r="A24712" t="str">
        <f>HYPERLINK("https://www.773grp.com/globalSearch/PTH04T260WAZT/page-1", "PTH04T260WAZT")</f>
        <v>PTH04T260WAZT</v>
      </c>
      <c r="B24712" s="3" t="s">
        <v>90</v>
      </c>
      <c r="C24712" s="5">
        <v>250</v>
      </c>
      <c r="D24712" s="6">
        <v>19.350000000000001</v>
      </c>
    </row>
    <row r="24713" spans="1:4" x14ac:dyDescent="0.25">
      <c r="A24713" t="str">
        <f>HYPERLINK("https://www.773grp.com/globalSearch/LMH6517SQE-NOPB/page-1", "LMH6517SQE-NOPB")</f>
        <v>LMH6517SQE-NOPB</v>
      </c>
      <c r="B24713" s="3" t="s">
        <v>90</v>
      </c>
      <c r="C24713" s="5">
        <v>15</v>
      </c>
      <c r="D24713" s="6">
        <v>19.38</v>
      </c>
    </row>
    <row r="24714" spans="1:4" x14ac:dyDescent="0.25">
      <c r="A24714" t="str">
        <f>HYPERLINK("https://www.773grp.com/globalSearch/32R1606AR4CTVR/page-1", "32R1606AR4CTVR")</f>
        <v>32R1606AR4CTVR</v>
      </c>
      <c r="B24714" s="3" t="s">
        <v>90</v>
      </c>
      <c r="C24714" s="5">
        <v>18000</v>
      </c>
      <c r="D24714" s="6">
        <v>19.41</v>
      </c>
    </row>
    <row r="24715" spans="1:4" x14ac:dyDescent="0.25">
      <c r="A24715" t="str">
        <f>HYPERLINK("https://www.773grp.com/globalSearch/32R1607AR4CVTR/page-1", "32R1607AR4CVTR")</f>
        <v>32R1607AR4CVTR</v>
      </c>
      <c r="B24715" s="3" t="s">
        <v>90</v>
      </c>
      <c r="C24715" s="5">
        <v>45500</v>
      </c>
      <c r="D24715" s="6">
        <v>19.41</v>
      </c>
    </row>
    <row r="24716" spans="1:4" x14ac:dyDescent="0.25">
      <c r="A24716" t="str">
        <f>HYPERLINK("https://www.773grp.com/globalSearch/32R1608CR-4VTR/page-1", "32R1608CR-4VTR")</f>
        <v>32R1608CR-4VTR</v>
      </c>
      <c r="B24716" s="3" t="s">
        <v>90</v>
      </c>
      <c r="C24716" s="5">
        <v>1300000</v>
      </c>
      <c r="D24716" s="6">
        <v>19.41</v>
      </c>
    </row>
    <row r="24717" spans="1:4" x14ac:dyDescent="0.25">
      <c r="A24717" t="str">
        <f>HYPERLINK("https://www.773grp.com/globalSearch/BQ78PL116RGZT/page-1", "BQ78PL116RGZT")</f>
        <v>BQ78PL116RGZT</v>
      </c>
      <c r="B24717" s="3" t="s">
        <v>90</v>
      </c>
      <c r="C24717" s="5">
        <v>250</v>
      </c>
      <c r="D24717" s="6">
        <v>19.41</v>
      </c>
    </row>
    <row r="24718" spans="1:4" x14ac:dyDescent="0.25">
      <c r="A24718" t="str">
        <f>HYPERLINK("https://www.773grp.com/globalSearch/DAC7616UB/page-1", "DAC7616UB")</f>
        <v>DAC7616UB</v>
      </c>
      <c r="B24718" s="3" t="s">
        <v>90</v>
      </c>
      <c r="C24718" s="5">
        <v>5320</v>
      </c>
      <c r="D24718" s="6">
        <v>19.41</v>
      </c>
    </row>
    <row r="24719" spans="1:4" x14ac:dyDescent="0.25">
      <c r="A24719" t="str">
        <f>HYPERLINK("https://www.773grp.com/globalSearch/DAC7631EB-1K/page-1", "DAC7631EB-1K")</f>
        <v>DAC7631EB-1K</v>
      </c>
      <c r="B24719" s="3" t="s">
        <v>90</v>
      </c>
      <c r="C24719" s="5">
        <v>389</v>
      </c>
      <c r="D24719" s="6">
        <v>19.41</v>
      </c>
    </row>
    <row r="24720" spans="1:4" x14ac:dyDescent="0.25">
      <c r="A24720" t="str">
        <f>HYPERLINK("https://www.773grp.com/globalSearch/DAC7678SRGET/page-1", "DAC7678SRGET")</f>
        <v>DAC7678SRGET</v>
      </c>
      <c r="B24720" s="3" t="s">
        <v>90</v>
      </c>
      <c r="C24720" s="5">
        <v>63</v>
      </c>
      <c r="D24720" s="6">
        <v>19.41</v>
      </c>
    </row>
    <row r="24721" spans="1:4" x14ac:dyDescent="0.25">
      <c r="A24721" t="str">
        <f>HYPERLINK("https://www.773grp.com/globalSearch/PTH03050YBH/page-1", "PTH03050YBH")</f>
        <v>PTH03050YBH</v>
      </c>
      <c r="B24721" s="3" t="s">
        <v>90</v>
      </c>
      <c r="C24721" s="5">
        <v>1288</v>
      </c>
      <c r="D24721" s="6">
        <v>19.41</v>
      </c>
    </row>
    <row r="24722" spans="1:4" x14ac:dyDescent="0.25">
      <c r="A24722" t="str">
        <f>HYPERLINK("https://www.773grp.com/globalSearch/PTH12050WAG/page-1", "PTH12050WAG")</f>
        <v>PTH12050WAG</v>
      </c>
      <c r="B24722" s="3" t="s">
        <v>90</v>
      </c>
      <c r="C24722" s="5">
        <v>392</v>
      </c>
      <c r="D24722" s="6">
        <v>19.41</v>
      </c>
    </row>
    <row r="24723" spans="1:4" x14ac:dyDescent="0.25">
      <c r="A24723" t="str">
        <f>HYPERLINK("https://www.773grp.com/globalSearch/TLV320AIC24IPFB-1/page-1", "TLV320AIC24IPFB-1")</f>
        <v>TLV320AIC24IPFB-1</v>
      </c>
      <c r="B24723" s="3" t="s">
        <v>90</v>
      </c>
      <c r="C24723" s="5">
        <v>2233</v>
      </c>
      <c r="D24723" s="6">
        <v>19.41</v>
      </c>
    </row>
    <row r="24724" spans="1:4" x14ac:dyDescent="0.25">
      <c r="A24724" t="str">
        <f>HYPERLINK("https://www.773grp.com/globalSearch/UCC2305TDWRQ1/page-1", "UCC2305TDWRQ1")</f>
        <v>UCC2305TDWRQ1</v>
      </c>
      <c r="B24724" s="3" t="s">
        <v>90</v>
      </c>
      <c r="C24724" s="5">
        <v>100672</v>
      </c>
      <c r="D24724" s="6">
        <v>19.41</v>
      </c>
    </row>
    <row r="24725" spans="1:4" x14ac:dyDescent="0.25">
      <c r="A24725" t="str">
        <f>HYPERLINK("https://www.773grp.com/globalSearch/TMS370C712ANT/page-1", "TMS370C712ANT")</f>
        <v>TMS370C712ANT</v>
      </c>
      <c r="B24725" s="3" t="s">
        <v>90</v>
      </c>
      <c r="C24725" s="5">
        <v>14856</v>
      </c>
      <c r="D24725" s="6">
        <v>19.46</v>
      </c>
    </row>
    <row r="24726" spans="1:4" x14ac:dyDescent="0.25">
      <c r="A24726" t="str">
        <f>HYPERLINK("https://www.773grp.com/globalSearch/SN5408WA/page-1", "SN5408WA")</f>
        <v>SN5408WA</v>
      </c>
      <c r="B24726" s="3" t="s">
        <v>90</v>
      </c>
      <c r="C24726" s="5">
        <v>1363</v>
      </c>
      <c r="D24726" s="6">
        <v>19.54</v>
      </c>
    </row>
    <row r="24727" spans="1:4" x14ac:dyDescent="0.25">
      <c r="A24727" t="str">
        <f>HYPERLINK("https://www.773grp.com/globalSearch/TPS658622AZQZR/page-1", "TPS658622AZQZR")</f>
        <v>TPS658622AZQZR</v>
      </c>
      <c r="B24727" s="3" t="s">
        <v>90</v>
      </c>
      <c r="C24727" s="5">
        <v>2500</v>
      </c>
      <c r="D24727" s="6">
        <v>19.54</v>
      </c>
    </row>
    <row r="24728" spans="1:4" x14ac:dyDescent="0.25">
      <c r="A24728" t="str">
        <f>HYPERLINK("https://www.773grp.com/globalSearch/TPS658622BZQZR/page-1", "TPS658622BZQZR")</f>
        <v>TPS658622BZQZR</v>
      </c>
      <c r="B24728" s="3" t="s">
        <v>90</v>
      </c>
      <c r="C24728" s="5">
        <v>39392</v>
      </c>
      <c r="D24728" s="6">
        <v>19.54</v>
      </c>
    </row>
    <row r="24729" spans="1:4" x14ac:dyDescent="0.25">
      <c r="A24729" t="str">
        <f>HYPERLINK("https://www.773grp.com/globalSearch/ADS8318IDGSR/page-1", "ADS8318IDGSR")</f>
        <v>ADS8318IDGSR</v>
      </c>
      <c r="B24729" s="3" t="s">
        <v>90</v>
      </c>
      <c r="C24729" s="5">
        <v>2500</v>
      </c>
      <c r="D24729" s="6">
        <v>19.690000000000001</v>
      </c>
    </row>
    <row r="24730" spans="1:4" x14ac:dyDescent="0.25">
      <c r="A24730" t="str">
        <f>HYPERLINK("https://www.773grp.com/globalSearch/TL044MJB/page-1", "TL044MJB")</f>
        <v>TL044MJB</v>
      </c>
      <c r="B24730" s="3" t="s">
        <v>90</v>
      </c>
      <c r="C24730" s="5">
        <v>73</v>
      </c>
      <c r="D24730" s="6">
        <v>19.690000000000001</v>
      </c>
    </row>
    <row r="24731" spans="1:4" x14ac:dyDescent="0.25">
      <c r="A24731" t="str">
        <f>HYPERLINK("https://www.773grp.com/globalSearch/TLE062MUB/page-1", "TLE062MUB")</f>
        <v>TLE062MUB</v>
      </c>
      <c r="B24731" s="3" t="s">
        <v>90</v>
      </c>
      <c r="C24731" s="5">
        <v>56</v>
      </c>
      <c r="D24731" s="6">
        <v>19.690000000000001</v>
      </c>
    </row>
    <row r="24732" spans="1:4" x14ac:dyDescent="0.25">
      <c r="A24732" t="str">
        <f>HYPERLINK("https://www.773grp.com/globalSearch/TMS55161-70ADGH/page-1", "TMS55161-70ADGH")</f>
        <v>TMS55161-70ADGH</v>
      </c>
      <c r="B24732" s="3" t="s">
        <v>90</v>
      </c>
      <c r="C24732" s="5">
        <v>184</v>
      </c>
      <c r="D24732" s="6">
        <v>19.690000000000001</v>
      </c>
    </row>
    <row r="24733" spans="1:4" x14ac:dyDescent="0.25">
      <c r="A24733" t="str">
        <f>HYPERLINK("https://www.773grp.com/globalSearch/TMS55165-70ADGH/page-1", "TMS55165-70ADGH")</f>
        <v>TMS55165-70ADGH</v>
      </c>
      <c r="B24733" s="3" t="s">
        <v>90</v>
      </c>
      <c r="C24733" s="5">
        <v>240</v>
      </c>
      <c r="D24733" s="6">
        <v>19.690000000000001</v>
      </c>
    </row>
    <row r="24734" spans="1:4" x14ac:dyDescent="0.25">
      <c r="A24734" t="str">
        <f>HYPERLINK("https://www.773grp.com/globalSearch/TMS55166-70ADGH/page-1", "TMS55166-70ADGH")</f>
        <v>TMS55166-70ADGH</v>
      </c>
      <c r="B24734" s="3" t="s">
        <v>90</v>
      </c>
      <c r="C24734" s="5">
        <v>9244</v>
      </c>
      <c r="D24734" s="6">
        <v>19.690000000000001</v>
      </c>
    </row>
    <row r="24735" spans="1:4" x14ac:dyDescent="0.25">
      <c r="A24735" t="str">
        <f>HYPERLINK("https://www.773grp.com/globalSearch/LMZ14201TZE-ADJ-NOPB/page-1", "LMZ14201TZE-ADJ-NOPB")</f>
        <v>LMZ14201TZE-ADJ-NOPB</v>
      </c>
      <c r="B24735" s="3" t="s">
        <v>90</v>
      </c>
      <c r="C24735" s="5">
        <v>1090</v>
      </c>
      <c r="D24735" s="6">
        <v>19.75</v>
      </c>
    </row>
    <row r="24736" spans="1:4" x14ac:dyDescent="0.25">
      <c r="A24736" t="str">
        <f>HYPERLINK("https://www.773grp.com/globalSearch/CDC351DW/page-1", "CDC351DW")</f>
        <v>CDC351DW</v>
      </c>
      <c r="B24736" s="3" t="s">
        <v>90</v>
      </c>
      <c r="C24736" s="5">
        <v>7249</v>
      </c>
      <c r="D24736" s="6">
        <v>19.8</v>
      </c>
    </row>
    <row r="24737" spans="1:4" x14ac:dyDescent="0.25">
      <c r="A24737" t="str">
        <f>HYPERLINK("https://www.773grp.com/globalSearch/SN54LS04BFK/page-1", "SN54LS04BFK")</f>
        <v>SN54LS04BFK</v>
      </c>
      <c r="B24737" s="3" t="s">
        <v>90</v>
      </c>
      <c r="C24737" s="5">
        <v>40</v>
      </c>
      <c r="D24737" s="6">
        <v>19.8</v>
      </c>
    </row>
    <row r="24738" spans="1:4" x14ac:dyDescent="0.25">
      <c r="A24738" t="str">
        <f>HYPERLINK("https://www.773grp.com/globalSearch/SN54LS125FK/page-1", "SN54LS125FK")</f>
        <v>SN54LS125FK</v>
      </c>
      <c r="B24738" s="3" t="s">
        <v>90</v>
      </c>
      <c r="C24738" s="5">
        <v>64</v>
      </c>
      <c r="D24738" s="6">
        <v>19.8</v>
      </c>
    </row>
    <row r="24739" spans="1:4" x14ac:dyDescent="0.25">
      <c r="A24739" t="str">
        <f>HYPERLINK("https://www.773grp.com/globalSearch/SN54LS51BFK/page-1", "SN54LS51BFK")</f>
        <v>SN54LS51BFK</v>
      </c>
      <c r="B24739" s="3" t="s">
        <v>90</v>
      </c>
      <c r="C24739" s="5">
        <v>39</v>
      </c>
      <c r="D24739" s="6">
        <v>19.8</v>
      </c>
    </row>
    <row r="24740" spans="1:4" x14ac:dyDescent="0.25">
      <c r="A24740" t="str">
        <f>HYPERLINK("https://www.773grp.com/globalSearch/TMS370C742ANT/page-1", "TMS370C742ANT")</f>
        <v>TMS370C742ANT</v>
      </c>
      <c r="B24740" s="3" t="s">
        <v>90</v>
      </c>
      <c r="C24740" s="5">
        <v>17741</v>
      </c>
      <c r="D24740" s="6">
        <v>19.829999999999998</v>
      </c>
    </row>
    <row r="24741" spans="1:4" x14ac:dyDescent="0.25">
      <c r="A24741" t="str">
        <f>HYPERLINK("https://www.773grp.com/globalSearch/TSB41BA3DIPFP/page-1", "TSB41BA3DIPFP")</f>
        <v>TSB41BA3DIPFP</v>
      </c>
      <c r="B24741" s="3" t="s">
        <v>90</v>
      </c>
      <c r="C24741" s="5">
        <v>96</v>
      </c>
      <c r="D24741" s="6">
        <v>19.829999999999998</v>
      </c>
    </row>
    <row r="24742" spans="1:4" x14ac:dyDescent="0.25">
      <c r="A24742" t="str">
        <f>HYPERLINK("https://www.773grp.com/globalSearch/TSB43DA42AZHC/page-1", "TSB43DA42AZHC")</f>
        <v>TSB43DA42AZHC</v>
      </c>
      <c r="B24742" s="3" t="s">
        <v>90</v>
      </c>
      <c r="C24742" s="5">
        <v>286</v>
      </c>
      <c r="D24742" s="6">
        <v>19.829999999999998</v>
      </c>
    </row>
    <row r="24743" spans="1:4" x14ac:dyDescent="0.25">
      <c r="A24743" t="str">
        <f>HYPERLINK("https://www.773grp.com/globalSearch/TSB43DA42AZHCR/page-1", "TSB43DA42AZHCR")</f>
        <v>TSB43DA42AZHCR</v>
      </c>
      <c r="B24743" s="3" t="s">
        <v>90</v>
      </c>
      <c r="C24743" s="5">
        <v>3968</v>
      </c>
      <c r="D24743" s="6">
        <v>19.829999999999998</v>
      </c>
    </row>
    <row r="24744" spans="1:4" x14ac:dyDescent="0.25">
      <c r="A24744" t="str">
        <f>HYPERLINK("https://www.773grp.com/globalSearch/VSP2562PT/page-1", "VSP2562PT")</f>
        <v>VSP2562PT</v>
      </c>
      <c r="B24744" s="3" t="s">
        <v>90</v>
      </c>
      <c r="C24744" s="5">
        <v>2500</v>
      </c>
      <c r="D24744" s="6">
        <v>19.86</v>
      </c>
    </row>
    <row r="24745" spans="1:4" x14ac:dyDescent="0.25">
      <c r="A24745" t="str">
        <f>HYPERLINK("https://www.773grp.com/globalSearch/PCM1792ADB/page-1", "PCM1792ADB")</f>
        <v>PCM1792ADB</v>
      </c>
      <c r="B24745" s="3" t="s">
        <v>90</v>
      </c>
      <c r="C24745" s="5">
        <v>15</v>
      </c>
      <c r="D24745" s="6">
        <v>19.91</v>
      </c>
    </row>
    <row r="24746" spans="1:4" x14ac:dyDescent="0.25">
      <c r="A24746" t="str">
        <f>HYPERLINK("https://www.773grp.com/globalSearch/PCM3168ATPAPRQ1/page-1", "PCM3168ATPAPRQ1")</f>
        <v>PCM3168ATPAPRQ1</v>
      </c>
      <c r="B24746" s="3" t="s">
        <v>90</v>
      </c>
      <c r="C24746" s="5">
        <v>1000</v>
      </c>
      <c r="D24746" s="6">
        <v>19.96</v>
      </c>
    </row>
    <row r="24747" spans="1:4" x14ac:dyDescent="0.25">
      <c r="A24747" t="str">
        <f>HYPERLINK("https://www.773grp.com/globalSearch/TL16C754BPNR/page-1", "TL16C754BPNR")</f>
        <v>TL16C754BPNR</v>
      </c>
      <c r="B24747" s="3" t="s">
        <v>90</v>
      </c>
      <c r="C24747" s="5">
        <v>1000</v>
      </c>
      <c r="D24747" s="6">
        <v>19.96</v>
      </c>
    </row>
    <row r="24748" spans="1:4" x14ac:dyDescent="0.25">
      <c r="A24748" t="str">
        <f>HYPERLINK("https://www.773grp.com/globalSearch/TLV2556MPWREP/page-1", "TLV2556MPWREP")</f>
        <v>TLV2556MPWREP</v>
      </c>
      <c r="B24748" s="3" t="s">
        <v>90</v>
      </c>
      <c r="C24748" s="5">
        <v>370</v>
      </c>
      <c r="D24748" s="6">
        <v>19.96</v>
      </c>
    </row>
    <row r="24749" spans="1:4" x14ac:dyDescent="0.25">
      <c r="A24749" t="str">
        <f>HYPERLINK("https://www.773grp.com/globalSearch/TMS320VC5506GHH/page-1", "TMS320VC5506GHH")</f>
        <v>TMS320VC5506GHH</v>
      </c>
      <c r="B24749" s="3" t="s">
        <v>90</v>
      </c>
      <c r="C24749" s="5">
        <v>160</v>
      </c>
      <c r="D24749" s="6">
        <v>19.96</v>
      </c>
    </row>
    <row r="24750" spans="1:4" x14ac:dyDescent="0.25">
      <c r="A24750" t="str">
        <f>HYPERLINK("https://www.773grp.com/globalSearch/TMS320VC5506PGE/page-1", "TMS320VC5506PGE")</f>
        <v>TMS320VC5506PGE</v>
      </c>
      <c r="B24750" s="3" t="s">
        <v>90</v>
      </c>
      <c r="C24750" s="5">
        <v>46</v>
      </c>
      <c r="D24750" s="6">
        <v>19.96</v>
      </c>
    </row>
    <row r="24751" spans="1:4" x14ac:dyDescent="0.25">
      <c r="A24751" t="str">
        <f>HYPERLINK("https://www.773grp.com/globalSearch/5962-0051301QCA/page-1", "5962-0051301QCA")</f>
        <v>5962-0051301QCA</v>
      </c>
      <c r="B24751" s="3" t="s">
        <v>90</v>
      </c>
      <c r="C24751" s="5">
        <v>65</v>
      </c>
      <c r="D24751" s="6">
        <v>20</v>
      </c>
    </row>
    <row r="24752" spans="1:4" x14ac:dyDescent="0.25">
      <c r="A24752" t="str">
        <f>HYPERLINK("https://www.773grp.com/globalSearch/DS22EV5110SQE-NOPB/page-1", "DS22EV5110SQE-NOPB")</f>
        <v>DS22EV5110SQE-NOPB</v>
      </c>
      <c r="B24752" s="3" t="s">
        <v>90</v>
      </c>
      <c r="C24752" s="5">
        <v>92</v>
      </c>
      <c r="D24752" s="6">
        <v>20</v>
      </c>
    </row>
    <row r="24753" spans="1:4" x14ac:dyDescent="0.25">
      <c r="A24753" t="str">
        <f>HYPERLINK("https://www.773grp.com/globalSearch/LM136AH-2.5/page-1", "LM136AH-2.5")</f>
        <v>LM136AH-2.5</v>
      </c>
      <c r="B24753" s="3" t="s">
        <v>90</v>
      </c>
      <c r="C24753" s="5">
        <v>161</v>
      </c>
      <c r="D24753" s="6">
        <v>20.09</v>
      </c>
    </row>
    <row r="24754" spans="1:4" x14ac:dyDescent="0.25">
      <c r="A24754" t="str">
        <f>HYPERLINK("https://www.773grp.com/globalSearch/DAC8830IDG4/page-1", "DAC8830IDG4")</f>
        <v>DAC8830IDG4</v>
      </c>
      <c r="B24754" s="3" t="s">
        <v>90</v>
      </c>
      <c r="C24754" s="5">
        <v>74</v>
      </c>
      <c r="D24754" s="6">
        <v>20.11</v>
      </c>
    </row>
    <row r="24755" spans="1:4" x14ac:dyDescent="0.25">
      <c r="A24755" t="str">
        <f>HYPERLINK("https://www.773grp.com/globalSearch/OPA404KU-1K/page-1", "OPA404KU-1K")</f>
        <v>OPA404KU-1K</v>
      </c>
      <c r="B24755" s="3" t="s">
        <v>90</v>
      </c>
      <c r="C24755" s="5">
        <v>17000</v>
      </c>
      <c r="D24755" s="6">
        <v>20.11</v>
      </c>
    </row>
    <row r="24756" spans="1:4" x14ac:dyDescent="0.25">
      <c r="A24756" t="str">
        <f>HYPERLINK("https://www.773grp.com/globalSearch/REG104GA-3G4/page-1", "REG104GA-3G4")</f>
        <v>REG104GA-3G4</v>
      </c>
      <c r="B24756" s="3" t="s">
        <v>90</v>
      </c>
      <c r="C24756" s="5">
        <v>13</v>
      </c>
      <c r="D24756" s="6">
        <v>20.11</v>
      </c>
    </row>
    <row r="24757" spans="1:4" x14ac:dyDescent="0.25">
      <c r="A24757" t="str">
        <f>HYPERLINK("https://www.773grp.com/globalSearch/JM38510-33201BRA/page-1", "JM38510-33201BRA")</f>
        <v>JM38510-33201BRA</v>
      </c>
      <c r="B24757" s="3" t="s">
        <v>90</v>
      </c>
      <c r="C24757" s="5">
        <v>21</v>
      </c>
      <c r="D24757" s="6">
        <v>20.16</v>
      </c>
    </row>
    <row r="24758" spans="1:4" x14ac:dyDescent="0.25">
      <c r="A24758" t="str">
        <f>HYPERLINK("https://www.773grp.com/globalSearch/SNJ54HC4066FK/page-1", "SNJ54HC4066FK")</f>
        <v>SNJ54HC4066FK</v>
      </c>
      <c r="B24758" s="3" t="s">
        <v>90</v>
      </c>
      <c r="C24758" s="5">
        <v>69</v>
      </c>
      <c r="D24758" s="6">
        <v>20.2</v>
      </c>
    </row>
    <row r="24759" spans="1:4" x14ac:dyDescent="0.25">
      <c r="A24759" t="str">
        <f>HYPERLINK("https://www.773grp.com/globalSearch/UC2834DWTR/page-1", "UC2834DWTR")</f>
        <v>UC2834DWTR</v>
      </c>
      <c r="B24759" s="3" t="s">
        <v>90</v>
      </c>
      <c r="C24759" s="5">
        <v>6000</v>
      </c>
      <c r="D24759" s="6">
        <v>20.21</v>
      </c>
    </row>
    <row r="24760" spans="1:4" x14ac:dyDescent="0.25">
      <c r="A24760" t="str">
        <f>HYPERLINK("https://www.773grp.com/globalSearch/DAC7615UB-1K/page-1", "DAC7615UB-1K")</f>
        <v>DAC7615UB-1K</v>
      </c>
      <c r="B24760" s="3" t="s">
        <v>90</v>
      </c>
      <c r="C24760" s="5">
        <v>1000</v>
      </c>
      <c r="D24760" s="6">
        <v>20.25</v>
      </c>
    </row>
    <row r="24761" spans="1:4" x14ac:dyDescent="0.25">
      <c r="A24761" t="str">
        <f>HYPERLINK("https://www.773grp.com/globalSearch/TB5D1MLDWR/page-1", "TB5D1MLDWR")</f>
        <v>TB5D1MLDWR</v>
      </c>
      <c r="B24761" s="3" t="s">
        <v>90</v>
      </c>
      <c r="C24761" s="5">
        <v>24000</v>
      </c>
      <c r="D24761" s="6">
        <v>20.25</v>
      </c>
    </row>
    <row r="24762" spans="1:4" x14ac:dyDescent="0.25">
      <c r="A24762" t="str">
        <f>HYPERLINK("https://www.773grp.com/globalSearch/TB5D2HDWR/page-1", "TB5D2HDWR")</f>
        <v>TB5D2HDWR</v>
      </c>
      <c r="B24762" s="3" t="s">
        <v>90</v>
      </c>
      <c r="C24762" s="5">
        <v>18000</v>
      </c>
      <c r="D24762" s="6">
        <v>20.25</v>
      </c>
    </row>
    <row r="24763" spans="1:4" x14ac:dyDescent="0.25">
      <c r="A24763" t="str">
        <f>HYPERLINK("https://www.773grp.com/globalSearch/TB5R2DR/page-1", "TB5R2DR")</f>
        <v>TB5R2DR</v>
      </c>
      <c r="B24763" s="3" t="s">
        <v>90</v>
      </c>
      <c r="C24763" s="5">
        <v>2475</v>
      </c>
      <c r="D24763" s="6">
        <v>20.25</v>
      </c>
    </row>
    <row r="24764" spans="1:4" x14ac:dyDescent="0.25">
      <c r="A24764" t="str">
        <f>HYPERLINK("https://www.773grp.com/globalSearch/TB5R2LDR/page-1", "TB5R2LDR")</f>
        <v>TB5R2LDR</v>
      </c>
      <c r="B24764" s="3" t="s">
        <v>90</v>
      </c>
      <c r="C24764" s="5">
        <v>25000</v>
      </c>
      <c r="D24764" s="6">
        <v>20.25</v>
      </c>
    </row>
    <row r="24765" spans="1:4" x14ac:dyDescent="0.25">
      <c r="A24765" t="str">
        <f>HYPERLINK("https://www.773grp.com/globalSearch/TL16CP754CPM/page-1", "TL16CP754CPM")</f>
        <v>TL16CP754CPM</v>
      </c>
      <c r="B24765" s="3" t="s">
        <v>90</v>
      </c>
      <c r="C24765" s="5">
        <v>29</v>
      </c>
      <c r="D24765" s="6">
        <v>20.25</v>
      </c>
    </row>
    <row r="24766" spans="1:4" x14ac:dyDescent="0.25">
      <c r="A24766" t="str">
        <f>HYPERLINK("https://www.773grp.com/globalSearch/TMS38052NL/page-1", "TMS38052NL")</f>
        <v>TMS38052NL</v>
      </c>
      <c r="B24766" s="3" t="s">
        <v>90</v>
      </c>
      <c r="C24766" s="5">
        <v>3649</v>
      </c>
      <c r="D24766" s="6">
        <v>20.25</v>
      </c>
    </row>
    <row r="24767" spans="1:4" x14ac:dyDescent="0.25">
      <c r="A24767" t="str">
        <f>HYPERLINK("https://www.773grp.com/globalSearch/TUSB1310ZAY/page-1", "TUSB1310ZAY")</f>
        <v>TUSB1310ZAY</v>
      </c>
      <c r="B24767" s="3" t="s">
        <v>90</v>
      </c>
      <c r="C24767" s="5">
        <v>858</v>
      </c>
      <c r="D24767" s="6">
        <v>20.25</v>
      </c>
    </row>
    <row r="24768" spans="1:4" x14ac:dyDescent="0.25">
      <c r="A24768" t="str">
        <f>HYPERLINK("https://www.773grp.com/globalSearch/LT1052CN/page-1", "LT1052CN")</f>
        <v>LT1052CN</v>
      </c>
      <c r="B24768" s="3" t="s">
        <v>90</v>
      </c>
      <c r="C24768" s="5">
        <v>483</v>
      </c>
      <c r="D24768" s="6">
        <v>20.3</v>
      </c>
    </row>
    <row r="24769" spans="1:4" x14ac:dyDescent="0.25">
      <c r="A24769" t="str">
        <f>HYPERLINK("https://www.773grp.com/globalSearch/SNJ54LS193J/page-1", "SNJ54LS193J")</f>
        <v>SNJ54LS193J</v>
      </c>
      <c r="B24769" s="3" t="s">
        <v>90</v>
      </c>
      <c r="C24769" s="5">
        <v>37</v>
      </c>
      <c r="D24769" s="6">
        <v>20.3</v>
      </c>
    </row>
    <row r="24770" spans="1:4" x14ac:dyDescent="0.25">
      <c r="A24770" t="str">
        <f>HYPERLINK("https://www.773grp.com/globalSearch/74ACT7201LA50DVR/page-1", "74ACT7201LA50DVR")</f>
        <v>74ACT7201LA50DVR</v>
      </c>
      <c r="B24770" s="3" t="s">
        <v>90</v>
      </c>
      <c r="C24770" s="5">
        <v>4000</v>
      </c>
      <c r="D24770" s="6">
        <v>20.39</v>
      </c>
    </row>
    <row r="24771" spans="1:4" x14ac:dyDescent="0.25">
      <c r="A24771" t="str">
        <f>HYPERLINK("https://www.773grp.com/globalSearch/74ACT7201LA50RJR/page-1", "74ACT7201LA50RJR")</f>
        <v>74ACT7201LA50RJR</v>
      </c>
      <c r="B24771" s="3" t="s">
        <v>90</v>
      </c>
      <c r="C24771" s="5">
        <v>750</v>
      </c>
      <c r="D24771" s="6">
        <v>20.39</v>
      </c>
    </row>
    <row r="24772" spans="1:4" x14ac:dyDescent="0.25">
      <c r="A24772" t="str">
        <f>HYPERLINK("https://www.773grp.com/globalSearch/ADS8332IBPWR/page-1", "ADS8332IBPWR")</f>
        <v>ADS8332IBPWR</v>
      </c>
      <c r="B24772" s="3" t="s">
        <v>90</v>
      </c>
      <c r="C24772" s="5">
        <v>2000</v>
      </c>
      <c r="D24772" s="6">
        <v>20.39</v>
      </c>
    </row>
    <row r="24773" spans="1:4" x14ac:dyDescent="0.25">
      <c r="A24773" t="str">
        <f>HYPERLINK("https://www.773grp.com/globalSearch/INA116UA/page-1", "INA116UA")</f>
        <v>INA116UA</v>
      </c>
      <c r="B24773" s="3" t="s">
        <v>90</v>
      </c>
      <c r="C24773" s="5">
        <v>31320</v>
      </c>
      <c r="D24773" s="6">
        <v>20.39</v>
      </c>
    </row>
    <row r="24774" spans="1:4" x14ac:dyDescent="0.25">
      <c r="A24774" t="str">
        <f>HYPERLINK("https://www.773grp.com/globalSearch/INA116UA/page-1", "INA116UA")</f>
        <v>INA116UA</v>
      </c>
      <c r="B24774" s="3" t="s">
        <v>90</v>
      </c>
      <c r="C24774" s="5">
        <v>12449</v>
      </c>
      <c r="D24774" s="6">
        <v>20.39</v>
      </c>
    </row>
    <row r="24775" spans="1:4" x14ac:dyDescent="0.25">
      <c r="A24775" t="str">
        <f>HYPERLINK("https://www.773grp.com/globalSearch/PGA205AU-1K/page-1", "PGA205AU-1K")</f>
        <v>PGA205AU-1K</v>
      </c>
      <c r="B24775" s="3" t="s">
        <v>90</v>
      </c>
      <c r="C24775" s="5">
        <v>1000</v>
      </c>
      <c r="D24775" s="6">
        <v>20.39</v>
      </c>
    </row>
    <row r="24776" spans="1:4" x14ac:dyDescent="0.25">
      <c r="A24776" t="str">
        <f>HYPERLINK("https://www.773grp.com/globalSearch/SNJ54HC09FK/page-1", "SNJ54HC09FK")</f>
        <v>SNJ54HC09FK</v>
      </c>
      <c r="B24776" s="3" t="s">
        <v>90</v>
      </c>
      <c r="C24776" s="5">
        <v>281</v>
      </c>
      <c r="D24776" s="6">
        <v>20.39</v>
      </c>
    </row>
    <row r="24777" spans="1:4" x14ac:dyDescent="0.25">
      <c r="A24777" t="str">
        <f>HYPERLINK("https://www.773grp.com/globalSearch/THS1207CDAR/page-1", "THS1207CDAR")</f>
        <v>THS1207CDAR</v>
      </c>
      <c r="B24777" s="3" t="s">
        <v>90</v>
      </c>
      <c r="C24777" s="5">
        <v>6000</v>
      </c>
      <c r="D24777" s="6">
        <v>20.39</v>
      </c>
    </row>
    <row r="24778" spans="1:4" x14ac:dyDescent="0.25">
      <c r="A24778" t="str">
        <f>HYPERLINK("https://www.773grp.com/globalSearch/AM1802BZCED3/page-1", "AM1802BZCED3")</f>
        <v>AM1802BZCED3</v>
      </c>
      <c r="B24778" s="3" t="s">
        <v>90</v>
      </c>
      <c r="C24778" s="5">
        <v>9</v>
      </c>
      <c r="D24778" s="6">
        <v>20.43</v>
      </c>
    </row>
    <row r="24779" spans="1:4" x14ac:dyDescent="0.25">
      <c r="A24779" t="str">
        <f>HYPERLINK("https://www.773grp.com/globalSearch/CD4029BF/page-1", "CD4029BF")</f>
        <v>CD4029BF</v>
      </c>
      <c r="B24779" s="3" t="s">
        <v>90</v>
      </c>
      <c r="C24779" s="5">
        <v>16</v>
      </c>
      <c r="D24779" s="6">
        <v>20.43</v>
      </c>
    </row>
    <row r="24780" spans="1:4" x14ac:dyDescent="0.25">
      <c r="A24780" t="str">
        <f>HYPERLINK("https://www.773grp.com/globalSearch/DP83846AVHG/page-1", "DP83846AVHG")</f>
        <v>DP83846AVHG</v>
      </c>
      <c r="B24780" s="3" t="s">
        <v>90</v>
      </c>
      <c r="C24780" s="5">
        <v>110</v>
      </c>
      <c r="D24780" s="6">
        <v>20.48</v>
      </c>
    </row>
    <row r="24781" spans="1:4" x14ac:dyDescent="0.25">
      <c r="A24781" t="str">
        <f>HYPERLINK("https://www.773grp.com/globalSearch/CDC586PAHR/page-1", "CDC586PAHR")</f>
        <v>CDC586PAHR</v>
      </c>
      <c r="B24781" s="3" t="s">
        <v>90</v>
      </c>
      <c r="C24781" s="5">
        <v>12000</v>
      </c>
      <c r="D24781" s="6">
        <v>20.54</v>
      </c>
    </row>
    <row r="24782" spans="1:4" x14ac:dyDescent="0.25">
      <c r="A24782" t="str">
        <f>HYPERLINK("https://www.773grp.com/globalSearch/RM4558LB/page-1", "RM4558LB")</f>
        <v>RM4558LB</v>
      </c>
      <c r="B24782" s="3" t="s">
        <v>90</v>
      </c>
      <c r="C24782" s="5">
        <v>2751</v>
      </c>
      <c r="D24782" s="6">
        <v>20.59</v>
      </c>
    </row>
    <row r="24783" spans="1:4" x14ac:dyDescent="0.25">
      <c r="A24783" t="str">
        <f>HYPERLINK("https://www.773grp.com/globalSearch/RM4559LB/page-1", "RM4559LB")</f>
        <v>RM4559LB</v>
      </c>
      <c r="B24783" s="3" t="s">
        <v>90</v>
      </c>
      <c r="C24783" s="5">
        <v>3170</v>
      </c>
      <c r="D24783" s="6">
        <v>20.59</v>
      </c>
    </row>
    <row r="24784" spans="1:4" x14ac:dyDescent="0.25">
      <c r="A24784" t="str">
        <f>HYPERLINK("https://www.773grp.com/globalSearch/ADS7881IPFBR/page-1", "ADS7881IPFBR")</f>
        <v>ADS7881IPFBR</v>
      </c>
      <c r="B24784" s="3" t="s">
        <v>90</v>
      </c>
      <c r="C24784" s="5">
        <v>15000</v>
      </c>
      <c r="D24784" s="6">
        <v>20.68</v>
      </c>
    </row>
    <row r="24785" spans="1:4" x14ac:dyDescent="0.25">
      <c r="A24785" t="str">
        <f>HYPERLINK("https://www.773grp.com/globalSearch/AM1707BZKBD4/page-1", "AM1707BZKBD4")</f>
        <v>AM1707BZKBD4</v>
      </c>
      <c r="B24785" s="3" t="s">
        <v>90</v>
      </c>
      <c r="C24785" s="5">
        <v>12519</v>
      </c>
      <c r="D24785" s="6">
        <v>20.68</v>
      </c>
    </row>
    <row r="24786" spans="1:4" x14ac:dyDescent="0.25">
      <c r="A24786" t="str">
        <f>HYPERLINK("https://www.773grp.com/globalSearch/CD54HC283F3A/page-1", "CD54HC283F3A")</f>
        <v>CD54HC283F3A</v>
      </c>
      <c r="B24786" s="3" t="s">
        <v>90</v>
      </c>
      <c r="C24786" s="5">
        <v>24</v>
      </c>
      <c r="D24786" s="6">
        <v>20.68</v>
      </c>
    </row>
    <row r="24787" spans="1:4" x14ac:dyDescent="0.25">
      <c r="A24787" t="str">
        <f>HYPERLINK("https://www.773grp.com/globalSearch/DAC8802IPWG4/page-1", "DAC8802IPWG4")</f>
        <v>DAC8802IPWG4</v>
      </c>
      <c r="B24787" s="3" t="s">
        <v>90</v>
      </c>
      <c r="C24787" s="5">
        <v>22</v>
      </c>
      <c r="D24787" s="6">
        <v>20.68</v>
      </c>
    </row>
    <row r="24788" spans="1:4" x14ac:dyDescent="0.25">
      <c r="A24788" t="str">
        <f>HYPERLINK("https://www.773grp.com/globalSearch/DS92LV1021TMSAX-NOPB/page-1", "DS92LV1021TMSAX-NOPB")</f>
        <v>DS92LV1021TMSAX-NOPB</v>
      </c>
      <c r="B24788" s="3" t="s">
        <v>90</v>
      </c>
      <c r="C24788" s="5">
        <v>4000</v>
      </c>
      <c r="D24788" s="6">
        <v>20.68</v>
      </c>
    </row>
    <row r="24789" spans="1:4" x14ac:dyDescent="0.25">
      <c r="A24789" t="str">
        <f>HYPERLINK("https://www.773grp.com/globalSearch/PCI1620ZHK/page-1", "PCI1620ZHK")</f>
        <v>PCI1620ZHK</v>
      </c>
      <c r="B24789" s="3" t="s">
        <v>90</v>
      </c>
      <c r="C24789" s="5">
        <v>1539</v>
      </c>
      <c r="D24789" s="6">
        <v>20.68</v>
      </c>
    </row>
    <row r="24790" spans="1:4" x14ac:dyDescent="0.25">
      <c r="A24790" t="str">
        <f>HYPERLINK("https://www.773grp.com/globalSearch/5962-9685101QRA/page-1", "5962-9685101QRA")</f>
        <v>5962-9685101QRA</v>
      </c>
      <c r="B24790" s="3" t="s">
        <v>90</v>
      </c>
      <c r="C24790" s="5">
        <v>60</v>
      </c>
      <c r="D24790" s="6">
        <v>20.7</v>
      </c>
    </row>
    <row r="24791" spans="1:4" x14ac:dyDescent="0.25">
      <c r="A24791" t="str">
        <f>HYPERLINK("https://www.773grp.com/globalSearch/CDC208-7DW/page-1", "CDC208-7DW")</f>
        <v>CDC208-7DW</v>
      </c>
      <c r="B24791" s="3" t="s">
        <v>90</v>
      </c>
      <c r="C24791" s="5">
        <v>3375</v>
      </c>
      <c r="D24791" s="6">
        <v>20.73</v>
      </c>
    </row>
    <row r="24792" spans="1:4" x14ac:dyDescent="0.25">
      <c r="A24792" t="str">
        <f>HYPERLINK("https://www.773grp.com/globalSearch/SNJ54ALS169BJ/page-1", "SNJ54ALS169BJ")</f>
        <v>SNJ54ALS169BJ</v>
      </c>
      <c r="B24792" s="3" t="s">
        <v>90</v>
      </c>
      <c r="C24792" s="5">
        <v>41</v>
      </c>
      <c r="D24792" s="6">
        <v>20.73</v>
      </c>
    </row>
    <row r="24793" spans="1:4" x14ac:dyDescent="0.25">
      <c r="A24793" t="str">
        <f>HYPERLINK("https://www.773grp.com/globalSearch/SN55427BJ/page-1", "SN55427BJ")</f>
        <v>SN55427BJ</v>
      </c>
      <c r="B24793" s="3" t="s">
        <v>90</v>
      </c>
      <c r="C24793" s="5">
        <v>395</v>
      </c>
      <c r="D24793" s="6">
        <v>20.81</v>
      </c>
    </row>
    <row r="24794" spans="1:4" x14ac:dyDescent="0.25">
      <c r="A24794" t="str">
        <f>HYPERLINK("https://www.773grp.com/globalSearch/SNJ55426BJ/page-1", "SNJ55426BJ")</f>
        <v>SNJ55426BJ</v>
      </c>
      <c r="B24794" s="3" t="s">
        <v>90</v>
      </c>
      <c r="C24794" s="5">
        <v>1270</v>
      </c>
      <c r="D24794" s="6">
        <v>20.81</v>
      </c>
    </row>
    <row r="24795" spans="1:4" x14ac:dyDescent="0.25">
      <c r="A24795" t="str">
        <f>HYPERLINK("https://www.773grp.com/globalSearch/TMS320LF2406APZAR/page-1", "TMS320LF2406APZAR")</f>
        <v>TMS320LF2406APZAR</v>
      </c>
      <c r="B24795" s="3" t="s">
        <v>90</v>
      </c>
      <c r="C24795" s="5">
        <v>5025</v>
      </c>
      <c r="D24795" s="6">
        <v>20.81</v>
      </c>
    </row>
    <row r="24796" spans="1:4" x14ac:dyDescent="0.25">
      <c r="A24796" t="str">
        <f>HYPERLINK("https://www.773grp.com/globalSearch/INA101HP-1/page-1", "INA101HP-1")</f>
        <v>INA101HP-1</v>
      </c>
      <c r="B24796" s="3" t="s">
        <v>90</v>
      </c>
      <c r="C24796" s="5">
        <v>925</v>
      </c>
      <c r="D24796" s="6">
        <v>20.89</v>
      </c>
    </row>
    <row r="24797" spans="1:4" x14ac:dyDescent="0.25">
      <c r="A24797" t="str">
        <f>HYPERLINK("https://www.773grp.com/globalSearch/ADS8332IRGET/page-1", "ADS8332IRGET")</f>
        <v>ADS8332IRGET</v>
      </c>
      <c r="B24797" s="3" t="s">
        <v>90</v>
      </c>
      <c r="C24797" s="5">
        <v>250</v>
      </c>
      <c r="D24797" s="6">
        <v>20.96</v>
      </c>
    </row>
    <row r="24798" spans="1:4" x14ac:dyDescent="0.25">
      <c r="A24798" t="str">
        <f>HYPERLINK("https://www.773grp.com/globalSearch/SNJ54LS243J/page-1", "SNJ54LS243J")</f>
        <v>SNJ54LS243J</v>
      </c>
      <c r="B24798" s="3" t="s">
        <v>90</v>
      </c>
      <c r="C24798" s="5">
        <v>33</v>
      </c>
      <c r="D24798" s="6">
        <v>20.96</v>
      </c>
    </row>
    <row r="24799" spans="1:4" x14ac:dyDescent="0.25">
      <c r="A24799" t="str">
        <f>HYPERLINK("https://www.773grp.com/globalSearch/TAS5630BDKD/page-1", "TAS5630BDKD")</f>
        <v>TAS5630BDKD</v>
      </c>
      <c r="B24799" s="3" t="s">
        <v>90</v>
      </c>
      <c r="C24799" s="5">
        <v>58</v>
      </c>
      <c r="D24799" s="6">
        <v>20.96</v>
      </c>
    </row>
    <row r="24800" spans="1:4" x14ac:dyDescent="0.25">
      <c r="A24800" t="str">
        <f>HYPERLINK("https://www.773grp.com/globalSearch/UCD90124ARGCT/page-1", "UCD90124ARGCT")</f>
        <v>UCD90124ARGCT</v>
      </c>
      <c r="B24800" s="3" t="s">
        <v>90</v>
      </c>
      <c r="C24800" s="5">
        <v>382</v>
      </c>
      <c r="D24800" s="6">
        <v>20.96</v>
      </c>
    </row>
    <row r="24801" spans="1:4" x14ac:dyDescent="0.25">
      <c r="A24801" t="str">
        <f>HYPERLINK("https://www.773grp.com/globalSearch/CD4516BF/page-1", "CD4516BF")</f>
        <v>CD4516BF</v>
      </c>
      <c r="B24801" s="3" t="s">
        <v>90</v>
      </c>
      <c r="C24801" s="5">
        <v>14</v>
      </c>
      <c r="D24801" s="6">
        <v>20.98</v>
      </c>
    </row>
    <row r="24802" spans="1:4" x14ac:dyDescent="0.25">
      <c r="A24802" t="str">
        <f>HYPERLINK("https://www.773grp.com/globalSearch/BQ76PL536PAPT/page-1", "BQ76PL536PAPT")</f>
        <v>BQ76PL536PAPT</v>
      </c>
      <c r="B24802" s="3" t="s">
        <v>90</v>
      </c>
      <c r="C24802" s="5">
        <v>7750</v>
      </c>
      <c r="D24802" s="6">
        <v>21.04</v>
      </c>
    </row>
    <row r="24803" spans="1:4" x14ac:dyDescent="0.25">
      <c r="A24803" t="str">
        <f>HYPERLINK("https://www.773grp.com/globalSearch/LMX2541SQE3740E-NOPB/page-1", "LMX2541SQE3740E-NOPB")</f>
        <v>LMX2541SQE3740E-NOPB</v>
      </c>
      <c r="B24803" s="3" t="s">
        <v>90</v>
      </c>
      <c r="C24803" s="5">
        <v>40</v>
      </c>
      <c r="D24803" s="6">
        <v>21.04</v>
      </c>
    </row>
    <row r="24804" spans="1:4" x14ac:dyDescent="0.25">
      <c r="A24804" t="str">
        <f>HYPERLINK("https://www.773grp.com/globalSearch/TMS320C5504AZCHA12/page-1", "TMS320C5504AZCHA12")</f>
        <v>TMS320C5504AZCHA12</v>
      </c>
      <c r="B24804" s="3" t="s">
        <v>90</v>
      </c>
      <c r="C24804" s="5">
        <v>207</v>
      </c>
      <c r="D24804" s="6">
        <v>21.06</v>
      </c>
    </row>
    <row r="24805" spans="1:4" x14ac:dyDescent="0.25">
      <c r="A24805" t="str">
        <f>HYPERLINK("https://www.773grp.com/globalSearch/CDCE62005RGZR/page-1", "CDCE62005RGZR")</f>
        <v>CDCE62005RGZR</v>
      </c>
      <c r="B24805" s="3" t="s">
        <v>90</v>
      </c>
      <c r="C24805" s="5">
        <v>2306</v>
      </c>
      <c r="D24805" s="6">
        <v>21.1</v>
      </c>
    </row>
    <row r="24806" spans="1:4" x14ac:dyDescent="0.25">
      <c r="A24806" t="str">
        <f>HYPERLINK("https://www.773grp.com/globalSearch/DAC8831IDG4/page-1", "DAC8831IDG4")</f>
        <v>DAC8831IDG4</v>
      </c>
      <c r="B24806" s="3" t="s">
        <v>90</v>
      </c>
      <c r="C24806" s="5">
        <v>44</v>
      </c>
      <c r="D24806" s="6">
        <v>21.1</v>
      </c>
    </row>
    <row r="24807" spans="1:4" x14ac:dyDescent="0.25">
      <c r="A24807" t="str">
        <f>HYPERLINK("https://www.773grp.com/globalSearch/SN65LVDM1676DGG/page-1", "SN65LVDM1676DGG")</f>
        <v>SN65LVDM1676DGG</v>
      </c>
      <c r="B24807" s="3" t="s">
        <v>90</v>
      </c>
      <c r="C24807" s="5">
        <v>15</v>
      </c>
      <c r="D24807" s="6">
        <v>21.1</v>
      </c>
    </row>
    <row r="24808" spans="1:4" x14ac:dyDescent="0.25">
      <c r="A24808" t="str">
        <f>HYPERLINK("https://www.773grp.com/globalSearch/TLC3544CPWR/page-1", "TLC3544CPWR")</f>
        <v>TLC3544CPWR</v>
      </c>
      <c r="B24808" s="3" t="s">
        <v>90</v>
      </c>
      <c r="C24808" s="5">
        <v>2000</v>
      </c>
      <c r="D24808" s="6">
        <v>21.1</v>
      </c>
    </row>
    <row r="24809" spans="1:4" x14ac:dyDescent="0.25">
      <c r="A24809" t="str">
        <f>HYPERLINK("https://www.773grp.com/globalSearch/TLC8144-12CPT/page-1", "TLC8144-12CPT")</f>
        <v>TLC8144-12CPT</v>
      </c>
      <c r="B24809" s="3" t="s">
        <v>90</v>
      </c>
      <c r="C24809" s="5">
        <v>6103</v>
      </c>
      <c r="D24809" s="6">
        <v>21.1</v>
      </c>
    </row>
    <row r="24810" spans="1:4" x14ac:dyDescent="0.25">
      <c r="A24810" t="str">
        <f>HYPERLINK("https://www.773grp.com/globalSearch/TMS320C10FNLR/page-1", "TMS320C10FNLR")</f>
        <v>TMS320C10FNLR</v>
      </c>
      <c r="B24810" s="3" t="s">
        <v>90</v>
      </c>
      <c r="C24810" s="5">
        <v>1000</v>
      </c>
      <c r="D24810" s="6">
        <v>21.1</v>
      </c>
    </row>
    <row r="24811" spans="1:4" x14ac:dyDescent="0.25">
      <c r="A24811" t="str">
        <f>HYPERLINK("https://www.773grp.com/globalSearch/TMS320F28066PZPS/page-1", "TMS320F28066PZPS")</f>
        <v>TMS320F28066PZPS</v>
      </c>
      <c r="B24811" s="3" t="s">
        <v>90</v>
      </c>
      <c r="C24811" s="5">
        <v>398</v>
      </c>
      <c r="D24811" s="6">
        <v>21.1</v>
      </c>
    </row>
    <row r="24812" spans="1:4" x14ac:dyDescent="0.25">
      <c r="A24812" t="str">
        <f>HYPERLINK("https://www.773grp.com/globalSearch/TPS2343DDPR/page-1", "TPS2343DDPR")</f>
        <v>TPS2343DDPR</v>
      </c>
      <c r="B24812" s="3" t="s">
        <v>90</v>
      </c>
      <c r="C24812" s="5">
        <v>20000</v>
      </c>
      <c r="D24812" s="6">
        <v>21.1</v>
      </c>
    </row>
    <row r="24813" spans="1:4" x14ac:dyDescent="0.25">
      <c r="A24813" t="str">
        <f>HYPERLINK("https://www.773grp.com/globalSearch/WM8144-12CPT/page-1", "WM8144-12CPT")</f>
        <v>WM8144-12CPT</v>
      </c>
      <c r="B24813" s="3" t="s">
        <v>90</v>
      </c>
      <c r="C24813" s="5">
        <v>8359</v>
      </c>
      <c r="D24813" s="6">
        <v>21.1</v>
      </c>
    </row>
    <row r="24814" spans="1:4" x14ac:dyDescent="0.25">
      <c r="A24814" t="str">
        <f>HYPERLINK("https://www.773grp.com/globalSearch/SN0708100P/page-1", "SN0708100P")</f>
        <v>SN0708100P</v>
      </c>
      <c r="B24814" s="3" t="s">
        <v>90</v>
      </c>
      <c r="C24814" s="5">
        <v>1537</v>
      </c>
      <c r="D24814" s="6">
        <v>21.23</v>
      </c>
    </row>
    <row r="24815" spans="1:4" x14ac:dyDescent="0.25">
      <c r="A24815" t="str">
        <f>HYPERLINK("https://www.773grp.com/globalSearch/TL061MLB/page-1", "TL061MLB")</f>
        <v>TL061MLB</v>
      </c>
      <c r="B24815" s="3" t="s">
        <v>90</v>
      </c>
      <c r="C24815" s="5">
        <v>571</v>
      </c>
      <c r="D24815" s="6">
        <v>21.26</v>
      </c>
    </row>
    <row r="24816" spans="1:4" x14ac:dyDescent="0.25">
      <c r="A24816" t="str">
        <f>HYPERLINK("https://www.773grp.com/globalSearch/TL071MLB/page-1", "TL071MLB")</f>
        <v>TL071MLB</v>
      </c>
      <c r="B24816" s="3" t="s">
        <v>90</v>
      </c>
      <c r="C24816" s="5">
        <v>5974</v>
      </c>
      <c r="D24816" s="6">
        <v>21.3</v>
      </c>
    </row>
    <row r="24817" spans="1:4" x14ac:dyDescent="0.25">
      <c r="A24817" t="str">
        <f>HYPERLINK("https://www.773grp.com/globalSearch/JM38510-34601BSA/page-1", "JM38510-34601BSA")</f>
        <v>JM38510-34601BSA</v>
      </c>
      <c r="B24817" s="3" t="s">
        <v>90</v>
      </c>
      <c r="C24817" s="5">
        <v>43</v>
      </c>
      <c r="D24817" s="6">
        <v>21.35</v>
      </c>
    </row>
    <row r="24818" spans="1:4" x14ac:dyDescent="0.25">
      <c r="A24818" t="str">
        <f>HYPERLINK("https://www.773grp.com/globalSearch/PTH03000WAS/page-1", "PTH03000WAS")</f>
        <v>PTH03000WAS</v>
      </c>
      <c r="B24818" s="3" t="s">
        <v>90</v>
      </c>
      <c r="C24818" s="5">
        <v>49</v>
      </c>
      <c r="D24818" s="6">
        <v>21.35</v>
      </c>
    </row>
    <row r="24819" spans="1:4" x14ac:dyDescent="0.25">
      <c r="A24819" t="str">
        <f>HYPERLINK("https://www.773grp.com/globalSearch/PTH05000WAD/page-1", "PTH05000WAD")</f>
        <v>PTH05000WAD</v>
      </c>
      <c r="B24819" s="3" t="s">
        <v>90</v>
      </c>
      <c r="C24819" s="5">
        <v>112</v>
      </c>
      <c r="D24819" s="6">
        <v>21.35</v>
      </c>
    </row>
    <row r="24820" spans="1:4" x14ac:dyDescent="0.25">
      <c r="A24820" t="str">
        <f>HYPERLINK("https://www.773grp.com/globalSearch/PTH12000WAST/page-1", "PTH12000WAST")</f>
        <v>PTH12000WAST</v>
      </c>
      <c r="B24820" s="3" t="s">
        <v>90</v>
      </c>
      <c r="C24820" s="5">
        <v>250</v>
      </c>
      <c r="D24820" s="6">
        <v>21.35</v>
      </c>
    </row>
    <row r="24821" spans="1:4" x14ac:dyDescent="0.25">
      <c r="A24821" t="str">
        <f>HYPERLINK("https://www.773grp.com/globalSearch/PTH12000WAZT/page-1", "PTH12000WAZT")</f>
        <v>PTH12000WAZT</v>
      </c>
      <c r="B24821" s="3" t="s">
        <v>90</v>
      </c>
      <c r="C24821" s="5">
        <v>166</v>
      </c>
      <c r="D24821" s="6">
        <v>21.35</v>
      </c>
    </row>
    <row r="24822" spans="1:4" x14ac:dyDescent="0.25">
      <c r="A24822" t="str">
        <f>HYPERLINK("https://www.773grp.com/globalSearch/ADS8327IBPWG4/page-1", "ADS8327IBPWG4")</f>
        <v>ADS8327IBPWG4</v>
      </c>
      <c r="B24822" s="3" t="s">
        <v>90</v>
      </c>
      <c r="C24822" s="5">
        <v>62</v>
      </c>
      <c r="D24822" s="6">
        <v>21.38</v>
      </c>
    </row>
    <row r="24823" spans="1:4" x14ac:dyDescent="0.25">
      <c r="A24823" t="str">
        <f>HYPERLINK("https://www.773grp.com/globalSearch/CDCE62002RHBT/page-1", "CDCE62002RHBT")</f>
        <v>CDCE62002RHBT</v>
      </c>
      <c r="B24823" s="3" t="s">
        <v>90</v>
      </c>
      <c r="C24823" s="5">
        <v>45</v>
      </c>
      <c r="D24823" s="6">
        <v>21.38</v>
      </c>
    </row>
    <row r="24824" spans="1:4" x14ac:dyDescent="0.25">
      <c r="A24824" t="str">
        <f>HYPERLINK("https://www.773grp.com/globalSearch/MSP430F168IPM/page-1", "MSP430F168IPM")</f>
        <v>MSP430F168IPM</v>
      </c>
      <c r="B24824" s="3" t="s">
        <v>90</v>
      </c>
      <c r="C24824" s="5">
        <v>3200</v>
      </c>
      <c r="D24824" s="6">
        <v>21.4</v>
      </c>
    </row>
    <row r="24825" spans="1:4" x14ac:dyDescent="0.25">
      <c r="A24825" t="str">
        <f>HYPERLINK("https://www.773grp.com/globalSearch/UC3823ADW/page-1", "UC3823ADW")</f>
        <v>UC3823ADW</v>
      </c>
      <c r="B24825" s="3" t="s">
        <v>90</v>
      </c>
      <c r="C24825" s="5">
        <v>17074</v>
      </c>
      <c r="D24825" s="6">
        <v>21.46</v>
      </c>
    </row>
    <row r="24826" spans="1:4" x14ac:dyDescent="0.25">
      <c r="A24826" t="str">
        <f>HYPERLINK("https://www.773grp.com/globalSearch/TSS400CFN-S3/page-1", "TSS400CFN-S3")</f>
        <v>TSS400CFN-S3</v>
      </c>
      <c r="B24826" s="3" t="s">
        <v>90</v>
      </c>
      <c r="C24826" s="5">
        <v>19453</v>
      </c>
      <c r="D24826" s="6">
        <v>21.51</v>
      </c>
    </row>
    <row r="24827" spans="1:4" x14ac:dyDescent="0.25">
      <c r="A24827" t="str">
        <f>HYPERLINK("https://www.773grp.com/globalSearch/TSS400QFN-S3/page-1", "TSS400QFN-S3")</f>
        <v>TSS400QFN-S3</v>
      </c>
      <c r="B24827" s="3" t="s">
        <v>90</v>
      </c>
      <c r="C24827" s="5">
        <v>50</v>
      </c>
      <c r="D24827" s="6">
        <v>21.51</v>
      </c>
    </row>
    <row r="24828" spans="1:4" x14ac:dyDescent="0.25">
      <c r="A24828" t="str">
        <f>HYPERLINK("https://www.773grp.com/globalSearch/JM38510-34105BSA/page-1", "JM38510-34105BSA")</f>
        <v>JM38510-34105BSA</v>
      </c>
      <c r="B24828" s="3" t="s">
        <v>90</v>
      </c>
      <c r="C24828" s="5">
        <v>26</v>
      </c>
      <c r="D24828" s="6">
        <v>21.56</v>
      </c>
    </row>
    <row r="24829" spans="1:4" x14ac:dyDescent="0.25">
      <c r="A24829" t="str">
        <f>HYPERLINK("https://www.773grp.com/globalSearch/INA111BU/page-1", "INA111BU")</f>
        <v>INA111BU</v>
      </c>
      <c r="B24829" s="3" t="s">
        <v>90</v>
      </c>
      <c r="C24829" s="5">
        <v>9804</v>
      </c>
      <c r="D24829" s="6">
        <v>21.65</v>
      </c>
    </row>
    <row r="24830" spans="1:4" x14ac:dyDescent="0.25">
      <c r="A24830" t="str">
        <f>HYPERLINK("https://www.773grp.com/globalSearch/INA111BU/page-1", "INA111BU")</f>
        <v>INA111BU</v>
      </c>
      <c r="B24830" s="3" t="s">
        <v>90</v>
      </c>
      <c r="C24830" s="5">
        <v>840</v>
      </c>
      <c r="D24830" s="6">
        <v>21.65</v>
      </c>
    </row>
    <row r="24831" spans="1:4" x14ac:dyDescent="0.25">
      <c r="A24831" t="str">
        <f>HYPERLINK("https://www.773grp.com/globalSearch/PSN104982PZPR/page-1", "PSN104982PZPR")</f>
        <v>PSN104982PZPR</v>
      </c>
      <c r="B24831" s="3" t="s">
        <v>90</v>
      </c>
      <c r="C24831" s="5">
        <v>3000</v>
      </c>
      <c r="D24831" s="6">
        <v>21.65</v>
      </c>
    </row>
    <row r="24832" spans="1:4" x14ac:dyDescent="0.25">
      <c r="A24832" t="str">
        <f>HYPERLINK("https://www.773grp.com/globalSearch/XD11568PGJ/page-1", "XD11568PGJ")</f>
        <v>XD11568PGJ</v>
      </c>
      <c r="B24832" s="3" t="s">
        <v>90</v>
      </c>
      <c r="C24832" s="5">
        <v>357</v>
      </c>
      <c r="D24832" s="6">
        <v>21.65</v>
      </c>
    </row>
    <row r="24833" spans="1:4" x14ac:dyDescent="0.25">
      <c r="A24833" t="str">
        <f>HYPERLINK("https://www.773grp.com/globalSearch/LM3S1608-IQC50-A2T/page-1", "LM3S1608-IQC50-A2T")</f>
        <v>LM3S1608-IQC50-A2T</v>
      </c>
      <c r="B24833" s="3" t="s">
        <v>90</v>
      </c>
      <c r="C24833" s="5">
        <v>3000</v>
      </c>
      <c r="D24833" s="6">
        <v>21.69</v>
      </c>
    </row>
    <row r="24834" spans="1:4" x14ac:dyDescent="0.25">
      <c r="A24834" t="str">
        <f>HYPERLINK("https://www.773grp.com/globalSearch/SNJ55114J/page-1", "SNJ55114J")</f>
        <v>SNJ55114J</v>
      </c>
      <c r="B24834" s="3" t="s">
        <v>90</v>
      </c>
      <c r="C24834" s="5">
        <v>5</v>
      </c>
      <c r="D24834" s="6">
        <v>21.69</v>
      </c>
    </row>
    <row r="24835" spans="1:4" x14ac:dyDescent="0.25">
      <c r="A24835" t="str">
        <f>HYPERLINK("https://www.773grp.com/globalSearch/LM3S5653-IQC50-A0/page-1", "LM3S5653-IQC50-A0")</f>
        <v>LM3S5653-IQC50-A0</v>
      </c>
      <c r="B24835" s="3" t="s">
        <v>90</v>
      </c>
      <c r="C24835" s="5">
        <v>90</v>
      </c>
      <c r="D24835" s="6">
        <v>21.71</v>
      </c>
    </row>
    <row r="24836" spans="1:4" x14ac:dyDescent="0.25">
      <c r="A24836" t="str">
        <f>HYPERLINK("https://www.773grp.com/globalSearch/SNJ54HC379FK/page-1", "SNJ54HC379FK")</f>
        <v>SNJ54HC379FK</v>
      </c>
      <c r="B24836" s="3" t="s">
        <v>90</v>
      </c>
      <c r="C24836" s="5">
        <v>32</v>
      </c>
      <c r="D24836" s="6">
        <v>21.71</v>
      </c>
    </row>
    <row r="24837" spans="1:4" x14ac:dyDescent="0.25">
      <c r="A24837" t="str">
        <f>HYPERLINK("https://www.773grp.com/globalSearch/UC3823BDWTR/page-1", "UC3823BDWTR")</f>
        <v>UC3823BDWTR</v>
      </c>
      <c r="B24837" s="3" t="s">
        <v>90</v>
      </c>
      <c r="C24837" s="5">
        <v>16000</v>
      </c>
      <c r="D24837" s="6">
        <v>21.71</v>
      </c>
    </row>
    <row r="24838" spans="1:4" x14ac:dyDescent="0.25">
      <c r="A24838" t="str">
        <f>HYPERLINK("https://www.773grp.com/globalSearch/D11598PGJ/page-1", "D11598PGJ")</f>
        <v>D11598PGJ</v>
      </c>
      <c r="B24838" s="3" t="s">
        <v>90</v>
      </c>
      <c r="C24838" s="5">
        <v>5132</v>
      </c>
      <c r="D24838" s="6">
        <v>21.8</v>
      </c>
    </row>
    <row r="24839" spans="1:4" x14ac:dyDescent="0.25">
      <c r="A24839" t="str">
        <f>HYPERLINK("https://www.773grp.com/globalSearch/SN74AVT7201LA50RJR/page-1", "SN74AVT7201LA50RJR")</f>
        <v>SN74AVT7201LA50RJR</v>
      </c>
      <c r="B24839" s="3" t="s">
        <v>90</v>
      </c>
      <c r="C24839" s="5">
        <v>750</v>
      </c>
      <c r="D24839" s="6">
        <v>21.8</v>
      </c>
    </row>
    <row r="24840" spans="1:4" x14ac:dyDescent="0.25">
      <c r="A24840" t="str">
        <f>HYPERLINK("https://www.773grp.com/globalSearch/SNJ54HC643J/page-1", "SNJ54HC643J")</f>
        <v>SNJ54HC643J</v>
      </c>
      <c r="B24840" s="3" t="s">
        <v>90</v>
      </c>
      <c r="C24840" s="5">
        <v>32</v>
      </c>
      <c r="D24840" s="6">
        <v>21.8</v>
      </c>
    </row>
    <row r="24841" spans="1:4" x14ac:dyDescent="0.25">
      <c r="A24841" t="str">
        <f>HYPERLINK("https://www.773grp.com/globalSearch/TMS470R1A384PZ-T/page-1", "TMS470R1A384PZ-T")</f>
        <v>TMS470R1A384PZ-T</v>
      </c>
      <c r="B24841" s="3" t="s">
        <v>90</v>
      </c>
      <c r="C24841" s="5">
        <v>690</v>
      </c>
      <c r="D24841" s="6">
        <v>21.83</v>
      </c>
    </row>
    <row r="24842" spans="1:4" x14ac:dyDescent="0.25">
      <c r="A24842" t="str">
        <f>HYPERLINK("https://www.773grp.com/globalSearch/TPS84259RKGT/page-1", "TPS84259RKGT")</f>
        <v>TPS84259RKGT</v>
      </c>
      <c r="B24842" s="3" t="s">
        <v>90</v>
      </c>
      <c r="C24842" s="5">
        <v>130</v>
      </c>
      <c r="D24842" s="6">
        <v>21.83</v>
      </c>
    </row>
    <row r="24843" spans="1:4" x14ac:dyDescent="0.25">
      <c r="A24843" t="str">
        <f>HYPERLINK("https://www.773grp.com/globalSearch/TLC320AC03CPM/page-1", "TLC320AC03CPM")</f>
        <v>TLC320AC03CPM</v>
      </c>
      <c r="B24843" s="3" t="s">
        <v>90</v>
      </c>
      <c r="C24843" s="5">
        <v>440</v>
      </c>
      <c r="D24843" s="6">
        <v>21.89</v>
      </c>
    </row>
    <row r="24844" spans="1:4" x14ac:dyDescent="0.25">
      <c r="A24844" t="str">
        <f>HYPERLINK("https://www.773grp.com/globalSearch/32R1607R-8CGT/page-1", "32R1607R-8CGT")</f>
        <v>32R1607R-8CGT</v>
      </c>
      <c r="B24844" s="3" t="s">
        <v>90</v>
      </c>
      <c r="C24844" s="5">
        <v>45</v>
      </c>
      <c r="D24844" s="6">
        <v>21.9</v>
      </c>
    </row>
    <row r="24845" spans="1:4" x14ac:dyDescent="0.25">
      <c r="A24845" t="str">
        <f>HYPERLINK("https://www.773grp.com/globalSearch/32R1610BR-8GT/page-1", "32R1610BR-8GT")</f>
        <v>32R1610BR-8GT</v>
      </c>
      <c r="B24845" s="3" t="s">
        <v>90</v>
      </c>
      <c r="C24845" s="5">
        <v>49158</v>
      </c>
      <c r="D24845" s="6">
        <v>21.9</v>
      </c>
    </row>
    <row r="24846" spans="1:4" x14ac:dyDescent="0.25">
      <c r="A24846" t="str">
        <f>HYPERLINK("https://www.773grp.com/globalSearch/MPD21574FK/page-1", "MPD21574FK")</f>
        <v>MPD21574FK</v>
      </c>
      <c r="B24846" s="3" t="s">
        <v>90</v>
      </c>
      <c r="C24846" s="5">
        <v>26</v>
      </c>
      <c r="D24846" s="6">
        <v>21.9</v>
      </c>
    </row>
    <row r="24847" spans="1:4" x14ac:dyDescent="0.25">
      <c r="A24847" t="str">
        <f>HYPERLINK("https://www.773grp.com/globalSearch/TMS320F2802PZA/page-1", "TMS320F2802PZA")</f>
        <v>TMS320F2802PZA</v>
      </c>
      <c r="B24847" s="3" t="s">
        <v>90</v>
      </c>
      <c r="C24847" s="5">
        <v>35</v>
      </c>
      <c r="D24847" s="6">
        <v>21.9</v>
      </c>
    </row>
    <row r="24848" spans="1:4" x14ac:dyDescent="0.25">
      <c r="A24848" t="str">
        <f>HYPERLINK("https://www.773grp.com/globalSearch/ADC0816CCN-NOPB/page-1", "ADC0816CCN-NOPB")</f>
        <v>ADC0816CCN-NOPB</v>
      </c>
      <c r="B24848" s="3" t="s">
        <v>90</v>
      </c>
      <c r="C24848" s="5">
        <v>22</v>
      </c>
      <c r="D24848" s="6">
        <v>21.94</v>
      </c>
    </row>
    <row r="24849" spans="1:4" x14ac:dyDescent="0.25">
      <c r="A24849" t="str">
        <f>HYPERLINK("https://www.773grp.com/globalSearch/CY54FCT374TDMB/page-1", "CY54FCT374TDMB")</f>
        <v>CY54FCT374TDMB</v>
      </c>
      <c r="B24849" s="3" t="s">
        <v>90</v>
      </c>
      <c r="C24849" s="5">
        <v>48</v>
      </c>
      <c r="D24849" s="6">
        <v>21.94</v>
      </c>
    </row>
    <row r="24850" spans="1:4" x14ac:dyDescent="0.25">
      <c r="A24850" t="str">
        <f>HYPERLINK("https://www.773grp.com/globalSearch/THS8133BCPGP/page-1", "THS8133BCPGP")</f>
        <v>THS8133BCPGP</v>
      </c>
      <c r="B24850" s="3" t="s">
        <v>90</v>
      </c>
      <c r="C24850" s="5">
        <v>1</v>
      </c>
      <c r="D24850" s="6">
        <v>21.94</v>
      </c>
    </row>
    <row r="24851" spans="1:4" x14ac:dyDescent="0.25">
      <c r="A24851" t="str">
        <f>HYPERLINK("https://www.773grp.com/globalSearch/LM3S2620-IQC25-A2/page-1", "LM3S2620-IQC25-A2")</f>
        <v>LM3S2620-IQC25-A2</v>
      </c>
      <c r="B24851" s="3" t="s">
        <v>90</v>
      </c>
      <c r="C24851" s="5">
        <v>44</v>
      </c>
      <c r="D24851" s="6">
        <v>22.05</v>
      </c>
    </row>
    <row r="24852" spans="1:4" x14ac:dyDescent="0.25">
      <c r="A24852" t="str">
        <f>HYPERLINK("https://www.773grp.com/globalSearch/SNJ54ABT245AJ/page-1", "SNJ54ABT245AJ")</f>
        <v>SNJ54ABT245AJ</v>
      </c>
      <c r="B24852" s="3" t="s">
        <v>90</v>
      </c>
      <c r="C24852" s="5">
        <v>2141</v>
      </c>
      <c r="D24852" s="6">
        <v>22.08</v>
      </c>
    </row>
    <row r="24853" spans="1:4" x14ac:dyDescent="0.25">
      <c r="A24853" t="str">
        <f>HYPERLINK("https://www.773grp.com/globalSearch/AM1802BZWTD3/page-1", "AM1802BZWTD3")</f>
        <v>AM1802BZWTD3</v>
      </c>
      <c r="B24853" s="3" t="s">
        <v>90</v>
      </c>
      <c r="C24853" s="5">
        <v>21</v>
      </c>
      <c r="D24853" s="6">
        <v>22.11</v>
      </c>
    </row>
    <row r="24854" spans="1:4" x14ac:dyDescent="0.25">
      <c r="A24854" t="str">
        <f>HYPERLINK("https://www.773grp.com/globalSearch/SNJ54197J/page-1", "SNJ54197J")</f>
        <v>SNJ54197J</v>
      </c>
      <c r="B24854" s="3" t="s">
        <v>90</v>
      </c>
      <c r="C24854" s="5">
        <v>46</v>
      </c>
      <c r="D24854" s="6">
        <v>22.11</v>
      </c>
    </row>
    <row r="24855" spans="1:4" x14ac:dyDescent="0.25">
      <c r="A24855" t="str">
        <f>HYPERLINK("https://www.773grp.com/globalSearch/32R1608CR-8GTR/page-1", "32R1608CR-8GTR")</f>
        <v>32R1608CR-8GTR</v>
      </c>
      <c r="B24855" s="3" t="s">
        <v>90</v>
      </c>
      <c r="C24855" s="5">
        <v>12000</v>
      </c>
      <c r="D24855" s="6">
        <v>22.14</v>
      </c>
    </row>
    <row r="24856" spans="1:4" x14ac:dyDescent="0.25">
      <c r="A24856" t="str">
        <f>HYPERLINK("https://www.773grp.com/globalSearch/ADS1601IPFBR/page-1", "ADS1601IPFBR")</f>
        <v>ADS1601IPFBR</v>
      </c>
      <c r="B24856" s="3" t="s">
        <v>90</v>
      </c>
      <c r="C24856" s="5">
        <v>1000</v>
      </c>
      <c r="D24856" s="6">
        <v>22.16</v>
      </c>
    </row>
    <row r="24857" spans="1:4" x14ac:dyDescent="0.25">
      <c r="A24857" t="str">
        <f>HYPERLINK("https://www.773grp.com/globalSearch/TP3420AV309-63SN/page-1", "TP3420AV309-63SN")</f>
        <v>TP3420AV309-63SN</v>
      </c>
      <c r="B24857" s="3" t="s">
        <v>90</v>
      </c>
      <c r="C24857" s="5">
        <v>7000</v>
      </c>
      <c r="D24857" s="6">
        <v>22.16</v>
      </c>
    </row>
    <row r="24858" spans="1:4" x14ac:dyDescent="0.25">
      <c r="A24858" t="str">
        <f>HYPERLINK("https://www.773grp.com/globalSearch/SN74ACT7200L15RJR/page-1", "SN74ACT7200L15RJR")</f>
        <v>SN74ACT7200L15RJR</v>
      </c>
      <c r="B24858" s="3" t="s">
        <v>90</v>
      </c>
      <c r="C24858" s="5">
        <v>36750</v>
      </c>
      <c r="D24858" s="6">
        <v>22.19</v>
      </c>
    </row>
    <row r="24859" spans="1:4" x14ac:dyDescent="0.25">
      <c r="A24859" t="str">
        <f>HYPERLINK("https://www.773grp.com/globalSearch/CD54HC573F/page-1", "CD54HC573F")</f>
        <v>CD54HC573F</v>
      </c>
      <c r="B24859" s="3" t="s">
        <v>90</v>
      </c>
      <c r="C24859" s="5">
        <v>30</v>
      </c>
      <c r="D24859" s="6">
        <v>22.23</v>
      </c>
    </row>
    <row r="24860" spans="1:4" x14ac:dyDescent="0.25">
      <c r="A24860" t="str">
        <f>HYPERLINK("https://www.773grp.com/globalSearch/INA2128U-1K/page-1", "INA2128U-1K")</f>
        <v>INA2128U-1K</v>
      </c>
      <c r="B24860" s="3" t="s">
        <v>90</v>
      </c>
      <c r="C24860" s="5">
        <v>6000</v>
      </c>
      <c r="D24860" s="6">
        <v>22.23</v>
      </c>
    </row>
    <row r="24861" spans="1:4" x14ac:dyDescent="0.25">
      <c r="A24861" t="str">
        <f>HYPERLINK("https://www.773grp.com/globalSearch/LM193LB/page-1", "LM193LB")</f>
        <v>LM193LB</v>
      </c>
      <c r="B24861" s="3" t="s">
        <v>90</v>
      </c>
      <c r="C24861" s="5">
        <v>885</v>
      </c>
      <c r="D24861" s="6">
        <v>22.23</v>
      </c>
    </row>
    <row r="24862" spans="1:4" x14ac:dyDescent="0.25">
      <c r="A24862" t="str">
        <f>HYPERLINK("https://www.773grp.com/globalSearch/SN74ACT7204L50RJR/page-1", "SN74ACT7204L50RJR")</f>
        <v>SN74ACT7204L50RJR</v>
      </c>
      <c r="B24862" s="3" t="s">
        <v>90</v>
      </c>
      <c r="C24862" s="5">
        <v>12750</v>
      </c>
      <c r="D24862" s="6">
        <v>22.23</v>
      </c>
    </row>
    <row r="24863" spans="1:4" x14ac:dyDescent="0.25">
      <c r="A24863" t="str">
        <f>HYPERLINK("https://www.773grp.com/globalSearch/TAS3308PZT/page-1", "TAS3308PZT")</f>
        <v>TAS3308PZT</v>
      </c>
      <c r="B24863" s="3" t="s">
        <v>90</v>
      </c>
      <c r="C24863" s="5">
        <v>1141</v>
      </c>
      <c r="D24863" s="6">
        <v>22.23</v>
      </c>
    </row>
    <row r="24864" spans="1:4" x14ac:dyDescent="0.25">
      <c r="A24864" t="str">
        <f>HYPERLINK("https://www.773grp.com/globalSearch/TL031MLB/page-1", "TL031MLB")</f>
        <v>TL031MLB</v>
      </c>
      <c r="B24864" s="3" t="s">
        <v>90</v>
      </c>
      <c r="C24864" s="5">
        <v>1197</v>
      </c>
      <c r="D24864" s="6">
        <v>22.23</v>
      </c>
    </row>
    <row r="24865" spans="1:4" x14ac:dyDescent="0.25">
      <c r="A24865" t="str">
        <f>HYPERLINK("https://www.773grp.com/globalSearch/TMX320F28069PNA/page-1", "TMX320F28069PNA")</f>
        <v>TMX320F28069PNA</v>
      </c>
      <c r="B24865" s="3" t="s">
        <v>90</v>
      </c>
      <c r="C24865" s="5">
        <v>4573</v>
      </c>
      <c r="D24865" s="6">
        <v>22.23</v>
      </c>
    </row>
    <row r="24866" spans="1:4" x14ac:dyDescent="0.25">
      <c r="A24866" t="str">
        <f>HYPERLINK("https://www.773grp.com/globalSearch/TMX320F28069PZPA/page-1", "TMX320F28069PZPA")</f>
        <v>TMX320F28069PZPA</v>
      </c>
      <c r="B24866" s="3" t="s">
        <v>90</v>
      </c>
      <c r="C24866" s="5">
        <v>6244</v>
      </c>
      <c r="D24866" s="6">
        <v>22.23</v>
      </c>
    </row>
    <row r="24867" spans="1:4" x14ac:dyDescent="0.25">
      <c r="A24867" t="str">
        <f>HYPERLINK("https://www.773grp.com/globalSearch/7700801CA/page-1", "7700801CA")</f>
        <v>7700801CA</v>
      </c>
      <c r="B24867" s="3" t="s">
        <v>90</v>
      </c>
      <c r="C24867" s="5">
        <v>110</v>
      </c>
      <c r="D24867" s="6">
        <v>22.24</v>
      </c>
    </row>
    <row r="24868" spans="1:4" x14ac:dyDescent="0.25">
      <c r="A24868" t="str">
        <f>HYPERLINK("https://www.773grp.com/globalSearch/LMK01020ISQE-NOPB/page-1", "LMK01020ISQE-NOPB")</f>
        <v>LMK01020ISQE-NOPB</v>
      </c>
      <c r="B24868" s="3" t="s">
        <v>90</v>
      </c>
      <c r="C24868" s="5">
        <v>250</v>
      </c>
      <c r="D24868" s="6">
        <v>22.28</v>
      </c>
    </row>
    <row r="24869" spans="1:4" x14ac:dyDescent="0.25">
      <c r="A24869" t="str">
        <f>HYPERLINK("https://www.773grp.com/globalSearch/SN74SSTU32864DGKER/page-1", "SN74SSTU32864DGKER")</f>
        <v>SN74SSTU32864DGKER</v>
      </c>
      <c r="B24869" s="3" t="s">
        <v>90</v>
      </c>
      <c r="C24869" s="5">
        <v>1000</v>
      </c>
      <c r="D24869" s="6">
        <v>22.28</v>
      </c>
    </row>
    <row r="24870" spans="1:4" x14ac:dyDescent="0.25">
      <c r="A24870" t="str">
        <f>HYPERLINK("https://www.773grp.com/globalSearch/CD4052BF3A/page-1", "CD4052BF3A")</f>
        <v>CD4052BF3A</v>
      </c>
      <c r="B24870" s="3" t="s">
        <v>90</v>
      </c>
      <c r="C24870" s="5">
        <v>42</v>
      </c>
      <c r="D24870" s="6">
        <v>22.31</v>
      </c>
    </row>
    <row r="24871" spans="1:4" x14ac:dyDescent="0.25">
      <c r="A24871" t="str">
        <f>HYPERLINK("https://www.773grp.com/globalSearch/7702402CA/page-1", "7702402CA")</f>
        <v>7702402CA</v>
      </c>
      <c r="B24871" s="3" t="s">
        <v>90</v>
      </c>
      <c r="C24871" s="5">
        <v>95</v>
      </c>
      <c r="D24871" s="6">
        <v>22.33</v>
      </c>
    </row>
    <row r="24872" spans="1:4" x14ac:dyDescent="0.25">
      <c r="A24872" t="str">
        <f>HYPERLINK("https://www.773grp.com/globalSearch/ADS1194CZXGR/page-1", "ADS1194CZXGR")</f>
        <v>ADS1194CZXGR</v>
      </c>
      <c r="B24872" s="3" t="s">
        <v>90</v>
      </c>
      <c r="C24872" s="5">
        <v>47000</v>
      </c>
      <c r="D24872" s="6">
        <v>22.36</v>
      </c>
    </row>
    <row r="24873" spans="1:4" x14ac:dyDescent="0.25">
      <c r="A24873" t="str">
        <f>HYPERLINK("https://www.773grp.com/globalSearch/DS64BR401SQ-NOPB/page-1", "DS64BR401SQ-NOPB")</f>
        <v>DS64BR401SQ-NOPB</v>
      </c>
      <c r="B24873" s="3" t="s">
        <v>90</v>
      </c>
      <c r="C24873" s="5">
        <v>2000</v>
      </c>
      <c r="D24873" s="6">
        <v>22.36</v>
      </c>
    </row>
    <row r="24874" spans="1:4" x14ac:dyDescent="0.25">
      <c r="A24874" t="str">
        <f>HYPERLINK("https://www.773grp.com/globalSearch/INA101KU-1K/page-1", "INA101KU-1K")</f>
        <v>INA101KU-1K</v>
      </c>
      <c r="B24874" s="3" t="s">
        <v>90</v>
      </c>
      <c r="C24874" s="5">
        <v>4000</v>
      </c>
      <c r="D24874" s="6">
        <v>22.36</v>
      </c>
    </row>
    <row r="24875" spans="1:4" x14ac:dyDescent="0.25">
      <c r="A24875" t="str">
        <f>HYPERLINK("https://www.773grp.com/globalSearch/LMH0024MAX-NOPB/page-1", "LMH0024MAX-NOPB")</f>
        <v>LMH0024MAX-NOPB</v>
      </c>
      <c r="B24875" s="3" t="s">
        <v>90</v>
      </c>
      <c r="C24875" s="5">
        <v>2500</v>
      </c>
      <c r="D24875" s="6">
        <v>22.36</v>
      </c>
    </row>
    <row r="24876" spans="1:4" x14ac:dyDescent="0.25">
      <c r="A24876" t="str">
        <f>HYPERLINK("https://www.773grp.com/globalSearch/MSP430FG4619IPZ/page-1", "MSP430FG4619IPZ")</f>
        <v>MSP430FG4619IPZ</v>
      </c>
      <c r="B24876" s="3" t="s">
        <v>90</v>
      </c>
      <c r="C24876" s="5">
        <v>40</v>
      </c>
      <c r="D24876" s="6">
        <v>22.36</v>
      </c>
    </row>
    <row r="24877" spans="1:4" x14ac:dyDescent="0.25">
      <c r="A24877" t="str">
        <f>HYPERLINK("https://www.773grp.com/globalSearch/PGA2500IDBR/page-1", "PGA2500IDBR")</f>
        <v>PGA2500IDBR</v>
      </c>
      <c r="B24877" s="3" t="s">
        <v>90</v>
      </c>
      <c r="C24877" s="5">
        <v>340</v>
      </c>
      <c r="D24877" s="6">
        <v>22.36</v>
      </c>
    </row>
    <row r="24878" spans="1:4" x14ac:dyDescent="0.25">
      <c r="A24878" t="str">
        <f>HYPERLINK("https://www.773grp.com/globalSearch/SNJ54H00WA/page-1", "SNJ54H00WA")</f>
        <v>SNJ54H00WA</v>
      </c>
      <c r="B24878" s="3" t="s">
        <v>90</v>
      </c>
      <c r="C24878" s="5">
        <v>1466</v>
      </c>
      <c r="D24878" s="6">
        <v>22.36</v>
      </c>
    </row>
    <row r="24879" spans="1:4" x14ac:dyDescent="0.25">
      <c r="A24879" t="str">
        <f>HYPERLINK("https://www.773grp.com/globalSearch/TLV5610IDWR/page-1", "TLV5610IDWR")</f>
        <v>TLV5610IDWR</v>
      </c>
      <c r="B24879" s="3" t="s">
        <v>90</v>
      </c>
      <c r="C24879" s="5">
        <v>6000</v>
      </c>
      <c r="D24879" s="6">
        <v>22.36</v>
      </c>
    </row>
    <row r="24880" spans="1:4" x14ac:dyDescent="0.25">
      <c r="A24880" t="str">
        <f>HYPERLINK("https://www.773grp.com/globalSearch/LM3S9790-IQC80-C5/page-1", "LM3S9790-IQC80-C5")</f>
        <v>LM3S9790-IQC80-C5</v>
      </c>
      <c r="B24880" s="3" t="s">
        <v>90</v>
      </c>
      <c r="C24880" s="5">
        <v>260</v>
      </c>
      <c r="D24880" s="6">
        <v>22.45</v>
      </c>
    </row>
    <row r="24881" spans="1:4" x14ac:dyDescent="0.25">
      <c r="A24881" t="str">
        <f>HYPERLINK("https://www.773grp.com/globalSearch/UC3176QPTR/page-1", "UC3176QPTR")</f>
        <v>UC3176QPTR</v>
      </c>
      <c r="B24881" s="3" t="s">
        <v>90</v>
      </c>
      <c r="C24881" s="5">
        <v>7500</v>
      </c>
      <c r="D24881" s="6">
        <v>22.45</v>
      </c>
    </row>
    <row r="24882" spans="1:4" x14ac:dyDescent="0.25">
      <c r="A24882" t="str">
        <f>HYPERLINK("https://www.773grp.com/globalSearch/CY54FCT244TDMB/page-1", "CY54FCT244TDMB")</f>
        <v>CY54FCT244TDMB</v>
      </c>
      <c r="B24882" s="3" t="s">
        <v>90</v>
      </c>
      <c r="C24882" s="5">
        <v>31</v>
      </c>
      <c r="D24882" s="6">
        <v>22.48</v>
      </c>
    </row>
    <row r="24883" spans="1:4" x14ac:dyDescent="0.25">
      <c r="A24883" t="str">
        <f>HYPERLINK("https://www.773grp.com/globalSearch/DS80PCI800SQE-NOPB/page-1", "DS80PCI800SQE-NOPB")</f>
        <v>DS80PCI800SQE-NOPB</v>
      </c>
      <c r="B24883" s="3" t="s">
        <v>90</v>
      </c>
      <c r="C24883" s="5">
        <v>2250</v>
      </c>
      <c r="D24883" s="6">
        <v>22.48</v>
      </c>
    </row>
    <row r="24884" spans="1:4" x14ac:dyDescent="0.25">
      <c r="A24884" t="str">
        <f>HYPERLINK("https://www.773grp.com/globalSearch/D11595PGJ/page-1", "D11595PGJ")</f>
        <v>D11595PGJ</v>
      </c>
      <c r="B24884" s="3" t="s">
        <v>90</v>
      </c>
      <c r="C24884" s="5">
        <v>8694</v>
      </c>
      <c r="D24884" s="6">
        <v>22.5</v>
      </c>
    </row>
    <row r="24885" spans="1:4" x14ac:dyDescent="0.25">
      <c r="A24885" t="str">
        <f>HYPERLINK("https://www.773grp.com/globalSearch/D11615PGJ/page-1", "D11615PGJ")</f>
        <v>D11615PGJ</v>
      </c>
      <c r="B24885" s="3" t="s">
        <v>90</v>
      </c>
      <c r="C24885" s="5">
        <v>424</v>
      </c>
      <c r="D24885" s="6">
        <v>22.5</v>
      </c>
    </row>
    <row r="24886" spans="1:4" x14ac:dyDescent="0.25">
      <c r="A24886" t="str">
        <f>HYPERLINK("https://www.773grp.com/globalSearch/DAC7568ICPWR/page-1", "DAC7568ICPWR")</f>
        <v>DAC7568ICPWR</v>
      </c>
      <c r="B24886" s="3" t="s">
        <v>90</v>
      </c>
      <c r="C24886" s="5">
        <v>2000</v>
      </c>
      <c r="D24886" s="6">
        <v>22.5</v>
      </c>
    </row>
    <row r="24887" spans="1:4" x14ac:dyDescent="0.25">
      <c r="A24887" t="str">
        <f>HYPERLINK("https://www.773grp.com/globalSearch/PTR08100WVD/page-1", "PTR08100WVD")</f>
        <v>PTR08100WVD</v>
      </c>
      <c r="B24887" s="3" t="s">
        <v>90</v>
      </c>
      <c r="C24887" s="5">
        <v>1200</v>
      </c>
      <c r="D24887" s="6">
        <v>22.5</v>
      </c>
    </row>
    <row r="24888" spans="1:4" x14ac:dyDescent="0.25">
      <c r="A24888" t="str">
        <f>HYPERLINK("https://www.773grp.com/globalSearch/SN55325J/page-1", "SN55325J")</f>
        <v>SN55325J</v>
      </c>
      <c r="B24888" s="3" t="s">
        <v>90</v>
      </c>
      <c r="C24888" s="5">
        <v>159</v>
      </c>
      <c r="D24888" s="6">
        <v>22.5</v>
      </c>
    </row>
    <row r="24889" spans="1:4" x14ac:dyDescent="0.25">
      <c r="A24889" t="str">
        <f>HYPERLINK("https://www.773grp.com/globalSearch/SN55326J/page-1", "SN55326J")</f>
        <v>SN55326J</v>
      </c>
      <c r="B24889" s="3" t="s">
        <v>90</v>
      </c>
      <c r="C24889" s="5">
        <v>5263</v>
      </c>
      <c r="D24889" s="6">
        <v>22.5</v>
      </c>
    </row>
    <row r="24890" spans="1:4" x14ac:dyDescent="0.25">
      <c r="A24890" t="str">
        <f>HYPERLINK("https://www.773grp.com/globalSearch/TL062MLB/page-1", "TL062MLB")</f>
        <v>TL062MLB</v>
      </c>
      <c r="B24890" s="3" t="s">
        <v>90</v>
      </c>
      <c r="C24890" s="5">
        <v>741</v>
      </c>
      <c r="D24890" s="6">
        <v>22.5</v>
      </c>
    </row>
    <row r="24891" spans="1:4" x14ac:dyDescent="0.25">
      <c r="A24891" t="str">
        <f>HYPERLINK("https://www.773grp.com/globalSearch/TL072MLB/page-1", "TL072MLB")</f>
        <v>TL072MLB</v>
      </c>
      <c r="B24891" s="3" t="s">
        <v>90</v>
      </c>
      <c r="C24891" s="5">
        <v>3568</v>
      </c>
      <c r="D24891" s="6">
        <v>22.5</v>
      </c>
    </row>
    <row r="24892" spans="1:4" x14ac:dyDescent="0.25">
      <c r="A24892" t="str">
        <f>HYPERLINK("https://www.773grp.com/globalSearch/TPS658600AZQZT/page-1", "TPS658600AZQZT")</f>
        <v>TPS658600AZQZT</v>
      </c>
      <c r="B24892" s="3" t="s">
        <v>90</v>
      </c>
      <c r="C24892" s="5">
        <v>8000</v>
      </c>
      <c r="D24892" s="6">
        <v>22.5</v>
      </c>
    </row>
    <row r="24893" spans="1:4" x14ac:dyDescent="0.25">
      <c r="A24893" t="str">
        <f>HYPERLINK("https://www.773grp.com/globalSearch/TPS658622AZQZT/page-1", "TPS658622AZQZT")</f>
        <v>TPS658622AZQZT</v>
      </c>
      <c r="B24893" s="3" t="s">
        <v>90</v>
      </c>
      <c r="C24893" s="5">
        <v>500</v>
      </c>
      <c r="D24893" s="6">
        <v>22.5</v>
      </c>
    </row>
    <row r="24894" spans="1:4" x14ac:dyDescent="0.25">
      <c r="A24894" t="str">
        <f>HYPERLINK("https://www.773grp.com/globalSearch/TPS658622BZQZT/page-1", "TPS658622BZQZT")</f>
        <v>TPS658622BZQZT</v>
      </c>
      <c r="B24894" s="3" t="s">
        <v>90</v>
      </c>
      <c r="C24894" s="5">
        <v>3500</v>
      </c>
      <c r="D24894" s="6">
        <v>22.5</v>
      </c>
    </row>
    <row r="24895" spans="1:4" x14ac:dyDescent="0.25">
      <c r="A24895" t="str">
        <f>HYPERLINK("https://www.773grp.com/globalSearch/UC3525ADWTR-1/page-1", "UC3525ADWTR-1")</f>
        <v>UC3525ADWTR-1</v>
      </c>
      <c r="B24895" s="3" t="s">
        <v>90</v>
      </c>
      <c r="C24895" s="5">
        <v>4000</v>
      </c>
      <c r="D24895" s="6">
        <v>22.5</v>
      </c>
    </row>
    <row r="24896" spans="1:4" x14ac:dyDescent="0.25">
      <c r="A24896" t="str">
        <f>HYPERLINK("https://www.773grp.com/globalSearch/LM3S2412-IQC25-A2/page-1", "LM3S2412-IQC25-A2")</f>
        <v>LM3S2412-IQC25-A2</v>
      </c>
      <c r="B24896" s="3" t="s">
        <v>90</v>
      </c>
      <c r="C24896" s="5">
        <v>20</v>
      </c>
      <c r="D24896" s="6">
        <v>22.53</v>
      </c>
    </row>
    <row r="24897" spans="1:4" x14ac:dyDescent="0.25">
      <c r="A24897" t="str">
        <f>HYPERLINK("https://www.773grp.com/globalSearch/SNJ54154J/page-1", "SNJ54154J")</f>
        <v>SNJ54154J</v>
      </c>
      <c r="B24897" s="3" t="s">
        <v>90</v>
      </c>
      <c r="C24897" s="5">
        <v>36</v>
      </c>
      <c r="D24897" s="6">
        <v>22.53</v>
      </c>
    </row>
    <row r="24898" spans="1:4" x14ac:dyDescent="0.25">
      <c r="A24898" t="str">
        <f>HYPERLINK("https://www.773grp.com/globalSearch/SNJ54AC11241JT/page-1", "SNJ54AC11241JT")</f>
        <v>SNJ54AC11241JT</v>
      </c>
      <c r="B24898" s="3" t="s">
        <v>90</v>
      </c>
      <c r="C24898" s="5">
        <v>212</v>
      </c>
      <c r="D24898" s="6">
        <v>22.53</v>
      </c>
    </row>
    <row r="24899" spans="1:4" x14ac:dyDescent="0.25">
      <c r="A24899" t="str">
        <f>HYPERLINK("https://www.773grp.com/globalSearch/SNJ54ACT11244JT/page-1", "SNJ54ACT11244JT")</f>
        <v>SNJ54ACT11244JT</v>
      </c>
      <c r="B24899" s="3" t="s">
        <v>90</v>
      </c>
      <c r="C24899" s="5">
        <v>3486</v>
      </c>
      <c r="D24899" s="6">
        <v>22.53</v>
      </c>
    </row>
    <row r="24900" spans="1:4" x14ac:dyDescent="0.25">
      <c r="A24900" t="str">
        <f>HYPERLINK("https://www.773grp.com/globalSearch/TL514MJB/page-1", "TL514MJB")</f>
        <v>TL514MJB</v>
      </c>
      <c r="B24900" s="3" t="s">
        <v>90</v>
      </c>
      <c r="C24900" s="5">
        <v>281</v>
      </c>
      <c r="D24900" s="6">
        <v>22.56</v>
      </c>
    </row>
    <row r="24901" spans="1:4" x14ac:dyDescent="0.25">
      <c r="A24901" t="str">
        <f>HYPERLINK("https://www.773grp.com/globalSearch/CY54FCT245TLMB/page-1", "CY54FCT245TLMB")</f>
        <v>CY54FCT245TLMB</v>
      </c>
      <c r="B24901" s="3" t="s">
        <v>90</v>
      </c>
      <c r="C24901" s="5">
        <v>20</v>
      </c>
      <c r="D24901" s="6">
        <v>22.61</v>
      </c>
    </row>
    <row r="24902" spans="1:4" x14ac:dyDescent="0.25">
      <c r="A24902" t="str">
        <f>HYPERLINK("https://www.773grp.com/globalSearch/LMX2581SQE-NOPB/page-1", "LMX2581SQE-NOPB")</f>
        <v>LMX2581SQE-NOPB</v>
      </c>
      <c r="B24902" s="3" t="s">
        <v>90</v>
      </c>
      <c r="C24902" s="5">
        <v>250</v>
      </c>
      <c r="D24902" s="6">
        <v>22.65</v>
      </c>
    </row>
    <row r="24903" spans="1:4" x14ac:dyDescent="0.25">
      <c r="A24903" t="str">
        <f>HYPERLINK("https://www.773grp.com/globalSearch/TMS320LF2403APAGSR/page-1", "TMS320LF2403APAGSR")</f>
        <v>TMS320LF2403APAGSR</v>
      </c>
      <c r="B24903" s="3" t="s">
        <v>90</v>
      </c>
      <c r="C24903" s="5">
        <v>5979</v>
      </c>
      <c r="D24903" s="6">
        <v>22.65</v>
      </c>
    </row>
    <row r="24904" spans="1:4" x14ac:dyDescent="0.25">
      <c r="A24904" t="str">
        <f>HYPERLINK("https://www.773grp.com/globalSearch/DS90CR484AVJDX-NOPB/page-1", "DS90CR484AVJDX-NOPB")</f>
        <v>DS90CR484AVJDX-NOPB</v>
      </c>
      <c r="B24904" s="3" t="s">
        <v>90</v>
      </c>
      <c r="C24904" s="5">
        <v>5000</v>
      </c>
      <c r="D24904" s="6">
        <v>22.66</v>
      </c>
    </row>
    <row r="24905" spans="1:4" x14ac:dyDescent="0.25">
      <c r="A24905" t="str">
        <f>HYPERLINK("https://www.773grp.com/globalSearch/LM3S1332-IQC50-A2/page-1", "LM3S1332-IQC50-A2")</f>
        <v>LM3S1332-IQC50-A2</v>
      </c>
      <c r="B24905" s="3" t="s">
        <v>90</v>
      </c>
      <c r="C24905" s="5">
        <v>90</v>
      </c>
      <c r="D24905" s="6">
        <v>22.66</v>
      </c>
    </row>
    <row r="24906" spans="1:4" x14ac:dyDescent="0.25">
      <c r="A24906" t="str">
        <f>HYPERLINK("https://www.773grp.com/globalSearch/TVP5157PNPR/page-1", "TVP5157PNPR")</f>
        <v>TVP5157PNPR</v>
      </c>
      <c r="B24906" s="3" t="s">
        <v>90</v>
      </c>
      <c r="C24906" s="5">
        <v>156</v>
      </c>
      <c r="D24906" s="6">
        <v>22.66</v>
      </c>
    </row>
    <row r="24907" spans="1:4" x14ac:dyDescent="0.25">
      <c r="A24907" t="str">
        <f>HYPERLINK("https://www.773grp.com/globalSearch/5962-8755801SA/page-1", "5962-8755801SA")</f>
        <v>5962-8755801SA</v>
      </c>
      <c r="B24907" s="3" t="s">
        <v>90</v>
      </c>
      <c r="C24907" s="5">
        <v>1</v>
      </c>
      <c r="D24907" s="6">
        <v>22.7</v>
      </c>
    </row>
    <row r="24908" spans="1:4" x14ac:dyDescent="0.25">
      <c r="A24908" t="str">
        <f>HYPERLINK("https://www.773grp.com/globalSearch/TVP5154AIPNP/page-1", "TVP5154AIPNP")</f>
        <v>TVP5154AIPNP</v>
      </c>
      <c r="B24908" s="3" t="s">
        <v>90</v>
      </c>
      <c r="C24908" s="5">
        <v>1</v>
      </c>
      <c r="D24908" s="6">
        <v>22.75</v>
      </c>
    </row>
    <row r="24909" spans="1:4" x14ac:dyDescent="0.25">
      <c r="A24909" t="str">
        <f>HYPERLINK("https://www.773grp.com/globalSearch/BQ2083DBT-V1P3/page-1", "BQ2083DBT-V1P3")</f>
        <v>BQ2083DBT-V1P3</v>
      </c>
      <c r="B24909" s="3" t="s">
        <v>90</v>
      </c>
      <c r="C24909" s="5">
        <v>1000</v>
      </c>
      <c r="D24909" s="6">
        <v>22.79</v>
      </c>
    </row>
    <row r="24910" spans="1:4" x14ac:dyDescent="0.25">
      <c r="A24910" t="str">
        <f>HYPERLINK("https://www.773grp.com/globalSearch/CCZACC06A1RTCR/page-1", "CCZACC06A1RTCR")</f>
        <v>CCZACC06A1RTCR</v>
      </c>
      <c r="B24910" s="3" t="s">
        <v>90</v>
      </c>
      <c r="C24910" s="5">
        <v>312</v>
      </c>
      <c r="D24910" s="6">
        <v>22.79</v>
      </c>
    </row>
    <row r="24911" spans="1:4" x14ac:dyDescent="0.25">
      <c r="A24911" t="str">
        <f>HYPERLINK("https://www.773grp.com/globalSearch/LM3S1960-IQC50-A2/page-1", "LM3S1960-IQC50-A2")</f>
        <v>LM3S1960-IQC50-A2</v>
      </c>
      <c r="B24911" s="3" t="s">
        <v>90</v>
      </c>
      <c r="C24911" s="5">
        <v>66</v>
      </c>
      <c r="D24911" s="6">
        <v>22.79</v>
      </c>
    </row>
    <row r="24912" spans="1:4" x14ac:dyDescent="0.25">
      <c r="A24912" t="str">
        <f>HYPERLINK("https://www.773grp.com/globalSearch/LMD18200T-NOPB/page-1", "LMD18200T-NOPB")</f>
        <v>LMD18200T-NOPB</v>
      </c>
      <c r="B24912" s="3" t="s">
        <v>90</v>
      </c>
      <c r="C24912" s="5">
        <v>1000</v>
      </c>
      <c r="D24912" s="6">
        <v>22.79</v>
      </c>
    </row>
    <row r="24913" spans="1:4" x14ac:dyDescent="0.25">
      <c r="A24913" t="str">
        <f>HYPERLINK("https://www.773grp.com/globalSearch/SN74AS867FN/page-1", "SN74AS867FN")</f>
        <v>SN74AS867FN</v>
      </c>
      <c r="B24913" s="3" t="s">
        <v>90</v>
      </c>
      <c r="C24913" s="5">
        <v>850</v>
      </c>
      <c r="D24913" s="6">
        <v>22.79</v>
      </c>
    </row>
    <row r="24914" spans="1:4" x14ac:dyDescent="0.25">
      <c r="A24914" t="str">
        <f>HYPERLINK("https://www.773grp.com/globalSearch/CD4054BF3A/page-1", "CD4054BF3A")</f>
        <v>CD4054BF3A</v>
      </c>
      <c r="B24914" s="3" t="s">
        <v>90</v>
      </c>
      <c r="C24914" s="5">
        <v>9</v>
      </c>
      <c r="D24914" s="6">
        <v>22.84</v>
      </c>
    </row>
    <row r="24915" spans="1:4" x14ac:dyDescent="0.25">
      <c r="A24915" t="str">
        <f>HYPERLINK("https://www.773grp.com/globalSearch/DAC8831ICD/page-1", "DAC8831ICD")</f>
        <v>DAC8831ICD</v>
      </c>
      <c r="B24915" s="3" t="s">
        <v>90</v>
      </c>
      <c r="C24915" s="5">
        <v>713</v>
      </c>
      <c r="D24915" s="6">
        <v>22.86</v>
      </c>
    </row>
    <row r="24916" spans="1:4" x14ac:dyDescent="0.25">
      <c r="A24916" t="str">
        <f>HYPERLINK("https://www.773grp.com/globalSearch/CD54HCT139F/page-1", "CD54HCT139F")</f>
        <v>CD54HCT139F</v>
      </c>
      <c r="B24916" s="3" t="s">
        <v>90</v>
      </c>
      <c r="C24916" s="5">
        <v>54</v>
      </c>
      <c r="D24916" s="6">
        <v>22.9</v>
      </c>
    </row>
    <row r="24917" spans="1:4" x14ac:dyDescent="0.25">
      <c r="A24917" t="str">
        <f>HYPERLINK("https://www.773grp.com/globalSearch/COP8SGR744V8-NOPB/page-1", "COP8SGR744V8-NOPB")</f>
        <v>COP8SGR744V8-NOPB</v>
      </c>
      <c r="B24917" s="3" t="s">
        <v>90</v>
      </c>
      <c r="C24917" s="5">
        <v>248</v>
      </c>
      <c r="D24917" s="6">
        <v>22.9</v>
      </c>
    </row>
    <row r="24918" spans="1:4" x14ac:dyDescent="0.25">
      <c r="A24918" t="str">
        <f>HYPERLINK("https://www.773grp.com/globalSearch/DAC5652IPFBR/page-1", "DAC5652IPFBR")</f>
        <v>DAC5652IPFBR</v>
      </c>
      <c r="B24918" s="3" t="s">
        <v>90</v>
      </c>
      <c r="C24918" s="5">
        <v>135000</v>
      </c>
      <c r="D24918" s="6">
        <v>22.91</v>
      </c>
    </row>
    <row r="24919" spans="1:4" x14ac:dyDescent="0.25">
      <c r="A24919" t="str">
        <f>HYPERLINK("https://www.773grp.com/globalSearch/TMS320LF2406APZS/page-1", "TMS320LF2406APZS")</f>
        <v>TMS320LF2406APZS</v>
      </c>
      <c r="B24919" s="3" t="s">
        <v>90</v>
      </c>
      <c r="C24919" s="5">
        <v>2120</v>
      </c>
      <c r="D24919" s="6">
        <v>22.91</v>
      </c>
    </row>
    <row r="24920" spans="1:4" x14ac:dyDescent="0.25">
      <c r="A24920" t="str">
        <f>HYPERLINK("https://www.773grp.com/globalSearch/MSP430F169IPMR/page-1", "MSP430F169IPMR")</f>
        <v>MSP430F169IPMR</v>
      </c>
      <c r="B24920" s="3" t="s">
        <v>90</v>
      </c>
      <c r="C24920" s="5">
        <v>1000</v>
      </c>
      <c r="D24920" s="6">
        <v>22.95</v>
      </c>
    </row>
    <row r="24921" spans="1:4" x14ac:dyDescent="0.25">
      <c r="A24921" t="str">
        <f>HYPERLINK("https://www.773grp.com/globalSearch/SN74ACT7201LA15RJR/page-1", "SN74ACT7201LA15RJR")</f>
        <v>SN74ACT7201LA15RJR</v>
      </c>
      <c r="B24921" s="3" t="s">
        <v>90</v>
      </c>
      <c r="C24921" s="5">
        <v>2250</v>
      </c>
      <c r="D24921" s="6">
        <v>22.99</v>
      </c>
    </row>
    <row r="24922" spans="1:4" x14ac:dyDescent="0.25">
      <c r="A24922" t="str">
        <f>HYPERLINK("https://www.773grp.com/globalSearch/ADS8323Y-250/page-1", "ADS8323Y-250")</f>
        <v>ADS8323Y-250</v>
      </c>
      <c r="B24922" s="3" t="s">
        <v>90</v>
      </c>
      <c r="C24922" s="5">
        <v>17</v>
      </c>
      <c r="D24922" s="6">
        <v>23.06</v>
      </c>
    </row>
    <row r="24923" spans="1:4" x14ac:dyDescent="0.25">
      <c r="A24923" t="str">
        <f>HYPERLINK("https://www.773grp.com/globalSearch/LM3S1918-IQC50-A2/page-1", "LM3S1918-IQC50-A2")</f>
        <v>LM3S1918-IQC50-A2</v>
      </c>
      <c r="B24923" s="3" t="s">
        <v>90</v>
      </c>
      <c r="C24923" s="5">
        <v>1278</v>
      </c>
      <c r="D24923" s="6">
        <v>23.06</v>
      </c>
    </row>
    <row r="24924" spans="1:4" x14ac:dyDescent="0.25">
      <c r="A24924" t="str">
        <f>HYPERLINK("https://www.773grp.com/globalSearch/TMS320F28069UPNT/page-1", "TMS320F28069UPNT")</f>
        <v>TMS320F28069UPNT</v>
      </c>
      <c r="B24924" s="3" t="s">
        <v>90</v>
      </c>
      <c r="C24924" s="5">
        <v>142</v>
      </c>
      <c r="D24924" s="6">
        <v>23.06</v>
      </c>
    </row>
    <row r="24925" spans="1:4" x14ac:dyDescent="0.25">
      <c r="A24925" t="str">
        <f>HYPERLINK("https://www.773grp.com/globalSearch/MSP430F169IRTDT/page-1", "MSP430F169IRTDT")</f>
        <v>MSP430F169IRTDT</v>
      </c>
      <c r="B24925" s="3" t="s">
        <v>90</v>
      </c>
      <c r="C24925" s="5">
        <v>194</v>
      </c>
      <c r="D24925" s="6">
        <v>23.09</v>
      </c>
    </row>
    <row r="24926" spans="1:4" x14ac:dyDescent="0.25">
      <c r="A24926" t="str">
        <f>HYPERLINK("https://www.773grp.com/globalSearch/TPS658621AZGUT/page-1", "TPS658621AZGUT")</f>
        <v>TPS658621AZGUT</v>
      </c>
      <c r="B24926" s="3" t="s">
        <v>90</v>
      </c>
      <c r="C24926" s="5">
        <v>250</v>
      </c>
      <c r="D24926" s="6">
        <v>23.09</v>
      </c>
    </row>
    <row r="24927" spans="1:4" x14ac:dyDescent="0.25">
      <c r="A24927" t="str">
        <f>HYPERLINK("https://www.773grp.com/globalSearch/UC2841N/page-1", "UC2841N")</f>
        <v>UC2841N</v>
      </c>
      <c r="B24927" s="3" t="s">
        <v>90</v>
      </c>
      <c r="C24927" s="5">
        <v>5880</v>
      </c>
      <c r="D24927" s="6">
        <v>23.13</v>
      </c>
    </row>
    <row r="24928" spans="1:4" x14ac:dyDescent="0.25">
      <c r="A24928" t="str">
        <f>HYPERLINK("https://www.773grp.com/globalSearch/SN54S132J/page-1", "SN54S132J")</f>
        <v>SN54S132J</v>
      </c>
      <c r="B24928" s="3" t="s">
        <v>90</v>
      </c>
      <c r="C24928" s="5">
        <v>26</v>
      </c>
      <c r="D24928" s="6">
        <v>23.15</v>
      </c>
    </row>
    <row r="24929" spans="1:4" x14ac:dyDescent="0.25">
      <c r="A24929" t="str">
        <f>HYPERLINK("https://www.773grp.com/globalSearch/SN54S85J/page-1", "SN54S85J")</f>
        <v>SN54S85J</v>
      </c>
      <c r="B24929" s="3" t="s">
        <v>90</v>
      </c>
      <c r="C24929" s="5">
        <v>1</v>
      </c>
      <c r="D24929" s="6">
        <v>23.18</v>
      </c>
    </row>
    <row r="24930" spans="1:4" x14ac:dyDescent="0.25">
      <c r="A24930" t="str">
        <f>HYPERLINK("https://www.773grp.com/globalSearch/SNJ54AC11020FK/page-1", "SNJ54AC11020FK")</f>
        <v>SNJ54AC11020FK</v>
      </c>
      <c r="B24930" s="3" t="s">
        <v>90</v>
      </c>
      <c r="C24930" s="5">
        <v>57</v>
      </c>
      <c r="D24930" s="6">
        <v>23.2</v>
      </c>
    </row>
    <row r="24931" spans="1:4" x14ac:dyDescent="0.25">
      <c r="A24931" t="str">
        <f>HYPERLINK("https://www.773grp.com/globalSearch/SNJ54AC11032FK/page-1", "SNJ54AC11032FK")</f>
        <v>SNJ54AC11032FK</v>
      </c>
      <c r="B24931" s="3" t="s">
        <v>90</v>
      </c>
      <c r="C24931" s="5">
        <v>36</v>
      </c>
      <c r="D24931" s="6">
        <v>23.2</v>
      </c>
    </row>
    <row r="24932" spans="1:4" x14ac:dyDescent="0.25">
      <c r="A24932" t="str">
        <f>HYPERLINK("https://www.773grp.com/globalSearch/SNJ54ACT11000FK/page-1", "SNJ54ACT11000FK")</f>
        <v>SNJ54ACT11000FK</v>
      </c>
      <c r="B24932" s="3" t="s">
        <v>90</v>
      </c>
      <c r="C24932" s="5">
        <v>160</v>
      </c>
      <c r="D24932" s="6">
        <v>23.2</v>
      </c>
    </row>
    <row r="24933" spans="1:4" x14ac:dyDescent="0.25">
      <c r="A24933" t="str">
        <f>HYPERLINK("https://www.773grp.com/globalSearch/SNJ54ACT11002FK/page-1", "SNJ54ACT11002FK")</f>
        <v>SNJ54ACT11002FK</v>
      </c>
      <c r="B24933" s="3" t="s">
        <v>90</v>
      </c>
      <c r="C24933" s="5">
        <v>162</v>
      </c>
      <c r="D24933" s="6">
        <v>23.2</v>
      </c>
    </row>
    <row r="24934" spans="1:4" x14ac:dyDescent="0.25">
      <c r="A24934" t="str">
        <f>HYPERLINK("https://www.773grp.com/globalSearch/SNJ54ACT11008FK/page-1", "SNJ54ACT11008FK")</f>
        <v>SNJ54ACT11008FK</v>
      </c>
      <c r="B24934" s="3" t="s">
        <v>90</v>
      </c>
      <c r="C24934" s="5">
        <v>79</v>
      </c>
      <c r="D24934" s="6">
        <v>23.2</v>
      </c>
    </row>
    <row r="24935" spans="1:4" x14ac:dyDescent="0.25">
      <c r="A24935" t="str">
        <f>HYPERLINK("https://www.773grp.com/globalSearch/SNJ54ACT11032FK/page-1", "SNJ54ACT11032FK")</f>
        <v>SNJ54ACT11032FK</v>
      </c>
      <c r="B24935" s="3" t="s">
        <v>90</v>
      </c>
      <c r="C24935" s="5">
        <v>5</v>
      </c>
      <c r="D24935" s="6">
        <v>23.2</v>
      </c>
    </row>
    <row r="24936" spans="1:4" x14ac:dyDescent="0.25">
      <c r="A24936" t="str">
        <f>HYPERLINK("https://www.773grp.com/globalSearch/SNJ54HC133FK/page-1", "SNJ54HC133FK")</f>
        <v>SNJ54HC133FK</v>
      </c>
      <c r="B24936" s="3" t="s">
        <v>90</v>
      </c>
      <c r="C24936" s="5">
        <v>402</v>
      </c>
      <c r="D24936" s="6">
        <v>23.2</v>
      </c>
    </row>
    <row r="24937" spans="1:4" x14ac:dyDescent="0.25">
      <c r="A24937" t="str">
        <f>HYPERLINK("https://www.773grp.com/globalSearch/TAS5414BTPHDRQ1/page-1", "TAS5414BTPHDRQ1")</f>
        <v>TAS5414BTPHDRQ1</v>
      </c>
      <c r="B24937" s="3" t="s">
        <v>90</v>
      </c>
      <c r="C24937" s="5">
        <v>1000</v>
      </c>
      <c r="D24937" s="6">
        <v>23.2</v>
      </c>
    </row>
    <row r="24938" spans="1:4" x14ac:dyDescent="0.25">
      <c r="A24938" t="str">
        <f>HYPERLINK("https://www.773grp.com/globalSearch/TLC3548IDW/page-1", "TLC3548IDW")</f>
        <v>TLC3548IDW</v>
      </c>
      <c r="B24938" s="3" t="s">
        <v>90</v>
      </c>
      <c r="C24938" s="5">
        <v>170</v>
      </c>
      <c r="D24938" s="6">
        <v>23.2</v>
      </c>
    </row>
    <row r="24939" spans="1:4" x14ac:dyDescent="0.25">
      <c r="A24939" t="str">
        <f>HYPERLINK("https://www.773grp.com/globalSearch/TLC3548IDWG4/page-1", "TLC3548IDWG4")</f>
        <v>TLC3548IDWG4</v>
      </c>
      <c r="B24939" s="3" t="s">
        <v>90</v>
      </c>
      <c r="C24939" s="5">
        <v>25</v>
      </c>
      <c r="D24939" s="6">
        <v>23.2</v>
      </c>
    </row>
    <row r="24940" spans="1:4" x14ac:dyDescent="0.25">
      <c r="A24940" t="str">
        <f>HYPERLINK("https://www.773grp.com/globalSearch/TL-SCSI285MJB/page-1", "TL-SCSI285MJB")</f>
        <v>TL-SCSI285MJB</v>
      </c>
      <c r="B24940" s="3" t="s">
        <v>90</v>
      </c>
      <c r="C24940" s="5">
        <v>5</v>
      </c>
      <c r="D24940" s="6">
        <v>23.2</v>
      </c>
    </row>
    <row r="24941" spans="1:4" x14ac:dyDescent="0.25">
      <c r="A24941" t="str">
        <f>HYPERLINK("https://www.773grp.com/globalSearch/TVP5145PFPG4/page-1", "TVP5145PFPG4")</f>
        <v>TVP5145PFPG4</v>
      </c>
      <c r="B24941" s="3" t="s">
        <v>90</v>
      </c>
      <c r="C24941" s="5">
        <v>27</v>
      </c>
      <c r="D24941" s="6">
        <v>23.2</v>
      </c>
    </row>
    <row r="24942" spans="1:4" x14ac:dyDescent="0.25">
      <c r="A24942" t="str">
        <f>HYPERLINK("https://www.773grp.com/globalSearch/BQ76PL536TPAPRQ1/page-1", "BQ76PL536TPAPRQ1")</f>
        <v>BQ76PL536TPAPRQ1</v>
      </c>
      <c r="B24942" s="3" t="s">
        <v>90</v>
      </c>
      <c r="C24942" s="5">
        <v>2000</v>
      </c>
      <c r="D24942" s="6">
        <v>23.24</v>
      </c>
    </row>
    <row r="24943" spans="1:4" x14ac:dyDescent="0.25">
      <c r="A24943" t="str">
        <f>HYPERLINK("https://www.773grp.com/globalSearch/TLV5593VF/page-1", "TLV5593VF")</f>
        <v>TLV5593VF</v>
      </c>
      <c r="B24943" s="3" t="s">
        <v>90</v>
      </c>
      <c r="C24943" s="5">
        <v>661</v>
      </c>
      <c r="D24943" s="6">
        <v>23.38</v>
      </c>
    </row>
    <row r="24944" spans="1:4" x14ac:dyDescent="0.25">
      <c r="A24944" t="str">
        <f>HYPERLINK("https://www.773grp.com/globalSearch/OP27EJG/page-1", "OP27EJG")</f>
        <v>OP27EJG</v>
      </c>
      <c r="B24944" s="3" t="s">
        <v>90</v>
      </c>
      <c r="C24944" s="5">
        <v>7026</v>
      </c>
      <c r="D24944" s="6">
        <v>23.43</v>
      </c>
    </row>
    <row r="24945" spans="1:4" x14ac:dyDescent="0.25">
      <c r="A24945" t="str">
        <f>HYPERLINK("https://www.773grp.com/globalSearch/TNETD4020PZ/page-1", "TNETD4020PZ")</f>
        <v>TNETD4020PZ</v>
      </c>
      <c r="B24945" s="3" t="s">
        <v>90</v>
      </c>
      <c r="C24945" s="5">
        <v>4486</v>
      </c>
      <c r="D24945" s="6">
        <v>23.43</v>
      </c>
    </row>
    <row r="24946" spans="1:4" x14ac:dyDescent="0.25">
      <c r="A24946" t="str">
        <f>HYPERLINK("https://www.773grp.com/globalSearch/PTH03050YAZ/page-1", "PTH03050YAZ")</f>
        <v>PTH03050YAZ</v>
      </c>
      <c r="B24946" s="3" t="s">
        <v>90</v>
      </c>
      <c r="C24946" s="5">
        <v>16</v>
      </c>
      <c r="D24946" s="6">
        <v>23.49</v>
      </c>
    </row>
    <row r="24947" spans="1:4" x14ac:dyDescent="0.25">
      <c r="A24947" t="str">
        <f>HYPERLINK("https://www.773grp.com/globalSearch/PTH12050LAS/page-1", "PTH12050LAS")</f>
        <v>PTH12050LAS</v>
      </c>
      <c r="B24947" s="3" t="s">
        <v>90</v>
      </c>
      <c r="C24947" s="5">
        <v>24</v>
      </c>
      <c r="D24947" s="6">
        <v>23.49</v>
      </c>
    </row>
    <row r="24948" spans="1:4" x14ac:dyDescent="0.25">
      <c r="A24948" t="str">
        <f>HYPERLINK("https://www.773grp.com/globalSearch/PTH12050LAST/page-1", "PTH12050LAST")</f>
        <v>PTH12050LAST</v>
      </c>
      <c r="B24948" s="3" t="s">
        <v>90</v>
      </c>
      <c r="C24948" s="5">
        <v>64</v>
      </c>
      <c r="D24948" s="6">
        <v>23.49</v>
      </c>
    </row>
    <row r="24949" spans="1:4" x14ac:dyDescent="0.25">
      <c r="A24949" t="str">
        <f>HYPERLINK("https://www.773grp.com/globalSearch/PTH12050LAZ/page-1", "PTH12050LAZ")</f>
        <v>PTH12050LAZ</v>
      </c>
      <c r="B24949" s="3" t="s">
        <v>90</v>
      </c>
      <c r="C24949" s="5">
        <v>46</v>
      </c>
      <c r="D24949" s="6">
        <v>23.49</v>
      </c>
    </row>
    <row r="24950" spans="1:4" x14ac:dyDescent="0.25">
      <c r="A24950" t="str">
        <f>HYPERLINK("https://www.773grp.com/globalSearch/PTH12050LAZT/page-1", "PTH12050LAZT")</f>
        <v>PTH12050LAZT</v>
      </c>
      <c r="B24950" s="3" t="s">
        <v>90</v>
      </c>
      <c r="C24950" s="5">
        <v>130</v>
      </c>
      <c r="D24950" s="6">
        <v>23.49</v>
      </c>
    </row>
    <row r="24951" spans="1:4" x14ac:dyDescent="0.25">
      <c r="A24951" t="str">
        <f>HYPERLINK("https://www.773grp.com/globalSearch/CD4518BF3A/page-1", "CD4518BF3A")</f>
        <v>CD4518BF3A</v>
      </c>
      <c r="B24951" s="3" t="s">
        <v>90</v>
      </c>
      <c r="C24951" s="5">
        <v>53</v>
      </c>
      <c r="D24951" s="6">
        <v>23.51</v>
      </c>
    </row>
    <row r="24952" spans="1:4" x14ac:dyDescent="0.25">
      <c r="A24952" t="str">
        <f>HYPERLINK("https://www.773grp.com/globalSearch/JM38510-33902BZA/page-1", "JM38510-33902BZA")</f>
        <v>JM38510-33902BZA</v>
      </c>
      <c r="B24952" s="3" t="s">
        <v>90</v>
      </c>
      <c r="C24952" s="5">
        <v>10</v>
      </c>
      <c r="D24952" s="6">
        <v>23.51</v>
      </c>
    </row>
    <row r="24953" spans="1:4" x14ac:dyDescent="0.25">
      <c r="A24953" t="str">
        <f>HYPERLINK("https://www.773grp.com/globalSearch/SNJ54ACT11074FK/page-1", "SNJ54ACT11074FK")</f>
        <v>SNJ54ACT11074FK</v>
      </c>
      <c r="B24953" s="3" t="s">
        <v>90</v>
      </c>
      <c r="C24953" s="5">
        <v>210</v>
      </c>
      <c r="D24953" s="6">
        <v>23.51</v>
      </c>
    </row>
    <row r="24954" spans="1:4" x14ac:dyDescent="0.25">
      <c r="A24954" t="str">
        <f>HYPERLINK("https://www.773grp.com/globalSearch/CD54HCT574F/page-1", "CD54HCT574F")</f>
        <v>CD54HCT574F</v>
      </c>
      <c r="B24954" s="3" t="s">
        <v>90</v>
      </c>
      <c r="C24954" s="5">
        <v>32</v>
      </c>
      <c r="D24954" s="6">
        <v>23.58</v>
      </c>
    </row>
    <row r="24955" spans="1:4" x14ac:dyDescent="0.25">
      <c r="A24955" t="str">
        <f>HYPERLINK("https://www.773grp.com/globalSearch/DS90CR483AVJDX-NOPB/page-1", "DS90CR483AVJDX-NOPB")</f>
        <v>DS90CR483AVJDX-NOPB</v>
      </c>
      <c r="B24955" s="3" t="s">
        <v>90</v>
      </c>
      <c r="C24955" s="5">
        <v>14000</v>
      </c>
      <c r="D24955" s="6">
        <v>23.63</v>
      </c>
    </row>
    <row r="24956" spans="1:4" x14ac:dyDescent="0.25">
      <c r="A24956" t="str">
        <f>HYPERLINK("https://www.773grp.com/globalSearch/PCM2906DBG4/page-1", "PCM2906DBG4")</f>
        <v>PCM2906DBG4</v>
      </c>
      <c r="B24956" s="3" t="s">
        <v>90</v>
      </c>
      <c r="C24956" s="5">
        <v>327</v>
      </c>
      <c r="D24956" s="6">
        <v>23.63</v>
      </c>
    </row>
    <row r="24957" spans="1:4" x14ac:dyDescent="0.25">
      <c r="A24957" t="str">
        <f>HYPERLINK("https://www.773grp.com/globalSearch/SN74ACT7807-25PAC/page-1", "SN74ACT7807-25PAC")</f>
        <v>SN74ACT7807-25PAC</v>
      </c>
      <c r="B24957" s="3" t="s">
        <v>90</v>
      </c>
      <c r="C24957" s="5">
        <v>10</v>
      </c>
      <c r="D24957" s="6">
        <v>23.71</v>
      </c>
    </row>
    <row r="24958" spans="1:4" x14ac:dyDescent="0.25">
      <c r="A24958" t="str">
        <f>HYPERLINK("https://www.773grp.com/globalSearch/5962-9553701QEA/page-1", "5962-9553701QEA")</f>
        <v>5962-9553701QEA</v>
      </c>
      <c r="B24958" s="3" t="s">
        <v>90</v>
      </c>
      <c r="C24958" s="5">
        <v>64</v>
      </c>
      <c r="D24958" s="6">
        <v>23.74</v>
      </c>
    </row>
    <row r="24959" spans="1:4" x14ac:dyDescent="0.25">
      <c r="A24959" t="str">
        <f>HYPERLINK("https://www.773grp.com/globalSearch/PT5103C/page-1", "PT5103C")</f>
        <v>PT5103C</v>
      </c>
      <c r="B24959" s="3" t="s">
        <v>90</v>
      </c>
      <c r="C24959" s="5">
        <v>4</v>
      </c>
      <c r="D24959" s="6">
        <v>23.76</v>
      </c>
    </row>
    <row r="24960" spans="1:4" x14ac:dyDescent="0.25">
      <c r="A24960" t="str">
        <f>HYPERLINK("https://www.773grp.com/globalSearch/PT5105A/page-1", "PT5105A")</f>
        <v>PT5105A</v>
      </c>
      <c r="B24960" s="3" t="s">
        <v>90</v>
      </c>
      <c r="C24960" s="5">
        <v>1</v>
      </c>
      <c r="D24960" s="6">
        <v>23.76</v>
      </c>
    </row>
    <row r="24961" spans="1:4" x14ac:dyDescent="0.25">
      <c r="A24961" t="str">
        <f>HYPERLINK("https://www.773grp.com/globalSearch/PT5110N/page-1", "PT5110N")</f>
        <v>PT5110N</v>
      </c>
      <c r="B24961" s="3" t="s">
        <v>90</v>
      </c>
      <c r="C24961" s="5">
        <v>19</v>
      </c>
      <c r="D24961" s="6">
        <v>23.76</v>
      </c>
    </row>
    <row r="24962" spans="1:4" x14ac:dyDescent="0.25">
      <c r="A24962" t="str">
        <f>HYPERLINK("https://www.773grp.com/globalSearch/PT5112A/page-1", "PT5112A")</f>
        <v>PT5112A</v>
      </c>
      <c r="B24962" s="3" t="s">
        <v>90</v>
      </c>
      <c r="C24962" s="5">
        <v>26</v>
      </c>
      <c r="D24962" s="6">
        <v>23.76</v>
      </c>
    </row>
    <row r="24963" spans="1:4" x14ac:dyDescent="0.25">
      <c r="A24963" t="str">
        <f>HYPERLINK("https://www.773grp.com/globalSearch/PT5112N/page-1", "PT5112N")</f>
        <v>PT5112N</v>
      </c>
      <c r="B24963" s="3" t="s">
        <v>90</v>
      </c>
      <c r="C24963" s="5">
        <v>26</v>
      </c>
      <c r="D24963" s="6">
        <v>23.76</v>
      </c>
    </row>
    <row r="24964" spans="1:4" x14ac:dyDescent="0.25">
      <c r="A24964" t="str">
        <f>HYPERLINK("https://www.773grp.com/globalSearch/TMS320F28069PZA/page-1", "TMS320F28069PZA")</f>
        <v>TMS320F28069PZA</v>
      </c>
      <c r="B24964" s="3" t="s">
        <v>90</v>
      </c>
      <c r="C24964" s="5">
        <v>127</v>
      </c>
      <c r="D24964" s="6">
        <v>23.76</v>
      </c>
    </row>
    <row r="24965" spans="1:4" x14ac:dyDescent="0.25">
      <c r="A24965" t="str">
        <f>HYPERLINK("https://www.773grp.com/globalSearch/SN74LVDM977DGG/page-1", "SN74LVDM977DGG")</f>
        <v>SN74LVDM977DGG</v>
      </c>
      <c r="B24965" s="3" t="s">
        <v>90</v>
      </c>
      <c r="C24965" s="5">
        <v>1022</v>
      </c>
      <c r="D24965" s="6">
        <v>23.83</v>
      </c>
    </row>
    <row r="24966" spans="1:4" x14ac:dyDescent="0.25">
      <c r="A24966" t="str">
        <f>HYPERLINK("https://www.773grp.com/globalSearch/32P4938A-CGF/page-1", "32P4938A-CGF")</f>
        <v>32P4938A-CGF</v>
      </c>
      <c r="B24966" s="3" t="s">
        <v>90</v>
      </c>
      <c r="C24966" s="5">
        <v>5847</v>
      </c>
      <c r="D24966" s="6">
        <v>23.91</v>
      </c>
    </row>
    <row r="24967" spans="1:4" x14ac:dyDescent="0.25">
      <c r="A24967" t="str">
        <f>HYPERLINK("https://www.773grp.com/globalSearch/LMZ14203TZX-ADJ-NOPB/page-1", "LMZ14203TZX-ADJ-NOPB")</f>
        <v>LMZ14203TZX-ADJ-NOPB</v>
      </c>
      <c r="B24967" s="3" t="s">
        <v>90</v>
      </c>
      <c r="C24967" s="5">
        <v>490</v>
      </c>
      <c r="D24967" s="6">
        <v>23.91</v>
      </c>
    </row>
    <row r="24968" spans="1:4" x14ac:dyDescent="0.25">
      <c r="A24968" t="str">
        <f>HYPERLINK("https://www.773grp.com/globalSearch/TMX320DSC21GHK/page-1", "TMX320DSC21GHK")</f>
        <v>TMX320DSC21GHK</v>
      </c>
      <c r="B24968" s="3" t="s">
        <v>90</v>
      </c>
      <c r="C24968" s="5">
        <v>9080</v>
      </c>
      <c r="D24968" s="6">
        <v>23.91</v>
      </c>
    </row>
    <row r="24969" spans="1:4" x14ac:dyDescent="0.25">
      <c r="A24969" t="str">
        <f>HYPERLINK("https://www.773grp.com/globalSearch/TSB83AA22AZAJ/page-1", "TSB83AA22AZAJ")</f>
        <v>TSB83AA22AZAJ</v>
      </c>
      <c r="B24969" s="3" t="s">
        <v>90</v>
      </c>
      <c r="C24969" s="5">
        <v>56</v>
      </c>
      <c r="D24969" s="6">
        <v>23.91</v>
      </c>
    </row>
    <row r="24970" spans="1:4" x14ac:dyDescent="0.25">
      <c r="A24970" t="str">
        <f>HYPERLINK("https://www.773grp.com/globalSearch/TSB83AA22ZAJ/page-1", "TSB83AA22ZAJ")</f>
        <v>TSB83AA22ZAJ</v>
      </c>
      <c r="B24970" s="3" t="s">
        <v>90</v>
      </c>
      <c r="C24970" s="5">
        <v>8277</v>
      </c>
      <c r="D24970" s="6">
        <v>23.91</v>
      </c>
    </row>
    <row r="24971" spans="1:4" x14ac:dyDescent="0.25">
      <c r="A24971" t="str">
        <f>HYPERLINK("https://www.773grp.com/globalSearch/LM3S5R31-IBZ80-C5/page-1", "LM3S5R31-IBZ80-C5")</f>
        <v>LM3S5R31-IBZ80-C5</v>
      </c>
      <c r="B24971" s="3" t="s">
        <v>90</v>
      </c>
      <c r="C24971" s="5">
        <v>184</v>
      </c>
      <c r="D24971" s="6">
        <v>23.93</v>
      </c>
    </row>
    <row r="24972" spans="1:4" x14ac:dyDescent="0.25">
      <c r="A24972" t="str">
        <f>HYPERLINK("https://www.773grp.com/globalSearch/SNJ54ALS193AJ/page-1", "SNJ54ALS193AJ")</f>
        <v>SNJ54ALS193AJ</v>
      </c>
      <c r="B24972" s="3" t="s">
        <v>90</v>
      </c>
      <c r="C24972" s="5">
        <v>30</v>
      </c>
      <c r="D24972" s="6">
        <v>23.96</v>
      </c>
    </row>
    <row r="24973" spans="1:4" x14ac:dyDescent="0.25">
      <c r="A24973" t="str">
        <f>HYPERLINK("https://www.773grp.com/globalSearch/UC1836J-883B/page-1", "UC1836J-883B")</f>
        <v>UC1836J-883B</v>
      </c>
      <c r="B24973" s="3" t="s">
        <v>90</v>
      </c>
      <c r="C24973" s="5">
        <v>387</v>
      </c>
      <c r="D24973" s="6">
        <v>24</v>
      </c>
    </row>
    <row r="24974" spans="1:4" x14ac:dyDescent="0.25">
      <c r="A24974" t="str">
        <f>HYPERLINK("https://www.773grp.com/globalSearch/LM3S1937-IQC50-A2/page-1", "LM3S1937-IQC50-A2")</f>
        <v>LM3S1937-IQC50-A2</v>
      </c>
      <c r="B24974" s="3" t="s">
        <v>90</v>
      </c>
      <c r="C24974" s="5">
        <v>90</v>
      </c>
      <c r="D24974" s="6">
        <v>24.01</v>
      </c>
    </row>
    <row r="24975" spans="1:4" x14ac:dyDescent="0.25">
      <c r="A24975" t="str">
        <f>HYPERLINK("https://www.773grp.com/globalSearch/TLE2061MVB/page-1", "TLE2061MVB")</f>
        <v>TLE2061MVB</v>
      </c>
      <c r="B24975" s="3" t="s">
        <v>90</v>
      </c>
      <c r="C24975" s="5">
        <v>52</v>
      </c>
      <c r="D24975" s="6">
        <v>24.01</v>
      </c>
    </row>
    <row r="24976" spans="1:4" x14ac:dyDescent="0.25">
      <c r="A24976" t="str">
        <f>HYPERLINK("https://www.773grp.com/globalSearch/UC3823AN/page-1", "UC3823AN")</f>
        <v>UC3823AN</v>
      </c>
      <c r="B24976" s="3" t="s">
        <v>90</v>
      </c>
      <c r="C24976" s="5">
        <v>6115</v>
      </c>
      <c r="D24976" s="6">
        <v>24.01</v>
      </c>
    </row>
    <row r="24977" spans="1:4" x14ac:dyDescent="0.25">
      <c r="A24977" t="str">
        <f>HYPERLINK("https://www.773grp.com/globalSearch/SN74AS851BDW/page-1", "SN74AS851BDW")</f>
        <v>SN74AS851BDW</v>
      </c>
      <c r="B24977" s="3" t="s">
        <v>90</v>
      </c>
      <c r="C24977" s="5">
        <v>220</v>
      </c>
      <c r="D24977" s="6">
        <v>24.05</v>
      </c>
    </row>
    <row r="24978" spans="1:4" x14ac:dyDescent="0.25">
      <c r="A24978" t="str">
        <f>HYPERLINK("https://www.773grp.com/globalSearch/TL16C754BPN/page-1", "TL16C754BPN")</f>
        <v>TL16C754BPN</v>
      </c>
      <c r="B24978" s="3" t="s">
        <v>90</v>
      </c>
      <c r="C24978" s="5">
        <v>52</v>
      </c>
      <c r="D24978" s="6">
        <v>24.05</v>
      </c>
    </row>
    <row r="24979" spans="1:4" x14ac:dyDescent="0.25">
      <c r="A24979" t="str">
        <f>HYPERLINK("https://www.773grp.com/globalSearch/TMS320C6743CZKB3/page-1", "TMS320C6743CZKB3")</f>
        <v>TMS320C6743CZKB3</v>
      </c>
      <c r="B24979" s="3" t="s">
        <v>90</v>
      </c>
      <c r="C24979" s="5">
        <v>99</v>
      </c>
      <c r="D24979" s="6">
        <v>24.05</v>
      </c>
    </row>
    <row r="24980" spans="1:4" x14ac:dyDescent="0.25">
      <c r="A24980" t="str">
        <f>HYPERLINK("https://www.773grp.com/globalSearch/33R3753-CGT/page-1", "33R3753-CGT")</f>
        <v>33R3753-CGT</v>
      </c>
      <c r="B24980" s="3" t="s">
        <v>90</v>
      </c>
      <c r="C24980" s="5">
        <v>2153</v>
      </c>
      <c r="D24980" s="6">
        <v>24.1</v>
      </c>
    </row>
    <row r="24981" spans="1:4" x14ac:dyDescent="0.25">
      <c r="A24981" t="str">
        <f>HYPERLINK("https://www.773grp.com/globalSearch/SR1621AAA4DBT/page-1", "SR1621AAA4DBT")</f>
        <v>SR1621AAA4DBT</v>
      </c>
      <c r="B24981" s="3" t="s">
        <v>90</v>
      </c>
      <c r="C24981" s="5">
        <v>32611</v>
      </c>
      <c r="D24981" s="6">
        <v>24.1</v>
      </c>
    </row>
    <row r="24982" spans="1:4" x14ac:dyDescent="0.25">
      <c r="A24982" t="str">
        <f>HYPERLINK("https://www.773grp.com/globalSearch/5962-8775901MRA/page-1", "5962-8775901MRA")</f>
        <v>5962-8775901MRA</v>
      </c>
      <c r="B24982" s="3" t="s">
        <v>90</v>
      </c>
      <c r="C24982" s="5">
        <v>7</v>
      </c>
      <c r="D24982" s="6">
        <v>24.14</v>
      </c>
    </row>
    <row r="24983" spans="1:4" x14ac:dyDescent="0.25">
      <c r="A24983" t="str">
        <f>HYPERLINK("https://www.773grp.com/globalSearch/ADS131E08IPAG/page-1", "ADS131E08IPAG")</f>
        <v>ADS131E08IPAG</v>
      </c>
      <c r="B24983" s="3" t="s">
        <v>90</v>
      </c>
      <c r="C24983" s="5">
        <v>129</v>
      </c>
      <c r="D24983" s="6">
        <v>24.14</v>
      </c>
    </row>
    <row r="24984" spans="1:4" x14ac:dyDescent="0.25">
      <c r="A24984" t="str">
        <f>HYPERLINK("https://www.773grp.com/globalSearch/UC390GJ/page-1", "UC390GJ")</f>
        <v>UC390GJ</v>
      </c>
      <c r="B24984" s="3" t="s">
        <v>90</v>
      </c>
      <c r="C24984" s="5">
        <v>1019</v>
      </c>
      <c r="D24984" s="6">
        <v>24.14</v>
      </c>
    </row>
    <row r="24985" spans="1:4" x14ac:dyDescent="0.25">
      <c r="A24985" t="str">
        <f>HYPERLINK("https://www.773grp.com/globalSearch/ADS8343EB/page-1", "ADS8343EB")</f>
        <v>ADS8343EB</v>
      </c>
      <c r="B24985" s="3" t="s">
        <v>90</v>
      </c>
      <c r="C24985" s="5">
        <v>75</v>
      </c>
      <c r="D24985" s="6">
        <v>24.19</v>
      </c>
    </row>
    <row r="24986" spans="1:4" x14ac:dyDescent="0.25">
      <c r="A24986" t="str">
        <f>HYPERLINK("https://www.773grp.com/globalSearch/DAC7731E-1K/page-1", "DAC7731E-1K")</f>
        <v>DAC7731E-1K</v>
      </c>
      <c r="B24986" s="3" t="s">
        <v>90</v>
      </c>
      <c r="C24986" s="5">
        <v>4000</v>
      </c>
      <c r="D24986" s="6">
        <v>24.21</v>
      </c>
    </row>
    <row r="24987" spans="1:4" x14ac:dyDescent="0.25">
      <c r="A24987" t="str">
        <f>HYPERLINK("https://www.773grp.com/globalSearch/LM124FKB/page-1", "LM124FKB")</f>
        <v>LM124FKB</v>
      </c>
      <c r="B24987" s="3" t="s">
        <v>90</v>
      </c>
      <c r="C24987" s="5">
        <v>100</v>
      </c>
      <c r="D24987" s="6">
        <v>24.26</v>
      </c>
    </row>
    <row r="24988" spans="1:4" x14ac:dyDescent="0.25">
      <c r="A24988" t="str">
        <f>HYPERLINK("https://www.773grp.com/globalSearch/74ACT16652DL/page-1", "74ACT16652DL")</f>
        <v>74ACT16652DL</v>
      </c>
      <c r="B24988" s="3" t="s">
        <v>90</v>
      </c>
      <c r="C24988" s="5">
        <v>12</v>
      </c>
      <c r="D24988" s="6">
        <v>24.3</v>
      </c>
    </row>
    <row r="24989" spans="1:4" x14ac:dyDescent="0.25">
      <c r="A24989" t="str">
        <f>HYPERLINK("https://www.773grp.com/globalSearch/PT78NR105V/page-1", "PT78NR105V")</f>
        <v>PT78NR105V</v>
      </c>
      <c r="B24989" s="3" t="s">
        <v>90</v>
      </c>
      <c r="C24989" s="5">
        <v>4</v>
      </c>
      <c r="D24989" s="6">
        <v>24.34</v>
      </c>
    </row>
    <row r="24990" spans="1:4" x14ac:dyDescent="0.25">
      <c r="A24990" t="str">
        <f>HYPERLINK("https://www.773grp.com/globalSearch/PT78NR107S/page-1", "PT78NR107S")</f>
        <v>PT78NR107S</v>
      </c>
      <c r="B24990" s="3" t="s">
        <v>90</v>
      </c>
      <c r="C24990" s="5">
        <v>12</v>
      </c>
      <c r="D24990" s="6">
        <v>24.34</v>
      </c>
    </row>
    <row r="24991" spans="1:4" x14ac:dyDescent="0.25">
      <c r="A24991" t="str">
        <f>HYPERLINK("https://www.773grp.com/globalSearch/PT78NR115H/page-1", "PT78NR115H")</f>
        <v>PT78NR115H</v>
      </c>
      <c r="B24991" s="3" t="s">
        <v>90</v>
      </c>
      <c r="C24991" s="5">
        <v>5</v>
      </c>
      <c r="D24991" s="6">
        <v>24.34</v>
      </c>
    </row>
    <row r="24992" spans="1:4" x14ac:dyDescent="0.25">
      <c r="A24992" t="str">
        <f>HYPERLINK("https://www.773grp.com/globalSearch/PT78NR115V/page-1", "PT78NR115V")</f>
        <v>PT78NR115V</v>
      </c>
      <c r="B24992" s="3" t="s">
        <v>90</v>
      </c>
      <c r="C24992" s="5">
        <v>18</v>
      </c>
      <c r="D24992" s="6">
        <v>24.34</v>
      </c>
    </row>
    <row r="24993" spans="1:4" x14ac:dyDescent="0.25">
      <c r="A24993" t="str">
        <f>HYPERLINK("https://www.773grp.com/globalSearch/PT78ST109S/page-1", "PT78ST109S")</f>
        <v>PT78ST109S</v>
      </c>
      <c r="B24993" s="3" t="s">
        <v>90</v>
      </c>
      <c r="C24993" s="5">
        <v>4</v>
      </c>
      <c r="D24993" s="6">
        <v>24.34</v>
      </c>
    </row>
    <row r="24994" spans="1:4" x14ac:dyDescent="0.25">
      <c r="A24994" t="str">
        <f>HYPERLINK("https://www.773grp.com/globalSearch/PT78ST153S/page-1", "PT78ST153S")</f>
        <v>PT78ST153S</v>
      </c>
      <c r="B24994" s="3" t="s">
        <v>90</v>
      </c>
      <c r="C24994" s="5">
        <v>13</v>
      </c>
      <c r="D24994" s="6">
        <v>24.34</v>
      </c>
    </row>
    <row r="24995" spans="1:4" x14ac:dyDescent="0.25">
      <c r="A24995" t="str">
        <f>HYPERLINK("https://www.773grp.com/globalSearch/PTH12050YAF/page-1", "PTH12050YAF")</f>
        <v>PTH12050YAF</v>
      </c>
      <c r="B24995" s="3" t="s">
        <v>90</v>
      </c>
      <c r="C24995" s="5">
        <v>168</v>
      </c>
      <c r="D24995" s="6">
        <v>24.34</v>
      </c>
    </row>
    <row r="24996" spans="1:4" x14ac:dyDescent="0.25">
      <c r="A24996" t="str">
        <f>HYPERLINK("https://www.773grp.com/globalSearch/TMS320LF2407APGES/page-1", "TMS320LF2407APGES")</f>
        <v>TMS320LF2407APGES</v>
      </c>
      <c r="B24996" s="3" t="s">
        <v>90</v>
      </c>
      <c r="C24996" s="5">
        <v>349</v>
      </c>
      <c r="D24996" s="6">
        <v>24.34</v>
      </c>
    </row>
    <row r="24997" spans="1:4" x14ac:dyDescent="0.25">
      <c r="A24997" t="str">
        <f>HYPERLINK("https://www.773grp.com/globalSearch/SR1581AAA4PTR/page-1", "SR1581AAA4PTR")</f>
        <v>SR1581AAA4PTR</v>
      </c>
      <c r="B24997" s="3" t="s">
        <v>90</v>
      </c>
      <c r="C24997" s="5">
        <v>147232</v>
      </c>
      <c r="D24997" s="6">
        <v>24.35</v>
      </c>
    </row>
    <row r="24998" spans="1:4" x14ac:dyDescent="0.25">
      <c r="A24998" t="str">
        <f>HYPERLINK("https://www.773grp.com/globalSearch/5962-8775801RA/page-1", "5962-8775801RA")</f>
        <v>5962-8775801RA</v>
      </c>
      <c r="B24998" s="3" t="s">
        <v>90</v>
      </c>
      <c r="C24998" s="5">
        <v>316</v>
      </c>
      <c r="D24998" s="6">
        <v>24.39</v>
      </c>
    </row>
    <row r="24999" spans="1:4" x14ac:dyDescent="0.25">
      <c r="A24999" t="str">
        <f>HYPERLINK("https://www.773grp.com/globalSearch/38510-37301B2A/page-1", "38510-37301B2A")</f>
        <v>38510-37301B2A</v>
      </c>
      <c r="B24999" s="3" t="s">
        <v>90</v>
      </c>
      <c r="C24999" s="5">
        <v>1</v>
      </c>
      <c r="D24999" s="6">
        <v>24.41</v>
      </c>
    </row>
    <row r="25000" spans="1:4" x14ac:dyDescent="0.25">
      <c r="A25000" t="str">
        <f>HYPERLINK("https://www.773grp.com/globalSearch/CD4512BF3A/page-1", "CD4512BF3A")</f>
        <v>CD4512BF3A</v>
      </c>
      <c r="B25000" s="3" t="s">
        <v>90</v>
      </c>
      <c r="C25000" s="5">
        <v>50</v>
      </c>
      <c r="D25000" s="6">
        <v>24.41</v>
      </c>
    </row>
    <row r="25001" spans="1:4" x14ac:dyDescent="0.25">
      <c r="A25001" t="str">
        <f>HYPERLINK("https://www.773grp.com/globalSearch/PT6103A/page-1", "PT6103A")</f>
        <v>PT6103A</v>
      </c>
      <c r="B25001" s="3" t="s">
        <v>90</v>
      </c>
      <c r="C25001" s="5">
        <v>9</v>
      </c>
      <c r="D25001" s="6">
        <v>24.41</v>
      </c>
    </row>
    <row r="25002" spans="1:4" x14ac:dyDescent="0.25">
      <c r="A25002" t="str">
        <f>HYPERLINK("https://www.773grp.com/globalSearch/PT6103N/page-1", "PT6103N")</f>
        <v>PT6103N</v>
      </c>
      <c r="B25002" s="3" t="s">
        <v>90</v>
      </c>
      <c r="C25002" s="5">
        <v>6</v>
      </c>
      <c r="D25002" s="6">
        <v>24.41</v>
      </c>
    </row>
    <row r="25003" spans="1:4" x14ac:dyDescent="0.25">
      <c r="A25003" t="str">
        <f>HYPERLINK("https://www.773grp.com/globalSearch/PTH04T230WAZT/page-1", "PTH04T230WAZT")</f>
        <v>PTH04T230WAZT</v>
      </c>
      <c r="B25003" s="3" t="s">
        <v>90</v>
      </c>
      <c r="C25003" s="5">
        <v>250</v>
      </c>
      <c r="D25003" s="6">
        <v>24.44</v>
      </c>
    </row>
    <row r="25004" spans="1:4" x14ac:dyDescent="0.25">
      <c r="A25004" t="str">
        <f>HYPERLINK("https://www.773grp.com/globalSearch/PTH04T231WAZT/page-1", "PTH04T231WAZT")</f>
        <v>PTH04T231WAZT</v>
      </c>
      <c r="B25004" s="3" t="s">
        <v>90</v>
      </c>
      <c r="C25004" s="5">
        <v>250</v>
      </c>
      <c r="D25004" s="6">
        <v>24.44</v>
      </c>
    </row>
    <row r="25005" spans="1:4" x14ac:dyDescent="0.25">
      <c r="A25005" t="str">
        <f>HYPERLINK("https://www.773grp.com/globalSearch/PTH08T231WAST/page-1", "PTH08T231WAST")</f>
        <v>PTH08T231WAST</v>
      </c>
      <c r="B25005" s="3" t="s">
        <v>90</v>
      </c>
      <c r="C25005" s="5">
        <v>250</v>
      </c>
      <c r="D25005" s="6">
        <v>24.44</v>
      </c>
    </row>
    <row r="25006" spans="1:4" x14ac:dyDescent="0.25">
      <c r="A25006" t="str">
        <f>HYPERLINK("https://www.773grp.com/globalSearch/PTLFD600PAP/page-1", "PTLFD600PAP")</f>
        <v>PTLFD600PAP</v>
      </c>
      <c r="B25006" s="3" t="s">
        <v>90</v>
      </c>
      <c r="C25006" s="5">
        <v>4</v>
      </c>
      <c r="D25006" s="6">
        <v>24.44</v>
      </c>
    </row>
    <row r="25007" spans="1:4" x14ac:dyDescent="0.25">
      <c r="A25007" t="str">
        <f>HYPERLINK("https://www.773grp.com/globalSearch/TLC27M2AMJG/page-1", "TLC27M2AMJG")</f>
        <v>TLC27M2AMJG</v>
      </c>
      <c r="B25007" s="3" t="s">
        <v>90</v>
      </c>
      <c r="C25007" s="5">
        <v>180</v>
      </c>
      <c r="D25007" s="6">
        <v>24.44</v>
      </c>
    </row>
    <row r="25008" spans="1:4" x14ac:dyDescent="0.25">
      <c r="A25008" t="str">
        <f>HYPERLINK("https://www.773grp.com/globalSearch/TLC27M2AMJGB/page-1", "TLC27M2AMJGB")</f>
        <v>TLC27M2AMJGB</v>
      </c>
      <c r="B25008" s="3" t="s">
        <v>90</v>
      </c>
      <c r="C25008" s="5">
        <v>1214</v>
      </c>
      <c r="D25008" s="6">
        <v>24.44</v>
      </c>
    </row>
    <row r="25009" spans="1:4" x14ac:dyDescent="0.25">
      <c r="A25009" t="str">
        <f>HYPERLINK("https://www.773grp.com/globalSearch/TMS320F2806ZGMA/page-1", "TMS320F2806ZGMA")</f>
        <v>TMS320F2806ZGMA</v>
      </c>
      <c r="B25009" s="3" t="s">
        <v>90</v>
      </c>
      <c r="C25009" s="5">
        <v>22</v>
      </c>
      <c r="D25009" s="6">
        <v>24.48</v>
      </c>
    </row>
    <row r="25010" spans="1:4" x14ac:dyDescent="0.25">
      <c r="A25010" t="str">
        <f>HYPERLINK("https://www.773grp.com/globalSearch/MSP430F1610IPM/page-1", "MSP430F1610IPM")</f>
        <v>MSP430F1610IPM</v>
      </c>
      <c r="B25010" s="3" t="s">
        <v>90</v>
      </c>
      <c r="C25010" s="5">
        <v>208</v>
      </c>
      <c r="D25010" s="6">
        <v>24.53</v>
      </c>
    </row>
    <row r="25011" spans="1:4" x14ac:dyDescent="0.25">
      <c r="A25011" t="str">
        <f>HYPERLINK("https://www.773grp.com/globalSearch/MSP430F1610IPMR/page-1", "MSP430F1610IPMR")</f>
        <v>MSP430F1610IPMR</v>
      </c>
      <c r="B25011" s="3" t="s">
        <v>90</v>
      </c>
      <c r="C25011" s="5">
        <v>40</v>
      </c>
      <c r="D25011" s="6">
        <v>24.53</v>
      </c>
    </row>
    <row r="25012" spans="1:4" x14ac:dyDescent="0.25">
      <c r="A25012" t="str">
        <f>HYPERLINK("https://www.773grp.com/globalSearch/SNJ54LS640J/page-1", "SNJ54LS640J")</f>
        <v>SNJ54LS640J</v>
      </c>
      <c r="B25012" s="3" t="s">
        <v>90</v>
      </c>
      <c r="C25012" s="5">
        <v>208</v>
      </c>
      <c r="D25012" s="6">
        <v>24.53</v>
      </c>
    </row>
    <row r="25013" spans="1:4" x14ac:dyDescent="0.25">
      <c r="A25013" t="str">
        <f>HYPERLINK("https://www.773grp.com/globalSearch/5962-8855601EA/page-1", "5962-8855601EA")</f>
        <v>5962-8855601EA</v>
      </c>
      <c r="B25013" s="3" t="s">
        <v>90</v>
      </c>
      <c r="C25013" s="5">
        <v>18</v>
      </c>
      <c r="D25013" s="6">
        <v>24.55</v>
      </c>
    </row>
    <row r="25014" spans="1:4" x14ac:dyDescent="0.25">
      <c r="A25014" t="str">
        <f>HYPERLINK("https://www.773grp.com/globalSearch/DAC7741Y-2K/page-1", "DAC7741Y-2K")</f>
        <v>DAC7741Y-2K</v>
      </c>
      <c r="B25014" s="3" t="s">
        <v>90</v>
      </c>
      <c r="C25014" s="5">
        <v>22000</v>
      </c>
      <c r="D25014" s="6">
        <v>24.6</v>
      </c>
    </row>
    <row r="25015" spans="1:4" x14ac:dyDescent="0.25">
      <c r="A25015" t="str">
        <f>HYPERLINK("https://www.773grp.com/globalSearch/SN54H00BWA/page-1", "SN54H00BWA")</f>
        <v>SN54H00BWA</v>
      </c>
      <c r="B25015" s="3" t="s">
        <v>90</v>
      </c>
      <c r="C25015" s="5">
        <v>1977</v>
      </c>
      <c r="D25015" s="6">
        <v>24.6</v>
      </c>
    </row>
    <row r="25016" spans="1:4" x14ac:dyDescent="0.25">
      <c r="A25016" t="str">
        <f>HYPERLINK("https://www.773grp.com/globalSearch/SN54H00WA/page-1", "SN54H00WA")</f>
        <v>SN54H00WA</v>
      </c>
      <c r="B25016" s="3" t="s">
        <v>90</v>
      </c>
      <c r="C25016" s="5">
        <v>1643</v>
      </c>
      <c r="D25016" s="6">
        <v>24.6</v>
      </c>
    </row>
    <row r="25017" spans="1:4" x14ac:dyDescent="0.25">
      <c r="A25017" t="str">
        <f>HYPERLINK("https://www.773grp.com/globalSearch/SN54H00XW/page-1", "SN54H00XW")</f>
        <v>SN54H00XW</v>
      </c>
      <c r="B25017" s="3" t="s">
        <v>90</v>
      </c>
      <c r="C25017" s="5">
        <v>248</v>
      </c>
      <c r="D25017" s="6">
        <v>24.6</v>
      </c>
    </row>
    <row r="25018" spans="1:4" x14ac:dyDescent="0.25">
      <c r="A25018" t="str">
        <f>HYPERLINK("https://www.773grp.com/globalSearch/SNJ55ALS126J/page-1", "SNJ55ALS126J")</f>
        <v>SNJ55ALS126J</v>
      </c>
      <c r="B25018" s="3" t="s">
        <v>90</v>
      </c>
      <c r="C25018" s="5">
        <v>580</v>
      </c>
      <c r="D25018" s="6">
        <v>24.6</v>
      </c>
    </row>
    <row r="25019" spans="1:4" x14ac:dyDescent="0.25">
      <c r="A25019" t="str">
        <f>HYPERLINK("https://www.773grp.com/globalSearch/TL497J/page-1", "TL497J")</f>
        <v>TL497J</v>
      </c>
      <c r="B25019" s="3" t="s">
        <v>90</v>
      </c>
      <c r="C25019" s="5">
        <v>215</v>
      </c>
      <c r="D25019" s="6">
        <v>24.6</v>
      </c>
    </row>
    <row r="25020" spans="1:4" x14ac:dyDescent="0.25">
      <c r="A25020" t="str">
        <f>HYPERLINK("https://www.773grp.com/globalSearch/TLE2062MLB/page-1", "TLE2062MLB")</f>
        <v>TLE2062MLB</v>
      </c>
      <c r="B25020" s="3" t="s">
        <v>90</v>
      </c>
      <c r="C25020" s="5">
        <v>807</v>
      </c>
      <c r="D25020" s="6">
        <v>24.6</v>
      </c>
    </row>
    <row r="25021" spans="1:4" x14ac:dyDescent="0.25">
      <c r="A25021" t="str">
        <f>HYPERLINK("https://www.773grp.com/globalSearch/UC1526J/page-1", "UC1526J")</f>
        <v>UC1526J</v>
      </c>
      <c r="B25021" s="3" t="s">
        <v>90</v>
      </c>
      <c r="C25021" s="5">
        <v>25</v>
      </c>
      <c r="D25021" s="6">
        <v>24.68</v>
      </c>
    </row>
    <row r="25022" spans="1:4" x14ac:dyDescent="0.25">
      <c r="A25022" t="str">
        <f>HYPERLINK("https://www.773grp.com/globalSearch/TMS38051NL/page-1", "TMS38051NL")</f>
        <v>TMS38051NL</v>
      </c>
      <c r="B25022" s="3" t="s">
        <v>90</v>
      </c>
      <c r="C25022" s="5">
        <v>2755</v>
      </c>
      <c r="D25022" s="6">
        <v>24.75</v>
      </c>
    </row>
    <row r="25023" spans="1:4" x14ac:dyDescent="0.25">
      <c r="A25023" t="str">
        <f>HYPERLINK("https://www.773grp.com/globalSearch/JM38510-38407BCA/page-1", "JM38510-38407BCA")</f>
        <v>JM38510-38407BCA</v>
      </c>
      <c r="B25023" s="3" t="s">
        <v>90</v>
      </c>
      <c r="C25023" s="5">
        <v>417</v>
      </c>
      <c r="D25023" s="6">
        <v>24.86</v>
      </c>
    </row>
    <row r="25024" spans="1:4" x14ac:dyDescent="0.25">
      <c r="A25024" t="str">
        <f>HYPERLINK("https://www.773grp.com/globalSearch/TMS320F28069PFPS/page-1", "TMS320F28069PFPS")</f>
        <v>TMS320F28069PFPS</v>
      </c>
      <c r="B25024" s="3" t="s">
        <v>90</v>
      </c>
      <c r="C25024" s="5">
        <v>89</v>
      </c>
      <c r="D25024" s="6">
        <v>24.89</v>
      </c>
    </row>
    <row r="25025" spans="1:4" x14ac:dyDescent="0.25">
      <c r="A25025" t="str">
        <f>HYPERLINK("https://www.773grp.com/globalSearch/32R2105RW-8CVF/page-1", "32R2105RW-8CVF")</f>
        <v>32R2105RW-8CVF</v>
      </c>
      <c r="B25025" s="3" t="s">
        <v>90</v>
      </c>
      <c r="C25025" s="5">
        <v>124</v>
      </c>
      <c r="D25025" s="6">
        <v>24.94</v>
      </c>
    </row>
    <row r="25026" spans="1:4" x14ac:dyDescent="0.25">
      <c r="A25026" t="str">
        <f>HYPERLINK("https://www.773grp.com/globalSearch/TL16C754APN/page-1", "TL16C754APN")</f>
        <v>TL16C754APN</v>
      </c>
      <c r="B25026" s="3" t="s">
        <v>90</v>
      </c>
      <c r="C25026" s="5">
        <v>446</v>
      </c>
      <c r="D25026" s="6">
        <v>24.98</v>
      </c>
    </row>
    <row r="25027" spans="1:4" x14ac:dyDescent="0.25">
      <c r="A25027" t="str">
        <f>HYPERLINK("https://www.773grp.com/globalSearch/TSB12LV01APZ/page-1", "TSB12LV01APZ")</f>
        <v>TSB12LV01APZ</v>
      </c>
      <c r="B25027" s="3" t="s">
        <v>90</v>
      </c>
      <c r="C25027" s="5">
        <v>39295</v>
      </c>
      <c r="D25027" s="6">
        <v>24.98</v>
      </c>
    </row>
    <row r="25028" spans="1:4" x14ac:dyDescent="0.25">
      <c r="A25028" t="str">
        <f>HYPERLINK("https://www.773grp.com/globalSearch/TSB12LV01PZ/page-1", "TSB12LV01PZ")</f>
        <v>TSB12LV01PZ</v>
      </c>
      <c r="B25028" s="3" t="s">
        <v>90</v>
      </c>
      <c r="C25028" s="5">
        <v>1796</v>
      </c>
      <c r="D25028" s="6">
        <v>24.98</v>
      </c>
    </row>
    <row r="25029" spans="1:4" x14ac:dyDescent="0.25">
      <c r="A25029" t="str">
        <f>HYPERLINK("https://www.773grp.com/globalSearch/TMS320C5514AZCHA12/page-1", "TMS320C5514AZCHA12")</f>
        <v>TMS320C5514AZCHA12</v>
      </c>
      <c r="B25029" s="3" t="s">
        <v>90</v>
      </c>
      <c r="C25029" s="5">
        <v>69</v>
      </c>
      <c r="D25029" s="6">
        <v>25.01</v>
      </c>
    </row>
    <row r="25030" spans="1:4" x14ac:dyDescent="0.25">
      <c r="A25030" t="str">
        <f>HYPERLINK("https://www.773grp.com/globalSearch/JM38510-00402BEA/page-1", "JM38510-00402BEA")</f>
        <v>JM38510-00402BEA</v>
      </c>
      <c r="B25030" s="3" t="s">
        <v>90</v>
      </c>
      <c r="C25030" s="5">
        <v>1116</v>
      </c>
      <c r="D25030" s="6">
        <v>25.15</v>
      </c>
    </row>
    <row r="25031" spans="1:4" x14ac:dyDescent="0.25">
      <c r="A25031" t="str">
        <f>HYPERLINK("https://www.773grp.com/globalSearch/SN54365AW/page-1", "SN54365AW")</f>
        <v>SN54365AW</v>
      </c>
      <c r="B25031" s="3" t="s">
        <v>90</v>
      </c>
      <c r="C25031" s="5">
        <v>204</v>
      </c>
      <c r="D25031" s="6">
        <v>25.15</v>
      </c>
    </row>
    <row r="25032" spans="1:4" x14ac:dyDescent="0.25">
      <c r="A25032" t="str">
        <f>HYPERLINK("https://www.773grp.com/globalSearch/SN54H05DWA/page-1", "SN54H05DWA")</f>
        <v>SN54H05DWA</v>
      </c>
      <c r="B25032" s="3" t="s">
        <v>90</v>
      </c>
      <c r="C25032" s="5">
        <v>40</v>
      </c>
      <c r="D25032" s="6">
        <v>25.15</v>
      </c>
    </row>
    <row r="25033" spans="1:4" x14ac:dyDescent="0.25">
      <c r="A25033" t="str">
        <f>HYPERLINK("https://www.773grp.com/globalSearch/SN54H10BWA/page-1", "SN54H10BWA")</f>
        <v>SN54H10BWA</v>
      </c>
      <c r="B25033" s="3" t="s">
        <v>90</v>
      </c>
      <c r="C25033" s="5">
        <v>1292</v>
      </c>
      <c r="D25033" s="6">
        <v>25.15</v>
      </c>
    </row>
    <row r="25034" spans="1:4" x14ac:dyDescent="0.25">
      <c r="A25034" t="str">
        <f>HYPERLINK("https://www.773grp.com/globalSearch/SN54H20DWA/page-1", "SN54H20DWA")</f>
        <v>SN54H20DWA</v>
      </c>
      <c r="B25034" s="3" t="s">
        <v>90</v>
      </c>
      <c r="C25034" s="5">
        <v>861</v>
      </c>
      <c r="D25034" s="6">
        <v>25.15</v>
      </c>
    </row>
    <row r="25035" spans="1:4" x14ac:dyDescent="0.25">
      <c r="A25035" t="str">
        <f>HYPERLINK("https://www.773grp.com/globalSearch/SN54H20WA/page-1", "SN54H20WA")</f>
        <v>SN54H20WA</v>
      </c>
      <c r="B25035" s="3" t="s">
        <v>90</v>
      </c>
      <c r="C25035" s="5">
        <v>373</v>
      </c>
      <c r="D25035" s="6">
        <v>25.15</v>
      </c>
    </row>
    <row r="25036" spans="1:4" x14ac:dyDescent="0.25">
      <c r="A25036" t="str">
        <f>HYPERLINK("https://www.773grp.com/globalSearch/SN54H20XW/page-1", "SN54H20XW")</f>
        <v>SN54H20XW</v>
      </c>
      <c r="B25036" s="3" t="s">
        <v>90</v>
      </c>
      <c r="C25036" s="5">
        <v>230</v>
      </c>
      <c r="D25036" s="6">
        <v>25.15</v>
      </c>
    </row>
    <row r="25037" spans="1:4" x14ac:dyDescent="0.25">
      <c r="A25037" t="str">
        <f>HYPERLINK("https://www.773grp.com/globalSearch/SN54H51XW/page-1", "SN54H51XW")</f>
        <v>SN54H51XW</v>
      </c>
      <c r="B25037" s="3" t="s">
        <v>90</v>
      </c>
      <c r="C25037" s="5">
        <v>6751</v>
      </c>
      <c r="D25037" s="6">
        <v>25.15</v>
      </c>
    </row>
    <row r="25038" spans="1:4" x14ac:dyDescent="0.25">
      <c r="A25038" t="str">
        <f>HYPERLINK("https://www.773grp.com/globalSearch/SN54H54XW/page-1", "SN54H54XW")</f>
        <v>SN54H54XW</v>
      </c>
      <c r="B25038" s="3" t="s">
        <v>90</v>
      </c>
      <c r="C25038" s="5">
        <v>139</v>
      </c>
      <c r="D25038" s="6">
        <v>25.15</v>
      </c>
    </row>
    <row r="25039" spans="1:4" x14ac:dyDescent="0.25">
      <c r="A25039" t="str">
        <f>HYPERLINK("https://www.773grp.com/globalSearch/SN54H74BWA/page-1", "SN54H74BWA")</f>
        <v>SN54H74BWA</v>
      </c>
      <c r="B25039" s="3" t="s">
        <v>90</v>
      </c>
      <c r="C25039" s="5">
        <v>370</v>
      </c>
      <c r="D25039" s="6">
        <v>25.15</v>
      </c>
    </row>
    <row r="25040" spans="1:4" x14ac:dyDescent="0.25">
      <c r="A25040" t="str">
        <f>HYPERLINK("https://www.773grp.com/globalSearch/SN54H74CWA/page-1", "SN54H74CWA")</f>
        <v>SN54H74CWA</v>
      </c>
      <c r="B25040" s="3" t="s">
        <v>90</v>
      </c>
      <c r="C25040" s="5">
        <v>9</v>
      </c>
      <c r="D25040" s="6">
        <v>25.15</v>
      </c>
    </row>
    <row r="25041" spans="1:4" x14ac:dyDescent="0.25">
      <c r="A25041" t="str">
        <f>HYPERLINK("https://www.773grp.com/globalSearch/SN54H74WA/page-1", "SN54H74WA")</f>
        <v>SN54H74WA</v>
      </c>
      <c r="B25041" s="3" t="s">
        <v>90</v>
      </c>
      <c r="C25041" s="5">
        <v>431</v>
      </c>
      <c r="D25041" s="6">
        <v>25.15</v>
      </c>
    </row>
    <row r="25042" spans="1:4" x14ac:dyDescent="0.25">
      <c r="A25042" t="str">
        <f>HYPERLINK("https://www.773grp.com/globalSearch/SN55809W/page-1", "SN55809W")</f>
        <v>SN55809W</v>
      </c>
      <c r="B25042" s="3" t="s">
        <v>90</v>
      </c>
      <c r="C25042" s="5">
        <v>166</v>
      </c>
      <c r="D25042" s="6">
        <v>25.15</v>
      </c>
    </row>
    <row r="25043" spans="1:4" x14ac:dyDescent="0.25">
      <c r="A25043" t="str">
        <f>HYPERLINK("https://www.773grp.com/globalSearch/SN74H87N3/page-1", "SN74H87N3")</f>
        <v>SN74H87N3</v>
      </c>
      <c r="B25043" s="3" t="s">
        <v>90</v>
      </c>
      <c r="C25043" s="5">
        <v>1071</v>
      </c>
      <c r="D25043" s="6">
        <v>25.15</v>
      </c>
    </row>
    <row r="25044" spans="1:4" x14ac:dyDescent="0.25">
      <c r="A25044" t="str">
        <f>HYPERLINK("https://www.773grp.com/globalSearch/PT5101L/page-1", "PT5101L")</f>
        <v>PT5101L</v>
      </c>
      <c r="B25044" s="3" t="s">
        <v>90</v>
      </c>
      <c r="C25044" s="5">
        <v>11</v>
      </c>
      <c r="D25044" s="6">
        <v>25.18</v>
      </c>
    </row>
    <row r="25045" spans="1:4" x14ac:dyDescent="0.25">
      <c r="A25045" t="str">
        <f>HYPERLINK("https://www.773grp.com/globalSearch/PT5101S/page-1", "PT5101S")</f>
        <v>PT5101S</v>
      </c>
      <c r="B25045" s="3" t="s">
        <v>90</v>
      </c>
      <c r="C25045" s="5">
        <v>7</v>
      </c>
      <c r="D25045" s="6">
        <v>25.18</v>
      </c>
    </row>
    <row r="25046" spans="1:4" x14ac:dyDescent="0.25">
      <c r="A25046" t="str">
        <f>HYPERLINK("https://www.773grp.com/globalSearch/TMS320C6743BPTP3/page-1", "TMS320C6743BPTP3")</f>
        <v>TMS320C6743BPTP3</v>
      </c>
      <c r="B25046" s="3" t="s">
        <v>90</v>
      </c>
      <c r="C25046" s="5">
        <v>64</v>
      </c>
      <c r="D25046" s="6">
        <v>25.18</v>
      </c>
    </row>
    <row r="25047" spans="1:4" x14ac:dyDescent="0.25">
      <c r="A25047" t="str">
        <f>HYPERLINK("https://www.773grp.com/globalSearch/MSP430P337AIPJM/page-1", "MSP430P337AIPJM")</f>
        <v>MSP430P337AIPJM</v>
      </c>
      <c r="B25047" s="3" t="s">
        <v>90</v>
      </c>
      <c r="C25047" s="5">
        <v>511</v>
      </c>
      <c r="D25047" s="6">
        <v>25.31</v>
      </c>
    </row>
    <row r="25048" spans="1:4" x14ac:dyDescent="0.25">
      <c r="A25048" t="str">
        <f>HYPERLINK("https://www.773grp.com/globalSearch/PCI2050IPDV/page-1", "PCI2050IPDV")</f>
        <v>PCI2050IPDV</v>
      </c>
      <c r="B25048" s="3" t="s">
        <v>90</v>
      </c>
      <c r="C25048" s="5">
        <v>36</v>
      </c>
      <c r="D25048" s="6">
        <v>25.31</v>
      </c>
    </row>
    <row r="25049" spans="1:4" x14ac:dyDescent="0.25">
      <c r="A25049" t="str">
        <f>HYPERLINK("https://www.773grp.com/globalSearch/PCI2050IZHK/page-1", "PCI2050IZHK")</f>
        <v>PCI2050IZHK</v>
      </c>
      <c r="B25049" s="3" t="s">
        <v>90</v>
      </c>
      <c r="C25049" s="5">
        <v>205</v>
      </c>
      <c r="D25049" s="6">
        <v>25.31</v>
      </c>
    </row>
    <row r="25050" spans="1:4" x14ac:dyDescent="0.25">
      <c r="A25050" t="str">
        <f>HYPERLINK("https://www.773grp.com/globalSearch/SN25205WC/page-1", "SN25205WC")</f>
        <v>SN25205WC</v>
      </c>
      <c r="B25050" s="3" t="s">
        <v>90</v>
      </c>
      <c r="C25050" s="5">
        <v>7387</v>
      </c>
      <c r="D25050" s="6">
        <v>25.31</v>
      </c>
    </row>
    <row r="25051" spans="1:4" x14ac:dyDescent="0.25">
      <c r="A25051" t="str">
        <f>HYPERLINK("https://www.773grp.com/globalSearch/SN55152J/page-1", "SN55152J")</f>
        <v>SN55152J</v>
      </c>
      <c r="B25051" s="3" t="s">
        <v>90</v>
      </c>
      <c r="C25051" s="5">
        <v>4065</v>
      </c>
      <c r="D25051" s="6">
        <v>25.31</v>
      </c>
    </row>
    <row r="25052" spans="1:4" x14ac:dyDescent="0.25">
      <c r="A25052" t="str">
        <f>HYPERLINK("https://www.773grp.com/globalSearch/SN55236W/page-1", "SN55236W")</f>
        <v>SN55236W</v>
      </c>
      <c r="B25052" s="3" t="s">
        <v>90</v>
      </c>
      <c r="C25052" s="5">
        <v>754</v>
      </c>
      <c r="D25052" s="6">
        <v>25.31</v>
      </c>
    </row>
    <row r="25053" spans="1:4" x14ac:dyDescent="0.25">
      <c r="A25053" t="str">
        <f>HYPERLINK("https://www.773grp.com/globalSearch/SN55327J/page-1", "SN55327J")</f>
        <v>SN55327J</v>
      </c>
      <c r="B25053" s="3" t="s">
        <v>90</v>
      </c>
      <c r="C25053" s="5">
        <v>146</v>
      </c>
      <c r="D25053" s="6">
        <v>25.31</v>
      </c>
    </row>
    <row r="25054" spans="1:4" x14ac:dyDescent="0.25">
      <c r="A25054" t="str">
        <f>HYPERLINK("https://www.773grp.com/globalSearch/SN65LVCP40RGZG4/page-1", "SN65LVCP40RGZG4")</f>
        <v>SN65LVCP40RGZG4</v>
      </c>
      <c r="B25054" s="3" t="s">
        <v>90</v>
      </c>
      <c r="C25054" s="5">
        <v>114</v>
      </c>
      <c r="D25054" s="6">
        <v>25.31</v>
      </c>
    </row>
    <row r="25055" spans="1:4" x14ac:dyDescent="0.25">
      <c r="A25055" t="str">
        <f>HYPERLINK("https://www.773grp.com/globalSearch/SN74H183N3/page-1", "SN74H183N3")</f>
        <v>SN74H183N3</v>
      </c>
      <c r="B25055" s="3" t="s">
        <v>90</v>
      </c>
      <c r="C25055" s="5">
        <v>2876</v>
      </c>
      <c r="D25055" s="6">
        <v>25.31</v>
      </c>
    </row>
    <row r="25056" spans="1:4" x14ac:dyDescent="0.25">
      <c r="A25056" t="str">
        <f>HYPERLINK("https://www.773grp.com/globalSearch/SNJ55152J/page-1", "SNJ55152J")</f>
        <v>SNJ55152J</v>
      </c>
      <c r="B25056" s="3" t="s">
        <v>90</v>
      </c>
      <c r="C25056" s="5">
        <v>2650</v>
      </c>
      <c r="D25056" s="6">
        <v>25.31</v>
      </c>
    </row>
    <row r="25057" spans="1:4" x14ac:dyDescent="0.25">
      <c r="A25057" t="str">
        <f>HYPERLINK("https://www.773grp.com/globalSearch/SNJ55326J/page-1", "SNJ55326J")</f>
        <v>SNJ55326J</v>
      </c>
      <c r="B25057" s="3" t="s">
        <v>90</v>
      </c>
      <c r="C25057" s="5">
        <v>374</v>
      </c>
      <c r="D25057" s="6">
        <v>25.31</v>
      </c>
    </row>
    <row r="25058" spans="1:4" x14ac:dyDescent="0.25">
      <c r="A25058" t="str">
        <f>HYPERLINK("https://www.773grp.com/globalSearch/TMS320C203PZ80/page-1", "TMS320C203PZ80")</f>
        <v>TMS320C203PZ80</v>
      </c>
      <c r="B25058" s="3" t="s">
        <v>90</v>
      </c>
      <c r="C25058" s="5">
        <v>613</v>
      </c>
      <c r="D25058" s="6">
        <v>25.31</v>
      </c>
    </row>
    <row r="25059" spans="1:4" x14ac:dyDescent="0.25">
      <c r="A25059" t="str">
        <f>HYPERLINK("https://www.773grp.com/globalSearch/TVP5145PFP/page-1", "TVP5145PFP")</f>
        <v>TVP5145PFP</v>
      </c>
      <c r="B25059" s="3" t="s">
        <v>90</v>
      </c>
      <c r="C25059" s="5">
        <v>292</v>
      </c>
      <c r="D25059" s="6">
        <v>25.31</v>
      </c>
    </row>
    <row r="25060" spans="1:4" x14ac:dyDescent="0.25">
      <c r="A25060" t="str">
        <f>HYPERLINK("https://www.773grp.com/globalSearch/LM193FKB/page-1", "LM193FKB")</f>
        <v>LM193FKB</v>
      </c>
      <c r="B25060" s="3" t="s">
        <v>90</v>
      </c>
      <c r="C25060" s="5">
        <v>1</v>
      </c>
      <c r="D25060" s="6">
        <v>25.35</v>
      </c>
    </row>
    <row r="25061" spans="1:4" x14ac:dyDescent="0.25">
      <c r="A25061" t="str">
        <f>HYPERLINK("https://www.773grp.com/globalSearch/SNJ54AHCT08FK/page-1", "SNJ54AHCT08FK")</f>
        <v>SNJ54AHCT08FK</v>
      </c>
      <c r="B25061" s="3" t="s">
        <v>90</v>
      </c>
      <c r="C25061" s="5">
        <v>25</v>
      </c>
      <c r="D25061" s="6">
        <v>25.43</v>
      </c>
    </row>
    <row r="25062" spans="1:4" x14ac:dyDescent="0.25">
      <c r="A25062" t="str">
        <f>HYPERLINK("https://www.773grp.com/globalSearch/TMS320DM335DZCE135/page-1", "TMS320DM335DZCE135")</f>
        <v>TMS320DM335DZCE135</v>
      </c>
      <c r="B25062" s="3" t="s">
        <v>90</v>
      </c>
      <c r="C25062" s="5">
        <v>3</v>
      </c>
      <c r="D25062" s="6">
        <v>25.45</v>
      </c>
    </row>
    <row r="25063" spans="1:4" x14ac:dyDescent="0.25">
      <c r="A25063" t="str">
        <f>HYPERLINK("https://www.773grp.com/globalSearch/TMS320C54CSTGGU/page-1", "TMS320C54CSTGGU")</f>
        <v>TMS320C54CSTGGU</v>
      </c>
      <c r="B25063" s="3" t="s">
        <v>90</v>
      </c>
      <c r="C25063" s="5">
        <v>285</v>
      </c>
      <c r="D25063" s="6">
        <v>25.49</v>
      </c>
    </row>
    <row r="25064" spans="1:4" x14ac:dyDescent="0.25">
      <c r="A25064" t="str">
        <f>HYPERLINK("https://www.773grp.com/globalSearch/PTN78000AAH/page-1", "PTN78000AAH")</f>
        <v>PTN78000AAH</v>
      </c>
      <c r="B25064" s="3" t="s">
        <v>90</v>
      </c>
      <c r="C25064" s="5">
        <v>20</v>
      </c>
      <c r="D25064" s="6">
        <v>25.54</v>
      </c>
    </row>
    <row r="25065" spans="1:4" x14ac:dyDescent="0.25">
      <c r="A25065" t="str">
        <f>HYPERLINK("https://www.773grp.com/globalSearch/PTN78000AAST/page-1", "PTN78000AAST")</f>
        <v>PTN78000AAST</v>
      </c>
      <c r="B25065" s="3" t="s">
        <v>90</v>
      </c>
      <c r="C25065" s="5">
        <v>250</v>
      </c>
      <c r="D25065" s="6">
        <v>25.54</v>
      </c>
    </row>
    <row r="25066" spans="1:4" x14ac:dyDescent="0.25">
      <c r="A25066" t="str">
        <f>HYPERLINK("https://www.773grp.com/globalSearch/PTN78000AAZ/page-1", "PTN78000AAZ")</f>
        <v>PTN78000AAZ</v>
      </c>
      <c r="B25066" s="3" t="s">
        <v>90</v>
      </c>
      <c r="C25066" s="5">
        <v>45</v>
      </c>
      <c r="D25066" s="6">
        <v>25.54</v>
      </c>
    </row>
    <row r="25067" spans="1:4" x14ac:dyDescent="0.25">
      <c r="A25067" t="str">
        <f>HYPERLINK("https://www.773grp.com/globalSearch/PTN78000WAZ/page-1", "PTN78000WAZ")</f>
        <v>PTN78000WAZ</v>
      </c>
      <c r="B25067" s="3" t="s">
        <v>90</v>
      </c>
      <c r="C25067" s="5">
        <v>23</v>
      </c>
      <c r="D25067" s="6">
        <v>25.54</v>
      </c>
    </row>
    <row r="25068" spans="1:4" x14ac:dyDescent="0.25">
      <c r="A25068" t="str">
        <f>HYPERLINK("https://www.773grp.com/globalSearch/PTN78000WAZT/page-1", "PTN78000WAZT")</f>
        <v>PTN78000WAZT</v>
      </c>
      <c r="B25068" s="3" t="s">
        <v>90</v>
      </c>
      <c r="C25068" s="5">
        <v>2700</v>
      </c>
      <c r="D25068" s="6">
        <v>25.54</v>
      </c>
    </row>
    <row r="25069" spans="1:4" x14ac:dyDescent="0.25">
      <c r="A25069" t="str">
        <f>HYPERLINK("https://www.773grp.com/globalSearch/OPA544F-500/page-1", "OPA544F-500")</f>
        <v>OPA544F-500</v>
      </c>
      <c r="B25069" s="3" t="s">
        <v>90</v>
      </c>
      <c r="C25069" s="5">
        <v>2874</v>
      </c>
      <c r="D25069" s="6">
        <v>25.56</v>
      </c>
    </row>
    <row r="25070" spans="1:4" x14ac:dyDescent="0.25">
      <c r="A25070" t="str">
        <f>HYPERLINK("https://www.773grp.com/globalSearch/OPA544T/page-1", "OPA544T")</f>
        <v>OPA544T</v>
      </c>
      <c r="B25070" s="3" t="s">
        <v>90</v>
      </c>
      <c r="C25070" s="5">
        <v>21784</v>
      </c>
      <c r="D25070" s="6">
        <v>25.56</v>
      </c>
    </row>
    <row r="25071" spans="1:4" x14ac:dyDescent="0.25">
      <c r="A25071" t="str">
        <f>HYPERLINK("https://www.773grp.com/globalSearch/SNJ54AHCT32FK/page-1", "SNJ54AHCT32FK")</f>
        <v>SNJ54AHCT32FK</v>
      </c>
      <c r="B25071" s="3" t="s">
        <v>90</v>
      </c>
      <c r="C25071" s="5">
        <v>13</v>
      </c>
      <c r="D25071" s="6">
        <v>25.56</v>
      </c>
    </row>
    <row r="25072" spans="1:4" x14ac:dyDescent="0.25">
      <c r="A25072" t="str">
        <f>HYPERLINK("https://www.773grp.com/globalSearch/TMS320C5515AZCHA10/page-1", "TMS320C5515AZCHA10")</f>
        <v>TMS320C5515AZCHA10</v>
      </c>
      <c r="B25072" s="3" t="s">
        <v>90</v>
      </c>
      <c r="C25072" s="5">
        <v>181</v>
      </c>
      <c r="D25072" s="6">
        <v>25.6</v>
      </c>
    </row>
    <row r="25073" spans="1:4" x14ac:dyDescent="0.25">
      <c r="A25073" t="str">
        <f>HYPERLINK("https://www.773grp.com/globalSearch/TMS6787-20N/page-1", "TMS6787-20N")</f>
        <v>TMS6787-20N</v>
      </c>
      <c r="B25073" s="3" t="s">
        <v>90</v>
      </c>
      <c r="C25073" s="5">
        <v>4037</v>
      </c>
      <c r="D25073" s="6">
        <v>25.6</v>
      </c>
    </row>
    <row r="25074" spans="1:4" x14ac:dyDescent="0.25">
      <c r="A25074" t="str">
        <f>HYPERLINK("https://www.773grp.com/globalSearch/TMS6789-20DJ/page-1", "TMS6789-20DJ")</f>
        <v>TMS6789-20DJ</v>
      </c>
      <c r="B25074" s="3" t="s">
        <v>90</v>
      </c>
      <c r="C25074" s="5">
        <v>7508</v>
      </c>
      <c r="D25074" s="6">
        <v>25.6</v>
      </c>
    </row>
    <row r="25075" spans="1:4" x14ac:dyDescent="0.25">
      <c r="A25075" t="str">
        <f>HYPERLINK("https://www.773grp.com/globalSearch/TMS6789-20N/page-1", "TMS6789-20N")</f>
        <v>TMS6789-20N</v>
      </c>
      <c r="B25075" s="3" t="s">
        <v>90</v>
      </c>
      <c r="C25075" s="5">
        <v>7700</v>
      </c>
      <c r="D25075" s="6">
        <v>25.6</v>
      </c>
    </row>
    <row r="25076" spans="1:4" x14ac:dyDescent="0.25">
      <c r="A25076" t="str">
        <f>HYPERLINK("https://www.773grp.com/globalSearch/AFE1224E-1/page-1", "AFE1224E-1")</f>
        <v>AFE1224E-1</v>
      </c>
      <c r="B25076" s="3" t="s">
        <v>90</v>
      </c>
      <c r="C25076" s="5">
        <v>1129</v>
      </c>
      <c r="D25076" s="6">
        <v>25.61</v>
      </c>
    </row>
    <row r="25077" spans="1:4" x14ac:dyDescent="0.25">
      <c r="A25077" t="str">
        <f>HYPERLINK("https://www.773grp.com/globalSearch/SNJ54ACT11245JT  D2/page-1", "SNJ54ACT11245JT  D2")</f>
        <v>SNJ54ACT11245JT  D2</v>
      </c>
      <c r="B25077" s="3" t="s">
        <v>90</v>
      </c>
      <c r="C25077" s="5">
        <v>20</v>
      </c>
      <c r="D25077" s="6">
        <v>25.61</v>
      </c>
    </row>
    <row r="25078" spans="1:4" x14ac:dyDescent="0.25">
      <c r="A25078" t="str">
        <f>HYPERLINK("https://www.773grp.com/globalSearch/SNJ54ACT11373JT/page-1", "SNJ54ACT11373JT")</f>
        <v>SNJ54ACT11373JT</v>
      </c>
      <c r="B25078" s="3" t="s">
        <v>90</v>
      </c>
      <c r="C25078" s="5">
        <v>35</v>
      </c>
      <c r="D25078" s="6">
        <v>25.61</v>
      </c>
    </row>
    <row r="25079" spans="1:4" x14ac:dyDescent="0.25">
      <c r="A25079" t="str">
        <f>HYPERLINK("https://www.773grp.com/globalSearch/7704201EA/page-1", "7704201EA")</f>
        <v>7704201EA</v>
      </c>
      <c r="B25079" s="3" t="s">
        <v>90</v>
      </c>
      <c r="C25079" s="5">
        <v>51</v>
      </c>
      <c r="D25079" s="6">
        <v>25.74</v>
      </c>
    </row>
    <row r="25080" spans="1:4" x14ac:dyDescent="0.25">
      <c r="A25080" t="str">
        <f>HYPERLINK("https://www.773grp.com/globalSearch/DAC3152IRGZR/page-1", "DAC3152IRGZR")</f>
        <v>DAC3152IRGZR</v>
      </c>
      <c r="B25080" s="3" t="s">
        <v>90</v>
      </c>
      <c r="C25080" s="5">
        <v>5000</v>
      </c>
      <c r="D25080" s="6">
        <v>25.74</v>
      </c>
    </row>
    <row r="25081" spans="1:4" x14ac:dyDescent="0.25">
      <c r="A25081" t="str">
        <f>HYPERLINK("https://www.773grp.com/globalSearch/TLC3544CPW/page-1", "TLC3544CPW")</f>
        <v>TLC3544CPW</v>
      </c>
      <c r="B25081" s="3" t="s">
        <v>90</v>
      </c>
      <c r="C25081" s="5">
        <v>70</v>
      </c>
      <c r="D25081" s="6">
        <v>25.74</v>
      </c>
    </row>
    <row r="25082" spans="1:4" x14ac:dyDescent="0.25">
      <c r="A25082" t="str">
        <f>HYPERLINK("https://www.773grp.com/globalSearch/MSP430F1611IPM/page-1", "MSP430F1611IPM")</f>
        <v>MSP430F1611IPM</v>
      </c>
      <c r="B25082" s="3" t="s">
        <v>90</v>
      </c>
      <c r="C25082" s="5">
        <v>160</v>
      </c>
      <c r="D25082" s="6">
        <v>25.76</v>
      </c>
    </row>
    <row r="25083" spans="1:4" x14ac:dyDescent="0.25">
      <c r="A25083" t="str">
        <f>HYPERLINK("https://www.773grp.com/globalSearch/MSP430F1611IPMR/page-1", "MSP430F1611IPMR")</f>
        <v>MSP430F1611IPMR</v>
      </c>
      <c r="B25083" s="3" t="s">
        <v>90</v>
      </c>
      <c r="C25083" s="5">
        <v>400</v>
      </c>
      <c r="D25083" s="6">
        <v>25.76</v>
      </c>
    </row>
    <row r="25084" spans="1:4" x14ac:dyDescent="0.25">
      <c r="A25084" t="str">
        <f>HYPERLINK("https://www.773grp.com/globalSearch/SN74ABT18245DGGR/page-1", "SN74ABT18245DGGR")</f>
        <v>SN74ABT18245DGGR</v>
      </c>
      <c r="B25084" s="3" t="s">
        <v>90</v>
      </c>
      <c r="C25084" s="5">
        <v>500</v>
      </c>
      <c r="D25084" s="6">
        <v>25.76</v>
      </c>
    </row>
    <row r="25085" spans="1:4" x14ac:dyDescent="0.25">
      <c r="A25085" t="str">
        <f>HYPERLINK("https://www.773grp.com/globalSearch/CY54FCT240ATLMB/page-1", "CY54FCT240ATLMB")</f>
        <v>CY54FCT240ATLMB</v>
      </c>
      <c r="B25085" s="3" t="s">
        <v>90</v>
      </c>
      <c r="C25085" s="5">
        <v>14</v>
      </c>
      <c r="D25085" s="6">
        <v>25.79</v>
      </c>
    </row>
    <row r="25086" spans="1:4" x14ac:dyDescent="0.25">
      <c r="A25086" t="str">
        <f>HYPERLINK("https://www.773grp.com/globalSearch/SN74GTLPH1655DGG/page-1", "SN74GTLPH1655DGG")</f>
        <v>SN74GTLPH1655DGG</v>
      </c>
      <c r="B25086" s="3" t="s">
        <v>90</v>
      </c>
      <c r="C25086" s="5">
        <v>2125</v>
      </c>
      <c r="D25086" s="6">
        <v>25.85</v>
      </c>
    </row>
    <row r="25087" spans="1:4" x14ac:dyDescent="0.25">
      <c r="A25087" t="str">
        <f>HYPERLINK("https://www.773grp.com/globalSearch/TSB42AA4PGER/page-1", "TSB42AA4PGER")</f>
        <v>TSB42AA4PGER</v>
      </c>
      <c r="B25087" s="3" t="s">
        <v>90</v>
      </c>
      <c r="C25087" s="5">
        <v>12000</v>
      </c>
      <c r="D25087" s="6">
        <v>25.88</v>
      </c>
    </row>
    <row r="25088" spans="1:4" x14ac:dyDescent="0.25">
      <c r="A25088" t="str">
        <f>HYPERLINK("https://www.773grp.com/globalSearch/CD54ACT244F3A/page-1", "CD54ACT244F3A")</f>
        <v>CD54ACT244F3A</v>
      </c>
      <c r="B25088" s="3" t="s">
        <v>90</v>
      </c>
      <c r="C25088" s="5">
        <v>40</v>
      </c>
      <c r="D25088" s="6">
        <v>25.9</v>
      </c>
    </row>
    <row r="25089" spans="1:4" x14ac:dyDescent="0.25">
      <c r="A25089" t="str">
        <f>HYPERLINK("https://www.773grp.com/globalSearch/CY54FCT245ATDMB/page-1", "CY54FCT245ATDMB")</f>
        <v>CY54FCT245ATDMB</v>
      </c>
      <c r="B25089" s="3" t="s">
        <v>90</v>
      </c>
      <c r="C25089" s="5">
        <v>7</v>
      </c>
      <c r="D25089" s="6">
        <v>25.94</v>
      </c>
    </row>
    <row r="25090" spans="1:4" x14ac:dyDescent="0.25">
      <c r="A25090" t="str">
        <f>HYPERLINK("https://www.773grp.com/globalSearch/SN74ACT7808-40 PAG/page-1", "SN74ACT7808-40 PAG")</f>
        <v>SN74ACT7808-40 PAG</v>
      </c>
      <c r="B25090" s="3" t="s">
        <v>90</v>
      </c>
      <c r="C25090" s="5">
        <v>24</v>
      </c>
      <c r="D25090" s="6">
        <v>25.94</v>
      </c>
    </row>
    <row r="25091" spans="1:4" x14ac:dyDescent="0.25">
      <c r="A25091" t="str">
        <f>HYPERLINK("https://www.773grp.com/globalSearch/UC2840DW/page-1", "UC2840DW")</f>
        <v>UC2840DW</v>
      </c>
      <c r="B25091" s="3" t="s">
        <v>90</v>
      </c>
      <c r="C25091" s="5">
        <v>2397</v>
      </c>
      <c r="D25091" s="6">
        <v>25.94</v>
      </c>
    </row>
    <row r="25092" spans="1:4" x14ac:dyDescent="0.25">
      <c r="A25092" t="str">
        <f>HYPERLINK("https://www.773grp.com/globalSearch/BQ76PL536TPAPTQ1/page-1", "BQ76PL536TPAPTQ1")</f>
        <v>BQ76PL536TPAPTQ1</v>
      </c>
      <c r="B25092" s="3" t="s">
        <v>90</v>
      </c>
      <c r="C25092" s="5">
        <v>750</v>
      </c>
      <c r="D25092" s="6">
        <v>25.95</v>
      </c>
    </row>
    <row r="25093" spans="1:4" x14ac:dyDescent="0.25">
      <c r="A25093" t="str">
        <f>HYPERLINK("https://www.773grp.com/globalSearch/SNJ54ACT245J/page-1", "SNJ54ACT245J")</f>
        <v>SNJ54ACT245J</v>
      </c>
      <c r="B25093" s="3" t="s">
        <v>90</v>
      </c>
      <c r="C25093" s="5">
        <v>9</v>
      </c>
      <c r="D25093" s="6">
        <v>25.95</v>
      </c>
    </row>
    <row r="25094" spans="1:4" x14ac:dyDescent="0.25">
      <c r="A25094" t="str">
        <f>HYPERLINK("https://www.773grp.com/globalSearch/SNJ54LS174W/page-1", "SNJ54LS174W")</f>
        <v>SNJ54LS174W</v>
      </c>
      <c r="B25094" s="3" t="s">
        <v>90</v>
      </c>
      <c r="C25094" s="5">
        <v>28</v>
      </c>
      <c r="D25094" s="6">
        <v>25.99</v>
      </c>
    </row>
    <row r="25095" spans="1:4" x14ac:dyDescent="0.25">
      <c r="A25095" t="str">
        <f>HYPERLINK("https://www.773grp.com/globalSearch/SNJ54LS244FK/page-1", "SNJ54LS244FK")</f>
        <v>SNJ54LS244FK</v>
      </c>
      <c r="B25095" s="3" t="s">
        <v>90</v>
      </c>
      <c r="C25095" s="5">
        <v>23</v>
      </c>
      <c r="D25095" s="6">
        <v>25.99</v>
      </c>
    </row>
    <row r="25096" spans="1:4" x14ac:dyDescent="0.25">
      <c r="A25096" t="str">
        <f>HYPERLINK("https://www.773grp.com/globalSearch/TLV320AIC20CPFB/page-1", "TLV320AIC20CPFB")</f>
        <v>TLV320AIC20CPFB</v>
      </c>
      <c r="B25096" s="3" t="s">
        <v>90</v>
      </c>
      <c r="C25096" s="5">
        <v>9500</v>
      </c>
      <c r="D25096" s="6">
        <v>26.04</v>
      </c>
    </row>
    <row r="25097" spans="1:4" x14ac:dyDescent="0.25">
      <c r="A25097" t="str">
        <f>HYPERLINK("https://www.773grp.com/globalSearch/33P3721-CGT/page-1", "33P3721-CGT")</f>
        <v>33P3721-CGT</v>
      </c>
      <c r="B25097" s="3" t="s">
        <v>90</v>
      </c>
      <c r="C25097" s="5">
        <v>160</v>
      </c>
      <c r="D25097" s="6">
        <v>26.13</v>
      </c>
    </row>
    <row r="25098" spans="1:4" x14ac:dyDescent="0.25">
      <c r="A25098" t="str">
        <f>HYPERLINK("https://www.773grp.com/globalSearch/33P3721-CGTJ/page-1", "33P3721-CGTJ")</f>
        <v>33P3721-CGTJ</v>
      </c>
      <c r="B25098" s="3" t="s">
        <v>90</v>
      </c>
      <c r="C25098" s="5">
        <v>60800</v>
      </c>
      <c r="D25098" s="6">
        <v>26.13</v>
      </c>
    </row>
    <row r="25099" spans="1:4" x14ac:dyDescent="0.25">
      <c r="A25099" t="str">
        <f>HYPERLINK("https://www.773grp.com/globalSearch/5962-8776001MRA/page-1", "5962-8776001MRA")</f>
        <v>5962-8776001MRA</v>
      </c>
      <c r="B25099" s="3" t="s">
        <v>90</v>
      </c>
      <c r="C25099" s="5">
        <v>21</v>
      </c>
      <c r="D25099" s="6">
        <v>26.13</v>
      </c>
    </row>
    <row r="25100" spans="1:4" x14ac:dyDescent="0.25">
      <c r="A25100" t="str">
        <f>HYPERLINK("https://www.773grp.com/globalSearch/PTCM4400PN/page-1", "PTCM4400PN")</f>
        <v>PTCM4400PN</v>
      </c>
      <c r="B25100" s="3" t="s">
        <v>90</v>
      </c>
      <c r="C25100" s="5">
        <v>2880</v>
      </c>
      <c r="D25100" s="6">
        <v>26.24</v>
      </c>
    </row>
    <row r="25101" spans="1:4" x14ac:dyDescent="0.25">
      <c r="A25101" t="str">
        <f>HYPERLINK("https://www.773grp.com/globalSearch/TMX320DSC24GHK/page-1", "TMX320DSC24GHK")</f>
        <v>TMX320DSC24GHK</v>
      </c>
      <c r="B25101" s="3" t="s">
        <v>90</v>
      </c>
      <c r="C25101" s="5">
        <v>34</v>
      </c>
      <c r="D25101" s="6">
        <v>26.24</v>
      </c>
    </row>
    <row r="25102" spans="1:4" x14ac:dyDescent="0.25">
      <c r="A25102" t="str">
        <f>HYPERLINK("https://www.773grp.com/globalSearch/JM38510-07201BCB/page-1", "JM38510-07201BCB")</f>
        <v>JM38510-07201BCB</v>
      </c>
      <c r="B25102" s="3" t="s">
        <v>90</v>
      </c>
      <c r="C25102" s="5">
        <v>400</v>
      </c>
      <c r="D25102" s="6">
        <v>26.33</v>
      </c>
    </row>
    <row r="25103" spans="1:4" x14ac:dyDescent="0.25">
      <c r="A25103" t="str">
        <f>HYPERLINK("https://www.773grp.com/globalSearch/SR3437BBB2DB/page-1", "SR3437BBB2DB")</f>
        <v>SR3437BBB2DB</v>
      </c>
      <c r="B25103" s="3" t="s">
        <v>90</v>
      </c>
      <c r="C25103" s="5">
        <v>111</v>
      </c>
      <c r="D25103" s="6">
        <v>26.36</v>
      </c>
    </row>
    <row r="25104" spans="1:4" x14ac:dyDescent="0.25">
      <c r="A25104" t="str">
        <f>HYPERLINK("https://www.773grp.com/globalSearch/SNJ54HC4024J/page-1", "SNJ54HC4024J")</f>
        <v>SNJ54HC4024J</v>
      </c>
      <c r="B25104" s="3" t="s">
        <v>90</v>
      </c>
      <c r="C25104" s="5">
        <v>44</v>
      </c>
      <c r="D25104" s="6">
        <v>26.41</v>
      </c>
    </row>
    <row r="25105" spans="1:4" x14ac:dyDescent="0.25">
      <c r="A25105" t="str">
        <f>HYPERLINK("https://www.773grp.com/globalSearch/ADS1194CPAG/page-1", "ADS1194CPAG")</f>
        <v>ADS1194CPAG</v>
      </c>
      <c r="B25105" s="3" t="s">
        <v>90</v>
      </c>
      <c r="C25105" s="5">
        <v>401</v>
      </c>
      <c r="D25105" s="6">
        <v>26.44</v>
      </c>
    </row>
    <row r="25106" spans="1:4" x14ac:dyDescent="0.25">
      <c r="A25106" t="str">
        <f>HYPERLINK("https://www.773grp.com/globalSearch/TMS320C6743BPTPT2/page-1", "TMS320C6743BPTPT2")</f>
        <v>TMS320C6743BPTPT2</v>
      </c>
      <c r="B25106" s="3" t="s">
        <v>90</v>
      </c>
      <c r="C25106" s="5">
        <v>13</v>
      </c>
      <c r="D25106" s="6">
        <v>26.44</v>
      </c>
    </row>
    <row r="25107" spans="1:4" x14ac:dyDescent="0.25">
      <c r="A25107" t="str">
        <f>HYPERLINK("https://www.773grp.com/globalSearch/5962-9220301M2A/page-1", "5962-9220301M2A")</f>
        <v>5962-9220301M2A</v>
      </c>
      <c r="B25107" s="3" t="s">
        <v>90</v>
      </c>
      <c r="C25107" s="5">
        <v>3282</v>
      </c>
      <c r="D25107" s="6">
        <v>26.53</v>
      </c>
    </row>
    <row r="25108" spans="1:4" x14ac:dyDescent="0.25">
      <c r="A25108" t="str">
        <f>HYPERLINK("https://www.773grp.com/globalSearch/TMS320C203PZA57/page-1", "TMS320C203PZA57")</f>
        <v>TMS320C203PZA57</v>
      </c>
      <c r="B25108" s="3" t="s">
        <v>90</v>
      </c>
      <c r="C25108" s="5">
        <v>4</v>
      </c>
      <c r="D25108" s="6">
        <v>26.53</v>
      </c>
    </row>
    <row r="25109" spans="1:4" x14ac:dyDescent="0.25">
      <c r="A25109" t="str">
        <f>HYPERLINK("https://www.773grp.com/globalSearch/DS26LS33MJ-883/page-1", "DS26LS33MJ-883")</f>
        <v>DS26LS33MJ-883</v>
      </c>
      <c r="B25109" s="3" t="s">
        <v>90</v>
      </c>
      <c r="C25109" s="5">
        <v>4</v>
      </c>
      <c r="D25109" s="6">
        <v>26.61</v>
      </c>
    </row>
    <row r="25110" spans="1:4" x14ac:dyDescent="0.25">
      <c r="A25110" t="str">
        <f>HYPERLINK("https://www.773grp.com/globalSearch/PT6101C/page-1", "PT6101C")</f>
        <v>PT6101C</v>
      </c>
      <c r="B25110" s="3" t="s">
        <v>90</v>
      </c>
      <c r="C25110" s="5">
        <v>7</v>
      </c>
      <c r="D25110" s="6">
        <v>26.61</v>
      </c>
    </row>
    <row r="25111" spans="1:4" x14ac:dyDescent="0.25">
      <c r="A25111" t="str">
        <f>HYPERLINK("https://www.773grp.com/globalSearch/AD515JH-1/page-1", "AD515JH-1")</f>
        <v>AD515JH-1</v>
      </c>
      <c r="B25111" s="3" t="s">
        <v>90</v>
      </c>
      <c r="C25111" s="5">
        <v>803</v>
      </c>
      <c r="D25111" s="6">
        <v>26.66</v>
      </c>
    </row>
    <row r="25112" spans="1:4" x14ac:dyDescent="0.25">
      <c r="A25112" t="str">
        <f>HYPERLINK("https://www.773grp.com/globalSearch/PTH12000LAZ/page-1", "PTH12000LAZ")</f>
        <v>PTH12000LAZ</v>
      </c>
      <c r="B25112" s="3" t="s">
        <v>90</v>
      </c>
      <c r="C25112" s="5">
        <v>784</v>
      </c>
      <c r="D25112" s="6">
        <v>26.7</v>
      </c>
    </row>
    <row r="25113" spans="1:4" x14ac:dyDescent="0.25">
      <c r="A25113" t="str">
        <f>HYPERLINK("https://www.773grp.com/globalSearch/PTH12000LAZT/page-1", "PTH12000LAZT")</f>
        <v>PTH12000LAZT</v>
      </c>
      <c r="B25113" s="3" t="s">
        <v>90</v>
      </c>
      <c r="C25113" s="5">
        <v>250</v>
      </c>
      <c r="D25113" s="6">
        <v>26.7</v>
      </c>
    </row>
    <row r="25114" spans="1:4" x14ac:dyDescent="0.25">
      <c r="A25114" t="str">
        <f>HYPERLINK("https://www.773grp.com/globalSearch/CDCM7005RGZR/page-1", "CDCM7005RGZR")</f>
        <v>CDCM7005RGZR</v>
      </c>
      <c r="B25114" s="3" t="s">
        <v>90</v>
      </c>
      <c r="C25114" s="5">
        <v>5000</v>
      </c>
      <c r="D25114" s="6">
        <v>26.71</v>
      </c>
    </row>
    <row r="25115" spans="1:4" x14ac:dyDescent="0.25">
      <c r="A25115" t="str">
        <f>HYPERLINK("https://www.773grp.com/globalSearch/MPD18187FK/page-1", "MPD18187FK")</f>
        <v>MPD18187FK</v>
      </c>
      <c r="B25115" s="3" t="s">
        <v>90</v>
      </c>
      <c r="C25115" s="5">
        <v>27</v>
      </c>
      <c r="D25115" s="6">
        <v>26.71</v>
      </c>
    </row>
    <row r="25116" spans="1:4" x14ac:dyDescent="0.25">
      <c r="A25116" t="str">
        <f>HYPERLINK("https://www.773grp.com/globalSearch/MSP430F1612IPMR/page-1", "MSP430F1612IPMR")</f>
        <v>MSP430F1612IPMR</v>
      </c>
      <c r="B25116" s="3" t="s">
        <v>90</v>
      </c>
      <c r="C25116" s="5">
        <v>150</v>
      </c>
      <c r="D25116" s="6">
        <v>26.71</v>
      </c>
    </row>
    <row r="25117" spans="1:4" x14ac:dyDescent="0.25">
      <c r="A25117" t="str">
        <f>HYPERLINK("https://www.773grp.com/globalSearch/MSP430F249MPMEP/page-1", "MSP430F249MPMEP")</f>
        <v>MSP430F249MPMEP</v>
      </c>
      <c r="B25117" s="3" t="s">
        <v>90</v>
      </c>
      <c r="C25117" s="5">
        <v>73</v>
      </c>
      <c r="D25117" s="6">
        <v>26.71</v>
      </c>
    </row>
    <row r="25118" spans="1:4" x14ac:dyDescent="0.25">
      <c r="A25118" t="str">
        <f>HYPERLINK("https://www.773grp.com/globalSearch/PBSN6030DGGM/page-1", "PBSN6030DGGM")</f>
        <v>PBSN6030DGGM</v>
      </c>
      <c r="B25118" s="3" t="s">
        <v>90</v>
      </c>
      <c r="C25118" s="5">
        <v>200</v>
      </c>
      <c r="D25118" s="6">
        <v>26.71</v>
      </c>
    </row>
    <row r="25119" spans="1:4" x14ac:dyDescent="0.25">
      <c r="A25119" t="str">
        <f>HYPERLINK("https://www.773grp.com/globalSearch/PBSN6030DGJK/page-1", "PBSN6030DGJK")</f>
        <v>PBSN6030DGJK</v>
      </c>
      <c r="B25119" s="3" t="s">
        <v>90</v>
      </c>
      <c r="C25119" s="5">
        <v>200</v>
      </c>
      <c r="D25119" s="6">
        <v>26.71</v>
      </c>
    </row>
    <row r="25120" spans="1:4" x14ac:dyDescent="0.25">
      <c r="A25120" t="str">
        <f>HYPERLINK("https://www.773grp.com/globalSearch/PBSN6030DSGJK/page-1", "PBSN6030DSGJK")</f>
        <v>PBSN6030DSGJK</v>
      </c>
      <c r="B25120" s="3" t="s">
        <v>90</v>
      </c>
      <c r="C25120" s="5">
        <v>3435</v>
      </c>
      <c r="D25120" s="6">
        <v>26.71</v>
      </c>
    </row>
    <row r="25121" spans="1:4" x14ac:dyDescent="0.25">
      <c r="A25121" t="str">
        <f>HYPERLINK("https://www.773grp.com/globalSearch/SNJ54BCT648JT/page-1", "SNJ54BCT648JT")</f>
        <v>SNJ54BCT648JT</v>
      </c>
      <c r="B25121" s="3" t="s">
        <v>90</v>
      </c>
      <c r="C25121" s="5">
        <v>232</v>
      </c>
      <c r="D25121" s="6">
        <v>26.71</v>
      </c>
    </row>
    <row r="25122" spans="1:4" x14ac:dyDescent="0.25">
      <c r="A25122" t="str">
        <f>HYPERLINK("https://www.773grp.com/globalSearch/SR3440BCA4PFD/page-1", "SR3440BCA4PFD")</f>
        <v>SR3440BCA4PFD</v>
      </c>
      <c r="B25122" s="3" t="s">
        <v>90</v>
      </c>
      <c r="C25122" s="5">
        <v>48020</v>
      </c>
      <c r="D25122" s="6">
        <v>26.71</v>
      </c>
    </row>
    <row r="25123" spans="1:4" x14ac:dyDescent="0.25">
      <c r="A25123" t="str">
        <f>HYPERLINK("https://www.773grp.com/globalSearch/TL032MLB/page-1", "TL032MLB")</f>
        <v>TL032MLB</v>
      </c>
      <c r="B25123" s="3" t="s">
        <v>90</v>
      </c>
      <c r="C25123" s="5">
        <v>28</v>
      </c>
      <c r="D25123" s="6">
        <v>26.71</v>
      </c>
    </row>
    <row r="25124" spans="1:4" x14ac:dyDescent="0.25">
      <c r="A25124" t="str">
        <f>HYPERLINK("https://www.773grp.com/globalSearch/DAC7741YL-250/page-1", "DAC7741YL-250")</f>
        <v>DAC7741YL-250</v>
      </c>
      <c r="B25124" s="3" t="s">
        <v>90</v>
      </c>
      <c r="C25124" s="5">
        <v>250</v>
      </c>
      <c r="D25124" s="6">
        <v>26.86</v>
      </c>
    </row>
    <row r="25125" spans="1:4" x14ac:dyDescent="0.25">
      <c r="A25125" t="str">
        <f>HYPERLINK("https://www.773grp.com/globalSearch/TMS320C6722BRFP200/page-1", "TMS320C6722BRFP200")</f>
        <v>TMS320C6722BRFP200</v>
      </c>
      <c r="B25125" s="3" t="s">
        <v>90</v>
      </c>
      <c r="C25125" s="5">
        <v>15</v>
      </c>
      <c r="D25125" s="6">
        <v>26.89</v>
      </c>
    </row>
    <row r="25126" spans="1:4" x14ac:dyDescent="0.25">
      <c r="A25126" t="str">
        <f>HYPERLINK("https://www.773grp.com/globalSearch/OPA621KP-1/page-1", "OPA621KP-1")</f>
        <v>OPA621KP-1</v>
      </c>
      <c r="B25126" s="3" t="s">
        <v>90</v>
      </c>
      <c r="C25126" s="5">
        <v>1766</v>
      </c>
      <c r="D25126" s="6">
        <v>26.91</v>
      </c>
    </row>
    <row r="25127" spans="1:4" x14ac:dyDescent="0.25">
      <c r="A25127" t="str">
        <f>HYPERLINK("https://www.773grp.com/globalSearch/SNJ54HC173FK/page-1", "SNJ54HC173FK")</f>
        <v>SNJ54HC173FK</v>
      </c>
      <c r="B25127" s="3" t="s">
        <v>90</v>
      </c>
      <c r="C25127" s="5">
        <v>76</v>
      </c>
      <c r="D25127" s="6">
        <v>26.95</v>
      </c>
    </row>
    <row r="25128" spans="1:4" x14ac:dyDescent="0.25">
      <c r="A25128" t="str">
        <f>HYPERLINK("https://www.773grp.com/globalSearch/SN20595W/page-1", "SN20595W")</f>
        <v>SN20595W</v>
      </c>
      <c r="B25128" s="3" t="s">
        <v>90</v>
      </c>
      <c r="C25128" s="5">
        <v>18</v>
      </c>
      <c r="D25128" s="6">
        <v>27</v>
      </c>
    </row>
    <row r="25129" spans="1:4" x14ac:dyDescent="0.25">
      <c r="A25129" t="str">
        <f>HYPERLINK("https://www.773grp.com/globalSearch/SNJ54HC190FK/page-1", "SNJ54HC190FK")</f>
        <v>SNJ54HC190FK</v>
      </c>
      <c r="B25129" s="3" t="s">
        <v>90</v>
      </c>
      <c r="C25129" s="5">
        <v>645</v>
      </c>
      <c r="D25129" s="6">
        <v>27.14</v>
      </c>
    </row>
    <row r="25130" spans="1:4" x14ac:dyDescent="0.25">
      <c r="A25130" t="str">
        <f>HYPERLINK("https://www.773grp.com/globalSearch/SNJ54HC237FK/page-1", "SNJ54HC237FK")</f>
        <v>SNJ54HC237FK</v>
      </c>
      <c r="B25130" s="3" t="s">
        <v>90</v>
      </c>
      <c r="C25130" s="5">
        <v>24</v>
      </c>
      <c r="D25130" s="6">
        <v>27.14</v>
      </c>
    </row>
    <row r="25131" spans="1:4" x14ac:dyDescent="0.25">
      <c r="A25131" t="str">
        <f>HYPERLINK("https://www.773grp.com/globalSearch/SN74ALS29834NT/page-1", "SN74ALS29834NT")</f>
        <v>SN74ALS29834NT</v>
      </c>
      <c r="B25131" s="3" t="s">
        <v>90</v>
      </c>
      <c r="C25131" s="5">
        <v>1300</v>
      </c>
      <c r="D25131" s="6">
        <v>27.18</v>
      </c>
    </row>
    <row r="25132" spans="1:4" x14ac:dyDescent="0.25">
      <c r="A25132" t="str">
        <f>HYPERLINK("https://www.773grp.com/globalSearch/SN74AS850ADW/page-1", "SN74AS850ADW")</f>
        <v>SN74AS850ADW</v>
      </c>
      <c r="B25132" s="3" t="s">
        <v>90</v>
      </c>
      <c r="C25132" s="5">
        <v>320</v>
      </c>
      <c r="D25132" s="6">
        <v>27.18</v>
      </c>
    </row>
    <row r="25133" spans="1:4" x14ac:dyDescent="0.25">
      <c r="A25133" t="str">
        <f>HYPERLINK("https://www.773grp.com/globalSearch/M38510-00105BDA/page-1", "M38510-00105BDA")</f>
        <v>M38510-00105BDA</v>
      </c>
      <c r="B25133" s="3" t="s">
        <v>90</v>
      </c>
      <c r="C25133" s="5">
        <v>3</v>
      </c>
      <c r="D25133" s="6">
        <v>27.2</v>
      </c>
    </row>
    <row r="25134" spans="1:4" x14ac:dyDescent="0.25">
      <c r="A25134" t="str">
        <f>HYPERLINK("https://www.773grp.com/globalSearch/UC1526J883B/page-1", "UC1526J883B")</f>
        <v>UC1526J883B</v>
      </c>
      <c r="B25134" s="3" t="s">
        <v>90</v>
      </c>
      <c r="C25134" s="5">
        <v>29</v>
      </c>
      <c r="D25134" s="6">
        <v>27.25</v>
      </c>
    </row>
    <row r="25135" spans="1:4" x14ac:dyDescent="0.25">
      <c r="A25135" t="str">
        <f>HYPERLINK("https://www.773grp.com/globalSearch/TAS3218IPZP/page-1", "TAS3218IPZP")</f>
        <v>TAS3218IPZP</v>
      </c>
      <c r="B25135" s="3" t="s">
        <v>90</v>
      </c>
      <c r="C25135" s="5">
        <v>180</v>
      </c>
      <c r="D25135" s="6">
        <v>27.29</v>
      </c>
    </row>
    <row r="25136" spans="1:4" x14ac:dyDescent="0.25">
      <c r="A25136" t="str">
        <f>HYPERLINK("https://www.773grp.com/globalSearch/TMS320F28069UPZPS/page-1", "TMS320F28069UPZPS")</f>
        <v>TMS320F28069UPZPS</v>
      </c>
      <c r="B25136" s="3" t="s">
        <v>90</v>
      </c>
      <c r="C25136" s="5">
        <v>556</v>
      </c>
      <c r="D25136" s="6">
        <v>27.29</v>
      </c>
    </row>
    <row r="25137" spans="1:4" x14ac:dyDescent="0.25">
      <c r="A25137" t="str">
        <f>HYPERLINK("https://www.773grp.com/globalSearch/PT5101M/page-1", "PT5101M")</f>
        <v>PT5101M</v>
      </c>
      <c r="B25137" s="3" t="s">
        <v>90</v>
      </c>
      <c r="C25137" s="5">
        <v>6</v>
      </c>
      <c r="D25137" s="6">
        <v>27.3</v>
      </c>
    </row>
    <row r="25138" spans="1:4" x14ac:dyDescent="0.25">
      <c r="A25138" t="str">
        <f>HYPERLINK("https://www.773grp.com/globalSearch/SN20596W/page-1", "SN20596W")</f>
        <v>SN20596W</v>
      </c>
      <c r="B25138" s="3" t="str">
        <f>HYPERLINK("https://www.773grp.com/manufacturer/texas-instruments?pageNo=11", "Texas Instruments")</f>
        <v>Texas Instruments</v>
      </c>
      <c r="C25138" s="5">
        <v>72</v>
      </c>
      <c r="D25138" s="6">
        <v>27.43</v>
      </c>
    </row>
    <row r="25139" spans="1:4" x14ac:dyDescent="0.25">
      <c r="A25139" t="str">
        <f>HYPERLINK("https://www.773grp.com/globalSearch/SNJ55119FK/page-1", "SNJ55119FK")</f>
        <v>SNJ55119FK</v>
      </c>
      <c r="B25139" s="3" t="str">
        <f>HYPERLINK("https://www.773grp.com/manufacturer/texas-instruments?pageNo=13", "Texas Instruments")</f>
        <v>Texas Instruments</v>
      </c>
      <c r="C25139" s="5">
        <v>161</v>
      </c>
      <c r="D25139" s="6">
        <v>27.43</v>
      </c>
    </row>
    <row r="25140" spans="1:4" x14ac:dyDescent="0.25">
      <c r="A25140" t="str">
        <f>HYPERLINK("https://www.773grp.com/globalSearch/TL751M05MJGB/page-1", "TL751M05MJGB")</f>
        <v>TL751M05MJGB</v>
      </c>
      <c r="B25140" s="3" t="str">
        <f>HYPERLINK("https://www.773grp.com/manufacturer/texas-instruments?pageNo=15", "Texas Instruments")</f>
        <v>Texas Instruments</v>
      </c>
      <c r="C25140" s="5">
        <v>297</v>
      </c>
      <c r="D25140" s="6">
        <v>27.43</v>
      </c>
    </row>
    <row r="25141" spans="1:4" x14ac:dyDescent="0.25">
      <c r="A25141" t="str">
        <f>HYPERLINK("https://www.773grp.com/globalSearch/TL751M12MJGB/page-1", "TL751M12MJGB")</f>
        <v>TL751M12MJGB</v>
      </c>
      <c r="B25141" s="3" t="str">
        <f>HYPERLINK("https://www.773grp.com/manufacturer/texas-instruments?pageNo=16", "Texas Instruments")</f>
        <v>Texas Instruments</v>
      </c>
      <c r="C25141" s="5">
        <v>120</v>
      </c>
      <c r="D25141" s="6">
        <v>27.43</v>
      </c>
    </row>
    <row r="25142" spans="1:4" x14ac:dyDescent="0.25">
      <c r="A25142" t="str">
        <f>HYPERLINK("https://www.773grp.com/globalSearch/LM3S6918-IQC50-A2/page-1", "LM3S6918-IQC50-A2")</f>
        <v>LM3S6918-IQC50-A2</v>
      </c>
      <c r="B25142" s="3" t="str">
        <f>HYPERLINK("https://www.773grp.com/manufacturer/texas-instruments?pageNo=24", "Texas Instruments")</f>
        <v>Texas Instruments</v>
      </c>
      <c r="C25142" s="5">
        <v>70</v>
      </c>
      <c r="D25142" s="6">
        <v>27.45</v>
      </c>
    </row>
    <row r="25143" spans="1:4" x14ac:dyDescent="0.25">
      <c r="A25143" t="str">
        <f>HYPERLINK("https://www.773grp.com/globalSearch/D11579PGJ/page-1", "D11579PGJ")</f>
        <v>D11579PGJ</v>
      </c>
      <c r="B25143" s="3" t="str">
        <f>HYPERLINK("https://www.773grp.com/manufacturer/texas-instruments?pageNo=32", "Texas Instruments")</f>
        <v>Texas Instruments</v>
      </c>
      <c r="C25143" s="5">
        <v>144</v>
      </c>
      <c r="D25143" s="6">
        <v>27.56</v>
      </c>
    </row>
    <row r="25144" spans="1:4" x14ac:dyDescent="0.25">
      <c r="A25144" t="str">
        <f>HYPERLINK("https://www.773grp.com/globalSearch/PTH12060WAG/page-1", "PTH12060WAG")</f>
        <v>PTH12060WAG</v>
      </c>
      <c r="B25144" s="3" t="str">
        <f>HYPERLINK("https://www.773grp.com/manufacturer/texas-instruments?pageNo=33", "Texas Instruments")</f>
        <v>Texas Instruments</v>
      </c>
      <c r="C25144" s="5">
        <v>504</v>
      </c>
      <c r="D25144" s="6">
        <v>27.56</v>
      </c>
    </row>
    <row r="25145" spans="1:4" x14ac:dyDescent="0.25">
      <c r="A25145" t="str">
        <f>HYPERLINK("https://www.773grp.com/globalSearch/CD54HC123F3A/page-1", "CD54HC123F3A")</f>
        <v>CD54HC123F3A</v>
      </c>
      <c r="B25145" s="3" t="str">
        <f>HYPERLINK("https://www.773grp.com/manufacturer/texas-instruments?pageNo=39", "Texas Instruments")</f>
        <v>Texas Instruments</v>
      </c>
      <c r="C25145" s="5">
        <v>46</v>
      </c>
      <c r="D25145" s="6">
        <v>27.59</v>
      </c>
    </row>
    <row r="25146" spans="1:4" x14ac:dyDescent="0.25">
      <c r="A25146" t="str">
        <f>HYPERLINK("https://www.773grp.com/globalSearch/TMX320F28069UPFPA/page-1", "TMX320F28069UPFPA")</f>
        <v>TMX320F28069UPFPA</v>
      </c>
      <c r="B25146" s="3" t="str">
        <f>HYPERLINK("https://www.773grp.com/manufacturer/texas-instruments?pageNo=50", "Texas Instruments")</f>
        <v>Texas Instruments</v>
      </c>
      <c r="C25146" s="5">
        <v>5485</v>
      </c>
      <c r="D25146" s="6">
        <v>27.71</v>
      </c>
    </row>
    <row r="25147" spans="1:4" x14ac:dyDescent="0.25">
      <c r="A25147" t="str">
        <f>HYPERLINK("https://www.773grp.com/globalSearch/PPCI2040GGU/page-1", "PPCI2040GGU")</f>
        <v>PPCI2040GGU</v>
      </c>
      <c r="B25147" s="3" t="str">
        <f>HYPERLINK("https://www.773grp.com/manufacturer/texas-instruments?pageNo=55", "Texas Instruments")</f>
        <v>Texas Instruments</v>
      </c>
      <c r="C25147" s="5">
        <v>946</v>
      </c>
      <c r="D25147" s="6">
        <v>27.73</v>
      </c>
    </row>
    <row r="25148" spans="1:4" x14ac:dyDescent="0.25">
      <c r="A25148" t="str">
        <f>HYPERLINK("https://www.773grp.com/globalSearch/TNETE2201APJH/page-1", "TNETE2201APJH")</f>
        <v>TNETE2201APJH</v>
      </c>
      <c r="B25148" s="3" t="str">
        <f>HYPERLINK("https://www.773grp.com/manufacturer/texas-instruments?pageNo=59", "Texas Instruments")</f>
        <v>Texas Instruments</v>
      </c>
      <c r="C25148" s="5">
        <v>910</v>
      </c>
      <c r="D25148" s="6">
        <v>27.73</v>
      </c>
    </row>
    <row r="25149" spans="1:4" x14ac:dyDescent="0.25">
      <c r="A25149" t="str">
        <f>HYPERLINK("https://www.773grp.com/globalSearch/5962-8670404PA/page-1", "5962-8670404PA")</f>
        <v>5962-8670404PA</v>
      </c>
      <c r="B25149" s="3" t="str">
        <f>HYPERLINK("https://www.773grp.com/manufacturer/texas-instruments?pageNo=60", "Texas Instruments")</f>
        <v>Texas Instruments</v>
      </c>
      <c r="C25149" s="5">
        <v>43</v>
      </c>
      <c r="D25149" s="6">
        <v>27.76</v>
      </c>
    </row>
    <row r="25150" spans="1:4" x14ac:dyDescent="0.25">
      <c r="A25150" t="str">
        <f>HYPERLINK("https://www.773grp.com/globalSearch/TLV320AIC20IPFB/page-1", "TLV320AIC20IPFB")</f>
        <v>TLV320AIC20IPFB</v>
      </c>
      <c r="B25150" s="3" t="str">
        <f>HYPERLINK("https://www.773grp.com/manufacturer/texas-instruments?pageNo=64", "Texas Instruments")</f>
        <v>Texas Instruments</v>
      </c>
      <c r="C25150" s="5">
        <v>5</v>
      </c>
      <c r="D25150" s="6">
        <v>27.76</v>
      </c>
    </row>
    <row r="25151" spans="1:4" x14ac:dyDescent="0.25">
      <c r="A25151" t="str">
        <f>HYPERLINK("https://www.773grp.com/globalSearch/TVP5158PNP/page-1", "TVP5158PNP")</f>
        <v>TVP5158PNP</v>
      </c>
      <c r="B25151" s="3" t="str">
        <f>HYPERLINK("https://www.773grp.com/manufacturer/texas-instruments?pageNo=65", "Texas Instruments")</f>
        <v>Texas Instruments</v>
      </c>
      <c r="C25151" s="5">
        <v>2288</v>
      </c>
      <c r="D25151" s="6">
        <v>27.76</v>
      </c>
    </row>
    <row r="25152" spans="1:4" x14ac:dyDescent="0.25">
      <c r="A25152" t="str">
        <f>HYPERLINK("https://www.773grp.com/globalSearch/TVP5158PNPR/page-1", "TVP5158PNPR")</f>
        <v>TVP5158PNPR</v>
      </c>
      <c r="B25152" s="3" t="str">
        <f>HYPERLINK("https://www.773grp.com/manufacturer/texas-instruments?pageNo=66", "Texas Instruments")</f>
        <v>Texas Instruments</v>
      </c>
      <c r="C25152" s="5">
        <v>6112</v>
      </c>
      <c r="D25152" s="6">
        <v>27.76</v>
      </c>
    </row>
    <row r="25153" spans="1:4" x14ac:dyDescent="0.25">
      <c r="A25153" t="str">
        <f>HYPERLINK("https://www.773grp.com/globalSearch/SN20598W/page-1", "SN20598W")</f>
        <v>SN20598W</v>
      </c>
      <c r="B25153" s="3" t="str">
        <f>HYPERLINK("https://www.773grp.com/manufacturer/texas-instruments?pageNo=70", "Texas Instruments")</f>
        <v>Texas Instruments</v>
      </c>
      <c r="C25153" s="5">
        <v>1</v>
      </c>
      <c r="D25153" s="6">
        <v>27.79</v>
      </c>
    </row>
    <row r="25154" spans="1:4" x14ac:dyDescent="0.25">
      <c r="A25154" t="str">
        <f>HYPERLINK("https://www.773grp.com/globalSearch/TMS320F2802PZQ/page-1", "TMS320F2802PZQ")</f>
        <v>TMS320F2802PZQ</v>
      </c>
      <c r="B25154" s="3" t="str">
        <f>HYPERLINK("https://www.773grp.com/manufacturer/texas-instruments?pageNo=76", "Texas Instruments")</f>
        <v>Texas Instruments</v>
      </c>
      <c r="C25154" s="5">
        <v>10</v>
      </c>
      <c r="D25154" s="6">
        <v>27.81</v>
      </c>
    </row>
    <row r="25155" spans="1:4" x14ac:dyDescent="0.25">
      <c r="A25155" t="str">
        <f>HYPERLINK("https://www.773grp.com/globalSearch/DAC8574IPWG4/page-1", "DAC8574IPWG4")</f>
        <v>DAC8574IPWG4</v>
      </c>
      <c r="B25155" s="3" t="str">
        <f>HYPERLINK("https://www.773grp.com/manufacturer/texas-instruments?pageNo=81", "Texas Instruments")</f>
        <v>Texas Instruments</v>
      </c>
      <c r="C25155" s="5">
        <v>8</v>
      </c>
      <c r="D25155" s="6">
        <v>27.85</v>
      </c>
    </row>
    <row r="25156" spans="1:4" x14ac:dyDescent="0.25">
      <c r="A25156" t="str">
        <f>HYPERLINK("https://www.773grp.com/globalSearch/TACT83441PJ/page-1", "TACT83441PJ")</f>
        <v>TACT83441PJ</v>
      </c>
      <c r="B25156" s="3" t="str">
        <f>HYPERLINK("https://www.773grp.com/manufacturer/texas-instruments?pageNo=84", "Texas Instruments")</f>
        <v>Texas Instruments</v>
      </c>
      <c r="C25156" s="5">
        <v>5877</v>
      </c>
      <c r="D25156" s="6">
        <v>27.85</v>
      </c>
    </row>
    <row r="25157" spans="1:4" x14ac:dyDescent="0.25">
      <c r="A25157" t="str">
        <f>HYPERLINK("https://www.773grp.com/globalSearch/JM38510-30110BFA/page-1", "JM38510-30110BFA")</f>
        <v>JM38510-30110BFA</v>
      </c>
      <c r="B25157" s="3" t="str">
        <f>HYPERLINK("https://www.773grp.com/manufacturer/texas-instruments?pageNo=91", "Texas Instruments")</f>
        <v>Texas Instruments</v>
      </c>
      <c r="C25157" s="5">
        <v>115</v>
      </c>
      <c r="D25157" s="6">
        <v>27.96</v>
      </c>
    </row>
    <row r="25158" spans="1:4" x14ac:dyDescent="0.25">
      <c r="A25158" t="str">
        <f>HYPERLINK("https://www.773grp.com/globalSearch/SNJ5520J/page-1", "SNJ5520J")</f>
        <v>SNJ5520J</v>
      </c>
      <c r="B25158" s="3" t="str">
        <f>HYPERLINK("https://www.773grp.com/manufacturer/texas-instruments?pageNo=96", "Texas Instruments")</f>
        <v>Texas Instruments</v>
      </c>
      <c r="C25158" s="5">
        <v>381</v>
      </c>
      <c r="D25158" s="6">
        <v>27.96</v>
      </c>
    </row>
    <row r="25159" spans="1:4" x14ac:dyDescent="0.25">
      <c r="A25159" t="str">
        <f>HYPERLINK("https://www.773grp.com/globalSearch/SNJ55236WC/page-1", "SNJ55236WC")</f>
        <v>SNJ55236WC</v>
      </c>
      <c r="B25159" s="3" t="str">
        <f>HYPERLINK("https://www.773grp.com/manufacturer/texas-instruments?pageNo=97", "Texas Instruments")</f>
        <v>Texas Instruments</v>
      </c>
      <c r="C25159" s="5">
        <v>596</v>
      </c>
      <c r="D25159" s="6">
        <v>27.96</v>
      </c>
    </row>
    <row r="25160" spans="1:4" x14ac:dyDescent="0.25">
      <c r="A25160" t="str">
        <f>HYPERLINK("https://www.773grp.com/globalSearch/ADS8363SRHBR/page-1", "ADS8363SRHBR")</f>
        <v>ADS8363SRHBR</v>
      </c>
      <c r="B25160" s="3" t="str">
        <f>HYPERLINK("https://www.773grp.com/manufacturer/texas-instruments?pageNo=100", "Texas Instruments")</f>
        <v>Texas Instruments</v>
      </c>
      <c r="C25160" s="5">
        <v>3000</v>
      </c>
      <c r="D25160" s="6">
        <v>27.98</v>
      </c>
    </row>
    <row r="25161" spans="1:4" x14ac:dyDescent="0.25">
      <c r="A25161" t="str">
        <f>HYPERLINK("https://www.773grp.com/globalSearch/LMH0044SQ-NOPB/page-1", "LMH0044SQ-NOPB")</f>
        <v>LMH0044SQ-NOPB</v>
      </c>
      <c r="B25161" s="3" t="str">
        <f>HYPERLINK("https://www.773grp.com/manufacturer/texas-instruments?pageNo=106", "Texas Instruments")</f>
        <v>Texas Instruments</v>
      </c>
      <c r="C25161" s="5">
        <v>1000</v>
      </c>
      <c r="D25161" s="6">
        <v>27.98</v>
      </c>
    </row>
    <row r="25162" spans="1:4" x14ac:dyDescent="0.25">
      <c r="A25162" t="str">
        <f>HYPERLINK("https://www.773grp.com/globalSearch/EK-LM4F120XL/page-1", "EK-LM4F120XL")</f>
        <v>EK-LM4F120XL</v>
      </c>
      <c r="B25162" s="3" t="str">
        <f>HYPERLINK("https://www.773grp.com/manufacturer/texas-instruments?pageNo=123", "Texas Instruments")</f>
        <v>Texas Instruments</v>
      </c>
      <c r="C25162" s="5">
        <v>122</v>
      </c>
      <c r="D25162" s="6">
        <v>28.1</v>
      </c>
    </row>
    <row r="25163" spans="1:4" x14ac:dyDescent="0.25">
      <c r="A25163" t="str">
        <f>HYPERLINK("https://www.773grp.com/globalSearch/MSP-EXP430G2/page-1", "MSP-EXP430G2")</f>
        <v>MSP-EXP430G2</v>
      </c>
      <c r="B25163" s="3" t="str">
        <f>HYPERLINK("https://www.773grp.com/manufacturer/texas-instruments?pageNo=126", "Texas Instruments")</f>
        <v>Texas Instruments</v>
      </c>
      <c r="C25163" s="5">
        <v>57</v>
      </c>
      <c r="D25163" s="6">
        <v>28.1</v>
      </c>
    </row>
    <row r="25164" spans="1:4" x14ac:dyDescent="0.25">
      <c r="A25164" t="str">
        <f>HYPERLINK("https://www.773grp.com/globalSearch/34P3410DCA/page-1", "34P3410DCA")</f>
        <v>34P3410DCA</v>
      </c>
      <c r="B25164" s="3" t="str">
        <f>HYPERLINK("https://www.773grp.com/manufacturer/texas-instruments?pageNo=129", "Texas Instruments")</f>
        <v>Texas Instruments</v>
      </c>
      <c r="C25164" s="5">
        <v>8224</v>
      </c>
      <c r="D25164" s="6">
        <v>28.13</v>
      </c>
    </row>
    <row r="25165" spans="1:4" x14ac:dyDescent="0.25">
      <c r="A25165" t="str">
        <f>HYPERLINK("https://www.773grp.com/globalSearch/34P3410DCAR/page-1", "34P3410DCAR")</f>
        <v>34P3410DCAR</v>
      </c>
      <c r="B25165" s="3" t="str">
        <f>HYPERLINK("https://www.773grp.com/manufacturer/texas-instruments?pageNo=130", "Texas Instruments")</f>
        <v>Texas Instruments</v>
      </c>
      <c r="C25165" s="5">
        <v>1219</v>
      </c>
      <c r="D25165" s="6">
        <v>28.13</v>
      </c>
    </row>
    <row r="25166" spans="1:4" x14ac:dyDescent="0.25">
      <c r="A25166" t="str">
        <f>HYPERLINK("https://www.773grp.com/globalSearch/430BOOST-SENSE1/page-1", "430BOOST-SENSE1")</f>
        <v>430BOOST-SENSE1</v>
      </c>
      <c r="B25166" s="3" t="str">
        <f>HYPERLINK("https://www.773grp.com/manufacturer/texas-instruments?pageNo=131", "Texas Instruments")</f>
        <v>Texas Instruments</v>
      </c>
      <c r="C25166" s="5">
        <v>124</v>
      </c>
      <c r="D25166" s="6">
        <v>28.13</v>
      </c>
    </row>
    <row r="25167" spans="1:4" x14ac:dyDescent="0.25">
      <c r="A25167" t="str">
        <f>HYPERLINK("https://www.773grp.com/globalSearch/551600437-001-NOPB/page-1", "551600437-001-NOPB")</f>
        <v>551600437-001-NOPB</v>
      </c>
      <c r="B25167" s="3" t="str">
        <f>HYPERLINK("https://www.773grp.com/manufacturer/texas-instruments?pageNo=132", "Texas Instruments")</f>
        <v>Texas Instruments</v>
      </c>
      <c r="C25167" s="5">
        <v>4</v>
      </c>
      <c r="D25167" s="6">
        <v>28.13</v>
      </c>
    </row>
    <row r="25168" spans="1:4" x14ac:dyDescent="0.25">
      <c r="A25168" t="str">
        <f>HYPERLINK("https://www.773grp.com/globalSearch/74ALVCH16524DLR/page-1", "74ALVCH16524DLR")</f>
        <v>74ALVCH16524DLR</v>
      </c>
      <c r="B25168" s="3" t="str">
        <f>HYPERLINK("https://www.773grp.com/manufacturer/texas-instruments?pageNo=133", "Texas Instruments")</f>
        <v>Texas Instruments</v>
      </c>
      <c r="C25168" s="5">
        <v>4500</v>
      </c>
      <c r="D25168" s="6">
        <v>28.13</v>
      </c>
    </row>
    <row r="25169" spans="1:4" x14ac:dyDescent="0.25">
      <c r="A25169" t="str">
        <f>HYPERLINK("https://www.773grp.com/globalSearch/ADS8341EBG4/page-1", "ADS8341EBG4")</f>
        <v>ADS8341EBG4</v>
      </c>
      <c r="B25169" s="3" t="str">
        <f>HYPERLINK("https://www.773grp.com/manufacturer/texas-instruments?pageNo=134", "Texas Instruments")</f>
        <v>Texas Instruments</v>
      </c>
      <c r="C25169" s="5">
        <v>6</v>
      </c>
      <c r="D25169" s="6">
        <v>28.13</v>
      </c>
    </row>
    <row r="25170" spans="1:4" x14ac:dyDescent="0.25">
      <c r="A25170" t="str">
        <f>HYPERLINK("https://www.773grp.com/globalSearch/CDC7005RGZR/page-1", "CDC7005RGZR")</f>
        <v>CDC7005RGZR</v>
      </c>
      <c r="B25170" s="3" t="str">
        <f>HYPERLINK("https://www.773grp.com/manufacturer/texas-instruments?pageNo=136", "Texas Instruments")</f>
        <v>Texas Instruments</v>
      </c>
      <c r="C25170" s="5">
        <v>7495</v>
      </c>
      <c r="D25170" s="6">
        <v>28.13</v>
      </c>
    </row>
    <row r="25171" spans="1:4" x14ac:dyDescent="0.25">
      <c r="A25171" t="str">
        <f>HYPERLINK("https://www.773grp.com/globalSearch/ISO124U/page-1", "ISO124U")</f>
        <v>ISO124U</v>
      </c>
      <c r="B25171" s="3" t="str">
        <f>HYPERLINK("https://www.773grp.com/manufacturer/texas-instruments?pageNo=139", "Texas Instruments")</f>
        <v>Texas Instruments</v>
      </c>
      <c r="C25171" s="5">
        <v>200</v>
      </c>
      <c r="D25171" s="6">
        <v>28.13</v>
      </c>
    </row>
    <row r="25172" spans="1:4" x14ac:dyDescent="0.25">
      <c r="A25172" t="str">
        <f>HYPERLINK("https://www.773grp.com/globalSearch/MPSTIBPAL22V10-15/page-1", "MPSTIBPAL22V10-15")</f>
        <v>MPSTIBPAL22V10-15</v>
      </c>
      <c r="B25172" s="3" t="str">
        <f>HYPERLINK("https://www.773grp.com/manufacturer/texas-instruments?pageNo=140", "Texas Instruments")</f>
        <v>Texas Instruments</v>
      </c>
      <c r="C25172" s="5">
        <v>749</v>
      </c>
      <c r="D25172" s="6">
        <v>28.13</v>
      </c>
    </row>
    <row r="25173" spans="1:4" x14ac:dyDescent="0.25">
      <c r="A25173" t="str">
        <f>HYPERLINK("https://www.773grp.com/globalSearch/MSP430P325QPG/page-1", "MSP430P325QPG")</f>
        <v>MSP430P325QPG</v>
      </c>
      <c r="B25173" s="3" t="str">
        <f>HYPERLINK("https://www.773grp.com/manufacturer/texas-instruments?pageNo=141", "Texas Instruments")</f>
        <v>Texas Instruments</v>
      </c>
      <c r="C25173" s="5">
        <v>17</v>
      </c>
      <c r="D25173" s="6">
        <v>28.13</v>
      </c>
    </row>
    <row r="25174" spans="1:4" x14ac:dyDescent="0.25">
      <c r="A25174" t="str">
        <f>HYPERLINK("https://www.773grp.com/globalSearch/TL051MLB/page-1", "TL051MLB")</f>
        <v>TL051MLB</v>
      </c>
      <c r="B25174" s="3" t="str">
        <f>HYPERLINK("https://www.773grp.com/manufacturer/texas-instruments?pageNo=142", "Texas Instruments")</f>
        <v>Texas Instruments</v>
      </c>
      <c r="C25174" s="5">
        <v>836</v>
      </c>
      <c r="D25174" s="6">
        <v>28.13</v>
      </c>
    </row>
    <row r="25175" spans="1:4" x14ac:dyDescent="0.25">
      <c r="A25175" t="str">
        <f>HYPERLINK("https://www.773grp.com/globalSearch/TLC34074-135FN/page-1", "TLC34074-135FN")</f>
        <v>TLC34074-135FN</v>
      </c>
      <c r="B25175" s="3" t="str">
        <f>HYPERLINK("https://www.773grp.com/manufacturer/texas-instruments?pageNo=143", "Texas Instruments")</f>
        <v>Texas Instruments</v>
      </c>
      <c r="C25175" s="5">
        <v>150</v>
      </c>
      <c r="D25175" s="6">
        <v>28.13</v>
      </c>
    </row>
    <row r="25176" spans="1:4" x14ac:dyDescent="0.25">
      <c r="A25176" t="str">
        <f>HYPERLINK("https://www.773grp.com/globalSearch/TMS1024AN/page-1", "TMS1024AN")</f>
        <v>TMS1024AN</v>
      </c>
      <c r="B25176" s="3" t="str">
        <f>HYPERLINK("https://www.773grp.com/manufacturer/texas-instruments?pageNo=147", "Texas Instruments")</f>
        <v>Texas Instruments</v>
      </c>
      <c r="C25176" s="5">
        <v>2578</v>
      </c>
      <c r="D25176" s="6">
        <v>28.13</v>
      </c>
    </row>
    <row r="25177" spans="1:4" x14ac:dyDescent="0.25">
      <c r="A25177" t="str">
        <f>HYPERLINK("https://www.773grp.com/globalSearch/TMS320AV7111GFN/page-1", "TMS320AV7111GFN")</f>
        <v>TMS320AV7111GFN</v>
      </c>
      <c r="B25177" s="3" t="str">
        <f>HYPERLINK("https://www.773grp.com/manufacturer/texas-instruments?pageNo=148", "Texas Instruments")</f>
        <v>Texas Instruments</v>
      </c>
      <c r="C25177" s="5">
        <v>449</v>
      </c>
      <c r="D25177" s="6">
        <v>28.13</v>
      </c>
    </row>
    <row r="25178" spans="1:4" x14ac:dyDescent="0.25">
      <c r="A25178" t="str">
        <f>HYPERLINK("https://www.773grp.com/globalSearch/TMS3705ADR/page-1", "TMS3705ADR")</f>
        <v>TMS3705ADR</v>
      </c>
      <c r="B25178" s="3" t="str">
        <f>HYPERLINK("https://www.773grp.com/manufacturer/texas-instruments?pageNo=150", "Texas Instruments")</f>
        <v>Texas Instruments</v>
      </c>
      <c r="C25178" s="5">
        <v>1635</v>
      </c>
      <c r="D25178" s="6">
        <v>28.13</v>
      </c>
    </row>
    <row r="25179" spans="1:4" x14ac:dyDescent="0.25">
      <c r="A25179" t="str">
        <f>HYPERLINK("https://www.773grp.com/globalSearch/TMS3705DR/page-1", "TMS3705DR")</f>
        <v>TMS3705DR</v>
      </c>
      <c r="B25179" s="3" t="str">
        <f>HYPERLINK("https://www.773grp.com/manufacturer/texas-instruments?pageNo=151", "Texas Instruments")</f>
        <v>Texas Instruments</v>
      </c>
      <c r="C25179" s="5">
        <v>5800</v>
      </c>
      <c r="D25179" s="6">
        <v>28.13</v>
      </c>
    </row>
    <row r="25180" spans="1:4" x14ac:dyDescent="0.25">
      <c r="A25180" t="str">
        <f>HYPERLINK("https://www.773grp.com/globalSearch/TMS470R1A384PGEQ/page-1", "TMS470R1A384PGEQ")</f>
        <v>TMS470R1A384PGEQ</v>
      </c>
      <c r="B25180" s="3" t="str">
        <f>HYPERLINK("https://www.773grp.com/manufacturer/texas-instruments?pageNo=152", "Texas Instruments")</f>
        <v>Texas Instruments</v>
      </c>
      <c r="C25180" s="5">
        <v>2011</v>
      </c>
      <c r="D25180" s="6">
        <v>28.13</v>
      </c>
    </row>
    <row r="25181" spans="1:4" x14ac:dyDescent="0.25">
      <c r="A25181" t="str">
        <f>HYPERLINK("https://www.773grp.com/globalSearch/TNETD2300PCM/page-1", "TNETD2300PCM")</f>
        <v>TNETD2300PCM</v>
      </c>
      <c r="B25181" s="3" t="str">
        <f>HYPERLINK("https://www.773grp.com/manufacturer/texas-instruments?pageNo=153", "Texas Instruments")</f>
        <v>Texas Instruments</v>
      </c>
      <c r="C25181" s="5">
        <v>92929</v>
      </c>
      <c r="D25181" s="6">
        <v>28.13</v>
      </c>
    </row>
    <row r="25182" spans="1:4" x14ac:dyDescent="0.25">
      <c r="A25182" t="str">
        <f>HYPERLINK("https://www.773grp.com/globalSearch/TPS2113AEVM-061/page-1", "TPS2113AEVM-061")</f>
        <v>TPS2113AEVM-061</v>
      </c>
      <c r="B25182" s="3" t="str">
        <f>HYPERLINK("https://www.773grp.com/manufacturer/texas-instruments?pageNo=154", "Texas Instruments")</f>
        <v>Texas Instruments</v>
      </c>
      <c r="C25182" s="5">
        <v>2</v>
      </c>
      <c r="D25182" s="6">
        <v>28.13</v>
      </c>
    </row>
    <row r="25183" spans="1:4" x14ac:dyDescent="0.25">
      <c r="A25183" t="str">
        <f>HYPERLINK("https://www.773grp.com/globalSearch/TPS2115AEVM-061/page-1", "TPS2115AEVM-061")</f>
        <v>TPS2115AEVM-061</v>
      </c>
      <c r="B25183" s="3" t="str">
        <f>HYPERLINK("https://www.773grp.com/manufacturer/texas-instruments?pageNo=155", "Texas Instruments")</f>
        <v>Texas Instruments</v>
      </c>
      <c r="C25183" s="5">
        <v>1</v>
      </c>
      <c r="D25183" s="6">
        <v>28.13</v>
      </c>
    </row>
    <row r="25184" spans="1:4" x14ac:dyDescent="0.25">
      <c r="A25184" t="str">
        <f>HYPERLINK("https://www.773grp.com/globalSearch/TPS5430EVM-173/page-1", "TPS5430EVM-173")</f>
        <v>TPS5430EVM-173</v>
      </c>
      <c r="B25184" s="3" t="str">
        <f>HYPERLINK("https://www.773grp.com/manufacturer/texas-instruments?pageNo=156", "Texas Instruments")</f>
        <v>Texas Instruments</v>
      </c>
      <c r="C25184" s="5">
        <v>31</v>
      </c>
      <c r="D25184" s="6">
        <v>28.13</v>
      </c>
    </row>
    <row r="25185" spans="1:4" x14ac:dyDescent="0.25">
      <c r="A25185" t="str">
        <f>HYPERLINK("https://www.773grp.com/globalSearch/TPS54314EVM/page-1", "TPS54314EVM")</f>
        <v>TPS54314EVM</v>
      </c>
      <c r="B25185" s="3" t="str">
        <f>HYPERLINK("https://www.773grp.com/manufacturer/texas-instruments?pageNo=157", "Texas Instruments")</f>
        <v>Texas Instruments</v>
      </c>
      <c r="C25185" s="5">
        <v>4</v>
      </c>
      <c r="D25185" s="6">
        <v>28.13</v>
      </c>
    </row>
    <row r="25186" spans="1:4" x14ac:dyDescent="0.25">
      <c r="A25186" t="str">
        <f>HYPERLINK("https://www.773grp.com/globalSearch/TPS54317EVM-159/page-1", "TPS54317EVM-159")</f>
        <v>TPS54317EVM-159</v>
      </c>
      <c r="B25186" s="3" t="str">
        <f>HYPERLINK("https://www.773grp.com/manufacturer/texas-instruments?pageNo=158", "Texas Instruments")</f>
        <v>Texas Instruments</v>
      </c>
      <c r="C25186" s="5">
        <v>13</v>
      </c>
      <c r="D25186" s="6">
        <v>28.13</v>
      </c>
    </row>
    <row r="25187" spans="1:4" x14ac:dyDescent="0.25">
      <c r="A25187" t="str">
        <f>HYPERLINK("https://www.773grp.com/globalSearch/TPS5431EVM-173/page-1", "TPS5431EVM-173")</f>
        <v>TPS5431EVM-173</v>
      </c>
      <c r="B25187" s="3" t="str">
        <f>HYPERLINK("https://www.773grp.com/manufacturer/texas-instruments?pageNo=159", "Texas Instruments")</f>
        <v>Texas Instruments</v>
      </c>
      <c r="C25187" s="5">
        <v>5</v>
      </c>
      <c r="D25187" s="6">
        <v>28.13</v>
      </c>
    </row>
    <row r="25188" spans="1:4" x14ac:dyDescent="0.25">
      <c r="A25188" t="str">
        <f>HYPERLINK("https://www.773grp.com/globalSearch/TPS54350EVM-235/page-1", "TPS54350EVM-235")</f>
        <v>TPS54350EVM-235</v>
      </c>
      <c r="B25188" s="3" t="str">
        <f>HYPERLINK("https://www.773grp.com/manufacturer/texas-instruments?pageNo=160", "Texas Instruments")</f>
        <v>Texas Instruments</v>
      </c>
      <c r="C25188" s="5">
        <v>1</v>
      </c>
      <c r="D25188" s="6">
        <v>28.13</v>
      </c>
    </row>
    <row r="25189" spans="1:4" x14ac:dyDescent="0.25">
      <c r="A25189" t="str">
        <f>HYPERLINK("https://www.773grp.com/globalSearch/TPS54356EVM-058/page-1", "TPS54356EVM-058")</f>
        <v>TPS54356EVM-058</v>
      </c>
      <c r="B25189" s="3" t="str">
        <f>HYPERLINK("https://www.773grp.com/manufacturer/texas-instruments?pageNo=161", "Texas Instruments")</f>
        <v>Texas Instruments</v>
      </c>
      <c r="C25189" s="5">
        <v>28</v>
      </c>
      <c r="D25189" s="6">
        <v>28.13</v>
      </c>
    </row>
    <row r="25190" spans="1:4" x14ac:dyDescent="0.25">
      <c r="A25190" t="str">
        <f>HYPERLINK("https://www.773grp.com/globalSearch/TPS54373EVM-237/page-1", "TPS54373EVM-237")</f>
        <v>TPS54373EVM-237</v>
      </c>
      <c r="B25190" s="3" t="str">
        <f>HYPERLINK("https://www.773grp.com/manufacturer/texas-instruments?pageNo=162", "Texas Instruments")</f>
        <v>Texas Instruments</v>
      </c>
      <c r="C25190" s="5">
        <v>1</v>
      </c>
      <c r="D25190" s="6">
        <v>28.13</v>
      </c>
    </row>
    <row r="25191" spans="1:4" x14ac:dyDescent="0.25">
      <c r="A25191" t="str">
        <f>HYPERLINK("https://www.773grp.com/globalSearch/TPS54380EVM-001/page-1", "TPS54380EVM-001")</f>
        <v>TPS54380EVM-001</v>
      </c>
      <c r="B25191" s="3" t="str">
        <f>HYPERLINK("https://www.773grp.com/manufacturer/texas-instruments?pageNo=163", "Texas Instruments")</f>
        <v>Texas Instruments</v>
      </c>
      <c r="C25191" s="5">
        <v>1</v>
      </c>
      <c r="D25191" s="6">
        <v>28.13</v>
      </c>
    </row>
    <row r="25192" spans="1:4" x14ac:dyDescent="0.25">
      <c r="A25192" t="str">
        <f>HYPERLINK("https://www.773grp.com/globalSearch/TPS54614EVM-183/page-1", "TPS54614EVM-183")</f>
        <v>TPS54614EVM-183</v>
      </c>
      <c r="B25192" s="3" t="str">
        <f>HYPERLINK("https://www.773grp.com/manufacturer/texas-instruments?pageNo=164", "Texas Instruments")</f>
        <v>Texas Instruments</v>
      </c>
      <c r="C25192" s="5">
        <v>4</v>
      </c>
      <c r="D25192" s="6">
        <v>28.13</v>
      </c>
    </row>
    <row r="25193" spans="1:4" x14ac:dyDescent="0.25">
      <c r="A25193" t="str">
        <f>HYPERLINK("https://www.773grp.com/globalSearch/TPS54672EVM-222/page-1", "TPS54672EVM-222")</f>
        <v>TPS54672EVM-222</v>
      </c>
      <c r="B25193" s="3" t="str">
        <f>HYPERLINK("https://www.773grp.com/manufacturer/texas-instruments?pageNo=165", "Texas Instruments")</f>
        <v>Texas Instruments</v>
      </c>
      <c r="C25193" s="5">
        <v>1</v>
      </c>
      <c r="D25193" s="6">
        <v>28.13</v>
      </c>
    </row>
    <row r="25194" spans="1:4" x14ac:dyDescent="0.25">
      <c r="A25194" t="str">
        <f>HYPERLINK("https://www.773grp.com/globalSearch/TPS54673EVM/page-1", "TPS54673EVM")</f>
        <v>TPS54673EVM</v>
      </c>
      <c r="B25194" s="3" t="str">
        <f>HYPERLINK("https://www.773grp.com/manufacturer/texas-instruments?pageNo=166", "Texas Instruments")</f>
        <v>Texas Instruments</v>
      </c>
      <c r="C25194" s="5">
        <v>1</v>
      </c>
      <c r="D25194" s="6">
        <v>28.13</v>
      </c>
    </row>
    <row r="25195" spans="1:4" x14ac:dyDescent="0.25">
      <c r="A25195" t="str">
        <f>HYPERLINK("https://www.773grp.com/globalSearch/TPS54810EVM-213/page-1", "TPS54810EVM-213")</f>
        <v>TPS54810EVM-213</v>
      </c>
      <c r="B25195" s="3" t="str">
        <f>HYPERLINK("https://www.773grp.com/manufacturer/texas-instruments?pageNo=167", "Texas Instruments")</f>
        <v>Texas Instruments</v>
      </c>
      <c r="C25195" s="5">
        <v>1</v>
      </c>
      <c r="D25195" s="6">
        <v>28.13</v>
      </c>
    </row>
    <row r="25196" spans="1:4" x14ac:dyDescent="0.25">
      <c r="A25196" t="str">
        <f>HYPERLINK("https://www.773grp.com/globalSearch/TPS54872EVM-222/page-1", "TPS54872EVM-222")</f>
        <v>TPS54872EVM-222</v>
      </c>
      <c r="B25196" s="3" t="str">
        <f>HYPERLINK("https://www.773grp.com/manufacturer/texas-instruments?pageNo=168", "Texas Instruments")</f>
        <v>Texas Instruments</v>
      </c>
      <c r="C25196" s="5">
        <v>6</v>
      </c>
      <c r="D25196" s="6">
        <v>28.13</v>
      </c>
    </row>
    <row r="25197" spans="1:4" x14ac:dyDescent="0.25">
      <c r="A25197" t="str">
        <f>HYPERLINK("https://www.773grp.com/globalSearch/TPS54873EVM/page-1", "TPS54873EVM")</f>
        <v>TPS54873EVM</v>
      </c>
      <c r="B25197" s="3" t="str">
        <f>HYPERLINK("https://www.773grp.com/manufacturer/texas-instruments?pageNo=169", "Texas Instruments")</f>
        <v>Texas Instruments</v>
      </c>
      <c r="C25197" s="5">
        <v>1</v>
      </c>
      <c r="D25197" s="6">
        <v>28.13</v>
      </c>
    </row>
    <row r="25198" spans="1:4" x14ac:dyDescent="0.25">
      <c r="A25198" t="str">
        <f>HYPERLINK("https://www.773grp.com/globalSearch/TPS54910EVM-213/page-1", "TPS54910EVM-213")</f>
        <v>TPS54910EVM-213</v>
      </c>
      <c r="B25198" s="3" t="str">
        <f>HYPERLINK("https://www.773grp.com/manufacturer/texas-instruments?pageNo=170", "Texas Instruments")</f>
        <v>Texas Instruments</v>
      </c>
      <c r="C25198" s="5">
        <v>1</v>
      </c>
      <c r="D25198" s="6">
        <v>28.13</v>
      </c>
    </row>
    <row r="25199" spans="1:4" x14ac:dyDescent="0.25">
      <c r="A25199" t="str">
        <f>HYPERLINK("https://www.773grp.com/globalSearch/TPS54973EVM-017/page-1", "TPS54973EVM-017")</f>
        <v>TPS54973EVM-017</v>
      </c>
      <c r="B25199" s="3" t="str">
        <f>HYPERLINK("https://www.773grp.com/manufacturer/texas-instruments?pageNo=171", "Texas Instruments")</f>
        <v>Texas Instruments</v>
      </c>
      <c r="C25199" s="5">
        <v>1</v>
      </c>
      <c r="D25199" s="6">
        <v>28.13</v>
      </c>
    </row>
    <row r="25200" spans="1:4" x14ac:dyDescent="0.25">
      <c r="A25200" t="str">
        <f>HYPERLINK("https://www.773grp.com/globalSearch/TPS54980EVM-022/page-1", "TPS54980EVM-022")</f>
        <v>TPS54980EVM-022</v>
      </c>
      <c r="B25200" s="3" t="str">
        <f>HYPERLINK("https://www.773grp.com/manufacturer/texas-instruments?pageNo=172", "Texas Instruments")</f>
        <v>Texas Instruments</v>
      </c>
      <c r="C25200" s="5">
        <v>1</v>
      </c>
      <c r="D25200" s="6">
        <v>28.13</v>
      </c>
    </row>
    <row r="25201" spans="1:4" x14ac:dyDescent="0.25">
      <c r="A25201" t="str">
        <f>HYPERLINK("https://www.773grp.com/globalSearch/TPS712XXEVM-050/page-1", "TPS712XXEVM-050")</f>
        <v>TPS712XXEVM-050</v>
      </c>
      <c r="B25201" s="3" t="str">
        <f>HYPERLINK("https://www.773grp.com/manufacturer/texas-instruments?pageNo=173", "Texas Instruments")</f>
        <v>Texas Instruments</v>
      </c>
      <c r="C25201" s="5">
        <v>8</v>
      </c>
      <c r="D25201" s="6">
        <v>28.13</v>
      </c>
    </row>
    <row r="25202" spans="1:4" x14ac:dyDescent="0.25">
      <c r="A25202" t="str">
        <f>HYPERLINK("https://www.773grp.com/globalSearch/TPS73633EVM-066/page-1", "TPS73633EVM-066")</f>
        <v>TPS73633EVM-066</v>
      </c>
      <c r="B25202" s="3" t="str">
        <f>HYPERLINK("https://www.773grp.com/manufacturer/texas-instruments?pageNo=174", "Texas Instruments")</f>
        <v>Texas Instruments</v>
      </c>
      <c r="C25202" s="5">
        <v>2</v>
      </c>
      <c r="D25202" s="6">
        <v>28.13</v>
      </c>
    </row>
    <row r="25203" spans="1:4" x14ac:dyDescent="0.25">
      <c r="A25203" t="str">
        <f>HYPERLINK("https://www.773grp.com/globalSearch/TPS74201EVM-118/page-1", "TPS74201EVM-118")</f>
        <v>TPS74201EVM-118</v>
      </c>
      <c r="B25203" s="3" t="str">
        <f>HYPERLINK("https://www.773grp.com/manufacturer/texas-instruments?pageNo=175", "Texas Instruments")</f>
        <v>Texas Instruments</v>
      </c>
      <c r="C25203" s="5">
        <v>4</v>
      </c>
      <c r="D25203" s="6">
        <v>28.13</v>
      </c>
    </row>
    <row r="25204" spans="1:4" x14ac:dyDescent="0.25">
      <c r="A25204" t="str">
        <f>HYPERLINK("https://www.773grp.com/globalSearch/TPS74301EVM-118/page-1", "TPS74301EVM-118")</f>
        <v>TPS74301EVM-118</v>
      </c>
      <c r="B25204" s="3" t="str">
        <f>HYPERLINK("https://www.773grp.com/manufacturer/texas-instruments?pageNo=176", "Texas Instruments")</f>
        <v>Texas Instruments</v>
      </c>
      <c r="C25204" s="5">
        <v>1</v>
      </c>
      <c r="D25204" s="6">
        <v>28.13</v>
      </c>
    </row>
    <row r="25205" spans="1:4" x14ac:dyDescent="0.25">
      <c r="A25205" t="str">
        <f>HYPERLINK("https://www.773grp.com/globalSearch/PGA204AUE4/page-1", "PGA204AUE4")</f>
        <v>PGA204AUE4</v>
      </c>
      <c r="B25205" s="3" t="str">
        <f>HYPERLINK("https://www.773grp.com/manufacturer/texas-instruments?pageNo=191", "Texas Instruments")</f>
        <v>Texas Instruments</v>
      </c>
      <c r="C25205" s="5">
        <v>2</v>
      </c>
      <c r="D25205" s="6">
        <v>28.26</v>
      </c>
    </row>
    <row r="25206" spans="1:4" x14ac:dyDescent="0.25">
      <c r="A25206" t="str">
        <f>HYPERLINK("https://www.773grp.com/globalSearch/PGA204BU-1K/page-1", "PGA204BU-1K")</f>
        <v>PGA204BU-1K</v>
      </c>
      <c r="B25206" s="3" t="str">
        <f>HYPERLINK("https://www.773grp.com/manufacturer/texas-instruments?pageNo=192", "Texas Instruments")</f>
        <v>Texas Instruments</v>
      </c>
      <c r="C25206" s="5">
        <v>7074</v>
      </c>
      <c r="D25206" s="6">
        <v>28.26</v>
      </c>
    </row>
    <row r="25207" spans="1:4" x14ac:dyDescent="0.25">
      <c r="A25207" t="str">
        <f>HYPERLINK("https://www.773grp.com/globalSearch/UC1526AJ883B/page-1", "UC1526AJ883B")</f>
        <v>UC1526AJ883B</v>
      </c>
      <c r="B25207" s="3" t="str">
        <f>HYPERLINK("https://www.773grp.com/manufacturer/texas-instruments?pageNo=198", "Texas Instruments")</f>
        <v>Texas Instruments</v>
      </c>
      <c r="C25207" s="5">
        <v>38</v>
      </c>
      <c r="D25207" s="6">
        <v>28.26</v>
      </c>
    </row>
    <row r="25208" spans="1:4" x14ac:dyDescent="0.25">
      <c r="A25208" t="str">
        <f>HYPERLINK("https://www.773grp.com/globalSearch/SNJ54ABT241FK/page-1", "SNJ54ABT241FK")</f>
        <v>SNJ54ABT241FK</v>
      </c>
      <c r="B25208" s="3" t="str">
        <f>HYPERLINK("https://www.773grp.com/manufacturer/texas-instruments?pageNo=201", "Texas Instruments")</f>
        <v>Texas Instruments</v>
      </c>
      <c r="C25208" s="5">
        <v>23</v>
      </c>
      <c r="D25208" s="6">
        <v>28.3</v>
      </c>
    </row>
    <row r="25209" spans="1:4" x14ac:dyDescent="0.25">
      <c r="A25209" t="str">
        <f>HYPERLINK("https://www.773grp.com/globalSearch/LM124AFKB/page-1", "LM124AFKB")</f>
        <v>LM124AFKB</v>
      </c>
      <c r="B25209" s="3" t="str">
        <f>HYPERLINK("https://www.773grp.com/manufacturer/texas-instruments?pageNo=207", "Texas Instruments")</f>
        <v>Texas Instruments</v>
      </c>
      <c r="C25209" s="5">
        <v>7</v>
      </c>
      <c r="D25209" s="6">
        <v>28.35</v>
      </c>
    </row>
    <row r="25210" spans="1:4" x14ac:dyDescent="0.25">
      <c r="A25210" t="str">
        <f>HYPERLINK("https://www.773grp.com/globalSearch/PCM1730E/page-1", "PCM1730E")</f>
        <v>PCM1730E</v>
      </c>
      <c r="B25210" s="3" t="str">
        <f>HYPERLINK("https://www.773grp.com/manufacturer/texas-instruments?pageNo=208", "Texas Instruments")</f>
        <v>Texas Instruments</v>
      </c>
      <c r="C25210" s="5">
        <v>47</v>
      </c>
      <c r="D25210" s="6">
        <v>28.35</v>
      </c>
    </row>
    <row r="25211" spans="1:4" x14ac:dyDescent="0.25">
      <c r="A25211" t="str">
        <f>HYPERLINK("https://www.773grp.com/globalSearch/JM38510-30605B2A/page-1", "JM38510-30605B2A")</f>
        <v>JM38510-30605B2A</v>
      </c>
      <c r="B25211" s="3" t="str">
        <f>HYPERLINK("https://www.773grp.com/manufacturer/texas-instruments?pageNo=226", "Texas Instruments")</f>
        <v>Texas Instruments</v>
      </c>
      <c r="C25211" s="5">
        <v>53</v>
      </c>
      <c r="D25211" s="6">
        <v>28.46</v>
      </c>
    </row>
    <row r="25212" spans="1:4" x14ac:dyDescent="0.25">
      <c r="A25212" t="str">
        <f>HYPERLINK("https://www.773grp.com/globalSearch/SN74LS275D/page-1", "SN74LS275D")</f>
        <v>SN74LS275D</v>
      </c>
      <c r="B25212" s="3" t="str">
        <f>HYPERLINK("https://www.773grp.com/manufacturer/texas-instruments?pageNo=242", "Texas Instruments")</f>
        <v>Texas Instruments</v>
      </c>
      <c r="C25212" s="5">
        <v>1531</v>
      </c>
      <c r="D25212" s="6">
        <v>28.58</v>
      </c>
    </row>
    <row r="25213" spans="1:4" x14ac:dyDescent="0.25">
      <c r="A25213" t="str">
        <f>HYPERLINK("https://www.773grp.com/globalSearch/DAC7625U-1K/page-1", "DAC7625U-1K")</f>
        <v>DAC7625U-1K</v>
      </c>
      <c r="B25213" s="3" t="str">
        <f>HYPERLINK("https://www.773grp.com/manufacturer/texas-instruments?pageNo=253", "Texas Instruments")</f>
        <v>Texas Instruments</v>
      </c>
      <c r="C25213" s="5">
        <v>2000</v>
      </c>
      <c r="D25213" s="6">
        <v>28.8</v>
      </c>
    </row>
    <row r="25214" spans="1:4" x14ac:dyDescent="0.25">
      <c r="A25214" t="str">
        <f>HYPERLINK("https://www.773grp.com/globalSearch/UC494J/page-1", "UC494J")</f>
        <v>UC494J</v>
      </c>
      <c r="B25214" s="3" t="str">
        <f>HYPERLINK("https://www.773grp.com/manufacturer/texas-instruments?pageNo=255", "Texas Instruments")</f>
        <v>Texas Instruments</v>
      </c>
      <c r="C25214" s="5">
        <v>2784</v>
      </c>
      <c r="D25214" s="6">
        <v>28.8</v>
      </c>
    </row>
    <row r="25215" spans="1:4" x14ac:dyDescent="0.25">
      <c r="A25215" t="str">
        <f>HYPERLINK("https://www.773grp.com/globalSearch/5962-9077201QDA/page-1", "5962-9077201QDA")</f>
        <v>5962-9077201QDA</v>
      </c>
      <c r="B25215" s="3" t="str">
        <f>HYPERLINK("https://www.773grp.com/manufacturer/texas-instruments?pageNo=256", "Texas Instruments")</f>
        <v>Texas Instruments</v>
      </c>
      <c r="C25215" s="5">
        <v>33</v>
      </c>
      <c r="D25215" s="6">
        <v>28.83</v>
      </c>
    </row>
    <row r="25216" spans="1:4" x14ac:dyDescent="0.25">
      <c r="A25216" t="str">
        <f>HYPERLINK("https://www.773grp.com/globalSearch/DAC7624U-1K/page-1", "DAC7624U-1K")</f>
        <v>DAC7624U-1K</v>
      </c>
      <c r="B25216" s="3" t="str">
        <f>HYPERLINK("https://www.773grp.com/manufacturer/texas-instruments?pageNo=258", "Texas Instruments")</f>
        <v>Texas Instruments</v>
      </c>
      <c r="C25216" s="5">
        <v>16000</v>
      </c>
      <c r="D25216" s="6">
        <v>28.83</v>
      </c>
    </row>
    <row r="25217" spans="1:4" x14ac:dyDescent="0.25">
      <c r="A25217" t="str">
        <f>HYPERLINK("https://www.773grp.com/globalSearch/TMS38054PA4/page-1", "TMS38054PA4")</f>
        <v>TMS38054PA4</v>
      </c>
      <c r="B25217" s="3" t="str">
        <f>HYPERLINK("https://www.773grp.com/manufacturer/texas-instruments?pageNo=263", "Texas Instruments")</f>
        <v>Texas Instruments</v>
      </c>
      <c r="C25217" s="5">
        <v>1197</v>
      </c>
      <c r="D25217" s="6">
        <v>28.83</v>
      </c>
    </row>
    <row r="25218" spans="1:4" x14ac:dyDescent="0.25">
      <c r="A25218" t="str">
        <f>HYPERLINK("https://www.773grp.com/globalSearch/TMS320VC5507GHH/page-1", "TMS320VC5507GHH")</f>
        <v>TMS320VC5507GHH</v>
      </c>
      <c r="B25218" s="3" t="str">
        <f>HYPERLINK("https://www.773grp.com/manufacturer/texas-instruments?pageNo=269", "Texas Instruments")</f>
        <v>Texas Instruments</v>
      </c>
      <c r="C25218" s="5">
        <v>4492</v>
      </c>
      <c r="D25218" s="6">
        <v>28.89</v>
      </c>
    </row>
    <row r="25219" spans="1:4" x14ac:dyDescent="0.25">
      <c r="A25219" t="str">
        <f>HYPERLINK("https://www.773grp.com/globalSearch/PTD08A010WAD/page-1", "PTD08A010WAD")</f>
        <v>PTD08A010WAD</v>
      </c>
      <c r="B25219" s="3" t="str">
        <f>HYPERLINK("https://www.773grp.com/manufacturer/texas-instruments?pageNo=276", "Texas Instruments")</f>
        <v>Texas Instruments</v>
      </c>
      <c r="C25219" s="5">
        <v>405</v>
      </c>
      <c r="D25219" s="6">
        <v>28.94</v>
      </c>
    </row>
    <row r="25220" spans="1:4" x14ac:dyDescent="0.25">
      <c r="A25220" t="str">
        <f>HYPERLINK("https://www.773grp.com/globalSearch/OPA544FKTTT/page-1", "OPA544FKTTT")</f>
        <v>OPA544FKTTT</v>
      </c>
      <c r="B25220" s="3" t="str">
        <f>HYPERLINK("https://www.773grp.com/manufacturer/texas-instruments?pageNo=283", "Texas Instruments")</f>
        <v>Texas Instruments</v>
      </c>
      <c r="C25220" s="5">
        <v>1600</v>
      </c>
      <c r="D25220" s="6">
        <v>28.98</v>
      </c>
    </row>
    <row r="25221" spans="1:4" x14ac:dyDescent="0.25">
      <c r="A25221" t="str">
        <f>HYPERLINK("https://www.773grp.com/globalSearch/OPA544FKTTT/page-1", "OPA544FKTTT")</f>
        <v>OPA544FKTTT</v>
      </c>
      <c r="B25221" s="3" t="str">
        <f>HYPERLINK("https://www.773grp.com/manufacturer/texas-instruments?pageNo=284", "Texas Instruments")</f>
        <v>Texas Instruments</v>
      </c>
      <c r="C25221" s="5">
        <v>1000</v>
      </c>
      <c r="D25221" s="6">
        <v>28.98</v>
      </c>
    </row>
    <row r="25222" spans="1:4" x14ac:dyDescent="0.25">
      <c r="A25222" t="str">
        <f>HYPERLINK("https://www.773grp.com/globalSearch/PGA4311UAG4/page-1", "PGA4311UAG4")</f>
        <v>PGA4311UAG4</v>
      </c>
      <c r="B25222" s="3" t="str">
        <f>HYPERLINK("https://www.773grp.com/manufacturer/texas-instruments?pageNo=286", "Texas Instruments")</f>
        <v>Texas Instruments</v>
      </c>
      <c r="C25222" s="5">
        <v>73</v>
      </c>
      <c r="D25222" s="6">
        <v>28.98</v>
      </c>
    </row>
    <row r="25223" spans="1:4" x14ac:dyDescent="0.25">
      <c r="A25223" t="str">
        <f>HYPERLINK("https://www.773grp.com/globalSearch/TLK1002RGER/page-1", "TLK1002RGER")</f>
        <v>TLK1002RGER</v>
      </c>
      <c r="B25223" s="3" t="str">
        <f>HYPERLINK("https://www.773grp.com/manufacturer/texas-instruments?pageNo=291", "Texas Instruments")</f>
        <v>Texas Instruments</v>
      </c>
      <c r="C25223" s="5">
        <v>84000</v>
      </c>
      <c r="D25223" s="6">
        <v>28.98</v>
      </c>
    </row>
    <row r="25224" spans="1:4" x14ac:dyDescent="0.25">
      <c r="A25224" t="str">
        <f>HYPERLINK("https://www.773grp.com/globalSearch/BQ2158TB-001/page-1", "BQ2158TB-001")</f>
        <v>BQ2158TB-001</v>
      </c>
      <c r="B25224" s="3" t="str">
        <f>HYPERLINK("https://www.773grp.com/manufacturer/texas-instruments?pageNo=292", "Texas Instruments")</f>
        <v>Texas Instruments</v>
      </c>
      <c r="C25224" s="5">
        <v>130</v>
      </c>
      <c r="D25224" s="6">
        <v>28.99</v>
      </c>
    </row>
    <row r="25225" spans="1:4" x14ac:dyDescent="0.25">
      <c r="A25225" t="str">
        <f>HYPERLINK("https://www.773grp.com/globalSearch/SN74ACT7204L25RJR/page-1", "SN74ACT7204L25RJR")</f>
        <v>SN74ACT7204L25RJR</v>
      </c>
      <c r="B25225" s="3" t="str">
        <f>HYPERLINK("https://www.773grp.com/manufacturer/texas-instruments?pageNo=298", "Texas Instruments")</f>
        <v>Texas Instruments</v>
      </c>
      <c r="C25225" s="5">
        <v>6750</v>
      </c>
      <c r="D25225" s="6">
        <v>29.06</v>
      </c>
    </row>
    <row r="25226" spans="1:4" x14ac:dyDescent="0.25">
      <c r="A25226" t="str">
        <f>HYPERLINK("https://www.773grp.com/globalSearch/PTVP5158PNP/page-1", "PTVP5158PNP")</f>
        <v>PTVP5158PNP</v>
      </c>
      <c r="B25226" s="3" t="str">
        <f>HYPERLINK("https://www.773grp.com/manufacturer/texas-instruments?pageNo=302", "Texas Instruments")</f>
        <v>Texas Instruments</v>
      </c>
      <c r="C25226" s="5">
        <v>23</v>
      </c>
      <c r="D25226" s="6">
        <v>29.11</v>
      </c>
    </row>
    <row r="25227" spans="1:4" x14ac:dyDescent="0.25">
      <c r="A25227" t="str">
        <f>HYPERLINK("https://www.773grp.com/globalSearch/SN46915W/page-1", "SN46915W")</f>
        <v>SN46915W</v>
      </c>
      <c r="B25227" s="3" t="str">
        <f>HYPERLINK("https://www.773grp.com/manufacturer/texas-instruments?pageNo=311", "Texas Instruments")</f>
        <v>Texas Instruments</v>
      </c>
      <c r="C25227" s="5">
        <v>80</v>
      </c>
      <c r="D25227" s="6">
        <v>29.16</v>
      </c>
    </row>
    <row r="25228" spans="1:4" x14ac:dyDescent="0.25">
      <c r="A25228" t="str">
        <f>HYPERLINK("https://www.773grp.com/globalSearch/PTLK1002RGE/page-1", "PTLK1002RGE")</f>
        <v>PTLK1002RGE</v>
      </c>
      <c r="B25228" s="3" t="str">
        <f>HYPERLINK("https://www.773grp.com/manufacturer/texas-instruments?pageNo=318", "Texas Instruments")</f>
        <v>Texas Instruments</v>
      </c>
      <c r="C25228" s="5">
        <v>175</v>
      </c>
      <c r="D25228" s="6">
        <v>29.25</v>
      </c>
    </row>
    <row r="25229" spans="1:4" x14ac:dyDescent="0.25">
      <c r="A25229" t="str">
        <f>HYPERLINK("https://www.773grp.com/globalSearch/TAS5518CPAGR/page-1", "TAS5518CPAGR")</f>
        <v>TAS5518CPAGR</v>
      </c>
      <c r="B25229" s="3" t="str">
        <f>HYPERLINK("https://www.773grp.com/manufacturer/texas-instruments?pageNo=321", "Texas Instruments")</f>
        <v>Texas Instruments</v>
      </c>
      <c r="C25229" s="5">
        <v>1500</v>
      </c>
      <c r="D25229" s="6">
        <v>29.25</v>
      </c>
    </row>
    <row r="25230" spans="1:4" x14ac:dyDescent="0.25">
      <c r="A25230" t="str">
        <f>HYPERLINK("https://www.773grp.com/globalSearch/TMS320DRE311GHH/page-1", "TMS320DRE311GHH")</f>
        <v>TMS320DRE311GHH</v>
      </c>
      <c r="B25230" s="3" t="str">
        <f>HYPERLINK("https://www.773grp.com/manufacturer/texas-instruments?pageNo=326", "Texas Instruments")</f>
        <v>Texas Instruments</v>
      </c>
      <c r="C25230" s="5">
        <v>2588</v>
      </c>
      <c r="D25230" s="6">
        <v>29.31</v>
      </c>
    </row>
    <row r="25231" spans="1:4" x14ac:dyDescent="0.25">
      <c r="A25231" t="str">
        <f>HYPERLINK("https://www.773grp.com/globalSearch/SNJ54ALS245AJ/page-1", "SNJ54ALS245AJ")</f>
        <v>SNJ54ALS245AJ</v>
      </c>
      <c r="B25231" s="3" t="str">
        <f>HYPERLINK("https://www.773grp.com/manufacturer/texas-instruments?pageNo=329", "Texas Instruments")</f>
        <v>Texas Instruments</v>
      </c>
      <c r="C25231" s="5">
        <v>17</v>
      </c>
      <c r="D25231" s="6">
        <v>29.33</v>
      </c>
    </row>
    <row r="25232" spans="1:4" x14ac:dyDescent="0.25">
      <c r="A25232" t="str">
        <f>HYPERLINK("https://www.773grp.com/globalSearch/PTH05050YAH/page-1", "PTH05050YAH")</f>
        <v>PTH05050YAH</v>
      </c>
      <c r="B25232" s="3" t="str">
        <f>HYPERLINK("https://www.773grp.com/manufacturer/texas-instruments?pageNo=334", "Texas Instruments")</f>
        <v>Texas Instruments</v>
      </c>
      <c r="C25232" s="5">
        <v>31</v>
      </c>
      <c r="D25232" s="6">
        <v>29.36</v>
      </c>
    </row>
    <row r="25233" spans="1:4" x14ac:dyDescent="0.25">
      <c r="A25233" t="str">
        <f>HYPERLINK("https://www.773grp.com/globalSearch/PTH05050YAST/page-1", "PTH05050YAST")</f>
        <v>PTH05050YAST</v>
      </c>
      <c r="B25233" s="3" t="str">
        <f>HYPERLINK("https://www.773grp.com/manufacturer/texas-instruments?pageNo=336", "Texas Instruments")</f>
        <v>Texas Instruments</v>
      </c>
      <c r="C25233" s="5">
        <v>250</v>
      </c>
      <c r="D25233" s="6">
        <v>29.36</v>
      </c>
    </row>
    <row r="25234" spans="1:4" x14ac:dyDescent="0.25">
      <c r="A25234" t="str">
        <f>HYPERLINK("https://www.773grp.com/globalSearch/PTH12050YAH/page-1", "PTH12050YAH")</f>
        <v>PTH12050YAH</v>
      </c>
      <c r="B25234" s="3" t="str">
        <f>HYPERLINK("https://www.773grp.com/manufacturer/texas-instruments?pageNo=338", "Texas Instruments")</f>
        <v>Texas Instruments</v>
      </c>
      <c r="C25234" s="5">
        <v>16</v>
      </c>
      <c r="D25234" s="6">
        <v>29.36</v>
      </c>
    </row>
    <row r="25235" spans="1:4" x14ac:dyDescent="0.25">
      <c r="A25235" t="str">
        <f>HYPERLINK("https://www.773grp.com/globalSearch/ADS1250U/page-1", "ADS1250U")</f>
        <v>ADS1250U</v>
      </c>
      <c r="B25235" s="3" t="str">
        <f>HYPERLINK("https://www.773grp.com/manufacturer/texas-instruments?pageNo=349", "Texas Instruments")</f>
        <v>Texas Instruments</v>
      </c>
      <c r="C25235" s="5">
        <v>72</v>
      </c>
      <c r="D25235" s="6">
        <v>29.4</v>
      </c>
    </row>
    <row r="25236" spans="1:4" x14ac:dyDescent="0.25">
      <c r="A25236" t="str">
        <f>HYPERLINK("https://www.773grp.com/globalSearch/PCI2050BIZHK/page-1", "PCI2050BIZHK")</f>
        <v>PCI2050BIZHK</v>
      </c>
      <c r="B25236" s="3" t="str">
        <f>HYPERLINK("https://www.773grp.com/manufacturer/texas-instruments?pageNo=356", "Texas Instruments")</f>
        <v>Texas Instruments</v>
      </c>
      <c r="C25236" s="5">
        <v>186</v>
      </c>
      <c r="D25236" s="6">
        <v>29.4</v>
      </c>
    </row>
    <row r="25237" spans="1:4" x14ac:dyDescent="0.25">
      <c r="A25237" t="str">
        <f>HYPERLINK("https://www.773grp.com/globalSearch/SNJ54HCU0FK/page-1", "SNJ54HCU0FK")</f>
        <v>SNJ54HCU0FK</v>
      </c>
      <c r="B25237" s="3" t="str">
        <f>HYPERLINK("https://www.773grp.com/manufacturer/texas-instruments?pageNo=357", "Texas Instruments")</f>
        <v>Texas Instruments</v>
      </c>
      <c r="C25237" s="5">
        <v>2</v>
      </c>
      <c r="D25237" s="6">
        <v>29.4</v>
      </c>
    </row>
    <row r="25238" spans="1:4" x14ac:dyDescent="0.25">
      <c r="A25238" t="str">
        <f>HYPERLINK("https://www.773grp.com/globalSearch/TMX320C6205DGHK200/page-1", "TMX320C6205DGHK200")</f>
        <v>TMX320C6205DGHK200</v>
      </c>
      <c r="B25238" s="3" t="str">
        <f>HYPERLINK("https://www.773grp.com/manufacturer/texas-instruments?pageNo=359", "Texas Instruments")</f>
        <v>Texas Instruments</v>
      </c>
      <c r="C25238" s="5">
        <v>130</v>
      </c>
      <c r="D25238" s="6">
        <v>29.4</v>
      </c>
    </row>
    <row r="25239" spans="1:4" x14ac:dyDescent="0.25">
      <c r="A25239" t="str">
        <f>HYPERLINK("https://www.773grp.com/globalSearch/SNJ54AC11138FK/page-1", "SNJ54AC11138FK")</f>
        <v>SNJ54AC11138FK</v>
      </c>
      <c r="B25239" s="3" t="str">
        <f>HYPERLINK("https://www.773grp.com/manufacturer/texas-instruments?pageNo=363", "Texas Instruments")</f>
        <v>Texas Instruments</v>
      </c>
      <c r="C25239" s="5">
        <v>20</v>
      </c>
      <c r="D25239" s="6">
        <v>29.45</v>
      </c>
    </row>
    <row r="25240" spans="1:4" x14ac:dyDescent="0.25">
      <c r="A25240" t="str">
        <f>HYPERLINK("https://www.773grp.com/globalSearch/SNJ54ACT11253FK/page-1", "SNJ54ACT11253FK")</f>
        <v>SNJ54ACT11253FK</v>
      </c>
      <c r="B25240" s="3" t="str">
        <f>HYPERLINK("https://www.773grp.com/manufacturer/texas-instruments?pageNo=364", "Texas Instruments")</f>
        <v>Texas Instruments</v>
      </c>
      <c r="C25240" s="5">
        <v>15</v>
      </c>
      <c r="D25240" s="6">
        <v>29.45</v>
      </c>
    </row>
    <row r="25241" spans="1:4" x14ac:dyDescent="0.25">
      <c r="A25241" t="str">
        <f>HYPERLINK("https://www.773grp.com/globalSearch/SNJ54ACT11257FK/page-1", "SNJ54ACT11257FK")</f>
        <v>SNJ54ACT11257FK</v>
      </c>
      <c r="B25241" s="3" t="str">
        <f>HYPERLINK("https://www.773grp.com/manufacturer/texas-instruments?pageNo=365", "Texas Instruments")</f>
        <v>Texas Instruments</v>
      </c>
      <c r="C25241" s="5">
        <v>15</v>
      </c>
      <c r="D25241" s="6">
        <v>29.45</v>
      </c>
    </row>
    <row r="25242" spans="1:4" x14ac:dyDescent="0.25">
      <c r="A25242" t="str">
        <f>HYPERLINK("https://www.773grp.com/globalSearch/LM3S9D90-IQC80-A2/page-1", "LM3S9D90-IQC80-A2")</f>
        <v>LM3S9D90-IQC80-A2</v>
      </c>
      <c r="B25242" s="3" t="str">
        <f>HYPERLINK("https://www.773grp.com/manufacturer/texas-instruments?pageNo=370", "Texas Instruments")</f>
        <v>Texas Instruments</v>
      </c>
      <c r="C25242" s="5">
        <v>45</v>
      </c>
      <c r="D25242" s="6">
        <v>29.5</v>
      </c>
    </row>
    <row r="25243" spans="1:4" x14ac:dyDescent="0.25">
      <c r="A25243" t="str">
        <f>HYPERLINK("https://www.773grp.com/globalSearch/SN5522J/page-1", "SN5522J")</f>
        <v>SN5522J</v>
      </c>
      <c r="B25243" s="3" t="str">
        <f>HYPERLINK("https://www.773grp.com/manufacturer/texas-instruments?pageNo=379", "Texas Instruments")</f>
        <v>Texas Instruments</v>
      </c>
      <c r="C25243" s="5">
        <v>155</v>
      </c>
      <c r="D25243" s="6">
        <v>29.54</v>
      </c>
    </row>
    <row r="25244" spans="1:4" x14ac:dyDescent="0.25">
      <c r="A25244" t="str">
        <f>HYPERLINK("https://www.773grp.com/globalSearch/SN74ACT201LA15NP/page-1", "SN74ACT201LA15NP")</f>
        <v>SN74ACT201LA15NP</v>
      </c>
      <c r="B25244" s="3" t="str">
        <f>HYPERLINK("https://www.773grp.com/manufacturer/texas-instruments?pageNo=381", "Texas Instruments")</f>
        <v>Texas Instruments</v>
      </c>
      <c r="C25244" s="5">
        <v>308</v>
      </c>
      <c r="D25244" s="6">
        <v>29.54</v>
      </c>
    </row>
    <row r="25245" spans="1:4" x14ac:dyDescent="0.25">
      <c r="A25245" t="str">
        <f>HYPERLINK("https://www.773grp.com/globalSearch/TLK2711AIRCPR/page-1", "TLK2711AIRCPR")</f>
        <v>TLK2711AIRCPR</v>
      </c>
      <c r="B25245" s="3" t="str">
        <f>HYPERLINK("https://www.773grp.com/manufacturer/texas-instruments?pageNo=386", "Texas Instruments")</f>
        <v>Texas Instruments</v>
      </c>
      <c r="C25245" s="5">
        <v>1920</v>
      </c>
      <c r="D25245" s="6">
        <v>29.54</v>
      </c>
    </row>
    <row r="25246" spans="1:4" x14ac:dyDescent="0.25">
      <c r="A25246" t="str">
        <f>HYPERLINK("https://www.773grp.com/globalSearch/TLV5614IYZT/page-1", "TLV5614IYZT")</f>
        <v>TLV5614IYZT</v>
      </c>
      <c r="B25246" s="3" t="str">
        <f>HYPERLINK("https://www.773grp.com/manufacturer/texas-instruments?pageNo=387", "Texas Instruments")</f>
        <v>Texas Instruments</v>
      </c>
      <c r="C25246" s="5">
        <v>1500</v>
      </c>
      <c r="D25246" s="6">
        <v>29.54</v>
      </c>
    </row>
    <row r="25247" spans="1:4" x14ac:dyDescent="0.25">
      <c r="A25247" t="str">
        <f>HYPERLINK("https://www.773grp.com/globalSearch/TMS1976NLP/page-1", "TMS1976NLP")</f>
        <v>TMS1976NLP</v>
      </c>
      <c r="B25247" s="3" t="str">
        <f>HYPERLINK("https://www.773grp.com/manufacturer/texas-instruments?pageNo=388", "Texas Instruments")</f>
        <v>Texas Instruments</v>
      </c>
      <c r="C25247" s="5">
        <v>3118</v>
      </c>
      <c r="D25247" s="6">
        <v>29.54</v>
      </c>
    </row>
    <row r="25248" spans="1:4" x14ac:dyDescent="0.25">
      <c r="A25248" t="str">
        <f>HYPERLINK("https://www.773grp.com/globalSearch/PPCI2040PGE/page-1", "PPCI2040PGE")</f>
        <v>PPCI2040PGE</v>
      </c>
      <c r="B25248" s="3" t="str">
        <f>HYPERLINK("https://www.773grp.com/manufacturer/texas-instruments?pageNo=395", "Texas Instruments")</f>
        <v>Texas Instruments</v>
      </c>
      <c r="C25248" s="5">
        <v>700</v>
      </c>
      <c r="D25248" s="6">
        <v>29.66</v>
      </c>
    </row>
    <row r="25249" spans="1:4" x14ac:dyDescent="0.25">
      <c r="A25249" t="str">
        <f>HYPERLINK("https://www.773grp.com/globalSearch/TMS320C6743BZKBT3/page-1", "TMS320C6743BZKBT3")</f>
        <v>TMS320C6743BZKBT3</v>
      </c>
      <c r="B25249" s="3" t="str">
        <f>HYPERLINK("https://www.773grp.com/manufacturer/texas-instruments?pageNo=396", "Texas Instruments")</f>
        <v>Texas Instruments</v>
      </c>
      <c r="C25249" s="5">
        <v>1</v>
      </c>
      <c r="D25249" s="6">
        <v>29.66</v>
      </c>
    </row>
    <row r="25250" spans="1:4" x14ac:dyDescent="0.25">
      <c r="A25250" t="str">
        <f>HYPERLINK("https://www.773grp.com/globalSearch/JM38510-65103BCA/page-1", "JM38510-65103BCA")</f>
        <v>JM38510-65103BCA</v>
      </c>
      <c r="B25250" s="3" t="str">
        <f>HYPERLINK("https://www.773grp.com/manufacturer/texas-instruments?pageNo=400", "Texas Instruments")</f>
        <v>Texas Instruments</v>
      </c>
      <c r="C25250" s="5">
        <v>252</v>
      </c>
      <c r="D25250" s="6">
        <v>29.7</v>
      </c>
    </row>
    <row r="25251" spans="1:4" x14ac:dyDescent="0.25">
      <c r="A25251" t="str">
        <f>HYPERLINK("https://www.773grp.com/globalSearch/ADS8361IRHBT/page-1", "ADS8361IRHBT")</f>
        <v>ADS8361IRHBT</v>
      </c>
      <c r="B25251" s="3" t="str">
        <f>HYPERLINK("https://www.773grp.com/manufacturer/texas-instruments?pageNo=403", "Texas Instruments")</f>
        <v>Texas Instruments</v>
      </c>
      <c r="C25251" s="5">
        <v>164</v>
      </c>
      <c r="D25251" s="6">
        <v>29.74</v>
      </c>
    </row>
    <row r="25252" spans="1:4" x14ac:dyDescent="0.25">
      <c r="A25252" t="str">
        <f>HYPERLINK("https://www.773grp.com/globalSearch/AFE1302Y-1-250/page-1", "AFE1302Y-1-250")</f>
        <v>AFE1302Y-1-250</v>
      </c>
      <c r="B25252" s="3" t="str">
        <f>HYPERLINK("https://www.773grp.com/manufacturer/texas-instruments?pageNo=414", "Texas Instruments")</f>
        <v>Texas Instruments</v>
      </c>
      <c r="C25252" s="5">
        <v>22000</v>
      </c>
      <c r="D25252" s="6">
        <v>29.9</v>
      </c>
    </row>
    <row r="25253" spans="1:4" x14ac:dyDescent="0.25">
      <c r="A25253" t="str">
        <f>HYPERLINK("https://www.773grp.com/globalSearch/D11647PG7/page-1", "D11647PG7")</f>
        <v>D11647PG7</v>
      </c>
      <c r="B25253" s="3" t="str">
        <f>HYPERLINK("https://www.773grp.com/manufacturer/texas-instruments?pageNo=415", "Texas Instruments")</f>
        <v>Texas Instruments</v>
      </c>
      <c r="C25253" s="5">
        <v>92044</v>
      </c>
      <c r="D25253" s="6">
        <v>29.9</v>
      </c>
    </row>
    <row r="25254" spans="1:4" x14ac:dyDescent="0.25">
      <c r="A25254" t="str">
        <f>HYPERLINK("https://www.773grp.com/globalSearch/D11647PGF/page-1", "D11647PGF")</f>
        <v>D11647PGF</v>
      </c>
      <c r="B25254" s="3" t="str">
        <f>HYPERLINK("https://www.773grp.com/manufacturer/texas-instruments?pageNo=416", "Texas Instruments")</f>
        <v>Texas Instruments</v>
      </c>
      <c r="C25254" s="5">
        <v>320</v>
      </c>
      <c r="D25254" s="6">
        <v>29.9</v>
      </c>
    </row>
    <row r="25255" spans="1:4" x14ac:dyDescent="0.25">
      <c r="A25255" t="str">
        <f>HYPERLINK("https://www.773grp.com/globalSearch/D17392PZ/page-1", "D17392PZ")</f>
        <v>D17392PZ</v>
      </c>
      <c r="B25255" s="3" t="str">
        <f>HYPERLINK("https://www.773grp.com/manufacturer/texas-instruments?pageNo=417", "Texas Instruments")</f>
        <v>Texas Instruments</v>
      </c>
      <c r="C25255" s="5">
        <v>968</v>
      </c>
      <c r="D25255" s="6">
        <v>29.9</v>
      </c>
    </row>
    <row r="25256" spans="1:4" x14ac:dyDescent="0.25">
      <c r="A25256" t="str">
        <f>HYPERLINK("https://www.773grp.com/globalSearch/DAC3152IRGZT/page-1", "DAC3152IRGZT")</f>
        <v>DAC3152IRGZT</v>
      </c>
      <c r="B25256" s="3" t="str">
        <f>HYPERLINK("https://www.773grp.com/manufacturer/texas-instruments?pageNo=420", "Texas Instruments")</f>
        <v>Texas Instruments</v>
      </c>
      <c r="C25256" s="5">
        <v>10445</v>
      </c>
      <c r="D25256" s="6">
        <v>29.95</v>
      </c>
    </row>
    <row r="25257" spans="1:4" x14ac:dyDescent="0.25">
      <c r="A25257" t="str">
        <f>HYPERLINK("https://www.773grp.com/globalSearch/SNJ54HC533FK/page-1", "SNJ54HC533FK")</f>
        <v>SNJ54HC533FK</v>
      </c>
      <c r="B25257" s="3" t="str">
        <f>HYPERLINK("https://www.773grp.com/manufacturer/texas-instruments?pageNo=422", "Texas Instruments")</f>
        <v>Texas Instruments</v>
      </c>
      <c r="C25257" s="5">
        <v>53</v>
      </c>
      <c r="D25257" s="6">
        <v>29.95</v>
      </c>
    </row>
    <row r="25258" spans="1:4" x14ac:dyDescent="0.25">
      <c r="A25258" t="str">
        <f>HYPERLINK("https://www.773grp.com/globalSearch/SNJ54HCT241FK/page-1", "SNJ54HCT241FK")</f>
        <v>SNJ54HCT241FK</v>
      </c>
      <c r="B25258" s="3" t="str">
        <f>HYPERLINK("https://www.773grp.com/manufacturer/texas-instruments?pageNo=424", "Texas Instruments")</f>
        <v>Texas Instruments</v>
      </c>
      <c r="C25258" s="5">
        <v>25</v>
      </c>
      <c r="D25258" s="6">
        <v>29.95</v>
      </c>
    </row>
    <row r="25259" spans="1:4" x14ac:dyDescent="0.25">
      <c r="A25259" t="str">
        <f>HYPERLINK("https://www.773grp.com/globalSearch/PPCI4451GJG/page-1", "PPCI4451GJG")</f>
        <v>PPCI4451GJG</v>
      </c>
      <c r="B25259" s="3" t="str">
        <f>HYPERLINK("https://www.773grp.com/manufacturer/texas-instruments?pageNo=439", "Texas Instruments")</f>
        <v>Texas Instruments</v>
      </c>
      <c r="C25259" s="5">
        <v>450</v>
      </c>
      <c r="D25259" s="6">
        <v>30.04</v>
      </c>
    </row>
    <row r="25260" spans="1:4" x14ac:dyDescent="0.25">
      <c r="A25260" t="str">
        <f>HYPERLINK("https://www.773grp.com/globalSearch/TLE2021MLB/page-1", "TLE2021MLB")</f>
        <v>TLE2021MLB</v>
      </c>
      <c r="B25260" s="3" t="str">
        <f>HYPERLINK("https://www.773grp.com/manufacturer/texas-instruments?pageNo=440", "Texas Instruments")</f>
        <v>Texas Instruments</v>
      </c>
      <c r="C25260" s="5">
        <v>940</v>
      </c>
      <c r="D25260" s="6">
        <v>30.04</v>
      </c>
    </row>
    <row r="25261" spans="1:4" x14ac:dyDescent="0.25">
      <c r="A25261" t="str">
        <f>HYPERLINK("https://www.773grp.com/globalSearch/TNETD3100GFN/page-1", "TNETD3100GFN")</f>
        <v>TNETD3100GFN</v>
      </c>
      <c r="B25261" s="3" t="str">
        <f>HYPERLINK("https://www.773grp.com/manufacturer/texas-instruments?pageNo=447", "Texas Instruments")</f>
        <v>Texas Instruments</v>
      </c>
      <c r="C25261" s="5">
        <v>350</v>
      </c>
      <c r="D25261" s="6">
        <v>30.09</v>
      </c>
    </row>
    <row r="25262" spans="1:4" x14ac:dyDescent="0.25">
      <c r="A25262" t="str">
        <f>HYPERLINK("https://www.773grp.com/globalSearch/LM3S8530-IQC50-A2/page-1", "LM3S8530-IQC50-A2")</f>
        <v>LM3S8530-IQC50-A2</v>
      </c>
      <c r="B25262" s="3" t="str">
        <f>HYPERLINK("https://www.773grp.com/manufacturer/texas-instruments?pageNo=454", "Texas Instruments")</f>
        <v>Texas Instruments</v>
      </c>
      <c r="C25262" s="5">
        <v>90</v>
      </c>
      <c r="D25262" s="6">
        <v>30.18</v>
      </c>
    </row>
    <row r="25263" spans="1:4" x14ac:dyDescent="0.25">
      <c r="A25263" t="str">
        <f>HYPERLINK("https://www.773grp.com/globalSearch/LM3S6753-IQC50-A2/page-1", "LM3S6753-IQC50-A2")</f>
        <v>LM3S6753-IQC50-A2</v>
      </c>
      <c r="B25263" s="3" t="str">
        <f>HYPERLINK("https://www.773grp.com/manufacturer/texas-instruments?pageNo=459", "Texas Instruments")</f>
        <v>Texas Instruments</v>
      </c>
      <c r="C25263" s="5">
        <v>8</v>
      </c>
      <c r="D25263" s="6">
        <v>30.21</v>
      </c>
    </row>
    <row r="25264" spans="1:4" x14ac:dyDescent="0.25">
      <c r="A25264" t="str">
        <f>HYPERLINK("https://www.773grp.com/globalSearch/JM38510-07301BAA/page-1", "JM38510-07301BAA")</f>
        <v>JM38510-07301BAA</v>
      </c>
      <c r="B25264" s="3" t="str">
        <f>HYPERLINK("https://www.773grp.com/manufacturer/texas-instruments?pageNo=462", "Texas Instruments")</f>
        <v>Texas Instruments</v>
      </c>
      <c r="C25264" s="5">
        <v>676</v>
      </c>
      <c r="D25264" s="6">
        <v>30.24</v>
      </c>
    </row>
    <row r="25265" spans="1:4" x14ac:dyDescent="0.25">
      <c r="A25265" t="str">
        <f>HYPERLINK("https://www.773grp.com/globalSearch/SN75976A1DGGR/page-1", "SN75976A1DGGR")</f>
        <v>SN75976A1DGGR</v>
      </c>
      <c r="B25265" s="3" t="str">
        <f>HYPERLINK("https://www.773grp.com/manufacturer/texas-instruments?pageNo=463", "Texas Instruments")</f>
        <v>Texas Instruments</v>
      </c>
      <c r="C25265" s="5">
        <v>2000</v>
      </c>
      <c r="D25265" s="6">
        <v>30.24</v>
      </c>
    </row>
    <row r="25266" spans="1:4" x14ac:dyDescent="0.25">
      <c r="A25266" t="str">
        <f>HYPERLINK("https://www.773grp.com/globalSearch/TAS5424ATDKDRQ1/page-1", "TAS5424ATDKDRQ1")</f>
        <v>TAS5424ATDKDRQ1</v>
      </c>
      <c r="B25266" s="3" t="str">
        <f>HYPERLINK("https://www.773grp.com/manufacturer/texas-instruments?pageNo=465", "Texas Instruments")</f>
        <v>Texas Instruments</v>
      </c>
      <c r="C25266" s="5">
        <v>2500</v>
      </c>
      <c r="D25266" s="6">
        <v>30.24</v>
      </c>
    </row>
    <row r="25267" spans="1:4" x14ac:dyDescent="0.25">
      <c r="A25267" t="str">
        <f>HYPERLINK("https://www.773grp.com/globalSearch/Z55165-70DGHR/page-1", "Z55165-70DGHR")</f>
        <v>Z55165-70DGHR</v>
      </c>
      <c r="B25267" s="3" t="str">
        <f>HYPERLINK("https://www.773grp.com/manufacturer/texas-instruments?pageNo=471", "Texas Instruments")</f>
        <v>Texas Instruments</v>
      </c>
      <c r="C25267" s="5">
        <v>17250</v>
      </c>
      <c r="D25267" s="6">
        <v>30.26</v>
      </c>
    </row>
    <row r="25268" spans="1:4" x14ac:dyDescent="0.25">
      <c r="A25268" t="str">
        <f>HYPERLINK("https://www.773grp.com/globalSearch/PGA206UA/page-1", "PGA206UA")</f>
        <v>PGA206UA</v>
      </c>
      <c r="B25268" s="3" t="str">
        <f>HYPERLINK("https://www.773grp.com/manufacturer/texas-instruments?pageNo=475", "Texas Instruments")</f>
        <v>Texas Instruments</v>
      </c>
      <c r="C25268" s="5">
        <v>34280</v>
      </c>
      <c r="D25268" s="6">
        <v>30.38</v>
      </c>
    </row>
    <row r="25269" spans="1:4" x14ac:dyDescent="0.25">
      <c r="A25269" t="str">
        <f>HYPERLINK("https://www.773grp.com/globalSearch/PGA206UAG4/page-1", "PGA206UAG4")</f>
        <v>PGA206UAG4</v>
      </c>
      <c r="B25269" s="3" t="str">
        <f>HYPERLINK("https://www.773grp.com/manufacturer/texas-instruments?pageNo=476", "Texas Instruments")</f>
        <v>Texas Instruments</v>
      </c>
      <c r="C25269" s="5">
        <v>10</v>
      </c>
      <c r="D25269" s="6">
        <v>30.38</v>
      </c>
    </row>
    <row r="25270" spans="1:4" x14ac:dyDescent="0.25">
      <c r="A25270" t="str">
        <f>HYPERLINK("https://www.773grp.com/globalSearch/PT78HT233H/page-1", "PT78HT233H")</f>
        <v>PT78HT233H</v>
      </c>
      <c r="B25270" s="3" t="str">
        <f>HYPERLINK("https://www.773grp.com/manufacturer/texas-instruments?pageNo=477", "Texas Instruments")</f>
        <v>Texas Instruments</v>
      </c>
      <c r="C25270" s="5">
        <v>47</v>
      </c>
      <c r="D25270" s="6">
        <v>30.38</v>
      </c>
    </row>
    <row r="25271" spans="1:4" x14ac:dyDescent="0.25">
      <c r="A25271" t="str">
        <f>HYPERLINK("https://www.773grp.com/globalSearch/PT78HT265S/page-1", "PT78HT265S")</f>
        <v>PT78HT265S</v>
      </c>
      <c r="B25271" s="3" t="str">
        <f>HYPERLINK("https://www.773grp.com/manufacturer/texas-instruments?pageNo=481", "Texas Instruments")</f>
        <v>Texas Instruments</v>
      </c>
      <c r="C25271" s="5">
        <v>9</v>
      </c>
      <c r="D25271" s="6">
        <v>30.38</v>
      </c>
    </row>
    <row r="25272" spans="1:4" x14ac:dyDescent="0.25">
      <c r="A25272" t="str">
        <f>HYPERLINK("https://www.773grp.com/globalSearch/PT78ST106H/page-1", "PT78ST106H")</f>
        <v>PT78ST106H</v>
      </c>
      <c r="B25272" s="3" t="str">
        <f>HYPERLINK("https://www.773grp.com/manufacturer/texas-instruments?pageNo=484", "Texas Instruments")</f>
        <v>Texas Instruments</v>
      </c>
      <c r="C25272" s="5">
        <v>5</v>
      </c>
      <c r="D25272" s="6">
        <v>30.38</v>
      </c>
    </row>
    <row r="25273" spans="1:4" x14ac:dyDescent="0.25">
      <c r="A25273" t="str">
        <f>HYPERLINK("https://www.773grp.com/globalSearch/PT78ST106S/page-1", "PT78ST106S")</f>
        <v>PT78ST106S</v>
      </c>
      <c r="B25273" s="3" t="str">
        <f>HYPERLINK("https://www.773grp.com/manufacturer/texas-instruments?pageNo=485", "Texas Instruments")</f>
        <v>Texas Instruments</v>
      </c>
      <c r="C25273" s="5">
        <v>3</v>
      </c>
      <c r="D25273" s="6">
        <v>30.38</v>
      </c>
    </row>
    <row r="25274" spans="1:4" x14ac:dyDescent="0.25">
      <c r="A25274" t="str">
        <f>HYPERLINK("https://www.773grp.com/globalSearch/PT78ST112S/page-1", "PT78ST112S")</f>
        <v>PT78ST112S</v>
      </c>
      <c r="B25274" s="3" t="str">
        <f>HYPERLINK("https://www.773grp.com/manufacturer/texas-instruments?pageNo=487", "Texas Instruments")</f>
        <v>Texas Instruments</v>
      </c>
      <c r="C25274" s="5">
        <v>3</v>
      </c>
      <c r="D25274" s="6">
        <v>30.38</v>
      </c>
    </row>
    <row r="25275" spans="1:4" x14ac:dyDescent="0.25">
      <c r="A25275" t="str">
        <f>HYPERLINK("https://www.773grp.com/globalSearch/PT78ST114V/page-1", "PT78ST114V")</f>
        <v>PT78ST114V</v>
      </c>
      <c r="B25275" s="3" t="str">
        <f>HYPERLINK("https://www.773grp.com/manufacturer/texas-instruments?pageNo=489", "Texas Instruments")</f>
        <v>Texas Instruments</v>
      </c>
      <c r="C25275" s="5">
        <v>8</v>
      </c>
      <c r="D25275" s="6">
        <v>30.38</v>
      </c>
    </row>
    <row r="25276" spans="1:4" x14ac:dyDescent="0.25">
      <c r="A25276" t="str">
        <f>HYPERLINK("https://www.773grp.com/globalSearch/PT78ST115H/page-1", "PT78ST115H")</f>
        <v>PT78ST115H</v>
      </c>
      <c r="B25276" s="3" t="str">
        <f>HYPERLINK("https://www.773grp.com/manufacturer/texas-instruments?pageNo=490", "Texas Instruments")</f>
        <v>Texas Instruments</v>
      </c>
      <c r="C25276" s="5">
        <v>6</v>
      </c>
      <c r="D25276" s="6">
        <v>30.38</v>
      </c>
    </row>
    <row r="25277" spans="1:4" x14ac:dyDescent="0.25">
      <c r="A25277" t="str">
        <f>HYPERLINK("https://www.773grp.com/globalSearch/PT78ST115V/page-1", "PT78ST115V")</f>
        <v>PT78ST115V</v>
      </c>
      <c r="B25277" s="3" t="str">
        <f>HYPERLINK("https://www.773grp.com/manufacturer/texas-instruments?pageNo=492", "Texas Instruments")</f>
        <v>Texas Instruments</v>
      </c>
      <c r="C25277" s="5">
        <v>21</v>
      </c>
      <c r="D25277" s="6">
        <v>30.38</v>
      </c>
    </row>
    <row r="25278" spans="1:4" x14ac:dyDescent="0.25">
      <c r="A25278" t="str">
        <f>HYPERLINK("https://www.773grp.com/globalSearch/PT79SR108V/page-1", "PT79SR108V")</f>
        <v>PT79SR108V</v>
      </c>
      <c r="B25278" s="3" t="str">
        <f>HYPERLINK("https://www.773grp.com/manufacturer/texas-instruments?pageNo=493", "Texas Instruments")</f>
        <v>Texas Instruments</v>
      </c>
      <c r="C25278" s="5">
        <v>6</v>
      </c>
      <c r="D25278" s="6">
        <v>30.38</v>
      </c>
    </row>
    <row r="25279" spans="1:4" x14ac:dyDescent="0.25">
      <c r="A25279" t="str">
        <f>HYPERLINK("https://www.773grp.com/globalSearch/ADC12040CIVY-NOPB/page-1", "ADC12040CIVY-NOPB")</f>
        <v>ADC12040CIVY-NOPB</v>
      </c>
      <c r="B25279" s="3" t="str">
        <f>HYPERLINK("https://www.773grp.com/manufacturer/texas-instruments?pageNo=498", "Texas Instruments")</f>
        <v>Texas Instruments</v>
      </c>
      <c r="C25279" s="5">
        <v>4</v>
      </c>
      <c r="D25279" s="6">
        <v>30.43</v>
      </c>
    </row>
    <row r="25280" spans="1:4" x14ac:dyDescent="0.25">
      <c r="A25280" t="str">
        <f>HYPERLINK("https://www.773grp.com/globalSearch/TVP5158IPNP/page-1", "TVP5158IPNP")</f>
        <v>TVP5158IPNP</v>
      </c>
      <c r="B25280" s="3" t="str">
        <f>HYPERLINK("https://www.773grp.com/manufacturer/texas-instruments?pageNo=506", "Texas Instruments")</f>
        <v>Texas Instruments</v>
      </c>
      <c r="C25280" s="5">
        <v>10</v>
      </c>
      <c r="D25280" s="6">
        <v>30.55</v>
      </c>
    </row>
    <row r="25281" spans="1:4" x14ac:dyDescent="0.25">
      <c r="A25281" t="str">
        <f>HYPERLINK("https://www.773grp.com/globalSearch/TVP5158IPNPR/page-1", "TVP5158IPNPR")</f>
        <v>TVP5158IPNPR</v>
      </c>
      <c r="B25281" s="3" t="str">
        <f>HYPERLINK("https://www.773grp.com/manufacturer/texas-instruments?pageNo=507", "Texas Instruments")</f>
        <v>Texas Instruments</v>
      </c>
      <c r="C25281" s="5">
        <v>615</v>
      </c>
      <c r="D25281" s="6">
        <v>30.55</v>
      </c>
    </row>
    <row r="25282" spans="1:4" x14ac:dyDescent="0.25">
      <c r="A25282" t="str">
        <f>HYPERLINK("https://www.773grp.com/globalSearch/5962-9222203MRA/page-1", "5962-9222203MRA")</f>
        <v>5962-9222203MRA</v>
      </c>
      <c r="B25282" s="3" t="str">
        <f>HYPERLINK("https://www.773grp.com/manufacturer/texas-instruments?pageNo=509", "Texas Instruments")</f>
        <v>Texas Instruments</v>
      </c>
      <c r="C25282" s="5">
        <v>47</v>
      </c>
      <c r="D25282" s="6">
        <v>30.58</v>
      </c>
    </row>
    <row r="25283" spans="1:4" x14ac:dyDescent="0.25">
      <c r="A25283" t="str">
        <f>HYPERLINK("https://www.773grp.com/globalSearch/SN54LS645J/page-1", "SN54LS645J")</f>
        <v>SN54LS645J</v>
      </c>
      <c r="B25283" s="3" t="str">
        <f>HYPERLINK("https://www.773grp.com/manufacturer/texas-instruments?pageNo=515", "Texas Instruments")</f>
        <v>Texas Instruments</v>
      </c>
      <c r="C25283" s="5">
        <v>103</v>
      </c>
      <c r="D25283" s="6">
        <v>30.6</v>
      </c>
    </row>
    <row r="25284" spans="1:4" x14ac:dyDescent="0.25">
      <c r="A25284" t="str">
        <f>HYPERLINK("https://www.773grp.com/globalSearch/SNJ54AC244FK/page-1", "SNJ54AC244FK")</f>
        <v>SNJ54AC244FK</v>
      </c>
      <c r="B25284" s="3" t="str">
        <f>HYPERLINK("https://www.773grp.com/manufacturer/texas-instruments?pageNo=516", "Texas Instruments")</f>
        <v>Texas Instruments</v>
      </c>
      <c r="C25284" s="5">
        <v>4</v>
      </c>
      <c r="D25284" s="6">
        <v>30.6</v>
      </c>
    </row>
    <row r="25285" spans="1:4" x14ac:dyDescent="0.25">
      <c r="A25285" t="str">
        <f>HYPERLINK("https://www.773grp.com/globalSearch/SNJ54ACT374FK/page-1", "SNJ54ACT374FK")</f>
        <v>SNJ54ACT374FK</v>
      </c>
      <c r="B25285" s="3" t="str">
        <f>HYPERLINK("https://www.773grp.com/manufacturer/texas-instruments?pageNo=517", "Texas Instruments")</f>
        <v>Texas Instruments</v>
      </c>
      <c r="C25285" s="5">
        <v>410</v>
      </c>
      <c r="D25285" s="6">
        <v>30.6</v>
      </c>
    </row>
    <row r="25286" spans="1:4" x14ac:dyDescent="0.25">
      <c r="A25286" t="str">
        <f>HYPERLINK("https://www.773grp.com/globalSearch/PTN04050AAS/page-1", "PTN04050AAS")</f>
        <v>PTN04050AAS</v>
      </c>
      <c r="B25286" s="3" t="str">
        <f>HYPERLINK("https://www.773grp.com/manufacturer/texas-instruments?pageNo=521", "Texas Instruments")</f>
        <v>Texas Instruments</v>
      </c>
      <c r="C25286" s="5">
        <v>224</v>
      </c>
      <c r="D25286" s="6">
        <v>30.63</v>
      </c>
    </row>
    <row r="25287" spans="1:4" x14ac:dyDescent="0.25">
      <c r="A25287" t="str">
        <f>HYPERLINK("https://www.773grp.com/globalSearch/PTN04050CAD/page-1", "PTN04050CAD")</f>
        <v>PTN04050CAD</v>
      </c>
      <c r="B25287" s="3" t="str">
        <f>HYPERLINK("https://www.773grp.com/manufacturer/texas-instruments?pageNo=524", "Texas Instruments")</f>
        <v>Texas Instruments</v>
      </c>
      <c r="C25287" s="5">
        <v>56</v>
      </c>
      <c r="D25287" s="6">
        <v>30.63</v>
      </c>
    </row>
    <row r="25288" spans="1:4" x14ac:dyDescent="0.25">
      <c r="A25288" t="str">
        <f>HYPERLINK("https://www.773grp.com/globalSearch/PTN04050CAH/page-1", "PTN04050CAH")</f>
        <v>PTN04050CAH</v>
      </c>
      <c r="B25288" s="3" t="str">
        <f>HYPERLINK("https://www.773grp.com/manufacturer/texas-instruments?pageNo=525", "Texas Instruments")</f>
        <v>Texas Instruments</v>
      </c>
      <c r="C25288" s="5">
        <v>448</v>
      </c>
      <c r="D25288" s="6">
        <v>30.63</v>
      </c>
    </row>
    <row r="25289" spans="1:4" x14ac:dyDescent="0.25">
      <c r="A25289" t="str">
        <f>HYPERLINK("https://www.773grp.com/globalSearch/PTN04050CAZ/page-1", "PTN04050CAZ")</f>
        <v>PTN04050CAZ</v>
      </c>
      <c r="B25289" s="3" t="str">
        <f>HYPERLINK("https://www.773grp.com/manufacturer/texas-instruments?pageNo=527", "Texas Instruments")</f>
        <v>Texas Instruments</v>
      </c>
      <c r="C25289" s="5">
        <v>9</v>
      </c>
      <c r="D25289" s="6">
        <v>30.63</v>
      </c>
    </row>
    <row r="25290" spans="1:4" x14ac:dyDescent="0.25">
      <c r="A25290" t="str">
        <f>HYPERLINK("https://www.773grp.com/globalSearch/TI380C60APAHR/page-1", "TI380C60APAHR")</f>
        <v>TI380C60APAHR</v>
      </c>
      <c r="B25290" s="3" t="str">
        <f>HYPERLINK("https://www.773grp.com/manufacturer/texas-instruments?pageNo=535", "Texas Instruments")</f>
        <v>Texas Instruments</v>
      </c>
      <c r="C25290" s="5">
        <v>104</v>
      </c>
      <c r="D25290" s="6">
        <v>30.68</v>
      </c>
    </row>
    <row r="25291" spans="1:4" x14ac:dyDescent="0.25">
      <c r="A25291" t="str">
        <f>HYPERLINK("https://www.773grp.com/globalSearch/PT5022N/page-1", "PT5022N")</f>
        <v>PT5022N</v>
      </c>
      <c r="B25291" s="3" t="str">
        <f>HYPERLINK("https://www.773grp.com/manufacturer/texas-instruments?pageNo=545", "Texas Instruments")</f>
        <v>Texas Instruments</v>
      </c>
      <c r="C25291" s="5">
        <v>14</v>
      </c>
      <c r="D25291" s="6">
        <v>30.75</v>
      </c>
    </row>
    <row r="25292" spans="1:4" x14ac:dyDescent="0.25">
      <c r="A25292" t="str">
        <f>HYPERLINK("https://www.773grp.com/globalSearch/PT5024A/page-1", "PT5024A")</f>
        <v>PT5024A</v>
      </c>
      <c r="B25292" s="3" t="str">
        <f>HYPERLINK("https://www.773grp.com/manufacturer/texas-instruments?pageNo=547", "Texas Instruments")</f>
        <v>Texas Instruments</v>
      </c>
      <c r="C25292" s="5">
        <v>21</v>
      </c>
      <c r="D25292" s="6">
        <v>30.75</v>
      </c>
    </row>
    <row r="25293" spans="1:4" x14ac:dyDescent="0.25">
      <c r="A25293" t="str">
        <f>HYPERLINK("https://www.773grp.com/globalSearch/PT5024N/page-1", "PT5024N")</f>
        <v>PT5024N</v>
      </c>
      <c r="B25293" s="3" t="str">
        <f>HYPERLINK("https://www.773grp.com/manufacturer/texas-instruments?pageNo=549", "Texas Instruments")</f>
        <v>Texas Instruments</v>
      </c>
      <c r="C25293" s="5">
        <v>25</v>
      </c>
      <c r="D25293" s="6">
        <v>30.75</v>
      </c>
    </row>
    <row r="25294" spans="1:4" x14ac:dyDescent="0.25">
      <c r="A25294" t="str">
        <f>HYPERLINK("https://www.773grp.com/globalSearch/PT5025N/page-1", "PT5025N")</f>
        <v>PT5025N</v>
      </c>
      <c r="B25294" s="3" t="str">
        <f>HYPERLINK("https://www.773grp.com/manufacturer/texas-instruments?pageNo=551", "Texas Instruments")</f>
        <v>Texas Instruments</v>
      </c>
      <c r="C25294" s="5">
        <v>19</v>
      </c>
      <c r="D25294" s="6">
        <v>30.75</v>
      </c>
    </row>
    <row r="25295" spans="1:4" x14ac:dyDescent="0.25">
      <c r="A25295" t="str">
        <f>HYPERLINK("https://www.773grp.com/globalSearch/PT5044A/page-1", "PT5044A")</f>
        <v>PT5044A</v>
      </c>
      <c r="B25295" s="3" t="str">
        <f>HYPERLINK("https://www.773grp.com/manufacturer/texas-instruments?pageNo=560", "Texas Instruments")</f>
        <v>Texas Instruments</v>
      </c>
      <c r="C25295" s="5">
        <v>26</v>
      </c>
      <c r="D25295" s="6">
        <v>30.75</v>
      </c>
    </row>
    <row r="25296" spans="1:4" x14ac:dyDescent="0.25">
      <c r="A25296" t="str">
        <f>HYPERLINK("https://www.773grp.com/globalSearch/PT5044C/page-1", "PT5044C")</f>
        <v>PT5044C</v>
      </c>
      <c r="B25296" s="3" t="str">
        <f>HYPERLINK("https://www.773grp.com/manufacturer/texas-instruments?pageNo=561", "Texas Instruments")</f>
        <v>Texas Instruments</v>
      </c>
      <c r="C25296" s="5">
        <v>3</v>
      </c>
      <c r="D25296" s="6">
        <v>30.75</v>
      </c>
    </row>
    <row r="25297" spans="1:4" x14ac:dyDescent="0.25">
      <c r="A25297" t="str">
        <f>HYPERLINK("https://www.773grp.com/globalSearch/PT5044N/page-1", "PT5044N")</f>
        <v>PT5044N</v>
      </c>
      <c r="B25297" s="3" t="str">
        <f>HYPERLINK("https://www.773grp.com/manufacturer/texas-instruments?pageNo=562", "Texas Instruments")</f>
        <v>Texas Instruments</v>
      </c>
      <c r="C25297" s="5">
        <v>33</v>
      </c>
      <c r="D25297" s="6">
        <v>30.75</v>
      </c>
    </row>
    <row r="25298" spans="1:4" x14ac:dyDescent="0.25">
      <c r="A25298" t="str">
        <f>HYPERLINK("https://www.773grp.com/globalSearch/PT5049A/page-1", "PT5049A")</f>
        <v>PT5049A</v>
      </c>
      <c r="B25298" s="3" t="str">
        <f>HYPERLINK("https://www.773grp.com/manufacturer/texas-instruments?pageNo=567", "Texas Instruments")</f>
        <v>Texas Instruments</v>
      </c>
      <c r="C25298" s="5">
        <v>23</v>
      </c>
      <c r="D25298" s="6">
        <v>30.75</v>
      </c>
    </row>
    <row r="25299" spans="1:4" x14ac:dyDescent="0.25">
      <c r="A25299" t="str">
        <f>HYPERLINK("https://www.773grp.com/globalSearch/PT78SC205ST/page-1", "PT78SC205ST")</f>
        <v>PT78SC205ST</v>
      </c>
      <c r="B25299" s="3" t="str">
        <f>HYPERLINK("https://www.773grp.com/manufacturer/texas-instruments?pageNo=572", "Texas Instruments")</f>
        <v>Texas Instruments</v>
      </c>
      <c r="C25299" s="5">
        <v>15</v>
      </c>
      <c r="D25299" s="6">
        <v>30.76</v>
      </c>
    </row>
    <row r="25300" spans="1:4" x14ac:dyDescent="0.25">
      <c r="A25300" t="str">
        <f>HYPERLINK("https://www.773grp.com/globalSearch/ADS8557IPMR/page-1", "ADS8557IPMR")</f>
        <v>ADS8557IPMR</v>
      </c>
      <c r="B25300" s="3" t="str">
        <f>HYPERLINK("https://www.773grp.com/manufacturer/texas-instruments?pageNo=578", "Texas Instruments")</f>
        <v>Texas Instruments</v>
      </c>
      <c r="C25300" s="5">
        <v>3000</v>
      </c>
      <c r="D25300" s="6">
        <v>30.8</v>
      </c>
    </row>
    <row r="25301" spans="1:4" x14ac:dyDescent="0.25">
      <c r="A25301" t="str">
        <f>HYPERLINK("https://www.773grp.com/globalSearch/AN74ACT7806-25DL/page-1", "AN74ACT7806-25DL")</f>
        <v>AN74ACT7806-25DL</v>
      </c>
      <c r="B25301" s="3" t="str">
        <f>HYPERLINK("https://www.773grp.com/manufacturer/texas-instruments?pageNo=579", "Texas Instruments")</f>
        <v>Texas Instruments</v>
      </c>
      <c r="C25301" s="5">
        <v>460</v>
      </c>
      <c r="D25301" s="6">
        <v>30.8</v>
      </c>
    </row>
    <row r="25302" spans="1:4" x14ac:dyDescent="0.25">
      <c r="A25302" t="str">
        <f>HYPERLINK("https://www.773grp.com/globalSearch/DAC7624UB-1K/page-1", "DAC7624UB-1K")</f>
        <v>DAC7624UB-1K</v>
      </c>
      <c r="B25302" s="3" t="str">
        <f>HYPERLINK("https://www.773grp.com/manufacturer/texas-instruments?pageNo=580", "Texas Instruments")</f>
        <v>Texas Instruments</v>
      </c>
      <c r="C25302" s="5">
        <v>15000</v>
      </c>
      <c r="D25302" s="6">
        <v>30.8</v>
      </c>
    </row>
    <row r="25303" spans="1:4" x14ac:dyDescent="0.25">
      <c r="A25303" t="str">
        <f>HYPERLINK("https://www.773grp.com/globalSearch/LM3S6537-IQC50-A2/page-1", "LM3S6537-IQC50-A2")</f>
        <v>LM3S6537-IQC50-A2</v>
      </c>
      <c r="B25303" s="3" t="str">
        <f>HYPERLINK("https://www.773grp.com/manufacturer/texas-instruments?pageNo=586", "Texas Instruments")</f>
        <v>Texas Instruments</v>
      </c>
      <c r="C25303" s="5">
        <v>56</v>
      </c>
      <c r="D25303" s="6">
        <v>30.8</v>
      </c>
    </row>
    <row r="25304" spans="1:4" x14ac:dyDescent="0.25">
      <c r="A25304" t="str">
        <f>HYPERLINK("https://www.773grp.com/globalSearch/SN5480WA/page-1", "SN5480WA")</f>
        <v>SN5480WA</v>
      </c>
      <c r="B25304" s="3" t="str">
        <f>HYPERLINK("https://www.773grp.com/manufacturer/texas-instruments?pageNo=599", "Texas Instruments")</f>
        <v>Texas Instruments</v>
      </c>
      <c r="C25304" s="5">
        <v>201</v>
      </c>
      <c r="D25304" s="6">
        <v>30.8</v>
      </c>
    </row>
    <row r="25305" spans="1:4" x14ac:dyDescent="0.25">
      <c r="A25305" t="str">
        <f>HYPERLINK("https://www.773grp.com/globalSearch/2N3303/page-1", "2N3303")</f>
        <v>2N3303</v>
      </c>
      <c r="B25305" s="3" t="str">
        <f>HYPERLINK("https://www.773grp.com/manufacturer/texas-instruments?pageNo=613", "Texas Instruments")</f>
        <v>Texas Instruments</v>
      </c>
      <c r="C25305" s="5">
        <v>3</v>
      </c>
      <c r="D25305" s="6">
        <v>30.94</v>
      </c>
    </row>
    <row r="25306" spans="1:4" x14ac:dyDescent="0.25">
      <c r="A25306" t="str">
        <f>HYPERLINK("https://www.773grp.com/globalSearch/CDCM7005ZVAT/page-1", "CDCM7005ZVAT")</f>
        <v>CDCM7005ZVAT</v>
      </c>
      <c r="B25306" s="3" t="str">
        <f>HYPERLINK("https://www.773grp.com/manufacturer/texas-instruments?pageNo=616", "Texas Instruments")</f>
        <v>Texas Instruments</v>
      </c>
      <c r="C25306" s="5">
        <v>230</v>
      </c>
      <c r="D25306" s="6">
        <v>30.94</v>
      </c>
    </row>
    <row r="25307" spans="1:4" x14ac:dyDescent="0.25">
      <c r="A25307" t="str">
        <f>HYPERLINK("https://www.773grp.com/globalSearch/DS90CR484VJDX-NOPB/page-1", "DS90CR484VJDX-NOPB")</f>
        <v>DS90CR484VJDX-NOPB</v>
      </c>
      <c r="B25307" s="3" t="str">
        <f>HYPERLINK("https://www.773grp.com/manufacturer/texas-instruments?pageNo=617", "Texas Instruments")</f>
        <v>Texas Instruments</v>
      </c>
      <c r="C25307" s="5">
        <v>10000</v>
      </c>
      <c r="D25307" s="6">
        <v>30.94</v>
      </c>
    </row>
    <row r="25308" spans="1:4" x14ac:dyDescent="0.25">
      <c r="A25308" t="str">
        <f>HYPERLINK("https://www.773grp.com/globalSearch/PCI7410ZHK/page-1", "PCI7410ZHK")</f>
        <v>PCI7410ZHK</v>
      </c>
      <c r="B25308" s="3" t="str">
        <f>HYPERLINK("https://www.773grp.com/manufacturer/texas-instruments?pageNo=621", "Texas Instruments")</f>
        <v>Texas Instruments</v>
      </c>
      <c r="C25308" s="5">
        <v>2240</v>
      </c>
      <c r="D25308" s="6">
        <v>30.94</v>
      </c>
    </row>
    <row r="25309" spans="1:4" x14ac:dyDescent="0.25">
      <c r="A25309" t="str">
        <f>HYPERLINK("https://www.773grp.com/globalSearch/TL5500RGPT/page-1", "TL5500RGPT")</f>
        <v>TL5500RGPT</v>
      </c>
      <c r="B25309" s="3" t="str">
        <f>HYPERLINK("https://www.773grp.com/manufacturer/texas-instruments?pageNo=631", "Texas Instruments")</f>
        <v>Texas Instruments</v>
      </c>
      <c r="C25309" s="5">
        <v>236</v>
      </c>
      <c r="D25309" s="6">
        <v>30.94</v>
      </c>
    </row>
    <row r="25310" spans="1:4" x14ac:dyDescent="0.25">
      <c r="A25310" t="str">
        <f>HYPERLINK("https://www.773grp.com/globalSearch/TSB13LV11GGB/page-1", "TSB13LV11GGB")</f>
        <v>TSB13LV11GGB</v>
      </c>
      <c r="B25310" s="3" t="str">
        <f>HYPERLINK("https://www.773grp.com/manufacturer/texas-instruments?pageNo=634", "Texas Instruments")</f>
        <v>Texas Instruments</v>
      </c>
      <c r="C25310" s="5">
        <v>1917</v>
      </c>
      <c r="D25310" s="6">
        <v>30.94</v>
      </c>
    </row>
    <row r="25311" spans="1:4" x14ac:dyDescent="0.25">
      <c r="A25311" t="str">
        <f>HYPERLINK("https://www.773grp.com/globalSearch/TVP4020AGFN/page-1", "TVP4020AGFN")</f>
        <v>TVP4020AGFN</v>
      </c>
      <c r="B25311" s="3" t="str">
        <f>HYPERLINK("https://www.773grp.com/manufacturer/texas-instruments?pageNo=635", "Texas Instruments")</f>
        <v>Texas Instruments</v>
      </c>
      <c r="C25311" s="5">
        <v>29847</v>
      </c>
      <c r="D25311" s="6">
        <v>30.94</v>
      </c>
    </row>
    <row r="25312" spans="1:4" x14ac:dyDescent="0.25">
      <c r="A25312" t="str">
        <f>HYPERLINK("https://www.773grp.com/globalSearch/UC2625MDWREP/page-1", "UC2625MDWREP")</f>
        <v>UC2625MDWREP</v>
      </c>
      <c r="B25312" s="3" t="str">
        <f>HYPERLINK("https://www.773grp.com/manufacturer/texas-instruments?pageNo=636", "Texas Instruments")</f>
        <v>Texas Instruments</v>
      </c>
      <c r="C25312" s="5">
        <v>1000</v>
      </c>
      <c r="D25312" s="6">
        <v>30.94</v>
      </c>
    </row>
    <row r="25313" spans="1:4" x14ac:dyDescent="0.25">
      <c r="A25313" t="str">
        <f>HYPERLINK("https://www.773grp.com/globalSearch/PTHS8135PHP/page-1", "PTHS8135PHP")</f>
        <v>PTHS8135PHP</v>
      </c>
      <c r="B25313" s="3" t="str">
        <f>HYPERLINK("https://www.773grp.com/manufacturer/texas-instruments?pageNo=645", "Texas Instruments")</f>
        <v>Texas Instruments</v>
      </c>
      <c r="C25313" s="5">
        <v>180</v>
      </c>
      <c r="D25313" s="6">
        <v>31.09</v>
      </c>
    </row>
    <row r="25314" spans="1:4" x14ac:dyDescent="0.25">
      <c r="A25314" t="str">
        <f>HYPERLINK("https://www.773grp.com/globalSearch/TMS320F2806PZQ/page-1", "TMS320F2806PZQ")</f>
        <v>TMS320F2806PZQ</v>
      </c>
      <c r="B25314" s="3" t="str">
        <f>HYPERLINK("https://www.773grp.com/manufacturer/texas-instruments?pageNo=647", "Texas Instruments")</f>
        <v>Texas Instruments</v>
      </c>
      <c r="C25314" s="5">
        <v>65</v>
      </c>
      <c r="D25314" s="6">
        <v>31.09</v>
      </c>
    </row>
    <row r="25315" spans="1:4" x14ac:dyDescent="0.25">
      <c r="A25315" t="str">
        <f>HYPERLINK("https://www.773grp.com/globalSearch/DAC7731EC-1K/page-1", "DAC7731EC-1K")</f>
        <v>DAC7731EC-1K</v>
      </c>
      <c r="B25315" s="3" t="str">
        <f>HYPERLINK("https://www.773grp.com/manufacturer/texas-instruments?pageNo=659", "Texas Instruments")</f>
        <v>Texas Instruments</v>
      </c>
      <c r="C25315" s="5">
        <v>1000</v>
      </c>
      <c r="D25315" s="6">
        <v>31.25</v>
      </c>
    </row>
    <row r="25316" spans="1:4" x14ac:dyDescent="0.25">
      <c r="A25316" t="str">
        <f>HYPERLINK("https://www.773grp.com/globalSearch/TSB43AA82AIPGEEP/page-1", "TSB43AA82AIPGEEP")</f>
        <v>TSB43AA82AIPGEEP</v>
      </c>
      <c r="B25316" s="3" t="str">
        <f>HYPERLINK("https://www.773grp.com/manufacturer/texas-instruments?pageNo=660", "Texas Instruments")</f>
        <v>Texas Instruments</v>
      </c>
      <c r="C25316" s="5">
        <v>16</v>
      </c>
      <c r="D25316" s="6">
        <v>31.25</v>
      </c>
    </row>
    <row r="25317" spans="1:4" x14ac:dyDescent="0.25">
      <c r="A25317" t="str">
        <f>HYPERLINK("https://www.773grp.com/globalSearch/DS90CR485VS-NOPB/page-1", "DS90CR485VS-NOPB")</f>
        <v>DS90CR485VS-NOPB</v>
      </c>
      <c r="B25317" s="3" t="str">
        <f>HYPERLINK("https://www.773grp.com/manufacturer/texas-instruments?pageNo=668", "Texas Instruments")</f>
        <v>Texas Instruments</v>
      </c>
      <c r="C25317" s="5">
        <v>900</v>
      </c>
      <c r="D25317" s="6">
        <v>31.34</v>
      </c>
    </row>
    <row r="25318" spans="1:4" x14ac:dyDescent="0.25">
      <c r="A25318" t="str">
        <f>HYPERLINK("https://www.773grp.com/globalSearch/DAC8871SBPWR/page-1", "DAC8871SBPWR")</f>
        <v>DAC8871SBPWR</v>
      </c>
      <c r="B25318" s="3" t="str">
        <f>HYPERLINK("https://www.773grp.com/manufacturer/texas-instruments?pageNo=673", "Texas Instruments")</f>
        <v>Texas Instruments</v>
      </c>
      <c r="C25318" s="5">
        <v>2000</v>
      </c>
      <c r="D25318" s="6">
        <v>31.35</v>
      </c>
    </row>
    <row r="25319" spans="1:4" x14ac:dyDescent="0.25">
      <c r="A25319" t="str">
        <f>HYPERLINK("https://www.773grp.com/globalSearch/DP83815DUJB/page-1", "DP83815DUJB")</f>
        <v>DP83815DUJB</v>
      </c>
      <c r="B25319" s="3" t="str">
        <f>HYPERLINK("https://www.773grp.com/manufacturer/texas-instruments?pageNo=674", "Texas Instruments")</f>
        <v>Texas Instruments</v>
      </c>
      <c r="C25319" s="5">
        <v>121</v>
      </c>
      <c r="D25319" s="6">
        <v>31.35</v>
      </c>
    </row>
    <row r="25320" spans="1:4" x14ac:dyDescent="0.25">
      <c r="A25320" t="str">
        <f>HYPERLINK("https://www.773grp.com/globalSearch/PCI1210PGE/page-1", "PCI1210PGE")</f>
        <v>PCI1210PGE</v>
      </c>
      <c r="B25320" s="3" t="str">
        <f>HYPERLINK("https://www.773grp.com/manufacturer/texas-instruments?pageNo=676", "Texas Instruments")</f>
        <v>Texas Instruments</v>
      </c>
      <c r="C25320" s="5">
        <v>10120</v>
      </c>
      <c r="D25320" s="6">
        <v>31.35</v>
      </c>
    </row>
    <row r="25321" spans="1:4" x14ac:dyDescent="0.25">
      <c r="A25321" t="str">
        <f>HYPERLINK("https://www.773grp.com/globalSearch/UC1707L-883B/page-1", "UC1707L-883B")</f>
        <v>UC1707L-883B</v>
      </c>
      <c r="B25321" s="3" t="str">
        <f>HYPERLINK("https://www.773grp.com/manufacturer/texas-instruments?pageNo=696", "Texas Instruments")</f>
        <v>Texas Instruments</v>
      </c>
      <c r="C25321" s="5">
        <v>15</v>
      </c>
      <c r="D25321" s="6">
        <v>31.5</v>
      </c>
    </row>
    <row r="25322" spans="1:4" x14ac:dyDescent="0.25">
      <c r="A25322" t="str">
        <f>HYPERLINK("https://www.773grp.com/globalSearch/DAC5662AIPFBR/page-1", "DAC5662AIPFBR")</f>
        <v>DAC5662AIPFBR</v>
      </c>
      <c r="B25322" s="3" t="str">
        <f>HYPERLINK("https://www.773grp.com/manufacturer/texas-instruments?pageNo=705", "Texas Instruments")</f>
        <v>Texas Instruments</v>
      </c>
      <c r="C25322" s="5">
        <v>1000</v>
      </c>
      <c r="D25322" s="6">
        <v>31.64</v>
      </c>
    </row>
    <row r="25323" spans="1:4" x14ac:dyDescent="0.25">
      <c r="A25323" t="str">
        <f>HYPERLINK("https://www.773grp.com/globalSearch/DAC5662IPFBR/page-1", "DAC5662IPFBR")</f>
        <v>DAC5662IPFBR</v>
      </c>
      <c r="B25323" s="3" t="str">
        <f>HYPERLINK("https://www.773grp.com/manufacturer/texas-instruments?pageNo=706", "Texas Instruments")</f>
        <v>Texas Instruments</v>
      </c>
      <c r="C25323" s="5">
        <v>3923</v>
      </c>
      <c r="D25323" s="6">
        <v>31.64</v>
      </c>
    </row>
    <row r="25324" spans="1:4" x14ac:dyDescent="0.25">
      <c r="A25324" t="str">
        <f>HYPERLINK("https://www.773grp.com/globalSearch/SNJ5524J/page-1", "SNJ5524J")</f>
        <v>SNJ5524J</v>
      </c>
      <c r="B25324" s="3" t="str">
        <f>HYPERLINK("https://www.773grp.com/manufacturer/texas-instruments?pageNo=710", "Texas Instruments")</f>
        <v>Texas Instruments</v>
      </c>
      <c r="C25324" s="5">
        <v>4794</v>
      </c>
      <c r="D25324" s="6">
        <v>31.64</v>
      </c>
    </row>
    <row r="25325" spans="1:4" x14ac:dyDescent="0.25">
      <c r="A25325" t="str">
        <f>HYPERLINK("https://www.773grp.com/globalSearch/TMS44C251A-80DZR/page-1", "TMS44C251A-80DZR")</f>
        <v>TMS44C251A-80DZR</v>
      </c>
      <c r="B25325" s="3" t="str">
        <f>HYPERLINK("https://www.773grp.com/manufacturer/texas-instruments?pageNo=714", "Texas Instruments")</f>
        <v>Texas Instruments</v>
      </c>
      <c r="C25325" s="5">
        <v>1000</v>
      </c>
      <c r="D25325" s="6">
        <v>31.69</v>
      </c>
    </row>
    <row r="25326" spans="1:4" x14ac:dyDescent="0.25">
      <c r="A25326" t="str">
        <f>HYPERLINK("https://www.773grp.com/globalSearch/LM3S8938-IQC50-A2/page-1", "LM3S8938-IQC50-A2")</f>
        <v>LM3S8938-IQC50-A2</v>
      </c>
      <c r="B25326" s="3" t="str">
        <f>HYPERLINK("https://www.773grp.com/manufacturer/texas-instruments?pageNo=722", "Texas Instruments")</f>
        <v>Texas Instruments</v>
      </c>
      <c r="C25326" s="5">
        <v>80</v>
      </c>
      <c r="D25326" s="6">
        <v>31.78</v>
      </c>
    </row>
    <row r="25327" spans="1:4" x14ac:dyDescent="0.25">
      <c r="A25327" t="str">
        <f>HYPERLINK("https://www.773grp.com/globalSearch/TIBAPAL20L8-5CNT/page-1", "TIBAPAL20L8-5CNT")</f>
        <v>TIBAPAL20L8-5CNT</v>
      </c>
      <c r="B25327" s="3" t="str">
        <f>HYPERLINK("https://www.773grp.com/manufacturer/texas-instruments?pageNo=732", "Texas Instruments")</f>
        <v>Texas Instruments</v>
      </c>
      <c r="C25327" s="5">
        <v>15</v>
      </c>
      <c r="D25327" s="6">
        <v>31.78</v>
      </c>
    </row>
    <row r="25328" spans="1:4" x14ac:dyDescent="0.25">
      <c r="A25328" t="str">
        <f>HYPERLINK("https://www.773grp.com/globalSearch/BQ2150B-013/page-1", "BQ2150B-013")</f>
        <v>BQ2150B-013</v>
      </c>
      <c r="B25328" s="3" t="str">
        <f>HYPERLINK("https://www.773grp.com/manufacturer/texas-instruments?pageNo=741", "Texas Instruments")</f>
        <v>Texas Instruments</v>
      </c>
      <c r="C25328" s="5">
        <v>11</v>
      </c>
      <c r="D25328" s="6">
        <v>31.81</v>
      </c>
    </row>
    <row r="25329" spans="1:4" x14ac:dyDescent="0.25">
      <c r="A25329" t="str">
        <f>HYPERLINK("https://www.773grp.com/globalSearch/SN54HC595J/page-1", "SN54HC595J")</f>
        <v>SN54HC595J</v>
      </c>
      <c r="B25329" s="3" t="str">
        <f>HYPERLINK("https://www.773grp.com/manufacturer/texas-instruments?pageNo=745", "Texas Instruments")</f>
        <v>Texas Instruments</v>
      </c>
      <c r="C25329" s="5">
        <v>30</v>
      </c>
      <c r="D25329" s="6">
        <v>31.84</v>
      </c>
    </row>
    <row r="25330" spans="1:4" x14ac:dyDescent="0.25">
      <c r="A25330" t="str">
        <f>HYPERLINK("https://www.773grp.com/globalSearch/TLK1002RGE/page-1", "TLK1002RGE")</f>
        <v>TLK1002RGE</v>
      </c>
      <c r="B25330" s="3" t="str">
        <f>HYPERLINK("https://www.773grp.com/manufacturer/texas-instruments?pageNo=752", "Texas Instruments")</f>
        <v>Texas Instruments</v>
      </c>
      <c r="C25330" s="5">
        <v>1594</v>
      </c>
      <c r="D25330" s="6">
        <v>31.93</v>
      </c>
    </row>
    <row r="25331" spans="1:4" x14ac:dyDescent="0.25">
      <c r="A25331" t="str">
        <f>HYPERLINK("https://www.773grp.com/globalSearch/D172A4PJ80/page-1", "D172A4PJ80")</f>
        <v>D172A4PJ80</v>
      </c>
      <c r="B25331" s="3" t="str">
        <f>HYPERLINK("https://www.773grp.com/manufacturer/texas-instruments?pageNo=758", "Texas Instruments")</f>
        <v>Texas Instruments</v>
      </c>
      <c r="C25331" s="5">
        <v>57</v>
      </c>
      <c r="D25331" s="6">
        <v>31.95</v>
      </c>
    </row>
    <row r="25332" spans="1:4" x14ac:dyDescent="0.25">
      <c r="A25332" t="str">
        <f>HYPERLINK("https://www.773grp.com/globalSearch/D172A4PJ92/page-1", "D172A4PJ92")</f>
        <v>D172A4PJ92</v>
      </c>
      <c r="B25332" s="3" t="str">
        <f>HYPERLINK("https://www.773grp.com/manufacturer/texas-instruments?pageNo=759", "Texas Instruments")</f>
        <v>Texas Instruments</v>
      </c>
      <c r="C25332" s="5">
        <v>510</v>
      </c>
      <c r="D25332" s="6">
        <v>31.95</v>
      </c>
    </row>
    <row r="25333" spans="1:4" x14ac:dyDescent="0.25">
      <c r="A25333" t="str">
        <f>HYPERLINK("https://www.773grp.com/globalSearch/D172A4PJ92R/page-1", "D172A4PJ92R")</f>
        <v>D172A4PJ92R</v>
      </c>
      <c r="B25333" s="3" t="str">
        <f>HYPERLINK("https://www.773grp.com/manufacturer/texas-instruments?pageNo=760", "Texas Instruments")</f>
        <v>Texas Instruments</v>
      </c>
      <c r="C25333" s="5">
        <v>2000</v>
      </c>
      <c r="D25333" s="6">
        <v>31.95</v>
      </c>
    </row>
    <row r="25334" spans="1:4" x14ac:dyDescent="0.25">
      <c r="A25334" t="str">
        <f>HYPERLINK("https://www.773grp.com/globalSearch/D172A4PZA92/page-1", "D172A4PZA92")</f>
        <v>D172A4PZA92</v>
      </c>
      <c r="B25334" s="3" t="str">
        <f>HYPERLINK("https://www.773grp.com/manufacturer/texas-instruments?pageNo=761", "Texas Instruments")</f>
        <v>Texas Instruments</v>
      </c>
      <c r="C25334" s="5">
        <v>1728</v>
      </c>
      <c r="D25334" s="6">
        <v>31.95</v>
      </c>
    </row>
    <row r="25335" spans="1:4" x14ac:dyDescent="0.25">
      <c r="A25335" t="str">
        <f>HYPERLINK("https://www.773grp.com/globalSearch/D172A4PZA96R/page-1", "D172A4PZA96R")</f>
        <v>D172A4PZA96R</v>
      </c>
      <c r="B25335" s="3" t="str">
        <f>HYPERLINK("https://www.773grp.com/manufacturer/texas-instruments?pageNo=762", "Texas Instruments")</f>
        <v>Texas Instruments</v>
      </c>
      <c r="C25335" s="5">
        <v>955</v>
      </c>
      <c r="D25335" s="6">
        <v>31.95</v>
      </c>
    </row>
    <row r="25336" spans="1:4" x14ac:dyDescent="0.25">
      <c r="A25336" t="str">
        <f>HYPERLINK("https://www.773grp.com/globalSearch/ADS8528SPM/page-1", "ADS8528SPM")</f>
        <v>ADS8528SPM</v>
      </c>
      <c r="B25336" s="3" t="str">
        <f>HYPERLINK("https://www.773grp.com/manufacturer/texas-instruments?pageNo=773", "Texas Instruments")</f>
        <v>Texas Instruments</v>
      </c>
      <c r="C25336" s="5">
        <v>120</v>
      </c>
      <c r="D25336" s="6">
        <v>32.06</v>
      </c>
    </row>
    <row r="25337" spans="1:4" x14ac:dyDescent="0.25">
      <c r="A25337" t="str">
        <f>HYPERLINK("https://www.773grp.com/globalSearch/SN54AS1034AJ/page-1", "SN54AS1034AJ")</f>
        <v>SN54AS1034AJ</v>
      </c>
      <c r="B25337" s="3" t="str">
        <f>HYPERLINK("https://www.773grp.com/manufacturer/texas-instruments?pageNo=776", "Texas Instruments")</f>
        <v>Texas Instruments</v>
      </c>
      <c r="C25337" s="5">
        <v>11</v>
      </c>
      <c r="D25337" s="6">
        <v>32.1</v>
      </c>
    </row>
    <row r="25338" spans="1:4" x14ac:dyDescent="0.25">
      <c r="A25338" t="str">
        <f>HYPERLINK("https://www.773grp.com/globalSearch/BQ2110B-010/page-1", "BQ2110B-010")</f>
        <v>BQ2110B-010</v>
      </c>
      <c r="B25338" s="3" t="str">
        <f>HYPERLINK("https://www.773grp.com/manufacturer/texas-instruments?pageNo=778", "Texas Instruments")</f>
        <v>Texas Instruments</v>
      </c>
      <c r="C25338" s="5">
        <v>1</v>
      </c>
      <c r="D25338" s="6">
        <v>32.15</v>
      </c>
    </row>
    <row r="25339" spans="1:4" x14ac:dyDescent="0.25">
      <c r="A25339" t="str">
        <f>HYPERLINK("https://www.773grp.com/globalSearch/PT5024M/page-1", "PT5024M")</f>
        <v>PT5024M</v>
      </c>
      <c r="B25339" s="3" t="str">
        <f>HYPERLINK("https://www.773grp.com/manufacturer/texas-instruments?pageNo=783", "Texas Instruments")</f>
        <v>Texas Instruments</v>
      </c>
      <c r="C25339" s="5">
        <v>7</v>
      </c>
      <c r="D25339" s="6">
        <v>32.15</v>
      </c>
    </row>
    <row r="25340" spans="1:4" x14ac:dyDescent="0.25">
      <c r="A25340" t="str">
        <f>HYPERLINK("https://www.773grp.com/globalSearch/PT5029M/page-1", "PT5029M")</f>
        <v>PT5029M</v>
      </c>
      <c r="B25340" s="3" t="str">
        <f>HYPERLINK("https://www.773grp.com/manufacturer/texas-instruments?pageNo=788", "Texas Instruments")</f>
        <v>Texas Instruments</v>
      </c>
      <c r="C25340" s="5">
        <v>13</v>
      </c>
      <c r="D25340" s="6">
        <v>32.15</v>
      </c>
    </row>
    <row r="25341" spans="1:4" x14ac:dyDescent="0.25">
      <c r="A25341" t="str">
        <f>HYPERLINK("https://www.773grp.com/globalSearch/JM38510-10404BEA/page-1", "JM38510-10404BEA")</f>
        <v>JM38510-10404BEA</v>
      </c>
      <c r="B25341" s="3" t="str">
        <f>HYPERLINK("https://www.773grp.com/manufacturer/texas-instruments?pageNo=796", "Texas Instruments")</f>
        <v>Texas Instruments</v>
      </c>
      <c r="C25341" s="5">
        <v>12</v>
      </c>
      <c r="D25341" s="6">
        <v>32.18</v>
      </c>
    </row>
    <row r="25342" spans="1:4" x14ac:dyDescent="0.25">
      <c r="A25342" t="str">
        <f>HYPERLINK("https://www.773grp.com/globalSearch/PCM1702/page-1", "PCM1702")</f>
        <v>PCM1702</v>
      </c>
      <c r="B25342" s="3" t="str">
        <f>HYPERLINK("https://www.773grp.com/manufacturer/texas-instruments?pageNo=814", "Texas Instruments")</f>
        <v>Texas Instruments</v>
      </c>
      <c r="C25342" s="5">
        <v>1</v>
      </c>
      <c r="D25342" s="6">
        <v>32.24</v>
      </c>
    </row>
    <row r="25343" spans="1:4" x14ac:dyDescent="0.25">
      <c r="A25343" t="str">
        <f>HYPERLINK("https://www.773grp.com/globalSearch/5962-9680201QDA/page-1", "5962-9680201QDA")</f>
        <v>5962-9680201QDA</v>
      </c>
      <c r="B25343" s="3" t="str">
        <f>HYPERLINK("https://www.773grp.com/manufacturer/texas-instruments?pageNo=816", "Texas Instruments")</f>
        <v>Texas Instruments</v>
      </c>
      <c r="C25343" s="5">
        <v>5</v>
      </c>
      <c r="D25343" s="6">
        <v>32.26</v>
      </c>
    </row>
    <row r="25344" spans="1:4" x14ac:dyDescent="0.25">
      <c r="A25344" t="str">
        <f>HYPERLINK("https://www.773grp.com/globalSearch/CDC7005ZVAT/page-1", "CDC7005ZVAT")</f>
        <v>CDC7005ZVAT</v>
      </c>
      <c r="B25344" s="3" t="str">
        <f>HYPERLINK("https://www.773grp.com/manufacturer/texas-instruments?pageNo=829", "Texas Instruments")</f>
        <v>Texas Instruments</v>
      </c>
      <c r="C25344" s="5">
        <v>250</v>
      </c>
      <c r="D25344" s="6">
        <v>32.35</v>
      </c>
    </row>
    <row r="25345" spans="1:4" x14ac:dyDescent="0.25">
      <c r="A25345" t="str">
        <f>HYPERLINK("https://www.773grp.com/globalSearch/JM38510-65004BDA/page-1", "JM38510-65004BDA")</f>
        <v>JM38510-65004BDA</v>
      </c>
      <c r="B25345" s="3" t="str">
        <f>HYPERLINK("https://www.773grp.com/manufacturer/texas-instruments?pageNo=830", "Texas Instruments")</f>
        <v>Texas Instruments</v>
      </c>
      <c r="C25345" s="5">
        <v>153</v>
      </c>
      <c r="D25345" s="6">
        <v>32.35</v>
      </c>
    </row>
    <row r="25346" spans="1:4" x14ac:dyDescent="0.25">
      <c r="A25346" t="str">
        <f>HYPERLINK("https://www.773grp.com/globalSearch/LMZ22010TZ-NOPB/page-1", "LMZ22010TZ-NOPB")</f>
        <v>LMZ22010TZ-NOPB</v>
      </c>
      <c r="B25346" s="3" t="str">
        <f>HYPERLINK("https://www.773grp.com/manufacturer/texas-instruments?pageNo=831", "Texas Instruments")</f>
        <v>Texas Instruments</v>
      </c>
      <c r="C25346" s="5">
        <v>168</v>
      </c>
      <c r="D25346" s="6">
        <v>32.35</v>
      </c>
    </row>
    <row r="25347" spans="1:4" x14ac:dyDescent="0.25">
      <c r="A25347" t="str">
        <f>HYPERLINK("https://www.773grp.com/globalSearch/TMS320C6748BZWT3/page-1", "TMS320C6748BZWT3")</f>
        <v>TMS320C6748BZWT3</v>
      </c>
      <c r="B25347" s="3" t="str">
        <f>HYPERLINK("https://www.773grp.com/manufacturer/texas-instruments?pageNo=839", "Texas Instruments")</f>
        <v>Texas Instruments</v>
      </c>
      <c r="C25347" s="5">
        <v>31</v>
      </c>
      <c r="D25347" s="6">
        <v>32.35</v>
      </c>
    </row>
    <row r="25348" spans="1:4" x14ac:dyDescent="0.25">
      <c r="A25348" t="str">
        <f>HYPERLINK("https://www.773grp.com/globalSearch/TMS320SP100PGE100/page-1", "TMS320SP100PGE100")</f>
        <v>TMS320SP100PGE100</v>
      </c>
      <c r="B25348" s="3" t="str">
        <f>HYPERLINK("https://www.773grp.com/manufacturer/texas-instruments?pageNo=840", "Texas Instruments")</f>
        <v>Texas Instruments</v>
      </c>
      <c r="C25348" s="5">
        <v>780</v>
      </c>
      <c r="D25348" s="6">
        <v>32.35</v>
      </c>
    </row>
    <row r="25349" spans="1:4" x14ac:dyDescent="0.25">
      <c r="A25349" t="str">
        <f>HYPERLINK("https://www.773grp.com/globalSearch/IS0122P-1/page-1", "IS0122P-1")</f>
        <v>IS0122P-1</v>
      </c>
      <c r="B25349" s="3" t="str">
        <f>HYPERLINK("https://www.773grp.com/manufacturer/texas-instruments?pageNo=844", "Texas Instruments")</f>
        <v>Texas Instruments</v>
      </c>
      <c r="C25349" s="5">
        <v>10</v>
      </c>
      <c r="D25349" s="6">
        <v>32.36</v>
      </c>
    </row>
    <row r="25350" spans="1:4" x14ac:dyDescent="0.25">
      <c r="A25350" t="str">
        <f>HYPERLINK("https://www.773grp.com/globalSearch/SR1581ABA8PTR/page-1", "SR1581ABA8PTR")</f>
        <v>SR1581ABA8PTR</v>
      </c>
      <c r="B25350" s="3" t="str">
        <f>HYPERLINK("https://www.773grp.com/manufacturer/texas-instruments?pageNo=845", "Texas Instruments")</f>
        <v>Texas Instruments</v>
      </c>
      <c r="C25350" s="5">
        <v>18742</v>
      </c>
      <c r="D25350" s="6">
        <v>32.36</v>
      </c>
    </row>
    <row r="25351" spans="1:4" x14ac:dyDescent="0.25">
      <c r="A25351" t="str">
        <f>HYPERLINK("https://www.773grp.com/globalSearch/TLC555MFKB/page-1", "TLC555MFKB")</f>
        <v>TLC555MFKB</v>
      </c>
      <c r="B25351" s="3" t="str">
        <f>HYPERLINK("https://www.773grp.com/manufacturer/texas-instruments?pageNo=849", "Texas Instruments")</f>
        <v>Texas Instruments</v>
      </c>
      <c r="C25351" s="5">
        <v>20</v>
      </c>
      <c r="D25351" s="6">
        <v>32.44</v>
      </c>
    </row>
    <row r="25352" spans="1:4" x14ac:dyDescent="0.25">
      <c r="A25352" t="str">
        <f>HYPERLINK("https://www.773grp.com/globalSearch/DRV591VFPR/page-1", "DRV591VFPR")</f>
        <v>DRV591VFPR</v>
      </c>
      <c r="B25352" s="3" t="str">
        <f>HYPERLINK("https://www.773grp.com/manufacturer/texas-instruments?pageNo=851", "Texas Instruments")</f>
        <v>Texas Instruments</v>
      </c>
      <c r="C25352" s="5">
        <v>40000</v>
      </c>
      <c r="D25352" s="6">
        <v>32.49</v>
      </c>
    </row>
    <row r="25353" spans="1:4" x14ac:dyDescent="0.25">
      <c r="A25353" t="str">
        <f>HYPERLINK("https://www.773grp.com/globalSearch/TMS320C6722BRFP250/page-1", "TMS320C6722BRFP250")</f>
        <v>TMS320C6722BRFP250</v>
      </c>
      <c r="B25353" s="3" t="str">
        <f>HYPERLINK("https://www.773grp.com/manufacturer/texas-instruments?pageNo=852", "Texas Instruments")</f>
        <v>Texas Instruments</v>
      </c>
      <c r="C25353" s="5">
        <v>15</v>
      </c>
      <c r="D25353" s="6">
        <v>32.49</v>
      </c>
    </row>
    <row r="25354" spans="1:4" x14ac:dyDescent="0.25">
      <c r="A25354" t="str">
        <f>HYPERLINK("https://www.773grp.com/globalSearch/ADS8344NB/page-1", "ADS8344NB")</f>
        <v>ADS8344NB</v>
      </c>
      <c r="B25354" s="3" t="str">
        <f>HYPERLINK("https://www.773grp.com/manufacturer/texas-instruments?pageNo=869", "Texas Instruments")</f>
        <v>Texas Instruments</v>
      </c>
      <c r="C25354" s="5">
        <v>4</v>
      </c>
      <c r="D25354" s="6">
        <v>32.630000000000003</v>
      </c>
    </row>
    <row r="25355" spans="1:4" x14ac:dyDescent="0.25">
      <c r="A25355" t="str">
        <f>HYPERLINK("https://www.773grp.com/globalSearch/TMS370C742FNL/page-1", "TMS370C742FNL")</f>
        <v>TMS370C742FNL</v>
      </c>
      <c r="B25355" s="3" t="str">
        <f>HYPERLINK("https://www.773grp.com/manufacturer/texas-instruments?pageNo=875", "Texas Instruments")</f>
        <v>Texas Instruments</v>
      </c>
      <c r="C25355" s="5">
        <v>696</v>
      </c>
      <c r="D25355" s="6">
        <v>32.69</v>
      </c>
    </row>
    <row r="25356" spans="1:4" x14ac:dyDescent="0.25">
      <c r="A25356" t="str">
        <f>HYPERLINK("https://www.773grp.com/globalSearch/TMS320C6205GHK200/page-1", "TMS320C6205GHK200")</f>
        <v>TMS320C6205GHK200</v>
      </c>
      <c r="B25356" s="3" t="str">
        <f>HYPERLINK("https://www.773grp.com/manufacturer/texas-instruments?pageNo=877", "Texas Instruments")</f>
        <v>Texas Instruments</v>
      </c>
      <c r="C25356" s="5">
        <v>209</v>
      </c>
      <c r="D25356" s="6">
        <v>32.74</v>
      </c>
    </row>
    <row r="25357" spans="1:4" x14ac:dyDescent="0.25">
      <c r="A25357" t="str">
        <f>HYPERLINK("https://www.773grp.com/globalSearch/TMS320C6205ZHK200/page-1", "TMS320C6205ZHK200")</f>
        <v>TMS320C6205ZHK200</v>
      </c>
      <c r="B25357" s="3" t="str">
        <f>HYPERLINK("https://www.773grp.com/manufacturer/texas-instruments?pageNo=878", "Texas Instruments")</f>
        <v>Texas Instruments</v>
      </c>
      <c r="C25357" s="5">
        <v>405</v>
      </c>
      <c r="D25357" s="6">
        <v>32.74</v>
      </c>
    </row>
    <row r="25358" spans="1:4" x14ac:dyDescent="0.25">
      <c r="A25358" t="str">
        <f>HYPERLINK("https://www.773grp.com/globalSearch/TMS320VC33PGE120G4/page-1", "TMS320VC33PGE120G4")</f>
        <v>TMS320VC33PGE120G4</v>
      </c>
      <c r="B25358" s="3" t="str">
        <f>HYPERLINK("https://www.773grp.com/manufacturer/texas-instruments?pageNo=887", "Texas Instruments")</f>
        <v>Texas Instruments</v>
      </c>
      <c r="C25358" s="5">
        <v>125</v>
      </c>
      <c r="D25358" s="6">
        <v>32.85</v>
      </c>
    </row>
    <row r="25359" spans="1:4" x14ac:dyDescent="0.25">
      <c r="A25359" t="str">
        <f>HYPERLINK("https://www.773grp.com/globalSearch/LM135AH-NOPB/page-1", "LM135AH-NOPB")</f>
        <v>LM135AH-NOPB</v>
      </c>
      <c r="B25359" s="3" t="str">
        <f>HYPERLINK("https://www.773grp.com/manufacturer/texas-instruments?pageNo=894", "Texas Instruments")</f>
        <v>Texas Instruments</v>
      </c>
      <c r="C25359" s="5">
        <v>600</v>
      </c>
      <c r="D25359" s="6">
        <v>32.94</v>
      </c>
    </row>
    <row r="25360" spans="1:4" x14ac:dyDescent="0.25">
      <c r="A25360" t="str">
        <f>HYPERLINK("https://www.773grp.com/globalSearch/SNJ54AHC123AFK/page-1", "SNJ54AHC123AFK")</f>
        <v>SNJ54AHC123AFK</v>
      </c>
      <c r="B25360" s="3" t="str">
        <f>HYPERLINK("https://www.773grp.com/manufacturer/texas-instruments?pageNo=898", "Texas Instruments")</f>
        <v>Texas Instruments</v>
      </c>
      <c r="C25360" s="5">
        <v>5</v>
      </c>
      <c r="D25360" s="6">
        <v>33.03</v>
      </c>
    </row>
    <row r="25361" spans="1:4" x14ac:dyDescent="0.25">
      <c r="A25361" t="str">
        <f>HYPERLINK("https://www.773grp.com/globalSearch/AN74ABTH182652APM/page-1", "AN74ABTH182652APM")</f>
        <v>AN74ABTH182652APM</v>
      </c>
      <c r="B25361" s="3" t="str">
        <f>HYPERLINK("https://www.773grp.com/manufacturer/texas-instruments?pageNo=899", "Texas Instruments")</f>
        <v>Texas Instruments</v>
      </c>
      <c r="C25361" s="5">
        <v>1160</v>
      </c>
      <c r="D25361" s="6">
        <v>33.04</v>
      </c>
    </row>
    <row r="25362" spans="1:4" x14ac:dyDescent="0.25">
      <c r="A25362" t="str">
        <f>HYPERLINK("https://www.773grp.com/globalSearch/SN74AS866ADW/page-1", "SN74AS866ADW")</f>
        <v>SN74AS866ADW</v>
      </c>
      <c r="B25362" s="3" t="str">
        <f>HYPERLINK("https://www.773grp.com/manufacturer/texas-instruments?pageNo=907", "Texas Instruments")</f>
        <v>Texas Instruments</v>
      </c>
      <c r="C25362" s="5">
        <v>1656</v>
      </c>
      <c r="D25362" s="6">
        <v>33.11</v>
      </c>
    </row>
    <row r="25363" spans="1:4" x14ac:dyDescent="0.25">
      <c r="A25363" t="str">
        <f>HYPERLINK("https://www.773grp.com/globalSearch/DRA457AIZEQQ1M/page-1", "DRA457AIZEQQ1M")</f>
        <v>DRA457AIZEQQ1M</v>
      </c>
      <c r="B25363" s="3" t="str">
        <f>HYPERLINK("https://www.773grp.com/manufacturer/texas-instruments?pageNo=912", "Texas Instruments")</f>
        <v>Texas Instruments</v>
      </c>
      <c r="C25363" s="5">
        <v>1500</v>
      </c>
      <c r="D25363" s="6">
        <v>33.130000000000003</v>
      </c>
    </row>
    <row r="25364" spans="1:4" x14ac:dyDescent="0.25">
      <c r="A25364" t="str">
        <f>HYPERLINK("https://www.773grp.com/globalSearch/ADS7812B-1K/page-1", "ADS7812B-1K")</f>
        <v>ADS7812B-1K</v>
      </c>
      <c r="B25364" s="3" t="str">
        <f>HYPERLINK("https://www.773grp.com/manufacturer/texas-instruments?pageNo=921", "Texas Instruments")</f>
        <v>Texas Instruments</v>
      </c>
      <c r="C25364" s="5">
        <v>1000</v>
      </c>
      <c r="D25364" s="6">
        <v>33.19</v>
      </c>
    </row>
    <row r="25365" spans="1:4" x14ac:dyDescent="0.25">
      <c r="A25365" t="str">
        <f>HYPERLINK("https://www.773grp.com/globalSearch/TNETV1060ZDW/page-1", "TNETV1060ZDW")</f>
        <v>TNETV1060ZDW</v>
      </c>
      <c r="B25365" s="3" t="str">
        <f>HYPERLINK("https://www.773grp.com/manufacturer/texas-instruments?pageNo=937", "Texas Instruments")</f>
        <v>Texas Instruments</v>
      </c>
      <c r="C25365" s="5">
        <v>600</v>
      </c>
      <c r="D25365" s="6">
        <v>33.28</v>
      </c>
    </row>
    <row r="25366" spans="1:4" x14ac:dyDescent="0.25">
      <c r="A25366" t="str">
        <f>HYPERLINK("https://www.773grp.com/globalSearch/Z1560509FN/page-1", "Z1560509FN")</f>
        <v>Z1560509FN</v>
      </c>
      <c r="B25366" s="3" t="str">
        <f>HYPERLINK("https://www.773grp.com/manufacturer/texas-instruments?pageNo=938", "Texas Instruments")</f>
        <v>Texas Instruments</v>
      </c>
      <c r="C25366" s="5">
        <v>6</v>
      </c>
      <c r="D25366" s="6">
        <v>33.28</v>
      </c>
    </row>
    <row r="25367" spans="1:4" x14ac:dyDescent="0.25">
      <c r="A25367" t="str">
        <f>HYPERLINK("https://www.773grp.com/globalSearch/Z156D143FNR/page-1", "Z156D143FNR")</f>
        <v>Z156D143FNR</v>
      </c>
      <c r="B25367" s="3" t="str">
        <f>HYPERLINK("https://www.773grp.com/manufacturer/texas-instruments?pageNo=939", "Texas Instruments")</f>
        <v>Texas Instruments</v>
      </c>
      <c r="C25367" s="5">
        <v>850</v>
      </c>
      <c r="D25367" s="6">
        <v>33.28</v>
      </c>
    </row>
    <row r="25368" spans="1:4" x14ac:dyDescent="0.25">
      <c r="A25368" t="str">
        <f>HYPERLINK("https://www.773grp.com/globalSearch/TMS320VC5402APGE16/page-1", "TMS320VC5402APGE16")</f>
        <v>TMS320VC5402APGE16</v>
      </c>
      <c r="B25368" s="3" t="str">
        <f>HYPERLINK("https://www.773grp.com/manufacturer/texas-instruments?pageNo=949", "Texas Instruments")</f>
        <v>Texas Instruments</v>
      </c>
      <c r="C25368" s="5">
        <v>60</v>
      </c>
      <c r="D25368" s="6">
        <v>33.33</v>
      </c>
    </row>
    <row r="25369" spans="1:4" x14ac:dyDescent="0.25">
      <c r="A25369" t="str">
        <f>HYPERLINK("https://www.773grp.com/globalSearch/PTH03060WAZ/page-1", "PTH03060WAZ")</f>
        <v>PTH03060WAZ</v>
      </c>
      <c r="B25369" s="3" t="str">
        <f>HYPERLINK("https://www.773grp.com/manufacturer/texas-instruments?pageNo=955", "Texas Instruments")</f>
        <v>Texas Instruments</v>
      </c>
      <c r="C25369" s="5">
        <v>4</v>
      </c>
      <c r="D25369" s="6">
        <v>33.36</v>
      </c>
    </row>
    <row r="25370" spans="1:4" x14ac:dyDescent="0.25">
      <c r="A25370" t="str">
        <f>HYPERLINK("https://www.773grp.com/globalSearch/PTH05060WAST/page-1", "PTH05060WAST")</f>
        <v>PTH05060WAST</v>
      </c>
      <c r="B25370" s="3" t="str">
        <f>HYPERLINK("https://www.773grp.com/manufacturer/texas-instruments?pageNo=962", "Texas Instruments")</f>
        <v>Texas Instruments</v>
      </c>
      <c r="C25370" s="5">
        <v>158</v>
      </c>
      <c r="D25370" s="6">
        <v>33.36</v>
      </c>
    </row>
    <row r="25371" spans="1:4" x14ac:dyDescent="0.25">
      <c r="A25371" t="str">
        <f>HYPERLINK("https://www.773grp.com/globalSearch/PTH12060LAH/page-1", "PTH12060LAH")</f>
        <v>PTH12060LAH</v>
      </c>
      <c r="B25371" s="3" t="str">
        <f>HYPERLINK("https://www.773grp.com/manufacturer/texas-instruments?pageNo=965", "Texas Instruments")</f>
        <v>Texas Instruments</v>
      </c>
      <c r="C25371" s="5">
        <v>540</v>
      </c>
      <c r="D25371" s="6">
        <v>33.36</v>
      </c>
    </row>
    <row r="25372" spans="1:4" x14ac:dyDescent="0.25">
      <c r="A25372" t="str">
        <f>HYPERLINK("https://www.773grp.com/globalSearch/PTH12060WAD/page-1", "PTH12060WAD")</f>
        <v>PTH12060WAD</v>
      </c>
      <c r="B25372" s="3" t="str">
        <f>HYPERLINK("https://www.773grp.com/manufacturer/texas-instruments?pageNo=970", "Texas Instruments")</f>
        <v>Texas Instruments</v>
      </c>
      <c r="C25372" s="5">
        <v>242</v>
      </c>
      <c r="D25372" s="6">
        <v>33.36</v>
      </c>
    </row>
    <row r="25373" spans="1:4" x14ac:dyDescent="0.25">
      <c r="A25373" t="str">
        <f>HYPERLINK("https://www.773grp.com/globalSearch/PTH12060WAST/page-1", "PTH12060WAST")</f>
        <v>PTH12060WAST</v>
      </c>
      <c r="B25373" s="3" t="str">
        <f>HYPERLINK("https://www.773grp.com/manufacturer/texas-instruments?pageNo=972", "Texas Instruments")</f>
        <v>Texas Instruments</v>
      </c>
      <c r="C25373" s="5">
        <v>185</v>
      </c>
      <c r="D25373" s="6">
        <v>33.36</v>
      </c>
    </row>
    <row r="25374" spans="1:4" x14ac:dyDescent="0.25">
      <c r="A25374" t="str">
        <f>HYPERLINK("https://www.773grp.com/globalSearch/SNJ54ALS373AJ/page-1", "SNJ54ALS373AJ")</f>
        <v>SNJ54ALS373AJ</v>
      </c>
      <c r="B25374" s="3" t="str">
        <f>HYPERLINK("https://www.773grp.com/manufacturer/texas-instruments?pageNo=975", "Texas Instruments")</f>
        <v>Texas Instruments</v>
      </c>
      <c r="C25374" s="5">
        <v>19</v>
      </c>
      <c r="D25374" s="6">
        <v>33.36</v>
      </c>
    </row>
    <row r="25375" spans="1:4" x14ac:dyDescent="0.25">
      <c r="A25375" t="str">
        <f>HYPERLINK("https://www.773grp.com/globalSearch/SNJ54LVC08AFK/page-1", "SNJ54LVC08AFK")</f>
        <v>SNJ54LVC08AFK</v>
      </c>
      <c r="B25375" s="3" t="str">
        <f>HYPERLINK("https://www.773grp.com/manufacturer/texas-instruments?pageNo=977", "Texas Instruments")</f>
        <v>Texas Instruments</v>
      </c>
      <c r="C25375" s="5">
        <v>7</v>
      </c>
      <c r="D25375" s="6">
        <v>33.380000000000003</v>
      </c>
    </row>
    <row r="25376" spans="1:4" x14ac:dyDescent="0.25">
      <c r="A25376" t="str">
        <f>HYPERLINK("https://www.773grp.com/globalSearch/PTH04T240FAD/page-1", "PTH04T240FAD")</f>
        <v>PTH04T240FAD</v>
      </c>
      <c r="B25376" s="3" t="str">
        <f>HYPERLINK("https://www.773grp.com/manufacturer/texas-instruments?pageNo=979", "Texas Instruments")</f>
        <v>Texas Instruments</v>
      </c>
      <c r="C25376" s="5">
        <v>4</v>
      </c>
      <c r="D25376" s="6">
        <v>33.409999999999997</v>
      </c>
    </row>
    <row r="25377" spans="1:4" x14ac:dyDescent="0.25">
      <c r="A25377" t="str">
        <f>HYPERLINK("https://www.773grp.com/globalSearch/PTH04T241WAD/page-1", "PTH04T241WAD")</f>
        <v>PTH04T241WAD</v>
      </c>
      <c r="B25377" s="3" t="str">
        <f>HYPERLINK("https://www.773grp.com/manufacturer/texas-instruments?pageNo=986", "Texas Instruments")</f>
        <v>Texas Instruments</v>
      </c>
      <c r="C25377" s="5">
        <v>578</v>
      </c>
      <c r="D25377" s="6">
        <v>33.409999999999997</v>
      </c>
    </row>
    <row r="25378" spans="1:4" x14ac:dyDescent="0.25">
      <c r="A25378" t="str">
        <f>HYPERLINK("https://www.773grp.com/globalSearch/PTH04T241WAZ/page-1", "PTH04T241WAZ")</f>
        <v>PTH04T241WAZ</v>
      </c>
      <c r="B25378" s="3" t="s">
        <v>90</v>
      </c>
      <c r="C25378" s="5">
        <v>9</v>
      </c>
      <c r="D25378" s="6">
        <v>33.409999999999997</v>
      </c>
    </row>
    <row r="25379" spans="1:4" x14ac:dyDescent="0.25">
      <c r="A25379" t="str">
        <f>HYPERLINK("https://www.773grp.com/globalSearch/RI-TRP-0106-30/page-1", "RI-TRP-0106-30")</f>
        <v>RI-TRP-0106-30</v>
      </c>
      <c r="B25379" s="3" t="s">
        <v>90</v>
      </c>
      <c r="C25379" s="5">
        <v>100</v>
      </c>
      <c r="D25379" s="6">
        <v>33.409999999999997</v>
      </c>
    </row>
    <row r="25380" spans="1:4" x14ac:dyDescent="0.25">
      <c r="A25380" t="str">
        <f>HYPERLINK("https://www.773grp.com/globalSearch/TNETD4150GJG/page-1", "TNETD4150GJG")</f>
        <v>TNETD4150GJG</v>
      </c>
      <c r="B25380" s="3" t="s">
        <v>90</v>
      </c>
      <c r="C25380" s="5">
        <v>441</v>
      </c>
      <c r="D25380" s="6">
        <v>33.450000000000003</v>
      </c>
    </row>
    <row r="25381" spans="1:4" x14ac:dyDescent="0.25">
      <c r="A25381" t="str">
        <f>HYPERLINK("https://www.773grp.com/globalSearch/ADS8361IBDBQ/page-1", "ADS8361IBDBQ")</f>
        <v>ADS8361IBDBQ</v>
      </c>
      <c r="B25381" s="3" t="s">
        <v>90</v>
      </c>
      <c r="C25381" s="5">
        <v>1960</v>
      </c>
      <c r="D25381" s="6">
        <v>33.46</v>
      </c>
    </row>
    <row r="25382" spans="1:4" x14ac:dyDescent="0.25">
      <c r="A25382" t="str">
        <f>HYPERLINK("https://www.773grp.com/globalSearch/TLE2027AMJG/page-1", "TLE2027AMJG")</f>
        <v>TLE2027AMJG</v>
      </c>
      <c r="B25382" s="3" t="s">
        <v>90</v>
      </c>
      <c r="C25382" s="5">
        <v>6</v>
      </c>
      <c r="D25382" s="6">
        <v>33.590000000000003</v>
      </c>
    </row>
    <row r="25383" spans="1:4" x14ac:dyDescent="0.25">
      <c r="A25383" t="str">
        <f>HYPERLINK("https://www.773grp.com/globalSearch/ADS1294RIZXGR/page-1", "ADS1294RIZXGR")</f>
        <v>ADS1294RIZXGR</v>
      </c>
      <c r="B25383" s="3" t="s">
        <v>90</v>
      </c>
      <c r="C25383" s="5">
        <v>685</v>
      </c>
      <c r="D25383" s="6">
        <v>33.61</v>
      </c>
    </row>
    <row r="25384" spans="1:4" x14ac:dyDescent="0.25">
      <c r="A25384" t="str">
        <f>HYPERLINK("https://www.773grp.com/globalSearch/DAC7632VFTG4/page-1", "DAC7632VFTG4")</f>
        <v>DAC7632VFTG4</v>
      </c>
      <c r="B25384" s="3" t="s">
        <v>90</v>
      </c>
      <c r="C25384" s="5">
        <v>70</v>
      </c>
      <c r="D25384" s="6">
        <v>33.61</v>
      </c>
    </row>
    <row r="25385" spans="1:4" x14ac:dyDescent="0.25">
      <c r="A25385" t="str">
        <f>HYPERLINK("https://www.773grp.com/globalSearch/LM3S6938-IQC50-A2/page-1", "LM3S6938-IQC50-A2")</f>
        <v>LM3S6938-IQC50-A2</v>
      </c>
      <c r="B25385" s="3" t="s">
        <v>90</v>
      </c>
      <c r="C25385" s="5">
        <v>20</v>
      </c>
      <c r="D25385" s="6">
        <v>33.61</v>
      </c>
    </row>
    <row r="25386" spans="1:4" x14ac:dyDescent="0.25">
      <c r="A25386" t="str">
        <f>HYPERLINK("https://www.773grp.com/globalSearch/BQ2110LB-012/page-1", "BQ2110LB-012")</f>
        <v>BQ2110LB-012</v>
      </c>
      <c r="B25386" s="3" t="s">
        <v>90</v>
      </c>
      <c r="C25386" s="5">
        <v>17</v>
      </c>
      <c r="D25386" s="6">
        <v>33.659999999999997</v>
      </c>
    </row>
    <row r="25387" spans="1:4" x14ac:dyDescent="0.25">
      <c r="A25387" t="str">
        <f>HYPERLINK("https://www.773grp.com/globalSearch/BQ2110LB-014/page-1", "BQ2110LB-014")</f>
        <v>BQ2110LB-014</v>
      </c>
      <c r="B25387" s="3" t="s">
        <v>90</v>
      </c>
      <c r="C25387" s="5">
        <v>10</v>
      </c>
      <c r="D25387" s="6">
        <v>33.659999999999997</v>
      </c>
    </row>
    <row r="25388" spans="1:4" x14ac:dyDescent="0.25">
      <c r="A25388" t="str">
        <f>HYPERLINK("https://www.773grp.com/globalSearch/SNJ54LVC00AFK/page-1", "SNJ54LVC00AFK")</f>
        <v>SNJ54LVC00AFK</v>
      </c>
      <c r="B25388" s="3" t="s">
        <v>90</v>
      </c>
      <c r="C25388" s="5">
        <v>43</v>
      </c>
      <c r="D25388" s="6">
        <v>33.659999999999997</v>
      </c>
    </row>
    <row r="25389" spans="1:4" x14ac:dyDescent="0.25">
      <c r="A25389" t="str">
        <f>HYPERLINK("https://www.773grp.com/globalSearch/ADC12DL040CIVS-NOPB/page-1", "ADC12DL040CIVS-NOPB")</f>
        <v>ADC12DL040CIVS-NOPB</v>
      </c>
      <c r="B25389" s="3" t="s">
        <v>90</v>
      </c>
      <c r="C25389" s="5">
        <v>410</v>
      </c>
      <c r="D25389" s="6">
        <v>33.75</v>
      </c>
    </row>
    <row r="25390" spans="1:4" x14ac:dyDescent="0.25">
      <c r="A25390" t="str">
        <f>HYPERLINK("https://www.773grp.com/globalSearch/AFE1115E-1/page-1", "AFE1115E-1")</f>
        <v>AFE1115E-1</v>
      </c>
      <c r="B25390" s="3" t="s">
        <v>90</v>
      </c>
      <c r="C25390" s="5">
        <v>4249</v>
      </c>
      <c r="D25390" s="6">
        <v>33.75</v>
      </c>
    </row>
    <row r="25391" spans="1:4" x14ac:dyDescent="0.25">
      <c r="A25391" t="str">
        <f>HYPERLINK("https://www.773grp.com/globalSearch/SN75557FN/page-1", "SN75557FN")</f>
        <v>SN75557FN</v>
      </c>
      <c r="B25391" s="3" t="s">
        <v>90</v>
      </c>
      <c r="C25391" s="5">
        <v>952</v>
      </c>
      <c r="D25391" s="6">
        <v>33.75</v>
      </c>
    </row>
    <row r="25392" spans="1:4" x14ac:dyDescent="0.25">
      <c r="A25392" t="str">
        <f>HYPERLINK("https://www.773grp.com/globalSearch/TL052MLB/page-1", "TL052MLB")</f>
        <v>TL052MLB</v>
      </c>
      <c r="B25392" s="3" t="s">
        <v>90</v>
      </c>
      <c r="C25392" s="5">
        <v>1127</v>
      </c>
      <c r="D25392" s="6">
        <v>33.75</v>
      </c>
    </row>
    <row r="25393" spans="1:4" x14ac:dyDescent="0.25">
      <c r="A25393" t="str">
        <f>HYPERLINK("https://www.773grp.com/globalSearch/TLV5614IPW/page-1", "TLV5614IPW")</f>
        <v>TLV5614IPW</v>
      </c>
      <c r="B25393" s="3" t="s">
        <v>90</v>
      </c>
      <c r="C25393" s="5">
        <v>247</v>
      </c>
      <c r="D25393" s="6">
        <v>33.75</v>
      </c>
    </row>
    <row r="25394" spans="1:4" x14ac:dyDescent="0.25">
      <c r="A25394" t="str">
        <f>HYPERLINK("https://www.773grp.com/globalSearch/TMS320DM270GHK/page-1", "TMS320DM270GHK")</f>
        <v>TMS320DM270GHK</v>
      </c>
      <c r="B25394" s="3" t="s">
        <v>90</v>
      </c>
      <c r="C25394" s="5">
        <v>17173</v>
      </c>
      <c r="D25394" s="6">
        <v>33.75</v>
      </c>
    </row>
    <row r="25395" spans="1:4" x14ac:dyDescent="0.25">
      <c r="A25395" t="str">
        <f>HYPERLINK("https://www.773grp.com/globalSearch/LM3S2110-EQC25-A2/page-1", "LM3S2110-EQC25-A2")</f>
        <v>LM3S2110-EQC25-A2</v>
      </c>
      <c r="B25395" s="3" t="s">
        <v>90</v>
      </c>
      <c r="C25395" s="5">
        <v>513</v>
      </c>
      <c r="D25395" s="6">
        <v>33.86</v>
      </c>
    </row>
    <row r="25396" spans="1:4" x14ac:dyDescent="0.25">
      <c r="A25396" t="str">
        <f>HYPERLINK("https://www.773grp.com/globalSearch/ADS1213E-1K/page-1", "ADS1213E-1K")</f>
        <v>ADS1213E-1K</v>
      </c>
      <c r="B25396" s="3" t="s">
        <v>90</v>
      </c>
      <c r="C25396" s="5">
        <v>1000</v>
      </c>
      <c r="D25396" s="6">
        <v>33.979999999999997</v>
      </c>
    </row>
    <row r="25397" spans="1:4" x14ac:dyDescent="0.25">
      <c r="A25397" t="str">
        <f>HYPERLINK("https://www.773grp.com/globalSearch/AM26LS33AMJB/page-1", "AM26LS33AMJB")</f>
        <v>AM26LS33AMJB</v>
      </c>
      <c r="B25397" s="3" t="s">
        <v>90</v>
      </c>
      <c r="C25397" s="5">
        <v>110</v>
      </c>
      <c r="D25397" s="6">
        <v>34</v>
      </c>
    </row>
    <row r="25398" spans="1:4" x14ac:dyDescent="0.25">
      <c r="A25398" t="str">
        <f>HYPERLINK("https://www.773grp.com/globalSearch/SN74LS591D/page-1", "SN74LS591D")</f>
        <v>SN74LS591D</v>
      </c>
      <c r="B25398" s="3" t="s">
        <v>90</v>
      </c>
      <c r="C25398" s="5">
        <v>1896</v>
      </c>
      <c r="D25398" s="6">
        <v>34.04</v>
      </c>
    </row>
    <row r="25399" spans="1:4" x14ac:dyDescent="0.25">
      <c r="A25399" t="str">
        <f>HYPERLINK("https://www.773grp.com/globalSearch/TLC2654MLB/page-1", "TLC2654MLB")</f>
        <v>TLC2654MLB</v>
      </c>
      <c r="B25399" s="3" t="s">
        <v>90</v>
      </c>
      <c r="C25399" s="5">
        <v>912</v>
      </c>
      <c r="D25399" s="6">
        <v>34.04</v>
      </c>
    </row>
    <row r="25400" spans="1:4" x14ac:dyDescent="0.25">
      <c r="A25400" t="str">
        <f>HYPERLINK("https://www.773grp.com/globalSearch/SN74ABT3617-15PCB/page-1", "SN74ABT3617-15PCB")</f>
        <v>SN74ABT3617-15PCB</v>
      </c>
      <c r="B25400" s="3" t="s">
        <v>90</v>
      </c>
      <c r="C25400" s="5">
        <v>30</v>
      </c>
      <c r="D25400" s="6">
        <v>34.090000000000003</v>
      </c>
    </row>
    <row r="25401" spans="1:4" x14ac:dyDescent="0.25">
      <c r="A25401" t="str">
        <f>HYPERLINK("https://www.773grp.com/globalSearch/SNJ54AC11240FK/page-1", "SNJ54AC11240FK")</f>
        <v>SNJ54AC11240FK</v>
      </c>
      <c r="B25401" s="3" t="s">
        <v>90</v>
      </c>
      <c r="C25401" s="5">
        <v>48</v>
      </c>
      <c r="D25401" s="6">
        <v>34.14</v>
      </c>
    </row>
    <row r="25402" spans="1:4" x14ac:dyDescent="0.25">
      <c r="A25402" t="str">
        <f>HYPERLINK("https://www.773grp.com/globalSearch/SNJ54ACT11240FK/page-1", "SNJ54ACT11240FK")</f>
        <v>SNJ54ACT11240FK</v>
      </c>
      <c r="B25402" s="3" t="s">
        <v>90</v>
      </c>
      <c r="C25402" s="5">
        <v>58</v>
      </c>
      <c r="D25402" s="6">
        <v>34.14</v>
      </c>
    </row>
    <row r="25403" spans="1:4" x14ac:dyDescent="0.25">
      <c r="A25403" t="str">
        <f>HYPERLINK("https://www.773grp.com/globalSearch/SNJ54ACT11241FK/page-1", "SNJ54ACT11241FK")</f>
        <v>SNJ54ACT11241FK</v>
      </c>
      <c r="B25403" s="3" t="s">
        <v>90</v>
      </c>
      <c r="C25403" s="5">
        <v>93</v>
      </c>
      <c r="D25403" s="6">
        <v>34.14</v>
      </c>
    </row>
    <row r="25404" spans="1:4" x14ac:dyDescent="0.25">
      <c r="A25404" t="str">
        <f>HYPERLINK("https://www.773grp.com/globalSearch/SNJ54ACT11373FK/page-1", "SNJ54ACT11373FK")</f>
        <v>SNJ54ACT11373FK</v>
      </c>
      <c r="B25404" s="3" t="s">
        <v>90</v>
      </c>
      <c r="C25404" s="5">
        <v>122</v>
      </c>
      <c r="D25404" s="6">
        <v>34.14</v>
      </c>
    </row>
    <row r="25405" spans="1:4" x14ac:dyDescent="0.25">
      <c r="A25405" t="str">
        <f>HYPERLINK("https://www.773grp.com/globalSearch/SNJ54ACT11374FK/page-1", "SNJ54ACT11374FK")</f>
        <v>SNJ54ACT11374FK</v>
      </c>
      <c r="B25405" s="3" t="s">
        <v>90</v>
      </c>
      <c r="C25405" s="5">
        <v>112</v>
      </c>
      <c r="D25405" s="6">
        <v>34.14</v>
      </c>
    </row>
    <row r="25406" spans="1:4" x14ac:dyDescent="0.25">
      <c r="A25406" t="str">
        <f>HYPERLINK("https://www.773grp.com/globalSearch/SNJ54ACT11374JT/page-1", "SNJ54ACT11374JT")</f>
        <v>SNJ54ACT11374JT</v>
      </c>
      <c r="B25406" s="3" t="s">
        <v>90</v>
      </c>
      <c r="C25406" s="5">
        <v>72</v>
      </c>
      <c r="D25406" s="6">
        <v>34.14</v>
      </c>
    </row>
    <row r="25407" spans="1:4" x14ac:dyDescent="0.25">
      <c r="A25407" t="str">
        <f>HYPERLINK("https://www.773grp.com/globalSearch/TLC2201MLB/page-1", "TLC2201MLB")</f>
        <v>TLC2201MLB</v>
      </c>
      <c r="B25407" s="3" t="s">
        <v>90</v>
      </c>
      <c r="C25407" s="5">
        <v>702</v>
      </c>
      <c r="D25407" s="6">
        <v>34.14</v>
      </c>
    </row>
    <row r="25408" spans="1:4" x14ac:dyDescent="0.25">
      <c r="A25408" t="str">
        <f>HYPERLINK("https://www.773grp.com/globalSearch/PCI1210GGU/page-1", "PCI1210GGU")</f>
        <v>PCI1210GGU</v>
      </c>
      <c r="B25408" s="3" t="s">
        <v>90</v>
      </c>
      <c r="C25408" s="5">
        <v>3040</v>
      </c>
      <c r="D25408" s="6">
        <v>34.18</v>
      </c>
    </row>
    <row r="25409" spans="1:4" x14ac:dyDescent="0.25">
      <c r="A25409" t="str">
        <f>HYPERLINK("https://www.773grp.com/globalSearch/TMS320C6746BZCED4/page-1", "TMS320C6746BZCED4")</f>
        <v>TMS320C6746BZCED4</v>
      </c>
      <c r="B25409" s="3" t="s">
        <v>90</v>
      </c>
      <c r="C25409" s="5">
        <v>100</v>
      </c>
      <c r="D25409" s="6">
        <v>34.18</v>
      </c>
    </row>
    <row r="25410" spans="1:4" x14ac:dyDescent="0.25">
      <c r="A25410" t="str">
        <f>HYPERLINK("https://www.773grp.com/globalSearch/TMS320F2808PZS/page-1", "TMS320F2808PZS")</f>
        <v>TMS320F2808PZS</v>
      </c>
      <c r="B25410" s="3" t="s">
        <v>90</v>
      </c>
      <c r="C25410" s="5">
        <v>8</v>
      </c>
      <c r="D25410" s="6">
        <v>34.18</v>
      </c>
    </row>
    <row r="25411" spans="1:4" x14ac:dyDescent="0.25">
      <c r="A25411" t="str">
        <f>HYPERLINK("https://www.773grp.com/globalSearch/PT6213E/page-1", "PT6213E")</f>
        <v>PT6213E</v>
      </c>
      <c r="B25411" s="3" t="s">
        <v>90</v>
      </c>
      <c r="C25411" s="5">
        <v>6</v>
      </c>
      <c r="D25411" s="6">
        <v>34.29</v>
      </c>
    </row>
    <row r="25412" spans="1:4" x14ac:dyDescent="0.25">
      <c r="A25412" t="str">
        <f>HYPERLINK("https://www.773grp.com/globalSearch/PT6214E/page-1", "PT6214E")</f>
        <v>PT6214E</v>
      </c>
      <c r="B25412" s="3" t="s">
        <v>90</v>
      </c>
      <c r="C25412" s="5">
        <v>22</v>
      </c>
      <c r="D25412" s="6">
        <v>34.29</v>
      </c>
    </row>
    <row r="25413" spans="1:4" x14ac:dyDescent="0.25">
      <c r="A25413" t="str">
        <f>HYPERLINK("https://www.773grp.com/globalSearch/PT6214P/page-1", "PT6214P")</f>
        <v>PT6214P</v>
      </c>
      <c r="B25413" s="3" t="s">
        <v>90</v>
      </c>
      <c r="C25413" s="5">
        <v>4</v>
      </c>
      <c r="D25413" s="6">
        <v>34.29</v>
      </c>
    </row>
    <row r="25414" spans="1:4" x14ac:dyDescent="0.25">
      <c r="A25414" t="str">
        <f>HYPERLINK("https://www.773grp.com/globalSearch/PT6216E/page-1", "PT6216E")</f>
        <v>PT6216E</v>
      </c>
      <c r="B25414" s="3" t="s">
        <v>90</v>
      </c>
      <c r="C25414" s="5">
        <v>7</v>
      </c>
      <c r="D25414" s="6">
        <v>34.29</v>
      </c>
    </row>
    <row r="25415" spans="1:4" x14ac:dyDescent="0.25">
      <c r="A25415" t="str">
        <f>HYPERLINK("https://www.773grp.com/globalSearch/TMS320C6745CPTPT3/page-1", "TMS320C6745CPTPT3")</f>
        <v>TMS320C6745CPTPT3</v>
      </c>
      <c r="B25415" s="3" t="s">
        <v>90</v>
      </c>
      <c r="C25415" s="5">
        <v>1476</v>
      </c>
      <c r="D25415" s="6">
        <v>34.31</v>
      </c>
    </row>
    <row r="25416" spans="1:4" x14ac:dyDescent="0.25">
      <c r="A25416" t="str">
        <f>HYPERLINK("https://www.773grp.com/globalSearch/SNJ54LVC02AW/page-1", "SNJ54LVC02AW")</f>
        <v>SNJ54LVC02AW</v>
      </c>
      <c r="B25416" s="3" t="s">
        <v>90</v>
      </c>
      <c r="C25416" s="5">
        <v>15</v>
      </c>
      <c r="D25416" s="6">
        <v>34.340000000000003</v>
      </c>
    </row>
    <row r="25417" spans="1:4" x14ac:dyDescent="0.25">
      <c r="A25417" t="str">
        <f>HYPERLINK("https://www.773grp.com/globalSearch/TMS4500A-200N/page-1", "TMS4500A-200N")</f>
        <v>TMS4500A-200N</v>
      </c>
      <c r="B25417" s="3" t="s">
        <v>90</v>
      </c>
      <c r="C25417" s="5">
        <v>11953</v>
      </c>
      <c r="D25417" s="6">
        <v>34.340000000000003</v>
      </c>
    </row>
    <row r="25418" spans="1:4" x14ac:dyDescent="0.25">
      <c r="A25418" t="str">
        <f>HYPERLINK("https://www.773grp.com/globalSearch/SNJ55157FK/page-1", "SNJ55157FK")</f>
        <v>SNJ55157FK</v>
      </c>
      <c r="B25418" s="3" t="s">
        <v>90</v>
      </c>
      <c r="C25418" s="5">
        <v>1253</v>
      </c>
      <c r="D25418" s="6">
        <v>34.380000000000003</v>
      </c>
    </row>
    <row r="25419" spans="1:4" x14ac:dyDescent="0.25">
      <c r="A25419" t="str">
        <f>HYPERLINK("https://www.773grp.com/globalSearch/ADS821U-1/page-1", "ADS821U-1")</f>
        <v>ADS821U-1</v>
      </c>
      <c r="B25419" s="3" t="s">
        <v>90</v>
      </c>
      <c r="C25419" s="5">
        <v>9329</v>
      </c>
      <c r="D25419" s="6">
        <v>34.46</v>
      </c>
    </row>
    <row r="25420" spans="1:4" x14ac:dyDescent="0.25">
      <c r="A25420" t="str">
        <f>HYPERLINK("https://www.773grp.com/globalSearch/PCI1130PDV/page-1", "PCI1130PDV")</f>
        <v>PCI1130PDV</v>
      </c>
      <c r="B25420" s="3" t="s">
        <v>90</v>
      </c>
      <c r="C25420" s="5">
        <v>10047</v>
      </c>
      <c r="D25420" s="6">
        <v>34.46</v>
      </c>
    </row>
    <row r="25421" spans="1:4" x14ac:dyDescent="0.25">
      <c r="A25421" t="str">
        <f>HYPERLINK("https://www.773grp.com/globalSearch/PTH12060YAG/page-1", "PTH12060YAG")</f>
        <v>PTH12060YAG</v>
      </c>
      <c r="B25421" s="3" t="s">
        <v>90</v>
      </c>
      <c r="C25421" s="5">
        <v>252</v>
      </c>
      <c r="D25421" s="6">
        <v>34.46</v>
      </c>
    </row>
    <row r="25422" spans="1:4" x14ac:dyDescent="0.25">
      <c r="A25422" t="str">
        <f>HYPERLINK("https://www.773grp.com/globalSearch/TMS320F28232PGFA/page-1", "TMS320F28232PGFA")</f>
        <v>TMS320F28232PGFA</v>
      </c>
      <c r="B25422" s="3" t="s">
        <v>90</v>
      </c>
      <c r="C25422" s="5">
        <v>251</v>
      </c>
      <c r="D25422" s="6">
        <v>34.46</v>
      </c>
    </row>
    <row r="25423" spans="1:4" x14ac:dyDescent="0.25">
      <c r="A25423" t="str">
        <f>HYPERLINK("https://www.773grp.com/globalSearch/TMS320F28232ZHHA/page-1", "TMS320F28232ZHHA")</f>
        <v>TMS320F28232ZHHA</v>
      </c>
      <c r="B25423" s="3" t="s">
        <v>90</v>
      </c>
      <c r="C25423" s="5">
        <v>140</v>
      </c>
      <c r="D25423" s="6">
        <v>34.46</v>
      </c>
    </row>
    <row r="25424" spans="1:4" x14ac:dyDescent="0.25">
      <c r="A25424" t="str">
        <f>HYPERLINK("https://www.773grp.com/globalSearch/CD54HC4046AF3A/page-1", "CD54HC4046AF3A")</f>
        <v>CD54HC4046AF3A</v>
      </c>
      <c r="B25424" s="3" t="s">
        <v>90</v>
      </c>
      <c r="C25424" s="5">
        <v>44</v>
      </c>
      <c r="D25424" s="6">
        <v>34.54</v>
      </c>
    </row>
    <row r="25425" spans="1:4" x14ac:dyDescent="0.25">
      <c r="A25425" t="str">
        <f>HYPERLINK("https://www.773grp.com/globalSearch/5962-9760501QDA/page-1", "5962-9760501QDA")</f>
        <v>5962-9760501QDA</v>
      </c>
      <c r="B25425" s="3" t="s">
        <v>90</v>
      </c>
      <c r="C25425" s="5">
        <v>14</v>
      </c>
      <c r="D25425" s="6">
        <v>34.6</v>
      </c>
    </row>
    <row r="25426" spans="1:4" x14ac:dyDescent="0.25">
      <c r="A25426" t="str">
        <f>HYPERLINK("https://www.773grp.com/globalSearch/TMS320F2809ZGMA/page-1", "TMS320F2809ZGMA")</f>
        <v>TMS320F2809ZGMA</v>
      </c>
      <c r="B25426" s="3" t="s">
        <v>90</v>
      </c>
      <c r="C25426" s="5">
        <v>13539</v>
      </c>
      <c r="D25426" s="6">
        <v>34.6</v>
      </c>
    </row>
    <row r="25427" spans="1:4" x14ac:dyDescent="0.25">
      <c r="A25427" t="str">
        <f>HYPERLINK("https://www.773grp.com/globalSearch/TMS320VC5409AP12/page-1", "TMS320VC5409AP12")</f>
        <v>TMS320VC5409AP12</v>
      </c>
      <c r="B25427" s="3" t="s">
        <v>90</v>
      </c>
      <c r="C25427" s="5">
        <v>115</v>
      </c>
      <c r="D25427" s="6">
        <v>34.6</v>
      </c>
    </row>
    <row r="25428" spans="1:4" x14ac:dyDescent="0.25">
      <c r="A25428" t="str">
        <f>HYPERLINK("https://www.773grp.com/globalSearch/SNJ54ALS576BJ/page-1", "SNJ54ALS576BJ")</f>
        <v>SNJ54ALS576BJ</v>
      </c>
      <c r="B25428" s="3" t="s">
        <v>90</v>
      </c>
      <c r="C25428" s="5">
        <v>3</v>
      </c>
      <c r="D25428" s="6">
        <v>34.630000000000003</v>
      </c>
    </row>
    <row r="25429" spans="1:4" x14ac:dyDescent="0.25">
      <c r="A25429" t="str">
        <f>HYPERLINK("https://www.773grp.com/globalSearch/ISO122JP/page-1", "ISO122JP")</f>
        <v>ISO122JP</v>
      </c>
      <c r="B25429" s="3" t="s">
        <v>90</v>
      </c>
      <c r="C25429" s="5">
        <v>57</v>
      </c>
      <c r="D25429" s="6">
        <v>34.729999999999997</v>
      </c>
    </row>
    <row r="25430" spans="1:4" x14ac:dyDescent="0.25">
      <c r="A25430" t="str">
        <f>HYPERLINK("https://www.773grp.com/globalSearch/LMK03000CISQ-NOPB/page-1", "LMK03000CISQ-NOPB")</f>
        <v>LMK03000CISQ-NOPB</v>
      </c>
      <c r="B25430" s="3" t="s">
        <v>90</v>
      </c>
      <c r="C25430" s="5">
        <v>150</v>
      </c>
      <c r="D25430" s="6">
        <v>34.880000000000003</v>
      </c>
    </row>
    <row r="25431" spans="1:4" x14ac:dyDescent="0.25">
      <c r="A25431" t="str">
        <f>HYPERLINK("https://www.773grp.com/globalSearch/PT5061A/page-1", "PT5061A")</f>
        <v>PT5061A</v>
      </c>
      <c r="B25431" s="3" t="s">
        <v>90</v>
      </c>
      <c r="C25431" s="5">
        <v>10</v>
      </c>
      <c r="D25431" s="6">
        <v>34.94</v>
      </c>
    </row>
    <row r="25432" spans="1:4" x14ac:dyDescent="0.25">
      <c r="A25432" t="str">
        <f>HYPERLINK("https://www.773grp.com/globalSearch/PGA207UA-1K/page-1", "PGA207UA-1K")</f>
        <v>PGA207UA-1K</v>
      </c>
      <c r="B25432" s="3" t="s">
        <v>90</v>
      </c>
      <c r="C25432" s="5">
        <v>20975</v>
      </c>
      <c r="D25432" s="6">
        <v>34.99</v>
      </c>
    </row>
    <row r="25433" spans="1:4" x14ac:dyDescent="0.25">
      <c r="A25433" t="str">
        <f>HYPERLINK("https://www.773grp.com/globalSearch/TRF2436IRTBR/page-1", "TRF2436IRTBR")</f>
        <v>TRF2436IRTBR</v>
      </c>
      <c r="B25433" s="3" t="s">
        <v>90</v>
      </c>
      <c r="C25433" s="5">
        <v>7500</v>
      </c>
      <c r="D25433" s="6">
        <v>34.99</v>
      </c>
    </row>
    <row r="25434" spans="1:4" x14ac:dyDescent="0.25">
      <c r="A25434" t="str">
        <f>HYPERLINK("https://www.773grp.com/globalSearch/DAC7725N/page-1", "DAC7725N")</f>
        <v>DAC7725N</v>
      </c>
      <c r="B25434" s="3" t="s">
        <v>90</v>
      </c>
      <c r="C25434" s="5">
        <v>1628</v>
      </c>
      <c r="D25434" s="6">
        <v>35.01</v>
      </c>
    </row>
    <row r="25435" spans="1:4" x14ac:dyDescent="0.25">
      <c r="A25435" t="str">
        <f>HYPERLINK("https://www.773grp.com/globalSearch/LMH0070SQE-NOPB/page-1", "LMH0070SQE-NOPB")</f>
        <v>LMH0070SQE-NOPB</v>
      </c>
      <c r="B25435" s="3" t="s">
        <v>90</v>
      </c>
      <c r="C25435" s="5">
        <v>129</v>
      </c>
      <c r="D25435" s="6">
        <v>35.01</v>
      </c>
    </row>
    <row r="25436" spans="1:4" x14ac:dyDescent="0.25">
      <c r="A25436" t="str">
        <f>HYPERLINK("https://www.773grp.com/globalSearch/JM38510-65102B2A/page-1", "JM38510-65102B2A")</f>
        <v>JM38510-65102B2A</v>
      </c>
      <c r="B25436" s="3" t="s">
        <v>90</v>
      </c>
      <c r="C25436" s="5">
        <v>258</v>
      </c>
      <c r="D25436" s="6">
        <v>35.15</v>
      </c>
    </row>
    <row r="25437" spans="1:4" x14ac:dyDescent="0.25">
      <c r="A25437" t="str">
        <f>HYPERLINK("https://www.773grp.com/globalSearch/SN544886W/page-1", "SN544886W")</f>
        <v>SN544886W</v>
      </c>
      <c r="B25437" s="3" t="s">
        <v>90</v>
      </c>
      <c r="C25437" s="5">
        <v>670</v>
      </c>
      <c r="D25437" s="6">
        <v>35.15</v>
      </c>
    </row>
    <row r="25438" spans="1:4" x14ac:dyDescent="0.25">
      <c r="A25438" t="str">
        <f>HYPERLINK("https://www.773grp.com/globalSearch/SN55325W/page-1", "SN55325W")</f>
        <v>SN55325W</v>
      </c>
      <c r="B25438" s="3" t="s">
        <v>90</v>
      </c>
      <c r="C25438" s="5">
        <v>58</v>
      </c>
      <c r="D25438" s="6">
        <v>35.15</v>
      </c>
    </row>
    <row r="25439" spans="1:4" x14ac:dyDescent="0.25">
      <c r="A25439" t="str">
        <f>HYPERLINK("https://www.773grp.com/globalSearch/SN74ACT7205L35NP/page-1", "SN74ACT7205L35NP")</f>
        <v>SN74ACT7205L35NP</v>
      </c>
      <c r="B25439" s="3" t="s">
        <v>90</v>
      </c>
      <c r="C25439" s="5">
        <v>2100</v>
      </c>
      <c r="D25439" s="6">
        <v>35.15</v>
      </c>
    </row>
    <row r="25440" spans="1:4" x14ac:dyDescent="0.25">
      <c r="A25440" t="str">
        <f>HYPERLINK("https://www.773grp.com/globalSearch/SN74ACT7205L35RJ/page-1", "SN74ACT7205L35RJ")</f>
        <v>SN74ACT7205L35RJ</v>
      </c>
      <c r="B25440" s="3" t="s">
        <v>90</v>
      </c>
      <c r="C25440" s="5">
        <v>2676</v>
      </c>
      <c r="D25440" s="6">
        <v>35.15</v>
      </c>
    </row>
    <row r="25441" spans="1:4" x14ac:dyDescent="0.25">
      <c r="A25441" t="str">
        <f>HYPERLINK("https://www.773grp.com/globalSearch/TLC352MP/page-1", "TLC352MP")</f>
        <v>TLC352MP</v>
      </c>
      <c r="B25441" s="3" t="s">
        <v>90</v>
      </c>
      <c r="C25441" s="5">
        <v>2585</v>
      </c>
      <c r="D25441" s="6">
        <v>35.15</v>
      </c>
    </row>
    <row r="25442" spans="1:4" x14ac:dyDescent="0.25">
      <c r="A25442" t="str">
        <f>HYPERLINK("https://www.773grp.com/globalSearch/TMS99531NL/page-1", "TMS99531NL")</f>
        <v>TMS99531NL</v>
      </c>
      <c r="B25442" s="3" t="s">
        <v>90</v>
      </c>
      <c r="C25442" s="5">
        <v>1260</v>
      </c>
      <c r="D25442" s="6">
        <v>35.15</v>
      </c>
    </row>
    <row r="25443" spans="1:4" x14ac:dyDescent="0.25">
      <c r="A25443" t="str">
        <f>HYPERLINK("https://www.773grp.com/globalSearch/COP8CDR9HVA8-NOPB/page-1", "COP8CDR9HVA8-NOPB")</f>
        <v>COP8CDR9HVA8-NOPB</v>
      </c>
      <c r="B25443" s="3" t="s">
        <v>90</v>
      </c>
      <c r="C25443" s="5">
        <v>38</v>
      </c>
      <c r="D25443" s="6">
        <v>35.19</v>
      </c>
    </row>
    <row r="25444" spans="1:4" x14ac:dyDescent="0.25">
      <c r="A25444" t="str">
        <f>HYPERLINK("https://www.773grp.com/globalSearch/TRF2436IRHAT/page-1", "TRF2436IRHAT")</f>
        <v>TRF2436IRHAT</v>
      </c>
      <c r="B25444" s="3" t="s">
        <v>90</v>
      </c>
      <c r="C25444" s="5">
        <v>1000</v>
      </c>
      <c r="D25444" s="6">
        <v>35.35</v>
      </c>
    </row>
    <row r="25445" spans="1:4" x14ac:dyDescent="0.25">
      <c r="A25445" t="str">
        <f>HYPERLINK("https://www.773grp.com/globalSearch/AFE1102E/page-1", "AFE1102E")</f>
        <v>AFE1102E</v>
      </c>
      <c r="B25445" s="3" t="s">
        <v>90</v>
      </c>
      <c r="C25445" s="5">
        <v>10</v>
      </c>
      <c r="D25445" s="6">
        <v>35.44</v>
      </c>
    </row>
    <row r="25446" spans="1:4" x14ac:dyDescent="0.25">
      <c r="A25446" t="str">
        <f>HYPERLINK("https://www.773grp.com/globalSearch/OP37AFKB/page-1", "OP37AFKB")</f>
        <v>OP37AFKB</v>
      </c>
      <c r="B25446" s="3" t="s">
        <v>90</v>
      </c>
      <c r="C25446" s="5">
        <v>9</v>
      </c>
      <c r="D25446" s="6">
        <v>35.44</v>
      </c>
    </row>
    <row r="25447" spans="1:4" x14ac:dyDescent="0.25">
      <c r="A25447" t="str">
        <f>HYPERLINK("https://www.773grp.com/globalSearch/OP37CFKB/page-1", "OP37CFKB")</f>
        <v>OP37CFKB</v>
      </c>
      <c r="B25447" s="3" t="s">
        <v>90</v>
      </c>
      <c r="C25447" s="5">
        <v>498</v>
      </c>
      <c r="D25447" s="6">
        <v>35.44</v>
      </c>
    </row>
    <row r="25448" spans="1:4" x14ac:dyDescent="0.25">
      <c r="A25448" t="str">
        <f>HYPERLINK("https://www.773grp.com/globalSearch/VSP5010PMR/page-1", "VSP5010PMR")</f>
        <v>VSP5010PMR</v>
      </c>
      <c r="B25448" s="3" t="s">
        <v>90</v>
      </c>
      <c r="C25448" s="5">
        <v>413</v>
      </c>
      <c r="D25448" s="6">
        <v>35.44</v>
      </c>
    </row>
    <row r="25449" spans="1:4" x14ac:dyDescent="0.25">
      <c r="A25449" t="str">
        <f>HYPERLINK("https://www.773grp.com/globalSearch/5962-8970401CA/page-1", "5962-8970401CA")</f>
        <v>5962-8970401CA</v>
      </c>
      <c r="B25449" s="3" t="s">
        <v>90</v>
      </c>
      <c r="C25449" s="5">
        <v>104</v>
      </c>
      <c r="D25449" s="6">
        <v>35.479999999999997</v>
      </c>
    </row>
    <row r="25450" spans="1:4" x14ac:dyDescent="0.25">
      <c r="A25450" t="str">
        <f>HYPERLINK("https://www.773grp.com/globalSearch/ILC2252AMUB/page-1", "ILC2252AMUB")</f>
        <v>ILC2252AMUB</v>
      </c>
      <c r="B25450" s="3" t="s">
        <v>90</v>
      </c>
      <c r="C25450" s="5">
        <v>75</v>
      </c>
      <c r="D25450" s="6">
        <v>35.58</v>
      </c>
    </row>
    <row r="25451" spans="1:4" x14ac:dyDescent="0.25">
      <c r="A25451" t="str">
        <f>HYPERLINK("https://www.773grp.com/globalSearch/PCM69APJ/page-1", "PCM69APJ")</f>
        <v>PCM69APJ</v>
      </c>
      <c r="B25451" s="3" t="s">
        <v>90</v>
      </c>
      <c r="C25451" s="5">
        <v>22</v>
      </c>
      <c r="D25451" s="6">
        <v>35.58</v>
      </c>
    </row>
    <row r="25452" spans="1:4" x14ac:dyDescent="0.25">
      <c r="A25452" t="str">
        <f>HYPERLINK("https://www.773grp.com/globalSearch/VFC110AP-2/page-1", "VFC110AP-2")</f>
        <v>VFC110AP-2</v>
      </c>
      <c r="B25452" s="3" t="s">
        <v>90</v>
      </c>
      <c r="C25452" s="5">
        <v>500</v>
      </c>
      <c r="D25452" s="6">
        <v>35.58</v>
      </c>
    </row>
    <row r="25453" spans="1:4" x14ac:dyDescent="0.25">
      <c r="A25453" t="str">
        <f>HYPERLINK("https://www.773grp.com/globalSearch/LM3S6918-EQC50-A2/page-1", "LM3S6918-EQC50-A2")</f>
        <v>LM3S6918-EQC50-A2</v>
      </c>
      <c r="B25453" s="3" t="s">
        <v>90</v>
      </c>
      <c r="C25453" s="5">
        <v>450</v>
      </c>
      <c r="D25453" s="6">
        <v>35.64</v>
      </c>
    </row>
    <row r="25454" spans="1:4" x14ac:dyDescent="0.25">
      <c r="A25454" t="str">
        <f>HYPERLINK("https://www.773grp.com/globalSearch/DP83843BVJE/page-1", "DP83843BVJE")</f>
        <v>DP83843BVJE</v>
      </c>
      <c r="B25454" s="3" t="s">
        <v>90</v>
      </c>
      <c r="C25454" s="5">
        <v>52</v>
      </c>
      <c r="D25454" s="6">
        <v>35.74</v>
      </c>
    </row>
    <row r="25455" spans="1:4" x14ac:dyDescent="0.25">
      <c r="A25455" t="str">
        <f>HYPERLINK("https://www.773grp.com/globalSearch/JM38510-65003B2A/page-1", "JM38510-65003B2A")</f>
        <v>JM38510-65003B2A</v>
      </c>
      <c r="B25455" s="3" t="s">
        <v>90</v>
      </c>
      <c r="C25455" s="5">
        <v>119</v>
      </c>
      <c r="D25455" s="6">
        <v>35.86</v>
      </c>
    </row>
    <row r="25456" spans="1:4" x14ac:dyDescent="0.25">
      <c r="A25456" t="str">
        <f>HYPERLINK("https://www.773grp.com/globalSearch/JM38510-65104B2A/page-1", "JM38510-65104B2A")</f>
        <v>JM38510-65104B2A</v>
      </c>
      <c r="B25456" s="3" t="s">
        <v>90</v>
      </c>
      <c r="C25456" s="5">
        <v>55</v>
      </c>
      <c r="D25456" s="6">
        <v>35.86</v>
      </c>
    </row>
    <row r="25457" spans="1:4" x14ac:dyDescent="0.25">
      <c r="A25457" t="str">
        <f>HYPERLINK("https://www.773grp.com/globalSearch/TMS320C28344ZFET/page-1", "TMS320C28344ZFET")</f>
        <v>TMS320C28344ZFET</v>
      </c>
      <c r="B25457" s="3" t="s">
        <v>90</v>
      </c>
      <c r="C25457" s="5">
        <v>6</v>
      </c>
      <c r="D25457" s="6">
        <v>36</v>
      </c>
    </row>
    <row r="25458" spans="1:4" x14ac:dyDescent="0.25">
      <c r="A25458" t="str">
        <f>HYPERLINK("https://www.773grp.com/globalSearch/SNJ55451BJG/page-1", "SNJ55451BJG")</f>
        <v>SNJ55451BJG</v>
      </c>
      <c r="B25458" s="3" t="s">
        <v>90</v>
      </c>
      <c r="C25458" s="5">
        <v>18</v>
      </c>
      <c r="D25458" s="6">
        <v>36.03</v>
      </c>
    </row>
    <row r="25459" spans="1:4" x14ac:dyDescent="0.25">
      <c r="A25459" t="str">
        <f>HYPERLINK("https://www.773grp.com/globalSearch/TACT83442DPJ/page-1", "TACT83442DPJ")</f>
        <v>TACT83442DPJ</v>
      </c>
      <c r="B25459" s="3" t="s">
        <v>90</v>
      </c>
      <c r="C25459" s="5">
        <v>4146</v>
      </c>
      <c r="D25459" s="6">
        <v>36.06</v>
      </c>
    </row>
    <row r="25460" spans="1:4" x14ac:dyDescent="0.25">
      <c r="A25460" t="str">
        <f>HYPERLINK("https://www.773grp.com/globalSearch/TLC3578IDW/page-1", "TLC3578IDW")</f>
        <v>TLC3578IDW</v>
      </c>
      <c r="B25460" s="3" t="s">
        <v>90</v>
      </c>
      <c r="C25460" s="5">
        <v>150</v>
      </c>
      <c r="D25460" s="6">
        <v>36.15</v>
      </c>
    </row>
    <row r="25461" spans="1:4" x14ac:dyDescent="0.25">
      <c r="A25461" t="str">
        <f>HYPERLINK("https://www.773grp.com/globalSearch/TMS320C6745BPTP4/page-1", "TMS320C6745BPTP4")</f>
        <v>TMS320C6745BPTP4</v>
      </c>
      <c r="B25461" s="3" t="s">
        <v>90</v>
      </c>
      <c r="C25461" s="5">
        <v>183</v>
      </c>
      <c r="D25461" s="6">
        <v>36.15</v>
      </c>
    </row>
    <row r="25462" spans="1:4" x14ac:dyDescent="0.25">
      <c r="A25462" t="str">
        <f>HYPERLINK("https://www.773grp.com/globalSearch/TMS320C6745BPTPA3/page-1", "TMS320C6745BPTPA3")</f>
        <v>TMS320C6745BPTPA3</v>
      </c>
      <c r="B25462" s="3" t="s">
        <v>90</v>
      </c>
      <c r="C25462" s="5">
        <v>196</v>
      </c>
      <c r="D25462" s="6">
        <v>36.15</v>
      </c>
    </row>
    <row r="25463" spans="1:4" x14ac:dyDescent="0.25">
      <c r="A25463" t="str">
        <f>HYPERLINK("https://www.773grp.com/globalSearch/TMS320C6745BPTPT3/page-1", "TMS320C6745BPTPT3")</f>
        <v>TMS320C6745BPTPT3</v>
      </c>
      <c r="B25463" s="3" t="s">
        <v>90</v>
      </c>
      <c r="C25463" s="5">
        <v>12</v>
      </c>
      <c r="D25463" s="6">
        <v>36.15</v>
      </c>
    </row>
    <row r="25464" spans="1:4" x14ac:dyDescent="0.25">
      <c r="A25464" t="str">
        <f>HYPERLINK("https://www.773grp.com/globalSearch/34P3402AGT/page-1", "34P3402AGT")</f>
        <v>34P3402AGT</v>
      </c>
      <c r="B25464" s="3" t="s">
        <v>90</v>
      </c>
      <c r="C25464" s="5">
        <v>6738</v>
      </c>
      <c r="D25464" s="6">
        <v>36.159999999999997</v>
      </c>
    </row>
    <row r="25465" spans="1:4" x14ac:dyDescent="0.25">
      <c r="A25465" t="str">
        <f>HYPERLINK("https://www.773grp.com/globalSearch/34P3410DGG/page-1", "34P3410DGG")</f>
        <v>34P3410DGG</v>
      </c>
      <c r="B25465" s="3" t="s">
        <v>90</v>
      </c>
      <c r="C25465" s="5">
        <v>6562</v>
      </c>
      <c r="D25465" s="6">
        <v>36.159999999999997</v>
      </c>
    </row>
    <row r="25466" spans="1:4" x14ac:dyDescent="0.25">
      <c r="A25466" t="str">
        <f>HYPERLINK("https://www.773grp.com/globalSearch/34P3413DGG/page-1", "34P3413DGG")</f>
        <v>34P3413DGG</v>
      </c>
      <c r="B25466" s="3" t="s">
        <v>90</v>
      </c>
      <c r="C25466" s="5">
        <v>1728</v>
      </c>
      <c r="D25466" s="6">
        <v>36.159999999999997</v>
      </c>
    </row>
    <row r="25467" spans="1:4" x14ac:dyDescent="0.25">
      <c r="A25467" t="str">
        <f>HYPERLINK("https://www.773grp.com/globalSearch/34P3413DGGR/page-1", "34P3413DGGR")</f>
        <v>34P3413DGGR</v>
      </c>
      <c r="B25467" s="3" t="s">
        <v>90</v>
      </c>
      <c r="C25467" s="5">
        <v>4795</v>
      </c>
      <c r="D25467" s="6">
        <v>36.159999999999997</v>
      </c>
    </row>
    <row r="25468" spans="1:4" x14ac:dyDescent="0.25">
      <c r="A25468" t="str">
        <f>HYPERLINK("https://www.773grp.com/globalSearch/OPA627AU-2K5/page-1", "OPA627AU-2K5")</f>
        <v>OPA627AU-2K5</v>
      </c>
      <c r="B25468" s="3" t="s">
        <v>90</v>
      </c>
      <c r="C25468" s="5">
        <v>9994</v>
      </c>
      <c r="D25468" s="6">
        <v>36.159999999999997</v>
      </c>
    </row>
    <row r="25469" spans="1:4" x14ac:dyDescent="0.25">
      <c r="A25469" t="str">
        <f>HYPERLINK("https://www.773grp.com/globalSearch/CD54HC640F3A/page-1", "CD54HC640F3A")</f>
        <v>CD54HC640F3A</v>
      </c>
      <c r="B25469" s="3" t="s">
        <v>90</v>
      </c>
      <c r="C25469" s="5">
        <v>6</v>
      </c>
      <c r="D25469" s="6">
        <v>36.229999999999997</v>
      </c>
    </row>
    <row r="25470" spans="1:4" x14ac:dyDescent="0.25">
      <c r="A25470" t="str">
        <f>HYPERLINK("https://www.773grp.com/globalSearch/LMK04000BISQE-NOPB/page-1", "LMK04000BISQE-NOPB")</f>
        <v>LMK04000BISQE-NOPB</v>
      </c>
      <c r="B25470" s="3" t="s">
        <v>90</v>
      </c>
      <c r="C25470" s="5">
        <v>200</v>
      </c>
      <c r="D25470" s="6">
        <v>36.29</v>
      </c>
    </row>
    <row r="25471" spans="1:4" x14ac:dyDescent="0.25">
      <c r="A25471" t="str">
        <f>HYPERLINK("https://www.773grp.com/globalSearch/LMK04001BISQE-NOPB/page-1", "LMK04001BISQE-NOPB")</f>
        <v>LMK04001BISQE-NOPB</v>
      </c>
      <c r="B25471" s="3" t="s">
        <v>90</v>
      </c>
      <c r="C25471" s="5">
        <v>230</v>
      </c>
      <c r="D25471" s="6">
        <v>36.29</v>
      </c>
    </row>
    <row r="25472" spans="1:4" x14ac:dyDescent="0.25">
      <c r="A25472" t="str">
        <f>HYPERLINK("https://www.773grp.com/globalSearch/LMK04002BISQE-NOPB/page-1", "LMK04002BISQE-NOPB")</f>
        <v>LMK04002BISQE-NOPB</v>
      </c>
      <c r="B25472" s="3" t="s">
        <v>90</v>
      </c>
      <c r="C25472" s="5">
        <v>203</v>
      </c>
      <c r="D25472" s="6">
        <v>36.29</v>
      </c>
    </row>
    <row r="25473" spans="1:4" x14ac:dyDescent="0.25">
      <c r="A25473" t="str">
        <f>HYPERLINK("https://www.773grp.com/globalSearch/LMK04010BISQE-NOPB/page-1", "LMK04010BISQE-NOPB")</f>
        <v>LMK04010BISQE-NOPB</v>
      </c>
      <c r="B25473" s="3" t="s">
        <v>90</v>
      </c>
      <c r="C25473" s="5">
        <v>250</v>
      </c>
      <c r="D25473" s="6">
        <v>36.29</v>
      </c>
    </row>
    <row r="25474" spans="1:4" x14ac:dyDescent="0.25">
      <c r="A25474" t="str">
        <f>HYPERLINK("https://www.773grp.com/globalSearch/DAC7625UB/page-1", "DAC7625UB")</f>
        <v>DAC7625UB</v>
      </c>
      <c r="B25474" s="3" t="s">
        <v>90</v>
      </c>
      <c r="C25474" s="5">
        <v>10</v>
      </c>
      <c r="D25474" s="6">
        <v>36.340000000000003</v>
      </c>
    </row>
    <row r="25475" spans="1:4" x14ac:dyDescent="0.25">
      <c r="A25475" t="str">
        <f>HYPERLINK("https://www.773grp.com/globalSearch/ADS8555SPMR/page-1", "ADS8555SPMR")</f>
        <v>ADS8555SPMR</v>
      </c>
      <c r="B25475" s="3" t="s">
        <v>90</v>
      </c>
      <c r="C25475" s="5">
        <v>11000</v>
      </c>
      <c r="D25475" s="6">
        <v>36.409999999999997</v>
      </c>
    </row>
    <row r="25476" spans="1:4" x14ac:dyDescent="0.25">
      <c r="A25476" t="str">
        <f>HYPERLINK("https://www.773grp.com/globalSearch/ADS8557IPM/page-1", "ADS8557IPM")</f>
        <v>ADS8557IPM</v>
      </c>
      <c r="B25476" s="3" t="s">
        <v>90</v>
      </c>
      <c r="C25476" s="5">
        <v>569</v>
      </c>
      <c r="D25476" s="6">
        <v>36.409999999999997</v>
      </c>
    </row>
    <row r="25477" spans="1:4" x14ac:dyDescent="0.25">
      <c r="A25477" t="str">
        <f>HYPERLINK("https://www.773grp.com/globalSearch/DAC5652MPFBEP/page-1", "DAC5652MPFBEP")</f>
        <v>DAC5652MPFBEP</v>
      </c>
      <c r="B25477" s="3" t="s">
        <v>90</v>
      </c>
      <c r="C25477" s="5">
        <v>262</v>
      </c>
      <c r="D25477" s="6">
        <v>36.409999999999997</v>
      </c>
    </row>
    <row r="25478" spans="1:4" x14ac:dyDescent="0.25">
      <c r="A25478" t="str">
        <f>HYPERLINK("https://www.773grp.com/globalSearch/DAC7624UB/page-1", "DAC7624UB")</f>
        <v>DAC7624UB</v>
      </c>
      <c r="B25478" s="3" t="s">
        <v>90</v>
      </c>
      <c r="C25478" s="5">
        <v>6960</v>
      </c>
      <c r="D25478" s="6">
        <v>36.409999999999997</v>
      </c>
    </row>
    <row r="25479" spans="1:4" x14ac:dyDescent="0.25">
      <c r="A25479" t="str">
        <f>HYPERLINK("https://www.773grp.com/globalSearch/UC3851N/page-1", "UC3851N")</f>
        <v>UC3851N</v>
      </c>
      <c r="B25479" s="3" t="s">
        <v>90</v>
      </c>
      <c r="C25479" s="5">
        <v>12600</v>
      </c>
      <c r="D25479" s="6">
        <v>36.409999999999997</v>
      </c>
    </row>
    <row r="25480" spans="1:4" x14ac:dyDescent="0.25">
      <c r="A25480" t="str">
        <f>HYPERLINK("https://www.773grp.com/globalSearch/UC1611J883B/page-1", "UC1611J883B")</f>
        <v>UC1611J883B</v>
      </c>
      <c r="B25480" s="3" t="s">
        <v>90</v>
      </c>
      <c r="C25480" s="5">
        <v>50</v>
      </c>
      <c r="D25480" s="6">
        <v>36.49</v>
      </c>
    </row>
    <row r="25481" spans="1:4" x14ac:dyDescent="0.25">
      <c r="A25481" t="str">
        <f>HYPERLINK("https://www.773grp.com/globalSearch/EK-TM4C123GXL/page-1", "EK-TM4C123GXL")</f>
        <v>EK-TM4C123GXL</v>
      </c>
      <c r="B25481" s="3" t="s">
        <v>90</v>
      </c>
      <c r="C25481" s="5">
        <v>3</v>
      </c>
      <c r="D25481" s="6">
        <v>36.54</v>
      </c>
    </row>
    <row r="25482" spans="1:4" x14ac:dyDescent="0.25">
      <c r="A25482" t="str">
        <f>HYPERLINK("https://www.773grp.com/globalSearch/MSP-EXP430F5529LP/page-1", "MSP-EXP430F5529LP")</f>
        <v>MSP-EXP430F5529LP</v>
      </c>
      <c r="B25482" s="3" t="s">
        <v>90</v>
      </c>
      <c r="C25482" s="5">
        <v>9</v>
      </c>
      <c r="D25482" s="6">
        <v>36.54</v>
      </c>
    </row>
    <row r="25483" spans="1:4" x14ac:dyDescent="0.25">
      <c r="A25483" t="str">
        <f>HYPERLINK("https://www.773grp.com/globalSearch/ADS8507IDWR/page-1", "ADS8507IDWR")</f>
        <v>ADS8507IDWR</v>
      </c>
      <c r="B25483" s="3" t="s">
        <v>90</v>
      </c>
      <c r="C25483" s="5">
        <v>1000</v>
      </c>
      <c r="D25483" s="6">
        <v>36.56</v>
      </c>
    </row>
    <row r="25484" spans="1:4" x14ac:dyDescent="0.25">
      <c r="A25484" t="str">
        <f>HYPERLINK("https://www.773grp.com/globalSearch/SNJ55450BFK/page-1", "SNJ55450BFK")</f>
        <v>SNJ55450BFK</v>
      </c>
      <c r="B25484" s="3" t="s">
        <v>90</v>
      </c>
      <c r="C25484" s="5">
        <v>86</v>
      </c>
      <c r="D25484" s="6">
        <v>36.56</v>
      </c>
    </row>
    <row r="25485" spans="1:4" x14ac:dyDescent="0.25">
      <c r="A25485" t="str">
        <f>HYPERLINK("https://www.773grp.com/globalSearch/UC1526ADW-80788/page-1", "UC1526ADW-80788")</f>
        <v>UC1526ADW-80788</v>
      </c>
      <c r="B25485" s="3" t="s">
        <v>90</v>
      </c>
      <c r="C25485" s="5">
        <v>4</v>
      </c>
      <c r="D25485" s="6">
        <v>36.56</v>
      </c>
    </row>
    <row r="25486" spans="1:4" x14ac:dyDescent="0.25">
      <c r="A25486" t="str">
        <f>HYPERLINK("https://www.773grp.com/globalSearch/TMS320F28234ZJZA/page-1", "TMS320F28234ZJZA")</f>
        <v>TMS320F28234ZJZA</v>
      </c>
      <c r="B25486" s="3" t="s">
        <v>90</v>
      </c>
      <c r="C25486" s="5">
        <v>499</v>
      </c>
      <c r="D25486" s="6">
        <v>36.700000000000003</v>
      </c>
    </row>
    <row r="25487" spans="1:4" x14ac:dyDescent="0.25">
      <c r="A25487" t="str">
        <f>HYPERLINK("https://www.773grp.com/globalSearch/PTH08T240FAD/page-1", "PTH08T240FAD")</f>
        <v>PTH08T240FAD</v>
      </c>
      <c r="B25487" s="3" t="s">
        <v>90</v>
      </c>
      <c r="C25487" s="5">
        <v>1</v>
      </c>
      <c r="D25487" s="6">
        <v>36.75</v>
      </c>
    </row>
    <row r="25488" spans="1:4" x14ac:dyDescent="0.25">
      <c r="A25488" t="str">
        <f>HYPERLINK("https://www.773grp.com/globalSearch/PTH08T240WAD/page-1", "PTH08T240WAD")</f>
        <v>PTH08T240WAD</v>
      </c>
      <c r="B25488" s="3" t="s">
        <v>90</v>
      </c>
      <c r="C25488" s="5">
        <v>38</v>
      </c>
      <c r="D25488" s="6">
        <v>36.75</v>
      </c>
    </row>
    <row r="25489" spans="1:4" x14ac:dyDescent="0.25">
      <c r="A25489" t="str">
        <f>HYPERLINK("https://www.773grp.com/globalSearch/PTH08T240WAZ/page-1", "PTH08T240WAZ")</f>
        <v>PTH08T240WAZ</v>
      </c>
      <c r="B25489" s="3" t="s">
        <v>90</v>
      </c>
      <c r="C25489" s="5">
        <v>294</v>
      </c>
      <c r="D25489" s="6">
        <v>36.75</v>
      </c>
    </row>
    <row r="25490" spans="1:4" x14ac:dyDescent="0.25">
      <c r="A25490" t="str">
        <f>HYPERLINK("https://www.773grp.com/globalSearch/TS5400QFN-S3/page-1", "TS5400QFN-S3")</f>
        <v>TS5400QFN-S3</v>
      </c>
      <c r="B25490" s="3" t="s">
        <v>90</v>
      </c>
      <c r="C25490" s="5">
        <v>23</v>
      </c>
      <c r="D25490" s="6">
        <v>36.75</v>
      </c>
    </row>
    <row r="25491" spans="1:4" x14ac:dyDescent="0.25">
      <c r="A25491" t="str">
        <f>HYPERLINK("https://www.773grp.com/globalSearch/32P4911A-CGF/page-1", "32P4911A-CGF")</f>
        <v>32P4911A-CGF</v>
      </c>
      <c r="B25491" s="3" t="s">
        <v>90</v>
      </c>
      <c r="C25491" s="5">
        <v>2500</v>
      </c>
      <c r="D25491" s="6">
        <v>36.79</v>
      </c>
    </row>
    <row r="25492" spans="1:4" x14ac:dyDescent="0.25">
      <c r="A25492" t="str">
        <f>HYPERLINK("https://www.773grp.com/globalSearch/JM38510-65002SCA/page-1", "JM38510-65002SCA")</f>
        <v>JM38510-65002SCA</v>
      </c>
      <c r="B25492" s="3" t="s">
        <v>90</v>
      </c>
      <c r="C25492" s="5">
        <v>9</v>
      </c>
      <c r="D25492" s="6">
        <v>36.840000000000003</v>
      </c>
    </row>
    <row r="25493" spans="1:4" x14ac:dyDescent="0.25">
      <c r="A25493" t="str">
        <f>HYPERLINK("https://www.773grp.com/globalSearch/TMS320DM320ZHK/page-1", "TMS320DM320ZHK")</f>
        <v>TMS320DM320ZHK</v>
      </c>
      <c r="B25493" s="3" t="s">
        <v>90</v>
      </c>
      <c r="C25493" s="5">
        <v>5105</v>
      </c>
      <c r="D25493" s="6">
        <v>36.840000000000003</v>
      </c>
    </row>
    <row r="25494" spans="1:4" x14ac:dyDescent="0.25">
      <c r="A25494" t="str">
        <f>HYPERLINK("https://www.773grp.com/globalSearch/ADS7891IPFBR/page-1", "ADS7891IPFBR")</f>
        <v>ADS7891IPFBR</v>
      </c>
      <c r="B25494" s="3" t="s">
        <v>90</v>
      </c>
      <c r="C25494" s="5">
        <v>2000</v>
      </c>
      <c r="D25494" s="6">
        <v>36.99</v>
      </c>
    </row>
    <row r="25495" spans="1:4" x14ac:dyDescent="0.25">
      <c r="A25495" t="str">
        <f>HYPERLINK("https://www.773grp.com/globalSearch/DAC8871SBPW/page-1", "DAC8871SBPW")</f>
        <v>DAC8871SBPW</v>
      </c>
      <c r="B25495" s="3" t="s">
        <v>90</v>
      </c>
      <c r="C25495" s="5">
        <v>461</v>
      </c>
      <c r="D25495" s="6">
        <v>36.99</v>
      </c>
    </row>
    <row r="25496" spans="1:4" x14ac:dyDescent="0.25">
      <c r="A25496" t="str">
        <f>HYPERLINK("https://www.773grp.com/globalSearch/TL81023042A/page-1", "TL81023042A")</f>
        <v>TL81023042A</v>
      </c>
      <c r="B25496" s="3" t="s">
        <v>90</v>
      </c>
      <c r="C25496" s="5">
        <v>8</v>
      </c>
      <c r="D25496" s="6">
        <v>37.090000000000003</v>
      </c>
    </row>
    <row r="25497" spans="1:4" x14ac:dyDescent="0.25">
      <c r="A25497" t="str">
        <f>HYPERLINK("https://www.773grp.com/globalSearch/TMS320F2810PBKA/page-1", "TMS320F2810PBKA")</f>
        <v>TMS320F2810PBKA</v>
      </c>
      <c r="B25497" s="3" t="s">
        <v>90</v>
      </c>
      <c r="C25497" s="5">
        <v>1650</v>
      </c>
      <c r="D25497" s="6">
        <v>37.130000000000003</v>
      </c>
    </row>
    <row r="25498" spans="1:4" x14ac:dyDescent="0.25">
      <c r="A25498" t="str">
        <f>HYPERLINK("https://www.773grp.com/globalSearch/TMS320F28332PGFA/page-1", "TMS320F28332PGFA")</f>
        <v>TMS320F28332PGFA</v>
      </c>
      <c r="B25498" s="3" t="s">
        <v>90</v>
      </c>
      <c r="C25498" s="5">
        <v>1086</v>
      </c>
      <c r="D25498" s="6">
        <v>37.130000000000003</v>
      </c>
    </row>
    <row r="25499" spans="1:4" x14ac:dyDescent="0.25">
      <c r="A25499" t="str">
        <f>HYPERLINK("https://www.773grp.com/globalSearch/DAC813AU-1K/page-1", "DAC813AU-1K")</f>
        <v>DAC813AU-1K</v>
      </c>
      <c r="B25499" s="3" t="s">
        <v>90</v>
      </c>
      <c r="C25499" s="5">
        <v>7000</v>
      </c>
      <c r="D25499" s="6">
        <v>37.21</v>
      </c>
    </row>
    <row r="25500" spans="1:4" x14ac:dyDescent="0.25">
      <c r="A25500" t="str">
        <f>HYPERLINK("https://www.773grp.com/globalSearch/DAC813AU-1K/page-1", "DAC813AU-1K")</f>
        <v>DAC813AU-1K</v>
      </c>
      <c r="B25500" s="3" t="s">
        <v>90</v>
      </c>
      <c r="C25500" s="5">
        <v>1000</v>
      </c>
      <c r="D25500" s="6">
        <v>37.21</v>
      </c>
    </row>
    <row r="25501" spans="1:4" x14ac:dyDescent="0.25">
      <c r="A25501" t="str">
        <f>HYPERLINK("https://www.773grp.com/globalSearch/SE555FKB/page-1", "SE555FKB")</f>
        <v>SE555FKB</v>
      </c>
      <c r="B25501" s="3" t="s">
        <v>90</v>
      </c>
      <c r="C25501" s="5">
        <v>27</v>
      </c>
      <c r="D25501" s="6">
        <v>37.33</v>
      </c>
    </row>
    <row r="25502" spans="1:4" x14ac:dyDescent="0.25">
      <c r="A25502" t="str">
        <f>HYPERLINK("https://www.773grp.com/globalSearch/PTN78060WAS/page-1", "PTN78060WAS")</f>
        <v>PTN78060WAS</v>
      </c>
      <c r="B25502" s="3" t="s">
        <v>90</v>
      </c>
      <c r="C25502" s="5">
        <v>383</v>
      </c>
      <c r="D25502" s="6">
        <v>37.43</v>
      </c>
    </row>
    <row r="25503" spans="1:4" x14ac:dyDescent="0.25">
      <c r="A25503" t="str">
        <f>HYPERLINK("https://www.773grp.com/globalSearch/PTN78060WAZ/page-1", "PTN78060WAZ")</f>
        <v>PTN78060WAZ</v>
      </c>
      <c r="B25503" s="3" t="s">
        <v>90</v>
      </c>
      <c r="C25503" s="5">
        <v>95</v>
      </c>
      <c r="D25503" s="6">
        <v>37.43</v>
      </c>
    </row>
    <row r="25504" spans="1:4" x14ac:dyDescent="0.25">
      <c r="A25504" t="str">
        <f>HYPERLINK("https://www.773grp.com/globalSearch/PTN78060WAZT/page-1", "PTN78060WAZT")</f>
        <v>PTN78060WAZT</v>
      </c>
      <c r="B25504" s="3" t="s">
        <v>90</v>
      </c>
      <c r="C25504" s="5">
        <v>55</v>
      </c>
      <c r="D25504" s="6">
        <v>37.43</v>
      </c>
    </row>
    <row r="25505" spans="1:4" x14ac:dyDescent="0.25">
      <c r="A25505" t="str">
        <f>HYPERLINK("https://www.773grp.com/globalSearch/LMH0344SQE-NOPB/page-1", "LMH0344SQE-NOPB")</f>
        <v>LMH0344SQE-NOPB</v>
      </c>
      <c r="B25505" s="3" t="s">
        <v>90</v>
      </c>
      <c r="C25505" s="5">
        <v>1000</v>
      </c>
      <c r="D25505" s="6">
        <v>37.549999999999997</v>
      </c>
    </row>
    <row r="25506" spans="1:4" x14ac:dyDescent="0.25">
      <c r="A25506" t="str">
        <f>HYPERLINK("https://www.773grp.com/globalSearch/LOG2112AIDW/page-1", "LOG2112AIDW")</f>
        <v>LOG2112AIDW</v>
      </c>
      <c r="B25506" s="3" t="s">
        <v>90</v>
      </c>
      <c r="C25506" s="5">
        <v>27</v>
      </c>
      <c r="D25506" s="6">
        <v>37.549999999999997</v>
      </c>
    </row>
    <row r="25507" spans="1:4" x14ac:dyDescent="0.25">
      <c r="A25507" t="str">
        <f>HYPERLINK("https://www.773grp.com/globalSearch/TAS5414ATDKD/page-1", "TAS5414ATDKD")</f>
        <v>TAS5414ATDKD</v>
      </c>
      <c r="B25507" s="3" t="s">
        <v>90</v>
      </c>
      <c r="C25507" s="5">
        <v>17</v>
      </c>
      <c r="D25507" s="6">
        <v>37.549999999999997</v>
      </c>
    </row>
    <row r="25508" spans="1:4" x14ac:dyDescent="0.25">
      <c r="A25508" t="str">
        <f>HYPERLINK("https://www.773grp.com/globalSearch/SCAN25100TYA-NOPB/page-1", "SCAN25100TYA-NOPB")</f>
        <v>SCAN25100TYA-NOPB</v>
      </c>
      <c r="B25508" s="3" t="s">
        <v>90</v>
      </c>
      <c r="C25508" s="5">
        <v>43</v>
      </c>
      <c r="D25508" s="6">
        <v>37.69</v>
      </c>
    </row>
    <row r="25509" spans="1:4" x14ac:dyDescent="0.25">
      <c r="A25509" t="str">
        <f>HYPERLINK("https://www.773grp.com/globalSearch/UC1854J883B/page-1", "UC1854J883B")</f>
        <v>UC1854J883B</v>
      </c>
      <c r="B25509" s="3" t="s">
        <v>90</v>
      </c>
      <c r="C25509" s="5">
        <v>14</v>
      </c>
      <c r="D25509" s="6">
        <v>37.69</v>
      </c>
    </row>
    <row r="25510" spans="1:4" x14ac:dyDescent="0.25">
      <c r="A25510" t="str">
        <f>HYPERLINK("https://www.773grp.com/globalSearch/TAS5414ATDKDRMQ1/page-1", "TAS5414ATDKDRMQ1")</f>
        <v>TAS5414ATDKDRMQ1</v>
      </c>
      <c r="B25510" s="3" t="s">
        <v>90</v>
      </c>
      <c r="C25510" s="5">
        <v>122</v>
      </c>
      <c r="D25510" s="6">
        <v>37.799999999999997</v>
      </c>
    </row>
    <row r="25511" spans="1:4" x14ac:dyDescent="0.25">
      <c r="A25511" t="str">
        <f>HYPERLINK("https://www.773grp.com/globalSearch/SNJ54AS804BJ/page-1", "SNJ54AS804BJ")</f>
        <v>SNJ54AS804BJ</v>
      </c>
      <c r="B25511" s="3" t="s">
        <v>90</v>
      </c>
      <c r="C25511" s="5">
        <v>30</v>
      </c>
      <c r="D25511" s="6">
        <v>37.85</v>
      </c>
    </row>
    <row r="25512" spans="1:4" x14ac:dyDescent="0.25">
      <c r="A25512" t="str">
        <f>HYPERLINK("https://www.773grp.com/globalSearch/AM3354ZCED50/page-1", "AM3354ZCED50")</f>
        <v>AM3354ZCED50</v>
      </c>
      <c r="B25512" s="3" t="s">
        <v>90</v>
      </c>
      <c r="C25512" s="5">
        <v>267</v>
      </c>
      <c r="D25512" s="6">
        <v>37.909999999999997</v>
      </c>
    </row>
    <row r="25513" spans="1:4" x14ac:dyDescent="0.25">
      <c r="A25513" t="str">
        <f>HYPERLINK("https://www.773grp.com/globalSearch/ISO122U-1K/page-1", "ISO122U-1K")</f>
        <v>ISO122U-1K</v>
      </c>
      <c r="B25513" s="3" t="s">
        <v>90</v>
      </c>
      <c r="C25513" s="5">
        <v>4000</v>
      </c>
      <c r="D25513" s="6">
        <v>37.979999999999997</v>
      </c>
    </row>
    <row r="25514" spans="1:4" x14ac:dyDescent="0.25">
      <c r="A25514" t="str">
        <f>HYPERLINK("https://www.773grp.com/globalSearch/JM38510-65602B2A/page-1", "JM38510-65602B2A")</f>
        <v>JM38510-65602B2A</v>
      </c>
      <c r="B25514" s="3" t="s">
        <v>90</v>
      </c>
      <c r="C25514" s="5">
        <v>153</v>
      </c>
      <c r="D25514" s="6">
        <v>37.979999999999997</v>
      </c>
    </row>
    <row r="25515" spans="1:4" x14ac:dyDescent="0.25">
      <c r="A25515" t="str">
        <f>HYPERLINK("https://www.773grp.com/globalSearch/OPA549S/page-1", "OPA549S")</f>
        <v>OPA549S</v>
      </c>
      <c r="B25515" s="3" t="s">
        <v>90</v>
      </c>
      <c r="C25515" s="5">
        <v>10975</v>
      </c>
      <c r="D25515" s="6">
        <v>37.979999999999997</v>
      </c>
    </row>
    <row r="25516" spans="1:4" x14ac:dyDescent="0.25">
      <c r="A25516" t="str">
        <f>HYPERLINK("https://www.773grp.com/globalSearch/OPA549T/page-1", "OPA549T")</f>
        <v>OPA549T</v>
      </c>
      <c r="B25516" s="3" t="s">
        <v>90</v>
      </c>
      <c r="C25516" s="5">
        <v>459</v>
      </c>
      <c r="D25516" s="6">
        <v>37.979999999999997</v>
      </c>
    </row>
    <row r="25517" spans="1:4" x14ac:dyDescent="0.25">
      <c r="A25517" t="str">
        <f>HYPERLINK("https://www.773grp.com/globalSearch/PT79SR115V/page-1", "PT79SR115V")</f>
        <v>PT79SR115V</v>
      </c>
      <c r="B25517" s="3" t="s">
        <v>90</v>
      </c>
      <c r="C25517" s="5">
        <v>14</v>
      </c>
      <c r="D25517" s="6">
        <v>37.979999999999997</v>
      </c>
    </row>
    <row r="25518" spans="1:4" x14ac:dyDescent="0.25">
      <c r="A25518" t="str">
        <f>HYPERLINK("https://www.773grp.com/globalSearch/SN104698GFN/page-1", "SN104698GFN")</f>
        <v>SN104698GFN</v>
      </c>
      <c r="B25518" s="3" t="s">
        <v>90</v>
      </c>
      <c r="C25518" s="5">
        <v>183949</v>
      </c>
      <c r="D25518" s="6">
        <v>37.979999999999997</v>
      </c>
    </row>
    <row r="25519" spans="1:4" x14ac:dyDescent="0.25">
      <c r="A25519" t="str">
        <f>HYPERLINK("https://www.773grp.com/globalSearch/TLC277MLB/page-1", "TLC277MLB")</f>
        <v>TLC277MLB</v>
      </c>
      <c r="B25519" s="3" t="s">
        <v>90</v>
      </c>
      <c r="C25519" s="5">
        <v>1098</v>
      </c>
      <c r="D25519" s="6">
        <v>37.979999999999997</v>
      </c>
    </row>
    <row r="25520" spans="1:4" x14ac:dyDescent="0.25">
      <c r="A25520" t="str">
        <f>HYPERLINK("https://www.773grp.com/globalSearch/TMS320F28232ZJZS/page-1", "TMS320F28232ZJZS")</f>
        <v>TMS320F28232ZJZS</v>
      </c>
      <c r="B25520" s="3" t="s">
        <v>90</v>
      </c>
      <c r="C25520" s="5">
        <v>85</v>
      </c>
      <c r="D25520" s="6">
        <v>37.979999999999997</v>
      </c>
    </row>
    <row r="25521" spans="1:4" x14ac:dyDescent="0.25">
      <c r="A25521" t="str">
        <f>HYPERLINK("https://www.773grp.com/globalSearch/TMS320F2809GGMS/page-1", "TMS320F2809GGMS")</f>
        <v>TMS320F2809GGMS</v>
      </c>
      <c r="B25521" s="3" t="s">
        <v>90</v>
      </c>
      <c r="C25521" s="5">
        <v>124</v>
      </c>
      <c r="D25521" s="6">
        <v>38.1</v>
      </c>
    </row>
    <row r="25522" spans="1:4" x14ac:dyDescent="0.25">
      <c r="A25522" t="str">
        <f>HYPERLINK("https://www.773grp.com/globalSearch/TMS320F2809PZS/page-1", "TMS320F2809PZS")</f>
        <v>TMS320F2809PZS</v>
      </c>
      <c r="B25522" s="3" t="s">
        <v>90</v>
      </c>
      <c r="C25522" s="5">
        <v>11712</v>
      </c>
      <c r="D25522" s="6">
        <v>38.1</v>
      </c>
    </row>
    <row r="25523" spans="1:4" x14ac:dyDescent="0.25">
      <c r="A25523" t="str">
        <f>HYPERLINK("https://www.773grp.com/globalSearch/TMS370C756ANMT/page-1", "TMS370C756ANMT")</f>
        <v>TMS370C756ANMT</v>
      </c>
      <c r="B25523" s="3" t="s">
        <v>90</v>
      </c>
      <c r="C25523" s="5">
        <v>1188</v>
      </c>
      <c r="D25523" s="6">
        <v>38.25</v>
      </c>
    </row>
    <row r="25524" spans="1:4" x14ac:dyDescent="0.25">
      <c r="A25524" t="str">
        <f>HYPERLINK("https://www.773grp.com/globalSearch/SN74ACT363230PQ/page-1", "SN74ACT363230PQ")</f>
        <v>SN74ACT363230PQ</v>
      </c>
      <c r="B25524" s="3" t="s">
        <v>90</v>
      </c>
      <c r="C25524" s="5">
        <v>5</v>
      </c>
      <c r="D25524" s="6">
        <v>38.28</v>
      </c>
    </row>
    <row r="25525" spans="1:4" x14ac:dyDescent="0.25">
      <c r="A25525" t="str">
        <f>HYPERLINK("https://www.773grp.com/globalSearch/PT5402C/page-1", "PT5402C")</f>
        <v>PT5402C</v>
      </c>
      <c r="B25525" s="3" t="s">
        <v>90</v>
      </c>
      <c r="C25525" s="5">
        <v>7</v>
      </c>
      <c r="D25525" s="6">
        <v>38.340000000000003</v>
      </c>
    </row>
    <row r="25526" spans="1:4" x14ac:dyDescent="0.25">
      <c r="A25526" t="str">
        <f>HYPERLINK("https://www.773grp.com/globalSearch/PT5405C/page-1", "PT5405C")</f>
        <v>PT5405C</v>
      </c>
      <c r="B25526" s="3" t="s">
        <v>90</v>
      </c>
      <c r="C25526" s="5">
        <v>1</v>
      </c>
      <c r="D25526" s="6">
        <v>38.340000000000003</v>
      </c>
    </row>
    <row r="25527" spans="1:4" x14ac:dyDescent="0.25">
      <c r="A25527" t="str">
        <f>HYPERLINK("https://www.773grp.com/globalSearch/TSB42AB4PDTG4/page-1", "TSB42AB4PDTG4")</f>
        <v>TSB42AB4PDTG4</v>
      </c>
      <c r="B25527" s="3" t="s">
        <v>90</v>
      </c>
      <c r="C25527" s="5">
        <v>270</v>
      </c>
      <c r="D25527" s="6">
        <v>38.39</v>
      </c>
    </row>
    <row r="25528" spans="1:4" x14ac:dyDescent="0.25">
      <c r="A25528" t="str">
        <f>HYPERLINK("https://www.773grp.com/globalSearch/XAM3358AZCE/page-1", "XAM3358AZCE")</f>
        <v>XAM3358AZCE</v>
      </c>
      <c r="B25528" s="3" t="s">
        <v>90</v>
      </c>
      <c r="C25528" s="5">
        <v>4742</v>
      </c>
      <c r="D25528" s="6">
        <v>38.39</v>
      </c>
    </row>
    <row r="25529" spans="1:4" x14ac:dyDescent="0.25">
      <c r="A25529" t="str">
        <f>HYPERLINK("https://www.773grp.com/globalSearch/XAM3358ZCE/page-1", "XAM3358ZCE")</f>
        <v>XAM3358ZCE</v>
      </c>
      <c r="B25529" s="3" t="s">
        <v>90</v>
      </c>
      <c r="C25529" s="5">
        <v>1020</v>
      </c>
      <c r="D25529" s="6">
        <v>38.39</v>
      </c>
    </row>
    <row r="25530" spans="1:4" x14ac:dyDescent="0.25">
      <c r="A25530" t="str">
        <f>HYPERLINK("https://www.773grp.com/globalSearch/BQ4011YMA100/page-1", "BQ4011YMA100")</f>
        <v>BQ4011YMA100</v>
      </c>
      <c r="B25530" s="3" t="s">
        <v>90</v>
      </c>
      <c r="C25530" s="5">
        <v>9</v>
      </c>
      <c r="D25530" s="6">
        <v>38.51</v>
      </c>
    </row>
    <row r="25531" spans="1:4" x14ac:dyDescent="0.25">
      <c r="A25531" t="str">
        <f>HYPERLINK("https://www.773grp.com/globalSearch/PT6304N/page-1", "PT6304N")</f>
        <v>PT6304N</v>
      </c>
      <c r="B25531" s="3" t="s">
        <v>90</v>
      </c>
      <c r="C25531" s="5">
        <v>6</v>
      </c>
      <c r="D25531" s="6">
        <v>38.51</v>
      </c>
    </row>
    <row r="25532" spans="1:4" x14ac:dyDescent="0.25">
      <c r="A25532" t="str">
        <f>HYPERLINK("https://www.773grp.com/globalSearch/TMS320C54V90BGGU/page-1", "TMS320C54V90BGGU")</f>
        <v>TMS320C54V90BGGU</v>
      </c>
      <c r="B25532" s="3" t="s">
        <v>90</v>
      </c>
      <c r="C25532" s="5">
        <v>883</v>
      </c>
      <c r="D25532" s="6">
        <v>38.51</v>
      </c>
    </row>
    <row r="25533" spans="1:4" x14ac:dyDescent="0.25">
      <c r="A25533" t="str">
        <f>HYPERLINK("https://www.773grp.com/globalSearch/TMS470R1F369APGEQ/page-1", "TMS470R1F369APGEQ")</f>
        <v>TMS470R1F369APGEQ</v>
      </c>
      <c r="B25533" s="3" t="s">
        <v>90</v>
      </c>
      <c r="C25533" s="5">
        <v>360</v>
      </c>
      <c r="D25533" s="6">
        <v>38.590000000000003</v>
      </c>
    </row>
    <row r="25534" spans="1:4" x14ac:dyDescent="0.25">
      <c r="A25534" t="str">
        <f>HYPERLINK("https://www.773grp.com/globalSearch/UA79M05MFKB/page-1", "UA79M05MFKB")</f>
        <v>UA79M05MFKB</v>
      </c>
      <c r="B25534" s="3" t="s">
        <v>90</v>
      </c>
      <c r="C25534" s="5">
        <v>483</v>
      </c>
      <c r="D25534" s="6">
        <v>38.65</v>
      </c>
    </row>
    <row r="25535" spans="1:4" x14ac:dyDescent="0.25">
      <c r="A25535" t="str">
        <f>HYPERLINK("https://www.773grp.com/globalSearch/UA79M12MFKB/page-1", "UA79M12MFKB")</f>
        <v>UA79M12MFKB</v>
      </c>
      <c r="B25535" s="3" t="s">
        <v>90</v>
      </c>
      <c r="C25535" s="5">
        <v>90</v>
      </c>
      <c r="D25535" s="6">
        <v>38.65</v>
      </c>
    </row>
    <row r="25536" spans="1:4" x14ac:dyDescent="0.25">
      <c r="A25536" t="str">
        <f>HYPERLINK("https://www.773grp.com/globalSearch/AM3505AZCN/page-1", "AM3505AZCN")</f>
        <v>AM3505AZCN</v>
      </c>
      <c r="B25536" s="3" t="s">
        <v>90</v>
      </c>
      <c r="C25536" s="5">
        <v>540</v>
      </c>
      <c r="D25536" s="6">
        <v>38.68</v>
      </c>
    </row>
    <row r="25537" spans="1:4" x14ac:dyDescent="0.25">
      <c r="A25537" t="str">
        <f>HYPERLINK("https://www.773grp.com/globalSearch/AM3505AZCN/page-1", "AM3505AZCN")</f>
        <v>AM3505AZCN</v>
      </c>
      <c r="B25537" s="3" t="s">
        <v>90</v>
      </c>
      <c r="C25537" s="5">
        <v>360</v>
      </c>
      <c r="D25537" s="6">
        <v>38.68</v>
      </c>
    </row>
    <row r="25538" spans="1:4" x14ac:dyDescent="0.25">
      <c r="A25538" t="str">
        <f>HYPERLINK("https://www.773grp.com/globalSearch/AM3505AZER/page-1", "AM3505AZER")</f>
        <v>AM3505AZER</v>
      </c>
      <c r="B25538" s="3" t="s">
        <v>90</v>
      </c>
      <c r="C25538" s="5">
        <v>860</v>
      </c>
      <c r="D25538" s="6">
        <v>38.68</v>
      </c>
    </row>
    <row r="25539" spans="1:4" x14ac:dyDescent="0.25">
      <c r="A25539" t="str">
        <f>HYPERLINK("https://www.773grp.com/globalSearch/AM3703CBP/page-1", "AM3703CBP")</f>
        <v>AM3703CBP</v>
      </c>
      <c r="B25539" s="3" t="s">
        <v>90</v>
      </c>
      <c r="C25539" s="5">
        <v>28</v>
      </c>
      <c r="D25539" s="6">
        <v>38.68</v>
      </c>
    </row>
    <row r="25540" spans="1:4" x14ac:dyDescent="0.25">
      <c r="A25540" t="str">
        <f>HYPERLINK("https://www.773grp.com/globalSearch/VCA2612Y-1-2K/page-1", "VCA2612Y-1-2K")</f>
        <v>VCA2612Y-1-2K</v>
      </c>
      <c r="B25540" s="3" t="s">
        <v>90</v>
      </c>
      <c r="C25540" s="5">
        <v>2000</v>
      </c>
      <c r="D25540" s="6">
        <v>38.68</v>
      </c>
    </row>
    <row r="25541" spans="1:4" x14ac:dyDescent="0.25">
      <c r="A25541" t="str">
        <f>HYPERLINK("https://www.773grp.com/globalSearch/CC3000MOD/page-1", "CC3000MOD")</f>
        <v>CC3000MOD</v>
      </c>
      <c r="B25541" s="3" t="s">
        <v>90</v>
      </c>
      <c r="C25541" s="5">
        <v>295</v>
      </c>
      <c r="D25541" s="6">
        <v>38.81</v>
      </c>
    </row>
    <row r="25542" spans="1:4" x14ac:dyDescent="0.25">
      <c r="A25542" t="str">
        <f>HYPERLINK("https://www.773grp.com/globalSearch/CC3000MODR/page-1", "CC3000MODR")</f>
        <v>CC3000MODR</v>
      </c>
      <c r="B25542" s="3" t="s">
        <v>90</v>
      </c>
      <c r="C25542" s="5">
        <v>1200</v>
      </c>
      <c r="D25542" s="6">
        <v>38.81</v>
      </c>
    </row>
    <row r="25543" spans="1:4" x14ac:dyDescent="0.25">
      <c r="A25543" t="str">
        <f>HYPERLINK("https://www.773grp.com/globalSearch/TMS320C6748BZCE4/page-1", "TMS320C6748BZCE4")</f>
        <v>TMS320C6748BZCE4</v>
      </c>
      <c r="B25543" s="3" t="s">
        <v>90</v>
      </c>
      <c r="C25543" s="5">
        <v>948</v>
      </c>
      <c r="D25543" s="6">
        <v>38.81</v>
      </c>
    </row>
    <row r="25544" spans="1:4" x14ac:dyDescent="0.25">
      <c r="A25544" t="str">
        <f>HYPERLINK("https://www.773grp.com/globalSearch/TMS320F28235ZJZA/page-1", "TMS320F28235ZJZA")</f>
        <v>TMS320F28235ZJZA</v>
      </c>
      <c r="B25544" s="3" t="s">
        <v>90</v>
      </c>
      <c r="C25544" s="5">
        <v>6232</v>
      </c>
      <c r="D25544" s="6">
        <v>38.86</v>
      </c>
    </row>
    <row r="25545" spans="1:4" x14ac:dyDescent="0.25">
      <c r="A25545" t="str">
        <f>HYPERLINK("https://www.773grp.com/globalSearch/UC1901J883B/page-1", "UC1901J883B")</f>
        <v>UC1901J883B</v>
      </c>
      <c r="B25545" s="3" t="s">
        <v>90</v>
      </c>
      <c r="C25545" s="5">
        <v>2</v>
      </c>
      <c r="D25545" s="6">
        <v>38.86</v>
      </c>
    </row>
    <row r="25546" spans="1:4" x14ac:dyDescent="0.25">
      <c r="A25546" t="str">
        <f>HYPERLINK("https://www.773grp.com/globalSearch/DAC7724U/page-1", "DAC7724U")</f>
        <v>DAC7724U</v>
      </c>
      <c r="B25546" s="3" t="s">
        <v>90</v>
      </c>
      <c r="C25546" s="5">
        <v>47</v>
      </c>
      <c r="D25546" s="6">
        <v>38.950000000000003</v>
      </c>
    </row>
    <row r="25547" spans="1:4" x14ac:dyDescent="0.25">
      <c r="A25547" t="str">
        <f>HYPERLINK("https://www.773grp.com/globalSearch/ADS1211U-1K/page-1", "ADS1211U-1K")</f>
        <v>ADS1211U-1K</v>
      </c>
      <c r="B25547" s="3" t="s">
        <v>90</v>
      </c>
      <c r="C25547" s="5">
        <v>5000</v>
      </c>
      <c r="D25547" s="6">
        <v>38.99</v>
      </c>
    </row>
    <row r="25548" spans="1:4" x14ac:dyDescent="0.25">
      <c r="A25548" t="str">
        <f>HYPERLINK("https://www.773grp.com/globalSearch/PTH04T220WAD/page-1", "PTH04T220WAD")</f>
        <v>PTH04T220WAD</v>
      </c>
      <c r="B25548" s="3" t="s">
        <v>90</v>
      </c>
      <c r="C25548" s="5">
        <v>7</v>
      </c>
      <c r="D25548" s="6">
        <v>38.99</v>
      </c>
    </row>
    <row r="25549" spans="1:4" x14ac:dyDescent="0.25">
      <c r="A25549" t="str">
        <f>HYPERLINK("https://www.773grp.com/globalSearch/PTH08T221WAST/page-1", "PTH08T221WAST")</f>
        <v>PTH08T221WAST</v>
      </c>
      <c r="B25549" s="3" t="s">
        <v>90</v>
      </c>
      <c r="C25549" s="5">
        <v>250</v>
      </c>
      <c r="D25549" s="6">
        <v>38.99</v>
      </c>
    </row>
    <row r="25550" spans="1:4" x14ac:dyDescent="0.25">
      <c r="A25550" t="str">
        <f>HYPERLINK("https://www.773grp.com/globalSearch/LMZ14201EXTTZE-NOPB/page-1", "LMZ14201EXTTZE-NOPB")</f>
        <v>LMZ14201EXTTZE-NOPB</v>
      </c>
      <c r="B25550" s="3" t="s">
        <v>90</v>
      </c>
      <c r="C25550" s="5">
        <v>83</v>
      </c>
      <c r="D25550" s="6">
        <v>39.1</v>
      </c>
    </row>
    <row r="25551" spans="1:4" x14ac:dyDescent="0.25">
      <c r="A25551" t="str">
        <f>HYPERLINK("https://www.773grp.com/globalSearch/SNJ54S244J/page-1", "SNJ54S244J")</f>
        <v>SNJ54S244J</v>
      </c>
      <c r="B25551" s="3" t="s">
        <v>90</v>
      </c>
      <c r="C25551" s="5">
        <v>32</v>
      </c>
      <c r="D25551" s="6">
        <v>39.24</v>
      </c>
    </row>
    <row r="25552" spans="1:4" x14ac:dyDescent="0.25">
      <c r="A25552" t="str">
        <f>HYPERLINK("https://www.773grp.com/globalSearch/RI-TRP-R9VS-30/page-1", "RI-TRP-R9VS-30")</f>
        <v>RI-TRP-R9VS-30</v>
      </c>
      <c r="B25552" s="3" t="s">
        <v>90</v>
      </c>
      <c r="C25552" s="5">
        <v>90</v>
      </c>
      <c r="D25552" s="6">
        <v>39.33</v>
      </c>
    </row>
    <row r="25553" spans="1:4" x14ac:dyDescent="0.25">
      <c r="A25553" t="str">
        <f>HYPERLINK("https://www.773grp.com/globalSearch/JM38510-65202B2A/page-1", "JM38510-65202B2A")</f>
        <v>JM38510-65202B2A</v>
      </c>
      <c r="B25553" s="3" t="s">
        <v>90</v>
      </c>
      <c r="C25553" s="5">
        <v>259</v>
      </c>
      <c r="D25553" s="6">
        <v>39.380000000000003</v>
      </c>
    </row>
    <row r="25554" spans="1:4" x14ac:dyDescent="0.25">
      <c r="A25554" t="str">
        <f>HYPERLINK("https://www.773grp.com/globalSearch/JM38510-65202BDA/page-1", "JM38510-65202BDA")</f>
        <v>JM38510-65202BDA</v>
      </c>
      <c r="B25554" s="3" t="s">
        <v>90</v>
      </c>
      <c r="C25554" s="5">
        <v>71</v>
      </c>
      <c r="D25554" s="6">
        <v>39.380000000000003</v>
      </c>
    </row>
    <row r="25555" spans="1:4" x14ac:dyDescent="0.25">
      <c r="A25555" t="str">
        <f>HYPERLINK("https://www.773grp.com/globalSearch/JM38510-65305B2A/page-1", "JM38510-65305B2A")</f>
        <v>JM38510-65305B2A</v>
      </c>
      <c r="B25555" s="3" t="s">
        <v>90</v>
      </c>
      <c r="C25555" s="5">
        <v>387</v>
      </c>
      <c r="D25555" s="6">
        <v>39.380000000000003</v>
      </c>
    </row>
    <row r="25556" spans="1:4" x14ac:dyDescent="0.25">
      <c r="A25556" t="str">
        <f>HYPERLINK("https://www.773grp.com/globalSearch/JM38510-65305BFA/page-1", "JM38510-65305BFA")</f>
        <v>JM38510-65305BFA</v>
      </c>
      <c r="B25556" s="3" t="s">
        <v>90</v>
      </c>
      <c r="C25556" s="5">
        <v>88</v>
      </c>
      <c r="D25556" s="6">
        <v>39.380000000000003</v>
      </c>
    </row>
    <row r="25557" spans="1:4" x14ac:dyDescent="0.25">
      <c r="A25557" t="str">
        <f>HYPERLINK("https://www.773grp.com/globalSearch/JM38510-65402B2A/page-1", "JM38510-65402B2A")</f>
        <v>JM38510-65402B2A</v>
      </c>
      <c r="B25557" s="3" t="s">
        <v>90</v>
      </c>
      <c r="C25557" s="5">
        <v>18</v>
      </c>
      <c r="D25557" s="6">
        <v>39.380000000000003</v>
      </c>
    </row>
    <row r="25558" spans="1:4" x14ac:dyDescent="0.25">
      <c r="A25558" t="str">
        <f>HYPERLINK("https://www.773grp.com/globalSearch/JM38510-65402BFA/page-1", "JM38510-65402BFA")</f>
        <v>JM38510-65402BFA</v>
      </c>
      <c r="B25558" s="3" t="s">
        <v>90</v>
      </c>
      <c r="C25558" s="5">
        <v>3</v>
      </c>
      <c r="D25558" s="6">
        <v>39.380000000000003</v>
      </c>
    </row>
    <row r="25559" spans="1:4" x14ac:dyDescent="0.25">
      <c r="A25559" t="str">
        <f>HYPERLINK("https://www.773grp.com/globalSearch/LT1007MLB/page-1", "LT1007MLB")</f>
        <v>LT1007MLB</v>
      </c>
      <c r="B25559" s="3" t="s">
        <v>90</v>
      </c>
      <c r="C25559" s="5">
        <v>676</v>
      </c>
      <c r="D25559" s="6">
        <v>39.380000000000003</v>
      </c>
    </row>
    <row r="25560" spans="1:4" x14ac:dyDescent="0.25">
      <c r="A25560" t="str">
        <f>HYPERLINK("https://www.773grp.com/globalSearch/OP37CJGB/page-1", "OP37CJGB")</f>
        <v>OP37CJGB</v>
      </c>
      <c r="B25560" s="3" t="s">
        <v>90</v>
      </c>
      <c r="C25560" s="5">
        <v>3219</v>
      </c>
      <c r="D25560" s="6">
        <v>39.380000000000003</v>
      </c>
    </row>
    <row r="25561" spans="1:4" x14ac:dyDescent="0.25">
      <c r="A25561" t="str">
        <f>HYPERLINK("https://www.773grp.com/globalSearch/PT79SR152S/page-1", "PT79SR152S")</f>
        <v>PT79SR152S</v>
      </c>
      <c r="B25561" s="3" t="s">
        <v>90</v>
      </c>
      <c r="C25561" s="5">
        <v>16</v>
      </c>
      <c r="D25561" s="6">
        <v>39.380000000000003</v>
      </c>
    </row>
    <row r="25562" spans="1:4" x14ac:dyDescent="0.25">
      <c r="A25562" t="str">
        <f>HYPERLINK("https://www.773grp.com/globalSearch/TMS320F2808PZQ/page-1", "TMS320F2808PZQ")</f>
        <v>TMS320F2808PZQ</v>
      </c>
      <c r="B25562" s="3" t="s">
        <v>90</v>
      </c>
      <c r="C25562" s="5">
        <v>40</v>
      </c>
      <c r="D25562" s="6">
        <v>39.380000000000003</v>
      </c>
    </row>
    <row r="25563" spans="1:4" x14ac:dyDescent="0.25">
      <c r="A25563" t="str">
        <f>HYPERLINK("https://www.773grp.com/globalSearch/TMS320VC33PGEA120/page-1", "TMS320VC33PGEA120")</f>
        <v>TMS320VC33PGEA120</v>
      </c>
      <c r="B25563" s="3" t="s">
        <v>90</v>
      </c>
      <c r="C25563" s="5">
        <v>1842</v>
      </c>
      <c r="D25563" s="6">
        <v>39.4</v>
      </c>
    </row>
    <row r="25564" spans="1:4" x14ac:dyDescent="0.25">
      <c r="A25564" t="str">
        <f>HYPERLINK("https://www.773grp.com/globalSearch/PTH05010WAD/page-1", "PTH05010WAD")</f>
        <v>PTH05010WAD</v>
      </c>
      <c r="B25564" s="3" t="s">
        <v>90</v>
      </c>
      <c r="C25564" s="5">
        <v>1</v>
      </c>
      <c r="D25564" s="6">
        <v>39.49</v>
      </c>
    </row>
    <row r="25565" spans="1:4" x14ac:dyDescent="0.25">
      <c r="A25565" t="str">
        <f>HYPERLINK("https://www.773grp.com/globalSearch/PTV12020LAH/page-1", "PTV12020LAH")</f>
        <v>PTV12020LAH</v>
      </c>
      <c r="B25565" s="3" t="s">
        <v>90</v>
      </c>
      <c r="C25565" s="5">
        <v>80</v>
      </c>
      <c r="D25565" s="6">
        <v>39.49</v>
      </c>
    </row>
    <row r="25566" spans="1:4" x14ac:dyDescent="0.25">
      <c r="A25566" t="str">
        <f>HYPERLINK("https://www.773grp.com/globalSearch/TMS320F28334PGFA/page-1", "TMS320F28334PGFA")</f>
        <v>TMS320F28334PGFA</v>
      </c>
      <c r="B25566" s="3" t="s">
        <v>90</v>
      </c>
      <c r="C25566" s="5">
        <v>10</v>
      </c>
      <c r="D25566" s="6">
        <v>39.53</v>
      </c>
    </row>
    <row r="25567" spans="1:4" x14ac:dyDescent="0.25">
      <c r="A25567" t="str">
        <f>HYPERLINK("https://www.773grp.com/globalSearch/TMS320F28334ZHHA/page-1", "TMS320F28334ZHHA")</f>
        <v>TMS320F28334ZHHA</v>
      </c>
      <c r="B25567" s="3" t="s">
        <v>90</v>
      </c>
      <c r="C25567" s="5">
        <v>300</v>
      </c>
      <c r="D25567" s="6">
        <v>39.53</v>
      </c>
    </row>
    <row r="25568" spans="1:4" x14ac:dyDescent="0.25">
      <c r="A25568" t="str">
        <f>HYPERLINK("https://www.773grp.com/globalSearch/TMS320F28334ZJZA/page-1", "TMS320F28334ZJZA")</f>
        <v>TMS320F28334ZJZA</v>
      </c>
      <c r="B25568" s="3" t="s">
        <v>90</v>
      </c>
      <c r="C25568" s="5">
        <v>15</v>
      </c>
      <c r="D25568" s="6">
        <v>39.53</v>
      </c>
    </row>
    <row r="25569" spans="1:4" x14ac:dyDescent="0.25">
      <c r="A25569" t="str">
        <f>HYPERLINK("https://www.773grp.com/globalSearch/TLE2022MLB/page-1", "TLE2022MLB")</f>
        <v>TLE2022MLB</v>
      </c>
      <c r="B25569" s="3" t="s">
        <v>90</v>
      </c>
      <c r="C25569" s="5">
        <v>1582</v>
      </c>
      <c r="D25569" s="6">
        <v>39.54</v>
      </c>
    </row>
    <row r="25570" spans="1:4" x14ac:dyDescent="0.25">
      <c r="A25570" t="str">
        <f>HYPERLINK("https://www.773grp.com/globalSearch/JM38510-13002BEA/page-1", "JM38510-13002BEA")</f>
        <v>JM38510-13002BEA</v>
      </c>
      <c r="B25570" s="3" t="s">
        <v>90</v>
      </c>
      <c r="C25570" s="5">
        <v>394</v>
      </c>
      <c r="D25570" s="6">
        <v>39.6</v>
      </c>
    </row>
    <row r="25571" spans="1:4" x14ac:dyDescent="0.25">
      <c r="A25571" t="str">
        <f>HYPERLINK("https://www.773grp.com/globalSearch/JM38510-13003BEA/page-1", "JM38510-13003BEA")</f>
        <v>JM38510-13003BEA</v>
      </c>
      <c r="B25571" s="3" t="s">
        <v>90</v>
      </c>
      <c r="C25571" s="5">
        <v>543</v>
      </c>
      <c r="D25571" s="6">
        <v>39.6</v>
      </c>
    </row>
    <row r="25572" spans="1:4" x14ac:dyDescent="0.25">
      <c r="A25572" t="str">
        <f>HYPERLINK("https://www.773grp.com/globalSearch/TMX320C6747DZKBA3/page-1", "TMX320C6747DZKBA3")</f>
        <v>TMX320C6747DZKBA3</v>
      </c>
      <c r="B25572" s="3" t="s">
        <v>90</v>
      </c>
      <c r="C25572" s="5">
        <v>40</v>
      </c>
      <c r="D25572" s="6">
        <v>39.6</v>
      </c>
    </row>
    <row r="25573" spans="1:4" x14ac:dyDescent="0.25">
      <c r="A25573" t="str">
        <f>HYPERLINK("https://www.773grp.com/globalSearch/ADS774JP-3/page-1", "ADS774JP-3")</f>
        <v>ADS774JP-3</v>
      </c>
      <c r="B25573" s="3" t="s">
        <v>90</v>
      </c>
      <c r="C25573" s="5">
        <v>210</v>
      </c>
      <c r="D25573" s="6">
        <v>39.78</v>
      </c>
    </row>
    <row r="25574" spans="1:4" x14ac:dyDescent="0.25">
      <c r="A25574" t="str">
        <f>HYPERLINK("https://www.773grp.com/globalSearch/CD4508BF3A/page-1", "CD4508BF3A")</f>
        <v>CD4508BF3A</v>
      </c>
      <c r="B25574" s="3" t="s">
        <v>90</v>
      </c>
      <c r="C25574" s="5">
        <v>7</v>
      </c>
      <c r="D25574" s="6">
        <v>39.86</v>
      </c>
    </row>
    <row r="25575" spans="1:4" x14ac:dyDescent="0.25">
      <c r="A25575" t="str">
        <f>HYPERLINK("https://www.773grp.com/globalSearch/DRV594VFPR/page-1", "DRV594VFPR")</f>
        <v>DRV594VFPR</v>
      </c>
      <c r="B25575" s="3" t="s">
        <v>90</v>
      </c>
      <c r="C25575" s="5">
        <v>990</v>
      </c>
      <c r="D25575" s="6">
        <v>39.880000000000003</v>
      </c>
    </row>
    <row r="25576" spans="1:4" x14ac:dyDescent="0.25">
      <c r="A25576" t="str">
        <f>HYPERLINK("https://www.773grp.com/globalSearch/PT6302B/page-1", "PT6302B")</f>
        <v>PT6302B</v>
      </c>
      <c r="B25576" s="3" t="s">
        <v>90</v>
      </c>
      <c r="C25576" s="5">
        <v>5</v>
      </c>
      <c r="D25576" s="6">
        <v>39.909999999999997</v>
      </c>
    </row>
    <row r="25577" spans="1:4" x14ac:dyDescent="0.25">
      <c r="A25577" t="str">
        <f>HYPERLINK("https://www.773grp.com/globalSearch/PT6303R/page-1", "PT6303R")</f>
        <v>PT6303R</v>
      </c>
      <c r="B25577" s="3" t="s">
        <v>90</v>
      </c>
      <c r="C25577" s="5">
        <v>5</v>
      </c>
      <c r="D25577" s="6">
        <v>39.909999999999997</v>
      </c>
    </row>
    <row r="25578" spans="1:4" x14ac:dyDescent="0.25">
      <c r="A25578" t="str">
        <f>HYPERLINK("https://www.773grp.com/globalSearch/PT6304B/page-1", "PT6304B")</f>
        <v>PT6304B</v>
      </c>
      <c r="B25578" s="3" t="s">
        <v>90</v>
      </c>
      <c r="C25578" s="5">
        <v>4</v>
      </c>
      <c r="D25578" s="6">
        <v>39.909999999999997</v>
      </c>
    </row>
    <row r="25579" spans="1:4" x14ac:dyDescent="0.25">
      <c r="A25579" t="str">
        <f>HYPERLINK("https://www.773grp.com/globalSearch/PT6304G/page-1", "PT6304G")</f>
        <v>PT6304G</v>
      </c>
      <c r="B25579" s="3" t="s">
        <v>90</v>
      </c>
      <c r="C25579" s="5">
        <v>5</v>
      </c>
      <c r="D25579" s="6">
        <v>39.909999999999997</v>
      </c>
    </row>
    <row r="25580" spans="1:4" x14ac:dyDescent="0.25">
      <c r="A25580" t="str">
        <f>HYPERLINK("https://www.773grp.com/globalSearch/TAS5424ATDKDMQ1/page-1", "TAS5424ATDKDMQ1")</f>
        <v>TAS5424ATDKDMQ1</v>
      </c>
      <c r="B25580" s="3" t="s">
        <v>90</v>
      </c>
      <c r="C25580" s="5">
        <v>58</v>
      </c>
      <c r="D25580" s="6">
        <v>39.94</v>
      </c>
    </row>
    <row r="25581" spans="1:4" x14ac:dyDescent="0.25">
      <c r="A25581" t="str">
        <f>HYPERLINK("https://www.773grp.com/globalSearch/5962-8515502RA/page-1", "5962-8515502RA")</f>
        <v>5962-8515502RA</v>
      </c>
      <c r="B25581" s="3" t="s">
        <v>90</v>
      </c>
      <c r="C25581" s="5">
        <v>5</v>
      </c>
      <c r="D25581" s="6">
        <v>40.08</v>
      </c>
    </row>
    <row r="25582" spans="1:4" x14ac:dyDescent="0.25">
      <c r="A25582" t="str">
        <f>HYPERLINK("https://www.773grp.com/globalSearch/JM38510-65307B2A/page-1", "JM38510-65307B2A")</f>
        <v>JM38510-65307B2A</v>
      </c>
      <c r="B25582" s="3" t="s">
        <v>90</v>
      </c>
      <c r="C25582" s="5">
        <v>1554</v>
      </c>
      <c r="D25582" s="6">
        <v>40.08</v>
      </c>
    </row>
    <row r="25583" spans="1:4" x14ac:dyDescent="0.25">
      <c r="A25583" t="str">
        <f>HYPERLINK("https://www.773grp.com/globalSearch/JM38510-65702B2A/page-1", "JM38510-65702B2A")</f>
        <v>JM38510-65702B2A</v>
      </c>
      <c r="B25583" s="3" t="s">
        <v>90</v>
      </c>
      <c r="C25583" s="5">
        <v>17</v>
      </c>
      <c r="D25583" s="6">
        <v>40.08</v>
      </c>
    </row>
    <row r="25584" spans="1:4" x14ac:dyDescent="0.25">
      <c r="A25584" t="str">
        <f>HYPERLINK("https://www.773grp.com/globalSearch/JM38510-65755BSA/page-1", "JM38510-65755BSA")</f>
        <v>JM38510-65755BSA</v>
      </c>
      <c r="B25584" s="3" t="s">
        <v>90</v>
      </c>
      <c r="C25584" s="5">
        <v>26</v>
      </c>
      <c r="D25584" s="6">
        <v>40.08</v>
      </c>
    </row>
    <row r="25585" spans="1:4" x14ac:dyDescent="0.25">
      <c r="A25585" t="str">
        <f>HYPERLINK("https://www.773grp.com/globalSearch/JM38510-65852B2A/page-1", "JM38510-65852B2A")</f>
        <v>JM38510-65852B2A</v>
      </c>
      <c r="B25585" s="3" t="s">
        <v>90</v>
      </c>
      <c r="C25585" s="5">
        <v>430</v>
      </c>
      <c r="D25585" s="6">
        <v>40.08</v>
      </c>
    </row>
    <row r="25586" spans="1:4" x14ac:dyDescent="0.25">
      <c r="A25586" t="str">
        <f>HYPERLINK("https://www.773grp.com/globalSearch/JM38510-65852BFA/page-1", "JM38510-65852BFA")</f>
        <v>JM38510-65852BFA</v>
      </c>
      <c r="B25586" s="3" t="s">
        <v>90</v>
      </c>
      <c r="C25586" s="5">
        <v>129</v>
      </c>
      <c r="D25586" s="6">
        <v>40.08</v>
      </c>
    </row>
    <row r="25587" spans="1:4" x14ac:dyDescent="0.25">
      <c r="A25587" t="str">
        <f>HYPERLINK("https://www.773grp.com/globalSearch/TMS320F2812ZHHA/page-1", "TMS320F2812ZHHA")</f>
        <v>TMS320F2812ZHHA</v>
      </c>
      <c r="B25587" s="3" t="s">
        <v>90</v>
      </c>
      <c r="C25587" s="5">
        <v>15</v>
      </c>
      <c r="D25587" s="6">
        <v>40.08</v>
      </c>
    </row>
    <row r="25588" spans="1:4" x14ac:dyDescent="0.25">
      <c r="A25588" t="str">
        <f>HYPERLINK("https://www.773grp.com/globalSearch/TMS320F28335ZHHA/page-1", "TMS320F28335ZHHA")</f>
        <v>TMS320F28335ZHHA</v>
      </c>
      <c r="B25588" s="3" t="s">
        <v>90</v>
      </c>
      <c r="C25588" s="5">
        <v>7769</v>
      </c>
      <c r="D25588" s="6">
        <v>40.08</v>
      </c>
    </row>
    <row r="25589" spans="1:4" x14ac:dyDescent="0.25">
      <c r="A25589" t="str">
        <f>HYPERLINK("https://www.773grp.com/globalSearch/TMS320F28335ZJZA/page-1", "TMS320F28335ZJZA")</f>
        <v>TMS320F28335ZJZA</v>
      </c>
      <c r="B25589" s="3" t="s">
        <v>90</v>
      </c>
      <c r="C25589" s="5">
        <v>16</v>
      </c>
      <c r="D25589" s="6">
        <v>40.08</v>
      </c>
    </row>
    <row r="25590" spans="1:4" x14ac:dyDescent="0.25">
      <c r="A25590" t="str">
        <f>HYPERLINK("https://www.773grp.com/globalSearch/TLC2652MLB/page-1", "TLC2652MLB")</f>
        <v>TLC2652MLB</v>
      </c>
      <c r="B25590" s="3" t="s">
        <v>90</v>
      </c>
      <c r="C25590" s="5">
        <v>582</v>
      </c>
      <c r="D25590" s="6">
        <v>40.11</v>
      </c>
    </row>
    <row r="25591" spans="1:4" x14ac:dyDescent="0.25">
      <c r="A25591" t="str">
        <f>HYPERLINK("https://www.773grp.com/globalSearch/LM723H-883/page-1", "LM723H-883")</f>
        <v>LM723H-883</v>
      </c>
      <c r="B25591" s="3" t="s">
        <v>90</v>
      </c>
      <c r="C25591" s="5">
        <v>40</v>
      </c>
      <c r="D25591" s="6">
        <v>40.36</v>
      </c>
    </row>
    <row r="25592" spans="1:4" x14ac:dyDescent="0.25">
      <c r="A25592" t="str">
        <f>HYPERLINK("https://www.773grp.com/globalSearch/5962-8968001SA/page-1", "5962-8968001SA")</f>
        <v>5962-8968001SA</v>
      </c>
      <c r="B25592" s="3" t="s">
        <v>90</v>
      </c>
      <c r="C25592" s="5">
        <v>33</v>
      </c>
      <c r="D25592" s="6">
        <v>40.39</v>
      </c>
    </row>
    <row r="25593" spans="1:4" x14ac:dyDescent="0.25">
      <c r="A25593" t="str">
        <f>HYPERLINK("https://www.773grp.com/globalSearch/5962-9051601MRA/page-1", "5962-9051601MRA")</f>
        <v>5962-9051601MRA</v>
      </c>
      <c r="B25593" s="3" t="s">
        <v>90</v>
      </c>
      <c r="C25593" s="5">
        <v>1</v>
      </c>
      <c r="D25593" s="6">
        <v>40.409999999999997</v>
      </c>
    </row>
    <row r="25594" spans="1:4" x14ac:dyDescent="0.25">
      <c r="A25594" t="str">
        <f>HYPERLINK("https://www.773grp.com/globalSearch/AFE1124E-1/page-1", "AFE1124E-1")</f>
        <v>AFE1124E-1</v>
      </c>
      <c r="B25594" s="3" t="s">
        <v>90</v>
      </c>
      <c r="C25594" s="5">
        <v>763</v>
      </c>
      <c r="D25594" s="6">
        <v>40.5</v>
      </c>
    </row>
    <row r="25595" spans="1:4" x14ac:dyDescent="0.25">
      <c r="A25595" t="str">
        <f>HYPERLINK("https://www.773grp.com/globalSearch/AFE1205E-1/page-1", "AFE1205E-1")</f>
        <v>AFE1205E-1</v>
      </c>
      <c r="B25595" s="3" t="s">
        <v>90</v>
      </c>
      <c r="C25595" s="5">
        <v>925</v>
      </c>
      <c r="D25595" s="6">
        <v>40.5</v>
      </c>
    </row>
    <row r="25596" spans="1:4" x14ac:dyDescent="0.25">
      <c r="A25596" t="str">
        <f>HYPERLINK("https://www.773grp.com/globalSearch/AFE1224-2/page-1", "AFE1224-2")</f>
        <v>AFE1224-2</v>
      </c>
      <c r="B25596" s="3" t="s">
        <v>90</v>
      </c>
      <c r="C25596" s="5">
        <v>192</v>
      </c>
      <c r="D25596" s="6">
        <v>40.5</v>
      </c>
    </row>
    <row r="25597" spans="1:4" x14ac:dyDescent="0.25">
      <c r="A25597" t="str">
        <f>HYPERLINK("https://www.773grp.com/globalSearch/AFE1224E-2/page-1", "AFE1224E-2")</f>
        <v>AFE1224E-2</v>
      </c>
      <c r="B25597" s="3" t="s">
        <v>90</v>
      </c>
      <c r="C25597" s="5">
        <v>2985</v>
      </c>
      <c r="D25597" s="6">
        <v>40.5</v>
      </c>
    </row>
    <row r="25598" spans="1:4" x14ac:dyDescent="0.25">
      <c r="A25598" t="str">
        <f>HYPERLINK("https://www.773grp.com/globalSearch/LM108AFKB/page-1", "LM108AFKB")</f>
        <v>LM108AFKB</v>
      </c>
      <c r="B25598" s="3" t="s">
        <v>90</v>
      </c>
      <c r="C25598" s="5">
        <v>264</v>
      </c>
      <c r="D25598" s="6">
        <v>40.5</v>
      </c>
    </row>
    <row r="25599" spans="1:4" x14ac:dyDescent="0.25">
      <c r="A25599" t="str">
        <f>HYPERLINK("https://www.773grp.com/globalSearch/TMS320C6748BZCEA3E/page-1", "TMS320C6748BZCEA3E")</f>
        <v>TMS320C6748BZCEA3E</v>
      </c>
      <c r="B25599" s="3" t="s">
        <v>90</v>
      </c>
      <c r="C25599" s="5">
        <v>18</v>
      </c>
      <c r="D25599" s="6">
        <v>40.5</v>
      </c>
    </row>
    <row r="25600" spans="1:4" x14ac:dyDescent="0.25">
      <c r="A25600" t="str">
        <f>HYPERLINK("https://www.773grp.com/globalSearch/TMS320C6748BZWTA3E/page-1", "TMS320C6748BZWTA3E")</f>
        <v>TMS320C6748BZWTA3E</v>
      </c>
      <c r="B25600" s="3" t="s">
        <v>90</v>
      </c>
      <c r="C25600" s="5">
        <v>3044</v>
      </c>
      <c r="D25600" s="6">
        <v>40.5</v>
      </c>
    </row>
    <row r="25601" spans="1:4" x14ac:dyDescent="0.25">
      <c r="A25601" t="str">
        <f>HYPERLINK("https://www.773grp.com/globalSearch/UCC2806J/page-1", "UCC2806J")</f>
        <v>UCC2806J</v>
      </c>
      <c r="B25601" s="3" t="s">
        <v>90</v>
      </c>
      <c r="C25601" s="5">
        <v>15</v>
      </c>
      <c r="D25601" s="6">
        <v>40.590000000000003</v>
      </c>
    </row>
    <row r="25602" spans="1:4" x14ac:dyDescent="0.25">
      <c r="A25602" t="str">
        <f>HYPERLINK("https://www.773grp.com/globalSearch/TMS320C6745BPTPD4/page-1", "TMS320C6745BPTPD4")</f>
        <v>TMS320C6745BPTPD4</v>
      </c>
      <c r="B25602" s="3" t="s">
        <v>90</v>
      </c>
      <c r="C25602" s="5">
        <v>103</v>
      </c>
      <c r="D25602" s="6">
        <v>40.64</v>
      </c>
    </row>
    <row r="25603" spans="1:4" x14ac:dyDescent="0.25">
      <c r="A25603" t="str">
        <f>HYPERLINK("https://www.773grp.com/globalSearch/JM38510-66304B2A/page-1", "JM38510-66304B2A")</f>
        <v>JM38510-66304B2A</v>
      </c>
      <c r="B25603" s="3" t="s">
        <v>90</v>
      </c>
      <c r="C25603" s="5">
        <v>121</v>
      </c>
      <c r="D25603" s="6">
        <v>40.79</v>
      </c>
    </row>
    <row r="25604" spans="1:4" x14ac:dyDescent="0.25">
      <c r="A25604" t="str">
        <f>HYPERLINK("https://www.773grp.com/globalSearch/SNJ55141JG/page-1", "SNJ55141JG")</f>
        <v>SNJ55141JG</v>
      </c>
      <c r="B25604" s="3" t="s">
        <v>90</v>
      </c>
      <c r="C25604" s="5">
        <v>17</v>
      </c>
      <c r="D25604" s="6">
        <v>40.79</v>
      </c>
    </row>
    <row r="25605" spans="1:4" x14ac:dyDescent="0.25">
      <c r="A25605" t="str">
        <f>HYPERLINK("https://www.773grp.com/globalSearch/SNJ55154FK/page-1", "SNJ55154FK")</f>
        <v>SNJ55154FK</v>
      </c>
      <c r="B25605" s="3" t="s">
        <v>90</v>
      </c>
      <c r="C25605" s="5">
        <v>144</v>
      </c>
      <c r="D25605" s="6">
        <v>40.79</v>
      </c>
    </row>
    <row r="25606" spans="1:4" x14ac:dyDescent="0.25">
      <c r="A25606" t="str">
        <f>HYPERLINK("https://www.773grp.com/globalSearch/TLC271MFKB/page-1", "TLC271MFKB")</f>
        <v>TLC271MFKB</v>
      </c>
      <c r="B25606" s="3" t="s">
        <v>90</v>
      </c>
      <c r="C25606" s="5">
        <v>30</v>
      </c>
      <c r="D25606" s="6">
        <v>40.79</v>
      </c>
    </row>
    <row r="25607" spans="1:4" x14ac:dyDescent="0.25">
      <c r="A25607" t="str">
        <f>HYPERLINK("https://www.773grp.com/globalSearch/TMS320F2810PBKS/page-1", "TMS320F2810PBKS")</f>
        <v>TMS320F2810PBKS</v>
      </c>
      <c r="B25607" s="3" t="s">
        <v>90</v>
      </c>
      <c r="C25607" s="5">
        <v>300</v>
      </c>
      <c r="D25607" s="6">
        <v>40.79</v>
      </c>
    </row>
    <row r="25608" spans="1:4" x14ac:dyDescent="0.25">
      <c r="A25608" t="str">
        <f>HYPERLINK("https://www.773grp.com/globalSearch/TMS320VC5410AGGU1/page-1", "TMS320VC5410AGGU1")</f>
        <v>TMS320VC5410AGGU1</v>
      </c>
      <c r="B25608" s="3" t="s">
        <v>90</v>
      </c>
      <c r="C25608" s="5">
        <v>37</v>
      </c>
      <c r="D25608" s="6">
        <v>40.79</v>
      </c>
    </row>
    <row r="25609" spans="1:4" x14ac:dyDescent="0.25">
      <c r="A25609" t="str">
        <f>HYPERLINK("https://www.773grp.com/globalSearch/TMS99532ANL/page-1", "TMS99532ANL")</f>
        <v>TMS99532ANL</v>
      </c>
      <c r="B25609" s="3" t="s">
        <v>90</v>
      </c>
      <c r="C25609" s="5">
        <v>4990</v>
      </c>
      <c r="D25609" s="6">
        <v>40.79</v>
      </c>
    </row>
    <row r="25610" spans="1:4" x14ac:dyDescent="0.25">
      <c r="A25610" t="str">
        <f>HYPERLINK("https://www.773grp.com/globalSearch/ADC0808MFKB/page-1", "ADC0808MFKB")</f>
        <v>ADC0808MFKB</v>
      </c>
      <c r="B25610" s="3" t="s">
        <v>90</v>
      </c>
      <c r="C25610" s="5">
        <v>136</v>
      </c>
      <c r="D25610" s="6">
        <v>40.950000000000003</v>
      </c>
    </row>
    <row r="25611" spans="1:4" x14ac:dyDescent="0.25">
      <c r="A25611" t="str">
        <f>HYPERLINK("https://www.773grp.com/globalSearch/AFE1230E-1/page-1", "AFE1230E-1")</f>
        <v>AFE1230E-1</v>
      </c>
      <c r="B25611" s="3" t="s">
        <v>90</v>
      </c>
      <c r="C25611" s="5">
        <v>1162</v>
      </c>
      <c r="D25611" s="6">
        <v>40.98</v>
      </c>
    </row>
    <row r="25612" spans="1:4" x14ac:dyDescent="0.25">
      <c r="A25612" t="str">
        <f>HYPERLINK("https://www.773grp.com/globalSearch/5962-9755901QRA/page-1", "5962-9755901QRA")</f>
        <v>5962-9755901QRA</v>
      </c>
      <c r="B25612" s="3" t="s">
        <v>90</v>
      </c>
      <c r="C25612" s="5">
        <v>70</v>
      </c>
      <c r="D25612" s="6">
        <v>41.01</v>
      </c>
    </row>
    <row r="25613" spans="1:4" x14ac:dyDescent="0.25">
      <c r="A25613" t="str">
        <f>HYPERLINK("https://www.773grp.com/globalSearch/SNJ54HC05FK/page-1", "SNJ54HC05FK")</f>
        <v>SNJ54HC05FK</v>
      </c>
      <c r="B25613" s="3" t="s">
        <v>90</v>
      </c>
      <c r="C25613" s="5">
        <v>1</v>
      </c>
      <c r="D25613" s="6">
        <v>41.04</v>
      </c>
    </row>
    <row r="25614" spans="1:4" x14ac:dyDescent="0.25">
      <c r="A25614" t="str">
        <f>HYPERLINK("https://www.773grp.com/globalSearch/84039012A/page-1", "84039012A")</f>
        <v>84039012A</v>
      </c>
      <c r="B25614" s="3" t="s">
        <v>90</v>
      </c>
      <c r="C25614" s="5">
        <v>22</v>
      </c>
      <c r="D25614" s="6">
        <v>41.06</v>
      </c>
    </row>
    <row r="25615" spans="1:4" x14ac:dyDescent="0.25">
      <c r="A25615" t="str">
        <f>HYPERLINK("https://www.773grp.com/globalSearch/ADS58B19IRGZR/page-1", "ADS58B19IRGZR")</f>
        <v>ADS58B19IRGZR</v>
      </c>
      <c r="B25615" s="3" t="s">
        <v>90</v>
      </c>
      <c r="C25615" s="5">
        <v>15000</v>
      </c>
      <c r="D25615" s="6">
        <v>41.06</v>
      </c>
    </row>
    <row r="25616" spans="1:4" x14ac:dyDescent="0.25">
      <c r="A25616" t="str">
        <f>HYPERLINK("https://www.773grp.com/globalSearch/TMS320VC5471GHK/page-1", "TMS320VC5471GHK")</f>
        <v>TMS320VC5471GHK</v>
      </c>
      <c r="B25616" s="3" t="s">
        <v>90</v>
      </c>
      <c r="C25616" s="5">
        <v>2</v>
      </c>
      <c r="D25616" s="6">
        <v>41.06</v>
      </c>
    </row>
    <row r="25617" spans="1:4" x14ac:dyDescent="0.25">
      <c r="A25617" t="str">
        <f>HYPERLINK("https://www.773grp.com/globalSearch/CD54HCT193F3A/page-1", "CD54HCT193F3A")</f>
        <v>CD54HCT193F3A</v>
      </c>
      <c r="B25617" s="3" t="s">
        <v>90</v>
      </c>
      <c r="C25617" s="5">
        <v>16</v>
      </c>
      <c r="D25617" s="6">
        <v>41.29</v>
      </c>
    </row>
    <row r="25618" spans="1:4" x14ac:dyDescent="0.25">
      <c r="A25618" t="str">
        <f>HYPERLINK("https://www.773grp.com/globalSearch/SNJ54LVC373AFK/page-1", "SNJ54LVC373AFK")</f>
        <v>SNJ54LVC373AFK</v>
      </c>
      <c r="B25618" s="3" t="s">
        <v>90</v>
      </c>
      <c r="C25618" s="5">
        <v>3</v>
      </c>
      <c r="D25618" s="6">
        <v>41.29</v>
      </c>
    </row>
    <row r="25619" spans="1:4" x14ac:dyDescent="0.25">
      <c r="A25619" t="str">
        <f>HYPERLINK("https://www.773grp.com/globalSearch/ADS6122IRHBT/page-1", "ADS6122IRHBT")</f>
        <v>ADS6122IRHBT</v>
      </c>
      <c r="B25619" s="3" t="s">
        <v>90</v>
      </c>
      <c r="C25619" s="5">
        <v>250</v>
      </c>
      <c r="D25619" s="6">
        <v>41.35</v>
      </c>
    </row>
    <row r="25620" spans="1:4" x14ac:dyDescent="0.25">
      <c r="A25620" t="str">
        <f>HYPERLINK("https://www.773grp.com/globalSearch/TVP3026-175 PCE/page-1", "TVP3026-175 PCE")</f>
        <v>TVP3026-175 PCE</v>
      </c>
      <c r="B25620" s="3" t="s">
        <v>90</v>
      </c>
      <c r="C25620" s="5">
        <v>16</v>
      </c>
      <c r="D25620" s="6">
        <v>41.43</v>
      </c>
    </row>
    <row r="25621" spans="1:4" x14ac:dyDescent="0.25">
      <c r="A25621" t="str">
        <f>HYPERLINK("https://www.773grp.com/globalSearch/JM38510-66302B2A/page-1", "JM38510-66302B2A")</f>
        <v>JM38510-66302B2A</v>
      </c>
      <c r="B25621" s="3" t="s">
        <v>90</v>
      </c>
      <c r="C25621" s="5">
        <v>146</v>
      </c>
      <c r="D25621" s="6">
        <v>41.48</v>
      </c>
    </row>
    <row r="25622" spans="1:4" x14ac:dyDescent="0.25">
      <c r="A25622" t="str">
        <f>HYPERLINK("https://www.773grp.com/globalSearch/JM38510-66309B2A/page-1", "JM38510-66309B2A")</f>
        <v>JM38510-66309B2A</v>
      </c>
      <c r="B25622" s="3" t="s">
        <v>90</v>
      </c>
      <c r="C25622" s="5">
        <v>73</v>
      </c>
      <c r="D25622" s="6">
        <v>41.48</v>
      </c>
    </row>
    <row r="25623" spans="1:4" x14ac:dyDescent="0.25">
      <c r="A25623" t="str">
        <f>HYPERLINK("https://www.773grp.com/globalSearch/5962-86839012A/page-1", "5962-86839012A")</f>
        <v>5962-86839012A</v>
      </c>
      <c r="B25623" s="3" t="s">
        <v>90</v>
      </c>
      <c r="C25623" s="5">
        <v>74</v>
      </c>
      <c r="D25623" s="6">
        <v>41.63</v>
      </c>
    </row>
    <row r="25624" spans="1:4" x14ac:dyDescent="0.25">
      <c r="A25624" t="str">
        <f>HYPERLINK("https://www.773grp.com/globalSearch/UC1526AL/page-1", "UC1526AL")</f>
        <v>UC1526AL</v>
      </c>
      <c r="B25624" s="3" t="s">
        <v>90</v>
      </c>
      <c r="C25624" s="5">
        <v>10</v>
      </c>
      <c r="D25624" s="6">
        <v>41.65</v>
      </c>
    </row>
    <row r="25625" spans="1:4" x14ac:dyDescent="0.25">
      <c r="A25625" t="str">
        <f>HYPERLINK("https://www.773grp.com/globalSearch/PCM56U/page-1", "PCM56U")</f>
        <v>PCM56U</v>
      </c>
      <c r="B25625" s="3" t="s">
        <v>90</v>
      </c>
      <c r="C25625" s="5">
        <v>1000</v>
      </c>
      <c r="D25625" s="6">
        <v>41.71</v>
      </c>
    </row>
    <row r="25626" spans="1:4" x14ac:dyDescent="0.25">
      <c r="A25626" t="str">
        <f>HYPERLINK("https://www.773grp.com/globalSearch/PTH05060YAST/page-1", "PTH05060YAST")</f>
        <v>PTH05060YAST</v>
      </c>
      <c r="B25626" s="3" t="s">
        <v>90</v>
      </c>
      <c r="C25626" s="5">
        <v>144</v>
      </c>
      <c r="D25626" s="6">
        <v>41.71</v>
      </c>
    </row>
    <row r="25627" spans="1:4" x14ac:dyDescent="0.25">
      <c r="A25627" t="str">
        <f>HYPERLINK("https://www.773grp.com/globalSearch/PT5522A/page-1", "PT5522A")</f>
        <v>PT5522A</v>
      </c>
      <c r="B25627" s="3" t="s">
        <v>90</v>
      </c>
      <c r="C25627" s="5">
        <v>17</v>
      </c>
      <c r="D25627" s="6">
        <v>41.74</v>
      </c>
    </row>
    <row r="25628" spans="1:4" x14ac:dyDescent="0.25">
      <c r="A25628" t="str">
        <f>HYPERLINK("https://www.773grp.com/globalSearch/PT5523A/page-1", "PT5523A")</f>
        <v>PT5523A</v>
      </c>
      <c r="B25628" s="3" t="s">
        <v>90</v>
      </c>
      <c r="C25628" s="5">
        <v>29</v>
      </c>
      <c r="D25628" s="6">
        <v>41.74</v>
      </c>
    </row>
    <row r="25629" spans="1:4" x14ac:dyDescent="0.25">
      <c r="A25629" t="str">
        <f>HYPERLINK("https://www.773grp.com/globalSearch/PT5526A/page-1", "PT5526A")</f>
        <v>PT5526A</v>
      </c>
      <c r="B25629" s="3" t="s">
        <v>90</v>
      </c>
      <c r="C25629" s="5">
        <v>1</v>
      </c>
      <c r="D25629" s="6">
        <v>41.74</v>
      </c>
    </row>
    <row r="25630" spans="1:4" x14ac:dyDescent="0.25">
      <c r="A25630" t="str">
        <f>HYPERLINK("https://www.773grp.com/globalSearch/TNET1545DW/page-1", "TNET1545DW")</f>
        <v>TNET1545DW</v>
      </c>
      <c r="B25630" s="3" t="s">
        <v>90</v>
      </c>
      <c r="C25630" s="5">
        <v>1866</v>
      </c>
      <c r="D25630" s="6">
        <v>41.74</v>
      </c>
    </row>
    <row r="25631" spans="1:4" x14ac:dyDescent="0.25">
      <c r="A25631" t="str">
        <f>HYPERLINK("https://www.773grp.com/globalSearch/SNJ55234W/page-1", "SNJ55234W")</f>
        <v>SNJ55234W</v>
      </c>
      <c r="B25631" s="3" t="s">
        <v>90</v>
      </c>
      <c r="C25631" s="5">
        <v>402</v>
      </c>
      <c r="D25631" s="6">
        <v>41.76</v>
      </c>
    </row>
    <row r="25632" spans="1:4" x14ac:dyDescent="0.25">
      <c r="A25632" t="str">
        <f>HYPERLINK("https://www.773grp.com/globalSearch/TMS320F28235PGFA/page-1", "TMS320F28235PGFA")</f>
        <v>TMS320F28235PGFA</v>
      </c>
      <c r="B25632" s="3" t="s">
        <v>90</v>
      </c>
      <c r="C25632" s="5">
        <v>3052</v>
      </c>
      <c r="D25632" s="6">
        <v>41.81</v>
      </c>
    </row>
    <row r="25633" spans="1:4" x14ac:dyDescent="0.25">
      <c r="A25633" t="str">
        <f>HYPERLINK("https://www.773grp.com/globalSearch/TMS320F28332PTPS/page-1", "TMS320F28332PTPS")</f>
        <v>TMS320F28332PTPS</v>
      </c>
      <c r="B25633" s="3" t="s">
        <v>90</v>
      </c>
      <c r="C25633" s="5">
        <v>40</v>
      </c>
      <c r="D25633" s="6">
        <v>41.9</v>
      </c>
    </row>
    <row r="25634" spans="1:4" x14ac:dyDescent="0.25">
      <c r="A25634" t="str">
        <f>HYPERLINK("https://www.773grp.com/globalSearch/V62-06671-04YE/page-1", "V62-06671-04YE")</f>
        <v>V62-06671-04YE</v>
      </c>
      <c r="B25634" s="3" t="s">
        <v>90</v>
      </c>
      <c r="C25634" s="5">
        <v>9</v>
      </c>
      <c r="D25634" s="6">
        <v>41.9</v>
      </c>
    </row>
    <row r="25635" spans="1:4" x14ac:dyDescent="0.25">
      <c r="A25635" t="str">
        <f>HYPERLINK("https://www.773grp.com/globalSearch/PT6302C/page-1", "PT6302C")</f>
        <v>PT6302C</v>
      </c>
      <c r="B25635" s="3" t="s">
        <v>90</v>
      </c>
      <c r="C25635" s="5">
        <v>1</v>
      </c>
      <c r="D25635" s="6">
        <v>41.96</v>
      </c>
    </row>
    <row r="25636" spans="1:4" x14ac:dyDescent="0.25">
      <c r="A25636" t="str">
        <f>HYPERLINK("https://www.773grp.com/globalSearch/PT6302N/page-1", "PT6302N")</f>
        <v>PT6302N</v>
      </c>
      <c r="B25636" s="3" t="s">
        <v>90</v>
      </c>
      <c r="C25636" s="5">
        <v>8</v>
      </c>
      <c r="D25636" s="6">
        <v>41.96</v>
      </c>
    </row>
    <row r="25637" spans="1:4" x14ac:dyDescent="0.25">
      <c r="A25637" t="str">
        <f>HYPERLINK("https://www.773grp.com/globalSearch/PT6313A/page-1", "PT6313A")</f>
        <v>PT6313A</v>
      </c>
      <c r="B25637" s="3" t="s">
        <v>90</v>
      </c>
      <c r="C25637" s="5">
        <v>2</v>
      </c>
      <c r="D25637" s="6">
        <v>41.96</v>
      </c>
    </row>
    <row r="25638" spans="1:4" x14ac:dyDescent="0.25">
      <c r="A25638" t="str">
        <f>HYPERLINK("https://www.773grp.com/globalSearch/ADS8555SPM/page-1", "ADS8555SPM")</f>
        <v>ADS8555SPM</v>
      </c>
      <c r="B25638" s="3" t="s">
        <v>90</v>
      </c>
      <c r="C25638" s="5">
        <v>2358</v>
      </c>
      <c r="D25638" s="6">
        <v>42.05</v>
      </c>
    </row>
    <row r="25639" spans="1:4" x14ac:dyDescent="0.25">
      <c r="A25639" t="str">
        <f>HYPERLINK("https://www.773grp.com/globalSearch/EZ430-T2012/page-1", "EZ430-T2012")</f>
        <v>EZ430-T2012</v>
      </c>
      <c r="B25639" s="3" t="s">
        <v>90</v>
      </c>
      <c r="C25639" s="5">
        <v>28</v>
      </c>
      <c r="D25639" s="6">
        <v>42.19</v>
      </c>
    </row>
    <row r="25640" spans="1:4" x14ac:dyDescent="0.25">
      <c r="A25640" t="str">
        <f>HYPERLINK("https://www.773grp.com/globalSearch/JM38510-65601B2A/page-1", "JM38510-65601B2A")</f>
        <v>JM38510-65601B2A</v>
      </c>
      <c r="B25640" s="3" t="s">
        <v>90</v>
      </c>
      <c r="C25640" s="5">
        <v>1007</v>
      </c>
      <c r="D25640" s="6">
        <v>42.19</v>
      </c>
    </row>
    <row r="25641" spans="1:4" x14ac:dyDescent="0.25">
      <c r="A25641" t="str">
        <f>HYPERLINK("https://www.773grp.com/globalSearch/PTH12020LAG/page-1", "PTH12020LAG")</f>
        <v>PTH12020LAG</v>
      </c>
      <c r="B25641" s="3" t="s">
        <v>90</v>
      </c>
      <c r="C25641" s="5">
        <v>460</v>
      </c>
      <c r="D25641" s="6">
        <v>42.19</v>
      </c>
    </row>
    <row r="25642" spans="1:4" x14ac:dyDescent="0.25">
      <c r="A25642" t="str">
        <f>HYPERLINK("https://www.773grp.com/globalSearch/SM4256-15JDS/page-1", "SM4256-15JDS")</f>
        <v>SM4256-15JDS</v>
      </c>
      <c r="B25642" s="3" t="s">
        <v>90</v>
      </c>
      <c r="C25642" s="5">
        <v>13</v>
      </c>
      <c r="D25642" s="6">
        <v>42.19</v>
      </c>
    </row>
    <row r="25643" spans="1:4" x14ac:dyDescent="0.25">
      <c r="A25643" t="str">
        <f>HYPERLINK("https://www.773grp.com/globalSearch/SM4464-15JDS/page-1", "SM4464-15JDS")</f>
        <v>SM4464-15JDS</v>
      </c>
      <c r="B25643" s="3" t="s">
        <v>90</v>
      </c>
      <c r="C25643" s="5">
        <v>1057</v>
      </c>
      <c r="D25643" s="6">
        <v>42.19</v>
      </c>
    </row>
    <row r="25644" spans="1:4" x14ac:dyDescent="0.25">
      <c r="A25644" t="str">
        <f>HYPERLINK("https://www.773grp.com/globalSearch/SN74ACT7205L20NP/page-1", "SN74ACT7205L20NP")</f>
        <v>SN74ACT7205L20NP</v>
      </c>
      <c r="B25644" s="3" t="s">
        <v>90</v>
      </c>
      <c r="C25644" s="5">
        <v>2528</v>
      </c>
      <c r="D25644" s="6">
        <v>42.19</v>
      </c>
    </row>
    <row r="25645" spans="1:4" x14ac:dyDescent="0.25">
      <c r="A25645" t="str">
        <f>HYPERLINK("https://www.773grp.com/globalSearch/SN74ACT7205L20RJ/page-1", "SN74ACT7205L20RJ")</f>
        <v>SN74ACT7205L20RJ</v>
      </c>
      <c r="B25645" s="3" t="s">
        <v>90</v>
      </c>
      <c r="C25645" s="5">
        <v>3284</v>
      </c>
      <c r="D25645" s="6">
        <v>42.19</v>
      </c>
    </row>
    <row r="25646" spans="1:4" x14ac:dyDescent="0.25">
      <c r="A25646" t="str">
        <f>HYPERLINK("https://www.773grp.com/globalSearch/SN74LVC2G125DCT3/page-1", "SN74LVC2G125DCT3")</f>
        <v>SN74LVC2G125DCT3</v>
      </c>
      <c r="B25646" s="3" t="s">
        <v>90</v>
      </c>
      <c r="C25646" s="5">
        <v>149975</v>
      </c>
      <c r="D25646" s="6">
        <v>42.19</v>
      </c>
    </row>
    <row r="25647" spans="1:4" x14ac:dyDescent="0.25">
      <c r="A25647" t="str">
        <f>HYPERLINK("https://www.773grp.com/globalSearch/TPS76901SDBVTEP/page-1", "TPS76901SDBVTEP")</f>
        <v>TPS76901SDBVTEP</v>
      </c>
      <c r="B25647" s="3" t="s">
        <v>90</v>
      </c>
      <c r="C25647" s="5">
        <v>80</v>
      </c>
      <c r="D25647" s="6">
        <v>42.19</v>
      </c>
    </row>
    <row r="25648" spans="1:4" x14ac:dyDescent="0.25">
      <c r="A25648" t="str">
        <f>HYPERLINK("https://www.773grp.com/globalSearch/34P3214A-GT/page-1", "34P3214A-GT")</f>
        <v>34P3214A-GT</v>
      </c>
      <c r="B25648" s="3" t="s">
        <v>90</v>
      </c>
      <c r="C25648" s="5">
        <v>83</v>
      </c>
      <c r="D25648" s="6">
        <v>42.44</v>
      </c>
    </row>
    <row r="25649" spans="1:4" x14ac:dyDescent="0.25">
      <c r="A25649" t="str">
        <f>HYPERLINK("https://www.773grp.com/globalSearch/SNJ54LS273FK/page-1", "SNJ54LS273FK")</f>
        <v>SNJ54LS273FK</v>
      </c>
      <c r="B25649" s="3" t="s">
        <v>90</v>
      </c>
      <c r="C25649" s="5">
        <v>24</v>
      </c>
      <c r="D25649" s="6">
        <v>42.44</v>
      </c>
    </row>
    <row r="25650" spans="1:4" x14ac:dyDescent="0.25">
      <c r="A25650" t="str">
        <f>HYPERLINK("https://www.773grp.com/globalSearch/34P3211B-PM/page-1", "34P3211B-PM")</f>
        <v>34P3211B-PM</v>
      </c>
      <c r="B25650" s="3" t="s">
        <v>90</v>
      </c>
      <c r="C25650" s="5">
        <v>11276</v>
      </c>
      <c r="D25650" s="6">
        <v>42.48</v>
      </c>
    </row>
    <row r="25651" spans="1:4" x14ac:dyDescent="0.25">
      <c r="A25651" t="str">
        <f>HYPERLINK("https://www.773grp.com/globalSearch/DAC7725UB/page-1", "DAC7725UB")</f>
        <v>DAC7725UB</v>
      </c>
      <c r="B25651" s="3" t="s">
        <v>90</v>
      </c>
      <c r="C25651" s="5">
        <v>8</v>
      </c>
      <c r="D25651" s="6">
        <v>42.48</v>
      </c>
    </row>
    <row r="25652" spans="1:4" x14ac:dyDescent="0.25">
      <c r="A25652" t="str">
        <f>HYPERLINK("https://www.773grp.com/globalSearch/ADS2806Y/page-1", "ADS2806Y")</f>
        <v>ADS2806Y</v>
      </c>
      <c r="B25652" s="3" t="s">
        <v>90</v>
      </c>
      <c r="C25652" s="5">
        <v>4</v>
      </c>
      <c r="D25652" s="6">
        <v>42.53</v>
      </c>
    </row>
    <row r="25653" spans="1:4" x14ac:dyDescent="0.25">
      <c r="A25653" t="str">
        <f>HYPERLINK("https://www.773grp.com/globalSearch/TMS320F28235ZJZS/page-1", "TMS320F28235ZJZS")</f>
        <v>TMS320F28235ZJZS</v>
      </c>
      <c r="B25653" s="3" t="s">
        <v>90</v>
      </c>
      <c r="C25653" s="5">
        <v>1587</v>
      </c>
      <c r="D25653" s="6">
        <v>42.75</v>
      </c>
    </row>
    <row r="25654" spans="1:4" x14ac:dyDescent="0.25">
      <c r="A25654" t="str">
        <f>HYPERLINK("https://www.773grp.com/globalSearch/DAC813AU/page-1", "DAC813AU")</f>
        <v>DAC813AU</v>
      </c>
      <c r="B25654" s="3" t="s">
        <v>90</v>
      </c>
      <c r="C25654" s="5">
        <v>780</v>
      </c>
      <c r="D25654" s="6">
        <v>42.83</v>
      </c>
    </row>
    <row r="25655" spans="1:4" x14ac:dyDescent="0.25">
      <c r="A25655" t="str">
        <f>HYPERLINK("https://www.773grp.com/globalSearch/PTH08T220WAH/page-1", "PTH08T220WAH")</f>
        <v>PTH08T220WAH</v>
      </c>
      <c r="B25655" s="3" t="s">
        <v>90</v>
      </c>
      <c r="C25655" s="5">
        <v>168</v>
      </c>
      <c r="D25655" s="6">
        <v>42.9</v>
      </c>
    </row>
    <row r="25656" spans="1:4" x14ac:dyDescent="0.25">
      <c r="A25656" t="str">
        <f>HYPERLINK("https://www.773grp.com/globalSearch/PTH08T220WAS/page-1", "PTH08T220WAS")</f>
        <v>PTH08T220WAS</v>
      </c>
      <c r="B25656" s="3" t="s">
        <v>90</v>
      </c>
      <c r="C25656" s="5">
        <v>249</v>
      </c>
      <c r="D25656" s="6">
        <v>42.9</v>
      </c>
    </row>
    <row r="25657" spans="1:4" x14ac:dyDescent="0.25">
      <c r="A25657" t="str">
        <f>HYPERLINK("https://www.773grp.com/globalSearch/PTH08T220WAST/page-1", "PTH08T220WAST")</f>
        <v>PTH08T220WAST</v>
      </c>
      <c r="B25657" s="3" t="s">
        <v>90</v>
      </c>
      <c r="C25657" s="5">
        <v>1250</v>
      </c>
      <c r="D25657" s="6">
        <v>42.9</v>
      </c>
    </row>
    <row r="25658" spans="1:4" x14ac:dyDescent="0.25">
      <c r="A25658" t="str">
        <f>HYPERLINK("https://www.773grp.com/globalSearch/PTH08T220WAZ/page-1", "PTH08T220WAZ")</f>
        <v>PTH08T220WAZ</v>
      </c>
      <c r="B25658" s="3" t="s">
        <v>90</v>
      </c>
      <c r="C25658" s="5">
        <v>210</v>
      </c>
      <c r="D25658" s="6">
        <v>42.9</v>
      </c>
    </row>
    <row r="25659" spans="1:4" x14ac:dyDescent="0.25">
      <c r="A25659" t="str">
        <f>HYPERLINK("https://www.773grp.com/globalSearch/PTH08T220WAZT/page-1", "PTH08T220WAZT")</f>
        <v>PTH08T220WAZT</v>
      </c>
      <c r="B25659" s="3" t="s">
        <v>90</v>
      </c>
      <c r="C25659" s="5">
        <v>116</v>
      </c>
      <c r="D25659" s="6">
        <v>42.9</v>
      </c>
    </row>
    <row r="25660" spans="1:4" x14ac:dyDescent="0.25">
      <c r="A25660" t="str">
        <f>HYPERLINK("https://www.773grp.com/globalSearch/5962-9550403QHA/page-1", "5962-9550403QHA")</f>
        <v>5962-9550403QHA</v>
      </c>
      <c r="B25660" s="3" t="s">
        <v>90</v>
      </c>
      <c r="C25660" s="5">
        <v>20</v>
      </c>
      <c r="D25660" s="6">
        <v>42.91</v>
      </c>
    </row>
    <row r="25661" spans="1:4" x14ac:dyDescent="0.25">
      <c r="A25661" t="str">
        <f>HYPERLINK("https://www.773grp.com/globalSearch/TMS320F28335PGFA/page-1", "TMS320F28335PGFA")</f>
        <v>TMS320F28335PGFA</v>
      </c>
      <c r="B25661" s="3" t="s">
        <v>90</v>
      </c>
      <c r="C25661" s="5">
        <v>5301</v>
      </c>
      <c r="D25661" s="6">
        <v>43.04</v>
      </c>
    </row>
    <row r="25662" spans="1:4" x14ac:dyDescent="0.25">
      <c r="A25662" t="str">
        <f>HYPERLINK("https://www.773grp.com/globalSearch/TCM4300IPZ/page-1", "TCM4300IPZ")</f>
        <v>TCM4300IPZ</v>
      </c>
      <c r="B25662" s="3" t="s">
        <v>90</v>
      </c>
      <c r="C25662" s="5">
        <v>15435</v>
      </c>
      <c r="D25662" s="6">
        <v>43.11</v>
      </c>
    </row>
    <row r="25663" spans="1:4" x14ac:dyDescent="0.25">
      <c r="A25663" t="str">
        <f>HYPERLINK("https://www.773grp.com/globalSearch/SN104668PDV/page-1", "SN104668PDV")</f>
        <v>SN104668PDV</v>
      </c>
      <c r="B25663" s="3" t="s">
        <v>90</v>
      </c>
      <c r="C25663" s="5">
        <v>1476</v>
      </c>
      <c r="D25663" s="6">
        <v>43.31</v>
      </c>
    </row>
    <row r="25664" spans="1:4" x14ac:dyDescent="0.25">
      <c r="A25664" t="str">
        <f>HYPERLINK("https://www.773grp.com/globalSearch/PT6302G/page-1", "PT6302G")</f>
        <v>PT6302G</v>
      </c>
      <c r="B25664" s="3" t="s">
        <v>90</v>
      </c>
      <c r="C25664" s="5">
        <v>1</v>
      </c>
      <c r="D25664" s="6">
        <v>43.38</v>
      </c>
    </row>
    <row r="25665" spans="1:4" x14ac:dyDescent="0.25">
      <c r="A25665" t="str">
        <f>HYPERLINK("https://www.773grp.com/globalSearch/PT6302R/page-1", "PT6302R")</f>
        <v>PT6302R</v>
      </c>
      <c r="B25665" s="3" t="s">
        <v>90</v>
      </c>
      <c r="C25665" s="5">
        <v>5</v>
      </c>
      <c r="D25665" s="6">
        <v>43.38</v>
      </c>
    </row>
    <row r="25666" spans="1:4" x14ac:dyDescent="0.25">
      <c r="A25666" t="str">
        <f>HYPERLINK("https://www.773grp.com/globalSearch/SN74ACT3622-30PCB/page-1", "SN74ACT3622-30PCB")</f>
        <v>SN74ACT3622-30PCB</v>
      </c>
      <c r="B25666" s="3" t="s">
        <v>90</v>
      </c>
      <c r="C25666" s="5">
        <v>286</v>
      </c>
      <c r="D25666" s="6">
        <v>43.4</v>
      </c>
    </row>
    <row r="25667" spans="1:4" x14ac:dyDescent="0.25">
      <c r="A25667" t="str">
        <f>HYPERLINK("https://www.773grp.com/globalSearch/TAS5414ATDKDMQ1/page-1", "TAS5414ATDKDMQ1")</f>
        <v>TAS5414ATDKDMQ1</v>
      </c>
      <c r="B25667" s="3" t="s">
        <v>90</v>
      </c>
      <c r="C25667" s="5">
        <v>116</v>
      </c>
      <c r="D25667" s="6">
        <v>43.43</v>
      </c>
    </row>
    <row r="25668" spans="1:4" x14ac:dyDescent="0.25">
      <c r="A25668" t="str">
        <f>HYPERLINK("https://www.773grp.com/globalSearch/TMS320F2811PBKS/page-1", "TMS320F2811PBKS")</f>
        <v>TMS320F2811PBKS</v>
      </c>
      <c r="B25668" s="3" t="s">
        <v>90</v>
      </c>
      <c r="C25668" s="5">
        <v>24491</v>
      </c>
      <c r="D25668" s="6">
        <v>43.45</v>
      </c>
    </row>
    <row r="25669" spans="1:4" x14ac:dyDescent="0.25">
      <c r="A25669" t="str">
        <f>HYPERLINK("https://www.773grp.com/globalSearch/TMS320F28334ZJZS/page-1", "TMS320F28334ZJZS")</f>
        <v>TMS320F28334ZJZS</v>
      </c>
      <c r="B25669" s="3" t="s">
        <v>90</v>
      </c>
      <c r="C25669" s="5">
        <v>476</v>
      </c>
      <c r="D25669" s="6">
        <v>43.45</v>
      </c>
    </row>
    <row r="25670" spans="1:4" x14ac:dyDescent="0.25">
      <c r="A25670" t="str">
        <f>HYPERLINK("https://www.773grp.com/globalSearch/JM38510-07008BDA/page-1", "JM38510-07008BDA")</f>
        <v>JM38510-07008BDA</v>
      </c>
      <c r="B25670" s="3" t="s">
        <v>90</v>
      </c>
      <c r="C25670" s="5">
        <v>368</v>
      </c>
      <c r="D25670" s="6">
        <v>43.59</v>
      </c>
    </row>
    <row r="25671" spans="1:4" x14ac:dyDescent="0.25">
      <c r="A25671" t="str">
        <f>HYPERLINK("https://www.773grp.com/globalSearch/SNJ55ALS130J/page-1", "SNJ55ALS130J")</f>
        <v>SNJ55ALS130J</v>
      </c>
      <c r="B25671" s="3" t="s">
        <v>90</v>
      </c>
      <c r="C25671" s="5">
        <v>1059</v>
      </c>
      <c r="D25671" s="6">
        <v>43.59</v>
      </c>
    </row>
    <row r="25672" spans="1:4" x14ac:dyDescent="0.25">
      <c r="A25672" t="str">
        <f>HYPERLINK("https://www.773grp.com/globalSearch/TJ1240/page-1", "TJ1240")</f>
        <v>TJ1240</v>
      </c>
      <c r="B25672" s="3" t="s">
        <v>90</v>
      </c>
      <c r="C25672" s="5">
        <v>1500</v>
      </c>
      <c r="D25672" s="6">
        <v>43.71</v>
      </c>
    </row>
    <row r="25673" spans="1:4" x14ac:dyDescent="0.25">
      <c r="A25673" t="str">
        <f>HYPERLINK("https://www.773grp.com/globalSearch/ADS7869IPZTR/page-1", "ADS7869IPZTR")</f>
        <v>ADS7869IPZTR</v>
      </c>
      <c r="B25673" s="3" t="s">
        <v>90</v>
      </c>
      <c r="C25673" s="5">
        <v>2000</v>
      </c>
      <c r="D25673" s="6">
        <v>43.93</v>
      </c>
    </row>
    <row r="25674" spans="1:4" x14ac:dyDescent="0.25">
      <c r="A25674" t="str">
        <f>HYPERLINK("https://www.773grp.com/globalSearch/ADS8342IPFBT/page-1", "ADS8342IPFBT")</f>
        <v>ADS8342IPFBT</v>
      </c>
      <c r="B25674" s="3" t="s">
        <v>90</v>
      </c>
      <c r="C25674" s="5">
        <v>25</v>
      </c>
      <c r="D25674" s="6">
        <v>44.01</v>
      </c>
    </row>
    <row r="25675" spans="1:4" x14ac:dyDescent="0.25">
      <c r="A25675" t="str">
        <f>HYPERLINK("https://www.773grp.com/globalSearch/DRV594VFP/page-1", "DRV594VFP")</f>
        <v>DRV594VFP</v>
      </c>
      <c r="B25675" s="3" t="s">
        <v>90</v>
      </c>
      <c r="C25675" s="5">
        <v>11</v>
      </c>
      <c r="D25675" s="6">
        <v>44.1</v>
      </c>
    </row>
    <row r="25676" spans="1:4" x14ac:dyDescent="0.25">
      <c r="A25676" t="str">
        <f>HYPERLINK("https://www.773grp.com/globalSearch/TMS320F2812ZHHS/page-1", "TMS320F2812ZHHS")</f>
        <v>TMS320F2812ZHHS</v>
      </c>
      <c r="B25676" s="3" t="s">
        <v>90</v>
      </c>
      <c r="C25676" s="5">
        <v>76</v>
      </c>
      <c r="D25676" s="6">
        <v>44.16</v>
      </c>
    </row>
    <row r="25677" spans="1:4" x14ac:dyDescent="0.25">
      <c r="A25677" t="str">
        <f>HYPERLINK("https://www.773grp.com/globalSearch/32P4802-CGT/page-1", "32P4802-CGT")</f>
        <v>32P4802-CGT</v>
      </c>
      <c r="B25677" s="3" t="s">
        <v>90</v>
      </c>
      <c r="C25677" s="5">
        <v>48654</v>
      </c>
      <c r="D25677" s="6">
        <v>44.18</v>
      </c>
    </row>
    <row r="25678" spans="1:4" x14ac:dyDescent="0.25">
      <c r="A25678" t="str">
        <f>HYPERLINK("https://www.773grp.com/globalSearch/BQ2164B-010/page-1", "BQ2164B-010")</f>
        <v>BQ2164B-010</v>
      </c>
      <c r="B25678" s="3" t="s">
        <v>90</v>
      </c>
      <c r="C25678" s="5">
        <v>5</v>
      </c>
      <c r="D25678" s="6">
        <v>44.18</v>
      </c>
    </row>
    <row r="25679" spans="1:4" x14ac:dyDescent="0.25">
      <c r="A25679" t="str">
        <f>HYPERLINK("https://www.773grp.com/globalSearch/BQ2164B-011/page-1", "BQ2164B-011")</f>
        <v>BQ2164B-011</v>
      </c>
      <c r="B25679" s="3" t="s">
        <v>90</v>
      </c>
      <c r="C25679" s="5">
        <v>13</v>
      </c>
      <c r="D25679" s="6">
        <v>44.18</v>
      </c>
    </row>
    <row r="25680" spans="1:4" x14ac:dyDescent="0.25">
      <c r="A25680" t="str">
        <f>HYPERLINK("https://www.773grp.com/globalSearch/BQ219XLB-016/page-1", "BQ219XLB-016")</f>
        <v>BQ219XLB-016</v>
      </c>
      <c r="B25680" s="3" t="s">
        <v>90</v>
      </c>
      <c r="C25680" s="5">
        <v>9</v>
      </c>
      <c r="D25680" s="6">
        <v>44.18</v>
      </c>
    </row>
    <row r="25681" spans="1:4" x14ac:dyDescent="0.25">
      <c r="A25681" t="str">
        <f>HYPERLINK("https://www.773grp.com/globalSearch/BQ219XLB-018/page-1", "BQ219XLB-018")</f>
        <v>BQ219XLB-018</v>
      </c>
      <c r="B25681" s="3" t="s">
        <v>90</v>
      </c>
      <c r="C25681" s="5">
        <v>4</v>
      </c>
      <c r="D25681" s="6">
        <v>44.18</v>
      </c>
    </row>
    <row r="25682" spans="1:4" x14ac:dyDescent="0.25">
      <c r="A25682" t="str">
        <f>HYPERLINK("https://www.773grp.com/globalSearch/BQ219XLB-019/page-1", "BQ219XLB-019")</f>
        <v>BQ219XLB-019</v>
      </c>
      <c r="B25682" s="3" t="s">
        <v>90</v>
      </c>
      <c r="C25682" s="5">
        <v>2</v>
      </c>
      <c r="D25682" s="6">
        <v>44.18</v>
      </c>
    </row>
    <row r="25683" spans="1:4" x14ac:dyDescent="0.25">
      <c r="A25683" t="str">
        <f>HYPERLINK("https://www.773grp.com/globalSearch/SMJ64C64S-45JDM/page-1", "SMJ64C64S-45JDM")</f>
        <v>SMJ64C64S-45JDM</v>
      </c>
      <c r="B25683" s="3" t="s">
        <v>90</v>
      </c>
      <c r="C25683" s="5">
        <v>102</v>
      </c>
      <c r="D25683" s="6">
        <v>44.18</v>
      </c>
    </row>
    <row r="25684" spans="1:4" x14ac:dyDescent="0.25">
      <c r="A25684" t="str">
        <f>HYPERLINK("https://www.773grp.com/globalSearch/TMS320VC5509AGHH/page-1", "TMS320VC5509AGHH")</f>
        <v>TMS320VC5509AGHH</v>
      </c>
      <c r="B25684" s="3" t="s">
        <v>90</v>
      </c>
      <c r="C25684" s="5">
        <v>145</v>
      </c>
      <c r="D25684" s="6">
        <v>44.21</v>
      </c>
    </row>
    <row r="25685" spans="1:4" x14ac:dyDescent="0.25">
      <c r="A25685" t="str">
        <f>HYPERLINK("https://www.773grp.com/globalSearch/32P4903B-CGT/page-1", "32P4903B-CGT")</f>
        <v>32P4903B-CGT</v>
      </c>
      <c r="B25685" s="3" t="s">
        <v>90</v>
      </c>
      <c r="C25685" s="5">
        <v>4358</v>
      </c>
      <c r="D25685" s="6">
        <v>44.25</v>
      </c>
    </row>
    <row r="25686" spans="1:4" x14ac:dyDescent="0.25">
      <c r="A25686" t="str">
        <f>HYPERLINK("https://www.773grp.com/globalSearch/AM3352ZCZD72/page-1", "AM3352ZCZD72")</f>
        <v>AM3352ZCZD72</v>
      </c>
      <c r="B25686" s="3" t="s">
        <v>90</v>
      </c>
      <c r="C25686" s="5">
        <v>15</v>
      </c>
      <c r="D25686" s="6">
        <v>44.33</v>
      </c>
    </row>
    <row r="25687" spans="1:4" x14ac:dyDescent="0.25">
      <c r="A25687" t="str">
        <f>HYPERLINK("https://www.773grp.com/globalSearch/SN74ABT7820-15N/page-1", "SN74ABT7820-15N")</f>
        <v>SN74ABT7820-15N</v>
      </c>
      <c r="B25687" s="3" t="s">
        <v>90</v>
      </c>
      <c r="C25687" s="5">
        <v>3846</v>
      </c>
      <c r="D25687" s="6">
        <v>44.44</v>
      </c>
    </row>
    <row r="25688" spans="1:4" x14ac:dyDescent="0.25">
      <c r="A25688" t="str">
        <f>HYPERLINK("https://www.773grp.com/globalSearch/SN74ACT3631-20DCB/page-1", "SN74ACT3631-20DCB")</f>
        <v>SN74ACT3631-20DCB</v>
      </c>
      <c r="B25688" s="3" t="s">
        <v>90</v>
      </c>
      <c r="C25688" s="5">
        <v>111</v>
      </c>
      <c r="D25688" s="6">
        <v>44.44</v>
      </c>
    </row>
    <row r="25689" spans="1:4" x14ac:dyDescent="0.25">
      <c r="A25689" t="str">
        <f>HYPERLINK("https://www.773grp.com/globalSearch/ADS4222IRGCT/page-1", "ADS4222IRGCT")</f>
        <v>ADS4222IRGCT</v>
      </c>
      <c r="B25689" s="3" t="s">
        <v>90</v>
      </c>
      <c r="C25689" s="5">
        <v>150</v>
      </c>
      <c r="D25689" s="6">
        <v>44.59</v>
      </c>
    </row>
    <row r="25690" spans="1:4" x14ac:dyDescent="0.25">
      <c r="A25690" t="str">
        <f>HYPERLINK("https://www.773grp.com/globalSearch/AM3517AZCN/page-1", "AM3517AZCN")</f>
        <v>AM3517AZCN</v>
      </c>
      <c r="B25690" s="3" t="s">
        <v>90</v>
      </c>
      <c r="C25690" s="5">
        <v>192</v>
      </c>
      <c r="D25690" s="6">
        <v>44.59</v>
      </c>
    </row>
    <row r="25691" spans="1:4" x14ac:dyDescent="0.25">
      <c r="A25691" t="str">
        <f>HYPERLINK("https://www.773grp.com/globalSearch/AM3517AZER/page-1", "AM3517AZER")</f>
        <v>AM3517AZER</v>
      </c>
      <c r="B25691" s="3" t="s">
        <v>90</v>
      </c>
      <c r="C25691" s="5">
        <v>5</v>
      </c>
      <c r="D25691" s="6">
        <v>44.59</v>
      </c>
    </row>
    <row r="25692" spans="1:4" x14ac:dyDescent="0.25">
      <c r="A25692" t="str">
        <f>HYPERLINK("https://www.773grp.com/globalSearch/AM3517AZERC/page-1", "AM3517AZERC")</f>
        <v>AM3517AZERC</v>
      </c>
      <c r="B25692" s="3" t="s">
        <v>90</v>
      </c>
      <c r="C25692" s="5">
        <v>39</v>
      </c>
      <c r="D25692" s="6">
        <v>44.59</v>
      </c>
    </row>
    <row r="25693" spans="1:4" x14ac:dyDescent="0.25">
      <c r="A25693" t="str">
        <f>HYPERLINK("https://www.773grp.com/globalSearch/PT6204N/page-1", "PT6204N")</f>
        <v>PT6204N</v>
      </c>
      <c r="B25693" s="3" t="s">
        <v>90</v>
      </c>
      <c r="C25693" s="5">
        <v>6</v>
      </c>
      <c r="D25693" s="6">
        <v>44.78</v>
      </c>
    </row>
    <row r="25694" spans="1:4" x14ac:dyDescent="0.25">
      <c r="A25694" t="str">
        <f>HYPERLINK("https://www.773grp.com/globalSearch/M38510-30007BDA/page-1", "M38510-30007BDA")</f>
        <v>M38510-30007BDA</v>
      </c>
      <c r="B25694" s="3" t="s">
        <v>90</v>
      </c>
      <c r="C25694" s="5">
        <v>18</v>
      </c>
      <c r="D25694" s="6">
        <v>44.8</v>
      </c>
    </row>
    <row r="25695" spans="1:4" x14ac:dyDescent="0.25">
      <c r="A25695" t="str">
        <f>HYPERLINK("https://www.773grp.com/globalSearch/LMH0056SQ-NOPB/page-1", "LMH0056SQ-NOPB")</f>
        <v>LMH0056SQ-NOPB</v>
      </c>
      <c r="B25695" s="3" t="s">
        <v>90</v>
      </c>
      <c r="C25695" s="5">
        <v>1000</v>
      </c>
      <c r="D25695" s="6">
        <v>44.85</v>
      </c>
    </row>
    <row r="25696" spans="1:4" x14ac:dyDescent="0.25">
      <c r="A25696" t="str">
        <f>HYPERLINK("https://www.773grp.com/globalSearch/TMS320F28232PTPQ/page-1", "TMS320F28232PTPQ")</f>
        <v>TMS320F28232PTPQ</v>
      </c>
      <c r="B25696" s="3" t="s">
        <v>90</v>
      </c>
      <c r="C25696" s="5">
        <v>9</v>
      </c>
      <c r="D25696" s="6">
        <v>44.85</v>
      </c>
    </row>
    <row r="25697" spans="1:4" x14ac:dyDescent="0.25">
      <c r="A25697" t="str">
        <f>HYPERLINK("https://www.773grp.com/globalSearch/LMH0051SQE-NOPB/page-1", "LMH0051SQE-NOPB")</f>
        <v>LMH0051SQE-NOPB</v>
      </c>
      <c r="B25697" s="3" t="s">
        <v>90</v>
      </c>
      <c r="C25697" s="5">
        <v>500</v>
      </c>
      <c r="D25697" s="6">
        <v>45</v>
      </c>
    </row>
    <row r="25698" spans="1:4" x14ac:dyDescent="0.25">
      <c r="A25698" t="str">
        <f>HYPERLINK("https://www.773grp.com/globalSearch/SNJ55326W/page-1", "SNJ55326W")</f>
        <v>SNJ55326W</v>
      </c>
      <c r="B25698" s="3" t="s">
        <v>90</v>
      </c>
      <c r="C25698" s="5">
        <v>4307</v>
      </c>
      <c r="D25698" s="6">
        <v>45</v>
      </c>
    </row>
    <row r="25699" spans="1:4" x14ac:dyDescent="0.25">
      <c r="A25699" t="str">
        <f>HYPERLINK("https://www.773grp.com/globalSearch/TMS320AV7100PGW/page-1", "TMS320AV7100PGW")</f>
        <v>TMS320AV7100PGW</v>
      </c>
      <c r="B25699" s="3" t="s">
        <v>90</v>
      </c>
      <c r="C25699" s="5">
        <v>27936</v>
      </c>
      <c r="D25699" s="6">
        <v>45</v>
      </c>
    </row>
    <row r="25700" spans="1:4" x14ac:dyDescent="0.25">
      <c r="A25700" t="str">
        <f>HYPERLINK("https://www.773grp.com/globalSearch/TMS320VC5410APGE12/page-1", "TMS320VC5410APGE12")</f>
        <v>TMS320VC5410APGE12</v>
      </c>
      <c r="B25700" s="3" t="s">
        <v>90</v>
      </c>
      <c r="C25700" s="5">
        <v>60</v>
      </c>
      <c r="D25700" s="6">
        <v>45.43</v>
      </c>
    </row>
    <row r="25701" spans="1:4" x14ac:dyDescent="0.25">
      <c r="A25701" t="str">
        <f>HYPERLINK("https://www.773grp.com/globalSearch/DAC811KU-1/page-1", "DAC811KU-1")</f>
        <v>DAC811KU-1</v>
      </c>
      <c r="B25701" s="3" t="s">
        <v>90</v>
      </c>
      <c r="C25701" s="5">
        <v>560</v>
      </c>
      <c r="D25701" s="6">
        <v>45.56</v>
      </c>
    </row>
    <row r="25702" spans="1:4" x14ac:dyDescent="0.25">
      <c r="A25702" t="str">
        <f>HYPERLINK("https://www.773grp.com/globalSearch/DAC811KUG4/page-1", "DAC811KUG4")</f>
        <v>DAC811KUG4</v>
      </c>
      <c r="B25702" s="3" t="s">
        <v>90</v>
      </c>
      <c r="C25702" s="5">
        <v>13</v>
      </c>
      <c r="D25702" s="6">
        <v>45.56</v>
      </c>
    </row>
    <row r="25703" spans="1:4" x14ac:dyDescent="0.25">
      <c r="A25703" t="str">
        <f>HYPERLINK("https://www.773grp.com/globalSearch/SN74V3670-6PEU/page-1", "SN74V3670-6PEU")</f>
        <v>SN74V3670-6PEU</v>
      </c>
      <c r="B25703" s="3" t="s">
        <v>90</v>
      </c>
      <c r="C25703" s="5">
        <v>21</v>
      </c>
      <c r="D25703" s="6">
        <v>45.56</v>
      </c>
    </row>
    <row r="25704" spans="1:4" x14ac:dyDescent="0.25">
      <c r="A25704" t="str">
        <f>HYPERLINK("https://www.773grp.com/globalSearch/78SR106HC/page-1", "78SR106HC")</f>
        <v>78SR106HC</v>
      </c>
      <c r="B25704" s="3" t="s">
        <v>90</v>
      </c>
      <c r="C25704" s="5">
        <v>7</v>
      </c>
      <c r="D25704" s="6">
        <v>45.7</v>
      </c>
    </row>
    <row r="25705" spans="1:4" x14ac:dyDescent="0.25">
      <c r="A25705" t="str">
        <f>HYPERLINK("https://www.773grp.com/globalSearch/78SR106SC/page-1", "78SR106SC")</f>
        <v>78SR106SC</v>
      </c>
      <c r="B25705" s="3" t="s">
        <v>90</v>
      </c>
      <c r="C25705" s="5">
        <v>25</v>
      </c>
      <c r="D25705" s="6">
        <v>45.7</v>
      </c>
    </row>
    <row r="25706" spans="1:4" x14ac:dyDescent="0.25">
      <c r="A25706" t="str">
        <f>HYPERLINK("https://www.773grp.com/globalSearch/78SR106VC/page-1", "78SR106VC")</f>
        <v>78SR106VC</v>
      </c>
      <c r="B25706" s="3" t="s">
        <v>90</v>
      </c>
      <c r="C25706" s="5">
        <v>6</v>
      </c>
      <c r="D25706" s="6">
        <v>45.7</v>
      </c>
    </row>
    <row r="25707" spans="1:4" x14ac:dyDescent="0.25">
      <c r="A25707" t="str">
        <f>HYPERLINK("https://www.773grp.com/globalSearch/78SR109HC/page-1", "78SR109HC")</f>
        <v>78SR109HC</v>
      </c>
      <c r="B25707" s="3" t="s">
        <v>90</v>
      </c>
      <c r="C25707" s="5">
        <v>3</v>
      </c>
      <c r="D25707" s="6">
        <v>45.7</v>
      </c>
    </row>
    <row r="25708" spans="1:4" x14ac:dyDescent="0.25">
      <c r="A25708" t="str">
        <f>HYPERLINK("https://www.773grp.com/globalSearch/78SR112VC/page-1", "78SR112VC")</f>
        <v>78SR112VC</v>
      </c>
      <c r="B25708" s="3" t="s">
        <v>90</v>
      </c>
      <c r="C25708" s="5">
        <v>15</v>
      </c>
      <c r="D25708" s="6">
        <v>45.7</v>
      </c>
    </row>
    <row r="25709" spans="1:4" x14ac:dyDescent="0.25">
      <c r="A25709" t="str">
        <f>HYPERLINK("https://www.773grp.com/globalSearch/78SR115VC/page-1", "78SR115VC")</f>
        <v>78SR115VC</v>
      </c>
      <c r="B25709" s="3" t="s">
        <v>90</v>
      </c>
      <c r="C25709" s="5">
        <v>1</v>
      </c>
      <c r="D25709" s="6">
        <v>45.7</v>
      </c>
    </row>
    <row r="25710" spans="1:4" x14ac:dyDescent="0.25">
      <c r="A25710" t="str">
        <f>HYPERLINK("https://www.773grp.com/globalSearch/78SR153HC/page-1", "78SR153HC")</f>
        <v>78SR153HC</v>
      </c>
      <c r="B25710" s="3" t="s">
        <v>90</v>
      </c>
      <c r="C25710" s="5">
        <v>8</v>
      </c>
      <c r="D25710" s="6">
        <v>45.7</v>
      </c>
    </row>
    <row r="25711" spans="1:4" x14ac:dyDescent="0.25">
      <c r="A25711" t="str">
        <f>HYPERLINK("https://www.773grp.com/globalSearch/78SR153SC/page-1", "78SR153SC")</f>
        <v>78SR153SC</v>
      </c>
      <c r="B25711" s="3" t="s">
        <v>90</v>
      </c>
      <c r="C25711" s="5">
        <v>4</v>
      </c>
      <c r="D25711" s="6">
        <v>45.7</v>
      </c>
    </row>
    <row r="25712" spans="1:4" x14ac:dyDescent="0.25">
      <c r="A25712" t="str">
        <f>HYPERLINK("https://www.773grp.com/globalSearch/78ST105VC/page-1", "78ST105VC")</f>
        <v>78ST105VC</v>
      </c>
      <c r="B25712" s="3" t="s">
        <v>90</v>
      </c>
      <c r="C25712" s="5">
        <v>22</v>
      </c>
      <c r="D25712" s="6">
        <v>45.7</v>
      </c>
    </row>
    <row r="25713" spans="1:4" x14ac:dyDescent="0.25">
      <c r="A25713" t="str">
        <f>HYPERLINK("https://www.773grp.com/globalSearch/78ST112VC/page-1", "78ST112VC")</f>
        <v>78ST112VC</v>
      </c>
      <c r="B25713" s="3" t="s">
        <v>90</v>
      </c>
      <c r="C25713" s="5">
        <v>16</v>
      </c>
      <c r="D25713" s="6">
        <v>45.7</v>
      </c>
    </row>
    <row r="25714" spans="1:4" x14ac:dyDescent="0.25">
      <c r="A25714" t="str">
        <f>HYPERLINK("https://www.773grp.com/globalSearch/88SR112HD/page-1", "88SR112HD")</f>
        <v>88SR112HD</v>
      </c>
      <c r="B25714" s="3" t="s">
        <v>90</v>
      </c>
      <c r="C25714" s="5">
        <v>75</v>
      </c>
      <c r="D25714" s="6">
        <v>45.7</v>
      </c>
    </row>
    <row r="25715" spans="1:4" x14ac:dyDescent="0.25">
      <c r="A25715" t="str">
        <f>HYPERLINK("https://www.773grp.com/globalSearch/PT5504C/page-1", "PT5504C")</f>
        <v>PT5504C</v>
      </c>
      <c r="B25715" s="3" t="s">
        <v>90</v>
      </c>
      <c r="C25715" s="5">
        <v>6</v>
      </c>
      <c r="D25715" s="6">
        <v>45.7</v>
      </c>
    </row>
    <row r="25716" spans="1:4" x14ac:dyDescent="0.25">
      <c r="A25716" t="str">
        <f>HYPERLINK("https://www.773grp.com/globalSearch/LM98725CCMT-NOPB/page-1", "LM98725CCMT-NOPB")</f>
        <v>LM98725CCMT-NOPB</v>
      </c>
      <c r="B25716" s="3" t="s">
        <v>90</v>
      </c>
      <c r="C25716" s="5">
        <v>612</v>
      </c>
      <c r="D25716" s="6">
        <v>45.85</v>
      </c>
    </row>
    <row r="25717" spans="1:4" x14ac:dyDescent="0.25">
      <c r="A25717" t="str">
        <f>HYPERLINK("https://www.773grp.com/globalSearch/PT78NR215S/page-1", "PT78NR215S")</f>
        <v>PT78NR215S</v>
      </c>
      <c r="B25717" s="3" t="s">
        <v>90</v>
      </c>
      <c r="C25717" s="5">
        <v>14</v>
      </c>
      <c r="D25717" s="6">
        <v>45.85</v>
      </c>
    </row>
    <row r="25718" spans="1:4" x14ac:dyDescent="0.25">
      <c r="A25718" t="str">
        <f>HYPERLINK("https://www.773grp.com/globalSearch/PT78NR215V/page-1", "PT78NR215V")</f>
        <v>PT78NR215V</v>
      </c>
      <c r="B25718" s="3" t="s">
        <v>90</v>
      </c>
      <c r="C25718" s="5">
        <v>6</v>
      </c>
      <c r="D25718" s="6">
        <v>45.85</v>
      </c>
    </row>
    <row r="25719" spans="1:4" x14ac:dyDescent="0.25">
      <c r="A25719" t="str">
        <f>HYPERLINK("https://www.773grp.com/globalSearch/SMJ68CE16S-35JDM/page-1", "SMJ68CE16S-35JDM")</f>
        <v>SMJ68CE16S-35JDM</v>
      </c>
      <c r="B25719" s="3" t="s">
        <v>90</v>
      </c>
      <c r="C25719" s="5">
        <v>1095</v>
      </c>
      <c r="D25719" s="6">
        <v>45.9</v>
      </c>
    </row>
    <row r="25720" spans="1:4" x14ac:dyDescent="0.25">
      <c r="A25720" t="str">
        <f>HYPERLINK("https://www.773grp.com/globalSearch/TMS320C6711DZDP200/page-1", "TMS320C6711DZDP200")</f>
        <v>TMS320C6711DZDP200</v>
      </c>
      <c r="B25720" s="3" t="s">
        <v>90</v>
      </c>
      <c r="C25720" s="5">
        <v>41</v>
      </c>
      <c r="D25720" s="6">
        <v>46.01</v>
      </c>
    </row>
    <row r="25721" spans="1:4" x14ac:dyDescent="0.25">
      <c r="A25721" t="str">
        <f>HYPERLINK("https://www.773grp.com/globalSearch/32P4104S-PZP/page-1", "32P4104S-PZP")</f>
        <v>32P4104S-PZP</v>
      </c>
      <c r="B25721" s="3" t="s">
        <v>90</v>
      </c>
      <c r="C25721" s="5">
        <v>6063</v>
      </c>
      <c r="D25721" s="6">
        <v>46.15</v>
      </c>
    </row>
    <row r="25722" spans="1:4" x14ac:dyDescent="0.25">
      <c r="A25722" t="str">
        <f>HYPERLINK("https://www.773grp.com/globalSearch/PT6204R/page-1", "PT6204R")</f>
        <v>PT6204R</v>
      </c>
      <c r="B25722" s="3" t="s">
        <v>90</v>
      </c>
      <c r="C25722" s="5">
        <v>5</v>
      </c>
      <c r="D25722" s="6">
        <v>46.19</v>
      </c>
    </row>
    <row r="25723" spans="1:4" x14ac:dyDescent="0.25">
      <c r="A25723" t="str">
        <f>HYPERLINK("https://www.773grp.com/globalSearch/32P4103S-GE/page-1", "32P4103S-GE")</f>
        <v>32P4103S-GE</v>
      </c>
      <c r="B25723" s="3" t="s">
        <v>90</v>
      </c>
      <c r="C25723" s="5">
        <v>17178</v>
      </c>
      <c r="D25723" s="6">
        <v>46.2</v>
      </c>
    </row>
    <row r="25724" spans="1:4" x14ac:dyDescent="0.25">
      <c r="A25724" t="str">
        <f>HYPERLINK("https://www.773grp.com/globalSearch/32P4129-GE/page-1", "32P4129-GE")</f>
        <v>32P4129-GE</v>
      </c>
      <c r="B25724" s="3" t="s">
        <v>90</v>
      </c>
      <c r="C25724" s="5">
        <v>31747</v>
      </c>
      <c r="D25724" s="6">
        <v>46.2</v>
      </c>
    </row>
    <row r="25725" spans="1:4" x14ac:dyDescent="0.25">
      <c r="A25725" t="str">
        <f>HYPERLINK("https://www.773grp.com/globalSearch/TMS320DSP105APGE16/page-1", "TMS320DSP105APGE16")</f>
        <v>TMS320DSP105APGE16</v>
      </c>
      <c r="B25725" s="3" t="s">
        <v>90</v>
      </c>
      <c r="C25725" s="5">
        <v>5</v>
      </c>
      <c r="D25725" s="6">
        <v>46.28</v>
      </c>
    </row>
    <row r="25726" spans="1:4" x14ac:dyDescent="0.25">
      <c r="A25726" t="str">
        <f>HYPERLINK("https://www.773grp.com/globalSearch/AM3505AZERA/page-1", "AM3505AZERA")</f>
        <v>AM3505AZERA</v>
      </c>
      <c r="B25726" s="3" t="s">
        <v>90</v>
      </c>
      <c r="C25726" s="5">
        <v>1091</v>
      </c>
      <c r="D25726" s="6">
        <v>46.41</v>
      </c>
    </row>
    <row r="25727" spans="1:4" x14ac:dyDescent="0.25">
      <c r="A25727" t="str">
        <f>HYPERLINK("https://www.773grp.com/globalSearch/AM3703CBPA/page-1", "AM3703CBPA")</f>
        <v>AM3703CBPA</v>
      </c>
      <c r="B25727" s="3" t="s">
        <v>90</v>
      </c>
      <c r="C25727" s="5">
        <v>56</v>
      </c>
      <c r="D25727" s="6">
        <v>46.41</v>
      </c>
    </row>
    <row r="25728" spans="1:4" x14ac:dyDescent="0.25">
      <c r="A25728" t="str">
        <f>HYPERLINK("https://www.773grp.com/globalSearch/AM3703CUSA/page-1", "AM3703CUSA")</f>
        <v>AM3703CUSA</v>
      </c>
      <c r="B25728" s="3" t="s">
        <v>90</v>
      </c>
      <c r="C25728" s="5">
        <v>12</v>
      </c>
      <c r="D25728" s="6">
        <v>46.41</v>
      </c>
    </row>
    <row r="25729" spans="1:4" x14ac:dyDescent="0.25">
      <c r="A25729" t="str">
        <f>HYPERLINK("https://www.773grp.com/globalSearch/JM38510-65453B2A/page-1", "JM38510-65453B2A")</f>
        <v>JM38510-65453B2A</v>
      </c>
      <c r="B25729" s="3" t="s">
        <v>90</v>
      </c>
      <c r="C25729" s="5">
        <v>114</v>
      </c>
      <c r="D25729" s="6">
        <v>46.41</v>
      </c>
    </row>
    <row r="25730" spans="1:4" x14ac:dyDescent="0.25">
      <c r="A25730" t="str">
        <f>HYPERLINK("https://www.773grp.com/globalSearch/JM38510-65652B2A/page-1", "JM38510-65652B2A")</f>
        <v>JM38510-65652B2A</v>
      </c>
      <c r="B25730" s="3" t="s">
        <v>90</v>
      </c>
      <c r="C25730" s="5">
        <v>334</v>
      </c>
      <c r="D25730" s="6">
        <v>46.41</v>
      </c>
    </row>
    <row r="25731" spans="1:4" x14ac:dyDescent="0.25">
      <c r="A25731" t="str">
        <f>HYPERLINK("https://www.773grp.com/globalSearch/JM38510-65652BSA/page-1", "JM38510-65652BSA")</f>
        <v>JM38510-65652BSA</v>
      </c>
      <c r="B25731" s="3" t="s">
        <v>90</v>
      </c>
      <c r="C25731" s="5">
        <v>155</v>
      </c>
      <c r="D25731" s="6">
        <v>46.41</v>
      </c>
    </row>
    <row r="25732" spans="1:4" x14ac:dyDescent="0.25">
      <c r="A25732" t="str">
        <f>HYPERLINK("https://www.773grp.com/globalSearch/MS320C51PQ57/page-1", "MS320C51PQ57")</f>
        <v>MS320C51PQ57</v>
      </c>
      <c r="B25732" s="3" t="s">
        <v>90</v>
      </c>
      <c r="C25732" s="5">
        <v>10647</v>
      </c>
      <c r="D25732" s="6">
        <v>46.41</v>
      </c>
    </row>
    <row r="25733" spans="1:4" x14ac:dyDescent="0.25">
      <c r="A25733" t="str">
        <f>HYPERLINK("https://www.773grp.com/globalSearch/TLK2701IRCP/page-1", "TLK2701IRCP")</f>
        <v>TLK2701IRCP</v>
      </c>
      <c r="B25733" s="3" t="s">
        <v>90</v>
      </c>
      <c r="C25733" s="5">
        <v>450</v>
      </c>
      <c r="D25733" s="6">
        <v>46.41</v>
      </c>
    </row>
    <row r="25734" spans="1:4" x14ac:dyDescent="0.25">
      <c r="A25734" t="str">
        <f>HYPERLINK("https://www.773grp.com/globalSearch/TLK2701IRCPG4/page-1", "TLK2701IRCPG4")</f>
        <v>TLK2701IRCPG4</v>
      </c>
      <c r="B25734" s="3" t="s">
        <v>90</v>
      </c>
      <c r="C25734" s="5">
        <v>811</v>
      </c>
      <c r="D25734" s="6">
        <v>46.41</v>
      </c>
    </row>
    <row r="25735" spans="1:4" x14ac:dyDescent="0.25">
      <c r="A25735" t="str">
        <f>HYPERLINK("https://www.773grp.com/globalSearch/PCI1251BGFNR/page-1", "PCI1251BGFNR")</f>
        <v>PCI1251BGFNR</v>
      </c>
      <c r="B25735" s="3" t="s">
        <v>90</v>
      </c>
      <c r="C25735" s="5">
        <v>98922</v>
      </c>
      <c r="D25735" s="6">
        <v>46.53</v>
      </c>
    </row>
    <row r="25736" spans="1:4" x14ac:dyDescent="0.25">
      <c r="A25736" t="str">
        <f>HYPERLINK("https://www.773grp.com/globalSearch/LM140H-15-883/page-1", "LM140H-15-883")</f>
        <v>LM140H-15-883</v>
      </c>
      <c r="B25736" s="3" t="s">
        <v>90</v>
      </c>
      <c r="C25736" s="5">
        <v>40</v>
      </c>
      <c r="D25736" s="6">
        <v>46.54</v>
      </c>
    </row>
    <row r="25737" spans="1:4" x14ac:dyDescent="0.25">
      <c r="A25737" t="str">
        <f>HYPERLINK("https://www.773grp.com/globalSearch/TMS320F28234ZJZQ/page-1", "TMS320F28234ZJZQ")</f>
        <v>TMS320F28234ZJZQ</v>
      </c>
      <c r="B25737" s="3" t="s">
        <v>90</v>
      </c>
      <c r="C25737" s="5">
        <v>14</v>
      </c>
      <c r="D25737" s="6">
        <v>46.54</v>
      </c>
    </row>
    <row r="25738" spans="1:4" x14ac:dyDescent="0.25">
      <c r="A25738" t="str">
        <f>HYPERLINK("https://www.773grp.com/globalSearch/CD54HC4538F3A/page-1", "CD54HC4538F3A")</f>
        <v>CD54HC4538F3A</v>
      </c>
      <c r="B25738" s="3" t="s">
        <v>90</v>
      </c>
      <c r="C25738" s="5">
        <v>15</v>
      </c>
      <c r="D25738" s="6">
        <v>46.61</v>
      </c>
    </row>
    <row r="25739" spans="1:4" x14ac:dyDescent="0.25">
      <c r="A25739" t="str">
        <f>HYPERLINK("https://www.773grp.com/globalSearch/SNJ54BCT760J/page-1", "SNJ54BCT760J")</f>
        <v>SNJ54BCT760J</v>
      </c>
      <c r="B25739" s="3" t="s">
        <v>90</v>
      </c>
      <c r="C25739" s="5">
        <v>5</v>
      </c>
      <c r="D25739" s="6">
        <v>46.66</v>
      </c>
    </row>
    <row r="25740" spans="1:4" x14ac:dyDescent="0.25">
      <c r="A25740" t="str">
        <f>HYPERLINK("https://www.773grp.com/globalSearch/SN74V273PZAEP/page-1", "SN74V273PZAEP")</f>
        <v>SN74V273PZAEP</v>
      </c>
      <c r="B25740" s="3" t="s">
        <v>90</v>
      </c>
      <c r="C25740" s="5">
        <v>26</v>
      </c>
      <c r="D25740" s="6">
        <v>46.69</v>
      </c>
    </row>
    <row r="25741" spans="1:4" x14ac:dyDescent="0.25">
      <c r="A25741" t="str">
        <f>HYPERLINK("https://www.773grp.com/globalSearch/PT6212E/page-1", "PT6212E")</f>
        <v>PT6212E</v>
      </c>
      <c r="B25741" s="3" t="s">
        <v>90</v>
      </c>
      <c r="C25741" s="5">
        <v>2</v>
      </c>
      <c r="D25741" s="6">
        <v>46.71</v>
      </c>
    </row>
    <row r="25742" spans="1:4" x14ac:dyDescent="0.25">
      <c r="A25742" t="str">
        <f>HYPERLINK("https://www.773grp.com/globalSearch/PT6212P/page-1", "PT6212P")</f>
        <v>PT6212P</v>
      </c>
      <c r="B25742" s="3" t="s">
        <v>90</v>
      </c>
      <c r="C25742" s="5">
        <v>187</v>
      </c>
      <c r="D25742" s="6">
        <v>46.71</v>
      </c>
    </row>
    <row r="25743" spans="1:4" x14ac:dyDescent="0.25">
      <c r="A25743" t="str">
        <f>HYPERLINK("https://www.773grp.com/globalSearch/PTN78060AAS/page-1", "PTN78060AAS")</f>
        <v>PTN78060AAS</v>
      </c>
      <c r="B25743" s="3" t="s">
        <v>90</v>
      </c>
      <c r="C25743" s="5">
        <v>86</v>
      </c>
      <c r="D25743" s="6">
        <v>46.8</v>
      </c>
    </row>
    <row r="25744" spans="1:4" x14ac:dyDescent="0.25">
      <c r="A25744" t="str">
        <f>HYPERLINK("https://www.773grp.com/globalSearch/PTN78060AAZT/page-1", "PTN78060AAZT")</f>
        <v>PTN78060AAZT</v>
      </c>
      <c r="B25744" s="3" t="s">
        <v>90</v>
      </c>
      <c r="C25744" s="5">
        <v>250</v>
      </c>
      <c r="D25744" s="6">
        <v>46.8</v>
      </c>
    </row>
    <row r="25745" spans="1:4" x14ac:dyDescent="0.25">
      <c r="A25745" t="str">
        <f>HYPERLINK("https://www.773grp.com/globalSearch/PTN78060HAH/page-1", "PTN78060HAH")</f>
        <v>PTN78060HAH</v>
      </c>
      <c r="B25745" s="3" t="s">
        <v>90</v>
      </c>
      <c r="C25745" s="5">
        <v>252</v>
      </c>
      <c r="D25745" s="6">
        <v>46.8</v>
      </c>
    </row>
    <row r="25746" spans="1:4" x14ac:dyDescent="0.25">
      <c r="A25746" t="str">
        <f>HYPERLINK("https://www.773grp.com/globalSearch/TNETD4100GJG/page-1", "TNETD4100GJG")</f>
        <v>TNETD4100GJG</v>
      </c>
      <c r="B25746" s="3" t="s">
        <v>90</v>
      </c>
      <c r="C25746" s="5">
        <v>3589</v>
      </c>
      <c r="D25746" s="6">
        <v>46.88</v>
      </c>
    </row>
    <row r="25747" spans="1:4" x14ac:dyDescent="0.25">
      <c r="A25747" t="str">
        <f>HYPERLINK("https://www.773grp.com/globalSearch/TNETD4250GJL/page-1", "TNETD4250GJL")</f>
        <v>TNETD4250GJL</v>
      </c>
      <c r="B25747" s="3" t="s">
        <v>90</v>
      </c>
      <c r="C25747" s="5">
        <v>904</v>
      </c>
      <c r="D25747" s="6">
        <v>46.88</v>
      </c>
    </row>
    <row r="25748" spans="1:4" x14ac:dyDescent="0.25">
      <c r="A25748" t="str">
        <f>HYPERLINK("https://www.773grp.com/globalSearch/TMS6787-15N/page-1", "TMS6787-15N")</f>
        <v>TMS6787-15N</v>
      </c>
      <c r="B25748" s="3" t="s">
        <v>90</v>
      </c>
      <c r="C25748" s="5">
        <v>9777</v>
      </c>
      <c r="D25748" s="6">
        <v>46.96</v>
      </c>
    </row>
    <row r="25749" spans="1:4" x14ac:dyDescent="0.25">
      <c r="A25749" t="str">
        <f>HYPERLINK("https://www.773grp.com/globalSearch/SN54AS869JT/page-1", "SN54AS869JT")</f>
        <v>SN54AS869JT</v>
      </c>
      <c r="B25749" s="3" t="s">
        <v>90</v>
      </c>
      <c r="C25749" s="5">
        <v>9</v>
      </c>
      <c r="D25749" s="6">
        <v>47</v>
      </c>
    </row>
    <row r="25750" spans="1:4" x14ac:dyDescent="0.25">
      <c r="A25750" t="str">
        <f>HYPERLINK("https://www.773grp.com/globalSearch/SNJ55452BJG/page-1", "SNJ55452BJG")</f>
        <v>SNJ55452BJG</v>
      </c>
      <c r="B25750" s="3" t="s">
        <v>90</v>
      </c>
      <c r="C25750" s="5">
        <v>14</v>
      </c>
      <c r="D25750" s="6">
        <v>47.05</v>
      </c>
    </row>
    <row r="25751" spans="1:4" x14ac:dyDescent="0.25">
      <c r="A25751" t="str">
        <f>HYPERLINK("https://www.773grp.com/globalSearch/XAM3359ZCZ/page-1", "XAM3359ZCZ")</f>
        <v>XAM3359ZCZ</v>
      </c>
      <c r="B25751" s="3" t="s">
        <v>90</v>
      </c>
      <c r="C25751" s="5">
        <v>10</v>
      </c>
      <c r="D25751" s="6">
        <v>47.11</v>
      </c>
    </row>
    <row r="25752" spans="1:4" x14ac:dyDescent="0.25">
      <c r="A25752" t="str">
        <f>HYPERLINK("https://www.773grp.com/globalSearch/TMS320DM6435ZDU5/page-1", "TMS320DM6435ZDU5")</f>
        <v>TMS320DM6435ZDU5</v>
      </c>
      <c r="B25752" s="3" t="s">
        <v>90</v>
      </c>
      <c r="C25752" s="5">
        <v>483</v>
      </c>
      <c r="D25752" s="6">
        <v>47.25</v>
      </c>
    </row>
    <row r="25753" spans="1:4" x14ac:dyDescent="0.25">
      <c r="A25753" t="str">
        <f>HYPERLINK("https://www.773grp.com/globalSearch/TMS38010NL/page-1", "TMS38010NL")</f>
        <v>TMS38010NL</v>
      </c>
      <c r="B25753" s="3" t="s">
        <v>90</v>
      </c>
      <c r="C25753" s="5">
        <v>4237</v>
      </c>
      <c r="D25753" s="6">
        <v>47.25</v>
      </c>
    </row>
    <row r="25754" spans="1:4" x14ac:dyDescent="0.25">
      <c r="A25754" t="str">
        <f>HYPERLINK("https://www.773grp.com/globalSearch/34P3210-CGT/page-1", "34P3210-CGT")</f>
        <v>34P3210-CGT</v>
      </c>
      <c r="B25754" s="3" t="s">
        <v>90</v>
      </c>
      <c r="C25754" s="5">
        <v>67347</v>
      </c>
      <c r="D25754" s="6">
        <v>47.34</v>
      </c>
    </row>
    <row r="25755" spans="1:4" x14ac:dyDescent="0.25">
      <c r="A25755" t="str">
        <f>HYPERLINK("https://www.773grp.com/globalSearch/PTN78020AAH/page-1", "PTN78020AAH")</f>
        <v>PTN78020AAH</v>
      </c>
      <c r="B25755" s="3" t="s">
        <v>90</v>
      </c>
      <c r="C25755" s="5">
        <v>3</v>
      </c>
      <c r="D25755" s="6">
        <v>47.64</v>
      </c>
    </row>
    <row r="25756" spans="1:4" x14ac:dyDescent="0.25">
      <c r="A25756" t="str">
        <f>HYPERLINK("https://www.773grp.com/globalSearch/PTN78020AAZ/page-1", "PTN78020AAZ")</f>
        <v>PTN78020AAZ</v>
      </c>
      <c r="B25756" s="3" t="s">
        <v>90</v>
      </c>
      <c r="C25756" s="5">
        <v>80</v>
      </c>
      <c r="D25756" s="6">
        <v>47.64</v>
      </c>
    </row>
    <row r="25757" spans="1:4" x14ac:dyDescent="0.25">
      <c r="A25757" t="str">
        <f>HYPERLINK("https://www.773grp.com/globalSearch/PTN78020WAH/page-1", "PTN78020WAH")</f>
        <v>PTN78020WAH</v>
      </c>
      <c r="B25757" s="3" t="s">
        <v>90</v>
      </c>
      <c r="C25757" s="5">
        <v>22</v>
      </c>
      <c r="D25757" s="6">
        <v>47.64</v>
      </c>
    </row>
    <row r="25758" spans="1:4" x14ac:dyDescent="0.25">
      <c r="A25758" t="str">
        <f>HYPERLINK("https://www.773grp.com/globalSearch/PTN78020WAZ/page-1", "PTN78020WAZ")</f>
        <v>PTN78020WAZ</v>
      </c>
      <c r="B25758" s="3" t="s">
        <v>90</v>
      </c>
      <c r="C25758" s="5">
        <v>66</v>
      </c>
      <c r="D25758" s="6">
        <v>47.64</v>
      </c>
    </row>
    <row r="25759" spans="1:4" x14ac:dyDescent="0.25">
      <c r="A25759" t="str">
        <f>HYPERLINK("https://www.773grp.com/globalSearch/DAC8234SPFB/page-1", "DAC8234SPFB")</f>
        <v>DAC8234SPFB</v>
      </c>
      <c r="B25759" s="3" t="s">
        <v>90</v>
      </c>
      <c r="C25759" s="5">
        <v>79</v>
      </c>
      <c r="D25759" s="6">
        <v>47.68</v>
      </c>
    </row>
    <row r="25760" spans="1:4" x14ac:dyDescent="0.25">
      <c r="A25760" t="str">
        <f>HYPERLINK("https://www.773grp.com/globalSearch/TMP320C203PZ57/page-1", "TMP320C203PZ57")</f>
        <v>TMP320C203PZ57</v>
      </c>
      <c r="B25760" s="3" t="s">
        <v>90</v>
      </c>
      <c r="C25760" s="5">
        <v>272</v>
      </c>
      <c r="D25760" s="6">
        <v>47.73</v>
      </c>
    </row>
    <row r="25761" spans="1:4" x14ac:dyDescent="0.25">
      <c r="A25761" t="str">
        <f>HYPERLINK("https://www.773grp.com/globalSearch/AM3354ZCZD72/page-1", "AM3354ZCZD72")</f>
        <v>AM3354ZCZD72</v>
      </c>
      <c r="B25761" s="3" t="s">
        <v>90</v>
      </c>
      <c r="C25761" s="5">
        <v>58</v>
      </c>
      <c r="D25761" s="6">
        <v>47.79</v>
      </c>
    </row>
    <row r="25762" spans="1:4" x14ac:dyDescent="0.25">
      <c r="A25762" t="str">
        <f>HYPERLINK("https://www.773grp.com/globalSearch/ADS6122IRHB25/page-1", "ADS6122IRHB25")</f>
        <v>ADS6122IRHB25</v>
      </c>
      <c r="B25762" s="3" t="s">
        <v>90</v>
      </c>
      <c r="C25762" s="5">
        <v>100</v>
      </c>
      <c r="D25762" s="6">
        <v>47.81</v>
      </c>
    </row>
    <row r="25763" spans="1:4" x14ac:dyDescent="0.25">
      <c r="A25763" t="str">
        <f>HYPERLINK("https://www.773grp.com/globalSearch/DS7832JB/page-1", "DS7832JB")</f>
        <v>DS7832JB</v>
      </c>
      <c r="B25763" s="3" t="s">
        <v>90</v>
      </c>
      <c r="C25763" s="5">
        <v>4106</v>
      </c>
      <c r="D25763" s="6">
        <v>47.81</v>
      </c>
    </row>
    <row r="25764" spans="1:4" x14ac:dyDescent="0.25">
      <c r="A25764" t="str">
        <f>HYPERLINK("https://www.773grp.com/globalSearch/LAUNCHXL-F28027/page-1", "LAUNCHXL-F28027")</f>
        <v>LAUNCHXL-F28027</v>
      </c>
      <c r="B25764" s="3" t="s">
        <v>90</v>
      </c>
      <c r="C25764" s="5">
        <v>68</v>
      </c>
      <c r="D25764" s="6">
        <v>47.96</v>
      </c>
    </row>
    <row r="25765" spans="1:4" x14ac:dyDescent="0.25">
      <c r="A25765" t="str">
        <f>HYPERLINK("https://www.773grp.com/globalSearch/TMX320LF2402APGA/page-1", "TMX320LF2402APGA")</f>
        <v>TMX320LF2402APGA</v>
      </c>
      <c r="B25765" s="3" t="s">
        <v>90</v>
      </c>
      <c r="C25765" s="5">
        <v>227</v>
      </c>
      <c r="D25765" s="6">
        <v>48.01</v>
      </c>
    </row>
    <row r="25766" spans="1:4" x14ac:dyDescent="0.25">
      <c r="A25766" t="str">
        <f>HYPERLINK("https://www.773grp.com/globalSearch/5962-7802003M2A/page-1", "5962-7802003M2A")</f>
        <v>5962-7802003M2A</v>
      </c>
      <c r="B25766" s="3" t="s">
        <v>90</v>
      </c>
      <c r="C25766" s="5">
        <v>6</v>
      </c>
      <c r="D25766" s="6">
        <v>48.26</v>
      </c>
    </row>
    <row r="25767" spans="1:4" x14ac:dyDescent="0.25">
      <c r="A25767" t="str">
        <f>HYPERLINK("https://www.773grp.com/globalSearch/TLE2072MFKB/page-1", "TLE2072MFKB")</f>
        <v>TLE2072MFKB</v>
      </c>
      <c r="B25767" s="3" t="s">
        <v>90</v>
      </c>
      <c r="C25767" s="5">
        <v>132</v>
      </c>
      <c r="D25767" s="6">
        <v>48.26</v>
      </c>
    </row>
    <row r="25768" spans="1:4" x14ac:dyDescent="0.25">
      <c r="A25768" t="str">
        <f>HYPERLINK("https://www.773grp.com/globalSearch/SNJ54BCT2827AJT/page-1", "SNJ54BCT2827AJT")</f>
        <v>SNJ54BCT2827AJT</v>
      </c>
      <c r="B25768" s="3" t="s">
        <v>90</v>
      </c>
      <c r="C25768" s="5">
        <v>164</v>
      </c>
      <c r="D25768" s="6">
        <v>48.35</v>
      </c>
    </row>
    <row r="25769" spans="1:4" x14ac:dyDescent="0.25">
      <c r="A25769" t="str">
        <f>HYPERLINK("https://www.773grp.com/globalSearch/LMH1982SQE-NOPB/page-1", "LMH1982SQE-NOPB")</f>
        <v>LMH1982SQE-NOPB</v>
      </c>
      <c r="B25769" s="3" t="s">
        <v>90</v>
      </c>
      <c r="C25769" s="5">
        <v>500</v>
      </c>
      <c r="D25769" s="6">
        <v>48.38</v>
      </c>
    </row>
    <row r="25770" spans="1:4" x14ac:dyDescent="0.25">
      <c r="A25770" t="str">
        <f>HYPERLINK("https://www.773grp.com/globalSearch/SNJ55150FK/page-1", "SNJ55150FK")</f>
        <v>SNJ55150FK</v>
      </c>
      <c r="B25770" s="3" t="s">
        <v>90</v>
      </c>
      <c r="C25770" s="5">
        <v>44</v>
      </c>
      <c r="D25770" s="6">
        <v>48.38</v>
      </c>
    </row>
    <row r="25771" spans="1:4" x14ac:dyDescent="0.25">
      <c r="A25771" t="str">
        <f>HYPERLINK("https://www.773grp.com/globalSearch/SNJ55115W/page-1", "SNJ55115W")</f>
        <v>SNJ55115W</v>
      </c>
      <c r="B25771" s="3" t="s">
        <v>90</v>
      </c>
      <c r="C25771" s="5">
        <v>14</v>
      </c>
      <c r="D25771" s="6">
        <v>48.85</v>
      </c>
    </row>
    <row r="25772" spans="1:4" x14ac:dyDescent="0.25">
      <c r="A25772" t="str">
        <f>HYPERLINK("https://www.773grp.com/globalSearch/TMX320VC33PGE/page-1", "TMX320VC33PGE")</f>
        <v>TMX320VC33PGE</v>
      </c>
      <c r="B25772" s="3" t="s">
        <v>90</v>
      </c>
      <c r="C25772" s="5">
        <v>9</v>
      </c>
      <c r="D25772" s="6">
        <v>48.85</v>
      </c>
    </row>
    <row r="25773" spans="1:4" x14ac:dyDescent="0.25">
      <c r="A25773" t="str">
        <f>HYPERLINK("https://www.773grp.com/globalSearch/TSB12LV22PZ/page-1", "TSB12LV22PZ")</f>
        <v>TSB12LV22PZ</v>
      </c>
      <c r="B25773" s="3" t="s">
        <v>90</v>
      </c>
      <c r="C25773" s="5">
        <v>772</v>
      </c>
      <c r="D25773" s="6">
        <v>49.05</v>
      </c>
    </row>
    <row r="25774" spans="1:4" x14ac:dyDescent="0.25">
      <c r="A25774" t="str">
        <f>HYPERLINK("https://www.773grp.com/globalSearch/TMS320C6424ZDU4/page-1", "TMS320C6424ZDU4")</f>
        <v>TMS320C6424ZDU4</v>
      </c>
      <c r="B25774" s="3" t="s">
        <v>90</v>
      </c>
      <c r="C25774" s="5">
        <v>48</v>
      </c>
      <c r="D25774" s="6">
        <v>49.23</v>
      </c>
    </row>
    <row r="25775" spans="1:4" x14ac:dyDescent="0.25">
      <c r="A25775" t="str">
        <f>HYPERLINK("https://www.773grp.com/globalSearch/Z158DO86FNR/page-1", "Z158DO86FNR")</f>
        <v>Z158DO86FNR</v>
      </c>
      <c r="B25775" s="3" t="s">
        <v>90</v>
      </c>
      <c r="C25775" s="5">
        <v>1500</v>
      </c>
      <c r="D25775" s="6">
        <v>49.28</v>
      </c>
    </row>
    <row r="25776" spans="1:4" x14ac:dyDescent="0.25">
      <c r="A25776" t="str">
        <f>HYPERLINK("https://www.773grp.com/globalSearch/ACF2101BU/page-1", "ACF2101BU")</f>
        <v>ACF2101BU</v>
      </c>
      <c r="B25776" s="3" t="s">
        <v>90</v>
      </c>
      <c r="C25776" s="5">
        <v>100</v>
      </c>
      <c r="D25776" s="6">
        <v>49.36</v>
      </c>
    </row>
    <row r="25777" spans="1:4" x14ac:dyDescent="0.25">
      <c r="A25777" t="str">
        <f>HYPERLINK("https://www.773grp.com/globalSearch/PTH03010YAD/page-1", "PTH03010YAD")</f>
        <v>PTH03010YAD</v>
      </c>
      <c r="B25777" s="3" t="s">
        <v>90</v>
      </c>
      <c r="C25777" s="5">
        <v>575</v>
      </c>
      <c r="D25777" s="6">
        <v>49.36</v>
      </c>
    </row>
    <row r="25778" spans="1:4" x14ac:dyDescent="0.25">
      <c r="A25778" t="str">
        <f>HYPERLINK("https://www.773grp.com/globalSearch/PTH12010LAST/page-1", "PTH12010LAST")</f>
        <v>PTH12010LAST</v>
      </c>
      <c r="B25778" s="3" t="s">
        <v>90</v>
      </c>
      <c r="C25778" s="5">
        <v>250</v>
      </c>
      <c r="D25778" s="6">
        <v>49.36</v>
      </c>
    </row>
    <row r="25779" spans="1:4" x14ac:dyDescent="0.25">
      <c r="A25779" t="str">
        <f>HYPERLINK("https://www.773grp.com/globalSearch/PTH12010LAZT/page-1", "PTH12010LAZT")</f>
        <v>PTH12010LAZT</v>
      </c>
      <c r="B25779" s="3" t="s">
        <v>90</v>
      </c>
      <c r="C25779" s="5">
        <v>1000</v>
      </c>
      <c r="D25779" s="6">
        <v>49.36</v>
      </c>
    </row>
    <row r="25780" spans="1:4" x14ac:dyDescent="0.25">
      <c r="A25780" t="str">
        <f>HYPERLINK("https://www.773grp.com/globalSearch/PTV03020WAH/page-1", "PTV03020WAH")</f>
        <v>PTV03020WAH</v>
      </c>
      <c r="B25780" s="3" t="s">
        <v>90</v>
      </c>
      <c r="C25780" s="5">
        <v>271</v>
      </c>
      <c r="D25780" s="6">
        <v>49.36</v>
      </c>
    </row>
    <row r="25781" spans="1:4" x14ac:dyDescent="0.25">
      <c r="A25781" t="str">
        <f>HYPERLINK("https://www.773grp.com/globalSearch/BQ2167B-005/page-1", "BQ2167B-005")</f>
        <v>BQ2167B-005</v>
      </c>
      <c r="B25781" s="3" t="s">
        <v>90</v>
      </c>
      <c r="C25781" s="5">
        <v>37</v>
      </c>
      <c r="D25781" s="6">
        <v>49.56</v>
      </c>
    </row>
    <row r="25782" spans="1:4" x14ac:dyDescent="0.25">
      <c r="A25782" t="str">
        <f>HYPERLINK("https://www.773grp.com/globalSearch/BQ2167B-006/page-1", "BQ2167B-006")</f>
        <v>BQ2167B-006</v>
      </c>
      <c r="B25782" s="3" t="s">
        <v>90</v>
      </c>
      <c r="C25782" s="5">
        <v>17</v>
      </c>
      <c r="D25782" s="6">
        <v>49.56</v>
      </c>
    </row>
    <row r="25783" spans="1:4" x14ac:dyDescent="0.25">
      <c r="A25783" t="str">
        <f>HYPERLINK("https://www.773grp.com/globalSearch/BQ2167B-008/page-1", "BQ2167B-008")</f>
        <v>BQ2167B-008</v>
      </c>
      <c r="B25783" s="3" t="s">
        <v>90</v>
      </c>
      <c r="C25783" s="5">
        <v>16</v>
      </c>
      <c r="D25783" s="6">
        <v>49.56</v>
      </c>
    </row>
    <row r="25784" spans="1:4" x14ac:dyDescent="0.25">
      <c r="A25784" t="str">
        <f>HYPERLINK("https://www.773grp.com/globalSearch/BQ2167B-009/page-1", "BQ2167B-009")</f>
        <v>BQ2167B-009</v>
      </c>
      <c r="B25784" s="3" t="s">
        <v>90</v>
      </c>
      <c r="C25784" s="5">
        <v>54</v>
      </c>
      <c r="D25784" s="6">
        <v>49.56</v>
      </c>
    </row>
    <row r="25785" spans="1:4" x14ac:dyDescent="0.25">
      <c r="A25785" t="str">
        <f>HYPERLINK("https://www.773grp.com/globalSearch/8103607RA/page-1", "8103607RA")</f>
        <v>8103607RA</v>
      </c>
      <c r="B25785" s="3" t="s">
        <v>90</v>
      </c>
      <c r="C25785" s="5">
        <v>3</v>
      </c>
      <c r="D25785" s="6">
        <v>49.66</v>
      </c>
    </row>
    <row r="25786" spans="1:4" x14ac:dyDescent="0.25">
      <c r="A25786" t="str">
        <f>HYPERLINK("https://www.773grp.com/globalSearch/DAC712UBG4/page-1", "DAC712UBG4")</f>
        <v>DAC712UBG4</v>
      </c>
      <c r="B25786" s="3" t="s">
        <v>90</v>
      </c>
      <c r="C25786" s="5">
        <v>7</v>
      </c>
      <c r="D25786" s="6">
        <v>49.7</v>
      </c>
    </row>
    <row r="25787" spans="1:4" x14ac:dyDescent="0.25">
      <c r="A25787" t="str">
        <f>HYPERLINK("https://www.773grp.com/globalSearch/S5LS10106ASPGEQQ1/page-1", "S5LS10106ASPGEQQ1")</f>
        <v>S5LS10106ASPGEQQ1</v>
      </c>
      <c r="B25787" s="3" t="s">
        <v>90</v>
      </c>
      <c r="C25787" s="5">
        <v>22</v>
      </c>
      <c r="D25787" s="6">
        <v>49.75</v>
      </c>
    </row>
    <row r="25788" spans="1:4" x14ac:dyDescent="0.25">
      <c r="A25788" t="str">
        <f>HYPERLINK("https://www.773grp.com/globalSearch/DP8570AV-NOPB/page-1", "DP8570AV-NOPB")</f>
        <v>DP8570AV-NOPB</v>
      </c>
      <c r="B25788" s="3" t="s">
        <v>90</v>
      </c>
      <c r="C25788" s="5">
        <v>14</v>
      </c>
      <c r="D25788" s="6">
        <v>49.84</v>
      </c>
    </row>
    <row r="25789" spans="1:4" x14ac:dyDescent="0.25">
      <c r="A25789" t="str">
        <f>HYPERLINK("https://www.773grp.com/globalSearch/SMJ61CD16LA-35FGM/page-1", "SMJ61CD16LA-35FGM")</f>
        <v>SMJ61CD16LA-35FGM</v>
      </c>
      <c r="B25789" s="3" t="s">
        <v>90</v>
      </c>
      <c r="C25789" s="5">
        <v>142</v>
      </c>
      <c r="D25789" s="6">
        <v>49.91</v>
      </c>
    </row>
    <row r="25790" spans="1:4" x14ac:dyDescent="0.25">
      <c r="A25790" t="str">
        <f>HYPERLINK("https://www.773grp.com/globalSearch/PAL16R6AMJB/page-1", "PAL16R6AMJB")</f>
        <v>PAL16R6AMJB</v>
      </c>
      <c r="B25790" s="3" t="s">
        <v>90</v>
      </c>
      <c r="C25790" s="5">
        <v>27</v>
      </c>
      <c r="D25790" s="6">
        <v>50</v>
      </c>
    </row>
    <row r="25791" spans="1:4" x14ac:dyDescent="0.25">
      <c r="A25791" t="str">
        <f>HYPERLINK("https://www.773grp.com/globalSearch/MSP430F2618TPMR-NM/page-1", "MSP430F2618TPMR-NM")</f>
        <v>MSP430F2618TPMR-NM</v>
      </c>
      <c r="B25791" s="3" t="s">
        <v>90</v>
      </c>
      <c r="C25791" s="5">
        <v>1000</v>
      </c>
      <c r="D25791" s="6">
        <v>50.06</v>
      </c>
    </row>
    <row r="25792" spans="1:4" x14ac:dyDescent="0.25">
      <c r="A25792" t="str">
        <f>HYPERLINK("https://www.773grp.com/globalSearch/TMS320F2811PBKQ/page-1", "TMS320F2811PBKQ")</f>
        <v>TMS320F2811PBKQ</v>
      </c>
      <c r="B25792" s="3" t="s">
        <v>90</v>
      </c>
      <c r="C25792" s="5">
        <v>90</v>
      </c>
      <c r="D25792" s="6">
        <v>50.06</v>
      </c>
    </row>
    <row r="25793" spans="1:4" x14ac:dyDescent="0.25">
      <c r="A25793" t="str">
        <f>HYPERLINK("https://www.773grp.com/globalSearch/PAL16R4AMJB/page-1", "PAL16R4AMJB")</f>
        <v>PAL16R4AMJB</v>
      </c>
      <c r="B25793" s="3" t="s">
        <v>90</v>
      </c>
      <c r="C25793" s="5">
        <v>19</v>
      </c>
      <c r="D25793" s="6">
        <v>50.09</v>
      </c>
    </row>
    <row r="25794" spans="1:4" x14ac:dyDescent="0.25">
      <c r="A25794" t="str">
        <f>HYPERLINK("https://www.773grp.com/globalSearch/SN104657PDV/page-1", "SN104657PDV")</f>
        <v>SN104657PDV</v>
      </c>
      <c r="B25794" s="3" t="s">
        <v>90</v>
      </c>
      <c r="C25794" s="5">
        <v>1152</v>
      </c>
      <c r="D25794" s="6">
        <v>50.2</v>
      </c>
    </row>
    <row r="25795" spans="1:4" x14ac:dyDescent="0.25">
      <c r="A25795" t="str">
        <f>HYPERLINK("https://www.773grp.com/globalSearch/SNJ95160BJ/page-1", "SNJ95160BJ")</f>
        <v>SNJ95160BJ</v>
      </c>
      <c r="B25795" s="3" t="s">
        <v>90</v>
      </c>
      <c r="C25795" s="5">
        <v>983</v>
      </c>
      <c r="D25795" s="6">
        <v>50.33</v>
      </c>
    </row>
    <row r="25796" spans="1:4" x14ac:dyDescent="0.25">
      <c r="A25796" t="str">
        <f>HYPERLINK("https://www.773grp.com/globalSearch/SNJ95161BJ/page-1", "SNJ95161BJ")</f>
        <v>SNJ95161BJ</v>
      </c>
      <c r="B25796" s="3" t="s">
        <v>90</v>
      </c>
      <c r="C25796" s="5">
        <v>786</v>
      </c>
      <c r="D25796" s="6">
        <v>50.33</v>
      </c>
    </row>
    <row r="25797" spans="1:4" x14ac:dyDescent="0.25">
      <c r="A25797" t="str">
        <f>HYPERLINK("https://www.773grp.com/globalSearch/TMS320VC5410APGE16/page-1", "TMS320VC5410APGE16")</f>
        <v>TMS320VC5410APGE16</v>
      </c>
      <c r="B25797" s="3" t="s">
        <v>90</v>
      </c>
      <c r="C25797" s="5">
        <v>41</v>
      </c>
      <c r="D25797" s="6">
        <v>50.4</v>
      </c>
    </row>
    <row r="25798" spans="1:4" x14ac:dyDescent="0.25">
      <c r="A25798" t="str">
        <f>HYPERLINK("https://www.773grp.com/globalSearch/OMAPL138BZWTA3R/page-1", "OMAPL138BZWTA3R")</f>
        <v>OMAPL138BZWTA3R</v>
      </c>
      <c r="B25798" s="3" t="s">
        <v>90</v>
      </c>
      <c r="C25798" s="5">
        <v>119</v>
      </c>
      <c r="D25798" s="6">
        <v>50.46</v>
      </c>
    </row>
    <row r="25799" spans="1:4" x14ac:dyDescent="0.25">
      <c r="A25799" t="str">
        <f>HYPERLINK("https://www.773grp.com/globalSearch/OMAPL138BZCEML/page-1", "OMAPL138BZCEML")</f>
        <v>OMAPL138BZCEML</v>
      </c>
      <c r="B25799" s="3" t="s">
        <v>90</v>
      </c>
      <c r="C25799" s="5">
        <v>264</v>
      </c>
      <c r="D25799" s="6">
        <v>50.49</v>
      </c>
    </row>
    <row r="25800" spans="1:4" x14ac:dyDescent="0.25">
      <c r="A25800" t="str">
        <f>HYPERLINK("https://www.773grp.com/globalSearch/ADS5232IPAGG4/page-1", "ADS5232IPAGG4")</f>
        <v>ADS5232IPAGG4</v>
      </c>
      <c r="B25800" s="3" t="s">
        <v>90</v>
      </c>
      <c r="C25800" s="5">
        <v>7</v>
      </c>
      <c r="D25800" s="6">
        <v>50.63</v>
      </c>
    </row>
    <row r="25801" spans="1:4" x14ac:dyDescent="0.25">
      <c r="A25801" t="str">
        <f>HYPERLINK("https://www.773grp.com/globalSearch/JM38510-65308B2A/page-1", "JM38510-65308B2A")</f>
        <v>JM38510-65308B2A</v>
      </c>
      <c r="B25801" s="3" t="s">
        <v>90</v>
      </c>
      <c r="C25801" s="5">
        <v>129</v>
      </c>
      <c r="D25801" s="6">
        <v>50.63</v>
      </c>
    </row>
    <row r="25802" spans="1:4" x14ac:dyDescent="0.25">
      <c r="A25802" t="str">
        <f>HYPERLINK("https://www.773grp.com/globalSearch/SN74V283PZAEP/page-1", "SN74V283PZAEP")</f>
        <v>SN74V283PZAEP</v>
      </c>
      <c r="B25802" s="3" t="s">
        <v>90</v>
      </c>
      <c r="C25802" s="5">
        <v>18</v>
      </c>
      <c r="D25802" s="6">
        <v>50.63</v>
      </c>
    </row>
    <row r="25803" spans="1:4" x14ac:dyDescent="0.25">
      <c r="A25803" t="str">
        <f>HYPERLINK("https://www.773grp.com/globalSearch/TMX320VC549GGU100/page-1", "TMX320VC549GGU100")</f>
        <v>TMX320VC549GGU100</v>
      </c>
      <c r="B25803" s="3" t="s">
        <v>90</v>
      </c>
      <c r="C25803" s="5">
        <v>264</v>
      </c>
      <c r="D25803" s="6">
        <v>50.63</v>
      </c>
    </row>
    <row r="25804" spans="1:4" x14ac:dyDescent="0.25">
      <c r="A25804" t="str">
        <f>HYPERLINK("https://www.773grp.com/globalSearch/ADS2807Y/page-1", "ADS2807Y")</f>
        <v>ADS2807Y</v>
      </c>
      <c r="B25804" s="3" t="s">
        <v>90</v>
      </c>
      <c r="C25804" s="5">
        <v>459</v>
      </c>
      <c r="D25804" s="6">
        <v>50.76</v>
      </c>
    </row>
    <row r="25805" spans="1:4" x14ac:dyDescent="0.25">
      <c r="A25805" t="str">
        <f>HYPERLINK("https://www.773grp.com/globalSearch/JM38510-32702BDA/page-1", "JM38510-32702BDA")</f>
        <v>JM38510-32702BDA</v>
      </c>
      <c r="B25805" s="3" t="s">
        <v>90</v>
      </c>
      <c r="C25805" s="5">
        <v>21</v>
      </c>
      <c r="D25805" s="6">
        <v>50.76</v>
      </c>
    </row>
    <row r="25806" spans="1:4" x14ac:dyDescent="0.25">
      <c r="A25806" t="str">
        <f>HYPERLINK("https://www.773grp.com/globalSearch/TLE2071AMFKB/page-1", "TLE2071AMFKB")</f>
        <v>TLE2071AMFKB</v>
      </c>
      <c r="B25806" s="3" t="s">
        <v>90</v>
      </c>
      <c r="C25806" s="5">
        <v>138</v>
      </c>
      <c r="D25806" s="6">
        <v>50.88</v>
      </c>
    </row>
    <row r="25807" spans="1:4" x14ac:dyDescent="0.25">
      <c r="A25807" t="str">
        <f>HYPERLINK("https://www.773grp.com/globalSearch/5962-9450901XA/page-1", "5962-9450901XA")</f>
        <v>5962-9450901XA</v>
      </c>
      <c r="B25807" s="3" t="s">
        <v>90</v>
      </c>
      <c r="C25807" s="5">
        <v>30</v>
      </c>
      <c r="D25807" s="6">
        <v>50.91</v>
      </c>
    </row>
    <row r="25808" spans="1:4" x14ac:dyDescent="0.25">
      <c r="A25808" t="str">
        <f>HYPERLINK("https://www.773grp.com/globalSearch/ADS8364Y-2K/page-1", "ADS8364Y-2K")</f>
        <v>ADS8364Y-2K</v>
      </c>
      <c r="B25808" s="3" t="s">
        <v>90</v>
      </c>
      <c r="C25808" s="5">
        <v>840</v>
      </c>
      <c r="D25808" s="6">
        <v>50.91</v>
      </c>
    </row>
    <row r="25809" spans="1:4" x14ac:dyDescent="0.25">
      <c r="A25809" t="str">
        <f>HYPERLINK("https://www.773grp.com/globalSearch/OMAPL137BZKBA3/page-1", "OMAPL137BZKBA3")</f>
        <v>OMAPL137BZKBA3</v>
      </c>
      <c r="B25809" s="3" t="s">
        <v>90</v>
      </c>
      <c r="C25809" s="5">
        <v>775</v>
      </c>
      <c r="D25809" s="6">
        <v>50.91</v>
      </c>
    </row>
    <row r="25810" spans="1:4" x14ac:dyDescent="0.25">
      <c r="A25810" t="str">
        <f>HYPERLINK("https://www.773grp.com/globalSearch/OMAPL137BZKBT3/page-1", "OMAPL137BZKBT3")</f>
        <v>OMAPL137BZKBT3</v>
      </c>
      <c r="B25810" s="3" t="s">
        <v>90</v>
      </c>
      <c r="C25810" s="5">
        <v>1</v>
      </c>
      <c r="D25810" s="6">
        <v>50.91</v>
      </c>
    </row>
    <row r="25811" spans="1:4" x14ac:dyDescent="0.25">
      <c r="A25811" t="str">
        <f>HYPERLINK("https://www.773grp.com/globalSearch/PT6342A2/page-1", "PT6342A2")</f>
        <v>PT6342A2</v>
      </c>
      <c r="B25811" s="3" t="s">
        <v>90</v>
      </c>
      <c r="C25811" s="5">
        <v>378</v>
      </c>
      <c r="D25811" s="6">
        <v>50.91</v>
      </c>
    </row>
    <row r="25812" spans="1:4" x14ac:dyDescent="0.25">
      <c r="A25812" t="str">
        <f>HYPERLINK("https://www.773grp.com/globalSearch/PT6345A2/page-1", "PT6345A2")</f>
        <v>PT6345A2</v>
      </c>
      <c r="B25812" s="3" t="s">
        <v>90</v>
      </c>
      <c r="C25812" s="5">
        <v>315</v>
      </c>
      <c r="D25812" s="6">
        <v>50.91</v>
      </c>
    </row>
    <row r="25813" spans="1:4" x14ac:dyDescent="0.25">
      <c r="A25813" t="str">
        <f>HYPERLINK("https://www.773grp.com/globalSearch/TMS320F28335ZJZQ/page-1", "TMS320F28335ZJZQ")</f>
        <v>TMS320F28335ZJZQ</v>
      </c>
      <c r="B25813" s="3" t="s">
        <v>90</v>
      </c>
      <c r="C25813" s="5">
        <v>252</v>
      </c>
      <c r="D25813" s="6">
        <v>50.91</v>
      </c>
    </row>
    <row r="25814" spans="1:4" x14ac:dyDescent="0.25">
      <c r="A25814" t="str">
        <f>HYPERLINK("https://www.773grp.com/globalSearch/PTH03020WAS/page-1", "PTH03020WAS")</f>
        <v>PTH03020WAS</v>
      </c>
      <c r="B25814" s="3" t="s">
        <v>90</v>
      </c>
      <c r="C25814" s="5">
        <v>20</v>
      </c>
      <c r="D25814" s="6">
        <v>51.05</v>
      </c>
    </row>
    <row r="25815" spans="1:4" x14ac:dyDescent="0.25">
      <c r="A25815" t="str">
        <f>HYPERLINK("https://www.773grp.com/globalSearch/PTH05020WAD/page-1", "PTH05020WAD")</f>
        <v>PTH05020WAD</v>
      </c>
      <c r="B25815" s="3" t="s">
        <v>90</v>
      </c>
      <c r="C25815" s="5">
        <v>4</v>
      </c>
      <c r="D25815" s="6">
        <v>51.05</v>
      </c>
    </row>
    <row r="25816" spans="1:4" x14ac:dyDescent="0.25">
      <c r="A25816" t="str">
        <f>HYPERLINK("https://www.773grp.com/globalSearch/PTH12020WAH/page-1", "PTH12020WAH")</f>
        <v>PTH12020WAH</v>
      </c>
      <c r="B25816" s="3" t="s">
        <v>90</v>
      </c>
      <c r="C25816" s="5">
        <v>220</v>
      </c>
      <c r="D25816" s="6">
        <v>51.05</v>
      </c>
    </row>
    <row r="25817" spans="1:4" x14ac:dyDescent="0.25">
      <c r="A25817" t="str">
        <f>HYPERLINK("https://www.773grp.com/globalSearch/TMS320DM365ZCE30/page-1", "TMS320DM365ZCE30")</f>
        <v>TMS320DM365ZCE30</v>
      </c>
      <c r="B25817" s="3" t="s">
        <v>90</v>
      </c>
      <c r="C25817" s="5">
        <v>471</v>
      </c>
      <c r="D25817" s="6">
        <v>51.05</v>
      </c>
    </row>
    <row r="25818" spans="1:4" x14ac:dyDescent="0.25">
      <c r="A25818" t="str">
        <f>HYPERLINK("https://www.773grp.com/globalSearch/JM38510-31512BFA/page-1", "JM38510-31512BFA")</f>
        <v>JM38510-31512BFA</v>
      </c>
      <c r="B25818" s="3" t="s">
        <v>90</v>
      </c>
      <c r="C25818" s="5">
        <v>74</v>
      </c>
      <c r="D25818" s="6">
        <v>51.08</v>
      </c>
    </row>
    <row r="25819" spans="1:4" x14ac:dyDescent="0.25">
      <c r="A25819" t="str">
        <f>HYPERLINK("https://www.773grp.com/globalSearch/PTMA401120A1AZ/page-1", "PTMA401120A1AZ")</f>
        <v>PTMA401120A1AZ</v>
      </c>
      <c r="B25819" s="3" t="s">
        <v>90</v>
      </c>
      <c r="C25819" s="5">
        <v>420</v>
      </c>
      <c r="D25819" s="6">
        <v>51.19</v>
      </c>
    </row>
    <row r="25820" spans="1:4" x14ac:dyDescent="0.25">
      <c r="A25820" t="str">
        <f>HYPERLINK("https://www.773grp.com/globalSearch/ADS774JU-1K/page-1", "ADS774JU-1K")</f>
        <v>ADS774JU-1K</v>
      </c>
      <c r="B25820" s="3" t="s">
        <v>90</v>
      </c>
      <c r="C25820" s="5">
        <v>1000</v>
      </c>
      <c r="D25820" s="6">
        <v>51.34</v>
      </c>
    </row>
    <row r="25821" spans="1:4" x14ac:dyDescent="0.25">
      <c r="A25821" t="str">
        <f>HYPERLINK("https://www.773grp.com/globalSearch/LM98519VHB-NOPB/page-1", "LM98519VHB-NOPB")</f>
        <v>LM98519VHB-NOPB</v>
      </c>
      <c r="B25821" s="3" t="s">
        <v>90</v>
      </c>
      <c r="C25821" s="5">
        <v>148</v>
      </c>
      <c r="D25821" s="6">
        <v>51.48</v>
      </c>
    </row>
    <row r="25822" spans="1:4" x14ac:dyDescent="0.25">
      <c r="A25822" t="str">
        <f>HYPERLINK("https://www.773grp.com/globalSearch/PCI1250AGFNR/page-1", "PCI1250AGFNR")</f>
        <v>PCI1250AGFNR</v>
      </c>
      <c r="B25822" s="3" t="s">
        <v>90</v>
      </c>
      <c r="C25822" s="5">
        <v>131500</v>
      </c>
      <c r="D25822" s="6">
        <v>51.48</v>
      </c>
    </row>
    <row r="25823" spans="1:4" x14ac:dyDescent="0.25">
      <c r="A25823" t="str">
        <f>HYPERLINK("https://www.773grp.com/globalSearch/PTH03020WAZT/page-1", "PTH03020WAZT")</f>
        <v>PTH03020WAZT</v>
      </c>
      <c r="B25823" s="3" t="s">
        <v>90</v>
      </c>
      <c r="C25823" s="5">
        <v>8400</v>
      </c>
      <c r="D25823" s="6">
        <v>51.48</v>
      </c>
    </row>
    <row r="25824" spans="1:4" x14ac:dyDescent="0.25">
      <c r="A25824" t="str">
        <f>HYPERLINK("https://www.773grp.com/globalSearch/38510-38302B2A/page-1", "38510-38302B2A")</f>
        <v>38510-38302B2A</v>
      </c>
      <c r="B25824" s="3" t="s">
        <v>90</v>
      </c>
      <c r="C25824" s="5">
        <v>63</v>
      </c>
      <c r="D25824" s="6">
        <v>51.59</v>
      </c>
    </row>
    <row r="25825" spans="1:4" x14ac:dyDescent="0.25">
      <c r="A25825" t="str">
        <f>HYPERLINK("https://www.773grp.com/globalSearch/TMS320AV7100APGW/page-1", "TMS320AV7100APGW")</f>
        <v>TMS320AV7100APGW</v>
      </c>
      <c r="B25825" s="3" t="s">
        <v>90</v>
      </c>
      <c r="C25825" s="5">
        <v>10402</v>
      </c>
      <c r="D25825" s="6">
        <v>51.75</v>
      </c>
    </row>
    <row r="25826" spans="1:4" x14ac:dyDescent="0.25">
      <c r="A25826" t="str">
        <f>HYPERLINK("https://www.773grp.com/globalSearch/S5LS10116ASPGEQQ1/page-1", "S5LS10116ASPGEQQ1")</f>
        <v>S5LS10116ASPGEQQ1</v>
      </c>
      <c r="B25826" s="3" t="s">
        <v>90</v>
      </c>
      <c r="C25826" s="5">
        <v>60</v>
      </c>
      <c r="D25826" s="6">
        <v>51.84</v>
      </c>
    </row>
    <row r="25827" spans="1:4" x14ac:dyDescent="0.25">
      <c r="A25827" t="str">
        <f>HYPERLINK("https://www.773grp.com/globalSearch/DAC1280IPWR/page-1", "DAC1280IPWR")</f>
        <v>DAC1280IPWR</v>
      </c>
      <c r="B25827" s="3" t="s">
        <v>90</v>
      </c>
      <c r="C25827" s="5">
        <v>3873</v>
      </c>
      <c r="D25827" s="6">
        <v>51.89</v>
      </c>
    </row>
    <row r="25828" spans="1:4" x14ac:dyDescent="0.25">
      <c r="A25828" t="str">
        <f>HYPERLINK("https://www.773grp.com/globalSearch/SNJ54ALS569AFK/page-1", "SNJ54ALS569AFK")</f>
        <v>SNJ54ALS569AFK</v>
      </c>
      <c r="B25828" s="3" t="s">
        <v>90</v>
      </c>
      <c r="C25828" s="5">
        <v>295</v>
      </c>
      <c r="D25828" s="6">
        <v>51.94</v>
      </c>
    </row>
    <row r="25829" spans="1:4" x14ac:dyDescent="0.25">
      <c r="A25829" t="str">
        <f>HYPERLINK("https://www.773grp.com/globalSearch/RI-TRP-W9TD-30/page-1", "RI-TRP-W9TD-30")</f>
        <v>RI-TRP-W9TD-30</v>
      </c>
      <c r="B25829" s="3" t="s">
        <v>90</v>
      </c>
      <c r="C25829" s="5">
        <v>70</v>
      </c>
      <c r="D25829" s="6">
        <v>52.01</v>
      </c>
    </row>
    <row r="25830" spans="1:4" x14ac:dyDescent="0.25">
      <c r="A25830" t="str">
        <f>HYPERLINK("https://www.773grp.com/globalSearch/5962-8751701/page-1", "5962-8751701")</f>
        <v>5962-8751701</v>
      </c>
      <c r="B25830" s="3" t="s">
        <v>90</v>
      </c>
      <c r="C25830" s="5">
        <v>661</v>
      </c>
      <c r="D25830" s="6">
        <v>52.03</v>
      </c>
    </row>
    <row r="25831" spans="1:4" x14ac:dyDescent="0.25">
      <c r="A25831" t="str">
        <f>HYPERLINK("https://www.773grp.com/globalSearch/85506012A/page-1", "85506012A")</f>
        <v>85506012A</v>
      </c>
      <c r="B25831" s="3" t="s">
        <v>90</v>
      </c>
      <c r="C25831" s="5">
        <v>44</v>
      </c>
      <c r="D25831" s="6">
        <v>52.06</v>
      </c>
    </row>
    <row r="25832" spans="1:4" x14ac:dyDescent="0.25">
      <c r="A25832" t="str">
        <f>HYPERLINK("https://www.773grp.com/globalSearch/TLC2202AMKB/page-1", "TLC2202AMKB")</f>
        <v>TLC2202AMKB</v>
      </c>
      <c r="B25832" s="3" t="s">
        <v>90</v>
      </c>
      <c r="C25832" s="5">
        <v>6</v>
      </c>
      <c r="D25832" s="6">
        <v>52.15</v>
      </c>
    </row>
    <row r="25833" spans="1:4" x14ac:dyDescent="0.25">
      <c r="A25833" t="str">
        <f>HYPERLINK("https://www.773grp.com/globalSearch/AM3703CBCD100/page-1", "AM3703CBCD100")</f>
        <v>AM3703CBCD100</v>
      </c>
      <c r="B25833" s="3" t="s">
        <v>90</v>
      </c>
      <c r="C25833" s="5">
        <v>119</v>
      </c>
      <c r="D25833" s="6">
        <v>52.31</v>
      </c>
    </row>
    <row r="25834" spans="1:4" x14ac:dyDescent="0.25">
      <c r="A25834" t="str">
        <f>HYPERLINK("https://www.773grp.com/globalSearch/AM3703CBPD100/page-1", "AM3703CBPD100")</f>
        <v>AM3703CBPD100</v>
      </c>
      <c r="B25834" s="3" t="s">
        <v>90</v>
      </c>
      <c r="C25834" s="5">
        <v>138</v>
      </c>
      <c r="D25834" s="6">
        <v>52.31</v>
      </c>
    </row>
    <row r="25835" spans="1:4" x14ac:dyDescent="0.25">
      <c r="A25835" t="str">
        <f>HYPERLINK("https://www.773grp.com/globalSearch/PTMA401120A2AS/page-1", "PTMA401120A2AS")</f>
        <v>PTMA401120A2AS</v>
      </c>
      <c r="B25835" s="3" t="s">
        <v>90</v>
      </c>
      <c r="C25835" s="5">
        <v>30</v>
      </c>
      <c r="D25835" s="6">
        <v>52.6</v>
      </c>
    </row>
    <row r="25836" spans="1:4" x14ac:dyDescent="0.25">
      <c r="A25836" t="str">
        <f>HYPERLINK("https://www.773grp.com/globalSearch/PTMA402050A2AD/page-1", "PTMA402050A2AD")</f>
        <v>PTMA402050A2AD</v>
      </c>
      <c r="B25836" s="3" t="s">
        <v>90</v>
      </c>
      <c r="C25836" s="5">
        <v>143</v>
      </c>
      <c r="D25836" s="6">
        <v>52.6</v>
      </c>
    </row>
    <row r="25837" spans="1:4" x14ac:dyDescent="0.25">
      <c r="A25837" t="str">
        <f>HYPERLINK("https://www.773grp.com/globalSearch/TMS320DM6435ZDUQ5/page-1", "TMS320DM6435ZDUQ5")</f>
        <v>TMS320DM6435ZDUQ5</v>
      </c>
      <c r="B25837" s="3" t="s">
        <v>90</v>
      </c>
      <c r="C25837" s="5">
        <v>764</v>
      </c>
      <c r="D25837" s="6">
        <v>52.6</v>
      </c>
    </row>
    <row r="25838" spans="1:4" x14ac:dyDescent="0.25">
      <c r="A25838" t="str">
        <f>HYPERLINK("https://www.773grp.com/globalSearch/TLE2021AMLB/page-1", "TLE2021AMLB")</f>
        <v>TLE2021AMLB</v>
      </c>
      <c r="B25838" s="3" t="s">
        <v>90</v>
      </c>
      <c r="C25838" s="5">
        <v>484</v>
      </c>
      <c r="D25838" s="6">
        <v>52.74</v>
      </c>
    </row>
    <row r="25839" spans="1:4" x14ac:dyDescent="0.25">
      <c r="A25839" t="str">
        <f>HYPERLINK("https://www.773grp.com/globalSearch/TMS320VC5510AZGWA1/page-1", "TMS320VC5510AZGWA1")</f>
        <v>TMS320VC5510AZGWA1</v>
      </c>
      <c r="B25839" s="3" t="s">
        <v>90</v>
      </c>
      <c r="C25839" s="5">
        <v>27</v>
      </c>
      <c r="D25839" s="6">
        <v>53.04</v>
      </c>
    </row>
    <row r="25840" spans="1:4" x14ac:dyDescent="0.25">
      <c r="A25840" t="str">
        <f>HYPERLINK("https://www.773grp.com/globalSearch/SMJ61CD64L-45JDM/page-1", "SMJ61CD64L-45JDM")</f>
        <v>SMJ61CD64L-45JDM</v>
      </c>
      <c r="B25840" s="3" t="s">
        <v>90</v>
      </c>
      <c r="C25840" s="5">
        <v>1725</v>
      </c>
      <c r="D25840" s="6">
        <v>53.29</v>
      </c>
    </row>
    <row r="25841" spans="1:4" x14ac:dyDescent="0.25">
      <c r="A25841" t="str">
        <f>HYPERLINK("https://www.773grp.com/globalSearch/SN54L95W/page-1", "SN54L95W")</f>
        <v>SN54L95W</v>
      </c>
      <c r="B25841" s="3" t="s">
        <v>90</v>
      </c>
      <c r="C25841" s="5">
        <v>211</v>
      </c>
      <c r="D25841" s="6">
        <v>53.29</v>
      </c>
    </row>
    <row r="25842" spans="1:4" x14ac:dyDescent="0.25">
      <c r="A25842" t="str">
        <f>HYPERLINK("https://www.773grp.com/globalSearch/TRF1212IRGZR/page-1", "TRF1212IRGZR")</f>
        <v>TRF1212IRGZR</v>
      </c>
      <c r="B25842" s="3" t="s">
        <v>90</v>
      </c>
      <c r="C25842" s="5">
        <v>37500</v>
      </c>
      <c r="D25842" s="6">
        <v>53.29</v>
      </c>
    </row>
    <row r="25843" spans="1:4" x14ac:dyDescent="0.25">
      <c r="A25843" t="str">
        <f>HYPERLINK("https://www.773grp.com/globalSearch/430BOOST-CC110L/page-1", "430BOOST-CC110L")</f>
        <v>430BOOST-CC110L</v>
      </c>
      <c r="B25843" s="3" t="s">
        <v>90</v>
      </c>
      <c r="C25843" s="5">
        <v>104</v>
      </c>
      <c r="D25843" s="6">
        <v>53.44</v>
      </c>
    </row>
    <row r="25844" spans="1:4" x14ac:dyDescent="0.25">
      <c r="A25844" t="str">
        <f>HYPERLINK("https://www.773grp.com/globalSearch/5962-9061601LA/page-1", "5962-9061601LA")</f>
        <v>5962-9061601LA</v>
      </c>
      <c r="B25844" s="3" t="s">
        <v>90</v>
      </c>
      <c r="C25844" s="5">
        <v>15</v>
      </c>
      <c r="D25844" s="6">
        <v>53.44</v>
      </c>
    </row>
    <row r="25845" spans="1:4" x14ac:dyDescent="0.25">
      <c r="A25845" t="str">
        <f>HYPERLINK("https://www.773grp.com/globalSearch/JVA00341W/page-1", "JVA00341W")</f>
        <v>JVA00341W</v>
      </c>
      <c r="B25845" s="3" t="s">
        <v>90</v>
      </c>
      <c r="C25845" s="5">
        <v>911</v>
      </c>
      <c r="D25845" s="6">
        <v>53.44</v>
      </c>
    </row>
    <row r="25846" spans="1:4" x14ac:dyDescent="0.25">
      <c r="A25846" t="str">
        <f>HYPERLINK("https://www.773grp.com/globalSearch/PWM8044CFN/page-1", "PWM8044CFN")</f>
        <v>PWM8044CFN</v>
      </c>
      <c r="B25846" s="3" t="s">
        <v>90</v>
      </c>
      <c r="C25846" s="5">
        <v>124</v>
      </c>
      <c r="D25846" s="6">
        <v>53.44</v>
      </c>
    </row>
    <row r="25847" spans="1:4" x14ac:dyDescent="0.25">
      <c r="A25847" t="str">
        <f>HYPERLINK("https://www.773grp.com/globalSearch/TMS4030JL/page-1", "TMS4030JL")</f>
        <v>TMS4030JL</v>
      </c>
      <c r="B25847" s="3" t="s">
        <v>90</v>
      </c>
      <c r="C25847" s="5">
        <v>109</v>
      </c>
      <c r="D25847" s="6">
        <v>53.44</v>
      </c>
    </row>
    <row r="25848" spans="1:4" x14ac:dyDescent="0.25">
      <c r="A25848" t="str">
        <f>HYPERLINK("https://www.773grp.com/globalSearch/TPS62260LED-338/page-1", "TPS62260LED-338")</f>
        <v>TPS62260LED-338</v>
      </c>
      <c r="B25848" s="3" t="s">
        <v>90</v>
      </c>
      <c r="C25848" s="5">
        <v>69</v>
      </c>
      <c r="D25848" s="6">
        <v>53.44</v>
      </c>
    </row>
    <row r="25849" spans="1:4" x14ac:dyDescent="0.25">
      <c r="A25849" t="str">
        <f>HYPERLINK("https://www.773grp.com/globalSearch/WM8044CFN/page-1", "WM8044CFN")</f>
        <v>WM8044CFN</v>
      </c>
      <c r="B25849" s="3" t="s">
        <v>90</v>
      </c>
      <c r="C25849" s="5">
        <v>2108</v>
      </c>
      <c r="D25849" s="6">
        <v>53.44</v>
      </c>
    </row>
    <row r="25850" spans="1:4" x14ac:dyDescent="0.25">
      <c r="A25850" t="str">
        <f>HYPERLINK("https://www.773grp.com/globalSearch/5962-8515501RA/page-1", "5962-8515501RA")</f>
        <v>5962-8515501RA</v>
      </c>
      <c r="B25850" s="3" t="s">
        <v>90</v>
      </c>
      <c r="C25850" s="5">
        <v>2</v>
      </c>
      <c r="D25850" s="6">
        <v>53.5</v>
      </c>
    </row>
    <row r="25851" spans="1:4" x14ac:dyDescent="0.25">
      <c r="A25851" t="str">
        <f>HYPERLINK("https://www.773grp.com/globalSearch/SN74ACT7204L15RJR/page-1", "SN74ACT7204L15RJR")</f>
        <v>SN74ACT7204L15RJR</v>
      </c>
      <c r="B25851" s="3" t="s">
        <v>90</v>
      </c>
      <c r="C25851" s="5">
        <v>1500</v>
      </c>
      <c r="D25851" s="6">
        <v>53.5</v>
      </c>
    </row>
    <row r="25852" spans="1:4" x14ac:dyDescent="0.25">
      <c r="A25852" t="str">
        <f>HYPERLINK("https://www.773grp.com/globalSearch/ADS8405IPFBTG4/page-1", "ADS8405IPFBTG4")</f>
        <v>ADS8405IPFBTG4</v>
      </c>
      <c r="B25852" s="3" t="s">
        <v>90</v>
      </c>
      <c r="C25852" s="5">
        <v>180</v>
      </c>
      <c r="D25852" s="6">
        <v>53.86</v>
      </c>
    </row>
    <row r="25853" spans="1:4" x14ac:dyDescent="0.25">
      <c r="A25853" t="str">
        <f>HYPERLINK("https://www.773grp.com/globalSearch/PTMA401120A3AD/page-1", "PTMA401120A3AD")</f>
        <v>PTMA401120A3AD</v>
      </c>
      <c r="B25853" s="3" t="s">
        <v>90</v>
      </c>
      <c r="C25853" s="5">
        <v>210</v>
      </c>
      <c r="D25853" s="6">
        <v>54</v>
      </c>
    </row>
    <row r="25854" spans="1:4" x14ac:dyDescent="0.25">
      <c r="A25854" t="str">
        <f>HYPERLINK("https://www.773grp.com/globalSearch/PTMA401120N2AZT/page-1", "PTMA401120N2AZT")</f>
        <v>PTMA401120N2AZT</v>
      </c>
      <c r="B25854" s="3" t="s">
        <v>90</v>
      </c>
      <c r="C25854" s="5">
        <v>250</v>
      </c>
      <c r="D25854" s="6">
        <v>54</v>
      </c>
    </row>
    <row r="25855" spans="1:4" x14ac:dyDescent="0.25">
      <c r="A25855" t="str">
        <f>HYPERLINK("https://www.773grp.com/globalSearch/TMS38021NL/page-1", "TMS38021NL")</f>
        <v>TMS38021NL</v>
      </c>
      <c r="B25855" s="3" t="s">
        <v>90</v>
      </c>
      <c r="C25855" s="5">
        <v>970</v>
      </c>
      <c r="D25855" s="6">
        <v>54</v>
      </c>
    </row>
    <row r="25856" spans="1:4" x14ac:dyDescent="0.25">
      <c r="A25856" t="str">
        <f>HYPERLINK("https://www.773grp.com/globalSearch/TVP5021PFP/page-1", "TVP5021PFP")</f>
        <v>TVP5021PFP</v>
      </c>
      <c r="B25856" s="3" t="s">
        <v>90</v>
      </c>
      <c r="C25856" s="5">
        <v>642</v>
      </c>
      <c r="D25856" s="6">
        <v>54</v>
      </c>
    </row>
    <row r="25857" spans="1:4" x14ac:dyDescent="0.25">
      <c r="A25857" t="str">
        <f>HYPERLINK("https://www.773grp.com/globalSearch/ADS850Y-2K/page-1", "ADS850Y-2K")</f>
        <v>ADS850Y-2K</v>
      </c>
      <c r="B25857" s="3" t="s">
        <v>90</v>
      </c>
      <c r="C25857" s="5">
        <v>2000</v>
      </c>
      <c r="D25857" s="6">
        <v>54.25</v>
      </c>
    </row>
    <row r="25858" spans="1:4" x14ac:dyDescent="0.25">
      <c r="A25858" t="str">
        <f>HYPERLINK("https://www.773grp.com/globalSearch/ADS1296RIZXGT/page-1", "ADS1296RIZXGT")</f>
        <v>ADS1296RIZXGT</v>
      </c>
      <c r="B25858" s="3" t="s">
        <v>90</v>
      </c>
      <c r="C25858" s="5">
        <v>494</v>
      </c>
      <c r="D25858" s="6">
        <v>54.71</v>
      </c>
    </row>
    <row r="25859" spans="1:4" x14ac:dyDescent="0.25">
      <c r="A25859" t="str">
        <f>HYPERLINK("https://www.773grp.com/globalSearch/2S102A/page-1", "2S102A")</f>
        <v>2S102A</v>
      </c>
      <c r="B25859" s="3" t="s">
        <v>90</v>
      </c>
      <c r="C25859" s="5">
        <v>119</v>
      </c>
      <c r="D25859" s="6">
        <v>54.73</v>
      </c>
    </row>
    <row r="25860" spans="1:4" x14ac:dyDescent="0.25">
      <c r="A25860" t="str">
        <f>HYPERLINK("https://www.773grp.com/globalSearch/78HT205TC/page-1", "78HT205TC")</f>
        <v>78HT205TC</v>
      </c>
      <c r="B25860" s="3" t="s">
        <v>90</v>
      </c>
      <c r="C25860" s="5">
        <v>18</v>
      </c>
      <c r="D25860" s="6">
        <v>54.73</v>
      </c>
    </row>
    <row r="25861" spans="1:4" x14ac:dyDescent="0.25">
      <c r="A25861" t="str">
        <f>HYPERLINK("https://www.773grp.com/globalSearch/78HT205VC/page-1", "78HT205VC")</f>
        <v>78HT205VC</v>
      </c>
      <c r="B25861" s="3" t="s">
        <v>90</v>
      </c>
      <c r="C25861" s="5">
        <v>104</v>
      </c>
      <c r="D25861" s="6">
        <v>54.73</v>
      </c>
    </row>
    <row r="25862" spans="1:4" x14ac:dyDescent="0.25">
      <c r="A25862" t="str">
        <f>HYPERLINK("https://www.773grp.com/globalSearch/AFE7222IRGCR/page-1", "AFE7222IRGCR")</f>
        <v>AFE7222IRGCR</v>
      </c>
      <c r="B25862" s="3" t="s">
        <v>90</v>
      </c>
      <c r="C25862" s="5">
        <v>4000</v>
      </c>
      <c r="D25862" s="6">
        <v>54.85</v>
      </c>
    </row>
    <row r="25863" spans="1:4" x14ac:dyDescent="0.25">
      <c r="A25863" t="str">
        <f>HYPERLINK("https://www.773grp.com/globalSearch/XRM46L852ZWTT/page-1", "XRM46L852ZWTT")</f>
        <v>XRM46L852ZWTT</v>
      </c>
      <c r="B25863" s="3" t="s">
        <v>90</v>
      </c>
      <c r="C25863" s="5">
        <v>135</v>
      </c>
      <c r="D25863" s="6">
        <v>54.9</v>
      </c>
    </row>
    <row r="25864" spans="1:4" x14ac:dyDescent="0.25">
      <c r="A25864" t="str">
        <f>HYPERLINK("https://www.773grp.com/globalSearch/S5LS20206ASPGEQQ1/page-1", "S5LS20206ASPGEQQ1")</f>
        <v>S5LS20206ASPGEQQ1</v>
      </c>
      <c r="B25864" s="3" t="s">
        <v>90</v>
      </c>
      <c r="C25864" s="5">
        <v>60</v>
      </c>
      <c r="D25864" s="6">
        <v>54.98</v>
      </c>
    </row>
    <row r="25865" spans="1:4" x14ac:dyDescent="0.25">
      <c r="A25865" t="str">
        <f>HYPERLINK("https://www.773grp.com/globalSearch/TMP320F240PQ/page-1", "TMP320F240PQ")</f>
        <v>TMP320F240PQ</v>
      </c>
      <c r="B25865" s="3" t="s">
        <v>90</v>
      </c>
      <c r="C25865" s="5">
        <v>1687</v>
      </c>
      <c r="D25865" s="6">
        <v>55.13</v>
      </c>
    </row>
    <row r="25866" spans="1:4" x14ac:dyDescent="0.25">
      <c r="A25866" t="str">
        <f>HYPERLINK("https://www.773grp.com/globalSearch/AM3715CUS/page-1", "AM3715CUS")</f>
        <v>AM3715CUS</v>
      </c>
      <c r="B25866" s="3" t="s">
        <v>90</v>
      </c>
      <c r="C25866" s="5">
        <v>14</v>
      </c>
      <c r="D25866" s="6">
        <v>55.4</v>
      </c>
    </row>
    <row r="25867" spans="1:4" x14ac:dyDescent="0.25">
      <c r="A25867" t="str">
        <f>HYPERLINK("https://www.773grp.com/globalSearch/ADS774JE/page-1", "ADS774JE")</f>
        <v>ADS774JE</v>
      </c>
      <c r="B25867" s="3" t="s">
        <v>90</v>
      </c>
      <c r="C25867" s="5">
        <v>650</v>
      </c>
      <c r="D25867" s="6">
        <v>55.55</v>
      </c>
    </row>
    <row r="25868" spans="1:4" x14ac:dyDescent="0.25">
      <c r="A25868" t="str">
        <f>HYPERLINK("https://www.773grp.com/globalSearch/TLC2274AMWB/page-1", "TLC2274AMWB")</f>
        <v>TLC2274AMWB</v>
      </c>
      <c r="B25868" s="3" t="s">
        <v>90</v>
      </c>
      <c r="C25868" s="5">
        <v>10</v>
      </c>
      <c r="D25868" s="6">
        <v>55.74</v>
      </c>
    </row>
    <row r="25869" spans="1:4" x14ac:dyDescent="0.25">
      <c r="A25869" t="str">
        <f>HYPERLINK("https://www.773grp.com/globalSearch/OPA637BP/page-1", "OPA637BP")</f>
        <v>OPA637BP</v>
      </c>
      <c r="B25869" s="3" t="s">
        <v>90</v>
      </c>
      <c r="C25869" s="5">
        <v>58</v>
      </c>
      <c r="D25869" s="6">
        <v>55.86</v>
      </c>
    </row>
    <row r="25870" spans="1:4" x14ac:dyDescent="0.25">
      <c r="A25870" t="str">
        <f>HYPERLINK("https://www.773grp.com/globalSearch/OPA698MJD/page-1", "OPA698MJD")</f>
        <v>OPA698MJD</v>
      </c>
      <c r="B25870" s="3" t="s">
        <v>90</v>
      </c>
      <c r="C25870" s="5">
        <v>21</v>
      </c>
      <c r="D25870" s="6">
        <v>55.98</v>
      </c>
    </row>
    <row r="25871" spans="1:4" x14ac:dyDescent="0.25">
      <c r="A25871" t="str">
        <f>HYPERLINK("https://www.773grp.com/globalSearch/8408501SA/page-1", "8408501SA")</f>
        <v>8408501SA</v>
      </c>
      <c r="B25871" s="3" t="s">
        <v>90</v>
      </c>
      <c r="C25871" s="5">
        <v>28</v>
      </c>
      <c r="D25871" s="6">
        <v>56.2</v>
      </c>
    </row>
    <row r="25872" spans="1:4" x14ac:dyDescent="0.25">
      <c r="A25872" t="str">
        <f>HYPERLINK("https://www.773grp.com/globalSearch/LM26EVAL-XPA/page-1", "LM26EVAL-XPA")</f>
        <v>LM26EVAL-XPA</v>
      </c>
      <c r="B25872" s="3" t="s">
        <v>90</v>
      </c>
      <c r="C25872" s="5">
        <v>2</v>
      </c>
      <c r="D25872" s="6">
        <v>56.25</v>
      </c>
    </row>
    <row r="25873" spans="1:4" x14ac:dyDescent="0.25">
      <c r="A25873" t="str">
        <f>HYPERLINK("https://www.773grp.com/globalSearch/LMH730220-NOPB/page-1", "LMH730220-NOPB")</f>
        <v>LMH730220-NOPB</v>
      </c>
      <c r="B25873" s="3" t="s">
        <v>90</v>
      </c>
      <c r="C25873" s="5">
        <v>5</v>
      </c>
      <c r="D25873" s="6">
        <v>56.25</v>
      </c>
    </row>
    <row r="25874" spans="1:4" x14ac:dyDescent="0.25">
      <c r="A25874" t="str">
        <f>HYPERLINK("https://www.773grp.com/globalSearch/LMR12010YMKDEMO-NOPB/page-1", "LMR12010YMKDEMO-NOPB")</f>
        <v>LMR12010YMKDEMO-NOPB</v>
      </c>
      <c r="B25874" s="3" t="s">
        <v>90</v>
      </c>
      <c r="C25874" s="5">
        <v>14</v>
      </c>
      <c r="D25874" s="6">
        <v>56.25</v>
      </c>
    </row>
    <row r="25875" spans="1:4" x14ac:dyDescent="0.25">
      <c r="A25875" t="str">
        <f>HYPERLINK("https://www.773grp.com/globalSearch/MDL-ADA2/page-1", "MDL-ADA2")</f>
        <v>MDL-ADA2</v>
      </c>
      <c r="B25875" s="3" t="s">
        <v>90</v>
      </c>
      <c r="C25875" s="5">
        <v>10</v>
      </c>
      <c r="D25875" s="6">
        <v>56.25</v>
      </c>
    </row>
    <row r="25876" spans="1:4" x14ac:dyDescent="0.25">
      <c r="A25876" t="str">
        <f>HYPERLINK("https://www.773grp.com/globalSearch/PADS8507IBDW/page-1", "PADS8507IBDW")</f>
        <v>PADS8507IBDW</v>
      </c>
      <c r="B25876" s="3" t="s">
        <v>90</v>
      </c>
      <c r="C25876" s="5">
        <v>283</v>
      </c>
      <c r="D25876" s="6">
        <v>56.25</v>
      </c>
    </row>
    <row r="25877" spans="1:4" x14ac:dyDescent="0.25">
      <c r="A25877" t="str">
        <f>HYPERLINK("https://www.773grp.com/globalSearch/SM320F28335GHHAEP/page-1", "SM320F28335GHHAEP")</f>
        <v>SM320F28335GHHAEP</v>
      </c>
      <c r="B25877" s="3" t="s">
        <v>90</v>
      </c>
      <c r="C25877" s="5">
        <v>247</v>
      </c>
      <c r="D25877" s="6">
        <v>56.25</v>
      </c>
    </row>
    <row r="25878" spans="1:4" x14ac:dyDescent="0.25">
      <c r="A25878" t="str">
        <f>HYPERLINK("https://www.773grp.com/globalSearch/TLK6002ZEU/page-1", "TLK6002ZEU")</f>
        <v>TLK6002ZEU</v>
      </c>
      <c r="B25878" s="3" t="s">
        <v>90</v>
      </c>
      <c r="C25878" s="5">
        <v>117</v>
      </c>
      <c r="D25878" s="6">
        <v>56.25</v>
      </c>
    </row>
    <row r="25879" spans="1:4" x14ac:dyDescent="0.25">
      <c r="A25879" t="str">
        <f>HYPERLINK("https://www.773grp.com/globalSearch/TLV70028EVM-463/page-1", "TLV70028EVM-463")</f>
        <v>TLV70028EVM-463</v>
      </c>
      <c r="B25879" s="3" t="s">
        <v>90</v>
      </c>
      <c r="C25879" s="5">
        <v>14</v>
      </c>
      <c r="D25879" s="6">
        <v>56.25</v>
      </c>
    </row>
    <row r="25880" spans="1:4" x14ac:dyDescent="0.25">
      <c r="A25880" t="str">
        <f>HYPERLINK("https://www.773grp.com/globalSearch/TLV70033EVM-503/page-1", "TLV70033EVM-503")</f>
        <v>TLV70033EVM-503</v>
      </c>
      <c r="B25880" s="3" t="s">
        <v>90</v>
      </c>
      <c r="C25880" s="5">
        <v>11</v>
      </c>
      <c r="D25880" s="6">
        <v>56.25</v>
      </c>
    </row>
    <row r="25881" spans="1:4" x14ac:dyDescent="0.25">
      <c r="A25881" t="str">
        <f>HYPERLINK("https://www.773grp.com/globalSearch/TLV70533EVM-596/page-1", "TLV70533EVM-596")</f>
        <v>TLV70533EVM-596</v>
      </c>
      <c r="B25881" s="3" t="s">
        <v>90</v>
      </c>
      <c r="C25881" s="5">
        <v>1</v>
      </c>
      <c r="D25881" s="6">
        <v>56.25</v>
      </c>
    </row>
    <row r="25882" spans="1:4" x14ac:dyDescent="0.25">
      <c r="A25882" t="str">
        <f>HYPERLINK("https://www.773grp.com/globalSearch/TLV7101828EVM-595/page-1", "TLV7101828EVM-595")</f>
        <v>TLV7101828EVM-595</v>
      </c>
      <c r="B25882" s="3" t="s">
        <v>90</v>
      </c>
      <c r="C25882" s="5">
        <v>2</v>
      </c>
      <c r="D25882" s="6">
        <v>56.25</v>
      </c>
    </row>
    <row r="25883" spans="1:4" x14ac:dyDescent="0.25">
      <c r="A25883" t="str">
        <f>HYPERLINK("https://www.773grp.com/globalSearch/TMS320AV7201GDS/page-1", "TMS320AV7201GDS")</f>
        <v>TMS320AV7201GDS</v>
      </c>
      <c r="B25883" s="3" t="s">
        <v>90</v>
      </c>
      <c r="C25883" s="5">
        <v>12294</v>
      </c>
      <c r="D25883" s="6">
        <v>56.25</v>
      </c>
    </row>
    <row r="25884" spans="1:4" x14ac:dyDescent="0.25">
      <c r="A25884" t="str">
        <f>HYPERLINK("https://www.773grp.com/globalSearch/TPS72715DSEEVM-406/page-1", "TPS72715DSEEVM-406")</f>
        <v>TPS72715DSEEVM-406</v>
      </c>
      <c r="B25884" s="3" t="s">
        <v>90</v>
      </c>
      <c r="C25884" s="5">
        <v>3</v>
      </c>
      <c r="D25884" s="6">
        <v>56.25</v>
      </c>
    </row>
    <row r="25885" spans="1:4" x14ac:dyDescent="0.25">
      <c r="A25885" t="str">
        <f>HYPERLINK("https://www.773grp.com/globalSearch/TPS72718DSEEVM-406/page-1", "TPS72718DSEEVM-406")</f>
        <v>TPS72718DSEEVM-406</v>
      </c>
      <c r="B25885" s="3" t="s">
        <v>90</v>
      </c>
      <c r="C25885" s="5">
        <v>5</v>
      </c>
      <c r="D25885" s="6">
        <v>56.25</v>
      </c>
    </row>
    <row r="25886" spans="1:4" x14ac:dyDescent="0.25">
      <c r="A25886" t="str">
        <f>HYPERLINK("https://www.773grp.com/globalSearch/TPS72728DSEEVM-406/page-1", "TPS72728DSEEVM-406")</f>
        <v>TPS72728DSEEVM-406</v>
      </c>
      <c r="B25886" s="3" t="s">
        <v>90</v>
      </c>
      <c r="C25886" s="5">
        <v>6</v>
      </c>
      <c r="D25886" s="6">
        <v>56.25</v>
      </c>
    </row>
    <row r="25887" spans="1:4" x14ac:dyDescent="0.25">
      <c r="A25887" t="str">
        <f>HYPERLINK("https://www.773grp.com/globalSearch/TPS73401DRVEVM-527/page-1", "TPS73401DRVEVM-527")</f>
        <v>TPS73401DRVEVM-527</v>
      </c>
      <c r="B25887" s="3" t="s">
        <v>90</v>
      </c>
      <c r="C25887" s="5">
        <v>6</v>
      </c>
      <c r="D25887" s="6">
        <v>56.25</v>
      </c>
    </row>
    <row r="25888" spans="1:4" x14ac:dyDescent="0.25">
      <c r="A25888" t="str">
        <f>HYPERLINK("https://www.773grp.com/globalSearch/TPS73501EVM-276/page-1", "TPS73501EVM-276")</f>
        <v>TPS73501EVM-276</v>
      </c>
      <c r="B25888" s="3" t="s">
        <v>90</v>
      </c>
      <c r="C25888" s="5">
        <v>11</v>
      </c>
      <c r="D25888" s="6">
        <v>56.25</v>
      </c>
    </row>
    <row r="25889" spans="1:4" x14ac:dyDescent="0.25">
      <c r="A25889" t="str">
        <f>HYPERLINK("https://www.773grp.com/globalSearch/TPS780XXEVM-301/page-1", "TPS780XXEVM-301")</f>
        <v>TPS780XXEVM-301</v>
      </c>
      <c r="B25889" s="3" t="s">
        <v>90</v>
      </c>
      <c r="C25889" s="5">
        <v>5</v>
      </c>
      <c r="D25889" s="6">
        <v>56.25</v>
      </c>
    </row>
    <row r="25890" spans="1:4" x14ac:dyDescent="0.25">
      <c r="A25890" t="str">
        <f>HYPERLINK("https://www.773grp.com/globalSearch/TPS78101EVM-339/page-1", "TPS78101EVM-339")</f>
        <v>TPS78101EVM-339</v>
      </c>
      <c r="B25890" s="3" t="s">
        <v>90</v>
      </c>
      <c r="C25890" s="5">
        <v>5</v>
      </c>
      <c r="D25890" s="6">
        <v>56.25</v>
      </c>
    </row>
    <row r="25891" spans="1:4" x14ac:dyDescent="0.25">
      <c r="A25891" t="str">
        <f>HYPERLINK("https://www.773grp.com/globalSearch/TPS79801DGNEVM-334/page-1", "TPS79801DGNEVM-334")</f>
        <v>TPS79801DGNEVM-334</v>
      </c>
      <c r="B25891" s="3" t="s">
        <v>90</v>
      </c>
      <c r="C25891" s="5">
        <v>5</v>
      </c>
      <c r="D25891" s="6">
        <v>56.25</v>
      </c>
    </row>
    <row r="25892" spans="1:4" x14ac:dyDescent="0.25">
      <c r="A25892" t="str">
        <f>HYPERLINK("https://www.773grp.com/globalSearch/TPS7A30-49EVM-567/page-1", "TPS7A30-49EVM-567")</f>
        <v>TPS7A30-49EVM-567</v>
      </c>
      <c r="B25892" s="3" t="s">
        <v>90</v>
      </c>
      <c r="C25892" s="5">
        <v>13</v>
      </c>
      <c r="D25892" s="6">
        <v>56.25</v>
      </c>
    </row>
    <row r="25893" spans="1:4" x14ac:dyDescent="0.25">
      <c r="A25893" t="str">
        <f>HYPERLINK("https://www.773grp.com/globalSearch/TPS7A8101EVM-093/page-1", "TPS7A8101EVM-093")</f>
        <v>TPS7A8101EVM-093</v>
      </c>
      <c r="B25893" s="3" t="s">
        <v>90</v>
      </c>
      <c r="C25893" s="5">
        <v>2</v>
      </c>
      <c r="D25893" s="6">
        <v>56.25</v>
      </c>
    </row>
    <row r="25894" spans="1:4" x14ac:dyDescent="0.25">
      <c r="A25894" t="str">
        <f>HYPERLINK("https://www.773grp.com/globalSearch/TPS81256EVM-121/page-1", "TPS81256EVM-121")</f>
        <v>TPS81256EVM-121</v>
      </c>
      <c r="B25894" s="3" t="s">
        <v>90</v>
      </c>
      <c r="C25894" s="5">
        <v>19</v>
      </c>
      <c r="D25894" s="6">
        <v>56.25</v>
      </c>
    </row>
    <row r="25895" spans="1:4" x14ac:dyDescent="0.25">
      <c r="A25895" t="str">
        <f>HYPERLINK("https://www.773grp.com/globalSearch/TPS82671EVM-646/page-1", "TPS82671EVM-646")</f>
        <v>TPS82671EVM-646</v>
      </c>
      <c r="B25895" s="3" t="s">
        <v>90</v>
      </c>
      <c r="C25895" s="5">
        <v>148</v>
      </c>
      <c r="D25895" s="6">
        <v>56.25</v>
      </c>
    </row>
    <row r="25896" spans="1:4" x14ac:dyDescent="0.25">
      <c r="A25896" t="str">
        <f>HYPERLINK("https://www.773grp.com/globalSearch/TPS82675EVM-646/page-1", "TPS82675EVM-646")</f>
        <v>TPS82675EVM-646</v>
      </c>
      <c r="B25896" s="3" t="s">
        <v>90</v>
      </c>
      <c r="C25896" s="5">
        <v>152</v>
      </c>
      <c r="D25896" s="6">
        <v>56.25</v>
      </c>
    </row>
    <row r="25897" spans="1:4" x14ac:dyDescent="0.25">
      <c r="A25897" t="str">
        <f>HYPERLINK("https://www.773grp.com/globalSearch/SNJ54HC374FK/page-1", "SNJ54HC374FK")</f>
        <v>SNJ54HC374FK</v>
      </c>
      <c r="B25897" s="3" t="s">
        <v>90</v>
      </c>
      <c r="C25897" s="5">
        <v>4</v>
      </c>
      <c r="D25897" s="6">
        <v>56.48</v>
      </c>
    </row>
    <row r="25898" spans="1:4" x14ac:dyDescent="0.25">
      <c r="A25898" t="str">
        <f>HYPERLINK("https://www.773grp.com/globalSearch/PT6361A/page-1", "PT6361A")</f>
        <v>PT6361A</v>
      </c>
      <c r="B25898" s="3" t="s">
        <v>90</v>
      </c>
      <c r="C25898" s="5">
        <v>3</v>
      </c>
      <c r="D25898" s="6">
        <v>56.75</v>
      </c>
    </row>
    <row r="25899" spans="1:4" x14ac:dyDescent="0.25">
      <c r="A25899" t="str">
        <f>HYPERLINK("https://www.773grp.com/globalSearch/PT6362A/page-1", "PT6362A")</f>
        <v>PT6362A</v>
      </c>
      <c r="B25899" s="3" t="s">
        <v>90</v>
      </c>
      <c r="C25899" s="5">
        <v>13</v>
      </c>
      <c r="D25899" s="6">
        <v>56.75</v>
      </c>
    </row>
    <row r="25900" spans="1:4" x14ac:dyDescent="0.25">
      <c r="A25900" t="str">
        <f>HYPERLINK("https://www.773grp.com/globalSearch/PT6462N/page-1", "PT6462N")</f>
        <v>PT6462N</v>
      </c>
      <c r="B25900" s="3" t="s">
        <v>90</v>
      </c>
      <c r="C25900" s="5">
        <v>10</v>
      </c>
      <c r="D25900" s="6">
        <v>56.75</v>
      </c>
    </row>
    <row r="25901" spans="1:4" x14ac:dyDescent="0.25">
      <c r="A25901" t="str">
        <f>HYPERLINK("https://www.773grp.com/globalSearch/PT6465A/page-1", "PT6465A")</f>
        <v>PT6465A</v>
      </c>
      <c r="B25901" s="3" t="s">
        <v>90</v>
      </c>
      <c r="C25901" s="5">
        <v>18</v>
      </c>
      <c r="D25901" s="6">
        <v>56.75</v>
      </c>
    </row>
    <row r="25902" spans="1:4" x14ac:dyDescent="0.25">
      <c r="A25902" t="str">
        <f>HYPERLINK("https://www.773grp.com/globalSearch/PT6466C/page-1", "PT6466C")</f>
        <v>PT6466C</v>
      </c>
      <c r="B25902" s="3" t="s">
        <v>90</v>
      </c>
      <c r="C25902" s="5">
        <v>7</v>
      </c>
      <c r="D25902" s="6">
        <v>56.75</v>
      </c>
    </row>
    <row r="25903" spans="1:4" x14ac:dyDescent="0.25">
      <c r="A25903" t="str">
        <f>HYPERLINK("https://www.773grp.com/globalSearch/SNACT72211L25RJ/page-1", "SNACT72211L25RJ")</f>
        <v>SNACT72211L25RJ</v>
      </c>
      <c r="B25903" s="3" t="s">
        <v>90</v>
      </c>
      <c r="C25903" s="5">
        <v>702</v>
      </c>
      <c r="D25903" s="6">
        <v>56.95</v>
      </c>
    </row>
    <row r="25904" spans="1:4" x14ac:dyDescent="0.25">
      <c r="A25904" t="str">
        <f>HYPERLINK("https://www.773grp.com/globalSearch/L10005PCM/page-1", "L10005PCM")</f>
        <v>L10005PCM</v>
      </c>
      <c r="B25904" s="3" t="s">
        <v>90</v>
      </c>
      <c r="C25904" s="5">
        <v>1200</v>
      </c>
      <c r="D25904" s="6">
        <v>56.99</v>
      </c>
    </row>
    <row r="25905" spans="1:4" x14ac:dyDescent="0.25">
      <c r="A25905" t="str">
        <f>HYPERLINK("https://www.773grp.com/globalSearch/S5LS20216ASPGEQQ1/page-1", "S5LS20216ASPGEQQ1")</f>
        <v>S5LS20216ASPGEQQ1</v>
      </c>
      <c r="B25905" s="3" t="s">
        <v>90</v>
      </c>
      <c r="C25905" s="5">
        <v>150</v>
      </c>
      <c r="D25905" s="6">
        <v>57.08</v>
      </c>
    </row>
    <row r="25906" spans="1:4" x14ac:dyDescent="0.25">
      <c r="A25906" t="str">
        <f>HYPERLINK("https://www.773grp.com/globalSearch/SN104980GJG/page-1", "SN104980GJG")</f>
        <v>SN104980GJG</v>
      </c>
      <c r="B25906" s="3" t="s">
        <v>90</v>
      </c>
      <c r="C25906" s="5">
        <v>3743</v>
      </c>
      <c r="D25906" s="6">
        <v>57.08</v>
      </c>
    </row>
    <row r="25907" spans="1:4" x14ac:dyDescent="0.25">
      <c r="A25907" t="str">
        <f>HYPERLINK("https://www.773grp.com/globalSearch/DAC714HB-1/page-1", "DAC714HB-1")</f>
        <v>DAC714HB-1</v>
      </c>
      <c r="B25907" s="3" t="s">
        <v>90</v>
      </c>
      <c r="C25907" s="5">
        <v>84</v>
      </c>
      <c r="D25907" s="6">
        <v>57.29</v>
      </c>
    </row>
    <row r="25908" spans="1:4" x14ac:dyDescent="0.25">
      <c r="A25908" t="str">
        <f>HYPERLINK("https://www.773grp.com/globalSearch/BQ4013YMA-70N/page-1", "BQ4013YMA-70N")</f>
        <v>BQ4013YMA-70N</v>
      </c>
      <c r="B25908" s="3" t="s">
        <v>90</v>
      </c>
      <c r="C25908" s="5">
        <v>12</v>
      </c>
      <c r="D25908" s="6">
        <v>57.38</v>
      </c>
    </row>
    <row r="25909" spans="1:4" x14ac:dyDescent="0.25">
      <c r="A25909" t="str">
        <f>HYPERLINK("https://www.773grp.com/globalSearch/DAC3174IRGCT/page-1", "DAC3174IRGCT")</f>
        <v>DAC3174IRGCT</v>
      </c>
      <c r="B25909" s="3" t="s">
        <v>90</v>
      </c>
      <c r="C25909" s="5">
        <v>250</v>
      </c>
      <c r="D25909" s="6">
        <v>57.38</v>
      </c>
    </row>
    <row r="25910" spans="1:4" x14ac:dyDescent="0.25">
      <c r="A25910" t="str">
        <f>HYPERLINK("https://www.773grp.com/globalSearch/TMS32C6711DGDPA167/page-1", "TMS32C6711DGDPA167")</f>
        <v>TMS32C6711DGDPA167</v>
      </c>
      <c r="B25910" s="3" t="s">
        <v>90</v>
      </c>
      <c r="C25910" s="5">
        <v>530</v>
      </c>
      <c r="D25910" s="6">
        <v>57.51</v>
      </c>
    </row>
    <row r="25911" spans="1:4" x14ac:dyDescent="0.25">
      <c r="A25911" t="str">
        <f>HYPERLINK("https://www.773grp.com/globalSearch/TMS5703137CPGEQQ1/page-1", "TMS5703137CPGEQQ1")</f>
        <v>TMS5703137CPGEQQ1</v>
      </c>
      <c r="B25911" s="3" t="s">
        <v>90</v>
      </c>
      <c r="C25911" s="5">
        <v>50</v>
      </c>
      <c r="D25911" s="6">
        <v>57.6</v>
      </c>
    </row>
    <row r="25912" spans="1:4" x14ac:dyDescent="0.25">
      <c r="A25912" t="str">
        <f>HYPERLINK("https://www.773grp.com/globalSearch/ADS7810U-1/page-1", "ADS7810U-1")</f>
        <v>ADS7810U-1</v>
      </c>
      <c r="B25912" s="3" t="s">
        <v>90</v>
      </c>
      <c r="C25912" s="5">
        <v>450</v>
      </c>
      <c r="D25912" s="6">
        <v>57.66</v>
      </c>
    </row>
    <row r="25913" spans="1:4" x14ac:dyDescent="0.25">
      <c r="A25913" t="str">
        <f>HYPERLINK("https://www.773grp.com/globalSearch/ADS4142IRGZT/page-1", "ADS4142IRGZT")</f>
        <v>ADS4142IRGZT</v>
      </c>
      <c r="B25913" s="3" t="s">
        <v>90</v>
      </c>
      <c r="C25913" s="5">
        <v>250</v>
      </c>
      <c r="D25913" s="6">
        <v>57.8</v>
      </c>
    </row>
    <row r="25914" spans="1:4" x14ac:dyDescent="0.25">
      <c r="A25914" t="str">
        <f>HYPERLINK("https://www.773grp.com/globalSearch/PTH03030WAD/page-1", "PTH03030WAD")</f>
        <v>PTH03030WAD</v>
      </c>
      <c r="B25914" s="3" t="s">
        <v>90</v>
      </c>
      <c r="C25914" s="5">
        <v>11</v>
      </c>
      <c r="D25914" s="6">
        <v>57.85</v>
      </c>
    </row>
    <row r="25915" spans="1:4" x14ac:dyDescent="0.25">
      <c r="A25915" t="str">
        <f>HYPERLINK("https://www.773grp.com/globalSearch/PTH05030WAH/page-1", "PTH05030WAH")</f>
        <v>PTH05030WAH</v>
      </c>
      <c r="B25915" s="3" t="s">
        <v>90</v>
      </c>
      <c r="C25915" s="5">
        <v>288</v>
      </c>
      <c r="D25915" s="6">
        <v>57.85</v>
      </c>
    </row>
    <row r="25916" spans="1:4" x14ac:dyDescent="0.25">
      <c r="A25916" t="str">
        <f>HYPERLINK("https://www.773grp.com/globalSearch/DAC5674IPHPR/page-1", "DAC5674IPHPR")</f>
        <v>DAC5674IPHPR</v>
      </c>
      <c r="B25916" s="3" t="s">
        <v>90</v>
      </c>
      <c r="C25916" s="5">
        <v>1990</v>
      </c>
      <c r="D25916" s="6">
        <v>58.01</v>
      </c>
    </row>
    <row r="25917" spans="1:4" x14ac:dyDescent="0.25">
      <c r="A25917" t="str">
        <f>HYPERLINK("https://www.773grp.com/globalSearch/LM160H-883/page-1", "LM160H-883")</f>
        <v>LM160H-883</v>
      </c>
      <c r="B25917" s="3" t="s">
        <v>90</v>
      </c>
      <c r="C25917" s="5">
        <v>20</v>
      </c>
      <c r="D25917" s="6">
        <v>58.01</v>
      </c>
    </row>
    <row r="25918" spans="1:4" x14ac:dyDescent="0.25">
      <c r="A25918" t="str">
        <f>HYPERLINK("https://www.773grp.com/globalSearch/S5LS10216ASZWTQQ1/page-1", "S5LS10216ASZWTQQ1")</f>
        <v>S5LS10216ASZWTQQ1</v>
      </c>
      <c r="B25918" s="3" t="s">
        <v>90</v>
      </c>
      <c r="C25918" s="5">
        <v>90</v>
      </c>
      <c r="D25918" s="6">
        <v>58.1</v>
      </c>
    </row>
    <row r="25919" spans="1:4" x14ac:dyDescent="0.25">
      <c r="A25919" t="str">
        <f>HYPERLINK("https://www.773grp.com/globalSearch/PTH05030WAZT/page-1", "PTH05030WAZT")</f>
        <v>PTH05030WAZT</v>
      </c>
      <c r="B25919" s="3" t="s">
        <v>90</v>
      </c>
      <c r="C25919" s="5">
        <v>600</v>
      </c>
      <c r="D25919" s="6">
        <v>58.28</v>
      </c>
    </row>
    <row r="25920" spans="1:4" x14ac:dyDescent="0.25">
      <c r="A25920" t="str">
        <f>HYPERLINK("https://www.773grp.com/globalSearch/TMX320LF2406APZA/page-1", "TMX320LF2406APZA")</f>
        <v>TMX320LF2406APZA</v>
      </c>
      <c r="B25920" s="3" t="s">
        <v>90</v>
      </c>
      <c r="C25920" s="5">
        <v>490</v>
      </c>
      <c r="D25920" s="6">
        <v>58.53</v>
      </c>
    </row>
    <row r="25921" spans="1:4" x14ac:dyDescent="0.25">
      <c r="A25921" t="str">
        <f>HYPERLINK("https://www.773grp.com/globalSearch/PT6342N/page-1", "PT6342N")</f>
        <v>PT6342N</v>
      </c>
      <c r="B25921" s="3" t="s">
        <v>90</v>
      </c>
      <c r="C25921" s="5">
        <v>16</v>
      </c>
      <c r="D25921" s="6">
        <v>58.56</v>
      </c>
    </row>
    <row r="25922" spans="1:4" x14ac:dyDescent="0.25">
      <c r="A25922" t="str">
        <f>HYPERLINK("https://www.773grp.com/globalSearch/PT6344N/page-1", "PT6344N")</f>
        <v>PT6344N</v>
      </c>
      <c r="B25922" s="3" t="s">
        <v>90</v>
      </c>
      <c r="C25922" s="5">
        <v>16</v>
      </c>
      <c r="D25922" s="6">
        <v>58.56</v>
      </c>
    </row>
    <row r="25923" spans="1:4" x14ac:dyDescent="0.25">
      <c r="A25923" t="str">
        <f>HYPERLINK("https://www.773grp.com/globalSearch/PT6341A2/page-1", "PT6341A2")</f>
        <v>PT6341A2</v>
      </c>
      <c r="B25923" s="3" t="s">
        <v>90</v>
      </c>
      <c r="C25923" s="5">
        <v>315</v>
      </c>
      <c r="D25923" s="6">
        <v>58.64</v>
      </c>
    </row>
    <row r="25924" spans="1:4" x14ac:dyDescent="0.25">
      <c r="A25924" t="str">
        <f>HYPERLINK("https://www.773grp.com/globalSearch/WDVC5510AGGWA2/page-1", "WDVC5510AGGWA2")</f>
        <v>WDVC5510AGGWA2</v>
      </c>
      <c r="B25924" s="3" t="s">
        <v>90</v>
      </c>
      <c r="C25924" s="5">
        <v>660</v>
      </c>
      <c r="D25924" s="6">
        <v>58.78</v>
      </c>
    </row>
    <row r="25925" spans="1:4" x14ac:dyDescent="0.25">
      <c r="A25925" t="str">
        <f>HYPERLINK("https://www.773grp.com/globalSearch/LMH0030VS-NOPB/page-1", "LMH0030VS-NOPB")</f>
        <v>LMH0030VS-NOPB</v>
      </c>
      <c r="B25925" s="3" t="s">
        <v>90</v>
      </c>
      <c r="C25925" s="5">
        <v>150</v>
      </c>
      <c r="D25925" s="6">
        <v>58.93</v>
      </c>
    </row>
    <row r="25926" spans="1:4" x14ac:dyDescent="0.25">
      <c r="A25926" t="str">
        <f>HYPERLINK("https://www.773grp.com/globalSearch/5962-8759405XA/page-1", "5962-8759405XA")</f>
        <v>5962-8759405XA</v>
      </c>
      <c r="B25926" s="3" t="s">
        <v>90</v>
      </c>
      <c r="C25926" s="5">
        <v>14</v>
      </c>
      <c r="D25926" s="6">
        <v>59.06</v>
      </c>
    </row>
    <row r="25927" spans="1:4" x14ac:dyDescent="0.25">
      <c r="A25927" t="str">
        <f>HYPERLINK("https://www.773grp.com/globalSearch/PCM69AU-1/page-1", "PCM69AU-1")</f>
        <v>PCM69AU-1</v>
      </c>
      <c r="B25927" s="3" t="s">
        <v>90</v>
      </c>
      <c r="C25927" s="5">
        <v>2432</v>
      </c>
      <c r="D25927" s="6">
        <v>59.06</v>
      </c>
    </row>
    <row r="25928" spans="1:4" x14ac:dyDescent="0.25">
      <c r="A25928" t="str">
        <f>HYPERLINK("https://www.773grp.com/globalSearch/PCM69AU-J-2/page-1", "PCM69AU-J-2")</f>
        <v>PCM69AU-J-2</v>
      </c>
      <c r="B25928" s="3" t="s">
        <v>90</v>
      </c>
      <c r="C25928" s="5">
        <v>684</v>
      </c>
      <c r="D25928" s="6">
        <v>59.06</v>
      </c>
    </row>
    <row r="25929" spans="1:4" x14ac:dyDescent="0.25">
      <c r="A25929" t="str">
        <f>HYPERLINK("https://www.773grp.com/globalSearch/PTLK2226GEA/page-1", "PTLK2226GEA")</f>
        <v>PTLK2226GEA</v>
      </c>
      <c r="B25929" s="3" t="s">
        <v>90</v>
      </c>
      <c r="C25929" s="5">
        <v>1774</v>
      </c>
      <c r="D25929" s="6">
        <v>59.2</v>
      </c>
    </row>
    <row r="25930" spans="1:4" x14ac:dyDescent="0.25">
      <c r="A25930" t="str">
        <f>HYPERLINK("https://www.773grp.com/globalSearch/PT502A/page-1", "PT502A")</f>
        <v>PT502A</v>
      </c>
      <c r="B25930" s="3" t="s">
        <v>90</v>
      </c>
      <c r="C25930" s="5">
        <v>60</v>
      </c>
      <c r="D25930" s="6">
        <v>59.49</v>
      </c>
    </row>
    <row r="25931" spans="1:4" x14ac:dyDescent="0.25">
      <c r="A25931" t="str">
        <f>HYPERLINK("https://www.773grp.com/globalSearch/PT6405P/page-1", "PT6405P")</f>
        <v>PT6405P</v>
      </c>
      <c r="B25931" s="3" t="s">
        <v>90</v>
      </c>
      <c r="C25931" s="5">
        <v>1</v>
      </c>
      <c r="D25931" s="6">
        <v>59.58</v>
      </c>
    </row>
    <row r="25932" spans="1:4" x14ac:dyDescent="0.25">
      <c r="A25932" t="str">
        <f>HYPERLINK("https://www.773grp.com/globalSearch/PT6406P/page-1", "PT6406P")</f>
        <v>PT6406P</v>
      </c>
      <c r="B25932" s="3" t="s">
        <v>90</v>
      </c>
      <c r="C25932" s="5">
        <v>5</v>
      </c>
      <c r="D25932" s="6">
        <v>59.58</v>
      </c>
    </row>
    <row r="25933" spans="1:4" x14ac:dyDescent="0.25">
      <c r="A25933" t="str">
        <f>HYPERLINK("https://www.773grp.com/globalSearch/DAC80ZCBI-V/page-1", "DAC80ZCBI-V")</f>
        <v>DAC80ZCBI-V</v>
      </c>
      <c r="B25933" s="3" t="s">
        <v>90</v>
      </c>
      <c r="C25933" s="5">
        <v>18</v>
      </c>
      <c r="D25933" s="6">
        <v>59.63</v>
      </c>
    </row>
    <row r="25934" spans="1:4" x14ac:dyDescent="0.25">
      <c r="A25934" t="str">
        <f>HYPERLINK("https://www.773grp.com/globalSearch/DAC8814ICDBT/page-1", "DAC8814ICDBT")</f>
        <v>DAC8814ICDBT</v>
      </c>
      <c r="B25934" s="3" t="s">
        <v>90</v>
      </c>
      <c r="C25934" s="5">
        <v>88</v>
      </c>
      <c r="D25934" s="6">
        <v>59.63</v>
      </c>
    </row>
    <row r="25935" spans="1:4" x14ac:dyDescent="0.25">
      <c r="A25935" t="str">
        <f>HYPERLINK("https://www.773grp.com/globalSearch/TMS320C6727BZDH250/page-1", "TMS320C6727BZDH250")</f>
        <v>TMS320C6727BZDH250</v>
      </c>
      <c r="B25935" s="3" t="s">
        <v>90</v>
      </c>
      <c r="C25935" s="5">
        <v>331</v>
      </c>
      <c r="D25935" s="6">
        <v>59.74</v>
      </c>
    </row>
    <row r="25936" spans="1:4" x14ac:dyDescent="0.25">
      <c r="A25936" t="str">
        <f>HYPERLINK("https://www.773grp.com/globalSearch/TMS320C6727BZDH300/page-1", "TMS320C6727BZDH300")</f>
        <v>TMS320C6727BZDH300</v>
      </c>
      <c r="B25936" s="3" t="s">
        <v>90</v>
      </c>
      <c r="C25936" s="5">
        <v>239</v>
      </c>
      <c r="D25936" s="6">
        <v>59.74</v>
      </c>
    </row>
    <row r="25937" spans="1:4" x14ac:dyDescent="0.25">
      <c r="A25937" t="str">
        <f>HYPERLINK("https://www.773grp.com/globalSearch/SMJ27C512-45JM/page-1", "SMJ27C512-45JM")</f>
        <v>SMJ27C512-45JM</v>
      </c>
      <c r="B25937" s="3" t="s">
        <v>90</v>
      </c>
      <c r="C25937" s="5">
        <v>709</v>
      </c>
      <c r="D25937" s="6">
        <v>59.78</v>
      </c>
    </row>
    <row r="25938" spans="1:4" x14ac:dyDescent="0.25">
      <c r="A25938" t="str">
        <f>HYPERLINK("https://www.773grp.com/globalSearch/ADS7813U-1K/page-1", "ADS7813U-1K")</f>
        <v>ADS7813U-1K</v>
      </c>
      <c r="B25938" s="3" t="s">
        <v>90</v>
      </c>
      <c r="C25938" s="5">
        <v>1000</v>
      </c>
      <c r="D25938" s="6">
        <v>59.91</v>
      </c>
    </row>
    <row r="25939" spans="1:4" x14ac:dyDescent="0.25">
      <c r="A25939" t="str">
        <f>HYPERLINK("https://www.773grp.com/globalSearch/TMS320DM335CZCE135/page-1", "TMS320DM335CZCE135")</f>
        <v>TMS320DM335CZCE135</v>
      </c>
      <c r="B25939" s="3" t="s">
        <v>90</v>
      </c>
      <c r="C25939" s="5">
        <v>226</v>
      </c>
      <c r="D25939" s="6">
        <v>59.91</v>
      </c>
    </row>
    <row r="25940" spans="1:4" x14ac:dyDescent="0.25">
      <c r="A25940" t="str">
        <f>HYPERLINK("https://www.773grp.com/globalSearch/5962-9076603QFA/page-1", "5962-9076603QFA")</f>
        <v>5962-9076603QFA</v>
      </c>
      <c r="B25940" s="3" t="s">
        <v>90</v>
      </c>
      <c r="C25940" s="5">
        <v>140</v>
      </c>
      <c r="D25940" s="6">
        <v>59.94</v>
      </c>
    </row>
    <row r="25941" spans="1:4" x14ac:dyDescent="0.25">
      <c r="A25941" t="str">
        <f>HYPERLINK("https://www.773grp.com/globalSearch/SN55173J/page-1", "SN55173J")</f>
        <v>SN55173J</v>
      </c>
      <c r="B25941" s="3" t="s">
        <v>90</v>
      </c>
      <c r="C25941" s="5">
        <v>13</v>
      </c>
      <c r="D25941" s="6">
        <v>60.28</v>
      </c>
    </row>
    <row r="25942" spans="1:4" x14ac:dyDescent="0.25">
      <c r="A25942" t="str">
        <f>HYPERLINK("https://www.773grp.com/globalSearch/SN74ACT7206L35NP/page-1", "SN74ACT7206L35NP")</f>
        <v>SN74ACT7206L35NP</v>
      </c>
      <c r="B25942" s="3" t="s">
        <v>90</v>
      </c>
      <c r="C25942" s="5">
        <v>1400</v>
      </c>
      <c r="D25942" s="6">
        <v>60.46</v>
      </c>
    </row>
    <row r="25943" spans="1:4" x14ac:dyDescent="0.25">
      <c r="A25943" t="str">
        <f>HYPERLINK("https://www.773grp.com/globalSearch/SN74ACT7206L35RJ/page-1", "SN74ACT7206L35RJ")</f>
        <v>SN74ACT7206L35RJ</v>
      </c>
      <c r="B25943" s="3" t="s">
        <v>90</v>
      </c>
      <c r="C25943" s="5">
        <v>1748</v>
      </c>
      <c r="D25943" s="6">
        <v>60.46</v>
      </c>
    </row>
    <row r="25944" spans="1:4" x14ac:dyDescent="0.25">
      <c r="A25944" t="str">
        <f>HYPERLINK("https://www.773grp.com/globalSearch/SN75976A1MDGGREP/page-1", "SN75976A1MDGGREP")</f>
        <v>SN75976A1MDGGREP</v>
      </c>
      <c r="B25944" s="3" t="s">
        <v>90</v>
      </c>
      <c r="C25944" s="5">
        <v>1456</v>
      </c>
      <c r="D25944" s="6">
        <v>60.46</v>
      </c>
    </row>
    <row r="25945" spans="1:4" x14ac:dyDescent="0.25">
      <c r="A25945" t="str">
        <f>HYPERLINK("https://www.773grp.com/globalSearch/TMS320DM6437ZDUQ4/page-1", "TMS320DM6437ZDUQ4")</f>
        <v>TMS320DM6437ZDUQ4</v>
      </c>
      <c r="B25945" s="3" t="s">
        <v>90</v>
      </c>
      <c r="C25945" s="5">
        <v>31</v>
      </c>
      <c r="D25945" s="6">
        <v>60.61</v>
      </c>
    </row>
    <row r="25946" spans="1:4" x14ac:dyDescent="0.25">
      <c r="A25946" t="str">
        <f>HYPERLINK("https://www.773grp.com/globalSearch/SNJ54HC245FK/page-1", "SNJ54HC245FK")</f>
        <v>SNJ54HC245FK</v>
      </c>
      <c r="B25946" s="3" t="s">
        <v>90</v>
      </c>
      <c r="C25946" s="5">
        <v>2</v>
      </c>
      <c r="D25946" s="6">
        <v>60.84</v>
      </c>
    </row>
    <row r="25947" spans="1:4" x14ac:dyDescent="0.25">
      <c r="A25947" t="str">
        <f>HYPERLINK("https://www.773grp.com/globalSearch/TMS320VC5510AZGWA2/page-1", "TMS320VC5510AZGWA2")</f>
        <v>TMS320VC5510AZGWA2</v>
      </c>
      <c r="B25947" s="3" t="s">
        <v>90</v>
      </c>
      <c r="C25947" s="5">
        <v>201</v>
      </c>
      <c r="D25947" s="6">
        <v>61</v>
      </c>
    </row>
    <row r="25948" spans="1:4" x14ac:dyDescent="0.25">
      <c r="A25948" t="str">
        <f>HYPERLINK("https://www.773grp.com/globalSearch/PTH08T210WAST/page-1", "PTH08T210WAST")</f>
        <v>PTH08T210WAST</v>
      </c>
      <c r="B25948" s="3" t="s">
        <v>90</v>
      </c>
      <c r="C25948" s="5">
        <v>250</v>
      </c>
      <c r="D25948" s="6">
        <v>61.26</v>
      </c>
    </row>
    <row r="25949" spans="1:4" x14ac:dyDescent="0.25">
      <c r="A25949" t="str">
        <f>HYPERLINK("https://www.773grp.com/globalSearch/PT6643P/page-1", "PT6643P")</f>
        <v>PT6643P</v>
      </c>
      <c r="B25949" s="3" t="s">
        <v>90</v>
      </c>
      <c r="C25949" s="5">
        <v>4</v>
      </c>
      <c r="D25949" s="6">
        <v>61.46</v>
      </c>
    </row>
    <row r="25950" spans="1:4" x14ac:dyDescent="0.25">
      <c r="A25950" t="str">
        <f>HYPERLINK("https://www.773grp.com/globalSearch/PT6644E/page-1", "PT6644E")</f>
        <v>PT6644E</v>
      </c>
      <c r="B25950" s="3" t="s">
        <v>90</v>
      </c>
      <c r="C25950" s="5">
        <v>24</v>
      </c>
      <c r="D25950" s="6">
        <v>61.46</v>
      </c>
    </row>
    <row r="25951" spans="1:4" x14ac:dyDescent="0.25">
      <c r="A25951" t="str">
        <f>HYPERLINK("https://www.773grp.com/globalSearch/PT6674E/page-1", "PT6674E")</f>
        <v>PT6674E</v>
      </c>
      <c r="B25951" s="3" t="s">
        <v>90</v>
      </c>
      <c r="C25951" s="5">
        <v>5</v>
      </c>
      <c r="D25951" s="6">
        <v>61.46</v>
      </c>
    </row>
    <row r="25952" spans="1:4" x14ac:dyDescent="0.25">
      <c r="A25952" t="str">
        <f>HYPERLINK("https://www.773grp.com/globalSearch/PT6885A/page-1", "PT6885A")</f>
        <v>PT6885A</v>
      </c>
      <c r="B25952" s="3" t="s">
        <v>90</v>
      </c>
      <c r="C25952" s="5">
        <v>11</v>
      </c>
      <c r="D25952" s="6">
        <v>61.46</v>
      </c>
    </row>
    <row r="25953" spans="1:4" x14ac:dyDescent="0.25">
      <c r="A25953" t="str">
        <f>HYPERLINK("https://www.773grp.com/globalSearch/LM140K-5.0/page-1", "LM140K-5.0")</f>
        <v>LM140K-5.0</v>
      </c>
      <c r="B25953" s="3" t="s">
        <v>90</v>
      </c>
      <c r="C25953" s="5">
        <v>3</v>
      </c>
      <c r="D25953" s="6">
        <v>61.54</v>
      </c>
    </row>
    <row r="25954" spans="1:4" x14ac:dyDescent="0.25">
      <c r="A25954" t="str">
        <f>HYPERLINK("https://www.773grp.com/globalSearch/SN74ACT202LA15NP/page-1", "SN74ACT202LA15NP")</f>
        <v>SN74ACT202LA15NP</v>
      </c>
      <c r="B25954" s="3" t="s">
        <v>90</v>
      </c>
      <c r="C25954" s="5">
        <v>290</v>
      </c>
      <c r="D25954" s="6">
        <v>61.6</v>
      </c>
    </row>
    <row r="25955" spans="1:4" x14ac:dyDescent="0.25">
      <c r="A25955" t="str">
        <f>HYPERLINK("https://www.773grp.com/globalSearch/DAC7644E/page-1", "DAC7644E")</f>
        <v>DAC7644E</v>
      </c>
      <c r="B25955" s="3" t="s">
        <v>90</v>
      </c>
      <c r="C25955" s="5">
        <v>21</v>
      </c>
      <c r="D25955" s="6">
        <v>61.73</v>
      </c>
    </row>
    <row r="25956" spans="1:4" x14ac:dyDescent="0.25">
      <c r="A25956" t="str">
        <f>HYPERLINK("https://www.773grp.com/globalSearch/SN74ACT3651-20PBC/page-1", "SN74ACT3651-20PBC")</f>
        <v>SN74ACT3651-20PBC</v>
      </c>
      <c r="B25956" s="3" t="s">
        <v>90</v>
      </c>
      <c r="C25956" s="5">
        <v>176</v>
      </c>
      <c r="D25956" s="6">
        <v>61.73</v>
      </c>
    </row>
    <row r="25957" spans="1:4" x14ac:dyDescent="0.25">
      <c r="A25957" t="str">
        <f>HYPERLINK("https://www.773grp.com/globalSearch/TMS320LC549-GG4-66/page-1", "TMS320LC549-GG4-66")</f>
        <v>TMS320LC549-GG4-66</v>
      </c>
      <c r="B25957" s="3" t="s">
        <v>90</v>
      </c>
      <c r="C25957" s="5">
        <v>90</v>
      </c>
      <c r="D25957" s="6">
        <v>61.81</v>
      </c>
    </row>
    <row r="25958" spans="1:4" x14ac:dyDescent="0.25">
      <c r="A25958" t="str">
        <f>HYPERLINK("https://www.773grp.com/globalSearch/PADS8507IDW/page-1", "PADS8507IDW")</f>
        <v>PADS8507IDW</v>
      </c>
      <c r="B25958" s="3" t="s">
        <v>90</v>
      </c>
      <c r="C25958" s="5">
        <v>188</v>
      </c>
      <c r="D25958" s="6">
        <v>61.88</v>
      </c>
    </row>
    <row r="25959" spans="1:4" x14ac:dyDescent="0.25">
      <c r="A25959" t="str">
        <f>HYPERLINK("https://www.773grp.com/globalSearch/SN74ACT722331L50RJ/page-1", "SN74ACT722331L50RJ")</f>
        <v>SN74ACT722331L50RJ</v>
      </c>
      <c r="B25959" s="3" t="s">
        <v>90</v>
      </c>
      <c r="C25959" s="5">
        <v>480</v>
      </c>
      <c r="D25959" s="6">
        <v>61.88</v>
      </c>
    </row>
    <row r="25960" spans="1:4" x14ac:dyDescent="0.25">
      <c r="A25960" t="str">
        <f>HYPERLINK("https://www.773grp.com/globalSearch/ADS774KP-4/page-1", "ADS774KP-4")</f>
        <v>ADS774KP-4</v>
      </c>
      <c r="B25960" s="3" t="s">
        <v>90</v>
      </c>
      <c r="C25960" s="5">
        <v>1013</v>
      </c>
      <c r="D25960" s="6">
        <v>62.01</v>
      </c>
    </row>
    <row r="25961" spans="1:4" x14ac:dyDescent="0.25">
      <c r="A25961" t="str">
        <f>HYPERLINK("https://www.773grp.com/globalSearch/74ACT7807-25FN/page-1", "74ACT7807-25FN")</f>
        <v>74ACT7807-25FN</v>
      </c>
      <c r="B25961" s="3" t="s">
        <v>90</v>
      </c>
      <c r="C25961" s="5">
        <v>127</v>
      </c>
      <c r="D25961" s="6">
        <v>62.06</v>
      </c>
    </row>
    <row r="25962" spans="1:4" x14ac:dyDescent="0.25">
      <c r="A25962" t="str">
        <f>HYPERLINK("https://www.773grp.com/globalSearch/5962-9076504QEA/page-1", "5962-9076504QEA")</f>
        <v>5962-9076504QEA</v>
      </c>
      <c r="B25962" s="3" t="s">
        <v>90</v>
      </c>
      <c r="C25962" s="5">
        <v>34</v>
      </c>
      <c r="D25962" s="6">
        <v>62.1</v>
      </c>
    </row>
    <row r="25963" spans="1:4" x14ac:dyDescent="0.25">
      <c r="A25963" t="str">
        <f>HYPERLINK("https://www.773grp.com/globalSearch/SNJ55LBC174J/page-1", "SNJ55LBC174J")</f>
        <v>SNJ55LBC174J</v>
      </c>
      <c r="B25963" s="3" t="s">
        <v>90</v>
      </c>
      <c r="C25963" s="5">
        <v>5</v>
      </c>
      <c r="D25963" s="6">
        <v>62.1</v>
      </c>
    </row>
    <row r="25964" spans="1:4" x14ac:dyDescent="0.25">
      <c r="A25964" t="str">
        <f>HYPERLINK("https://www.773grp.com/globalSearch/PT6424E/page-1", "PT6424E")</f>
        <v>PT6424E</v>
      </c>
      <c r="B25964" s="3" t="s">
        <v>90</v>
      </c>
      <c r="C25964" s="5">
        <v>4</v>
      </c>
      <c r="D25964" s="6">
        <v>62.35</v>
      </c>
    </row>
    <row r="25965" spans="1:4" x14ac:dyDescent="0.25">
      <c r="A25965" t="str">
        <f>HYPERLINK("https://www.773grp.com/globalSearch/PT6425E/page-1", "PT6425E")</f>
        <v>PT6425E</v>
      </c>
      <c r="B25965" s="3" t="s">
        <v>90</v>
      </c>
      <c r="C25965" s="5">
        <v>8</v>
      </c>
      <c r="D25965" s="6">
        <v>62.35</v>
      </c>
    </row>
    <row r="25966" spans="1:4" x14ac:dyDescent="0.25">
      <c r="A25966" t="str">
        <f>HYPERLINK("https://www.773grp.com/globalSearch/TMX320LF2407APGEA/page-1", "TMX320LF2407APGEA")</f>
        <v>TMX320LF2407APGEA</v>
      </c>
      <c r="B25966" s="3" t="s">
        <v>90</v>
      </c>
      <c r="C25966" s="5">
        <v>1100</v>
      </c>
      <c r="D25966" s="6">
        <v>62.35</v>
      </c>
    </row>
    <row r="25967" spans="1:4" x14ac:dyDescent="0.25">
      <c r="A25967" t="str">
        <f>HYPERLINK("https://www.773grp.com/globalSearch/SN74ACT7206L25NP/page-1", "SN74ACT7206L25NP")</f>
        <v>SN74ACT7206L25NP</v>
      </c>
      <c r="B25967" s="3" t="s">
        <v>90</v>
      </c>
      <c r="C25967" s="5">
        <v>3467</v>
      </c>
      <c r="D25967" s="6">
        <v>62.44</v>
      </c>
    </row>
    <row r="25968" spans="1:4" x14ac:dyDescent="0.25">
      <c r="A25968" t="str">
        <f>HYPERLINK("https://www.773grp.com/globalSearch/PD17140PQ/page-1", "PD17140PQ")</f>
        <v>PD17140PQ</v>
      </c>
      <c r="B25968" s="3" t="s">
        <v>90</v>
      </c>
      <c r="C25968" s="5">
        <v>26012</v>
      </c>
      <c r="D25968" s="6">
        <v>62.95</v>
      </c>
    </row>
    <row r="25969" spans="1:4" x14ac:dyDescent="0.25">
      <c r="A25969" t="str">
        <f>HYPERLINK("https://www.773grp.com/globalSearch/TMS320V34PJX2/page-1", "TMS320V34PJX2")</f>
        <v>TMS320V34PJX2</v>
      </c>
      <c r="B25969" s="3" t="s">
        <v>90</v>
      </c>
      <c r="C25969" s="5">
        <v>660</v>
      </c>
      <c r="D25969" s="6">
        <v>62.95</v>
      </c>
    </row>
    <row r="25970" spans="1:4" x14ac:dyDescent="0.25">
      <c r="A25970" t="str">
        <f>HYPERLINK("https://www.773grp.com/globalSearch/PT6653E/page-1", "PT6653E")</f>
        <v>PT6653E</v>
      </c>
      <c r="B25970" s="3" t="s">
        <v>90</v>
      </c>
      <c r="C25970" s="5">
        <v>8</v>
      </c>
      <c r="D25970" s="6">
        <v>63.08</v>
      </c>
    </row>
    <row r="25971" spans="1:4" x14ac:dyDescent="0.25">
      <c r="A25971" t="str">
        <f>HYPERLINK("https://www.773grp.com/globalSearch/PT6656D/page-1", "PT6656D")</f>
        <v>PT6656D</v>
      </c>
      <c r="B25971" s="3" t="s">
        <v>90</v>
      </c>
      <c r="C25971" s="5">
        <v>2</v>
      </c>
      <c r="D25971" s="6">
        <v>63.08</v>
      </c>
    </row>
    <row r="25972" spans="1:4" x14ac:dyDescent="0.25">
      <c r="A25972" t="str">
        <f>HYPERLINK("https://www.773grp.com/globalSearch/TMS320DM6435ZDU7/page-1", "TMS320DM6435ZDU7")</f>
        <v>TMS320DM6435ZDU7</v>
      </c>
      <c r="B25972" s="3" t="s">
        <v>90</v>
      </c>
      <c r="C25972" s="5">
        <v>2</v>
      </c>
      <c r="D25972" s="6">
        <v>63.15</v>
      </c>
    </row>
    <row r="25973" spans="1:4" x14ac:dyDescent="0.25">
      <c r="A25973" t="str">
        <f>HYPERLINK("https://www.773grp.com/globalSearch/TMS320DM6467GUTA6/page-1", "TMS320DM6467GUTA6")</f>
        <v>TMS320DM6467GUTA6</v>
      </c>
      <c r="B25973" s="3" t="s">
        <v>90</v>
      </c>
      <c r="C25973" s="5">
        <v>1297</v>
      </c>
      <c r="D25973" s="6">
        <v>63.15</v>
      </c>
    </row>
    <row r="25974" spans="1:4" x14ac:dyDescent="0.25">
      <c r="A25974" t="str">
        <f>HYPERLINK("https://www.773grp.com/globalSearch/PT4212C/page-1", "PT4212C")</f>
        <v>PT4212C</v>
      </c>
      <c r="B25974" s="3" t="s">
        <v>90</v>
      </c>
      <c r="C25974" s="5">
        <v>14</v>
      </c>
      <c r="D25974" s="6">
        <v>63.29</v>
      </c>
    </row>
    <row r="25975" spans="1:4" x14ac:dyDescent="0.25">
      <c r="A25975" t="str">
        <f>HYPERLINK("https://www.773grp.com/globalSearch/PT4214C/page-1", "PT4214C")</f>
        <v>PT4214C</v>
      </c>
      <c r="B25975" s="3" t="s">
        <v>90</v>
      </c>
      <c r="C25975" s="5">
        <v>1</v>
      </c>
      <c r="D25975" s="6">
        <v>63.29</v>
      </c>
    </row>
    <row r="25976" spans="1:4" x14ac:dyDescent="0.25">
      <c r="A25976" t="str">
        <f>HYPERLINK("https://www.773grp.com/globalSearch/TL2531MLB/page-1", "TL2531MLB")</f>
        <v>TL2531MLB</v>
      </c>
      <c r="B25976" s="3" t="s">
        <v>90</v>
      </c>
      <c r="C25976" s="5">
        <v>187</v>
      </c>
      <c r="D25976" s="6">
        <v>63.29</v>
      </c>
    </row>
    <row r="25977" spans="1:4" x14ac:dyDescent="0.25">
      <c r="A25977" t="str">
        <f>HYPERLINK("https://www.773grp.com/globalSearch/TL2532MLB/page-1", "TL2532MLB")</f>
        <v>TL2532MLB</v>
      </c>
      <c r="B25977" s="3" t="s">
        <v>90</v>
      </c>
      <c r="C25977" s="5">
        <v>299</v>
      </c>
      <c r="D25977" s="6">
        <v>63.29</v>
      </c>
    </row>
    <row r="25978" spans="1:4" x14ac:dyDescent="0.25">
      <c r="A25978" t="str">
        <f>HYPERLINK("https://www.773grp.com/globalSearch/UCC1895L/page-1", "UCC1895L")</f>
        <v>UCC1895L</v>
      </c>
      <c r="B25978" s="3" t="s">
        <v>90</v>
      </c>
      <c r="C25978" s="5">
        <v>257</v>
      </c>
      <c r="D25978" s="6">
        <v>63.29</v>
      </c>
    </row>
    <row r="25979" spans="1:4" x14ac:dyDescent="0.25">
      <c r="A25979" t="str">
        <f>HYPERLINK("https://www.773grp.com/globalSearch/OMAP3503ECUS/page-1", "OMAP3503ECUS")</f>
        <v>OMAP3503ECUS</v>
      </c>
      <c r="B25979" s="3" t="s">
        <v>90</v>
      </c>
      <c r="C25979" s="5">
        <v>88</v>
      </c>
      <c r="D25979" s="6">
        <v>63.41</v>
      </c>
    </row>
    <row r="25980" spans="1:4" x14ac:dyDescent="0.25">
      <c r="A25980" t="str">
        <f>HYPERLINK("https://www.773grp.com/globalSearch/TMS5703137BZWTQQ1/page-1", "TMS5703137BZWTQQ1")</f>
        <v>TMS5703137BZWTQQ1</v>
      </c>
      <c r="B25980" s="3" t="s">
        <v>90</v>
      </c>
      <c r="C25980" s="5">
        <v>4</v>
      </c>
      <c r="D25980" s="6">
        <v>63.41</v>
      </c>
    </row>
    <row r="25981" spans="1:4" x14ac:dyDescent="0.25">
      <c r="A25981" t="str">
        <f>HYPERLINK("https://www.773grp.com/globalSearch/5962-8768001EA/page-1", "5962-8768001EA")</f>
        <v>5962-8768001EA</v>
      </c>
      <c r="B25981" s="3" t="s">
        <v>90</v>
      </c>
      <c r="C25981" s="5">
        <v>20</v>
      </c>
      <c r="D25981" s="6">
        <v>63.5</v>
      </c>
    </row>
    <row r="25982" spans="1:4" x14ac:dyDescent="0.25">
      <c r="A25982" t="str">
        <f>HYPERLINK("https://www.773grp.com/globalSearch/TMS320C53SPZ80/page-1", "TMS320C53SPZ80")</f>
        <v>TMS320C53SPZ80</v>
      </c>
      <c r="B25982" s="3" t="s">
        <v>90</v>
      </c>
      <c r="C25982" s="5">
        <v>5677</v>
      </c>
      <c r="D25982" s="6">
        <v>63.84</v>
      </c>
    </row>
    <row r="25983" spans="1:4" x14ac:dyDescent="0.25">
      <c r="A25983" t="str">
        <f>HYPERLINK("https://www.773grp.com/globalSearch/XRM48L950PGET/page-1", "XRM48L950PGET")</f>
        <v>XRM48L950PGET</v>
      </c>
      <c r="B25983" s="3" t="s">
        <v>90</v>
      </c>
      <c r="C25983" s="5">
        <v>14</v>
      </c>
      <c r="D25983" s="6">
        <v>63.84</v>
      </c>
    </row>
    <row r="25984" spans="1:4" x14ac:dyDescent="0.25">
      <c r="A25984" t="str">
        <f>HYPERLINK("https://www.773grp.com/globalSearch/PADS8484IBRGZT/page-1", "PADS8484IBRGZT")</f>
        <v>PADS8484IBRGZT</v>
      </c>
      <c r="B25984" s="3" t="s">
        <v>90</v>
      </c>
      <c r="C25984" s="5">
        <v>608</v>
      </c>
      <c r="D25984" s="6">
        <v>63.99</v>
      </c>
    </row>
    <row r="25985" spans="1:4" x14ac:dyDescent="0.25">
      <c r="A25985" t="str">
        <f>HYPERLINK("https://www.773grp.com/globalSearch/AM3357ZCZD72/page-1", "AM3357ZCZD72")</f>
        <v>AM3357ZCZD72</v>
      </c>
      <c r="B25985" s="3" t="s">
        <v>90</v>
      </c>
      <c r="C25985" s="5">
        <v>242</v>
      </c>
      <c r="D25985" s="6">
        <v>64.55</v>
      </c>
    </row>
    <row r="25986" spans="1:4" x14ac:dyDescent="0.25">
      <c r="A25986" t="str">
        <f>HYPERLINK("https://www.773grp.com/globalSearch/ADS7806P/page-1", "ADS7806P")</f>
        <v>ADS7806P</v>
      </c>
      <c r="B25986" s="3" t="s">
        <v>90</v>
      </c>
      <c r="C25986" s="5">
        <v>61</v>
      </c>
      <c r="D25986" s="6">
        <v>64.69</v>
      </c>
    </row>
    <row r="25987" spans="1:4" x14ac:dyDescent="0.25">
      <c r="A25987" t="str">
        <f>HYPERLINK("https://www.773grp.com/globalSearch/SMJ61CD16SA-70JDM/page-1", "SMJ61CD16SA-70JDM")</f>
        <v>SMJ61CD16SA-70JDM</v>
      </c>
      <c r="B25987" s="3" t="s">
        <v>90</v>
      </c>
      <c r="C25987" s="5">
        <v>81</v>
      </c>
      <c r="D25987" s="6">
        <v>64.69</v>
      </c>
    </row>
    <row r="25988" spans="1:4" x14ac:dyDescent="0.25">
      <c r="A25988" t="str">
        <f>HYPERLINK("https://www.773grp.com/globalSearch/SMJ64C16S-70JDM/page-1", "SMJ64C16S-70JDM")</f>
        <v>SMJ64C16S-70JDM</v>
      </c>
      <c r="B25988" s="3" t="s">
        <v>90</v>
      </c>
      <c r="C25988" s="5">
        <v>71</v>
      </c>
      <c r="D25988" s="6">
        <v>64.69</v>
      </c>
    </row>
    <row r="25989" spans="1:4" x14ac:dyDescent="0.25">
      <c r="A25989" t="str">
        <f>HYPERLINK("https://www.773grp.com/globalSearch/SSC101U/page-1", "SSC101U")</f>
        <v>SSC101U</v>
      </c>
      <c r="B25989" s="3" t="s">
        <v>90</v>
      </c>
      <c r="C25989" s="5">
        <v>1</v>
      </c>
      <c r="D25989" s="6">
        <v>64.69</v>
      </c>
    </row>
    <row r="25990" spans="1:4" x14ac:dyDescent="0.25">
      <c r="A25990" t="str">
        <f>HYPERLINK("https://www.773grp.com/globalSearch/ADS6222IRGZ25/page-1", "ADS6222IRGZ25")</f>
        <v>ADS6222IRGZ25</v>
      </c>
      <c r="B25990" s="3" t="s">
        <v>90</v>
      </c>
      <c r="C25990" s="5">
        <v>250</v>
      </c>
      <c r="D25990" s="6">
        <v>64.98</v>
      </c>
    </row>
    <row r="25991" spans="1:4" x14ac:dyDescent="0.25">
      <c r="A25991" t="str">
        <f>HYPERLINK("https://www.773grp.com/globalSearch/LT1013AMJGB/page-1", "LT1013AMJGB")</f>
        <v>LT1013AMJGB</v>
      </c>
      <c r="B25991" s="3" t="s">
        <v>90</v>
      </c>
      <c r="C25991" s="5">
        <v>269</v>
      </c>
      <c r="D25991" s="6">
        <v>65.14</v>
      </c>
    </row>
    <row r="25992" spans="1:4" x14ac:dyDescent="0.25">
      <c r="A25992" t="str">
        <f>HYPERLINK("https://www.773grp.com/globalSearch/PTSB12LV22PZ/page-1", "PTSB12LV22PZ")</f>
        <v>PTSB12LV22PZ</v>
      </c>
      <c r="B25992" s="3" t="s">
        <v>90</v>
      </c>
      <c r="C25992" s="5">
        <v>883</v>
      </c>
      <c r="D25992" s="6">
        <v>65.28</v>
      </c>
    </row>
    <row r="25993" spans="1:4" x14ac:dyDescent="0.25">
      <c r="A25993" t="str">
        <f>HYPERLINK("https://www.773grp.com/globalSearch/5962-89681012A/page-1", "5962-89681012A")</f>
        <v>5962-89681012A</v>
      </c>
      <c r="B25993" s="3" t="s">
        <v>90</v>
      </c>
      <c r="C25993" s="5">
        <v>220</v>
      </c>
      <c r="D25993" s="6">
        <v>65.48</v>
      </c>
    </row>
    <row r="25994" spans="1:4" x14ac:dyDescent="0.25">
      <c r="A25994" t="str">
        <f>HYPERLINK("https://www.773grp.com/globalSearch/TMS320C25PHL/page-1", "TMS320C25PHL")</f>
        <v>TMS320C25PHL</v>
      </c>
      <c r="B25994" s="3" t="s">
        <v>90</v>
      </c>
      <c r="C25994" s="5">
        <v>49</v>
      </c>
      <c r="D25994" s="6">
        <v>65.510000000000005</v>
      </c>
    </row>
    <row r="25995" spans="1:4" x14ac:dyDescent="0.25">
      <c r="A25995" t="str">
        <f>HYPERLINK("https://www.773grp.com/globalSearch/ADS574KP/page-1", "ADS574KP")</f>
        <v>ADS574KP</v>
      </c>
      <c r="B25995" s="3" t="s">
        <v>90</v>
      </c>
      <c r="C25995" s="5">
        <v>86</v>
      </c>
      <c r="D25995" s="6">
        <v>65.53</v>
      </c>
    </row>
    <row r="25996" spans="1:4" x14ac:dyDescent="0.25">
      <c r="A25996" t="str">
        <f>HYPERLINK("https://www.773grp.com/globalSearch/ADS574KP/page-1", "ADS574KP")</f>
        <v>ADS574KP</v>
      </c>
      <c r="B25996" s="3" t="s">
        <v>90</v>
      </c>
      <c r="C25996" s="5">
        <v>3263</v>
      </c>
      <c r="D25996" s="6">
        <v>65.53</v>
      </c>
    </row>
    <row r="25997" spans="1:4" x14ac:dyDescent="0.25">
      <c r="A25997" t="str">
        <f>HYPERLINK("https://www.773grp.com/globalSearch/ADS7813UE4/page-1", "ADS7813UE4")</f>
        <v>ADS7813UE4</v>
      </c>
      <c r="B25997" s="3" t="s">
        <v>90</v>
      </c>
      <c r="C25997" s="5">
        <v>7</v>
      </c>
      <c r="D25997" s="6">
        <v>65.53</v>
      </c>
    </row>
    <row r="25998" spans="1:4" x14ac:dyDescent="0.25">
      <c r="A25998" t="str">
        <f>HYPERLINK("https://www.773grp.com/globalSearch/ADS7815U/page-1", "ADS7815U")</f>
        <v>ADS7815U</v>
      </c>
      <c r="B25998" s="3" t="s">
        <v>90</v>
      </c>
      <c r="C25998" s="5">
        <v>140</v>
      </c>
      <c r="D25998" s="6">
        <v>65.53</v>
      </c>
    </row>
    <row r="25999" spans="1:4" x14ac:dyDescent="0.25">
      <c r="A25999" t="str">
        <f>HYPERLINK("https://www.773grp.com/globalSearch/TMS32AV110PBM/page-1", "TMS32AV110PBM")</f>
        <v>TMS32AV110PBM</v>
      </c>
      <c r="B25999" s="3" t="s">
        <v>90</v>
      </c>
      <c r="C25999" s="5">
        <v>1170</v>
      </c>
      <c r="D25999" s="6">
        <v>65.61</v>
      </c>
    </row>
    <row r="26000" spans="1:4" x14ac:dyDescent="0.25">
      <c r="A26000" t="str">
        <f>HYPERLINK("https://www.773grp.com/globalSearch/ADS774KEG4/page-1", "ADS774KEG4")</f>
        <v>ADS774KEG4</v>
      </c>
      <c r="B26000" s="3" t="s">
        <v>90</v>
      </c>
      <c r="C26000" s="5">
        <v>13</v>
      </c>
      <c r="D26000" s="6">
        <v>65.81</v>
      </c>
    </row>
    <row r="26001" spans="1:4" x14ac:dyDescent="0.25">
      <c r="A26001" t="str">
        <f>HYPERLINK("https://www.773grp.com/globalSearch/TMS320BC52PZ80/page-1", "TMS320BC52PZ80")</f>
        <v>TMS320BC52PZ80</v>
      </c>
      <c r="B26001" s="3" t="s">
        <v>90</v>
      </c>
      <c r="C26001" s="5">
        <v>30</v>
      </c>
      <c r="D26001" s="6">
        <v>65.81</v>
      </c>
    </row>
    <row r="26002" spans="1:4" x14ac:dyDescent="0.25">
      <c r="A26002" t="str">
        <f>HYPERLINK("https://www.773grp.com/globalSearch/AM3715CUS100/page-1", "AM3715CUS100")</f>
        <v>AM3715CUS100</v>
      </c>
      <c r="B26002" s="3" t="s">
        <v>90</v>
      </c>
      <c r="C26002" s="5">
        <v>315</v>
      </c>
      <c r="D26002" s="6">
        <v>66.53</v>
      </c>
    </row>
    <row r="26003" spans="1:4" x14ac:dyDescent="0.25">
      <c r="A26003" t="str">
        <f>HYPERLINK("https://www.773grp.com/globalSearch/TMS320C6421ZDU7/page-1", "TMS320C6421ZDU7")</f>
        <v>TMS320C6421ZDU7</v>
      </c>
      <c r="B26003" s="3" t="s">
        <v>90</v>
      </c>
      <c r="C26003" s="5">
        <v>11</v>
      </c>
      <c r="D26003" s="6">
        <v>66.53</v>
      </c>
    </row>
    <row r="26004" spans="1:4" x14ac:dyDescent="0.25">
      <c r="A26004" t="str">
        <f>HYPERLINK("https://www.773grp.com/globalSearch/PCM1760U-X/page-1", "PCM1760U-X")</f>
        <v>PCM1760U-X</v>
      </c>
      <c r="B26004" s="3" t="s">
        <v>90</v>
      </c>
      <c r="C26004" s="5">
        <v>885</v>
      </c>
      <c r="D26004" s="6">
        <v>66.66</v>
      </c>
    </row>
    <row r="26005" spans="1:4" x14ac:dyDescent="0.25">
      <c r="A26005" t="str">
        <f>HYPERLINK("https://www.773grp.com/globalSearch/JM38510-65702BCA/page-1", "JM38510-65702BCA")</f>
        <v>JM38510-65702BCA</v>
      </c>
      <c r="B26005" s="3" t="s">
        <v>90</v>
      </c>
      <c r="C26005" s="5">
        <v>1</v>
      </c>
      <c r="D26005" s="6">
        <v>66.94</v>
      </c>
    </row>
    <row r="26006" spans="1:4" x14ac:dyDescent="0.25">
      <c r="A26006" t="str">
        <f>HYPERLINK("https://www.773grp.com/globalSearch/SN74ACT672221L15RJ/page-1", "SN74ACT672221L15RJ")</f>
        <v>SN74ACT672221L15RJ</v>
      </c>
      <c r="B26006" s="3" t="s">
        <v>90</v>
      </c>
      <c r="C26006" s="5">
        <v>2880</v>
      </c>
      <c r="D26006" s="6">
        <v>67.209999999999994</v>
      </c>
    </row>
    <row r="26007" spans="1:4" x14ac:dyDescent="0.25">
      <c r="A26007" t="str">
        <f>HYPERLINK("https://www.773grp.com/globalSearch/5962-89680012A-T/page-1", "5962-89680012A-T")</f>
        <v>5962-89680012A-T</v>
      </c>
      <c r="B26007" s="3" t="s">
        <v>90</v>
      </c>
      <c r="C26007" s="5">
        <v>957</v>
      </c>
      <c r="D26007" s="6">
        <v>67.25</v>
      </c>
    </row>
    <row r="26008" spans="1:4" x14ac:dyDescent="0.25">
      <c r="A26008" t="str">
        <f>HYPERLINK("https://www.773grp.com/globalSearch/EZ430-F2013/page-1", "EZ430-F2013")</f>
        <v>EZ430-F2013</v>
      </c>
      <c r="B26008" s="3" t="s">
        <v>90</v>
      </c>
      <c r="C26008" s="5">
        <v>111</v>
      </c>
      <c r="D26008" s="6">
        <v>67.5</v>
      </c>
    </row>
    <row r="26009" spans="1:4" x14ac:dyDescent="0.25">
      <c r="A26009" t="str">
        <f>HYPERLINK("https://www.773grp.com/globalSearch/L10004PCM/page-1", "L10004PCM")</f>
        <v>L10004PCM</v>
      </c>
      <c r="B26009" s="3" t="s">
        <v>90</v>
      </c>
      <c r="C26009" s="5">
        <v>21515</v>
      </c>
      <c r="D26009" s="6">
        <v>67.5</v>
      </c>
    </row>
    <row r="26010" spans="1:4" x14ac:dyDescent="0.25">
      <c r="A26010" t="str">
        <f>HYPERLINK("https://www.773grp.com/globalSearch/TMS320DM6437ZDUQ5/page-1", "TMS320DM6437ZDUQ5")</f>
        <v>TMS320DM6437ZDUQ5</v>
      </c>
      <c r="B26010" s="3" t="s">
        <v>90</v>
      </c>
      <c r="C26010" s="5">
        <v>15</v>
      </c>
      <c r="D26010" s="6">
        <v>67.5</v>
      </c>
    </row>
    <row r="26011" spans="1:4" x14ac:dyDescent="0.25">
      <c r="A26011" t="str">
        <f>HYPERLINK("https://www.773grp.com/globalSearch/PCM1704U-1/page-1", "PCM1704U-1")</f>
        <v>PCM1704U-1</v>
      </c>
      <c r="B26011" s="3" t="s">
        <v>90</v>
      </c>
      <c r="C26011" s="5">
        <v>1784</v>
      </c>
      <c r="D26011" s="6">
        <v>67.790000000000006</v>
      </c>
    </row>
    <row r="26012" spans="1:4" x14ac:dyDescent="0.25">
      <c r="A26012" t="str">
        <f>HYPERLINK("https://www.773grp.com/globalSearch/TVP5150AM1LGQCR/page-1", "TVP5150AM1LGQCR")</f>
        <v>TVP5150AM1LGQCR</v>
      </c>
      <c r="B26012" s="3" t="s">
        <v>90</v>
      </c>
      <c r="C26012" s="5">
        <v>999</v>
      </c>
      <c r="D26012" s="6">
        <v>67.930000000000007</v>
      </c>
    </row>
    <row r="26013" spans="1:4" x14ac:dyDescent="0.25">
      <c r="A26013" t="str">
        <f>HYPERLINK("https://www.773grp.com/globalSearch/PT6703C/page-1", "PT6703C")</f>
        <v>PT6703C</v>
      </c>
      <c r="B26013" s="3" t="s">
        <v>90</v>
      </c>
      <c r="C26013" s="5">
        <v>8</v>
      </c>
      <c r="D26013" s="6">
        <v>68.56</v>
      </c>
    </row>
    <row r="26014" spans="1:4" x14ac:dyDescent="0.25">
      <c r="A26014" t="str">
        <f>HYPERLINK("https://www.773grp.com/globalSearch/TMX320VC5410AGGU12/page-1", "TMX320VC5410AGGU12")</f>
        <v>TMX320VC5410AGGU12</v>
      </c>
      <c r="B26014" s="3" t="s">
        <v>90</v>
      </c>
      <c r="C26014" s="5">
        <v>32</v>
      </c>
      <c r="D26014" s="6">
        <v>68.56</v>
      </c>
    </row>
    <row r="26015" spans="1:4" x14ac:dyDescent="0.25">
      <c r="A26015" t="str">
        <f>HYPERLINK("https://www.773grp.com/globalSearch/5962-9076504Q2A/page-1", "5962-9076504Q2A")</f>
        <v>5962-9076504Q2A</v>
      </c>
      <c r="B26015" s="3" t="s">
        <v>90</v>
      </c>
      <c r="C26015" s="5">
        <v>6</v>
      </c>
      <c r="D26015" s="6">
        <v>68.8</v>
      </c>
    </row>
    <row r="26016" spans="1:4" x14ac:dyDescent="0.25">
      <c r="A26016" t="str">
        <f>HYPERLINK("https://www.773grp.com/globalSearch/ADC12DS080CISQE-NOPB/page-1", "ADC12DS080CISQE-NOPB")</f>
        <v>ADC12DS080CISQE-NOPB</v>
      </c>
      <c r="B26016" s="3" t="s">
        <v>90</v>
      </c>
      <c r="C26016" s="5">
        <v>210</v>
      </c>
      <c r="D26016" s="6">
        <v>68.900000000000006</v>
      </c>
    </row>
    <row r="26017" spans="1:4" x14ac:dyDescent="0.25">
      <c r="A26017" t="str">
        <f>HYPERLINK("https://www.773grp.com/globalSearch/THS4051MJGB/page-1", "THS4051MJGB")</f>
        <v>THS4051MJGB</v>
      </c>
      <c r="B26017" s="3" t="s">
        <v>90</v>
      </c>
      <c r="C26017" s="5">
        <v>15</v>
      </c>
      <c r="D26017" s="6">
        <v>69.08</v>
      </c>
    </row>
    <row r="26018" spans="1:4" x14ac:dyDescent="0.25">
      <c r="A26018" t="str">
        <f>HYPERLINK("https://www.773grp.com/globalSearch/JM38510-65709BEA/page-1", "JM38510-65709BEA")</f>
        <v>JM38510-65709BEA</v>
      </c>
      <c r="B26018" s="3" t="s">
        <v>90</v>
      </c>
      <c r="C26018" s="5">
        <v>94</v>
      </c>
      <c r="D26018" s="6">
        <v>69.58</v>
      </c>
    </row>
    <row r="26019" spans="1:4" x14ac:dyDescent="0.25">
      <c r="A26019" t="str">
        <f>HYPERLINK("https://www.773grp.com/globalSearch/SNJ95160BFK/page-1", "SNJ95160BFK")</f>
        <v>SNJ95160BFK</v>
      </c>
      <c r="B26019" s="3" t="s">
        <v>90</v>
      </c>
      <c r="C26019" s="5">
        <v>282</v>
      </c>
      <c r="D26019" s="6">
        <v>69.75</v>
      </c>
    </row>
    <row r="26020" spans="1:4" x14ac:dyDescent="0.25">
      <c r="A26020" t="str">
        <f>HYPERLINK("https://www.773grp.com/globalSearch/SNJ95161BFK/page-1", "SNJ95161BFK")</f>
        <v>SNJ95161BFK</v>
      </c>
      <c r="B26020" s="3" t="s">
        <v>90</v>
      </c>
      <c r="C26020" s="5">
        <v>705</v>
      </c>
      <c r="D26020" s="6">
        <v>69.75</v>
      </c>
    </row>
    <row r="26021" spans="1:4" x14ac:dyDescent="0.25">
      <c r="A26021" t="str">
        <f>HYPERLINK("https://www.773grp.com/globalSearch/DAC1282IPWR/page-1", "DAC1282IPWR")</f>
        <v>DAC1282IPWR</v>
      </c>
      <c r="B26021" s="3" t="s">
        <v>90</v>
      </c>
      <c r="C26021" s="5">
        <v>2000</v>
      </c>
      <c r="D26021" s="6">
        <v>69.900000000000006</v>
      </c>
    </row>
    <row r="26022" spans="1:4" x14ac:dyDescent="0.25">
      <c r="A26022" t="str">
        <f>HYPERLINK("https://www.773grp.com/globalSearch/TMS370C759AFNT/page-1", "TMS370C759AFNT")</f>
        <v>TMS370C759AFNT</v>
      </c>
      <c r="B26022" s="3" t="s">
        <v>90</v>
      </c>
      <c r="C26022" s="5">
        <v>10</v>
      </c>
      <c r="D26022" s="6">
        <v>70.09</v>
      </c>
    </row>
    <row r="26023" spans="1:4" x14ac:dyDescent="0.25">
      <c r="A26023" t="str">
        <f>HYPERLINK("https://www.773grp.com/globalSearch/121252/page-1", "121252")</f>
        <v>121252</v>
      </c>
      <c r="B26023" s="3" t="s">
        <v>90</v>
      </c>
      <c r="C26023" s="5">
        <v>4</v>
      </c>
      <c r="D26023" s="6">
        <v>70.31</v>
      </c>
    </row>
    <row r="26024" spans="1:4" x14ac:dyDescent="0.25">
      <c r="A26024" t="str">
        <f>HYPERLINK("https://www.773grp.com/globalSearch/ADSDESERADPT/page-1", "ADSDESERADPT")</f>
        <v>ADSDESERADPT</v>
      </c>
      <c r="B26024" s="3" t="s">
        <v>90</v>
      </c>
      <c r="C26024" s="5">
        <v>1</v>
      </c>
      <c r="D26024" s="6">
        <v>70.31</v>
      </c>
    </row>
    <row r="26025" spans="1:4" x14ac:dyDescent="0.25">
      <c r="A26025" t="str">
        <f>HYPERLINK("https://www.773grp.com/globalSearch/DRV10866EVM/page-1", "DRV10866EVM")</f>
        <v>DRV10866EVM</v>
      </c>
      <c r="B26025" s="3" t="s">
        <v>90</v>
      </c>
      <c r="C26025" s="5">
        <v>5</v>
      </c>
      <c r="D26025" s="6">
        <v>70.31</v>
      </c>
    </row>
    <row r="26026" spans="1:4" x14ac:dyDescent="0.25">
      <c r="A26026" t="str">
        <f>HYPERLINK("https://www.773grp.com/globalSearch/DRV8837EVM/page-1", "DRV8837EVM")</f>
        <v>DRV8837EVM</v>
      </c>
      <c r="B26026" s="3" t="s">
        <v>90</v>
      </c>
      <c r="C26026" s="5">
        <v>7</v>
      </c>
      <c r="D26026" s="6">
        <v>70.31</v>
      </c>
    </row>
    <row r="26027" spans="1:4" x14ac:dyDescent="0.25">
      <c r="A26027" t="str">
        <f>HYPERLINK("https://www.773grp.com/globalSearch/DS7831WB/page-1", "DS7831WB")</f>
        <v>DS7831WB</v>
      </c>
      <c r="B26027" s="3" t="s">
        <v>90</v>
      </c>
      <c r="C26027" s="5">
        <v>86</v>
      </c>
      <c r="D26027" s="6">
        <v>70.31</v>
      </c>
    </row>
    <row r="26028" spans="1:4" x14ac:dyDescent="0.25">
      <c r="A26028" t="str">
        <f>HYPERLINK("https://www.773grp.com/globalSearch/DS7832FK/page-1", "DS7832FK")</f>
        <v>DS7832FK</v>
      </c>
      <c r="B26028" s="3" t="s">
        <v>90</v>
      </c>
      <c r="C26028" s="5">
        <v>709</v>
      </c>
      <c r="D26028" s="6">
        <v>70.31</v>
      </c>
    </row>
    <row r="26029" spans="1:4" x14ac:dyDescent="0.25">
      <c r="A26029" t="str">
        <f>HYPERLINK("https://www.773grp.com/globalSearch/LM22680EVAL-NOPB/page-1", "LM22680EVAL-NOPB")</f>
        <v>LM22680EVAL-NOPB</v>
      </c>
      <c r="B26029" s="3" t="s">
        <v>90</v>
      </c>
      <c r="C26029" s="5">
        <v>3</v>
      </c>
      <c r="D26029" s="6">
        <v>70.31</v>
      </c>
    </row>
    <row r="26030" spans="1:4" x14ac:dyDescent="0.25">
      <c r="A26030" t="str">
        <f>HYPERLINK("https://www.773grp.com/globalSearch/LM2673-5.0EVAL-NOPB/page-1", "LM2673-5.0EVAL-NOPB")</f>
        <v>LM2673-5.0EVAL-NOPB</v>
      </c>
      <c r="B26030" s="3" t="s">
        <v>90</v>
      </c>
      <c r="C26030" s="5">
        <v>1</v>
      </c>
      <c r="D26030" s="6">
        <v>70.31</v>
      </c>
    </row>
    <row r="26031" spans="1:4" x14ac:dyDescent="0.25">
      <c r="A26031" t="str">
        <f>HYPERLINK("https://www.773grp.com/globalSearch/LM3880EVAL/page-1", "LM3880EVAL")</f>
        <v>LM3880EVAL</v>
      </c>
      <c r="B26031" s="3" t="s">
        <v>90</v>
      </c>
      <c r="C26031" s="5">
        <v>3</v>
      </c>
      <c r="D26031" s="6">
        <v>70.31</v>
      </c>
    </row>
    <row r="26032" spans="1:4" x14ac:dyDescent="0.25">
      <c r="A26032" t="str">
        <f>HYPERLINK("https://www.773grp.com/globalSearch/LMH730316-NOPB/page-1", "LMH730316-NOPB")</f>
        <v>LMH730316-NOPB</v>
      </c>
      <c r="B26032" s="3" t="s">
        <v>90</v>
      </c>
      <c r="C26032" s="5">
        <v>2</v>
      </c>
      <c r="D26032" s="6">
        <v>70.31</v>
      </c>
    </row>
    <row r="26033" spans="1:4" x14ac:dyDescent="0.25">
      <c r="A26033" t="str">
        <f>HYPERLINK("https://www.773grp.com/globalSearch/LMZ23603EVAL-NOPB/page-1", "LMZ23603EVAL-NOPB")</f>
        <v>LMZ23603EVAL-NOPB</v>
      </c>
      <c r="B26033" s="3" t="s">
        <v>90</v>
      </c>
      <c r="C26033" s="5">
        <v>2</v>
      </c>
      <c r="D26033" s="6">
        <v>70.31</v>
      </c>
    </row>
    <row r="26034" spans="1:4" x14ac:dyDescent="0.25">
      <c r="A26034" t="str">
        <f>HYPERLINK("https://www.773grp.com/globalSearch/MPL1820J/page-1", "MPL1820J")</f>
        <v>MPL1820J</v>
      </c>
      <c r="B26034" s="3" t="s">
        <v>90</v>
      </c>
      <c r="C26034" s="5">
        <v>783</v>
      </c>
      <c r="D26034" s="6">
        <v>70.31</v>
      </c>
    </row>
    <row r="26035" spans="1:4" x14ac:dyDescent="0.25">
      <c r="A26035" t="str">
        <f>HYPERLINK("https://www.773grp.com/globalSearch/PTB48550AAH/page-1", "PTB48550AAH")</f>
        <v>PTB48550AAH</v>
      </c>
      <c r="B26035" s="3" t="s">
        <v>90</v>
      </c>
      <c r="C26035" s="5">
        <v>628</v>
      </c>
      <c r="D26035" s="6">
        <v>70.31</v>
      </c>
    </row>
    <row r="26036" spans="1:4" x14ac:dyDescent="0.25">
      <c r="A26036" t="str">
        <f>HYPERLINK("https://www.773grp.com/globalSearch/PTB48550BAH/page-1", "PTB48550BAH")</f>
        <v>PTB48550BAH</v>
      </c>
      <c r="B26036" s="3" t="s">
        <v>90</v>
      </c>
      <c r="C26036" s="5">
        <v>1764</v>
      </c>
      <c r="D26036" s="6">
        <v>70.31</v>
      </c>
    </row>
    <row r="26037" spans="1:4" x14ac:dyDescent="0.25">
      <c r="A26037" t="str">
        <f>HYPERLINK("https://www.773grp.com/globalSearch/SN74AVC2T244EVM/page-1", "SN74AVC2T244EVM")</f>
        <v>SN74AVC2T244EVM</v>
      </c>
      <c r="B26037" s="3" t="s">
        <v>90</v>
      </c>
      <c r="C26037" s="5">
        <v>1</v>
      </c>
      <c r="D26037" s="6">
        <v>70.31</v>
      </c>
    </row>
    <row r="26038" spans="1:4" x14ac:dyDescent="0.25">
      <c r="A26038" t="str">
        <f>HYPERLINK("https://www.773grp.com/globalSearch/TLK10002CTR/page-1", "TLK10002CTR")</f>
        <v>TLK10002CTR</v>
      </c>
      <c r="B26038" s="3" t="s">
        <v>90</v>
      </c>
      <c r="C26038" s="5">
        <v>459</v>
      </c>
      <c r="D26038" s="6">
        <v>70.31</v>
      </c>
    </row>
    <row r="26039" spans="1:4" x14ac:dyDescent="0.25">
      <c r="A26039" t="str">
        <f>HYPERLINK("https://www.773grp.com/globalSearch/TPS2113AEVM-581/page-1", "TPS2113AEVM-581")</f>
        <v>TPS2113AEVM-581</v>
      </c>
      <c r="B26039" s="3" t="s">
        <v>90</v>
      </c>
      <c r="C26039" s="5">
        <v>3</v>
      </c>
      <c r="D26039" s="6">
        <v>70.31</v>
      </c>
    </row>
    <row r="26040" spans="1:4" x14ac:dyDescent="0.25">
      <c r="A26040" t="str">
        <f>HYPERLINK("https://www.773grp.com/globalSearch/TPS2511EVM-141/page-1", "TPS2511EVM-141")</f>
        <v>TPS2511EVM-141</v>
      </c>
      <c r="B26040" s="3" t="s">
        <v>90</v>
      </c>
      <c r="C26040" s="5">
        <v>8</v>
      </c>
      <c r="D26040" s="6">
        <v>70.31</v>
      </c>
    </row>
    <row r="26041" spans="1:4" x14ac:dyDescent="0.25">
      <c r="A26041" t="str">
        <f>HYPERLINK("https://www.773grp.com/globalSearch/TPS40222EVM-001/page-1", "TPS40222EVM-001")</f>
        <v>TPS40222EVM-001</v>
      </c>
      <c r="B26041" s="3" t="s">
        <v>90</v>
      </c>
      <c r="C26041" s="5">
        <v>2</v>
      </c>
      <c r="D26041" s="6">
        <v>70.31</v>
      </c>
    </row>
    <row r="26042" spans="1:4" x14ac:dyDescent="0.25">
      <c r="A26042" t="str">
        <f>HYPERLINK("https://www.773grp.com/globalSearch/TPS5401EVM-708/page-1", "TPS5401EVM-708")</f>
        <v>TPS5401EVM-708</v>
      </c>
      <c r="B26042" s="3" t="s">
        <v>90</v>
      </c>
      <c r="C26042" s="5">
        <v>2</v>
      </c>
      <c r="D26042" s="6">
        <v>70.31</v>
      </c>
    </row>
    <row r="26043" spans="1:4" x14ac:dyDescent="0.25">
      <c r="A26043" t="str">
        <f>HYPERLINK("https://www.773grp.com/globalSearch/TPS54060EVM-457/page-1", "TPS54060EVM-457")</f>
        <v>TPS54060EVM-457</v>
      </c>
      <c r="B26043" s="3" t="s">
        <v>90</v>
      </c>
      <c r="C26043" s="5">
        <v>25</v>
      </c>
      <c r="D26043" s="6">
        <v>70.31</v>
      </c>
    </row>
    <row r="26044" spans="1:4" x14ac:dyDescent="0.25">
      <c r="A26044" t="str">
        <f>HYPERLINK("https://www.773grp.com/globalSearch/TPS54060EVM-590/page-1", "TPS54060EVM-590")</f>
        <v>TPS54060EVM-590</v>
      </c>
      <c r="B26044" s="3" t="s">
        <v>90</v>
      </c>
      <c r="C26044" s="5">
        <v>10</v>
      </c>
      <c r="D26044" s="6">
        <v>70.31</v>
      </c>
    </row>
    <row r="26045" spans="1:4" x14ac:dyDescent="0.25">
      <c r="A26045" t="str">
        <f>HYPERLINK("https://www.773grp.com/globalSearch/TPS54062EVM-695/page-1", "TPS54062EVM-695")</f>
        <v>TPS54062EVM-695</v>
      </c>
      <c r="B26045" s="3" t="s">
        <v>90</v>
      </c>
      <c r="C26045" s="5">
        <v>2</v>
      </c>
      <c r="D26045" s="6">
        <v>70.31</v>
      </c>
    </row>
    <row r="26046" spans="1:4" x14ac:dyDescent="0.25">
      <c r="A26046" t="str">
        <f>HYPERLINK("https://www.773grp.com/globalSearch/TPS54160EVM-230/page-1", "TPS54160EVM-230")</f>
        <v>TPS54160EVM-230</v>
      </c>
      <c r="B26046" s="3" t="s">
        <v>90</v>
      </c>
      <c r="C26046" s="5">
        <v>2</v>
      </c>
      <c r="D26046" s="6">
        <v>70.31</v>
      </c>
    </row>
    <row r="26047" spans="1:4" x14ac:dyDescent="0.25">
      <c r="A26047" t="str">
        <f>HYPERLINK("https://www.773grp.com/globalSearch/TPS54218EVM-511/page-1", "TPS54218EVM-511")</f>
        <v>TPS54218EVM-511</v>
      </c>
      <c r="B26047" s="3" t="s">
        <v>90</v>
      </c>
      <c r="C26047" s="5">
        <v>4</v>
      </c>
      <c r="D26047" s="6">
        <v>70.31</v>
      </c>
    </row>
    <row r="26048" spans="1:4" x14ac:dyDescent="0.25">
      <c r="A26048" t="str">
        <f>HYPERLINK("https://www.773grp.com/globalSearch/TPS54226EVM-539/page-1", "TPS54226EVM-539")</f>
        <v>TPS54226EVM-539</v>
      </c>
      <c r="B26048" s="3" t="s">
        <v>90</v>
      </c>
      <c r="C26048" s="5">
        <v>48</v>
      </c>
      <c r="D26048" s="6">
        <v>70.31</v>
      </c>
    </row>
    <row r="26049" spans="1:4" x14ac:dyDescent="0.25">
      <c r="A26049" t="str">
        <f>HYPERLINK("https://www.773grp.com/globalSearch/TPS54240EVM-605/page-1", "TPS54240EVM-605")</f>
        <v>TPS54240EVM-605</v>
      </c>
      <c r="B26049" s="3" t="s">
        <v>90</v>
      </c>
      <c r="C26049" s="5">
        <v>10</v>
      </c>
      <c r="D26049" s="6">
        <v>70.31</v>
      </c>
    </row>
    <row r="26050" spans="1:4" x14ac:dyDescent="0.25">
      <c r="A26050" t="str">
        <f>HYPERLINK("https://www.773grp.com/globalSearch/TPS54260EVM-597/page-1", "TPS54260EVM-597")</f>
        <v>TPS54260EVM-597</v>
      </c>
      <c r="B26050" s="3" t="s">
        <v>90</v>
      </c>
      <c r="C26050" s="5">
        <v>6</v>
      </c>
      <c r="D26050" s="6">
        <v>70.31</v>
      </c>
    </row>
    <row r="26051" spans="1:4" x14ac:dyDescent="0.25">
      <c r="A26051" t="str">
        <f>HYPERLINK("https://www.773grp.com/globalSearch/TPS54318EVM-512/page-1", "TPS54318EVM-512")</f>
        <v>TPS54318EVM-512</v>
      </c>
      <c r="B26051" s="3" t="s">
        <v>90</v>
      </c>
      <c r="C26051" s="5">
        <v>5</v>
      </c>
      <c r="D26051" s="6">
        <v>70.31</v>
      </c>
    </row>
    <row r="26052" spans="1:4" x14ac:dyDescent="0.25">
      <c r="A26052" t="str">
        <f>HYPERLINK("https://www.773grp.com/globalSearch/TPS54319EVM-626/page-1", "TPS54319EVM-626")</f>
        <v>TPS54319EVM-626</v>
      </c>
      <c r="B26052" s="3" t="s">
        <v>90</v>
      </c>
      <c r="C26052" s="5">
        <v>25</v>
      </c>
      <c r="D26052" s="6">
        <v>70.31</v>
      </c>
    </row>
    <row r="26053" spans="1:4" x14ac:dyDescent="0.25">
      <c r="A26053" t="str">
        <f>HYPERLINK("https://www.773grp.com/globalSearch/TPS54326EVM-540/page-1", "TPS54326EVM-540")</f>
        <v>TPS54326EVM-540</v>
      </c>
      <c r="B26053" s="3" t="s">
        <v>90</v>
      </c>
      <c r="C26053" s="5">
        <v>3</v>
      </c>
      <c r="D26053" s="6">
        <v>70.31</v>
      </c>
    </row>
    <row r="26054" spans="1:4" x14ac:dyDescent="0.25">
      <c r="A26054" t="str">
        <f>HYPERLINK("https://www.773grp.com/globalSearch/TPS54327EVM-686/page-1", "TPS54327EVM-686")</f>
        <v>TPS54327EVM-686</v>
      </c>
      <c r="B26054" s="3" t="s">
        <v>90</v>
      </c>
      <c r="C26054" s="5">
        <v>3</v>
      </c>
      <c r="D26054" s="6">
        <v>70.31</v>
      </c>
    </row>
    <row r="26055" spans="1:4" x14ac:dyDescent="0.25">
      <c r="A26055" t="str">
        <f>HYPERLINK("https://www.773grp.com/globalSearch/TPS54328EVM-686/page-1", "TPS54328EVM-686")</f>
        <v>TPS54328EVM-686</v>
      </c>
      <c r="B26055" s="3" t="s">
        <v>90</v>
      </c>
      <c r="C26055" s="5">
        <v>2</v>
      </c>
      <c r="D26055" s="6">
        <v>70.31</v>
      </c>
    </row>
    <row r="26056" spans="1:4" x14ac:dyDescent="0.25">
      <c r="A26056" t="str">
        <f>HYPERLINK("https://www.773grp.com/globalSearch/TPS54329EVM-056/page-1", "TPS54329EVM-056")</f>
        <v>TPS54329EVM-056</v>
      </c>
      <c r="B26056" s="3" t="s">
        <v>90</v>
      </c>
      <c r="C26056" s="5">
        <v>1</v>
      </c>
      <c r="D26056" s="6">
        <v>70.31</v>
      </c>
    </row>
    <row r="26057" spans="1:4" x14ac:dyDescent="0.25">
      <c r="A26057" t="str">
        <f>HYPERLINK("https://www.773grp.com/globalSearch/TPS54332EVM-416/page-1", "TPS54332EVM-416")</f>
        <v>TPS54332EVM-416</v>
      </c>
      <c r="B26057" s="3" t="s">
        <v>90</v>
      </c>
      <c r="C26057" s="5">
        <v>4</v>
      </c>
      <c r="D26057" s="6">
        <v>70.31</v>
      </c>
    </row>
    <row r="26058" spans="1:4" x14ac:dyDescent="0.25">
      <c r="A26058" t="str">
        <f>HYPERLINK("https://www.773grp.com/globalSearch/TPS54360EVM-182/page-1", "TPS54360EVM-182")</f>
        <v>TPS54360EVM-182</v>
      </c>
      <c r="B26058" s="3" t="s">
        <v>90</v>
      </c>
      <c r="C26058" s="5">
        <v>5</v>
      </c>
      <c r="D26058" s="6">
        <v>70.31</v>
      </c>
    </row>
    <row r="26059" spans="1:4" x14ac:dyDescent="0.25">
      <c r="A26059" t="str">
        <f>HYPERLINK("https://www.773grp.com/globalSearch/TPS54418EVM-375/page-1", "TPS54418EVM-375")</f>
        <v>TPS54418EVM-375</v>
      </c>
      <c r="B26059" s="3" t="s">
        <v>90</v>
      </c>
      <c r="C26059" s="5">
        <v>3</v>
      </c>
      <c r="D26059" s="6">
        <v>70.31</v>
      </c>
    </row>
    <row r="26060" spans="1:4" x14ac:dyDescent="0.25">
      <c r="A26060" t="str">
        <f>HYPERLINK("https://www.773grp.com/globalSearch/TPS54428EVM-052/page-1", "TPS54428EVM-052")</f>
        <v>TPS54428EVM-052</v>
      </c>
      <c r="B26060" s="3" t="s">
        <v>90</v>
      </c>
      <c r="C26060" s="5">
        <v>2</v>
      </c>
      <c r="D26060" s="6">
        <v>70.31</v>
      </c>
    </row>
    <row r="26061" spans="1:4" x14ac:dyDescent="0.25">
      <c r="A26061" t="str">
        <f>HYPERLINK("https://www.773grp.com/globalSearch/TPS55386EVM-363/page-1", "TPS55386EVM-363")</f>
        <v>TPS55386EVM-363</v>
      </c>
      <c r="B26061" s="3" t="s">
        <v>90</v>
      </c>
      <c r="C26061" s="5">
        <v>4</v>
      </c>
      <c r="D26061" s="6">
        <v>70.31</v>
      </c>
    </row>
    <row r="26062" spans="1:4" x14ac:dyDescent="0.25">
      <c r="A26062" t="str">
        <f>HYPERLINK("https://www.773grp.com/globalSearch/TPS62601EVM-327/page-1", "TPS62601EVM-327")</f>
        <v>TPS62601EVM-327</v>
      </c>
      <c r="B26062" s="3" t="s">
        <v>90</v>
      </c>
      <c r="C26062" s="5">
        <v>16</v>
      </c>
      <c r="D26062" s="6">
        <v>70.31</v>
      </c>
    </row>
    <row r="26063" spans="1:4" x14ac:dyDescent="0.25">
      <c r="A26063" t="str">
        <f>HYPERLINK("https://www.773grp.com/globalSearch/TMS320C6211BZFN150/page-1", "TMS320C6211BZFN150")</f>
        <v>TMS320C6211BZFN150</v>
      </c>
      <c r="B26063" s="3" t="s">
        <v>90</v>
      </c>
      <c r="C26063" s="5">
        <v>20</v>
      </c>
      <c r="D26063" s="6">
        <v>70.59</v>
      </c>
    </row>
    <row r="26064" spans="1:4" x14ac:dyDescent="0.25">
      <c r="A26064" t="str">
        <f>HYPERLINK("https://www.773grp.com/globalSearch/PCM67U-J/page-1", "PCM67U-J")</f>
        <v>PCM67U-J</v>
      </c>
      <c r="B26064" s="3" t="s">
        <v>90</v>
      </c>
      <c r="C26064" s="5">
        <v>56</v>
      </c>
      <c r="D26064" s="6">
        <v>71.010000000000005</v>
      </c>
    </row>
    <row r="26065" spans="1:4" x14ac:dyDescent="0.25">
      <c r="A26065" t="str">
        <f>HYPERLINK("https://www.773grp.com/globalSearch/TI380FPAAFNL/page-1", "TI380FPAAFNL")</f>
        <v>TI380FPAAFNL</v>
      </c>
      <c r="B26065" s="3" t="s">
        <v>90</v>
      </c>
      <c r="C26065" s="5">
        <v>52</v>
      </c>
      <c r="D26065" s="6">
        <v>71.08</v>
      </c>
    </row>
    <row r="26066" spans="1:4" x14ac:dyDescent="0.25">
      <c r="A26066" t="str">
        <f>HYPERLINK("https://www.773grp.com/globalSearch/TMS320DM355CZCE270/page-1", "TMS320DM355CZCE270")</f>
        <v>TMS320DM355CZCE270</v>
      </c>
      <c r="B26066" s="3" t="s">
        <v>90</v>
      </c>
      <c r="C26066" s="5">
        <v>15148</v>
      </c>
      <c r="D26066" s="6">
        <v>71.59</v>
      </c>
    </row>
    <row r="26067" spans="1:4" x14ac:dyDescent="0.25">
      <c r="A26067" t="str">
        <f>HYPERLINK("https://www.773grp.com/globalSearch/MPD23042JT/page-1", "MPD23042JT")</f>
        <v>MPD23042JT</v>
      </c>
      <c r="B26067" s="3" t="s">
        <v>90</v>
      </c>
      <c r="C26067" s="5">
        <v>1039</v>
      </c>
      <c r="D26067" s="6">
        <v>71.78</v>
      </c>
    </row>
    <row r="26068" spans="1:4" x14ac:dyDescent="0.25">
      <c r="A26068" t="str">
        <f>HYPERLINK("https://www.773grp.com/globalSearch/DM3730CBP/page-1", "DM3730CBP")</f>
        <v>DM3730CBP</v>
      </c>
      <c r="B26068" s="3" t="s">
        <v>90</v>
      </c>
      <c r="C26068" s="5">
        <v>15</v>
      </c>
      <c r="D26068" s="6">
        <v>72</v>
      </c>
    </row>
    <row r="26069" spans="1:4" x14ac:dyDescent="0.25">
      <c r="A26069" t="str">
        <f>HYPERLINK("https://www.773grp.com/globalSearch/TMS32C6713BGDPA200/page-1", "TMS32C6713BGDPA200")</f>
        <v>TMS32C6713BGDPA200</v>
      </c>
      <c r="B26069" s="3" t="s">
        <v>90</v>
      </c>
      <c r="C26069" s="5">
        <v>49</v>
      </c>
      <c r="D26069" s="6">
        <v>72</v>
      </c>
    </row>
    <row r="26070" spans="1:4" x14ac:dyDescent="0.25">
      <c r="A26070" t="str">
        <f>HYPERLINK("https://www.773grp.com/globalSearch/PTH12030LAS/page-1", "PTH12030LAS")</f>
        <v>PTH12030LAS</v>
      </c>
      <c r="B26070" s="3" t="s">
        <v>90</v>
      </c>
      <c r="C26070" s="5">
        <v>45</v>
      </c>
      <c r="D26070" s="6">
        <v>72.34</v>
      </c>
    </row>
    <row r="26071" spans="1:4" x14ac:dyDescent="0.25">
      <c r="A26071" t="str">
        <f>HYPERLINK("https://www.773grp.com/globalSearch/PTH12030WAS/page-1", "PTH12030WAS")</f>
        <v>PTH12030WAS</v>
      </c>
      <c r="B26071" s="3" t="s">
        <v>90</v>
      </c>
      <c r="C26071" s="5">
        <v>17</v>
      </c>
      <c r="D26071" s="6">
        <v>72.34</v>
      </c>
    </row>
    <row r="26072" spans="1:4" x14ac:dyDescent="0.25">
      <c r="A26072" t="str">
        <f>HYPERLINK("https://www.773grp.com/globalSearch/ADS6124IRHB25/page-1", "ADS6124IRHB25")</f>
        <v>ADS6124IRHB25</v>
      </c>
      <c r="B26072" s="3" t="s">
        <v>90</v>
      </c>
      <c r="C26072" s="5">
        <v>250</v>
      </c>
      <c r="D26072" s="6">
        <v>72.430000000000007</v>
      </c>
    </row>
    <row r="26073" spans="1:4" x14ac:dyDescent="0.25">
      <c r="A26073" t="str">
        <f>HYPERLINK("https://www.773grp.com/globalSearch/PT5801C/page-1", "PT5801C")</f>
        <v>PT5801C</v>
      </c>
      <c r="B26073" s="3" t="s">
        <v>90</v>
      </c>
      <c r="C26073" s="5">
        <v>5</v>
      </c>
      <c r="D26073" s="6">
        <v>72.94</v>
      </c>
    </row>
    <row r="26074" spans="1:4" x14ac:dyDescent="0.25">
      <c r="A26074" t="str">
        <f>HYPERLINK("https://www.773grp.com/globalSearch/PT5804C/page-1", "PT5804C")</f>
        <v>PT5804C</v>
      </c>
      <c r="B26074" s="3" t="s">
        <v>90</v>
      </c>
      <c r="C26074" s="5">
        <v>14</v>
      </c>
      <c r="D26074" s="6">
        <v>72.94</v>
      </c>
    </row>
    <row r="26075" spans="1:4" x14ac:dyDescent="0.25">
      <c r="A26075" t="str">
        <f>HYPERLINK("https://www.773grp.com/globalSearch/SMJ64C16S-55JDM/page-1", "SMJ64C16S-55JDM")</f>
        <v>SMJ64C16S-55JDM</v>
      </c>
      <c r="B26075" s="3" t="s">
        <v>90</v>
      </c>
      <c r="C26075" s="5">
        <v>616</v>
      </c>
      <c r="D26075" s="6">
        <v>73.13</v>
      </c>
    </row>
    <row r="26076" spans="1:4" x14ac:dyDescent="0.25">
      <c r="A26076" t="str">
        <f>HYPERLINK("https://www.773grp.com/globalSearch/ADS7806UB-1K/page-1", "ADS7806UB-1K")</f>
        <v>ADS7806UB-1K</v>
      </c>
      <c r="B26076" s="3" t="s">
        <v>90</v>
      </c>
      <c r="C26076" s="5">
        <v>1000</v>
      </c>
      <c r="D26076" s="6">
        <v>73.540000000000006</v>
      </c>
    </row>
    <row r="26077" spans="1:4" x14ac:dyDescent="0.25">
      <c r="A26077" t="str">
        <f>HYPERLINK("https://www.773grp.com/globalSearch/POMAP5912ZDYA/page-1", "POMAP5912ZDYA")</f>
        <v>POMAP5912ZDYA</v>
      </c>
      <c r="B26077" s="3" t="s">
        <v>90</v>
      </c>
      <c r="C26077" s="5">
        <v>135</v>
      </c>
      <c r="D26077" s="6">
        <v>73.540000000000006</v>
      </c>
    </row>
    <row r="26078" spans="1:4" x14ac:dyDescent="0.25">
      <c r="A26078" t="str">
        <f>HYPERLINK("https://www.773grp.com/globalSearch/JM38510-65402BEA/page-1", "JM38510-65402BEA")</f>
        <v>JM38510-65402BEA</v>
      </c>
      <c r="B26078" s="3" t="s">
        <v>90</v>
      </c>
      <c r="C26078" s="5">
        <v>2</v>
      </c>
      <c r="D26078" s="6">
        <v>73.78</v>
      </c>
    </row>
    <row r="26079" spans="1:4" x14ac:dyDescent="0.25">
      <c r="A26079" t="str">
        <f>HYPERLINK("https://www.773grp.com/globalSearch/DS7832FKB/page-1", "DS7832FKB")</f>
        <v>DS7832FKB</v>
      </c>
      <c r="B26079" s="3" t="s">
        <v>90</v>
      </c>
      <c r="C26079" s="5">
        <v>1104</v>
      </c>
      <c r="D26079" s="6">
        <v>73.83</v>
      </c>
    </row>
    <row r="26080" spans="1:4" x14ac:dyDescent="0.25">
      <c r="A26080" t="str">
        <f>HYPERLINK("https://www.773grp.com/globalSearch/PCM69AP-3/page-1", "PCM69AP-3")</f>
        <v>PCM69AP-3</v>
      </c>
      <c r="B26080" s="3" t="s">
        <v>90</v>
      </c>
      <c r="C26080" s="5">
        <v>11900</v>
      </c>
      <c r="D26080" s="6">
        <v>73.83</v>
      </c>
    </row>
    <row r="26081" spans="1:4" x14ac:dyDescent="0.25">
      <c r="A26081" t="str">
        <f>HYPERLINK("https://www.773grp.com/globalSearch/PT6461C/page-1", "PT6461C")</f>
        <v>PT6461C</v>
      </c>
      <c r="B26081" s="3" t="s">
        <v>90</v>
      </c>
      <c r="C26081" s="5">
        <v>6</v>
      </c>
      <c r="D26081" s="6">
        <v>74.25</v>
      </c>
    </row>
    <row r="26082" spans="1:4" x14ac:dyDescent="0.25">
      <c r="A26082" t="str">
        <f>HYPERLINK("https://www.773grp.com/globalSearch/PT6601P/page-1", "PT6601P")</f>
        <v>PT6601P</v>
      </c>
      <c r="B26082" s="3" t="s">
        <v>90</v>
      </c>
      <c r="C26082" s="5">
        <v>6</v>
      </c>
      <c r="D26082" s="6">
        <v>74.34</v>
      </c>
    </row>
    <row r="26083" spans="1:4" x14ac:dyDescent="0.25">
      <c r="A26083" t="str">
        <f>HYPERLINK("https://www.773grp.com/globalSearch/PT6602P/page-1", "PT6602P")</f>
        <v>PT6602P</v>
      </c>
      <c r="B26083" s="3" t="s">
        <v>90</v>
      </c>
      <c r="C26083" s="5">
        <v>4</v>
      </c>
      <c r="D26083" s="6">
        <v>74.34</v>
      </c>
    </row>
    <row r="26084" spans="1:4" x14ac:dyDescent="0.25">
      <c r="A26084" t="str">
        <f>HYPERLINK("https://www.773grp.com/globalSearch/ADS62P23IRGCT  REEL/page-1", "ADS62P23IRGCT  REEL")</f>
        <v>ADS62P23IRGCT  REEL</v>
      </c>
      <c r="B26084" s="3" t="s">
        <v>90</v>
      </c>
      <c r="C26084" s="5">
        <v>74</v>
      </c>
      <c r="D26084" s="6">
        <v>74.680000000000007</v>
      </c>
    </row>
    <row r="26085" spans="1:4" x14ac:dyDescent="0.25">
      <c r="A26085" t="str">
        <f>HYPERLINK("https://www.773grp.com/globalSearch/JM38510-65703B2A/page-1", "JM38510-65703B2A")</f>
        <v>JM38510-65703B2A</v>
      </c>
      <c r="B26085" s="3" t="s">
        <v>90</v>
      </c>
      <c r="C26085" s="5">
        <v>12</v>
      </c>
      <c r="D26085" s="6">
        <v>75.099999999999994</v>
      </c>
    </row>
    <row r="26086" spans="1:4" x14ac:dyDescent="0.25">
      <c r="A26086" t="str">
        <f>HYPERLINK("https://www.773grp.com/globalSearch/SMJ68CE16S-70JDM/page-1", "SMJ68CE16S-70JDM")</f>
        <v>SMJ68CE16S-70JDM</v>
      </c>
      <c r="B26086" s="3" t="s">
        <v>90</v>
      </c>
      <c r="C26086" s="5">
        <v>264</v>
      </c>
      <c r="D26086" s="6">
        <v>75.489999999999995</v>
      </c>
    </row>
    <row r="26087" spans="1:4" x14ac:dyDescent="0.25">
      <c r="A26087" t="str">
        <f>HYPERLINK("https://www.773grp.com/globalSearch/TMX320VC5416PGE160/page-1", "TMX320VC5416PGE160")</f>
        <v>TMX320VC5416PGE160</v>
      </c>
      <c r="B26087" s="3" t="s">
        <v>90</v>
      </c>
      <c r="C26087" s="5">
        <v>4088</v>
      </c>
      <c r="D26087" s="6">
        <v>75.489999999999995</v>
      </c>
    </row>
    <row r="26088" spans="1:4" x14ac:dyDescent="0.25">
      <c r="A26088" t="str">
        <f>HYPERLINK("https://www.773grp.com/globalSearch/TMS320VC5416ZGU120/page-1", "TMS320VC5416ZGU120")</f>
        <v>TMS320VC5416ZGU120</v>
      </c>
      <c r="B26088" s="3" t="s">
        <v>90</v>
      </c>
      <c r="C26088" s="5">
        <v>320</v>
      </c>
      <c r="D26088" s="6">
        <v>75.78</v>
      </c>
    </row>
    <row r="26089" spans="1:4" x14ac:dyDescent="0.25">
      <c r="A26089" t="str">
        <f>HYPERLINK("https://www.773grp.com/globalSearch/SMJ64C16L-70JDM/page-1", "SMJ64C16L-70JDM")</f>
        <v>SMJ64C16L-70JDM</v>
      </c>
      <c r="B26089" s="3" t="s">
        <v>90</v>
      </c>
      <c r="C26089" s="5">
        <v>682</v>
      </c>
      <c r="D26089" s="6">
        <v>75.94</v>
      </c>
    </row>
    <row r="26090" spans="1:4" x14ac:dyDescent="0.25">
      <c r="A26090" t="str">
        <f>HYPERLINK("https://www.773grp.com/globalSearch/SN74BCT2164-12FMR/page-1", "SN74BCT2164-12FMR")</f>
        <v>SN74BCT2164-12FMR</v>
      </c>
      <c r="B26090" s="3" t="s">
        <v>90</v>
      </c>
      <c r="C26090" s="5">
        <v>2500</v>
      </c>
      <c r="D26090" s="6">
        <v>75.94</v>
      </c>
    </row>
    <row r="26091" spans="1:4" x14ac:dyDescent="0.25">
      <c r="A26091" t="str">
        <f>HYPERLINK("https://www.773grp.com/globalSearch/UA723MFKB/page-1", "UA723MFKB")</f>
        <v>UA723MFKB</v>
      </c>
      <c r="B26091" s="3" t="s">
        <v>90</v>
      </c>
      <c r="C26091" s="5">
        <v>682</v>
      </c>
      <c r="D26091" s="6">
        <v>75.94</v>
      </c>
    </row>
    <row r="26092" spans="1:4" x14ac:dyDescent="0.25">
      <c r="A26092" t="str">
        <f>HYPERLINK("https://www.773grp.com/globalSearch/TMX320DM640GNZ/page-1", "TMX320DM640GNZ")</f>
        <v>TMX320DM640GNZ</v>
      </c>
      <c r="B26092" s="3" t="s">
        <v>90</v>
      </c>
      <c r="C26092" s="5">
        <v>25</v>
      </c>
      <c r="D26092" s="6">
        <v>76.08</v>
      </c>
    </row>
    <row r="26093" spans="1:4" x14ac:dyDescent="0.25">
      <c r="A26093" t="str">
        <f>HYPERLINK("https://www.773grp.com/globalSearch/JM38510-10407BEA/page-1", "JM38510-10407BEA")</f>
        <v>JM38510-10407BEA</v>
      </c>
      <c r="B26093" s="3" t="s">
        <v>90</v>
      </c>
      <c r="C26093" s="5">
        <v>484</v>
      </c>
      <c r="D26093" s="6">
        <v>76.45</v>
      </c>
    </row>
    <row r="26094" spans="1:4" x14ac:dyDescent="0.25">
      <c r="A26094" t="str">
        <f>HYPERLINK("https://www.773grp.com/globalSearch/DM3725CBP100/page-1", "DM3725CBP100")</f>
        <v>DM3725CBP100</v>
      </c>
      <c r="B26094" s="3" t="s">
        <v>90</v>
      </c>
      <c r="C26094" s="5">
        <v>186</v>
      </c>
      <c r="D26094" s="6">
        <v>76.5</v>
      </c>
    </row>
    <row r="26095" spans="1:4" x14ac:dyDescent="0.25">
      <c r="A26095" t="str">
        <f>HYPERLINK("https://www.773grp.com/globalSearch/5962-8762101EA/page-1", "5962-8762101EA")</f>
        <v>5962-8762101EA</v>
      </c>
      <c r="B26095" s="3" t="s">
        <v>90</v>
      </c>
      <c r="C26095" s="5">
        <v>7</v>
      </c>
      <c r="D26095" s="6">
        <v>76.61</v>
      </c>
    </row>
    <row r="26096" spans="1:4" x14ac:dyDescent="0.25">
      <c r="A26096" t="str">
        <f>HYPERLINK("https://www.773grp.com/globalSearch/SMJ61CD16LA-70JDM/page-1", "SMJ61CD16LA-70JDM")</f>
        <v>SMJ61CD16LA-70JDM</v>
      </c>
      <c r="B26096" s="3" t="s">
        <v>90</v>
      </c>
      <c r="C26096" s="5">
        <v>318</v>
      </c>
      <c r="D26096" s="6">
        <v>77.239999999999995</v>
      </c>
    </row>
    <row r="26097" spans="1:4" x14ac:dyDescent="0.25">
      <c r="A26097" t="str">
        <f>HYPERLINK("https://www.773grp.com/globalSearch/TMS320C6424ZDU6/page-1", "TMS320C6424ZDU6")</f>
        <v>TMS320C6424ZDU6</v>
      </c>
      <c r="B26097" s="3" t="s">
        <v>90</v>
      </c>
      <c r="C26097" s="5">
        <v>4</v>
      </c>
      <c r="D26097" s="6">
        <v>77.34</v>
      </c>
    </row>
    <row r="26098" spans="1:4" x14ac:dyDescent="0.25">
      <c r="A26098" t="str">
        <f>HYPERLINK("https://www.773grp.com/globalSearch/ADS7813UB/page-1", "ADS7813UB")</f>
        <v>ADS7813UB</v>
      </c>
      <c r="B26098" s="3" t="s">
        <v>90</v>
      </c>
      <c r="C26098" s="5">
        <v>2040</v>
      </c>
      <c r="D26098" s="6">
        <v>77.63</v>
      </c>
    </row>
    <row r="26099" spans="1:4" x14ac:dyDescent="0.25">
      <c r="A26099" t="str">
        <f>HYPERLINK("https://www.773grp.com/globalSearch/ADS5421Y-T/page-1", "ADS5421Y-T")</f>
        <v>ADS5421Y-T</v>
      </c>
      <c r="B26099" s="3" t="s">
        <v>90</v>
      </c>
      <c r="C26099" s="5">
        <v>360</v>
      </c>
      <c r="D26099" s="6">
        <v>78.010000000000005</v>
      </c>
    </row>
    <row r="26100" spans="1:4" x14ac:dyDescent="0.25">
      <c r="A26100" t="str">
        <f>HYPERLINK("https://www.773grp.com/globalSearch/LM118H-883/page-1", "LM118H-883")</f>
        <v>LM118H-883</v>
      </c>
      <c r="B26100" s="3" t="s">
        <v>90</v>
      </c>
      <c r="C26100" s="5">
        <v>256</v>
      </c>
      <c r="D26100" s="6">
        <v>78.16</v>
      </c>
    </row>
    <row r="26101" spans="1:4" x14ac:dyDescent="0.25">
      <c r="A26101" t="str">
        <f>HYPERLINK("https://www.773grp.com/globalSearch/5962-91728001Q3A/page-1", "5962-91728001Q3A")</f>
        <v>5962-91728001Q3A</v>
      </c>
      <c r="B26101" s="3" t="s">
        <v>90</v>
      </c>
      <c r="C26101" s="5">
        <v>9</v>
      </c>
      <c r="D26101" s="6">
        <v>78.19</v>
      </c>
    </row>
    <row r="26102" spans="1:4" x14ac:dyDescent="0.25">
      <c r="A26102" t="str">
        <f>HYPERLINK("https://www.773grp.com/globalSearch/ADS41B25IRGZR/page-1", "ADS41B25IRGZR")</f>
        <v>ADS41B25IRGZR</v>
      </c>
      <c r="B26102" s="3" t="s">
        <v>90</v>
      </c>
      <c r="C26102" s="5">
        <v>5000</v>
      </c>
      <c r="D26102" s="6">
        <v>78.19</v>
      </c>
    </row>
    <row r="26103" spans="1:4" x14ac:dyDescent="0.25">
      <c r="A26103" t="str">
        <f>HYPERLINK("https://www.773grp.com/globalSearch/TMS320DM641AZNZ5/page-1", "TMS320DM641AZNZ5")</f>
        <v>TMS320DM641AZNZ5</v>
      </c>
      <c r="B26103" s="3" t="s">
        <v>90</v>
      </c>
      <c r="C26103" s="5">
        <v>64</v>
      </c>
      <c r="D26103" s="6">
        <v>78.599999999999994</v>
      </c>
    </row>
    <row r="26104" spans="1:4" x14ac:dyDescent="0.25">
      <c r="A26104" t="str">
        <f>HYPERLINK("https://www.773grp.com/globalSearch/TMS38030PQL-10/page-1", "TMS38030PQL-10")</f>
        <v>TMS38030PQL-10</v>
      </c>
      <c r="B26104" s="3" t="s">
        <v>90</v>
      </c>
      <c r="C26104" s="5">
        <v>4957</v>
      </c>
      <c r="D26104" s="6">
        <v>78.75</v>
      </c>
    </row>
    <row r="26105" spans="1:4" x14ac:dyDescent="0.25">
      <c r="A26105" t="str">
        <f>HYPERLINK("https://www.773grp.com/globalSearch/PT6442C/page-1", "PT6442C")</f>
        <v>PT6442C</v>
      </c>
      <c r="B26105" s="3" t="s">
        <v>90</v>
      </c>
      <c r="C26105" s="5">
        <v>17</v>
      </c>
      <c r="D26105" s="6">
        <v>78.78</v>
      </c>
    </row>
    <row r="26106" spans="1:4" x14ac:dyDescent="0.25">
      <c r="A26106" t="str">
        <f>HYPERLINK("https://www.773grp.com/globalSearch/PT6445A/page-1", "PT6445A")</f>
        <v>PT6445A</v>
      </c>
      <c r="B26106" s="3" t="s">
        <v>90</v>
      </c>
      <c r="C26106" s="5">
        <v>2</v>
      </c>
      <c r="D26106" s="6">
        <v>78.78</v>
      </c>
    </row>
    <row r="26107" spans="1:4" x14ac:dyDescent="0.25">
      <c r="A26107" t="str">
        <f>HYPERLINK("https://www.773grp.com/globalSearch/TMX320VC5509GHH/page-1", "TMX320VC5509GHH")</f>
        <v>TMX320VC5509GHH</v>
      </c>
      <c r="B26107" s="3" t="s">
        <v>90</v>
      </c>
      <c r="C26107" s="5">
        <v>71</v>
      </c>
      <c r="D26107" s="6">
        <v>78.84</v>
      </c>
    </row>
    <row r="26108" spans="1:4" x14ac:dyDescent="0.25">
      <c r="A26108" t="str">
        <f>HYPERLINK("https://www.773grp.com/globalSearch/TMX320VC5509PGE/page-1", "TMX320VC5509PGE")</f>
        <v>TMX320VC5509PGE</v>
      </c>
      <c r="B26108" s="3" t="s">
        <v>90</v>
      </c>
      <c r="C26108" s="5">
        <v>456</v>
      </c>
      <c r="D26108" s="6">
        <v>78.84</v>
      </c>
    </row>
    <row r="26109" spans="1:4" x14ac:dyDescent="0.25">
      <c r="A26109" t="str">
        <f>HYPERLINK("https://www.773grp.com/globalSearch/ADS7806UB/page-1", "ADS7806UB")</f>
        <v>ADS7806UB</v>
      </c>
      <c r="B26109" s="3" t="s">
        <v>90</v>
      </c>
      <c r="C26109" s="5">
        <v>1000</v>
      </c>
      <c r="D26109" s="6">
        <v>79.180000000000007</v>
      </c>
    </row>
    <row r="26110" spans="1:4" x14ac:dyDescent="0.25">
      <c r="A26110" t="str">
        <f>HYPERLINK("https://www.773grp.com/globalSearch/TNETC4040CPPM/page-1", "TNETC4040CPPM")</f>
        <v>TNETC4040CPPM</v>
      </c>
      <c r="B26110" s="3" t="s">
        <v>90</v>
      </c>
      <c r="C26110" s="5">
        <v>392</v>
      </c>
      <c r="D26110" s="6">
        <v>79.36</v>
      </c>
    </row>
    <row r="26111" spans="1:4" x14ac:dyDescent="0.25">
      <c r="A26111" t="str">
        <f>HYPERLINK("https://www.773grp.com/globalSearch/F711082PGV/page-1", "F711082PGV")</f>
        <v>F711082PGV</v>
      </c>
      <c r="B26111" s="3" t="s">
        <v>90</v>
      </c>
      <c r="C26111" s="5">
        <v>22</v>
      </c>
      <c r="D26111" s="6">
        <v>79.45</v>
      </c>
    </row>
    <row r="26112" spans="1:4" x14ac:dyDescent="0.25">
      <c r="A26112" t="str">
        <f>HYPERLINK("https://www.773grp.com/globalSearch/TMS320BCS1PQ100/page-1", "TMS320BCS1PQ100")</f>
        <v>TMS320BCS1PQ100</v>
      </c>
      <c r="B26112" s="3" t="s">
        <v>90</v>
      </c>
      <c r="C26112" s="5">
        <v>144</v>
      </c>
      <c r="D26112" s="6">
        <v>79.7</v>
      </c>
    </row>
    <row r="26113" spans="1:4" x14ac:dyDescent="0.25">
      <c r="A26113" t="str">
        <f>HYPERLINK("https://www.773grp.com/globalSearch/TMX320VC5509GHH31/page-1", "TMX320VC5509GHH31")</f>
        <v>TMX320VC5509GHH31</v>
      </c>
      <c r="B26113" s="3" t="s">
        <v>90</v>
      </c>
      <c r="C26113" s="5">
        <v>620</v>
      </c>
      <c r="D26113" s="6">
        <v>79.95</v>
      </c>
    </row>
    <row r="26114" spans="1:4" x14ac:dyDescent="0.25">
      <c r="A26114" t="str">
        <f>HYPERLINK("https://www.773grp.com/globalSearch/TMX320VC5509PGE31/page-1", "TMX320VC5509PGE31")</f>
        <v>TMX320VC5509PGE31</v>
      </c>
      <c r="B26114" s="3" t="s">
        <v>90</v>
      </c>
      <c r="C26114" s="5">
        <v>1285</v>
      </c>
      <c r="D26114" s="6">
        <v>79.95</v>
      </c>
    </row>
    <row r="26115" spans="1:4" x14ac:dyDescent="0.25">
      <c r="A26115" t="str">
        <f>HYPERLINK("https://www.773grp.com/globalSearch/SN74ACT7206L20NP/page-1", "SN74ACT7206L20NP")</f>
        <v>SN74ACT7206L20NP</v>
      </c>
      <c r="B26115" s="3" t="s">
        <v>90</v>
      </c>
      <c r="C26115" s="5">
        <v>3300</v>
      </c>
      <c r="D26115" s="6">
        <v>80.16</v>
      </c>
    </row>
    <row r="26116" spans="1:4" x14ac:dyDescent="0.25">
      <c r="A26116" t="str">
        <f>HYPERLINK("https://www.773grp.com/globalSearch/SN74ACT7206L20RJ/page-1", "SN74ACT7206L20RJ")</f>
        <v>SN74ACT7206L20RJ</v>
      </c>
      <c r="B26116" s="3" t="s">
        <v>90</v>
      </c>
      <c r="C26116" s="5">
        <v>3284</v>
      </c>
      <c r="D26116" s="6">
        <v>80.16</v>
      </c>
    </row>
    <row r="26117" spans="1:4" x14ac:dyDescent="0.25">
      <c r="A26117" t="str">
        <f>HYPERLINK("https://www.773grp.com/globalSearch/2D786/page-1", "2D786")</f>
        <v>2D786</v>
      </c>
      <c r="B26117" s="3" t="s">
        <v>90</v>
      </c>
      <c r="C26117" s="5">
        <v>1</v>
      </c>
      <c r="D26117" s="6">
        <v>80.33</v>
      </c>
    </row>
    <row r="26118" spans="1:4" x14ac:dyDescent="0.25">
      <c r="A26118" t="str">
        <f>HYPERLINK("https://www.773grp.com/globalSearch/OMPA5910JGDY2/page-1", "OMPA5910JGDY2")</f>
        <v>OMPA5910JGDY2</v>
      </c>
      <c r="B26118" s="3" t="s">
        <v>90</v>
      </c>
      <c r="C26118" s="5">
        <v>252</v>
      </c>
      <c r="D26118" s="6">
        <v>80.41</v>
      </c>
    </row>
    <row r="26119" spans="1:4" x14ac:dyDescent="0.25">
      <c r="A26119" t="str">
        <f>HYPERLINK("https://www.773grp.com/globalSearch/TMS320DM640AZDKA4/page-1", "TMS320DM640AZDKA4")</f>
        <v>TMS320DM640AZDKA4</v>
      </c>
      <c r="B26119" s="3" t="s">
        <v>90</v>
      </c>
      <c r="C26119" s="5">
        <v>43</v>
      </c>
      <c r="D26119" s="6">
        <v>80.58</v>
      </c>
    </row>
    <row r="26120" spans="1:4" x14ac:dyDescent="0.25">
      <c r="A26120" t="str">
        <f>HYPERLINK("https://www.773grp.com/globalSearch/PT6526D/page-1", "PT6526D")</f>
        <v>PT6526D</v>
      </c>
      <c r="B26120" s="3" t="s">
        <v>90</v>
      </c>
      <c r="C26120" s="5">
        <v>2</v>
      </c>
      <c r="D26120" s="6">
        <v>80.709999999999994</v>
      </c>
    </row>
    <row r="26121" spans="1:4" x14ac:dyDescent="0.25">
      <c r="A26121" t="str">
        <f>HYPERLINK("https://www.773grp.com/globalSearch/PT6625D/page-1", "PT6625D")</f>
        <v>PT6625D</v>
      </c>
      <c r="B26121" s="3" t="s">
        <v>90</v>
      </c>
      <c r="C26121" s="5">
        <v>3</v>
      </c>
      <c r="D26121" s="6">
        <v>80.709999999999994</v>
      </c>
    </row>
    <row r="26122" spans="1:4" x14ac:dyDescent="0.25">
      <c r="A26122" t="str">
        <f>HYPERLINK("https://www.773grp.com/globalSearch/AFE7070IRGZ25/page-1", "AFE7070IRGZ25")</f>
        <v>AFE7070IRGZ25</v>
      </c>
      <c r="B26122" s="3" t="s">
        <v>90</v>
      </c>
      <c r="C26122" s="5">
        <v>15</v>
      </c>
      <c r="D26122" s="6">
        <v>80.78</v>
      </c>
    </row>
    <row r="26123" spans="1:4" x14ac:dyDescent="0.25">
      <c r="A26123" t="str">
        <f>HYPERLINK("https://www.773grp.com/globalSearch/HPABT6350BZSPR/page-1", "HPABT6350BZSPR")</f>
        <v>HPABT6350BZSPR</v>
      </c>
      <c r="B26123" s="3" t="s">
        <v>90</v>
      </c>
      <c r="C26123" s="5">
        <v>850</v>
      </c>
      <c r="D26123" s="6">
        <v>80.86</v>
      </c>
    </row>
    <row r="26124" spans="1:4" x14ac:dyDescent="0.25">
      <c r="A26124" t="str">
        <f>HYPERLINK("https://www.773grp.com/globalSearch/OMAP5910GGZG1/page-1", "OMAP5910GGZG1")</f>
        <v>OMAP5910GGZG1</v>
      </c>
      <c r="B26124" s="3" t="s">
        <v>90</v>
      </c>
      <c r="C26124" s="5">
        <v>480</v>
      </c>
      <c r="D26124" s="6">
        <v>81</v>
      </c>
    </row>
    <row r="26125" spans="1:4" x14ac:dyDescent="0.25">
      <c r="A26125" t="str">
        <f>HYPERLINK("https://www.773grp.com/globalSearch/POMAP5910GGZG1/page-1", "POMAP5910GGZG1")</f>
        <v>POMAP5910GGZG1</v>
      </c>
      <c r="B26125" s="3" t="s">
        <v>90</v>
      </c>
      <c r="C26125" s="5">
        <v>399</v>
      </c>
      <c r="D26125" s="6">
        <v>81</v>
      </c>
    </row>
    <row r="26126" spans="1:4" x14ac:dyDescent="0.25">
      <c r="A26126" t="str">
        <f>HYPERLINK("https://www.773grp.com/globalSearch/SN54H183W  D3/page-1", "SN54H183W  D3")</f>
        <v>SN54H183W  D3</v>
      </c>
      <c r="B26126" s="3" t="s">
        <v>90</v>
      </c>
      <c r="C26126" s="5">
        <v>1417</v>
      </c>
      <c r="D26126" s="6">
        <v>81.180000000000007</v>
      </c>
    </row>
    <row r="26127" spans="1:4" x14ac:dyDescent="0.25">
      <c r="A26127" t="str">
        <f>HYPERLINK("https://www.773grp.com/globalSearch/ADS5240IPAPT/page-1", "ADS5240IPAPT")</f>
        <v>ADS5240IPAPT</v>
      </c>
      <c r="B26127" s="3" t="s">
        <v>90</v>
      </c>
      <c r="C26127" s="5">
        <v>750</v>
      </c>
      <c r="D26127" s="6">
        <v>81.56</v>
      </c>
    </row>
    <row r="26128" spans="1:4" x14ac:dyDescent="0.25">
      <c r="A26128" t="str">
        <f>HYPERLINK("https://www.773grp.com/globalSearch/ADS8411IPFBT/page-1", "ADS8411IPFBT")</f>
        <v>ADS8411IPFBT</v>
      </c>
      <c r="B26128" s="3" t="s">
        <v>90</v>
      </c>
      <c r="C26128" s="5">
        <v>500</v>
      </c>
      <c r="D26128" s="6">
        <v>81.56</v>
      </c>
    </row>
    <row r="26129" spans="1:4" x14ac:dyDescent="0.25">
      <c r="A26129" t="str">
        <f>HYPERLINK("https://www.773grp.com/globalSearch/DAC5681IRGCT/page-1", "DAC5681IRGCT")</f>
        <v>DAC5681IRGCT</v>
      </c>
      <c r="B26129" s="3" t="s">
        <v>90</v>
      </c>
      <c r="C26129" s="5">
        <v>64000</v>
      </c>
      <c r="D26129" s="6">
        <v>81.56</v>
      </c>
    </row>
    <row r="26130" spans="1:4" x14ac:dyDescent="0.25">
      <c r="A26130" t="str">
        <f>HYPERLINK("https://www.773grp.com/globalSearch/MPL1739RA/page-1", "MPL1739RA")</f>
        <v>MPL1739RA</v>
      </c>
      <c r="B26130" s="3" t="s">
        <v>90</v>
      </c>
      <c r="C26130" s="5">
        <v>166</v>
      </c>
      <c r="D26130" s="6">
        <v>81.56</v>
      </c>
    </row>
    <row r="26131" spans="1:4" x14ac:dyDescent="0.25">
      <c r="A26131" t="str">
        <f>HYPERLINK("https://www.773grp.com/globalSearch/OMAP3525DCBB/page-1", "OMAP3525DCBB")</f>
        <v>OMAP3525DCBB</v>
      </c>
      <c r="B26131" s="3" t="s">
        <v>90</v>
      </c>
      <c r="C26131" s="5">
        <v>11</v>
      </c>
      <c r="D26131" s="6">
        <v>81.56</v>
      </c>
    </row>
    <row r="26132" spans="1:4" x14ac:dyDescent="0.25">
      <c r="A26132" t="str">
        <f>HYPERLINK("https://www.773grp.com/globalSearch/TPL0102EVM/page-1", "TPL0102EVM")</f>
        <v>TPL0102EVM</v>
      </c>
      <c r="B26132" s="3" t="s">
        <v>90</v>
      </c>
      <c r="C26132" s="5">
        <v>12</v>
      </c>
      <c r="D26132" s="6">
        <v>81.56</v>
      </c>
    </row>
    <row r="26133" spans="1:4" x14ac:dyDescent="0.25">
      <c r="A26133" t="str">
        <f>HYPERLINK("https://www.773grp.com/globalSearch/TPS22901EVM/page-1", "TPS22901EVM")</f>
        <v>TPS22901EVM</v>
      </c>
      <c r="B26133" s="3" t="s">
        <v>90</v>
      </c>
      <c r="C26133" s="5">
        <v>5</v>
      </c>
      <c r="D26133" s="6">
        <v>81.56</v>
      </c>
    </row>
    <row r="26134" spans="1:4" x14ac:dyDescent="0.25">
      <c r="A26134" t="str">
        <f>HYPERLINK("https://www.773grp.com/globalSearch/TPS22902BEVM/page-1", "TPS22902BEVM")</f>
        <v>TPS22902BEVM</v>
      </c>
      <c r="B26134" s="3" t="s">
        <v>90</v>
      </c>
      <c r="C26134" s="5">
        <v>5</v>
      </c>
      <c r="D26134" s="6">
        <v>81.56</v>
      </c>
    </row>
    <row r="26135" spans="1:4" x14ac:dyDescent="0.25">
      <c r="A26135" t="str">
        <f>HYPERLINK("https://www.773grp.com/globalSearch/TPS22902EVM/page-1", "TPS22902EVM")</f>
        <v>TPS22902EVM</v>
      </c>
      <c r="B26135" s="3" t="s">
        <v>90</v>
      </c>
      <c r="C26135" s="5">
        <v>5</v>
      </c>
      <c r="D26135" s="6">
        <v>81.56</v>
      </c>
    </row>
    <row r="26136" spans="1:4" x14ac:dyDescent="0.25">
      <c r="A26136" t="str">
        <f>HYPERLINK("https://www.773grp.com/globalSearch/TPS22922BEVM/page-1", "TPS22922BEVM")</f>
        <v>TPS22922BEVM</v>
      </c>
      <c r="B26136" s="3" t="s">
        <v>90</v>
      </c>
      <c r="C26136" s="5">
        <v>6</v>
      </c>
      <c r="D26136" s="6">
        <v>81.56</v>
      </c>
    </row>
    <row r="26137" spans="1:4" x14ac:dyDescent="0.25">
      <c r="A26137" t="str">
        <f>HYPERLINK("https://www.773grp.com/globalSearch/TPS22932BEVM/page-1", "TPS22932BEVM")</f>
        <v>TPS22932BEVM</v>
      </c>
      <c r="B26137" s="3" t="s">
        <v>90</v>
      </c>
      <c r="C26137" s="5">
        <v>3</v>
      </c>
      <c r="D26137" s="6">
        <v>81.56</v>
      </c>
    </row>
    <row r="26138" spans="1:4" x14ac:dyDescent="0.25">
      <c r="A26138" t="str">
        <f>HYPERLINK("https://www.773grp.com/globalSearch/TVP4020AGFN-8/page-1", "TVP4020AGFN-8")</f>
        <v>TVP4020AGFN-8</v>
      </c>
      <c r="B26138" s="3" t="s">
        <v>90</v>
      </c>
      <c r="C26138" s="5">
        <v>840</v>
      </c>
      <c r="D26138" s="6">
        <v>81.56</v>
      </c>
    </row>
    <row r="26139" spans="1:4" x14ac:dyDescent="0.25">
      <c r="A26139" t="str">
        <f>HYPERLINK("https://www.773grp.com/globalSearch/TMS320C6727BGDH350/page-1", "TMS320C6727BGDH350")</f>
        <v>TMS320C6727BGDH350</v>
      </c>
      <c r="B26139" s="3" t="s">
        <v>90</v>
      </c>
      <c r="C26139" s="5">
        <v>50</v>
      </c>
      <c r="D26139" s="6">
        <v>81.64</v>
      </c>
    </row>
    <row r="26140" spans="1:4" x14ac:dyDescent="0.25">
      <c r="A26140" t="str">
        <f>HYPERLINK("https://www.773grp.com/globalSearch/DAC5686IPZPG4/page-1", "DAC5686IPZPG4")</f>
        <v>DAC5686IPZPG4</v>
      </c>
      <c r="B26140" s="3" t="s">
        <v>90</v>
      </c>
      <c r="C26140" s="5">
        <v>270</v>
      </c>
      <c r="D26140" s="6">
        <v>82.01</v>
      </c>
    </row>
    <row r="26141" spans="1:4" x14ac:dyDescent="0.25">
      <c r="A26141" t="str">
        <f>HYPERLINK("https://www.773grp.com/globalSearch/PT6521L/page-1", "PT6521L")</f>
        <v>PT6521L</v>
      </c>
      <c r="B26141" s="3" t="s">
        <v>90</v>
      </c>
      <c r="C26141" s="5">
        <v>4</v>
      </c>
      <c r="D26141" s="6">
        <v>82.13</v>
      </c>
    </row>
    <row r="26142" spans="1:4" x14ac:dyDescent="0.25">
      <c r="A26142" t="str">
        <f>HYPERLINK("https://www.773grp.com/globalSearch/PT6625G/page-1", "PT6625G")</f>
        <v>PT6625G</v>
      </c>
      <c r="B26142" s="3" t="s">
        <v>90</v>
      </c>
      <c r="C26142" s="5">
        <v>3</v>
      </c>
      <c r="D26142" s="6">
        <v>82.13</v>
      </c>
    </row>
    <row r="26143" spans="1:4" x14ac:dyDescent="0.25">
      <c r="A26143" t="str">
        <f>HYPERLINK("https://www.773grp.com/globalSearch/DAC5687IPZPG4/page-1", "DAC5687IPZPG4")</f>
        <v>DAC5687IPZPG4</v>
      </c>
      <c r="B26143" s="3" t="s">
        <v>90</v>
      </c>
      <c r="C26143" s="5">
        <v>73</v>
      </c>
      <c r="D26143" s="6">
        <v>82.21</v>
      </c>
    </row>
    <row r="26144" spans="1:4" x14ac:dyDescent="0.25">
      <c r="A26144" t="str">
        <f>HYPERLINK("https://www.773grp.com/globalSearch/AFE7225IRGCR/page-1", "AFE7225IRGCR")</f>
        <v>AFE7225IRGCR</v>
      </c>
      <c r="B26144" s="3" t="s">
        <v>90</v>
      </c>
      <c r="C26144" s="5">
        <v>11950</v>
      </c>
      <c r="D26144" s="6">
        <v>82.98</v>
      </c>
    </row>
    <row r="26145" spans="1:4" x14ac:dyDescent="0.25">
      <c r="A26145" t="str">
        <f>HYPERLINK("https://www.773grp.com/globalSearch/PCM78AP/page-1", "PCM78AP")</f>
        <v>PCM78AP</v>
      </c>
      <c r="B26145" s="3" t="s">
        <v>90</v>
      </c>
      <c r="C26145" s="5">
        <v>764</v>
      </c>
      <c r="D26145" s="6">
        <v>83.14</v>
      </c>
    </row>
    <row r="26146" spans="1:4" x14ac:dyDescent="0.25">
      <c r="A26146" t="str">
        <f>HYPERLINK("https://www.773grp.com/globalSearch/SM320F2812PGFMEP/page-1", "SM320F2812PGFMEP")</f>
        <v>SM320F2812PGFMEP</v>
      </c>
      <c r="B26146" s="3" t="s">
        <v>90</v>
      </c>
      <c r="C26146" s="5">
        <v>25</v>
      </c>
      <c r="D26146" s="6">
        <v>83.66</v>
      </c>
    </row>
    <row r="26147" spans="1:4" x14ac:dyDescent="0.25">
      <c r="A26147" t="str">
        <f>HYPERLINK("https://www.773grp.com/globalSearch/JM38510-65755B2A/page-1", "JM38510-65755B2A")</f>
        <v>JM38510-65755B2A</v>
      </c>
      <c r="B26147" s="3" t="s">
        <v>90</v>
      </c>
      <c r="C26147" s="5">
        <v>11</v>
      </c>
      <c r="D26147" s="6">
        <v>84</v>
      </c>
    </row>
    <row r="26148" spans="1:4" x14ac:dyDescent="0.25">
      <c r="A26148" t="str">
        <f>HYPERLINK("https://www.773grp.com/globalSearch/TMS320VC549PGE100W/page-1", "TMS320VC549PGE100W")</f>
        <v>TMS320VC549PGE100W</v>
      </c>
      <c r="B26148" s="3" t="s">
        <v>90</v>
      </c>
      <c r="C26148" s="5">
        <v>60</v>
      </c>
      <c r="D26148" s="6">
        <v>84.04</v>
      </c>
    </row>
    <row r="26149" spans="1:4" x14ac:dyDescent="0.25">
      <c r="A26149" t="str">
        <f>HYPERLINK("https://www.773grp.com/globalSearch/DM3725CBPD100/page-1", "DM3725CBPD100")</f>
        <v>DM3725CBPD100</v>
      </c>
      <c r="B26149" s="3" t="s">
        <v>90</v>
      </c>
      <c r="C26149" s="5">
        <v>96</v>
      </c>
      <c r="D26149" s="6">
        <v>84.09</v>
      </c>
    </row>
    <row r="26150" spans="1:4" x14ac:dyDescent="0.25">
      <c r="A26150" t="str">
        <f>HYPERLINK("https://www.773grp.com/globalSearch/TMS320VC5416GGU160/page-1", "TMS320VC5416GGU160")</f>
        <v>TMS320VC5416GGU160</v>
      </c>
      <c r="B26150" s="3" t="s">
        <v>90</v>
      </c>
      <c r="C26150" s="5">
        <v>20</v>
      </c>
      <c r="D26150" s="6">
        <v>84.09</v>
      </c>
    </row>
    <row r="26151" spans="1:4" x14ac:dyDescent="0.25">
      <c r="A26151" t="str">
        <f>HYPERLINK("https://www.773grp.com/globalSearch/TMS320VC5416PGE160/page-1", "TMS320VC5416PGE160")</f>
        <v>TMS320VC5416PGE160</v>
      </c>
      <c r="B26151" s="3" t="s">
        <v>90</v>
      </c>
      <c r="C26151" s="5">
        <v>378</v>
      </c>
      <c r="D26151" s="6">
        <v>84.09</v>
      </c>
    </row>
    <row r="26152" spans="1:4" x14ac:dyDescent="0.25">
      <c r="A26152" t="str">
        <f>HYPERLINK("https://www.773grp.com/globalSearch/TMS320VC549PGE-100G4/page-1", "TMS320VC549PGE-100G4")</f>
        <v>TMS320VC549PGE-100G4</v>
      </c>
      <c r="B26152" s="3" t="s">
        <v>90</v>
      </c>
      <c r="C26152" s="5">
        <v>3410</v>
      </c>
      <c r="D26152" s="6">
        <v>84.24</v>
      </c>
    </row>
    <row r="26153" spans="1:4" x14ac:dyDescent="0.25">
      <c r="A26153" t="str">
        <f>HYPERLINK("https://www.773grp.com/globalSearch/ADS6143IRHB25/page-1", "ADS6143IRHB25")</f>
        <v>ADS6143IRHB25</v>
      </c>
      <c r="B26153" s="3" t="s">
        <v>90</v>
      </c>
      <c r="C26153" s="5">
        <v>200</v>
      </c>
      <c r="D26153" s="6">
        <v>84.38</v>
      </c>
    </row>
    <row r="26154" spans="1:4" x14ac:dyDescent="0.25">
      <c r="A26154" t="str">
        <f>HYPERLINK("https://www.773grp.com/globalSearch/BOOSTXL-C2KLED/page-1", "BOOSTXL-C2KLED")</f>
        <v>BOOSTXL-C2KLED</v>
      </c>
      <c r="B26154" s="3" t="s">
        <v>90</v>
      </c>
      <c r="C26154" s="5">
        <v>63</v>
      </c>
      <c r="D26154" s="6">
        <v>84.38</v>
      </c>
    </row>
    <row r="26155" spans="1:4" x14ac:dyDescent="0.25">
      <c r="A26155" t="str">
        <f>HYPERLINK("https://www.773grp.com/globalSearch/DS7832AW/page-1", "DS7832AW")</f>
        <v>DS7832AW</v>
      </c>
      <c r="B26155" s="3" t="s">
        <v>90</v>
      </c>
      <c r="C26155" s="5">
        <v>176</v>
      </c>
      <c r="D26155" s="6">
        <v>84.38</v>
      </c>
    </row>
    <row r="26156" spans="1:4" x14ac:dyDescent="0.25">
      <c r="A26156" t="str">
        <f>HYPERLINK("https://www.773grp.com/globalSearch/SMJ64C16L-55JDM/page-1", "SMJ64C16L-55JDM")</f>
        <v>SMJ64C16L-55JDM</v>
      </c>
      <c r="B26156" s="3" t="s">
        <v>90</v>
      </c>
      <c r="C26156" s="5">
        <v>576</v>
      </c>
      <c r="D26156" s="6">
        <v>84.38</v>
      </c>
    </row>
    <row r="26157" spans="1:4" x14ac:dyDescent="0.25">
      <c r="A26157" t="str">
        <f>HYPERLINK("https://www.773grp.com/globalSearch/TLK4250IZPV/page-1", "TLK4250IZPV")</f>
        <v>TLK4250IZPV</v>
      </c>
      <c r="B26157" s="3" t="s">
        <v>90</v>
      </c>
      <c r="C26157" s="5">
        <v>3907</v>
      </c>
      <c r="D26157" s="6">
        <v>84.38</v>
      </c>
    </row>
    <row r="26158" spans="1:4" x14ac:dyDescent="0.25">
      <c r="A26158" t="str">
        <f>HYPERLINK("https://www.773grp.com/globalSearch/TMS320SS16FNL/page-1", "TMS320SS16FNL")</f>
        <v>TMS320SS16FNL</v>
      </c>
      <c r="B26158" s="3" t="s">
        <v>90</v>
      </c>
      <c r="C26158" s="5">
        <v>1284</v>
      </c>
      <c r="D26158" s="6">
        <v>84.38</v>
      </c>
    </row>
    <row r="26159" spans="1:4" x14ac:dyDescent="0.25">
      <c r="A26159" t="str">
        <f>HYPERLINK("https://www.773grp.com/globalSearch/ADS7800JU-1K/page-1", "ADS7800JU-1K")</f>
        <v>ADS7800JU-1K</v>
      </c>
      <c r="B26159" s="3" t="s">
        <v>90</v>
      </c>
      <c r="C26159" s="5">
        <v>6000</v>
      </c>
      <c r="D26159" s="6">
        <v>84.51</v>
      </c>
    </row>
    <row r="26160" spans="1:4" x14ac:dyDescent="0.25">
      <c r="A26160" t="str">
        <f>HYPERLINK("https://www.773grp.com/globalSearch/TMS32C6211BZFNA150/page-1", "TMS32C6211BZFNA150")</f>
        <v>TMS32C6211BZFNA150</v>
      </c>
      <c r="B26160" s="3" t="s">
        <v>90</v>
      </c>
      <c r="C26160" s="5">
        <v>86</v>
      </c>
      <c r="D26160" s="6">
        <v>84.71</v>
      </c>
    </row>
    <row r="26161" spans="1:4" x14ac:dyDescent="0.25">
      <c r="A26161" t="str">
        <f>HYPERLINK("https://www.773grp.com/globalSearch/SMJ68CE16S-55JDM/page-1", "SMJ68CE16S-55JDM")</f>
        <v>SMJ68CE16S-55JDM</v>
      </c>
      <c r="B26161" s="3" t="s">
        <v>90</v>
      </c>
      <c r="C26161" s="5">
        <v>1042</v>
      </c>
      <c r="D26161" s="6">
        <v>84.8</v>
      </c>
    </row>
    <row r="26162" spans="1:4" x14ac:dyDescent="0.25">
      <c r="A26162" t="str">
        <f>HYPERLINK("https://www.773grp.com/globalSearch/UC1903J-80258/page-1", "UC1903J-80258")</f>
        <v>UC1903J-80258</v>
      </c>
      <c r="B26162" s="3" t="s">
        <v>90</v>
      </c>
      <c r="C26162" s="5">
        <v>1</v>
      </c>
      <c r="D26162" s="6">
        <v>85.19</v>
      </c>
    </row>
    <row r="26163" spans="1:4" x14ac:dyDescent="0.25">
      <c r="A26163" t="str">
        <f>HYPERLINK("https://www.773grp.com/globalSearch/TMS320DM6441BZWT/page-1", "TMS320DM6441BZWT")</f>
        <v>TMS320DM6441BZWT</v>
      </c>
      <c r="B26163" s="3" t="s">
        <v>90</v>
      </c>
      <c r="C26163" s="5">
        <v>556</v>
      </c>
      <c r="D26163" s="6">
        <v>85.35</v>
      </c>
    </row>
    <row r="26164" spans="1:4" x14ac:dyDescent="0.25">
      <c r="A26164" t="str">
        <f>HYPERLINK("https://www.773grp.com/globalSearch/DAC5689IRGCT/page-1", "DAC5689IRGCT")</f>
        <v>DAC5689IRGCT</v>
      </c>
      <c r="B26164" s="3" t="s">
        <v>90</v>
      </c>
      <c r="C26164" s="5">
        <v>587</v>
      </c>
      <c r="D26164" s="6">
        <v>85.64</v>
      </c>
    </row>
    <row r="26165" spans="1:4" x14ac:dyDescent="0.25">
      <c r="A26165" t="str">
        <f>HYPERLINK("https://www.773grp.com/globalSearch/TMS320VC549GGUR-80/page-1", "TMS320VC549GGUR-80")</f>
        <v>TMS320VC549GGUR-80</v>
      </c>
      <c r="B26165" s="3" t="s">
        <v>90</v>
      </c>
      <c r="C26165" s="5">
        <v>1000</v>
      </c>
      <c r="D26165" s="6">
        <v>85.98</v>
      </c>
    </row>
    <row r="26166" spans="1:4" x14ac:dyDescent="0.25">
      <c r="A26166" t="str">
        <f>HYPERLINK("https://www.773grp.com/globalSearch/OMAP3515DCUS/page-1", "OMAP3515DCUS")</f>
        <v>OMAP3515DCUS</v>
      </c>
      <c r="B26166" s="3" t="s">
        <v>90</v>
      </c>
      <c r="C26166" s="5">
        <v>270</v>
      </c>
      <c r="D26166" s="6">
        <v>86.03</v>
      </c>
    </row>
    <row r="26167" spans="1:4" x14ac:dyDescent="0.25">
      <c r="A26167" t="str">
        <f>HYPERLINK("https://www.773grp.com/globalSearch/ADS7809U/page-1", "ADS7809U")</f>
        <v>ADS7809U</v>
      </c>
      <c r="B26167" s="3" t="s">
        <v>90</v>
      </c>
      <c r="C26167" s="5">
        <v>238</v>
      </c>
      <c r="D26167" s="6">
        <v>86.2</v>
      </c>
    </row>
    <row r="26168" spans="1:4" x14ac:dyDescent="0.25">
      <c r="A26168" t="str">
        <f>HYPERLINK("https://www.773grp.com/globalSearch/TMS320DM641AGDK6/page-1", "TMS320DM641AGDK6")</f>
        <v>TMS320DM641AGDK6</v>
      </c>
      <c r="B26168" s="3" t="s">
        <v>90</v>
      </c>
      <c r="C26168" s="5">
        <v>191</v>
      </c>
      <c r="D26168" s="6">
        <v>86.45</v>
      </c>
    </row>
    <row r="26169" spans="1:4" x14ac:dyDescent="0.25">
      <c r="A26169" t="str">
        <f>HYPERLINK("https://www.773grp.com/globalSearch/TMS320DM641AZNZ6/page-1", "TMS320DM641AZNZ6")</f>
        <v>TMS320DM641AZNZ6</v>
      </c>
      <c r="B26169" s="3" t="s">
        <v>90</v>
      </c>
      <c r="C26169" s="5">
        <v>45</v>
      </c>
      <c r="D26169" s="6">
        <v>86.45</v>
      </c>
    </row>
    <row r="26170" spans="1:4" x14ac:dyDescent="0.25">
      <c r="A26170" t="str">
        <f>HYPERLINK("https://www.773grp.com/globalSearch/DM3730CUS100/page-1", "DM3730CUS100")</f>
        <v>DM3730CUS100</v>
      </c>
      <c r="B26170" s="3" t="s">
        <v>90</v>
      </c>
      <c r="C26170" s="5">
        <v>1590</v>
      </c>
      <c r="D26170" s="6">
        <v>86.49</v>
      </c>
    </row>
    <row r="26171" spans="1:4" x14ac:dyDescent="0.25">
      <c r="A26171" t="str">
        <f>HYPERLINK("https://www.773grp.com/globalSearch/DM3730CUSA/page-1", "DM3730CUSA")</f>
        <v>DM3730CUSA</v>
      </c>
      <c r="B26171" s="3" t="s">
        <v>90</v>
      </c>
      <c r="C26171" s="5">
        <v>34</v>
      </c>
      <c r="D26171" s="6">
        <v>86.49</v>
      </c>
    </row>
    <row r="26172" spans="1:4" x14ac:dyDescent="0.25">
      <c r="A26172" t="str">
        <f>HYPERLINK("https://www.773grp.com/globalSearch/SMJ61CD16LA-55JDM/page-1", "SMJ61CD16LA-55JDM")</f>
        <v>SMJ61CD16LA-55JDM</v>
      </c>
      <c r="B26172" s="3" t="s">
        <v>90</v>
      </c>
      <c r="C26172" s="5">
        <v>230</v>
      </c>
      <c r="D26172" s="6">
        <v>86.74</v>
      </c>
    </row>
    <row r="26173" spans="1:4" x14ac:dyDescent="0.25">
      <c r="A26173" t="str">
        <f>HYPERLINK("https://www.773grp.com/globalSearch/ADS4128IRGZR/page-1", "ADS4128IRGZR")</f>
        <v>ADS4128IRGZR</v>
      </c>
      <c r="B26173" s="3" t="s">
        <v>90</v>
      </c>
      <c r="C26173" s="5">
        <v>32500</v>
      </c>
      <c r="D26173" s="6">
        <v>87.04</v>
      </c>
    </row>
    <row r="26174" spans="1:4" x14ac:dyDescent="0.25">
      <c r="A26174" t="str">
        <f>HYPERLINK("https://www.773grp.com/globalSearch/OMAP5912ZZG/page-1", "OMAP5912ZZG")</f>
        <v>OMAP5912ZZG</v>
      </c>
      <c r="B26174" s="3" t="s">
        <v>90</v>
      </c>
      <c r="C26174" s="5">
        <v>1055</v>
      </c>
      <c r="D26174" s="6">
        <v>87.04</v>
      </c>
    </row>
    <row r="26175" spans="1:4" x14ac:dyDescent="0.25">
      <c r="A26175" t="str">
        <f>HYPERLINK("https://www.773grp.com/globalSearch/SMJ68CE16L-70JDM/page-1", "SMJ68CE16L-70JDM")</f>
        <v>SMJ68CE16L-70JDM</v>
      </c>
      <c r="B26175" s="3" t="s">
        <v>90</v>
      </c>
      <c r="C26175" s="5">
        <v>51</v>
      </c>
      <c r="D26175" s="6">
        <v>87.19</v>
      </c>
    </row>
    <row r="26176" spans="1:4" x14ac:dyDescent="0.25">
      <c r="A26176" t="str">
        <f>HYPERLINK("https://www.773grp.com/globalSearch/TMS320C6413GTSA500/page-1", "TMS320C6413GTSA500")</f>
        <v>TMS320C6413GTSA500</v>
      </c>
      <c r="B26176" s="3" t="s">
        <v>90</v>
      </c>
      <c r="C26176" s="5">
        <v>27</v>
      </c>
      <c r="D26176" s="6">
        <v>87.19</v>
      </c>
    </row>
    <row r="26177" spans="1:4" x14ac:dyDescent="0.25">
      <c r="A26177" t="str">
        <f>HYPERLINK("https://www.773grp.com/globalSearch/TMS320DM643AZDK5/page-1", "TMS320DM643AZDK5")</f>
        <v>TMS320DM643AZDK5</v>
      </c>
      <c r="B26177" s="3" t="s">
        <v>90</v>
      </c>
      <c r="C26177" s="5">
        <v>167</v>
      </c>
      <c r="D26177" s="6">
        <v>87.25</v>
      </c>
    </row>
    <row r="26178" spans="1:4" x14ac:dyDescent="0.25">
      <c r="A26178" t="str">
        <f>HYPERLINK("https://www.773grp.com/globalSearch/TMS320C6211BZFN167/page-1", "TMS320C6211BZFN167")</f>
        <v>TMS320C6211BZFN167</v>
      </c>
      <c r="B26178" s="3" t="s">
        <v>90</v>
      </c>
      <c r="C26178" s="5">
        <v>23</v>
      </c>
      <c r="D26178" s="6">
        <v>88.26</v>
      </c>
    </row>
    <row r="26179" spans="1:4" x14ac:dyDescent="0.25">
      <c r="A26179" t="str">
        <f>HYPERLINK("https://www.773grp.com/globalSearch/DAC3482IRKDT/page-1", "DAC3482IRKDT")</f>
        <v>DAC3482IRKDT</v>
      </c>
      <c r="B26179" s="3" t="s">
        <v>90</v>
      </c>
      <c r="C26179" s="5">
        <v>250</v>
      </c>
      <c r="D26179" s="6">
        <v>88.46</v>
      </c>
    </row>
    <row r="26180" spans="1:4" x14ac:dyDescent="0.25">
      <c r="A26180" t="str">
        <f>HYPERLINK("https://www.773grp.com/globalSearch/DAC7734E-1K/page-1", "DAC7734E-1K")</f>
        <v>DAC7734E-1K</v>
      </c>
      <c r="B26180" s="3" t="s">
        <v>90</v>
      </c>
      <c r="C26180" s="5">
        <v>200</v>
      </c>
      <c r="D26180" s="6">
        <v>88.46</v>
      </c>
    </row>
    <row r="26181" spans="1:4" x14ac:dyDescent="0.25">
      <c r="A26181" t="str">
        <f>HYPERLINK("https://www.773grp.com/globalSearch/OMAP3503DCUS72/page-1", "OMAP3503DCUS72")</f>
        <v>OMAP3503DCUS72</v>
      </c>
      <c r="B26181" s="3" t="s">
        <v>90</v>
      </c>
      <c r="C26181" s="5">
        <v>537</v>
      </c>
      <c r="D26181" s="6">
        <v>88.88</v>
      </c>
    </row>
    <row r="26182" spans="1:4" x14ac:dyDescent="0.25">
      <c r="A26182" t="str">
        <f>HYPERLINK("https://www.773grp.com/globalSearch/JM38510-10406BEA/page-1", "JM38510-10406BEA")</f>
        <v>JM38510-10406BEA</v>
      </c>
      <c r="B26182" s="3" t="s">
        <v>90</v>
      </c>
      <c r="C26182" s="5">
        <v>329</v>
      </c>
      <c r="D26182" s="6">
        <v>89.1</v>
      </c>
    </row>
    <row r="26183" spans="1:4" x14ac:dyDescent="0.25">
      <c r="A26183" t="str">
        <f>HYPERLINK("https://www.773grp.com/globalSearch/MSC1214Y5PAGT/page-1", "MSC1214Y5PAGT")</f>
        <v>MSC1214Y5PAGT</v>
      </c>
      <c r="B26183" s="3" t="s">
        <v>90</v>
      </c>
      <c r="C26183" s="5">
        <v>12</v>
      </c>
      <c r="D26183" s="6">
        <v>89.86</v>
      </c>
    </row>
    <row r="26184" spans="1:4" x14ac:dyDescent="0.25">
      <c r="A26184" t="str">
        <f>HYPERLINK("https://www.773grp.com/globalSearch/DP83848MPHPEP/page-1", "DP83848MPHPEP")</f>
        <v>DP83848MPHPEP</v>
      </c>
      <c r="B26184" s="3" t="s">
        <v>90</v>
      </c>
      <c r="C26184" s="5">
        <v>250</v>
      </c>
      <c r="D26184" s="6">
        <v>90</v>
      </c>
    </row>
    <row r="26185" spans="1:4" x14ac:dyDescent="0.25">
      <c r="A26185" t="str">
        <f>HYPERLINK("https://www.773grp.com/globalSearch/TMX320VC5510GGW20/page-1", "TMX320VC5510GGW20")</f>
        <v>TMX320VC5510GGW20</v>
      </c>
      <c r="B26185" s="3" t="s">
        <v>90</v>
      </c>
      <c r="C26185" s="5">
        <v>86</v>
      </c>
      <c r="D26185" s="6">
        <v>90</v>
      </c>
    </row>
    <row r="26186" spans="1:4" x14ac:dyDescent="0.25">
      <c r="A26186" t="str">
        <f>HYPERLINK("https://www.773grp.com/globalSearch/TMS320DM6443ZWT/page-1", "TMS320DM6443ZWT")</f>
        <v>TMS320DM6443ZWT</v>
      </c>
      <c r="B26186" s="3" t="s">
        <v>90</v>
      </c>
      <c r="C26186" s="5">
        <v>6462</v>
      </c>
      <c r="D26186" s="6">
        <v>90.41</v>
      </c>
    </row>
    <row r="26187" spans="1:4" x14ac:dyDescent="0.25">
      <c r="A26187" t="str">
        <f>HYPERLINK("https://www.773grp.com/globalSearch/UC117L-80730/page-1", "UC117L-80730")</f>
        <v>UC117L-80730</v>
      </c>
      <c r="B26187" s="3" t="s">
        <v>90</v>
      </c>
      <c r="C26187" s="5">
        <v>87</v>
      </c>
      <c r="D26187" s="6">
        <v>90.56</v>
      </c>
    </row>
    <row r="26188" spans="1:4" x14ac:dyDescent="0.25">
      <c r="A26188" t="str">
        <f>HYPERLINK("https://www.773grp.com/globalSearch/ADS5277IPFPG4/page-1", "ADS5277IPFPG4")</f>
        <v>ADS5277IPFPG4</v>
      </c>
      <c r="B26188" s="3" t="s">
        <v>90</v>
      </c>
      <c r="C26188" s="5">
        <v>40</v>
      </c>
      <c r="D26188" s="6">
        <v>90.84</v>
      </c>
    </row>
    <row r="26189" spans="1:4" x14ac:dyDescent="0.25">
      <c r="A26189" t="str">
        <f>HYPERLINK("https://www.773grp.com/globalSearch/ADS6242IRGZT/page-1", "ADS6242IRGZT")</f>
        <v>ADS6242IRGZT</v>
      </c>
      <c r="B26189" s="3" t="s">
        <v>90</v>
      </c>
      <c r="C26189" s="5">
        <v>132</v>
      </c>
      <c r="D26189" s="6">
        <v>90.99</v>
      </c>
    </row>
    <row r="26190" spans="1:4" x14ac:dyDescent="0.25">
      <c r="A26190" t="str">
        <f>HYPERLINK("https://www.773grp.com/globalSearch/TMS38020JDL/page-1", "TMS38020JDL")</f>
        <v>TMS38020JDL</v>
      </c>
      <c r="B26190" s="3" t="s">
        <v>90</v>
      </c>
      <c r="C26190" s="5">
        <v>6986</v>
      </c>
      <c r="D26190" s="6">
        <v>91.13</v>
      </c>
    </row>
    <row r="26191" spans="1:4" x14ac:dyDescent="0.25">
      <c r="A26191" t="str">
        <f>HYPERLINK("https://www.773grp.com/globalSearch/ADS4128IRGZT/page-1", "ADS4128IRGZT")</f>
        <v>ADS4128IRGZT</v>
      </c>
      <c r="B26191" s="3" t="s">
        <v>90</v>
      </c>
      <c r="C26191" s="5">
        <v>154</v>
      </c>
      <c r="D26191" s="6">
        <v>91.26</v>
      </c>
    </row>
    <row r="26192" spans="1:4" x14ac:dyDescent="0.25">
      <c r="A26192" t="str">
        <f>HYPERLINK("https://www.773grp.com/globalSearch/OMAP5910JGDY2/page-1", "OMAP5910JGDY2")</f>
        <v>OMAP5910JGDY2</v>
      </c>
      <c r="B26192" s="3" t="s">
        <v>90</v>
      </c>
      <c r="C26192" s="5">
        <v>112</v>
      </c>
      <c r="D26192" s="6">
        <v>91.75</v>
      </c>
    </row>
    <row r="26193" spans="1:4" x14ac:dyDescent="0.25">
      <c r="A26193" t="str">
        <f>HYPERLINK("https://www.773grp.com/globalSearch/PDDC118IRTCT/page-1", "PDDC118IRTCT")</f>
        <v>PDDC118IRTCT</v>
      </c>
      <c r="B26193" s="3" t="s">
        <v>90</v>
      </c>
      <c r="C26193" s="5">
        <v>1000</v>
      </c>
      <c r="D26193" s="6">
        <v>92.73</v>
      </c>
    </row>
    <row r="26194" spans="1:4" x14ac:dyDescent="0.25">
      <c r="A26194" t="str">
        <f>HYPERLINK("https://www.773grp.com/globalSearch/ADC12V170CISQ-NOPB/page-1", "ADC12V170CISQ-NOPB")</f>
        <v>ADC12V170CISQ-NOPB</v>
      </c>
      <c r="B26194" s="3" t="s">
        <v>90</v>
      </c>
      <c r="C26194" s="5">
        <v>36</v>
      </c>
      <c r="D26194" s="6">
        <v>92.81</v>
      </c>
    </row>
    <row r="26195" spans="1:4" x14ac:dyDescent="0.25">
      <c r="A26195" t="str">
        <f>HYPERLINK("https://www.773grp.com/globalSearch/PADS8422IBPFBT/page-1", "PADS8422IBPFBT")</f>
        <v>PADS8422IBPFBT</v>
      </c>
      <c r="B26195" s="3" t="s">
        <v>90</v>
      </c>
      <c r="C26195" s="5">
        <v>153</v>
      </c>
      <c r="D26195" s="6">
        <v>93.24</v>
      </c>
    </row>
    <row r="26196" spans="1:4" x14ac:dyDescent="0.25">
      <c r="A26196" t="str">
        <f>HYPERLINK("https://www.773grp.com/globalSearch/SN74ACT7206L15NP/page-1", "SN74ACT7206L15NP")</f>
        <v>SN74ACT7206L15NP</v>
      </c>
      <c r="B26196" s="3" t="s">
        <v>90</v>
      </c>
      <c r="C26196" s="5">
        <v>3500</v>
      </c>
      <c r="D26196" s="6">
        <v>93.74</v>
      </c>
    </row>
    <row r="26197" spans="1:4" x14ac:dyDescent="0.25">
      <c r="A26197" t="str">
        <f>HYPERLINK("https://www.773grp.com/globalSearch/TMS320C6713BZDP300/page-1", "TMS320C6713BZDP300")</f>
        <v>TMS320C6713BZDP300</v>
      </c>
      <c r="B26197" s="3" t="s">
        <v>90</v>
      </c>
      <c r="C26197" s="5">
        <v>1139</v>
      </c>
      <c r="D26197" s="6">
        <v>93.74</v>
      </c>
    </row>
    <row r="26198" spans="1:4" x14ac:dyDescent="0.25">
      <c r="A26198" t="str">
        <f>HYPERLINK("https://www.773grp.com/globalSearch/TMS34010FNL-50/page-1", "TMS34010FNL-50")</f>
        <v>TMS34010FNL-50</v>
      </c>
      <c r="B26198" s="3" t="s">
        <v>90</v>
      </c>
      <c r="C26198" s="5">
        <v>4720</v>
      </c>
      <c r="D26198" s="6">
        <v>94.3</v>
      </c>
    </row>
    <row r="26199" spans="1:4" x14ac:dyDescent="0.25">
      <c r="A26199" t="str">
        <f>HYPERLINK("https://www.773grp.com/globalSearch/AD7528MJB/page-1", "AD7528MJB")</f>
        <v>AD7528MJB</v>
      </c>
      <c r="B26199" s="3" t="s">
        <v>90</v>
      </c>
      <c r="C26199" s="5">
        <v>20</v>
      </c>
      <c r="D26199" s="6">
        <v>94.39</v>
      </c>
    </row>
    <row r="26200" spans="1:4" x14ac:dyDescent="0.25">
      <c r="A26200" t="str">
        <f>HYPERLINK("https://www.773grp.com/globalSearch/5962-9172701Q3A/page-1", "5962-9172701Q3A")</f>
        <v>5962-9172701Q3A</v>
      </c>
      <c r="B26200" s="3" t="s">
        <v>90</v>
      </c>
      <c r="C26200" s="5">
        <v>7</v>
      </c>
      <c r="D26200" s="6">
        <v>94.41</v>
      </c>
    </row>
    <row r="26201" spans="1:4" x14ac:dyDescent="0.25">
      <c r="A26201" t="str">
        <f>HYPERLINK("https://www.773grp.com/globalSearch/5962-7802301Q2A/page-1", "5962-7802301Q2A")</f>
        <v>5962-7802301Q2A</v>
      </c>
      <c r="B26201" s="3" t="s">
        <v>90</v>
      </c>
      <c r="C26201" s="5">
        <v>101</v>
      </c>
      <c r="D26201" s="6">
        <v>94.45</v>
      </c>
    </row>
    <row r="26202" spans="1:4" x14ac:dyDescent="0.25">
      <c r="A26202" t="str">
        <f>HYPERLINK("https://www.773grp.com/globalSearch/TMS320C6654CZH8/page-1", "TMS320C6654CZH8")</f>
        <v>TMS320C6654CZH8</v>
      </c>
      <c r="B26202" s="3" t="s">
        <v>90</v>
      </c>
      <c r="C26202" s="5">
        <v>60</v>
      </c>
      <c r="D26202" s="6">
        <v>94.5</v>
      </c>
    </row>
    <row r="26203" spans="1:4" x14ac:dyDescent="0.25">
      <c r="A26203" t="str">
        <f>HYPERLINK("https://www.773grp.com/globalSearch/DM3730CBPD100/page-1", "DM3730CBPD100")</f>
        <v>DM3730CBPD100</v>
      </c>
      <c r="B26203" s="3" t="s">
        <v>90</v>
      </c>
      <c r="C26203" s="5">
        <v>87</v>
      </c>
      <c r="D26203" s="6">
        <v>95.06</v>
      </c>
    </row>
    <row r="26204" spans="1:4" x14ac:dyDescent="0.25">
      <c r="A26204" t="str">
        <f>HYPERLINK("https://www.773grp.com/globalSearch/TMS320DM643AZDK6/page-1", "TMS320DM643AZDK6")</f>
        <v>TMS320DM643AZDK6</v>
      </c>
      <c r="B26204" s="3" t="s">
        <v>90</v>
      </c>
      <c r="C26204" s="5">
        <v>1250</v>
      </c>
      <c r="D26204" s="6">
        <v>95.09</v>
      </c>
    </row>
    <row r="26205" spans="1:4" x14ac:dyDescent="0.25">
      <c r="A26205" t="str">
        <f>HYPERLINK("https://www.773grp.com/globalSearch/ADS8284IRGCT/page-1", "ADS8284IRGCT")</f>
        <v>ADS8284IRGCT</v>
      </c>
      <c r="B26205" s="3" t="s">
        <v>90</v>
      </c>
      <c r="C26205" s="5">
        <v>15</v>
      </c>
      <c r="D26205" s="6">
        <v>95.63</v>
      </c>
    </row>
    <row r="26206" spans="1:4" x14ac:dyDescent="0.25">
      <c r="A26206" t="str">
        <f>HYPERLINK("https://www.773grp.com/globalSearch/SMJ61CD16SA-45JDM/page-1", "SMJ61CD16SA-45JDM")</f>
        <v>SMJ61CD16SA-45JDM</v>
      </c>
      <c r="B26206" s="3" t="s">
        <v>90</v>
      </c>
      <c r="C26206" s="5">
        <v>84</v>
      </c>
      <c r="D26206" s="6">
        <v>95.63</v>
      </c>
    </row>
    <row r="26207" spans="1:4" x14ac:dyDescent="0.25">
      <c r="A26207" t="str">
        <f>HYPERLINK("https://www.773grp.com/globalSearch/D16621GGUR-55/page-1", "D16621GGUR-55")</f>
        <v>D16621GGUR-55</v>
      </c>
      <c r="B26207" s="3" t="s">
        <v>90</v>
      </c>
      <c r="C26207" s="5">
        <v>4361</v>
      </c>
      <c r="D26207" s="6">
        <v>95.9</v>
      </c>
    </row>
    <row r="26208" spans="1:4" x14ac:dyDescent="0.25">
      <c r="A26208" t="str">
        <f>HYPERLINK("https://www.773grp.com/globalSearch/SMJ64C16S-45JDM/page-1", "SMJ64C16S-45JDM")</f>
        <v>SMJ64C16S-45JDM</v>
      </c>
      <c r="B26208" s="3" t="s">
        <v>90</v>
      </c>
      <c r="C26208" s="5">
        <v>1145</v>
      </c>
      <c r="D26208" s="6">
        <v>96.75</v>
      </c>
    </row>
    <row r="26209" spans="1:4" x14ac:dyDescent="0.25">
      <c r="A26209" t="str">
        <f>HYPERLINK("https://www.773grp.com/globalSearch/PTEA415050N2AD/page-1", "PTEA415050N2AD")</f>
        <v>PTEA415050N2AD</v>
      </c>
      <c r="B26209" s="3" t="s">
        <v>90</v>
      </c>
      <c r="C26209" s="5">
        <v>45</v>
      </c>
      <c r="D26209" s="6">
        <v>96.9</v>
      </c>
    </row>
    <row r="26210" spans="1:4" x14ac:dyDescent="0.25">
      <c r="A26210" t="str">
        <f>HYPERLINK("https://www.773grp.com/globalSearch/TMS320C6424ZDU7/page-1", "TMS320C6424ZDU7")</f>
        <v>TMS320C6424ZDU7</v>
      </c>
      <c r="B26210" s="3" t="s">
        <v>90</v>
      </c>
      <c r="C26210" s="5">
        <v>97</v>
      </c>
      <c r="D26210" s="6">
        <v>97.04</v>
      </c>
    </row>
    <row r="26211" spans="1:4" x14ac:dyDescent="0.25">
      <c r="A26211" t="str">
        <f>HYPERLINK("https://www.773grp.com/globalSearch/TMS320C6424ZWT7/page-1", "TMS320C6424ZWT7")</f>
        <v>TMS320C6424ZWT7</v>
      </c>
      <c r="B26211" s="3" t="s">
        <v>90</v>
      </c>
      <c r="C26211" s="5">
        <v>360</v>
      </c>
      <c r="D26211" s="6">
        <v>97.04</v>
      </c>
    </row>
    <row r="26212" spans="1:4" x14ac:dyDescent="0.25">
      <c r="A26212" t="str">
        <f>HYPERLINK("https://www.773grp.com/globalSearch/TMX320VC5510GGW22/page-1", "TMX320VC5510GGW22")</f>
        <v>TMX320VC5510GGW22</v>
      </c>
      <c r="B26212" s="3" t="s">
        <v>90</v>
      </c>
      <c r="C26212" s="5">
        <v>1273</v>
      </c>
      <c r="D26212" s="6">
        <v>97.16</v>
      </c>
    </row>
    <row r="26213" spans="1:4" x14ac:dyDescent="0.25">
      <c r="A26213" t="str">
        <f>HYPERLINK("https://www.773grp.com/globalSearch/TMS320DM368ZCED/page-1", "TMS320DM368ZCED")</f>
        <v>TMS320DM368ZCED</v>
      </c>
      <c r="B26213" s="3" t="s">
        <v>90</v>
      </c>
      <c r="C26213" s="5">
        <v>9</v>
      </c>
      <c r="D26213" s="6">
        <v>97.88</v>
      </c>
    </row>
    <row r="26214" spans="1:4" x14ac:dyDescent="0.25">
      <c r="A26214" t="str">
        <f>HYPERLINK("https://www.773grp.com/globalSearch/LM137K-883/page-1", "LM137K-883")</f>
        <v>LM137K-883</v>
      </c>
      <c r="B26214" s="3" t="s">
        <v>90</v>
      </c>
      <c r="C26214" s="5">
        <v>113</v>
      </c>
      <c r="D26214" s="6">
        <v>97.96</v>
      </c>
    </row>
    <row r="26215" spans="1:4" x14ac:dyDescent="0.25">
      <c r="A26215" t="str">
        <f>HYPERLINK("https://www.773grp.com/globalSearch/SN105064PGC/page-1", "SN105064PGC")</f>
        <v>SN105064PGC</v>
      </c>
      <c r="B26215" s="3" t="s">
        <v>90</v>
      </c>
      <c r="C26215" s="5">
        <v>12</v>
      </c>
      <c r="D26215" s="6">
        <v>98.39</v>
      </c>
    </row>
    <row r="26216" spans="1:4" x14ac:dyDescent="0.25">
      <c r="A26216" t="str">
        <f>HYPERLINK("https://www.773grp.com/globalSearch/MSP-EXP430FR5739/page-1", "MSP-EXP430FR5739")</f>
        <v>MSP-EXP430FR5739</v>
      </c>
      <c r="B26216" s="3" t="s">
        <v>90</v>
      </c>
      <c r="C26216" s="5">
        <v>224</v>
      </c>
      <c r="D26216" s="6">
        <v>98.44</v>
      </c>
    </row>
    <row r="26217" spans="1:4" x14ac:dyDescent="0.25">
      <c r="A26217" t="str">
        <f>HYPERLINK("https://www.773grp.com/globalSearch/SMJ68CE16L-55JDM/page-1", "SMJ68CE16L-55JDM")</f>
        <v>SMJ68CE16L-55JDM</v>
      </c>
      <c r="B26217" s="3" t="s">
        <v>90</v>
      </c>
      <c r="C26217" s="5">
        <v>247</v>
      </c>
      <c r="D26217" s="6">
        <v>98.44</v>
      </c>
    </row>
    <row r="26218" spans="1:4" x14ac:dyDescent="0.25">
      <c r="A26218" t="str">
        <f>HYPERLINK("https://www.773grp.com/globalSearch/UC1832L883B/page-1", "UC1832L883B")</f>
        <v>UC1832L883B</v>
      </c>
      <c r="B26218" s="3" t="s">
        <v>90</v>
      </c>
      <c r="C26218" s="5">
        <v>11</v>
      </c>
      <c r="D26218" s="6">
        <v>98.8</v>
      </c>
    </row>
    <row r="26219" spans="1:4" x14ac:dyDescent="0.25">
      <c r="A26219" t="str">
        <f>HYPERLINK("https://www.773grp.com/globalSearch/DAC5682ZIRGCR/page-1", "DAC5682ZIRGCR")</f>
        <v>DAC5682ZIRGCR</v>
      </c>
      <c r="B26219" s="3" t="s">
        <v>90</v>
      </c>
      <c r="C26219" s="5">
        <v>419</v>
      </c>
      <c r="D26219" s="6">
        <v>98.85</v>
      </c>
    </row>
    <row r="26220" spans="1:4" x14ac:dyDescent="0.25">
      <c r="A26220" t="str">
        <f>HYPERLINK("https://www.773grp.com/globalSearch/MSP58P80PJM/page-1", "MSP58P80PJM")</f>
        <v>MSP58P80PJM</v>
      </c>
      <c r="B26220" s="3" t="s">
        <v>90</v>
      </c>
      <c r="C26220" s="5">
        <v>1823</v>
      </c>
      <c r="D26220" s="6">
        <v>99</v>
      </c>
    </row>
    <row r="26221" spans="1:4" x14ac:dyDescent="0.25">
      <c r="A26221" t="str">
        <f>HYPERLINK("https://www.773grp.com/globalSearch/SNJ54AC11000FK/page-1", "SNJ54AC11000FK")</f>
        <v>SNJ54AC11000FK</v>
      </c>
      <c r="B26221" s="3" t="s">
        <v>90</v>
      </c>
      <c r="C26221" s="5">
        <v>28</v>
      </c>
      <c r="D26221" s="6">
        <v>99</v>
      </c>
    </row>
    <row r="26222" spans="1:4" x14ac:dyDescent="0.25">
      <c r="A26222" t="str">
        <f>HYPERLINK("https://www.773grp.com/globalSearch/CC3000EM/page-1", "CC3000EM")</f>
        <v>CC3000EM</v>
      </c>
      <c r="B26222" s="3" t="s">
        <v>90</v>
      </c>
      <c r="C26222" s="5">
        <v>1</v>
      </c>
      <c r="D26222" s="6">
        <v>99.26</v>
      </c>
    </row>
    <row r="26223" spans="1:4" x14ac:dyDescent="0.25">
      <c r="A26223" t="str">
        <f>HYPERLINK("https://www.773grp.com/globalSearch/XAM3874BCYE/page-1", "XAM3874BCYE")</f>
        <v>XAM3874BCYE</v>
      </c>
      <c r="B26223" s="3" t="s">
        <v>90</v>
      </c>
      <c r="C26223" s="5">
        <v>43</v>
      </c>
      <c r="D26223" s="6">
        <v>99.28</v>
      </c>
    </row>
    <row r="26224" spans="1:4" x14ac:dyDescent="0.25">
      <c r="A26224" t="str">
        <f>HYPERLINK("https://www.773grp.com/globalSearch/TMS38030GBL-8/page-1", "TMS38030GBL-8")</f>
        <v>TMS38030GBL-8</v>
      </c>
      <c r="B26224" s="3" t="s">
        <v>90</v>
      </c>
      <c r="C26224" s="5">
        <v>4621</v>
      </c>
      <c r="D26224" s="6">
        <v>99.56</v>
      </c>
    </row>
    <row r="26225" spans="1:4" x14ac:dyDescent="0.25">
      <c r="A26225" t="str">
        <f>HYPERLINK("https://www.773grp.com/globalSearch/TMS3450NL/page-1", "TMS3450NL")</f>
        <v>TMS3450NL</v>
      </c>
      <c r="B26225" s="3" t="s">
        <v>90</v>
      </c>
      <c r="C26225" s="5">
        <v>2000</v>
      </c>
      <c r="D26225" s="6">
        <v>100.19</v>
      </c>
    </row>
    <row r="26226" spans="1:4" x14ac:dyDescent="0.25">
      <c r="A26226" t="str">
        <f>HYPERLINK("https://www.773grp.com/globalSearch/PTB48540AAS/page-1", "PTB48540AAS")</f>
        <v>PTB48540AAS</v>
      </c>
      <c r="B26226" s="3" t="s">
        <v>90</v>
      </c>
      <c r="C26226" s="5">
        <v>132</v>
      </c>
      <c r="D26226" s="6">
        <v>100.28</v>
      </c>
    </row>
    <row r="26227" spans="1:4" x14ac:dyDescent="0.25">
      <c r="A26227" t="str">
        <f>HYPERLINK("https://www.773grp.com/globalSearch/PTB48540BAH/page-1", "PTB48540BAH")</f>
        <v>PTB48540BAH</v>
      </c>
      <c r="B26227" s="3" t="s">
        <v>90</v>
      </c>
      <c r="C26227" s="5">
        <v>21</v>
      </c>
      <c r="D26227" s="6">
        <v>100.28</v>
      </c>
    </row>
    <row r="26228" spans="1:4" x14ac:dyDescent="0.25">
      <c r="A26228" t="str">
        <f>HYPERLINK("https://www.773grp.com/globalSearch/TMS320DM6446BZWTA/page-1", "TMS320DM6446BZWTA")</f>
        <v>TMS320DM6446BZWTA</v>
      </c>
      <c r="B26228" s="3" t="s">
        <v>90</v>
      </c>
      <c r="C26228" s="5">
        <v>516</v>
      </c>
      <c r="D26228" s="6">
        <v>100.28</v>
      </c>
    </row>
    <row r="26229" spans="1:4" x14ac:dyDescent="0.25">
      <c r="A26229" t="str">
        <f>HYPERLINK("https://www.773grp.com/globalSearch/ADC14DS080CISQE-NOPB/page-1", "ADC14DS080CISQE-NOPB")</f>
        <v>ADC14DS080CISQE-NOPB</v>
      </c>
      <c r="B26229" s="3" t="s">
        <v>90</v>
      </c>
      <c r="C26229" s="5">
        <v>504</v>
      </c>
      <c r="D26229" s="6">
        <v>100.41</v>
      </c>
    </row>
    <row r="26230" spans="1:4" x14ac:dyDescent="0.25">
      <c r="A26230" t="str">
        <f>HYPERLINK("https://www.773grp.com/globalSearch/VECANA01/page-1", "VECANA01")</f>
        <v>VECANA01</v>
      </c>
      <c r="B26230" s="3" t="s">
        <v>90</v>
      </c>
      <c r="C26230" s="5">
        <v>5668</v>
      </c>
      <c r="D26230" s="6">
        <v>100.41</v>
      </c>
    </row>
    <row r="26231" spans="1:4" x14ac:dyDescent="0.25">
      <c r="A26231" t="str">
        <f>HYPERLINK("https://www.773grp.com/globalSearch/SN74ACT7810-15FN/page-1", "SN74ACT7810-15FN")</f>
        <v>SN74ACT7810-15FN</v>
      </c>
      <c r="B26231" s="3" t="s">
        <v>90</v>
      </c>
      <c r="C26231" s="5">
        <v>822</v>
      </c>
      <c r="D26231" s="6">
        <v>100.63</v>
      </c>
    </row>
    <row r="26232" spans="1:4" x14ac:dyDescent="0.25">
      <c r="A26232" t="str">
        <f>HYPERLINK("https://www.773grp.com/globalSearch/ADS8422IBPFBT/page-1", "ADS8422IBPFBT")</f>
        <v>ADS8422IBPFBT</v>
      </c>
      <c r="B26232" s="3" t="s">
        <v>90</v>
      </c>
      <c r="C26232" s="5">
        <v>762</v>
      </c>
      <c r="D26232" s="6">
        <v>100.66</v>
      </c>
    </row>
    <row r="26233" spans="1:4" x14ac:dyDescent="0.25">
      <c r="A26233" t="str">
        <f>HYPERLINK("https://www.773grp.com/globalSearch/UC137L/page-1", "UC137L")</f>
        <v>UC137L</v>
      </c>
      <c r="B26233" s="3" t="s">
        <v>90</v>
      </c>
      <c r="C26233" s="5">
        <v>215</v>
      </c>
      <c r="D26233" s="6">
        <v>100.96</v>
      </c>
    </row>
    <row r="26234" spans="1:4" x14ac:dyDescent="0.25">
      <c r="A26234" t="str">
        <f>HYPERLINK("https://www.773grp.com/globalSearch/PTB78560AAH/page-1", "PTB78560AAH")</f>
        <v>PTB78560AAH</v>
      </c>
      <c r="B26234" s="3" t="s">
        <v>90</v>
      </c>
      <c r="C26234" s="5">
        <v>4</v>
      </c>
      <c r="D26234" s="6">
        <v>101.09</v>
      </c>
    </row>
    <row r="26235" spans="1:4" x14ac:dyDescent="0.25">
      <c r="A26235" t="str">
        <f>HYPERLINK("https://www.773grp.com/globalSearch/PTB78560CAZ/page-1", "PTB78560CAZ")</f>
        <v>PTB78560CAZ</v>
      </c>
      <c r="B26235" s="3" t="s">
        <v>90</v>
      </c>
      <c r="C26235" s="5">
        <v>278</v>
      </c>
      <c r="D26235" s="6">
        <v>101.09</v>
      </c>
    </row>
    <row r="26236" spans="1:4" x14ac:dyDescent="0.25">
      <c r="A26236" t="str">
        <f>HYPERLINK("https://www.773grp.com/globalSearch/ADS4225IRGC25/page-1", "ADS4225IRGC25")</f>
        <v>ADS4225IRGC25</v>
      </c>
      <c r="B26236" s="3" t="s">
        <v>90</v>
      </c>
      <c r="C26236" s="5">
        <v>25</v>
      </c>
      <c r="D26236" s="6">
        <v>101.25</v>
      </c>
    </row>
    <row r="26237" spans="1:4" x14ac:dyDescent="0.25">
      <c r="A26237" t="str">
        <f>HYPERLINK("https://www.773grp.com/globalSearch/OMAP3525ECUSA/page-1", "OMAP3525ECUSA")</f>
        <v>OMAP3525ECUSA</v>
      </c>
      <c r="B26237" s="3" t="s">
        <v>90</v>
      </c>
      <c r="C26237" s="5">
        <v>17</v>
      </c>
      <c r="D26237" s="6">
        <v>101.96</v>
      </c>
    </row>
    <row r="26238" spans="1:4" x14ac:dyDescent="0.25">
      <c r="A26238" t="str">
        <f>HYPERLINK("https://www.773grp.com/globalSearch/PT6915A/page-1", "PT6915A")</f>
        <v>PT6915A</v>
      </c>
      <c r="B26238" s="3" t="s">
        <v>90</v>
      </c>
      <c r="C26238" s="5">
        <v>9</v>
      </c>
      <c r="D26238" s="6">
        <v>102.1</v>
      </c>
    </row>
    <row r="26239" spans="1:4" x14ac:dyDescent="0.25">
      <c r="A26239" t="str">
        <f>HYPERLINK("https://www.773grp.com/globalSearch/TMS320DM368ZCEDF/page-1", "TMS320DM368ZCEDF")</f>
        <v>TMS320DM368ZCEDF</v>
      </c>
      <c r="B26239" s="3" t="s">
        <v>90</v>
      </c>
      <c r="C26239" s="5">
        <v>842</v>
      </c>
      <c r="D26239" s="6">
        <v>102.1</v>
      </c>
    </row>
    <row r="26240" spans="1:4" x14ac:dyDescent="0.25">
      <c r="A26240" t="str">
        <f>HYPERLINK("https://www.773grp.com/globalSearch/PT6506C/page-1", "PT6506C")</f>
        <v>PT6506C</v>
      </c>
      <c r="B26240" s="3" t="s">
        <v>90</v>
      </c>
      <c r="C26240" s="5">
        <v>7</v>
      </c>
      <c r="D26240" s="6">
        <v>102.3</v>
      </c>
    </row>
    <row r="26241" spans="1:4" x14ac:dyDescent="0.25">
      <c r="A26241" t="str">
        <f>HYPERLINK("https://www.773grp.com/globalSearch/DAC3482IRKD25/page-1", "DAC3482IRKD25")</f>
        <v>DAC3482IRKD25</v>
      </c>
      <c r="B26241" s="3" t="s">
        <v>90</v>
      </c>
      <c r="C26241" s="5">
        <v>25</v>
      </c>
      <c r="D26241" s="6">
        <v>102.51</v>
      </c>
    </row>
    <row r="26242" spans="1:4" x14ac:dyDescent="0.25">
      <c r="A26242" t="str">
        <f>HYPERLINK("https://www.773grp.com/globalSearch/PCM55HP-3/page-1", "PCM55HP-3")</f>
        <v>PCM55HP-3</v>
      </c>
      <c r="B26242" s="3" t="s">
        <v>90</v>
      </c>
      <c r="C26242" s="5">
        <v>425</v>
      </c>
      <c r="D26242" s="6">
        <v>102.65</v>
      </c>
    </row>
    <row r="26243" spans="1:4" x14ac:dyDescent="0.25">
      <c r="A26243" t="str">
        <f>HYPERLINK("https://www.773grp.com/globalSearch/ADS7825U-1K/page-1", "ADS7825U-1K")</f>
        <v>ADS7825U-1K</v>
      </c>
      <c r="B26243" s="3" t="s">
        <v>90</v>
      </c>
      <c r="C26243" s="5">
        <v>3000</v>
      </c>
      <c r="D26243" s="6">
        <v>103.91</v>
      </c>
    </row>
    <row r="26244" spans="1:4" x14ac:dyDescent="0.25">
      <c r="A26244" t="str">
        <f>HYPERLINK("https://www.773grp.com/globalSearch/JBP28S42MJ/page-1", "JBP28S42MJ")</f>
        <v>JBP28S42MJ</v>
      </c>
      <c r="B26244" s="3" t="s">
        <v>90</v>
      </c>
      <c r="C26244" s="5">
        <v>2</v>
      </c>
      <c r="D26244" s="6">
        <v>104.25</v>
      </c>
    </row>
    <row r="26245" spans="1:4" x14ac:dyDescent="0.25">
      <c r="A26245" t="str">
        <f>HYPERLINK("https://www.773grp.com/globalSearch/TMX320DM6446AZWT/page-1", "TMX320DM6446AZWT")</f>
        <v>TMX320DM6446AZWT</v>
      </c>
      <c r="B26245" s="3" t="s">
        <v>90</v>
      </c>
      <c r="C26245" s="5">
        <v>4</v>
      </c>
      <c r="D26245" s="6">
        <v>105.48</v>
      </c>
    </row>
    <row r="26246" spans="1:4" x14ac:dyDescent="0.25">
      <c r="A26246" t="str">
        <f>HYPERLINK("https://www.773grp.com/globalSearch/TMX320DM6446CZWT/page-1", "TMX320DM6446CZWT")</f>
        <v>TMX320DM6446CZWT</v>
      </c>
      <c r="B26246" s="3" t="s">
        <v>90</v>
      </c>
      <c r="C26246" s="5">
        <v>1831</v>
      </c>
      <c r="D26246" s="6">
        <v>105.48</v>
      </c>
    </row>
    <row r="26247" spans="1:4" x14ac:dyDescent="0.25">
      <c r="A26247" t="str">
        <f>HYPERLINK("https://www.773grp.com/globalSearch/PT6933A/page-1", "PT6933A")</f>
        <v>PT6933A</v>
      </c>
      <c r="B26247" s="3" t="s">
        <v>90</v>
      </c>
      <c r="C26247" s="5">
        <v>5</v>
      </c>
      <c r="D26247" s="6">
        <v>106.31</v>
      </c>
    </row>
    <row r="26248" spans="1:4" x14ac:dyDescent="0.25">
      <c r="A26248" t="str">
        <f>HYPERLINK("https://www.773grp.com/globalSearch/PT6937C/page-1", "PT6937C")</f>
        <v>PT6937C</v>
      </c>
      <c r="B26248" s="3" t="s">
        <v>90</v>
      </c>
      <c r="C26248" s="5">
        <v>6</v>
      </c>
      <c r="D26248" s="6">
        <v>106.31</v>
      </c>
    </row>
    <row r="26249" spans="1:4" x14ac:dyDescent="0.25">
      <c r="A26249" t="str">
        <f>HYPERLINK("https://www.773grp.com/globalSearch/PT6983N/page-1", "PT6983N")</f>
        <v>PT6983N</v>
      </c>
      <c r="B26249" s="3" t="s">
        <v>90</v>
      </c>
      <c r="C26249" s="5">
        <v>8</v>
      </c>
      <c r="D26249" s="6">
        <v>106.31</v>
      </c>
    </row>
    <row r="26250" spans="1:4" x14ac:dyDescent="0.25">
      <c r="A26250" t="str">
        <f>HYPERLINK("https://www.773grp.com/globalSearch/SMOMAPL138BGWTA3R/page-1", "SMOMAPL138BGWTA3R")</f>
        <v>SMOMAPL138BGWTA3R</v>
      </c>
      <c r="B26250" s="3" t="s">
        <v>90</v>
      </c>
      <c r="C26250" s="5">
        <v>732</v>
      </c>
      <c r="D26250" s="6">
        <v>106.31</v>
      </c>
    </row>
    <row r="26251" spans="1:4" x14ac:dyDescent="0.25">
      <c r="A26251" t="str">
        <f>HYPERLINK("https://www.773grp.com/globalSearch/ADS1299IPAG/page-1", "ADS1299IPAG")</f>
        <v>ADS1299IPAG</v>
      </c>
      <c r="B26251" s="3" t="s">
        <v>90</v>
      </c>
      <c r="C26251" s="5">
        <v>200</v>
      </c>
      <c r="D26251" s="6">
        <v>106.88</v>
      </c>
    </row>
    <row r="26252" spans="1:4" x14ac:dyDescent="0.25">
      <c r="A26252" t="str">
        <f>HYPERLINK("https://www.773grp.com/globalSearch/SM5C1008-20JDCE/page-1", "SM5C1008-20JDCE")</f>
        <v>SM5C1008-20JDCE</v>
      </c>
      <c r="B26252" s="3" t="s">
        <v>90</v>
      </c>
      <c r="C26252" s="5">
        <v>17</v>
      </c>
      <c r="D26252" s="6">
        <v>106.88</v>
      </c>
    </row>
    <row r="26253" spans="1:4" x14ac:dyDescent="0.25">
      <c r="A26253" t="str">
        <f>HYPERLINK("https://www.773grp.com/globalSearch/TPS62000SHKK/page-1", "TPS62000SHKK")</f>
        <v>TPS62000SHKK</v>
      </c>
      <c r="B26253" s="3" t="s">
        <v>90</v>
      </c>
      <c r="C26253" s="5">
        <v>8</v>
      </c>
      <c r="D26253" s="6">
        <v>106.88</v>
      </c>
    </row>
    <row r="26254" spans="1:4" x14ac:dyDescent="0.25">
      <c r="A26254" t="str">
        <f>HYPERLINK("https://www.773grp.com/globalSearch/DAC5687MPZPEP/page-1", "DAC5687MPZPEP")</f>
        <v>DAC5687MPZPEP</v>
      </c>
      <c r="B26254" s="3" t="s">
        <v>90</v>
      </c>
      <c r="C26254" s="5">
        <v>319</v>
      </c>
      <c r="D26254" s="6">
        <v>107.58</v>
      </c>
    </row>
    <row r="26255" spans="1:4" x14ac:dyDescent="0.25">
      <c r="A26255" t="str">
        <f>HYPERLINK("https://www.773grp.com/globalSearch/DAC7744EB/page-1", "DAC7744EB")</f>
        <v>DAC7744EB</v>
      </c>
      <c r="B26255" s="3" t="s">
        <v>90</v>
      </c>
      <c r="C26255" s="5">
        <v>7</v>
      </c>
      <c r="D26255" s="6">
        <v>107.78</v>
      </c>
    </row>
    <row r="26256" spans="1:4" x14ac:dyDescent="0.25">
      <c r="A26256" t="str">
        <f>HYPERLINK("https://www.773grp.com/globalSearch/ADS8411IBPFBT/page-1", "ADS8411IBPFBT")</f>
        <v>ADS8411IBPFBT</v>
      </c>
      <c r="B26256" s="3" t="s">
        <v>90</v>
      </c>
      <c r="C26256" s="5">
        <v>30</v>
      </c>
      <c r="D26256" s="6">
        <v>107.86</v>
      </c>
    </row>
    <row r="26257" spans="1:4" x14ac:dyDescent="0.25">
      <c r="A26257" t="str">
        <f>HYPERLINK("https://www.773grp.com/globalSearch/OMAP3530DCUSA/page-1", "OMAP3530DCUSA")</f>
        <v>OMAP3530DCUSA</v>
      </c>
      <c r="B26257" s="3" t="s">
        <v>90</v>
      </c>
      <c r="C26257" s="5">
        <v>7</v>
      </c>
      <c r="D26257" s="6">
        <v>108</v>
      </c>
    </row>
    <row r="26258" spans="1:4" x14ac:dyDescent="0.25">
      <c r="A26258" t="str">
        <f>HYPERLINK("https://www.773grp.com/globalSearch/UC1836L-883B/page-1", "UC1836L-883B")</f>
        <v>UC1836L-883B</v>
      </c>
      <c r="B26258" s="3" t="s">
        <v>90</v>
      </c>
      <c r="C26258" s="5">
        <v>507</v>
      </c>
      <c r="D26258" s="6">
        <v>108.39</v>
      </c>
    </row>
    <row r="26259" spans="1:4" x14ac:dyDescent="0.25">
      <c r="A26259" t="str">
        <f>HYPERLINK("https://www.773grp.com/globalSearch/ADS7825U/page-1", "ADS7825U")</f>
        <v>ADS7825U</v>
      </c>
      <c r="B26259" s="3" t="s">
        <v>90</v>
      </c>
      <c r="C26259" s="5">
        <v>1052</v>
      </c>
      <c r="D26259" s="6">
        <v>109.55</v>
      </c>
    </row>
    <row r="26260" spans="1:4" x14ac:dyDescent="0.25">
      <c r="A26260" t="str">
        <f>HYPERLINK("https://www.773grp.com/globalSearch/DK-LM3S9B96-EM2/page-1", "DK-LM3S9B96-EM2")</f>
        <v>DK-LM3S9B96-EM2</v>
      </c>
      <c r="B26260" s="3" t="s">
        <v>90</v>
      </c>
      <c r="C26260" s="5">
        <v>9</v>
      </c>
      <c r="D26260" s="6">
        <v>109.69</v>
      </c>
    </row>
    <row r="26261" spans="1:4" x14ac:dyDescent="0.25">
      <c r="A26261" t="str">
        <f>HYPERLINK("https://www.773grp.com/globalSearch/LT1070MKJB/page-1", "LT1070MKJB")</f>
        <v>LT1070MKJB</v>
      </c>
      <c r="B26261" s="3" t="s">
        <v>90</v>
      </c>
      <c r="C26261" s="5">
        <v>519</v>
      </c>
      <c r="D26261" s="6">
        <v>109.69</v>
      </c>
    </row>
    <row r="26262" spans="1:4" x14ac:dyDescent="0.25">
      <c r="A26262" t="str">
        <f>HYPERLINK("https://www.773grp.com/globalSearch/PT4123A/page-1", "PT4123A")</f>
        <v>PT4123A</v>
      </c>
      <c r="B26262" s="3" t="s">
        <v>90</v>
      </c>
      <c r="C26262" s="5">
        <v>4</v>
      </c>
      <c r="D26262" s="6">
        <v>109.69</v>
      </c>
    </row>
    <row r="26263" spans="1:4" x14ac:dyDescent="0.25">
      <c r="A26263" t="str">
        <f>HYPERLINK("https://www.773grp.com/globalSearch/PT4126A/page-1", "PT4126A")</f>
        <v>PT4126A</v>
      </c>
      <c r="B26263" s="3" t="s">
        <v>90</v>
      </c>
      <c r="C26263" s="5">
        <v>13</v>
      </c>
      <c r="D26263" s="6">
        <v>109.69</v>
      </c>
    </row>
    <row r="26264" spans="1:4" x14ac:dyDescent="0.25">
      <c r="A26264" t="str">
        <f>HYPERLINK("https://www.773grp.com/globalSearch/PT4143A/page-1", "PT4143A")</f>
        <v>PT4143A</v>
      </c>
      <c r="B26264" s="3" t="s">
        <v>90</v>
      </c>
      <c r="C26264" s="5">
        <v>5</v>
      </c>
      <c r="D26264" s="6">
        <v>109.69</v>
      </c>
    </row>
    <row r="26265" spans="1:4" x14ac:dyDescent="0.25">
      <c r="A26265" t="str">
        <f>HYPERLINK("https://www.773grp.com/globalSearch/PT4144C/page-1", "PT4144C")</f>
        <v>PT4144C</v>
      </c>
      <c r="B26265" s="3" t="s">
        <v>90</v>
      </c>
      <c r="C26265" s="5">
        <v>3</v>
      </c>
      <c r="D26265" s="6">
        <v>109.69</v>
      </c>
    </row>
    <row r="26266" spans="1:4" x14ac:dyDescent="0.25">
      <c r="A26266" t="str">
        <f>HYPERLINK("https://www.773grp.com/globalSearch/SMJ68CE16S-45JDM/page-1", "SMJ68CE16S-45JDM")</f>
        <v>SMJ68CE16S-45JDM</v>
      </c>
      <c r="B26266" s="3" t="s">
        <v>90</v>
      </c>
      <c r="C26266" s="5">
        <v>2206</v>
      </c>
      <c r="D26266" s="6">
        <v>109.69</v>
      </c>
    </row>
    <row r="26267" spans="1:4" x14ac:dyDescent="0.25">
      <c r="A26267" t="str">
        <f>HYPERLINK("https://www.773grp.com/globalSearch/TMDS28027USB/page-1", "TMDS28027USB")</f>
        <v>TMDS28027USB</v>
      </c>
      <c r="B26267" s="3" t="s">
        <v>90</v>
      </c>
      <c r="C26267" s="5">
        <v>13</v>
      </c>
      <c r="D26267" s="6">
        <v>109.69</v>
      </c>
    </row>
    <row r="26268" spans="1:4" x14ac:dyDescent="0.25">
      <c r="A26268" t="str">
        <f>HYPERLINK("https://www.773grp.com/globalSearch/TMDX28027USB/page-1", "TMDX28027USB")</f>
        <v>TMDX28027USB</v>
      </c>
      <c r="B26268" s="3" t="s">
        <v>90</v>
      </c>
      <c r="C26268" s="5">
        <v>47</v>
      </c>
      <c r="D26268" s="6">
        <v>109.69</v>
      </c>
    </row>
    <row r="26269" spans="1:4" x14ac:dyDescent="0.25">
      <c r="A26269" t="str">
        <f>HYPERLINK("https://www.773grp.com/globalSearch/TMDX28069USB/page-1", "TMDX28069USB")</f>
        <v>TMDX28069USB</v>
      </c>
      <c r="B26269" s="3" t="s">
        <v>90</v>
      </c>
      <c r="C26269" s="5">
        <v>7</v>
      </c>
      <c r="D26269" s="6">
        <v>109.69</v>
      </c>
    </row>
    <row r="26270" spans="1:4" x14ac:dyDescent="0.25">
      <c r="A26270" t="str">
        <f>HYPERLINK("https://www.773grp.com/globalSearch/PDAC5682ZIRGCT/page-1", "PDAC5682ZIRGCT")</f>
        <v>PDAC5682ZIRGCT</v>
      </c>
      <c r="B26270" s="3" t="s">
        <v>90</v>
      </c>
      <c r="C26270" s="5">
        <v>78</v>
      </c>
      <c r="D26270" s="6">
        <v>109.86</v>
      </c>
    </row>
    <row r="26271" spans="1:4" x14ac:dyDescent="0.25">
      <c r="A26271" t="str">
        <f>HYPERLINK("https://www.773grp.com/globalSearch/0100MS/page-1", "0100MS")</f>
        <v>0100MS</v>
      </c>
      <c r="B26271" s="3" t="s">
        <v>90</v>
      </c>
      <c r="C26271" s="5">
        <v>71</v>
      </c>
      <c r="D26271" s="6">
        <v>111.38</v>
      </c>
    </row>
    <row r="26272" spans="1:4" x14ac:dyDescent="0.25">
      <c r="A26272" t="str">
        <f>HYPERLINK("https://www.773grp.com/globalSearch/5962-9320101MXA/page-1", "5962-9320101MXA")</f>
        <v>5962-9320101MXA</v>
      </c>
      <c r="B26272" s="3" t="s">
        <v>90</v>
      </c>
      <c r="C26272" s="5">
        <v>14</v>
      </c>
      <c r="D26272" s="6">
        <v>111.49</v>
      </c>
    </row>
    <row r="26273" spans="1:4" x14ac:dyDescent="0.25">
      <c r="A26273" t="str">
        <f>HYPERLINK("https://www.773grp.com/globalSearch/PT6901N/page-1", "PT6901N")</f>
        <v>PT6901N</v>
      </c>
      <c r="B26273" s="3" t="s">
        <v>90</v>
      </c>
      <c r="C26273" s="5">
        <v>1</v>
      </c>
      <c r="D26273" s="6">
        <v>111.49</v>
      </c>
    </row>
    <row r="26274" spans="1:4" x14ac:dyDescent="0.25">
      <c r="A26274" t="str">
        <f>HYPERLINK("https://www.773grp.com/globalSearch/PT7601A/page-1", "PT7601A")</f>
        <v>PT7601A</v>
      </c>
      <c r="B26274" s="3" t="s">
        <v>90</v>
      </c>
      <c r="C26274" s="5">
        <v>2</v>
      </c>
      <c r="D26274" s="6">
        <v>111.49</v>
      </c>
    </row>
    <row r="26275" spans="1:4" x14ac:dyDescent="0.25">
      <c r="A26275" t="str">
        <f>HYPERLINK("https://www.773grp.com/globalSearch/ADS41B29IRGZT/page-1", "ADS41B29IRGZT")</f>
        <v>ADS41B29IRGZT</v>
      </c>
      <c r="B26275" s="3" t="s">
        <v>90</v>
      </c>
      <c r="C26275" s="5">
        <v>534</v>
      </c>
      <c r="D26275" s="6">
        <v>111.8</v>
      </c>
    </row>
    <row r="26276" spans="1:4" x14ac:dyDescent="0.25">
      <c r="A26276" t="str">
        <f>HYPERLINK("https://www.773grp.com/globalSearch/AFE8221IRFPQ1/page-1", "AFE8221IRFPQ1")</f>
        <v>AFE8221IRFPQ1</v>
      </c>
      <c r="B26276" s="3" t="s">
        <v>90</v>
      </c>
      <c r="C26276" s="5">
        <v>120</v>
      </c>
      <c r="D26276" s="6">
        <v>111.94</v>
      </c>
    </row>
    <row r="26277" spans="1:4" x14ac:dyDescent="0.25">
      <c r="A26277" t="str">
        <f>HYPERLINK("https://www.773grp.com/globalSearch/ADS4146IRGZT/page-1", "ADS4146IRGZT")</f>
        <v>ADS4146IRGZT</v>
      </c>
      <c r="B26277" s="3" t="s">
        <v>90</v>
      </c>
      <c r="C26277" s="5">
        <v>270</v>
      </c>
      <c r="D26277" s="6">
        <v>112.23</v>
      </c>
    </row>
    <row r="26278" spans="1:4" x14ac:dyDescent="0.25">
      <c r="A26278" t="str">
        <f>HYPERLINK("https://www.773grp.com/globalSearch/EZ430-RF2500T/page-1", "EZ430-RF2500T")</f>
        <v>EZ430-RF2500T</v>
      </c>
      <c r="B26278" s="3" t="s">
        <v>90</v>
      </c>
      <c r="C26278" s="5">
        <v>27</v>
      </c>
      <c r="D26278" s="6">
        <v>112.5</v>
      </c>
    </row>
    <row r="26279" spans="1:4" x14ac:dyDescent="0.25">
      <c r="A26279" t="str">
        <f>HYPERLINK("https://www.773grp.com/globalSearch/OMAP3530ECBBA/page-1", "OMAP3530ECBBA")</f>
        <v>OMAP3530ECBBA</v>
      </c>
      <c r="B26279" s="3" t="s">
        <v>90</v>
      </c>
      <c r="C26279" s="5">
        <v>1008</v>
      </c>
      <c r="D26279" s="6">
        <v>112.5</v>
      </c>
    </row>
    <row r="26280" spans="1:4" x14ac:dyDescent="0.25">
      <c r="A26280" t="str">
        <f>HYPERLINK("https://www.773grp.com/globalSearch/OMAP3530ECUS72/page-1", "OMAP3530ECUS72")</f>
        <v>OMAP3530ECUS72</v>
      </c>
      <c r="B26280" s="3" t="s">
        <v>90</v>
      </c>
      <c r="C26280" s="5">
        <v>1</v>
      </c>
      <c r="D26280" s="6">
        <v>112.5</v>
      </c>
    </row>
    <row r="26281" spans="1:4" x14ac:dyDescent="0.25">
      <c r="A26281" t="str">
        <f>HYPERLINK("https://www.773grp.com/globalSearch/SMJ64C16L-45JDM/page-1", "SMJ64C16L-45JDM")</f>
        <v>SMJ64C16L-45JDM</v>
      </c>
      <c r="B26281" s="3" t="s">
        <v>90</v>
      </c>
      <c r="C26281" s="5">
        <v>982</v>
      </c>
      <c r="D26281" s="6">
        <v>112.5</v>
      </c>
    </row>
    <row r="26282" spans="1:4" x14ac:dyDescent="0.25">
      <c r="A26282" t="str">
        <f>HYPERLINK("https://www.773grp.com/globalSearch/SN65HVD11SJD/page-1", "SN65HVD11SJD")</f>
        <v>SN65HVD11SJD</v>
      </c>
      <c r="B26282" s="3" t="s">
        <v>90</v>
      </c>
      <c r="C26282" s="5">
        <v>10</v>
      </c>
      <c r="D26282" s="6">
        <v>112.5</v>
      </c>
    </row>
    <row r="26283" spans="1:4" x14ac:dyDescent="0.25">
      <c r="A26283" t="str">
        <f>HYPERLINK("https://www.773grp.com/globalSearch/SN65HVD233SHKJ/page-1", "SN65HVD233SHKJ")</f>
        <v>SN65HVD233SHKJ</v>
      </c>
      <c r="B26283" s="3" t="s">
        <v>90</v>
      </c>
      <c r="C26283" s="5">
        <v>198</v>
      </c>
      <c r="D26283" s="6">
        <v>112.5</v>
      </c>
    </row>
    <row r="26284" spans="1:4" x14ac:dyDescent="0.25">
      <c r="A26284" t="str">
        <f>HYPERLINK("https://www.773grp.com/globalSearch/ADS8412IBPFBT/page-1", "ADS8412IBPFBT")</f>
        <v>ADS8412IBPFBT</v>
      </c>
      <c r="B26284" s="3" t="s">
        <v>90</v>
      </c>
      <c r="C26284" s="5">
        <v>9</v>
      </c>
      <c r="D26284" s="6">
        <v>112.93</v>
      </c>
    </row>
    <row r="26285" spans="1:4" x14ac:dyDescent="0.25">
      <c r="A26285" t="str">
        <f>HYPERLINK("https://www.773grp.com/globalSearch/5962-9460101QXA/page-1", "5962-9460101QXA")</f>
        <v>5962-9460101QXA</v>
      </c>
      <c r="B26285" s="3" t="s">
        <v>90</v>
      </c>
      <c r="C26285" s="5">
        <v>135</v>
      </c>
      <c r="D26285" s="6">
        <v>113.15</v>
      </c>
    </row>
    <row r="26286" spans="1:4" x14ac:dyDescent="0.25">
      <c r="A26286" t="str">
        <f>HYPERLINK("https://www.773grp.com/globalSearch/ADS7809UB/page-1", "ADS7809UB")</f>
        <v>ADS7809UB</v>
      </c>
      <c r="B26286" s="3" t="s">
        <v>90</v>
      </c>
      <c r="C26286" s="5">
        <v>65</v>
      </c>
      <c r="D26286" s="6">
        <v>113.49</v>
      </c>
    </row>
    <row r="26287" spans="1:4" x14ac:dyDescent="0.25">
      <c r="A26287" t="str">
        <f>HYPERLINK("https://www.773grp.com/globalSearch/SMJ61CD16LA-45JDM/page-1", "SMJ61CD16LA-45JDM")</f>
        <v>SMJ61CD16LA-45JDM</v>
      </c>
      <c r="B26287" s="3" t="s">
        <v>90</v>
      </c>
      <c r="C26287" s="5">
        <v>350</v>
      </c>
      <c r="D26287" s="6">
        <v>113.83</v>
      </c>
    </row>
    <row r="26288" spans="1:4" x14ac:dyDescent="0.25">
      <c r="A26288" t="str">
        <f>HYPERLINK("https://www.773grp.com/globalSearch/DAC7734EC-1K/page-1", "DAC7734EC-1K")</f>
        <v>DAC7734EC-1K</v>
      </c>
      <c r="B26288" s="3" t="s">
        <v>90</v>
      </c>
      <c r="C26288" s="5">
        <v>1192</v>
      </c>
      <c r="D26288" s="6">
        <v>114.19</v>
      </c>
    </row>
    <row r="26289" spans="1:4" x14ac:dyDescent="0.25">
      <c r="A26289" t="str">
        <f>HYPERLINK("https://www.773grp.com/globalSearch/PTB48530BAS/page-1", "PTB48530BAS")</f>
        <v>PTB48530BAS</v>
      </c>
      <c r="B26289" s="3" t="s">
        <v>90</v>
      </c>
      <c r="C26289" s="5">
        <v>90</v>
      </c>
      <c r="D26289" s="6">
        <v>114.33</v>
      </c>
    </row>
    <row r="26290" spans="1:4" x14ac:dyDescent="0.25">
      <c r="A26290" t="str">
        <f>HYPERLINK("https://www.773grp.com/globalSearch/UC1724L/page-1", "UC1724L")</f>
        <v>UC1724L</v>
      </c>
      <c r="B26290" s="3" t="s">
        <v>90</v>
      </c>
      <c r="C26290" s="5">
        <v>60</v>
      </c>
      <c r="D26290" s="6">
        <v>115.09</v>
      </c>
    </row>
    <row r="26291" spans="1:4" x14ac:dyDescent="0.25">
      <c r="A26291" t="str">
        <f>HYPERLINK("https://www.773grp.com/globalSearch/SN65HVD233HD/page-1", "SN65HVD233HD")</f>
        <v>SN65HVD233HD</v>
      </c>
      <c r="B26291" s="3" t="s">
        <v>90</v>
      </c>
      <c r="C26291" s="5">
        <v>141</v>
      </c>
      <c r="D26291" s="6">
        <v>115.31</v>
      </c>
    </row>
    <row r="26292" spans="1:4" x14ac:dyDescent="0.25">
      <c r="A26292" t="str">
        <f>HYPERLINK("https://www.773grp.com/globalSearch/UC1711L-883B/page-1", "UC1711L-883B")</f>
        <v>UC1711L-883B</v>
      </c>
      <c r="B26292" s="3" t="s">
        <v>90</v>
      </c>
      <c r="C26292" s="5">
        <v>309</v>
      </c>
      <c r="D26292" s="6">
        <v>116.05</v>
      </c>
    </row>
    <row r="26293" spans="1:4" x14ac:dyDescent="0.25">
      <c r="A26293" t="str">
        <f>HYPERLINK("https://www.773grp.com/globalSearch/ADS1282IPW-1/page-1", "ADS1282IPW-1")</f>
        <v>ADS1282IPW-1</v>
      </c>
      <c r="B26293" s="3" t="s">
        <v>90</v>
      </c>
      <c r="C26293" s="5">
        <v>579</v>
      </c>
      <c r="D26293" s="6">
        <v>116.44</v>
      </c>
    </row>
    <row r="26294" spans="1:4" x14ac:dyDescent="0.25">
      <c r="A26294" t="str">
        <f>HYPERLINK("https://www.773grp.com/globalSearch/PTB48580AAS/page-1", "PTB48580AAS")</f>
        <v>PTB48580AAS</v>
      </c>
      <c r="B26294" s="3" t="s">
        <v>90</v>
      </c>
      <c r="C26294" s="5">
        <v>707</v>
      </c>
      <c r="D26294" s="6">
        <v>116.44</v>
      </c>
    </row>
    <row r="26295" spans="1:4" x14ac:dyDescent="0.25">
      <c r="A26295" t="str">
        <f>HYPERLINK("https://www.773grp.com/globalSearch/PTB48580BAH/page-1", "PTB48580BAH")</f>
        <v>PTB48580BAH</v>
      </c>
      <c r="B26295" s="3" t="s">
        <v>90</v>
      </c>
      <c r="C26295" s="5">
        <v>14</v>
      </c>
      <c r="D26295" s="6">
        <v>116.44</v>
      </c>
    </row>
    <row r="26296" spans="1:4" x14ac:dyDescent="0.25">
      <c r="A26296" t="str">
        <f>HYPERLINK("https://www.773grp.com/globalSearch/C54XADAPTEVM/page-1", "C54XADAPTEVM")</f>
        <v>C54XADAPTEVM</v>
      </c>
      <c r="B26296" s="3" t="s">
        <v>90</v>
      </c>
      <c r="C26296" s="5">
        <v>12</v>
      </c>
      <c r="D26296" s="6">
        <v>117.7</v>
      </c>
    </row>
    <row r="26297" spans="1:4" x14ac:dyDescent="0.25">
      <c r="A26297" t="str">
        <f>HYPERLINK("https://www.773grp.com/globalSearch/TLC876EVM/page-1", "TLC876EVM")</f>
        <v>TLC876EVM</v>
      </c>
      <c r="B26297" s="3" t="s">
        <v>90</v>
      </c>
      <c r="C26297" s="5">
        <v>36</v>
      </c>
      <c r="D26297" s="6">
        <v>117.7</v>
      </c>
    </row>
    <row r="26298" spans="1:4" x14ac:dyDescent="0.25">
      <c r="A26298" t="str">
        <f>HYPERLINK("https://www.773grp.com/globalSearch/TLV1562EVM/page-1", "TLV1562EVM")</f>
        <v>TLV1562EVM</v>
      </c>
      <c r="B26298" s="3" t="s">
        <v>90</v>
      </c>
      <c r="C26298" s="5">
        <v>8</v>
      </c>
      <c r="D26298" s="6">
        <v>117.7</v>
      </c>
    </row>
    <row r="26299" spans="1:4" x14ac:dyDescent="0.25">
      <c r="A26299" t="str">
        <f>HYPERLINK("https://www.773grp.com/globalSearch/TMS320C6412AGNZ6/page-1", "TMS320C6412AGNZ6")</f>
        <v>TMS320C6412AGNZ6</v>
      </c>
      <c r="B26299" s="3" t="s">
        <v>90</v>
      </c>
      <c r="C26299" s="5">
        <v>3593</v>
      </c>
      <c r="D26299" s="6">
        <v>117.9</v>
      </c>
    </row>
    <row r="26300" spans="1:4" x14ac:dyDescent="0.25">
      <c r="A26300" t="str">
        <f>HYPERLINK("https://www.773grp.com/globalSearch/TMS320C6412AGNZ6/page-1", "TMS320C6412AGNZ6")</f>
        <v>TMS320C6412AGNZ6</v>
      </c>
      <c r="B26300" s="3" t="s">
        <v>90</v>
      </c>
      <c r="C26300" s="5">
        <v>996</v>
      </c>
      <c r="D26300" s="6">
        <v>117.9</v>
      </c>
    </row>
    <row r="26301" spans="1:4" x14ac:dyDescent="0.25">
      <c r="A26301" t="str">
        <f>HYPERLINK("https://www.773grp.com/globalSearch/ADS5560IRGZ25/page-1", "ADS5560IRGZ25")</f>
        <v>ADS5560IRGZ25</v>
      </c>
      <c r="B26301" s="3" t="s">
        <v>90</v>
      </c>
      <c r="C26301" s="5">
        <v>125</v>
      </c>
      <c r="D26301" s="6">
        <v>118.46</v>
      </c>
    </row>
    <row r="26302" spans="1:4" x14ac:dyDescent="0.25">
      <c r="A26302" t="str">
        <f>HYPERLINK("https://www.773grp.com/globalSearch/PTH12040WAST/page-1", "PTH12040WAST")</f>
        <v>PTH12040WAST</v>
      </c>
      <c r="B26302" s="3" t="s">
        <v>90</v>
      </c>
      <c r="C26302" s="5">
        <v>2600</v>
      </c>
      <c r="D26302" s="6">
        <v>119.53</v>
      </c>
    </row>
    <row r="26303" spans="1:4" x14ac:dyDescent="0.25">
      <c r="A26303" t="str">
        <f>HYPERLINK("https://www.773grp.com/globalSearch/TLV1544EVM/page-1", "TLV1544EVM")</f>
        <v>TLV1544EVM</v>
      </c>
      <c r="B26303" s="3" t="s">
        <v>90</v>
      </c>
      <c r="C26303" s="5">
        <v>10</v>
      </c>
      <c r="D26303" s="6">
        <v>119.53</v>
      </c>
    </row>
    <row r="26304" spans="1:4" x14ac:dyDescent="0.25">
      <c r="A26304" t="str">
        <f>HYPERLINK("https://www.773grp.com/globalSearch/TLV1572EVM/page-1", "TLV1572EVM")</f>
        <v>TLV1572EVM</v>
      </c>
      <c r="B26304" s="3" t="s">
        <v>90</v>
      </c>
      <c r="C26304" s="5">
        <v>9</v>
      </c>
      <c r="D26304" s="6">
        <v>119.53</v>
      </c>
    </row>
    <row r="26305" spans="1:4" x14ac:dyDescent="0.25">
      <c r="A26305" t="str">
        <f>HYPERLINK("https://www.773grp.com/globalSearch/JM38510-17203BCA/page-1", "JM38510-17203BCA")</f>
        <v>JM38510-17203BCA</v>
      </c>
      <c r="B26305" s="3" t="s">
        <v>90</v>
      </c>
      <c r="C26305" s="5">
        <v>13</v>
      </c>
      <c r="D26305" s="6">
        <v>120.33</v>
      </c>
    </row>
    <row r="26306" spans="1:4" x14ac:dyDescent="0.25">
      <c r="A26306" t="str">
        <f>HYPERLINK("https://www.773grp.com/globalSearch/TMS320DM6446BZWT8/page-1", "TMS320DM6446BZWT8")</f>
        <v>TMS320DM6446BZWT8</v>
      </c>
      <c r="B26306" s="3" t="s">
        <v>90</v>
      </c>
      <c r="C26306" s="5">
        <v>732</v>
      </c>
      <c r="D26306" s="6">
        <v>120.38</v>
      </c>
    </row>
    <row r="26307" spans="1:4" x14ac:dyDescent="0.25">
      <c r="A26307" t="str">
        <f>HYPERLINK("https://www.773grp.com/globalSearch/SMJ61CD16SA-35JDM/page-1", "SMJ61CD16SA-35JDM")</f>
        <v>SMJ61CD16SA-35JDM</v>
      </c>
      <c r="B26307" s="3" t="s">
        <v>90</v>
      </c>
      <c r="C26307" s="5">
        <v>281</v>
      </c>
      <c r="D26307" s="6">
        <v>120.94</v>
      </c>
    </row>
    <row r="26308" spans="1:4" x14ac:dyDescent="0.25">
      <c r="A26308" t="str">
        <f>HYPERLINK("https://www.773grp.com/globalSearch/SMJ64C16S-35JDM/page-1", "SMJ64C16S-35JDM")</f>
        <v>SMJ64C16S-35JDM</v>
      </c>
      <c r="B26308" s="3" t="s">
        <v>90</v>
      </c>
      <c r="C26308" s="5">
        <v>2539</v>
      </c>
      <c r="D26308" s="6">
        <v>121.16</v>
      </c>
    </row>
    <row r="26309" spans="1:4" x14ac:dyDescent="0.25">
      <c r="A26309" t="str">
        <f>HYPERLINK("https://www.773grp.com/globalSearch/AM3874BCYE80/page-1", "AM3874BCYE80")</f>
        <v>AM3874BCYE80</v>
      </c>
      <c r="B26309" s="3" t="s">
        <v>90</v>
      </c>
      <c r="C26309" s="5">
        <v>69</v>
      </c>
      <c r="D26309" s="6">
        <v>121.39</v>
      </c>
    </row>
    <row r="26310" spans="1:4" x14ac:dyDescent="0.25">
      <c r="A26310" t="str">
        <f>HYPERLINK("https://www.773grp.com/globalSearch/SMX54LS27J/page-1", "SMX54LS27J")</f>
        <v>SMX54LS27J</v>
      </c>
      <c r="B26310" s="3" t="s">
        <v>90</v>
      </c>
      <c r="C26310" s="5">
        <v>54</v>
      </c>
      <c r="D26310" s="6">
        <v>121.55</v>
      </c>
    </row>
    <row r="26311" spans="1:4" x14ac:dyDescent="0.25">
      <c r="A26311" t="str">
        <f>HYPERLINK("https://www.773grp.com/globalSearch/SMX54LS27W/page-1", "SMX54LS27W")</f>
        <v>SMX54LS27W</v>
      </c>
      <c r="B26311" s="3" t="s">
        <v>90</v>
      </c>
      <c r="C26311" s="5">
        <v>372</v>
      </c>
      <c r="D26311" s="6">
        <v>121.55</v>
      </c>
    </row>
    <row r="26312" spans="1:4" x14ac:dyDescent="0.25">
      <c r="A26312" t="str">
        <f>HYPERLINK("https://www.773grp.com/globalSearch/PTH08T250WAD/page-1", "PTH08T250WAD")</f>
        <v>PTH08T250WAD</v>
      </c>
      <c r="B26312" s="3" t="s">
        <v>90</v>
      </c>
      <c r="C26312" s="5">
        <v>250</v>
      </c>
      <c r="D26312" s="6">
        <v>122.51</v>
      </c>
    </row>
    <row r="26313" spans="1:4" x14ac:dyDescent="0.25">
      <c r="A26313" t="str">
        <f>HYPERLINK("https://www.773grp.com/globalSearch/PTH08T255WAS/page-1", "PTH08T255WAS")</f>
        <v>PTH08T255WAS</v>
      </c>
      <c r="B26313" s="3" t="s">
        <v>90</v>
      </c>
      <c r="C26313" s="5">
        <v>475</v>
      </c>
      <c r="D26313" s="6">
        <v>122.51</v>
      </c>
    </row>
    <row r="26314" spans="1:4" x14ac:dyDescent="0.25">
      <c r="A26314" t="str">
        <f>HYPERLINK("https://www.773grp.com/globalSearch/TMX320VC5410GGW120/page-1", "TMX320VC5410GGW120")</f>
        <v>TMX320VC5410GGW120</v>
      </c>
      <c r="B26314" s="3" t="s">
        <v>90</v>
      </c>
      <c r="C26314" s="5">
        <v>281</v>
      </c>
      <c r="D26314" s="6">
        <v>123.66</v>
      </c>
    </row>
    <row r="26315" spans="1:4" x14ac:dyDescent="0.25">
      <c r="A26315" t="str">
        <f>HYPERLINK("https://www.773grp.com/globalSearch/TMX320VC5510GGW12/page-1", "TMX320VC5510GGW12")</f>
        <v>TMX320VC5510GGW12</v>
      </c>
      <c r="B26315" s="3" t="s">
        <v>90</v>
      </c>
      <c r="C26315" s="5">
        <v>328</v>
      </c>
      <c r="D26315" s="6">
        <v>123.73</v>
      </c>
    </row>
    <row r="26316" spans="1:4" x14ac:dyDescent="0.25">
      <c r="A26316" t="str">
        <f>HYPERLINK("https://www.773grp.com/globalSearch/UC1610L-883B/page-1", "UC1610L-883B")</f>
        <v>UC1610L-883B</v>
      </c>
      <c r="B26316" s="3" t="s">
        <v>90</v>
      </c>
      <c r="C26316" s="5">
        <v>108</v>
      </c>
      <c r="D26316" s="6">
        <v>124.15</v>
      </c>
    </row>
    <row r="26317" spans="1:4" x14ac:dyDescent="0.25">
      <c r="A26317" t="str">
        <f>HYPERLINK("https://www.773grp.com/globalSearch/TMS320DM642AZDKA5/page-1", "TMS320DM642AZDKA5")</f>
        <v>TMS320DM642AZDKA5</v>
      </c>
      <c r="B26317" s="3" t="s">
        <v>90</v>
      </c>
      <c r="C26317" s="5">
        <v>178</v>
      </c>
      <c r="D26317" s="6">
        <v>124.5</v>
      </c>
    </row>
    <row r="26318" spans="1:4" x14ac:dyDescent="0.25">
      <c r="A26318" t="str">
        <f>HYPERLINK("https://www.773grp.com/globalSearch/PT4599C/page-1", "PT4599C")</f>
        <v>PT4599C</v>
      </c>
      <c r="B26318" s="3" t="s">
        <v>90</v>
      </c>
      <c r="C26318" s="5">
        <v>30</v>
      </c>
      <c r="D26318" s="6">
        <v>124.59</v>
      </c>
    </row>
    <row r="26319" spans="1:4" x14ac:dyDescent="0.25">
      <c r="A26319" t="str">
        <f>HYPERLINK("https://www.773grp.com/globalSearch/TMS38030GBL-10/page-1", "TMS38030GBL-10")</f>
        <v>TMS38030GBL-10</v>
      </c>
      <c r="B26319" s="3" t="s">
        <v>90</v>
      </c>
      <c r="C26319" s="5">
        <v>1981</v>
      </c>
      <c r="D26319" s="6">
        <v>124.59</v>
      </c>
    </row>
    <row r="26320" spans="1:4" x14ac:dyDescent="0.25">
      <c r="A26320" t="str">
        <f>HYPERLINK("https://www.773grp.com/globalSearch/ADS7825UB-1K/page-1", "ADS7825UB-1K")</f>
        <v>ADS7825UB-1K</v>
      </c>
      <c r="B26320" s="3" t="s">
        <v>90</v>
      </c>
      <c r="C26320" s="5">
        <v>6000</v>
      </c>
      <c r="D26320" s="6">
        <v>124.74</v>
      </c>
    </row>
    <row r="26321" spans="1:4" x14ac:dyDescent="0.25">
      <c r="A26321" t="str">
        <f>HYPERLINK("https://www.773grp.com/globalSearch/PT6947A/page-1", "PT6947A")</f>
        <v>PT6947A</v>
      </c>
      <c r="B26321" s="3" t="s">
        <v>90</v>
      </c>
      <c r="C26321" s="5">
        <v>8</v>
      </c>
      <c r="D26321" s="6">
        <v>125.73</v>
      </c>
    </row>
    <row r="26322" spans="1:4" x14ac:dyDescent="0.25">
      <c r="A26322" t="str">
        <f>HYPERLINK("https://www.773grp.com/globalSearch/TMS320DM368ZCED48F/page-1", "TMS320DM368ZCED48F")</f>
        <v>TMS320DM368ZCED48F</v>
      </c>
      <c r="B26322" s="3" t="s">
        <v>90</v>
      </c>
      <c r="C26322" s="5">
        <v>1600</v>
      </c>
      <c r="D26322" s="6">
        <v>125.85</v>
      </c>
    </row>
    <row r="26323" spans="1:4" x14ac:dyDescent="0.25">
      <c r="A26323" t="str">
        <f>HYPERLINK("https://www.773grp.com/globalSearch/PT4503N/page-1", "PT4503N")</f>
        <v>PT4503N</v>
      </c>
      <c r="B26323" s="3" t="s">
        <v>90</v>
      </c>
      <c r="C26323" s="5">
        <v>7</v>
      </c>
      <c r="D26323" s="6">
        <v>126</v>
      </c>
    </row>
    <row r="26324" spans="1:4" x14ac:dyDescent="0.25">
      <c r="A26324" t="str">
        <f>HYPERLINK("https://www.773grp.com/globalSearch/SMX54LS11J/page-1", "SMX54LS11J")</f>
        <v>SMX54LS11J</v>
      </c>
      <c r="B26324" s="3" t="s">
        <v>90</v>
      </c>
      <c r="C26324" s="5">
        <v>827</v>
      </c>
      <c r="D26324" s="6">
        <v>126.19</v>
      </c>
    </row>
    <row r="26325" spans="1:4" x14ac:dyDescent="0.25">
      <c r="A26325" t="str">
        <f>HYPERLINK("https://www.773grp.com/globalSearch/SMX54LS11W/page-1", "SMX54LS11W")</f>
        <v>SMX54LS11W</v>
      </c>
      <c r="B26325" s="3" t="s">
        <v>90</v>
      </c>
      <c r="C26325" s="5">
        <v>95</v>
      </c>
      <c r="D26325" s="6">
        <v>126.19</v>
      </c>
    </row>
    <row r="26326" spans="1:4" x14ac:dyDescent="0.25">
      <c r="A26326" t="str">
        <f>HYPERLINK("https://www.773grp.com/globalSearch/OPA2333SJD/page-1", "OPA2333SJD")</f>
        <v>OPA2333SJD</v>
      </c>
      <c r="B26326" s="3" t="s">
        <v>90</v>
      </c>
      <c r="C26326" s="5">
        <v>148</v>
      </c>
      <c r="D26326" s="6">
        <v>126.56</v>
      </c>
    </row>
    <row r="26327" spans="1:4" x14ac:dyDescent="0.25">
      <c r="A26327" t="str">
        <f>HYPERLINK("https://www.773grp.com/globalSearch/SM320F28335GJZMEP/page-1", "SM320F28335GJZMEP")</f>
        <v>SM320F28335GJZMEP</v>
      </c>
      <c r="B26327" s="3" t="s">
        <v>90</v>
      </c>
      <c r="C26327" s="5">
        <v>114</v>
      </c>
      <c r="D26327" s="6">
        <v>126.56</v>
      </c>
    </row>
    <row r="26328" spans="1:4" x14ac:dyDescent="0.25">
      <c r="A26328" t="str">
        <f>HYPERLINK("https://www.773grp.com/globalSearch/TLK10021GWQ/page-1", "TLK10021GWQ")</f>
        <v>TLK10021GWQ</v>
      </c>
      <c r="B26328" s="3" t="s">
        <v>90</v>
      </c>
      <c r="C26328" s="5">
        <v>7369</v>
      </c>
      <c r="D26328" s="6">
        <v>126.56</v>
      </c>
    </row>
    <row r="26329" spans="1:4" x14ac:dyDescent="0.25">
      <c r="A26329" t="str">
        <f>HYPERLINK("https://www.773grp.com/globalSearch/TLK10021ZWQ/page-1", "TLK10021ZWQ")</f>
        <v>TLK10021ZWQ</v>
      </c>
      <c r="B26329" s="3" t="s">
        <v>90</v>
      </c>
      <c r="C26329" s="5">
        <v>14344</v>
      </c>
      <c r="D26329" s="6">
        <v>126.56</v>
      </c>
    </row>
    <row r="26330" spans="1:4" x14ac:dyDescent="0.25">
      <c r="A26330" t="str">
        <f>HYPERLINK("https://www.773grp.com/globalSearch/TNETD4200GJL240/page-1", "TNETD4200GJL240")</f>
        <v>TNETD4200GJL240</v>
      </c>
      <c r="B26330" s="3" t="s">
        <v>90</v>
      </c>
      <c r="C26330" s="5">
        <v>24</v>
      </c>
      <c r="D26330" s="6">
        <v>126.56</v>
      </c>
    </row>
    <row r="26331" spans="1:4" x14ac:dyDescent="0.25">
      <c r="A26331" t="str">
        <f>HYPERLINK("https://www.773grp.com/globalSearch/TNETD4200GJLA240/page-1", "TNETD4200GJLA240")</f>
        <v>TNETD4200GJLA240</v>
      </c>
      <c r="B26331" s="3" t="s">
        <v>90</v>
      </c>
      <c r="C26331" s="5">
        <v>17</v>
      </c>
      <c r="D26331" s="6">
        <v>126.56</v>
      </c>
    </row>
    <row r="26332" spans="1:4" x14ac:dyDescent="0.25">
      <c r="A26332" t="str">
        <f>HYPERLINK("https://www.773grp.com/globalSearch/TNETD4200GLS240/page-1", "TNETD4200GLS240")</f>
        <v>TNETD4200GLS240</v>
      </c>
      <c r="B26332" s="3" t="s">
        <v>90</v>
      </c>
      <c r="C26332" s="5">
        <v>14</v>
      </c>
      <c r="D26332" s="6">
        <v>126.56</v>
      </c>
    </row>
    <row r="26333" spans="1:4" x14ac:dyDescent="0.25">
      <c r="A26333" t="str">
        <f>HYPERLINK("https://www.773grp.com/globalSearch/TNETD4200GLS240B/page-1", "TNETD4200GLS240B")</f>
        <v>TNETD4200GLS240B</v>
      </c>
      <c r="B26333" s="3" t="s">
        <v>90</v>
      </c>
      <c r="C26333" s="5">
        <v>289</v>
      </c>
      <c r="D26333" s="6">
        <v>126.56</v>
      </c>
    </row>
    <row r="26334" spans="1:4" x14ac:dyDescent="0.25">
      <c r="A26334" t="str">
        <f>HYPERLINK("https://www.773grp.com/globalSearch/TNETA1560MFP/page-1", "TNETA1560MFP")</f>
        <v>TNETA1560MFP</v>
      </c>
      <c r="B26334" s="3" t="s">
        <v>90</v>
      </c>
      <c r="C26334" s="5">
        <v>6</v>
      </c>
      <c r="D26334" s="6">
        <v>126.86</v>
      </c>
    </row>
    <row r="26335" spans="1:4" x14ac:dyDescent="0.25">
      <c r="A26335" t="str">
        <f>HYPERLINK("https://www.773grp.com/globalSearch/PT7756A/page-1", "PT7756A")</f>
        <v>PT7756A</v>
      </c>
      <c r="B26335" s="3" t="s">
        <v>90</v>
      </c>
      <c r="C26335" s="5">
        <v>5</v>
      </c>
      <c r="D26335" s="6">
        <v>128.25</v>
      </c>
    </row>
    <row r="26336" spans="1:4" x14ac:dyDescent="0.25">
      <c r="A26336" t="str">
        <f>HYPERLINK("https://www.773grp.com/globalSearch/TMS320C6412AGDKA5/page-1", "TMS320C6412AGDKA5")</f>
        <v>TMS320C6412AGDKA5</v>
      </c>
      <c r="B26336" s="3" t="s">
        <v>90</v>
      </c>
      <c r="C26336" s="5">
        <v>18</v>
      </c>
      <c r="D26336" s="6">
        <v>128.63</v>
      </c>
    </row>
    <row r="26337" spans="1:4" x14ac:dyDescent="0.25">
      <c r="A26337" t="str">
        <f>HYPERLINK("https://www.773grp.com/globalSearch/JM38510-30906SEA/page-1", "JM38510-30906SEA")</f>
        <v>JM38510-30906SEA</v>
      </c>
      <c r="B26337" s="3" t="s">
        <v>90</v>
      </c>
      <c r="C26337" s="5">
        <v>33</v>
      </c>
      <c r="D26337" s="6">
        <v>129.31</v>
      </c>
    </row>
    <row r="26338" spans="1:4" x14ac:dyDescent="0.25">
      <c r="A26338" t="str">
        <f>HYPERLINK("https://www.773grp.com/globalSearch/VFC320SL-1-BSS2/page-1", "VFC320SL-1-BSS2")</f>
        <v>VFC320SL-1-BSS2</v>
      </c>
      <c r="B26338" s="3" t="s">
        <v>90</v>
      </c>
      <c r="C26338" s="5">
        <v>258</v>
      </c>
      <c r="D26338" s="6">
        <v>129.4</v>
      </c>
    </row>
    <row r="26339" spans="1:4" x14ac:dyDescent="0.25">
      <c r="A26339" t="str">
        <f>HYPERLINK("https://www.773grp.com/globalSearch/TMS320DM648CUT7/page-1", "TMS320DM648CUT7")</f>
        <v>TMS320DM648CUT7</v>
      </c>
      <c r="B26339" s="3" t="s">
        <v>90</v>
      </c>
      <c r="C26339" s="5">
        <v>84</v>
      </c>
      <c r="D26339" s="6">
        <v>130.36000000000001</v>
      </c>
    </row>
    <row r="26340" spans="1:4" x14ac:dyDescent="0.25">
      <c r="A26340" t="str">
        <f>HYPERLINK("https://www.773grp.com/globalSearch/TMS320DM648ZUT7/page-1", "TMS320DM648ZUT7")</f>
        <v>TMS320DM648ZUT7</v>
      </c>
      <c r="B26340" s="3" t="s">
        <v>90</v>
      </c>
      <c r="C26340" s="5">
        <v>317</v>
      </c>
      <c r="D26340" s="6">
        <v>130.36000000000001</v>
      </c>
    </row>
    <row r="26341" spans="1:4" x14ac:dyDescent="0.25">
      <c r="A26341" t="str">
        <f>HYPERLINK("https://www.773grp.com/globalSearch/TLV320AIC12KEVM/page-1", "TLV320AIC12KEVM")</f>
        <v>TLV320AIC12KEVM</v>
      </c>
      <c r="B26341" s="3" t="s">
        <v>90</v>
      </c>
      <c r="C26341" s="5">
        <v>4</v>
      </c>
      <c r="D26341" s="6">
        <v>130.79</v>
      </c>
    </row>
    <row r="26342" spans="1:4" x14ac:dyDescent="0.25">
      <c r="A26342" t="str">
        <f>HYPERLINK("https://www.773grp.com/globalSearch/SMJ68CE16L-45JDM/page-1", "SMJ68CE16L-45JDM")</f>
        <v>SMJ68CE16L-45JDM</v>
      </c>
      <c r="B26342" s="3" t="s">
        <v>90</v>
      </c>
      <c r="C26342" s="5">
        <v>808</v>
      </c>
      <c r="D26342" s="6">
        <v>130.91</v>
      </c>
    </row>
    <row r="26343" spans="1:4" x14ac:dyDescent="0.25">
      <c r="A26343" t="str">
        <f>HYPERLINK("https://www.773grp.com/globalSearch/MX54S30J/page-1", "MX54S30J")</f>
        <v>MX54S30J</v>
      </c>
      <c r="B26343" s="3" t="s">
        <v>90</v>
      </c>
      <c r="C26343" s="5">
        <v>366</v>
      </c>
      <c r="D26343" s="6">
        <v>133.83000000000001</v>
      </c>
    </row>
    <row r="26344" spans="1:4" x14ac:dyDescent="0.25">
      <c r="A26344" t="str">
        <f>HYPERLINK("https://www.773grp.com/globalSearch/SMX54LS05J/page-1", "SMX54LS05J")</f>
        <v>SMX54LS05J</v>
      </c>
      <c r="B26344" s="3" t="s">
        <v>90</v>
      </c>
      <c r="C26344" s="5">
        <v>199</v>
      </c>
      <c r="D26344" s="6">
        <v>133.83000000000001</v>
      </c>
    </row>
    <row r="26345" spans="1:4" x14ac:dyDescent="0.25">
      <c r="A26345" t="str">
        <f>HYPERLINK("https://www.773grp.com/globalSearch/SMX54LS148J/page-1", "SMX54LS148J")</f>
        <v>SMX54LS148J</v>
      </c>
      <c r="B26345" s="3" t="s">
        <v>90</v>
      </c>
      <c r="C26345" s="5">
        <v>598</v>
      </c>
      <c r="D26345" s="6">
        <v>133.83000000000001</v>
      </c>
    </row>
    <row r="26346" spans="1:4" x14ac:dyDescent="0.25">
      <c r="A26346" t="str">
        <f>HYPERLINK("https://www.773grp.com/globalSearch/SMX54LS155J/page-1", "SMX54LS155J")</f>
        <v>SMX54LS155J</v>
      </c>
      <c r="B26346" s="3" t="s">
        <v>90</v>
      </c>
      <c r="C26346" s="5">
        <v>106</v>
      </c>
      <c r="D26346" s="6">
        <v>133.83000000000001</v>
      </c>
    </row>
    <row r="26347" spans="1:4" x14ac:dyDescent="0.25">
      <c r="A26347" t="str">
        <f>HYPERLINK("https://www.773grp.com/globalSearch/SMX54LS158J/page-1", "SMX54LS158J")</f>
        <v>SMX54LS158J</v>
      </c>
      <c r="B26347" s="3" t="s">
        <v>90</v>
      </c>
      <c r="C26347" s="5">
        <v>188</v>
      </c>
      <c r="D26347" s="6">
        <v>133.83000000000001</v>
      </c>
    </row>
    <row r="26348" spans="1:4" x14ac:dyDescent="0.25">
      <c r="A26348" t="str">
        <f>HYPERLINK("https://www.773grp.com/globalSearch/SMX54LS161AJ/page-1", "SMX54LS161AJ")</f>
        <v>SMX54LS161AJ</v>
      </c>
      <c r="B26348" s="3" t="s">
        <v>90</v>
      </c>
      <c r="C26348" s="5">
        <v>138</v>
      </c>
      <c r="D26348" s="6">
        <v>133.83000000000001</v>
      </c>
    </row>
    <row r="26349" spans="1:4" x14ac:dyDescent="0.25">
      <c r="A26349" t="str">
        <f>HYPERLINK("https://www.773grp.com/globalSearch/SMX54LS21J/page-1", "SMX54LS21J")</f>
        <v>SMX54LS21J</v>
      </c>
      <c r="B26349" s="3" t="s">
        <v>90</v>
      </c>
      <c r="C26349" s="5">
        <v>473</v>
      </c>
      <c r="D26349" s="6">
        <v>133.83000000000001</v>
      </c>
    </row>
    <row r="26350" spans="1:4" x14ac:dyDescent="0.25">
      <c r="A26350" t="str">
        <f>HYPERLINK("https://www.773grp.com/globalSearch/SMX54LS244J/page-1", "SMX54LS244J")</f>
        <v>SMX54LS244J</v>
      </c>
      <c r="B26350" s="3" t="s">
        <v>90</v>
      </c>
      <c r="C26350" s="5">
        <v>570</v>
      </c>
      <c r="D26350" s="6">
        <v>133.83000000000001</v>
      </c>
    </row>
    <row r="26351" spans="1:4" x14ac:dyDescent="0.25">
      <c r="A26351" t="str">
        <f>HYPERLINK("https://www.773grp.com/globalSearch/SMX54LS30J/page-1", "SMX54LS30J")</f>
        <v>SMX54LS30J</v>
      </c>
      <c r="B26351" s="3" t="s">
        <v>90</v>
      </c>
      <c r="C26351" s="5">
        <v>264</v>
      </c>
      <c r="D26351" s="6">
        <v>133.83000000000001</v>
      </c>
    </row>
    <row r="26352" spans="1:4" x14ac:dyDescent="0.25">
      <c r="A26352" t="str">
        <f>HYPERLINK("https://www.773grp.com/globalSearch/SMX54LS38J/page-1", "SMX54LS38J")</f>
        <v>SMX54LS38J</v>
      </c>
      <c r="B26352" s="3" t="s">
        <v>90</v>
      </c>
      <c r="C26352" s="5">
        <v>198</v>
      </c>
      <c r="D26352" s="6">
        <v>133.83000000000001</v>
      </c>
    </row>
    <row r="26353" spans="1:4" x14ac:dyDescent="0.25">
      <c r="A26353" t="str">
        <f>HYPERLINK("https://www.773grp.com/globalSearch/SMX54LS51J/page-1", "SMX54LS51J")</f>
        <v>SMX54LS51J</v>
      </c>
      <c r="B26353" s="3" t="s">
        <v>90</v>
      </c>
      <c r="C26353" s="5">
        <v>44</v>
      </c>
      <c r="D26353" s="6">
        <v>133.83000000000001</v>
      </c>
    </row>
    <row r="26354" spans="1:4" x14ac:dyDescent="0.25">
      <c r="A26354" t="str">
        <f>HYPERLINK("https://www.773grp.com/globalSearch/SMX54LS54J/page-1", "SMX54LS54J")</f>
        <v>SMX54LS54J</v>
      </c>
      <c r="B26354" s="3" t="s">
        <v>90</v>
      </c>
      <c r="C26354" s="5">
        <v>7</v>
      </c>
      <c r="D26354" s="6">
        <v>133.83000000000001</v>
      </c>
    </row>
    <row r="26355" spans="1:4" x14ac:dyDescent="0.25">
      <c r="A26355" t="str">
        <f>HYPERLINK("https://www.773grp.com/globalSearch/SMX54S05J/page-1", "SMX54S05J")</f>
        <v>SMX54S05J</v>
      </c>
      <c r="B26355" s="3" t="s">
        <v>90</v>
      </c>
      <c r="C26355" s="5">
        <v>725</v>
      </c>
      <c r="D26355" s="6">
        <v>133.83000000000001</v>
      </c>
    </row>
    <row r="26356" spans="1:4" x14ac:dyDescent="0.25">
      <c r="A26356" t="str">
        <f>HYPERLINK("https://www.773grp.com/globalSearch/SMX54S05W/page-1", "SMX54S05W")</f>
        <v>SMX54S05W</v>
      </c>
      <c r="B26356" s="3" t="s">
        <v>90</v>
      </c>
      <c r="C26356" s="5">
        <v>47</v>
      </c>
      <c r="D26356" s="6">
        <v>133.83000000000001</v>
      </c>
    </row>
    <row r="26357" spans="1:4" x14ac:dyDescent="0.25">
      <c r="A26357" t="str">
        <f>HYPERLINK("https://www.773grp.com/globalSearch/SMX54S138J/page-1", "SMX54S138J")</f>
        <v>SMX54S138J</v>
      </c>
      <c r="B26357" s="3" t="s">
        <v>90</v>
      </c>
      <c r="C26357" s="5">
        <v>361</v>
      </c>
      <c r="D26357" s="6">
        <v>133.83000000000001</v>
      </c>
    </row>
    <row r="26358" spans="1:4" x14ac:dyDescent="0.25">
      <c r="A26358" t="str">
        <f>HYPERLINK("https://www.773grp.com/globalSearch/SMX54S182J/page-1", "SMX54S182J")</f>
        <v>SMX54S182J</v>
      </c>
      <c r="B26358" s="3" t="s">
        <v>90</v>
      </c>
      <c r="C26358" s="5">
        <v>131</v>
      </c>
      <c r="D26358" s="6">
        <v>133.83000000000001</v>
      </c>
    </row>
    <row r="26359" spans="1:4" x14ac:dyDescent="0.25">
      <c r="A26359" t="str">
        <f>HYPERLINK("https://www.773grp.com/globalSearch/SMX54S30J/page-1", "SMX54S30J")</f>
        <v>SMX54S30J</v>
      </c>
      <c r="B26359" s="3" t="s">
        <v>90</v>
      </c>
      <c r="C26359" s="5">
        <v>365</v>
      </c>
      <c r="D26359" s="6">
        <v>133.83000000000001</v>
      </c>
    </row>
    <row r="26360" spans="1:4" x14ac:dyDescent="0.25">
      <c r="A26360" t="str">
        <f>HYPERLINK("https://www.773grp.com/globalSearch/SMX54S64J/page-1", "SMX54S64J")</f>
        <v>SMX54S64J</v>
      </c>
      <c r="B26360" s="3" t="s">
        <v>90</v>
      </c>
      <c r="C26360" s="5">
        <v>23</v>
      </c>
      <c r="D26360" s="6">
        <v>133.83000000000001</v>
      </c>
    </row>
    <row r="26361" spans="1:4" x14ac:dyDescent="0.25">
      <c r="A26361" t="str">
        <f>HYPERLINK("https://www.773grp.com/globalSearch/ADS5281IRGCT/page-1", "ADS5281IRGCT")</f>
        <v>ADS5281IRGCT</v>
      </c>
      <c r="B26361" s="3" t="s">
        <v>90</v>
      </c>
      <c r="C26361" s="5">
        <v>572</v>
      </c>
      <c r="D26361" s="6">
        <v>133.88</v>
      </c>
    </row>
    <row r="26362" spans="1:4" x14ac:dyDescent="0.25">
      <c r="A26362" t="str">
        <f>HYPERLINK("https://www.773grp.com/globalSearch/GC4016-PB1/page-1", "GC4016-PB1")</f>
        <v>GC4016-PB1</v>
      </c>
      <c r="B26362" s="3" t="s">
        <v>90</v>
      </c>
      <c r="C26362" s="5">
        <v>371</v>
      </c>
      <c r="D26362" s="6">
        <v>135</v>
      </c>
    </row>
    <row r="26363" spans="1:4" x14ac:dyDescent="0.25">
      <c r="A26363" t="str">
        <f>HYPERLINK("https://www.773grp.com/globalSearch/TMX320VC5416GGU160/page-1", "TMX320VC5416GGU160")</f>
        <v>TMX320VC5416GGU160</v>
      </c>
      <c r="B26363" s="3" t="s">
        <v>90</v>
      </c>
      <c r="C26363" s="5">
        <v>4532</v>
      </c>
      <c r="D26363" s="6">
        <v>135.34</v>
      </c>
    </row>
    <row r="26364" spans="1:4" x14ac:dyDescent="0.25">
      <c r="A26364" t="str">
        <f>HYPERLINK("https://www.773grp.com/globalSearch/TMS320C6418GTS600/page-1", "TMS320C6418GTS600")</f>
        <v>TMS320C6418GTS600</v>
      </c>
      <c r="B26364" s="3" t="s">
        <v>90</v>
      </c>
      <c r="C26364" s="5">
        <v>92</v>
      </c>
      <c r="D26364" s="6">
        <v>135.38999999999999</v>
      </c>
    </row>
    <row r="26365" spans="1:4" x14ac:dyDescent="0.25">
      <c r="A26365" t="str">
        <f>HYPERLINK("https://www.773grp.com/globalSearch/TMS320C6418ZTSA500/page-1", "TMS320C6418ZTSA500")</f>
        <v>TMS320C6418ZTSA500</v>
      </c>
      <c r="B26365" s="3" t="s">
        <v>90</v>
      </c>
      <c r="C26365" s="5">
        <v>117</v>
      </c>
      <c r="D26365" s="6">
        <v>135.38999999999999</v>
      </c>
    </row>
    <row r="26366" spans="1:4" x14ac:dyDescent="0.25">
      <c r="A26366" t="str">
        <f>HYPERLINK("https://www.773grp.com/globalSearch/DDC316CGXGR/page-1", "DDC316CGXGR")</f>
        <v>DDC316CGXGR</v>
      </c>
      <c r="B26366" s="3" t="s">
        <v>90</v>
      </c>
      <c r="C26366" s="5">
        <v>1000</v>
      </c>
      <c r="D26366" s="6">
        <v>135.71</v>
      </c>
    </row>
    <row r="26367" spans="1:4" x14ac:dyDescent="0.25">
      <c r="A26367" t="str">
        <f>HYPERLINK("https://www.773grp.com/globalSearch/PT7711A/page-1", "PT7711A")</f>
        <v>PT7711A</v>
      </c>
      <c r="B26367" s="3" t="s">
        <v>90</v>
      </c>
      <c r="C26367" s="5">
        <v>4</v>
      </c>
      <c r="D26367" s="6">
        <v>135.9</v>
      </c>
    </row>
    <row r="26368" spans="1:4" x14ac:dyDescent="0.25">
      <c r="A26368" t="str">
        <f>HYPERLINK("https://www.773grp.com/globalSearch/V62-04603-03XA/page-1", "V62-04603-03XA")</f>
        <v>V62-04603-03XA</v>
      </c>
      <c r="B26368" s="3" t="s">
        <v>90</v>
      </c>
      <c r="C26368" s="5">
        <v>6</v>
      </c>
      <c r="D26368" s="6">
        <v>136.21</v>
      </c>
    </row>
    <row r="26369" spans="1:4" x14ac:dyDescent="0.25">
      <c r="A26369" t="str">
        <f>HYPERLINK("https://www.773grp.com/globalSearch/TMS320DM642AZNZA6/page-1", "TMS320DM642AZNZA6")</f>
        <v>TMS320DM642AZNZA6</v>
      </c>
      <c r="B26369" s="3" t="s">
        <v>90</v>
      </c>
      <c r="C26369" s="5">
        <v>240</v>
      </c>
      <c r="D26369" s="6">
        <v>136.97999999999999</v>
      </c>
    </row>
    <row r="26370" spans="1:4" x14ac:dyDescent="0.25">
      <c r="A26370" t="str">
        <f>HYPERLINK("https://www.773grp.com/globalSearch/PT3401A/page-1", "PT3401A")</f>
        <v>PT3401A</v>
      </c>
      <c r="B26370" s="3" t="s">
        <v>90</v>
      </c>
      <c r="C26370" s="5">
        <v>4</v>
      </c>
      <c r="D26370" s="6">
        <v>137.08000000000001</v>
      </c>
    </row>
    <row r="26371" spans="1:4" x14ac:dyDescent="0.25">
      <c r="A26371" t="str">
        <f>HYPERLINK("https://www.773grp.com/globalSearch/ADS1110EVM/page-1", "ADS1110EVM")</f>
        <v>ADS1110EVM</v>
      </c>
      <c r="B26371" s="3" t="s">
        <v>90</v>
      </c>
      <c r="C26371" s="5">
        <v>1</v>
      </c>
      <c r="D26371" s="6">
        <v>137.81</v>
      </c>
    </row>
    <row r="26372" spans="1:4" x14ac:dyDescent="0.25">
      <c r="A26372" t="str">
        <f>HYPERLINK("https://www.773grp.com/globalSearch/ADS1209EVM/page-1", "ADS1209EVM")</f>
        <v>ADS1209EVM</v>
      </c>
      <c r="B26372" s="3" t="s">
        <v>90</v>
      </c>
      <c r="C26372" s="5">
        <v>2</v>
      </c>
      <c r="D26372" s="6">
        <v>137.81</v>
      </c>
    </row>
    <row r="26373" spans="1:4" x14ac:dyDescent="0.25">
      <c r="A26373" t="str">
        <f>HYPERLINK("https://www.773grp.com/globalSearch/ADS1224EVM/page-1", "ADS1224EVM")</f>
        <v>ADS1224EVM</v>
      </c>
      <c r="B26373" s="3" t="s">
        <v>90</v>
      </c>
      <c r="C26373" s="5">
        <v>2</v>
      </c>
      <c r="D26373" s="6">
        <v>137.81</v>
      </c>
    </row>
    <row r="26374" spans="1:4" x14ac:dyDescent="0.25">
      <c r="A26374" t="str">
        <f>HYPERLINK("https://www.773grp.com/globalSearch/ADS1244EVM/page-1", "ADS1244EVM")</f>
        <v>ADS1244EVM</v>
      </c>
      <c r="B26374" s="3" t="s">
        <v>90</v>
      </c>
      <c r="C26374" s="5">
        <v>1</v>
      </c>
      <c r="D26374" s="6">
        <v>137.81</v>
      </c>
    </row>
    <row r="26375" spans="1:4" x14ac:dyDescent="0.25">
      <c r="A26375" t="str">
        <f>HYPERLINK("https://www.773grp.com/globalSearch/ADS1271EVM/page-1", "ADS1271EVM")</f>
        <v>ADS1271EVM</v>
      </c>
      <c r="B26375" s="3" t="s">
        <v>90</v>
      </c>
      <c r="C26375" s="5">
        <v>1</v>
      </c>
      <c r="D26375" s="6">
        <v>137.81</v>
      </c>
    </row>
    <row r="26376" spans="1:4" x14ac:dyDescent="0.25">
      <c r="A26376" t="str">
        <f>HYPERLINK("https://www.773grp.com/globalSearch/ADS7827EVM/page-1", "ADS7827EVM")</f>
        <v>ADS7827EVM</v>
      </c>
      <c r="B26376" s="3" t="s">
        <v>90</v>
      </c>
      <c r="C26376" s="5">
        <v>1</v>
      </c>
      <c r="D26376" s="6">
        <v>137.81</v>
      </c>
    </row>
    <row r="26377" spans="1:4" x14ac:dyDescent="0.25">
      <c r="A26377" t="str">
        <f>HYPERLINK("https://www.773grp.com/globalSearch/ADS7868EVM/page-1", "ADS7868EVM")</f>
        <v>ADS7868EVM</v>
      </c>
      <c r="B26377" s="3" t="s">
        <v>90</v>
      </c>
      <c r="C26377" s="5">
        <v>1</v>
      </c>
      <c r="D26377" s="6">
        <v>137.81</v>
      </c>
    </row>
    <row r="26378" spans="1:4" x14ac:dyDescent="0.25">
      <c r="A26378" t="str">
        <f>HYPERLINK("https://www.773grp.com/globalSearch/ADS7883EVM/page-1", "ADS7883EVM")</f>
        <v>ADS7883EVM</v>
      </c>
      <c r="B26378" s="3" t="s">
        <v>90</v>
      </c>
      <c r="C26378" s="5">
        <v>6</v>
      </c>
      <c r="D26378" s="6">
        <v>137.81</v>
      </c>
    </row>
    <row r="26379" spans="1:4" x14ac:dyDescent="0.25">
      <c r="A26379" t="str">
        <f>HYPERLINK("https://www.773grp.com/globalSearch/ADS7885EVM/page-1", "ADS7885EVM")</f>
        <v>ADS7885EVM</v>
      </c>
      <c r="B26379" s="3" t="s">
        <v>90</v>
      </c>
      <c r="C26379" s="5">
        <v>1</v>
      </c>
      <c r="D26379" s="6">
        <v>137.81</v>
      </c>
    </row>
    <row r="26380" spans="1:4" x14ac:dyDescent="0.25">
      <c r="A26380" t="str">
        <f>HYPERLINK("https://www.773grp.com/globalSearch/ADS7886EVM/page-1", "ADS7886EVM")</f>
        <v>ADS7886EVM</v>
      </c>
      <c r="B26380" s="3" t="s">
        <v>90</v>
      </c>
      <c r="C26380" s="5">
        <v>1</v>
      </c>
      <c r="D26380" s="6">
        <v>137.81</v>
      </c>
    </row>
    <row r="26381" spans="1:4" x14ac:dyDescent="0.25">
      <c r="A26381" t="str">
        <f>HYPERLINK("https://www.773grp.com/globalSearch/ADS8317EVM/page-1", "ADS8317EVM")</f>
        <v>ADS8317EVM</v>
      </c>
      <c r="B26381" s="3" t="s">
        <v>90</v>
      </c>
      <c r="C26381" s="5">
        <v>1</v>
      </c>
      <c r="D26381" s="6">
        <v>137.81</v>
      </c>
    </row>
    <row r="26382" spans="1:4" x14ac:dyDescent="0.25">
      <c r="A26382" t="str">
        <f>HYPERLINK("https://www.773grp.com/globalSearch/ADS8325EVM/page-1", "ADS8325EVM")</f>
        <v>ADS8325EVM</v>
      </c>
      <c r="B26382" s="3" t="s">
        <v>90</v>
      </c>
      <c r="C26382" s="5">
        <v>4</v>
      </c>
      <c r="D26382" s="6">
        <v>137.81</v>
      </c>
    </row>
    <row r="26383" spans="1:4" x14ac:dyDescent="0.25">
      <c r="A26383" t="str">
        <f>HYPERLINK("https://www.773grp.com/globalSearch/ADS8331EVM/page-1", "ADS8331EVM")</f>
        <v>ADS8331EVM</v>
      </c>
      <c r="B26383" s="3" t="s">
        <v>90</v>
      </c>
      <c r="C26383" s="5">
        <v>2</v>
      </c>
      <c r="D26383" s="6">
        <v>137.81</v>
      </c>
    </row>
    <row r="26384" spans="1:4" x14ac:dyDescent="0.25">
      <c r="A26384" t="str">
        <f>HYPERLINK("https://www.773grp.com/globalSearch/ADS8344EVM/page-1", "ADS8344EVM")</f>
        <v>ADS8344EVM</v>
      </c>
      <c r="B26384" s="3" t="s">
        <v>90</v>
      </c>
      <c r="C26384" s="5">
        <v>2</v>
      </c>
      <c r="D26384" s="6">
        <v>137.81</v>
      </c>
    </row>
    <row r="26385" spans="1:4" x14ac:dyDescent="0.25">
      <c r="A26385" t="str">
        <f>HYPERLINK("https://www.773grp.com/globalSearch/ADS8345EVM/page-1", "ADS8345EVM")</f>
        <v>ADS8345EVM</v>
      </c>
      <c r="B26385" s="3" t="s">
        <v>90</v>
      </c>
      <c r="C26385" s="5">
        <v>2</v>
      </c>
      <c r="D26385" s="6">
        <v>137.81</v>
      </c>
    </row>
    <row r="26386" spans="1:4" x14ac:dyDescent="0.25">
      <c r="A26386" t="str">
        <f>HYPERLINK("https://www.773grp.com/globalSearch/ADS8519EVM/page-1", "ADS8519EVM")</f>
        <v>ADS8519EVM</v>
      </c>
      <c r="B26386" s="3" t="s">
        <v>90</v>
      </c>
      <c r="C26386" s="5">
        <v>1</v>
      </c>
      <c r="D26386" s="6">
        <v>137.81</v>
      </c>
    </row>
    <row r="26387" spans="1:4" x14ac:dyDescent="0.25">
      <c r="A26387" t="str">
        <f>HYPERLINK("https://www.773grp.com/globalSearch/AICDEVPLATEVM/page-1", "AICDEVPLATEVM")</f>
        <v>AICDEVPLATEVM</v>
      </c>
      <c r="B26387" s="3" t="s">
        <v>90</v>
      </c>
      <c r="C26387" s="5">
        <v>1</v>
      </c>
      <c r="D26387" s="6">
        <v>137.81</v>
      </c>
    </row>
    <row r="26388" spans="1:4" x14ac:dyDescent="0.25">
      <c r="A26388" t="str">
        <f>HYPERLINK("https://www.773grp.com/globalSearch/AMC7823EVM/page-1", "AMC7823EVM")</f>
        <v>AMC7823EVM</v>
      </c>
      <c r="B26388" s="3" t="s">
        <v>90</v>
      </c>
      <c r="C26388" s="5">
        <v>1</v>
      </c>
      <c r="D26388" s="6">
        <v>137.81</v>
      </c>
    </row>
    <row r="26389" spans="1:4" x14ac:dyDescent="0.25">
      <c r="A26389" t="str">
        <f>HYPERLINK("https://www.773grp.com/globalSearch/BQ2000EVM/page-1", "BQ2000EVM")</f>
        <v>BQ2000EVM</v>
      </c>
      <c r="B26389" s="3" t="s">
        <v>90</v>
      </c>
      <c r="C26389" s="5">
        <v>2</v>
      </c>
      <c r="D26389" s="6">
        <v>137.81</v>
      </c>
    </row>
    <row r="26390" spans="1:4" x14ac:dyDescent="0.25">
      <c r="A26390" t="str">
        <f>HYPERLINK("https://www.773grp.com/globalSearch/BQ20Z655EVM/page-1", "BQ20Z655EVM")</f>
        <v>BQ20Z655EVM</v>
      </c>
      <c r="B26390" s="3" t="s">
        <v>90</v>
      </c>
      <c r="C26390" s="5">
        <v>3</v>
      </c>
      <c r="D26390" s="6">
        <v>137.81</v>
      </c>
    </row>
    <row r="26391" spans="1:4" x14ac:dyDescent="0.25">
      <c r="A26391" t="str">
        <f>HYPERLINK("https://www.773grp.com/globalSearch/BQ24002RGWEVM/page-1", "BQ24002RGWEVM")</f>
        <v>BQ24002RGWEVM</v>
      </c>
      <c r="B26391" s="3" t="s">
        <v>90</v>
      </c>
      <c r="C26391" s="5">
        <v>1</v>
      </c>
      <c r="D26391" s="6">
        <v>137.81</v>
      </c>
    </row>
    <row r="26392" spans="1:4" x14ac:dyDescent="0.25">
      <c r="A26392" t="str">
        <f>HYPERLINK("https://www.773grp.com/globalSearch/BQ24004EVM/page-1", "BQ24004EVM")</f>
        <v>BQ24004EVM</v>
      </c>
      <c r="B26392" s="3" t="s">
        <v>90</v>
      </c>
      <c r="C26392" s="5">
        <v>2</v>
      </c>
      <c r="D26392" s="6">
        <v>137.81</v>
      </c>
    </row>
    <row r="26393" spans="1:4" x14ac:dyDescent="0.25">
      <c r="A26393" t="str">
        <f>HYPERLINK("https://www.773grp.com/globalSearch/BQ24012EVM/page-1", "BQ24012EVM")</f>
        <v>BQ24012EVM</v>
      </c>
      <c r="B26393" s="3" t="s">
        <v>90</v>
      </c>
      <c r="C26393" s="5">
        <v>6</v>
      </c>
      <c r="D26393" s="6">
        <v>137.81</v>
      </c>
    </row>
    <row r="26394" spans="1:4" x14ac:dyDescent="0.25">
      <c r="A26394" t="str">
        <f>HYPERLINK("https://www.773grp.com/globalSearch/BQ24022EVM/page-1", "BQ24022EVM")</f>
        <v>BQ24022EVM</v>
      </c>
      <c r="B26394" s="3" t="s">
        <v>90</v>
      </c>
      <c r="C26394" s="5">
        <v>2</v>
      </c>
      <c r="D26394" s="6">
        <v>137.81</v>
      </c>
    </row>
    <row r="26395" spans="1:4" x14ac:dyDescent="0.25">
      <c r="A26395" t="str">
        <f>HYPERLINK("https://www.773grp.com/globalSearch/BQ24027EVM/page-1", "BQ24027EVM")</f>
        <v>BQ24027EVM</v>
      </c>
      <c r="B26395" s="3" t="s">
        <v>90</v>
      </c>
      <c r="C26395" s="5">
        <v>1</v>
      </c>
      <c r="D26395" s="6">
        <v>137.81</v>
      </c>
    </row>
    <row r="26396" spans="1:4" x14ac:dyDescent="0.25">
      <c r="A26396" t="str">
        <f>HYPERLINK("https://www.773grp.com/globalSearch/BQ24031EVM/page-1", "BQ24031EVM")</f>
        <v>BQ24031EVM</v>
      </c>
      <c r="B26396" s="3" t="s">
        <v>90</v>
      </c>
      <c r="C26396" s="5">
        <v>1</v>
      </c>
      <c r="D26396" s="6">
        <v>137.81</v>
      </c>
    </row>
    <row r="26397" spans="1:4" x14ac:dyDescent="0.25">
      <c r="A26397" t="str">
        <f>HYPERLINK("https://www.773grp.com/globalSearch/BQ24038EVM/page-1", "BQ24038EVM")</f>
        <v>BQ24038EVM</v>
      </c>
      <c r="B26397" s="3" t="s">
        <v>90</v>
      </c>
      <c r="C26397" s="5">
        <v>1</v>
      </c>
      <c r="D26397" s="6">
        <v>137.81</v>
      </c>
    </row>
    <row r="26398" spans="1:4" x14ac:dyDescent="0.25">
      <c r="A26398" t="str">
        <f>HYPERLINK("https://www.773grp.com/globalSearch/BQ24052EVM/page-1", "BQ24052EVM")</f>
        <v>BQ24052EVM</v>
      </c>
      <c r="B26398" s="3" t="s">
        <v>90</v>
      </c>
      <c r="C26398" s="5">
        <v>4</v>
      </c>
      <c r="D26398" s="6">
        <v>137.81</v>
      </c>
    </row>
    <row r="26399" spans="1:4" x14ac:dyDescent="0.25">
      <c r="A26399" t="str">
        <f>HYPERLINK("https://www.773grp.com/globalSearch/BQ24055EVM/page-1", "BQ24055EVM")</f>
        <v>BQ24055EVM</v>
      </c>
      <c r="B26399" s="3" t="s">
        <v>90</v>
      </c>
      <c r="C26399" s="5">
        <v>2</v>
      </c>
      <c r="D26399" s="6">
        <v>137.81</v>
      </c>
    </row>
    <row r="26400" spans="1:4" x14ac:dyDescent="0.25">
      <c r="A26400" t="str">
        <f>HYPERLINK("https://www.773grp.com/globalSearch/BQ24060EVM-001/page-1", "BQ24060EVM-001")</f>
        <v>BQ24060EVM-001</v>
      </c>
      <c r="B26400" s="3" t="s">
        <v>90</v>
      </c>
      <c r="C26400" s="5">
        <v>3</v>
      </c>
      <c r="D26400" s="6">
        <v>137.81</v>
      </c>
    </row>
    <row r="26401" spans="1:4" x14ac:dyDescent="0.25">
      <c r="A26401" t="str">
        <f>HYPERLINK("https://www.773grp.com/globalSearch/BQ24070EVM/page-1", "BQ24070EVM")</f>
        <v>BQ24070EVM</v>
      </c>
      <c r="B26401" s="3" t="s">
        <v>90</v>
      </c>
      <c r="C26401" s="5">
        <v>4</v>
      </c>
      <c r="D26401" s="6">
        <v>137.81</v>
      </c>
    </row>
    <row r="26402" spans="1:4" x14ac:dyDescent="0.25">
      <c r="A26402" t="str">
        <f>HYPERLINK("https://www.773grp.com/globalSearch/BQ24103AEVM/page-1", "BQ24103AEVM")</f>
        <v>BQ24103AEVM</v>
      </c>
      <c r="B26402" s="3" t="s">
        <v>90</v>
      </c>
      <c r="C26402" s="5">
        <v>6</v>
      </c>
      <c r="D26402" s="6">
        <v>137.81</v>
      </c>
    </row>
    <row r="26403" spans="1:4" x14ac:dyDescent="0.25">
      <c r="A26403" t="str">
        <f>HYPERLINK("https://www.773grp.com/globalSearch/BQ24103EVM/page-1", "BQ24103EVM")</f>
        <v>BQ24103EVM</v>
      </c>
      <c r="B26403" s="3" t="s">
        <v>90</v>
      </c>
      <c r="C26403" s="5">
        <v>6</v>
      </c>
      <c r="D26403" s="6">
        <v>137.81</v>
      </c>
    </row>
    <row r="26404" spans="1:4" x14ac:dyDescent="0.25">
      <c r="A26404" t="str">
        <f>HYPERLINK("https://www.773grp.com/globalSearch/BQ24113EVM/page-1", "BQ24113EVM")</f>
        <v>BQ24113EVM</v>
      </c>
      <c r="B26404" s="3" t="s">
        <v>90</v>
      </c>
      <c r="C26404" s="5">
        <v>3</v>
      </c>
      <c r="D26404" s="6">
        <v>137.81</v>
      </c>
    </row>
    <row r="26405" spans="1:4" x14ac:dyDescent="0.25">
      <c r="A26405" t="str">
        <f>HYPERLINK("https://www.773grp.com/globalSearch/BQ24123EVM-002/page-1", "BQ24123EVM-002")</f>
        <v>BQ24123EVM-002</v>
      </c>
      <c r="B26405" s="3" t="s">
        <v>90</v>
      </c>
      <c r="C26405" s="5">
        <v>3</v>
      </c>
      <c r="D26405" s="6">
        <v>137.81</v>
      </c>
    </row>
    <row r="26406" spans="1:4" x14ac:dyDescent="0.25">
      <c r="A26406" t="str">
        <f>HYPERLINK("https://www.773grp.com/globalSearch/BQ24300EVM/page-1", "BQ24300EVM")</f>
        <v>BQ24300EVM</v>
      </c>
      <c r="B26406" s="3" t="s">
        <v>90</v>
      </c>
      <c r="C26406" s="5">
        <v>1</v>
      </c>
      <c r="D26406" s="6">
        <v>137.81</v>
      </c>
    </row>
    <row r="26407" spans="1:4" x14ac:dyDescent="0.25">
      <c r="A26407" t="str">
        <f>HYPERLINK("https://www.773grp.com/globalSearch/BQ24314EVM/page-1", "BQ24314EVM")</f>
        <v>BQ24314EVM</v>
      </c>
      <c r="B26407" s="3" t="s">
        <v>90</v>
      </c>
      <c r="C26407" s="5">
        <v>2</v>
      </c>
      <c r="D26407" s="6">
        <v>137.81</v>
      </c>
    </row>
    <row r="26408" spans="1:4" x14ac:dyDescent="0.25">
      <c r="A26408" t="str">
        <f>HYPERLINK("https://www.773grp.com/globalSearch/BQ24314EVM-251/page-1", "BQ24314EVM-251")</f>
        <v>BQ24314EVM-251</v>
      </c>
      <c r="B26408" s="3" t="s">
        <v>90</v>
      </c>
      <c r="C26408" s="5">
        <v>2</v>
      </c>
      <c r="D26408" s="6">
        <v>137.81</v>
      </c>
    </row>
    <row r="26409" spans="1:4" x14ac:dyDescent="0.25">
      <c r="A26409" t="str">
        <f>HYPERLINK("https://www.773grp.com/globalSearch/BQ24315EVM/page-1", "BQ24315EVM")</f>
        <v>BQ24315EVM</v>
      </c>
      <c r="B26409" s="3" t="s">
        <v>90</v>
      </c>
      <c r="C26409" s="5">
        <v>2</v>
      </c>
      <c r="D26409" s="6">
        <v>137.81</v>
      </c>
    </row>
    <row r="26410" spans="1:4" x14ac:dyDescent="0.25">
      <c r="A26410" t="str">
        <f>HYPERLINK("https://www.773grp.com/globalSearch/BQ24316EVM/page-1", "BQ24316EVM")</f>
        <v>BQ24316EVM</v>
      </c>
      <c r="B26410" s="3" t="s">
        <v>90</v>
      </c>
      <c r="C26410" s="5">
        <v>1</v>
      </c>
      <c r="D26410" s="6">
        <v>137.81</v>
      </c>
    </row>
    <row r="26411" spans="1:4" x14ac:dyDescent="0.25">
      <c r="A26411" t="str">
        <f>HYPERLINK("https://www.773grp.com/globalSearch/BQ24352EVM/page-1", "BQ24352EVM")</f>
        <v>BQ24352EVM</v>
      </c>
      <c r="B26411" s="3" t="s">
        <v>90</v>
      </c>
      <c r="C26411" s="5">
        <v>6</v>
      </c>
      <c r="D26411" s="6">
        <v>137.81</v>
      </c>
    </row>
    <row r="26412" spans="1:4" x14ac:dyDescent="0.25">
      <c r="A26412" t="str">
        <f>HYPERLINK("https://www.773grp.com/globalSearch/BQ25010EVM/page-1", "BQ25010EVM")</f>
        <v>BQ25010EVM</v>
      </c>
      <c r="B26412" s="3" t="s">
        <v>90</v>
      </c>
      <c r="C26412" s="5">
        <v>1</v>
      </c>
      <c r="D26412" s="6">
        <v>137.81</v>
      </c>
    </row>
    <row r="26413" spans="1:4" x14ac:dyDescent="0.25">
      <c r="A26413" t="str">
        <f>HYPERLINK("https://www.773grp.com/globalSearch/CC1111EMK868-915/page-1", "CC1111EMK868-915")</f>
        <v>CC1111EMK868-915</v>
      </c>
      <c r="B26413" s="3" t="s">
        <v>90</v>
      </c>
      <c r="C26413" s="5">
        <v>6</v>
      </c>
      <c r="D26413" s="6">
        <v>137.81</v>
      </c>
    </row>
    <row r="26414" spans="1:4" x14ac:dyDescent="0.25">
      <c r="A26414" t="str">
        <f>HYPERLINK("https://www.773grp.com/globalSearch/CC1175EMK-868-915/page-1", "CC1175EMK-868-915")</f>
        <v>CC1175EMK-868-915</v>
      </c>
      <c r="B26414" s="3" t="s">
        <v>90</v>
      </c>
      <c r="C26414" s="5">
        <v>2</v>
      </c>
      <c r="D26414" s="6">
        <v>137.81</v>
      </c>
    </row>
    <row r="26415" spans="1:4" x14ac:dyDescent="0.25">
      <c r="A26415" t="str">
        <f>HYPERLINK("https://www.773grp.com/globalSearch/CC2511EMK/page-1", "CC2511EMK")</f>
        <v>CC2511EMK</v>
      </c>
      <c r="B26415" s="3" t="s">
        <v>90</v>
      </c>
      <c r="C26415" s="5">
        <v>5</v>
      </c>
      <c r="D26415" s="6">
        <v>137.81</v>
      </c>
    </row>
    <row r="26416" spans="1:4" x14ac:dyDescent="0.25">
      <c r="A26416" t="str">
        <f>HYPERLINK("https://www.773grp.com/globalSearch/CC2531EMK/page-1", "CC2531EMK")</f>
        <v>CC2531EMK</v>
      </c>
      <c r="B26416" s="3" t="s">
        <v>90</v>
      </c>
      <c r="C26416" s="5">
        <v>6</v>
      </c>
      <c r="D26416" s="6">
        <v>137.81</v>
      </c>
    </row>
    <row r="26417" spans="1:4" x14ac:dyDescent="0.25">
      <c r="A26417" t="str">
        <f>HYPERLINK("https://www.773grp.com/globalSearch/CSD163CEVM-591/page-1", "CSD163CEVM-591")</f>
        <v>CSD163CEVM-591</v>
      </c>
      <c r="B26417" s="3" t="s">
        <v>90</v>
      </c>
      <c r="C26417" s="5">
        <v>2</v>
      </c>
      <c r="D26417" s="6">
        <v>137.81</v>
      </c>
    </row>
    <row r="26418" spans="1:4" x14ac:dyDescent="0.25">
      <c r="A26418" t="str">
        <f>HYPERLINK("https://www.773grp.com/globalSearch/CSD86350Q5DEVM-604/page-1", "CSD86350Q5DEVM-604")</f>
        <v>CSD86350Q5DEVM-604</v>
      </c>
      <c r="B26418" s="3" t="s">
        <v>90</v>
      </c>
      <c r="C26418" s="5">
        <v>20</v>
      </c>
      <c r="D26418" s="6">
        <v>137.81</v>
      </c>
    </row>
    <row r="26419" spans="1:4" x14ac:dyDescent="0.25">
      <c r="A26419" t="str">
        <f>HYPERLINK("https://www.773grp.com/globalSearch/DAC6574EVM/page-1", "DAC6574EVM")</f>
        <v>DAC6574EVM</v>
      </c>
      <c r="B26419" s="3" t="s">
        <v>90</v>
      </c>
      <c r="C26419" s="5">
        <v>1</v>
      </c>
      <c r="D26419" s="6">
        <v>137.81</v>
      </c>
    </row>
    <row r="26420" spans="1:4" x14ac:dyDescent="0.25">
      <c r="A26420" t="str">
        <f>HYPERLINK("https://www.773grp.com/globalSearch/DAC7311EVM/page-1", "DAC7311EVM")</f>
        <v>DAC7311EVM</v>
      </c>
      <c r="B26420" s="3" t="s">
        <v>90</v>
      </c>
      <c r="C26420" s="5">
        <v>1</v>
      </c>
      <c r="D26420" s="6">
        <v>137.81</v>
      </c>
    </row>
    <row r="26421" spans="1:4" x14ac:dyDescent="0.25">
      <c r="A26421" t="str">
        <f>HYPERLINK("https://www.773grp.com/globalSearch/DAC7554EVM/page-1", "DAC7554EVM")</f>
        <v>DAC7554EVM</v>
      </c>
      <c r="B26421" s="3" t="s">
        <v>90</v>
      </c>
      <c r="C26421" s="5">
        <v>6</v>
      </c>
      <c r="D26421" s="6">
        <v>137.81</v>
      </c>
    </row>
    <row r="26422" spans="1:4" x14ac:dyDescent="0.25">
      <c r="A26422" t="str">
        <f>HYPERLINK("https://www.773grp.com/globalSearch/DAC7558EVM/page-1", "DAC7558EVM")</f>
        <v>DAC7558EVM</v>
      </c>
      <c r="B26422" s="3" t="s">
        <v>90</v>
      </c>
      <c r="C26422" s="5">
        <v>1</v>
      </c>
      <c r="D26422" s="6">
        <v>137.81</v>
      </c>
    </row>
    <row r="26423" spans="1:4" x14ac:dyDescent="0.25">
      <c r="A26423" t="str">
        <f>HYPERLINK("https://www.773grp.com/globalSearch/DAC7562EVM/page-1", "DAC7562EVM")</f>
        <v>DAC7562EVM</v>
      </c>
      <c r="B26423" s="3" t="s">
        <v>90</v>
      </c>
      <c r="C26423" s="5">
        <v>9</v>
      </c>
      <c r="D26423" s="6">
        <v>137.81</v>
      </c>
    </row>
    <row r="26424" spans="1:4" x14ac:dyDescent="0.25">
      <c r="A26424" t="str">
        <f>HYPERLINK("https://www.773grp.com/globalSearch/DAC7568EVM/page-1", "DAC7568EVM")</f>
        <v>DAC7568EVM</v>
      </c>
      <c r="B26424" s="3" t="s">
        <v>90</v>
      </c>
      <c r="C26424" s="5">
        <v>2</v>
      </c>
      <c r="D26424" s="6">
        <v>137.81</v>
      </c>
    </row>
    <row r="26425" spans="1:4" x14ac:dyDescent="0.25">
      <c r="A26425" t="str">
        <f>HYPERLINK("https://www.773grp.com/globalSearch/DAC7571EVM/page-1", "DAC7571EVM")</f>
        <v>DAC7571EVM</v>
      </c>
      <c r="B26425" s="3" t="s">
        <v>90</v>
      </c>
      <c r="C26425" s="5">
        <v>2</v>
      </c>
      <c r="D26425" s="6">
        <v>137.81</v>
      </c>
    </row>
    <row r="26426" spans="1:4" x14ac:dyDescent="0.25">
      <c r="A26426" t="str">
        <f>HYPERLINK("https://www.773grp.com/globalSearch/DAC7573EVM/page-1", "DAC7573EVM")</f>
        <v>DAC7573EVM</v>
      </c>
      <c r="B26426" s="3" t="s">
        <v>90</v>
      </c>
      <c r="C26426" s="5">
        <v>1</v>
      </c>
      <c r="D26426" s="6">
        <v>137.81</v>
      </c>
    </row>
    <row r="26427" spans="1:4" x14ac:dyDescent="0.25">
      <c r="A26427" t="str">
        <f>HYPERLINK("https://www.773grp.com/globalSearch/DAC7574EVM/page-1", "DAC7574EVM")</f>
        <v>DAC7574EVM</v>
      </c>
      <c r="B26427" s="3" t="s">
        <v>90</v>
      </c>
      <c r="C26427" s="5">
        <v>4</v>
      </c>
      <c r="D26427" s="6">
        <v>137.81</v>
      </c>
    </row>
    <row r="26428" spans="1:4" x14ac:dyDescent="0.25">
      <c r="A26428" t="str">
        <f>HYPERLINK("https://www.773grp.com/globalSearch/DAC7731EVM/page-1", "DAC7731EVM")</f>
        <v>DAC7731EVM</v>
      </c>
      <c r="B26428" s="3" t="s">
        <v>90</v>
      </c>
      <c r="C26428" s="5">
        <v>1</v>
      </c>
      <c r="D26428" s="6">
        <v>137.81</v>
      </c>
    </row>
    <row r="26429" spans="1:4" x14ac:dyDescent="0.25">
      <c r="A26429" t="str">
        <f>HYPERLINK("https://www.773grp.com/globalSearch/DAC8168EVM/page-1", "DAC8168EVM")</f>
        <v>DAC8168EVM</v>
      </c>
      <c r="B26429" s="3" t="s">
        <v>90</v>
      </c>
      <c r="C26429" s="5">
        <v>4</v>
      </c>
      <c r="D26429" s="6">
        <v>137.81</v>
      </c>
    </row>
    <row r="26430" spans="1:4" x14ac:dyDescent="0.25">
      <c r="A26430" t="str">
        <f>HYPERLINK("https://www.773grp.com/globalSearch/DAC8234EVM/page-1", "DAC8234EVM")</f>
        <v>DAC8234EVM</v>
      </c>
      <c r="B26430" s="3" t="s">
        <v>90</v>
      </c>
      <c r="C26430" s="5">
        <v>2</v>
      </c>
      <c r="D26430" s="6">
        <v>137.81</v>
      </c>
    </row>
    <row r="26431" spans="1:4" x14ac:dyDescent="0.25">
      <c r="A26431" t="str">
        <f>HYPERLINK("https://www.773grp.com/globalSearch/DAC8311EVM/page-1", "DAC8311EVM")</f>
        <v>DAC8311EVM</v>
      </c>
      <c r="B26431" s="3" t="s">
        <v>90</v>
      </c>
      <c r="C26431" s="5">
        <v>3</v>
      </c>
      <c r="D26431" s="6">
        <v>137.81</v>
      </c>
    </row>
    <row r="26432" spans="1:4" x14ac:dyDescent="0.25">
      <c r="A26432" t="str">
        <f>HYPERLINK("https://www.773grp.com/globalSearch/DAC8411EVM/page-1", "DAC8411EVM")</f>
        <v>DAC8411EVM</v>
      </c>
      <c r="B26432" s="3" t="s">
        <v>90</v>
      </c>
      <c r="C26432" s="5">
        <v>5</v>
      </c>
      <c r="D26432" s="6">
        <v>137.81</v>
      </c>
    </row>
    <row r="26433" spans="1:4" x14ac:dyDescent="0.25">
      <c r="A26433" t="str">
        <f>HYPERLINK("https://www.773grp.com/globalSearch/DAC8560EVM/page-1", "DAC8560EVM")</f>
        <v>DAC8560EVM</v>
      </c>
      <c r="B26433" s="3" t="s">
        <v>90</v>
      </c>
      <c r="C26433" s="5">
        <v>1</v>
      </c>
      <c r="D26433" s="6">
        <v>137.81</v>
      </c>
    </row>
    <row r="26434" spans="1:4" x14ac:dyDescent="0.25">
      <c r="A26434" t="str">
        <f>HYPERLINK("https://www.773grp.com/globalSearch/DAC8571EVM/page-1", "DAC8571EVM")</f>
        <v>DAC8571EVM</v>
      </c>
      <c r="B26434" s="3" t="s">
        <v>90</v>
      </c>
      <c r="C26434" s="5">
        <v>1</v>
      </c>
      <c r="D26434" s="6">
        <v>137.81</v>
      </c>
    </row>
    <row r="26435" spans="1:4" x14ac:dyDescent="0.25">
      <c r="A26435" t="str">
        <f>HYPERLINK("https://www.773grp.com/globalSearch/DAC8734EVM/page-1", "DAC8734EVM")</f>
        <v>DAC8734EVM</v>
      </c>
      <c r="B26435" s="3" t="s">
        <v>90</v>
      </c>
      <c r="C26435" s="5">
        <v>1</v>
      </c>
      <c r="D26435" s="6">
        <v>137.81</v>
      </c>
    </row>
    <row r="26436" spans="1:4" x14ac:dyDescent="0.25">
      <c r="A26436" t="str">
        <f>HYPERLINK("https://www.773grp.com/globalSearch/DAC8811EVM/page-1", "DAC8811EVM")</f>
        <v>DAC8811EVM</v>
      </c>
      <c r="B26436" s="3" t="s">
        <v>90</v>
      </c>
      <c r="C26436" s="5">
        <v>1</v>
      </c>
      <c r="D26436" s="6">
        <v>137.81</v>
      </c>
    </row>
    <row r="26437" spans="1:4" x14ac:dyDescent="0.25">
      <c r="A26437" t="str">
        <f>HYPERLINK("https://www.773grp.com/globalSearch/DAC8814EVM/page-1", "DAC8814EVM")</f>
        <v>DAC8814EVM</v>
      </c>
      <c r="B26437" s="3" t="s">
        <v>90</v>
      </c>
      <c r="C26437" s="5">
        <v>4</v>
      </c>
      <c r="D26437" s="6">
        <v>137.81</v>
      </c>
    </row>
    <row r="26438" spans="1:4" x14ac:dyDescent="0.25">
      <c r="A26438" t="str">
        <f>HYPERLINK("https://www.773grp.com/globalSearch/DAC8831EVM/page-1", "DAC8831EVM")</f>
        <v>DAC8831EVM</v>
      </c>
      <c r="B26438" s="3" t="s">
        <v>90</v>
      </c>
      <c r="C26438" s="5">
        <v>1</v>
      </c>
      <c r="D26438" s="6">
        <v>137.81</v>
      </c>
    </row>
    <row r="26439" spans="1:4" x14ac:dyDescent="0.25">
      <c r="A26439" t="str">
        <f>HYPERLINK("https://www.773grp.com/globalSearch/DAPSIGCNDBRDBPEVM/page-1", "DAPSIGCNDBRDBPEVM")</f>
        <v>DAPSIGCNDBRDBPEVM</v>
      </c>
      <c r="B26439" s="3" t="s">
        <v>90</v>
      </c>
      <c r="C26439" s="5">
        <v>2</v>
      </c>
      <c r="D26439" s="6">
        <v>137.81</v>
      </c>
    </row>
    <row r="26440" spans="1:4" x14ac:dyDescent="0.25">
      <c r="A26440" t="str">
        <f>HYPERLINK("https://www.773grp.com/globalSearch/DC-DC-CONV/page-1", "DC-DC-CONV")</f>
        <v>DC-DC-CONV</v>
      </c>
      <c r="B26440" s="3" t="s">
        <v>90</v>
      </c>
      <c r="C26440" s="5">
        <v>6</v>
      </c>
      <c r="D26440" s="6">
        <v>137.81</v>
      </c>
    </row>
    <row r="26441" spans="1:4" x14ac:dyDescent="0.25">
      <c r="A26441" t="str">
        <f>HYPERLINK("https://www.773grp.com/globalSearch/DEM-PCM1717/page-1", "DEM-PCM1717")</f>
        <v>DEM-PCM1717</v>
      </c>
      <c r="B26441" s="3" t="s">
        <v>90</v>
      </c>
      <c r="C26441" s="5">
        <v>1</v>
      </c>
      <c r="D26441" s="6">
        <v>137.81</v>
      </c>
    </row>
    <row r="26442" spans="1:4" x14ac:dyDescent="0.25">
      <c r="A26442" t="str">
        <f>HYPERLINK("https://www.773grp.com/globalSearch/DEM-PCM1740/page-1", "DEM-PCM1740")</f>
        <v>DEM-PCM1740</v>
      </c>
      <c r="B26442" s="3" t="s">
        <v>90</v>
      </c>
      <c r="C26442" s="5">
        <v>2</v>
      </c>
      <c r="D26442" s="6">
        <v>137.81</v>
      </c>
    </row>
    <row r="26443" spans="1:4" x14ac:dyDescent="0.25">
      <c r="A26443" t="str">
        <f>HYPERLINK("https://www.773grp.com/globalSearch/EKI-LM3S811/page-1", "EKI-LM3S811")</f>
        <v>EKI-LM3S811</v>
      </c>
      <c r="B26443" s="3" t="s">
        <v>90</v>
      </c>
      <c r="C26443" s="5">
        <v>7</v>
      </c>
      <c r="D26443" s="6">
        <v>137.81</v>
      </c>
    </row>
    <row r="26444" spans="1:4" x14ac:dyDescent="0.25">
      <c r="A26444" t="str">
        <f>HYPERLINK("https://www.773grp.com/globalSearch/EKS-LM3S811/page-1", "EKS-LM3S811")</f>
        <v>EKS-LM3S811</v>
      </c>
      <c r="B26444" s="3" t="s">
        <v>90</v>
      </c>
      <c r="C26444" s="5">
        <v>7</v>
      </c>
      <c r="D26444" s="6">
        <v>137.81</v>
      </c>
    </row>
    <row r="26445" spans="1:4" x14ac:dyDescent="0.25">
      <c r="A26445" t="str">
        <f>HYPERLINK("https://www.773grp.com/globalSearch/EV2200/page-1", "EV2200")</f>
        <v>EV2200</v>
      </c>
      <c r="B26445" s="3" t="s">
        <v>90</v>
      </c>
      <c r="C26445" s="5">
        <v>7</v>
      </c>
      <c r="D26445" s="6">
        <v>137.81</v>
      </c>
    </row>
    <row r="26446" spans="1:4" x14ac:dyDescent="0.25">
      <c r="A26446" t="str">
        <f>HYPERLINK("https://www.773grp.com/globalSearch/FMC-ADC-ADAPTER/page-1", "FMC-ADC-ADAPTER")</f>
        <v>FMC-ADC-ADAPTER</v>
      </c>
      <c r="B26446" s="3" t="s">
        <v>90</v>
      </c>
      <c r="C26446" s="5">
        <v>2</v>
      </c>
      <c r="D26446" s="6">
        <v>137.81</v>
      </c>
    </row>
    <row r="26447" spans="1:4" x14ac:dyDescent="0.25">
      <c r="A26447" t="str">
        <f>HYPERLINK("https://www.773grp.com/globalSearch/FMC-DAC-ADAPTER/page-1", "FMC-DAC-ADAPTER")</f>
        <v>FMC-DAC-ADAPTER</v>
      </c>
      <c r="B26447" s="3" t="s">
        <v>90</v>
      </c>
      <c r="C26447" s="5">
        <v>2</v>
      </c>
      <c r="D26447" s="6">
        <v>137.81</v>
      </c>
    </row>
    <row r="26448" spans="1:4" x14ac:dyDescent="0.25">
      <c r="A26448" t="str">
        <f>HYPERLINK("https://www.773grp.com/globalSearch/HL5CABLE/page-1", "HL5CABLE")</f>
        <v>HL5CABLE</v>
      </c>
      <c r="B26448" s="3" t="s">
        <v>90</v>
      </c>
      <c r="C26448" s="5">
        <v>5</v>
      </c>
      <c r="D26448" s="6">
        <v>137.81</v>
      </c>
    </row>
    <row r="26449" spans="1:4" x14ac:dyDescent="0.25">
      <c r="A26449" t="str">
        <f>HYPERLINK("https://www.773grp.com/globalSearch/HPA-MCUINTERFACE/page-1", "HPA-MCUINTERFACE")</f>
        <v>HPA-MCUINTERFACE</v>
      </c>
      <c r="B26449" s="3" t="s">
        <v>90</v>
      </c>
      <c r="C26449" s="5">
        <v>4</v>
      </c>
      <c r="D26449" s="6">
        <v>137.81</v>
      </c>
    </row>
    <row r="26450" spans="1:4" x14ac:dyDescent="0.25">
      <c r="A26450" t="str">
        <f>HYPERLINK("https://www.773grp.com/globalSearch/ISO154XEVM/page-1", "ISO154XEVM")</f>
        <v>ISO154XEVM</v>
      </c>
      <c r="B26450" s="3" t="s">
        <v>90</v>
      </c>
      <c r="C26450" s="5">
        <v>10</v>
      </c>
      <c r="D26450" s="6">
        <v>137.81</v>
      </c>
    </row>
    <row r="26451" spans="1:4" x14ac:dyDescent="0.25">
      <c r="A26451" t="str">
        <f>HYPERLINK("https://www.773grp.com/globalSearch/ISO723X724XEVM/page-1", "ISO723X724XEVM")</f>
        <v>ISO723X724XEVM</v>
      </c>
      <c r="B26451" s="3" t="s">
        <v>90</v>
      </c>
      <c r="C26451" s="5">
        <v>6</v>
      </c>
      <c r="D26451" s="6">
        <v>137.81</v>
      </c>
    </row>
    <row r="26452" spans="1:4" x14ac:dyDescent="0.25">
      <c r="A26452" t="str">
        <f>HYPERLINK("https://www.773grp.com/globalSearch/LM20146MHEVAL/page-1", "LM20146MHEVAL")</f>
        <v>LM20146MHEVAL</v>
      </c>
      <c r="B26452" s="3" t="s">
        <v>90</v>
      </c>
      <c r="C26452" s="5">
        <v>1</v>
      </c>
      <c r="D26452" s="6">
        <v>137.81</v>
      </c>
    </row>
    <row r="26453" spans="1:4" x14ac:dyDescent="0.25">
      <c r="A26453" t="str">
        <f>HYPERLINK("https://www.773grp.com/globalSearch/LM20242EVAL-NOPB/page-1", "LM20242EVAL-NOPB")</f>
        <v>LM20242EVAL-NOPB</v>
      </c>
      <c r="B26453" s="3" t="s">
        <v>90</v>
      </c>
      <c r="C26453" s="5">
        <v>3</v>
      </c>
      <c r="D26453" s="6">
        <v>137.81</v>
      </c>
    </row>
    <row r="26454" spans="1:4" x14ac:dyDescent="0.25">
      <c r="A26454" t="str">
        <f>HYPERLINK("https://www.773grp.com/globalSearch/LM25574EVAL/page-1", "LM25574EVAL")</f>
        <v>LM25574EVAL</v>
      </c>
      <c r="B26454" s="3" t="s">
        <v>90</v>
      </c>
      <c r="C26454" s="5">
        <v>2</v>
      </c>
      <c r="D26454" s="6">
        <v>137.81</v>
      </c>
    </row>
    <row r="26455" spans="1:4" x14ac:dyDescent="0.25">
      <c r="A26455" t="str">
        <f>HYPERLINK("https://www.773grp.com/globalSearch/LM2735YMYEVAL/page-1", "LM2735YMYEVAL")</f>
        <v>LM2735YMYEVAL</v>
      </c>
      <c r="B26455" s="3" t="s">
        <v>90</v>
      </c>
      <c r="C26455" s="5">
        <v>2</v>
      </c>
      <c r="D26455" s="6">
        <v>137.81</v>
      </c>
    </row>
    <row r="26456" spans="1:4" x14ac:dyDescent="0.25">
      <c r="A26456" t="str">
        <f>HYPERLINK("https://www.773grp.com/globalSearch/LM3402EVAL-NOPB/page-1", "LM3402EVAL-NOPB")</f>
        <v>LM3402EVAL-NOPB</v>
      </c>
      <c r="B26456" s="3" t="s">
        <v>90</v>
      </c>
      <c r="C26456" s="5">
        <v>1</v>
      </c>
      <c r="D26456" s="6">
        <v>137.81</v>
      </c>
    </row>
    <row r="26457" spans="1:4" x14ac:dyDescent="0.25">
      <c r="A26457" t="str">
        <f>HYPERLINK("https://www.773grp.com/globalSearch/LM3404MREVAL/page-1", "LM3404MREVAL")</f>
        <v>LM3404MREVAL</v>
      </c>
      <c r="B26457" s="3" t="s">
        <v>90</v>
      </c>
      <c r="C26457" s="5">
        <v>2</v>
      </c>
      <c r="D26457" s="6">
        <v>137.81</v>
      </c>
    </row>
    <row r="26458" spans="1:4" x14ac:dyDescent="0.25">
      <c r="A26458" t="str">
        <f>HYPERLINK("https://www.773grp.com/globalSearch/LM3414HVSDEVAL-NOPB/page-1", "LM3414HVSDEVAL-NOPB")</f>
        <v>LM3414HVSDEVAL-NOPB</v>
      </c>
      <c r="B26458" s="3" t="s">
        <v>90</v>
      </c>
      <c r="C26458" s="5">
        <v>4</v>
      </c>
      <c r="D26458" s="6">
        <v>137.81</v>
      </c>
    </row>
    <row r="26459" spans="1:4" x14ac:dyDescent="0.25">
      <c r="A26459" t="str">
        <f>HYPERLINK("https://www.773grp.com/globalSearch/LM3671LC-1.6EV/page-1", "LM3671LC-1.6EV")</f>
        <v>LM3671LC-1.6EV</v>
      </c>
      <c r="B26459" s="3" t="s">
        <v>90</v>
      </c>
      <c r="C26459" s="5">
        <v>3</v>
      </c>
      <c r="D26459" s="6">
        <v>137.81</v>
      </c>
    </row>
    <row r="26460" spans="1:4" x14ac:dyDescent="0.25">
      <c r="A26460" t="str">
        <f>HYPERLINK("https://www.773grp.com/globalSearch/LM5088MH-1EVAL-NOPB/page-1", "LM5088MH-1EVAL-NOPB")</f>
        <v>LM5088MH-1EVAL-NOPB</v>
      </c>
      <c r="B26460" s="3" t="s">
        <v>90</v>
      </c>
      <c r="C26460" s="5">
        <v>1</v>
      </c>
      <c r="D26460" s="6">
        <v>137.81</v>
      </c>
    </row>
    <row r="26461" spans="1:4" x14ac:dyDescent="0.25">
      <c r="A26461" t="str">
        <f>HYPERLINK("https://www.773grp.com/globalSearch/LM5115AEVAL/page-1", "LM5115AEVAL")</f>
        <v>LM5115AEVAL</v>
      </c>
      <c r="B26461" s="3" t="s">
        <v>90</v>
      </c>
      <c r="C26461" s="5">
        <v>1</v>
      </c>
      <c r="D26461" s="6">
        <v>137.81</v>
      </c>
    </row>
    <row r="26462" spans="1:4" x14ac:dyDescent="0.25">
      <c r="A26462" t="str">
        <f>HYPERLINK("https://www.773grp.com/globalSearch/LME49870MABD/page-1", "LME49870MABD")</f>
        <v>LME49870MABD</v>
      </c>
      <c r="B26462" s="3" t="s">
        <v>90</v>
      </c>
      <c r="C26462" s="5">
        <v>5</v>
      </c>
      <c r="D26462" s="6">
        <v>137.81</v>
      </c>
    </row>
    <row r="26463" spans="1:4" x14ac:dyDescent="0.25">
      <c r="A26463" t="str">
        <f>HYPERLINK("https://www.773grp.com/globalSearch/LMH6555EVAL-NOPB/page-1", "LMH6555EVAL-NOPB")</f>
        <v>LMH6555EVAL-NOPB</v>
      </c>
      <c r="B26463" s="3" t="s">
        <v>90</v>
      </c>
      <c r="C26463" s="5">
        <v>5</v>
      </c>
      <c r="D26463" s="6">
        <v>137.81</v>
      </c>
    </row>
    <row r="26464" spans="1:4" x14ac:dyDescent="0.25">
      <c r="A26464" t="str">
        <f>HYPERLINK("https://www.773grp.com/globalSearch/MDL-LM3S818CNCD/page-1", "MDL-LM3S818CNCD")</f>
        <v>MDL-LM3S818CNCD</v>
      </c>
      <c r="B26464" s="3" t="s">
        <v>90</v>
      </c>
      <c r="C26464" s="5">
        <v>12</v>
      </c>
      <c r="D26464" s="6">
        <v>137.81</v>
      </c>
    </row>
    <row r="26465" spans="1:4" x14ac:dyDescent="0.25">
      <c r="A26465" t="str">
        <f>HYPERLINK("https://www.773grp.com/globalSearch/MDL-LM4F211CNCD/page-1", "MDL-LM4F211CNCD")</f>
        <v>MDL-LM4F211CNCD</v>
      </c>
      <c r="B26465" s="3" t="s">
        <v>90</v>
      </c>
      <c r="C26465" s="5">
        <v>5</v>
      </c>
      <c r="D26465" s="6">
        <v>137.81</v>
      </c>
    </row>
    <row r="26466" spans="1:4" x14ac:dyDescent="0.25">
      <c r="A26466" t="str">
        <f>HYPERLINK("https://www.773grp.com/globalSearch/MDL-S2E/page-1", "MDL-S2E")</f>
        <v>MDL-S2E</v>
      </c>
      <c r="B26466" s="3" t="s">
        <v>90</v>
      </c>
      <c r="C26466" s="5">
        <v>2</v>
      </c>
      <c r="D26466" s="6">
        <v>137.81</v>
      </c>
    </row>
    <row r="26467" spans="1:4" x14ac:dyDescent="0.25">
      <c r="A26467" t="str">
        <f>HYPERLINK("https://www.773grp.com/globalSearch/MSP-CNCD-FR5739/page-1", "MSP-CNCD-FR5739")</f>
        <v>MSP-CNCD-FR5739</v>
      </c>
      <c r="B26467" s="3" t="s">
        <v>90</v>
      </c>
      <c r="C26467" s="5">
        <v>1</v>
      </c>
      <c r="D26467" s="6">
        <v>137.81</v>
      </c>
    </row>
    <row r="26468" spans="1:4" x14ac:dyDescent="0.25">
      <c r="A26468" t="str">
        <f>HYPERLINK("https://www.773grp.com/globalSearch/MSP-FET430X110/page-1", "MSP-FET430X110")</f>
        <v>MSP-FET430X110</v>
      </c>
      <c r="B26468" s="3" t="s">
        <v>90</v>
      </c>
      <c r="C26468" s="5">
        <v>16</v>
      </c>
      <c r="D26468" s="6">
        <v>137.81</v>
      </c>
    </row>
    <row r="26469" spans="1:4" x14ac:dyDescent="0.25">
      <c r="A26469" t="str">
        <f>HYPERLINK("https://www.773grp.com/globalSearch/OPA1S2385EVM/page-1", "OPA1S2385EVM")</f>
        <v>OPA1S2385EVM</v>
      </c>
      <c r="B26469" s="3" t="s">
        <v>90</v>
      </c>
      <c r="C26469" s="5">
        <v>5</v>
      </c>
      <c r="D26469" s="6">
        <v>137.81</v>
      </c>
    </row>
    <row r="26470" spans="1:4" x14ac:dyDescent="0.25">
      <c r="A26470" t="str">
        <f>HYPERLINK("https://www.773grp.com/globalSearch/REG710EVM-5/page-1", "REG710EVM-5")</f>
        <v>REG710EVM-5</v>
      </c>
      <c r="B26470" s="3" t="s">
        <v>90</v>
      </c>
      <c r="C26470" s="5">
        <v>2</v>
      </c>
      <c r="D26470" s="6">
        <v>137.81</v>
      </c>
    </row>
    <row r="26471" spans="1:4" x14ac:dyDescent="0.25">
      <c r="A26471" t="str">
        <f>HYPERLINK("https://www.773grp.com/globalSearch/REG711EVM-232/page-1", "REG711EVM-232")</f>
        <v>REG711EVM-232</v>
      </c>
      <c r="B26471" s="3" t="s">
        <v>90</v>
      </c>
      <c r="C26471" s="5">
        <v>2</v>
      </c>
      <c r="D26471" s="6">
        <v>137.81</v>
      </c>
    </row>
    <row r="26472" spans="1:4" x14ac:dyDescent="0.25">
      <c r="A26472" t="str">
        <f>HYPERLINK("https://www.773grp.com/globalSearch/SN65HVD22EVM/page-1", "SN65HVD22EVM")</f>
        <v>SN65HVD22EVM</v>
      </c>
      <c r="B26472" s="3" t="s">
        <v>90</v>
      </c>
      <c r="C26472" s="5">
        <v>1</v>
      </c>
      <c r="D26472" s="6">
        <v>137.81</v>
      </c>
    </row>
    <row r="26473" spans="1:4" x14ac:dyDescent="0.25">
      <c r="A26473" t="str">
        <f>HYPERLINK("https://www.773grp.com/globalSearch/SN65HVD257EVM/page-1", "SN65HVD257EVM")</f>
        <v>SN65HVD257EVM</v>
      </c>
      <c r="B26473" s="3" t="s">
        <v>90</v>
      </c>
      <c r="C26473" s="5">
        <v>4</v>
      </c>
      <c r="D26473" s="6">
        <v>137.81</v>
      </c>
    </row>
    <row r="26474" spans="1:4" x14ac:dyDescent="0.25">
      <c r="A26474" t="str">
        <f>HYPERLINK("https://www.773grp.com/globalSearch/SN65HVD96EVM/page-1", "SN65HVD96EVM")</f>
        <v>SN65HVD96EVM</v>
      </c>
      <c r="B26474" s="3" t="s">
        <v>90</v>
      </c>
      <c r="C26474" s="5">
        <v>2</v>
      </c>
      <c r="D26474" s="6">
        <v>137.81</v>
      </c>
    </row>
    <row r="26475" spans="1:4" x14ac:dyDescent="0.25">
      <c r="A26475" t="str">
        <f>HYPERLINK("https://www.773grp.com/globalSearch/SN65LVCP22-23EVM/page-1", "SN65LVCP22-23EVM")</f>
        <v>SN65LVCP22-23EVM</v>
      </c>
      <c r="B26475" s="3" t="s">
        <v>90</v>
      </c>
      <c r="C26475" s="5">
        <v>2</v>
      </c>
      <c r="D26475" s="6">
        <v>137.81</v>
      </c>
    </row>
    <row r="26476" spans="1:4" x14ac:dyDescent="0.25">
      <c r="A26476" t="str">
        <f>HYPERLINK("https://www.773grp.com/globalSearch/SN65LVDS122EVM/page-1", "SN65LVDS122EVM")</f>
        <v>SN65LVDS122EVM</v>
      </c>
      <c r="B26476" s="3" t="s">
        <v>90</v>
      </c>
      <c r="C26476" s="5">
        <v>1</v>
      </c>
      <c r="D26476" s="6">
        <v>137.81</v>
      </c>
    </row>
    <row r="26477" spans="1:4" x14ac:dyDescent="0.25">
      <c r="A26477" t="str">
        <f>HYPERLINK("https://www.773grp.com/globalSearch/SN65LVDS125AEVM/page-1", "SN65LVDS125AEVM")</f>
        <v>SN65LVDS125AEVM</v>
      </c>
      <c r="B26477" s="3" t="s">
        <v>90</v>
      </c>
      <c r="C26477" s="5">
        <v>4</v>
      </c>
      <c r="D26477" s="6">
        <v>137.81</v>
      </c>
    </row>
    <row r="26478" spans="1:4" x14ac:dyDescent="0.25">
      <c r="A26478" t="str">
        <f>HYPERLINK("https://www.773grp.com/globalSearch/SN65LVDS20EVM/page-1", "SN65LVDS20EVM")</f>
        <v>SN65LVDS20EVM</v>
      </c>
      <c r="B26478" s="3" t="s">
        <v>90</v>
      </c>
      <c r="C26478" s="5">
        <v>1</v>
      </c>
      <c r="D26478" s="6">
        <v>137.81</v>
      </c>
    </row>
    <row r="26479" spans="1:4" x14ac:dyDescent="0.25">
      <c r="A26479" t="str">
        <f>HYPERLINK("https://www.773grp.com/globalSearch/SN65LVDS31-33EVM/page-1", "SN65LVDS31-33EVM")</f>
        <v>SN65LVDS31-33EVM</v>
      </c>
      <c r="B26479" s="3" t="s">
        <v>90</v>
      </c>
      <c r="C26479" s="5">
        <v>2</v>
      </c>
      <c r="D26479" s="6">
        <v>137.81</v>
      </c>
    </row>
    <row r="26480" spans="1:4" x14ac:dyDescent="0.25">
      <c r="A26480" t="str">
        <f>HYPERLINK("https://www.773grp.com/globalSearch/SN65LVP16EVM/page-1", "SN65LVP16EVM")</f>
        <v>SN65LVP16EVM</v>
      </c>
      <c r="B26480" s="3" t="s">
        <v>90</v>
      </c>
      <c r="C26480" s="5">
        <v>1</v>
      </c>
      <c r="D26480" s="6">
        <v>137.81</v>
      </c>
    </row>
    <row r="26481" spans="1:4" x14ac:dyDescent="0.25">
      <c r="A26481" t="str">
        <f>HYPERLINK("https://www.773grp.com/globalSearch/SN65LVP18EVM/page-1", "SN65LVP18EVM")</f>
        <v>SN65LVP18EVM</v>
      </c>
      <c r="B26481" s="3" t="s">
        <v>90</v>
      </c>
      <c r="C26481" s="5">
        <v>2</v>
      </c>
      <c r="D26481" s="6">
        <v>137.81</v>
      </c>
    </row>
    <row r="26482" spans="1:4" x14ac:dyDescent="0.25">
      <c r="A26482" t="str">
        <f>HYPERLINK("https://www.773grp.com/globalSearch/SOC-BB/page-1", "SOC-BB")</f>
        <v>SOC-BB</v>
      </c>
      <c r="B26482" s="3" t="s">
        <v>90</v>
      </c>
      <c r="C26482" s="5">
        <v>12</v>
      </c>
      <c r="D26482" s="6">
        <v>137.81</v>
      </c>
    </row>
    <row r="26483" spans="1:4" x14ac:dyDescent="0.25">
      <c r="A26483" t="str">
        <f>HYPERLINK("https://www.773grp.com/globalSearch/THS1206M-EVM/page-1", "THS1206M-EVM")</f>
        <v>THS1206M-EVM</v>
      </c>
      <c r="B26483" s="3" t="s">
        <v>90</v>
      </c>
      <c r="C26483" s="5">
        <v>2</v>
      </c>
      <c r="D26483" s="6">
        <v>137.81</v>
      </c>
    </row>
    <row r="26484" spans="1:4" x14ac:dyDescent="0.25">
      <c r="A26484" t="str">
        <f>HYPERLINK("https://www.773grp.com/globalSearch/THS3091EVM/page-1", "THS3091EVM")</f>
        <v>THS3091EVM</v>
      </c>
      <c r="B26484" s="3" t="s">
        <v>90</v>
      </c>
      <c r="C26484" s="5">
        <v>1</v>
      </c>
      <c r="D26484" s="6">
        <v>137.81</v>
      </c>
    </row>
    <row r="26485" spans="1:4" x14ac:dyDescent="0.25">
      <c r="A26485" t="str">
        <f>HYPERLINK("https://www.773grp.com/globalSearch/THS3111EVM/page-1", "THS3111EVM")</f>
        <v>THS3111EVM</v>
      </c>
      <c r="B26485" s="3" t="s">
        <v>90</v>
      </c>
      <c r="C26485" s="5">
        <v>2</v>
      </c>
      <c r="D26485" s="6">
        <v>137.81</v>
      </c>
    </row>
    <row r="26486" spans="1:4" x14ac:dyDescent="0.25">
      <c r="A26486" t="str">
        <f>HYPERLINK("https://www.773grp.com/globalSearch/THS3115EVM/page-1", "THS3115EVM")</f>
        <v>THS3115EVM</v>
      </c>
      <c r="B26486" s="3" t="s">
        <v>90</v>
      </c>
      <c r="C26486" s="5">
        <v>2</v>
      </c>
      <c r="D26486" s="6">
        <v>137.81</v>
      </c>
    </row>
    <row r="26487" spans="1:4" x14ac:dyDescent="0.25">
      <c r="A26487" t="str">
        <f>HYPERLINK("https://www.773grp.com/globalSearch/THS3121EVM/page-1", "THS3121EVM")</f>
        <v>THS3121EVM</v>
      </c>
      <c r="B26487" s="3" t="s">
        <v>90</v>
      </c>
      <c r="C26487" s="5">
        <v>2</v>
      </c>
      <c r="D26487" s="6">
        <v>137.81</v>
      </c>
    </row>
    <row r="26488" spans="1:4" x14ac:dyDescent="0.25">
      <c r="A26488" t="str">
        <f>HYPERLINK("https://www.773grp.com/globalSearch/THS4021EVM/page-1", "THS4021EVM")</f>
        <v>THS4021EVM</v>
      </c>
      <c r="B26488" s="3" t="s">
        <v>90</v>
      </c>
      <c r="C26488" s="5">
        <v>1</v>
      </c>
      <c r="D26488" s="6">
        <v>137.81</v>
      </c>
    </row>
    <row r="26489" spans="1:4" x14ac:dyDescent="0.25">
      <c r="A26489" t="str">
        <f>HYPERLINK("https://www.773grp.com/globalSearch/THS4062EVM/page-1", "THS4062EVM")</f>
        <v>THS4062EVM</v>
      </c>
      <c r="B26489" s="3" t="s">
        <v>90</v>
      </c>
      <c r="C26489" s="5">
        <v>4</v>
      </c>
      <c r="D26489" s="6">
        <v>137.81</v>
      </c>
    </row>
    <row r="26490" spans="1:4" x14ac:dyDescent="0.25">
      <c r="A26490" t="str">
        <f>HYPERLINK("https://www.773grp.com/globalSearch/THS4140EVM/page-1", "THS4140EVM")</f>
        <v>THS4140EVM</v>
      </c>
      <c r="B26490" s="3" t="s">
        <v>90</v>
      </c>
      <c r="C26490" s="5">
        <v>2</v>
      </c>
      <c r="D26490" s="6">
        <v>137.81</v>
      </c>
    </row>
    <row r="26491" spans="1:4" x14ac:dyDescent="0.25">
      <c r="A26491" t="str">
        <f>HYPERLINK("https://www.773grp.com/globalSearch/THS4141EVM/page-1", "THS4141EVM")</f>
        <v>THS4141EVM</v>
      </c>
      <c r="B26491" s="3" t="s">
        <v>90</v>
      </c>
      <c r="C26491" s="5">
        <v>1</v>
      </c>
      <c r="D26491" s="6">
        <v>137.81</v>
      </c>
    </row>
    <row r="26492" spans="1:4" x14ac:dyDescent="0.25">
      <c r="A26492" t="str">
        <f>HYPERLINK("https://www.773grp.com/globalSearch/THS4211EVM/page-1", "THS4211EVM")</f>
        <v>THS4211EVM</v>
      </c>
      <c r="B26492" s="3" t="s">
        <v>90</v>
      </c>
      <c r="C26492" s="5">
        <v>4</v>
      </c>
      <c r="D26492" s="6">
        <v>137.81</v>
      </c>
    </row>
    <row r="26493" spans="1:4" x14ac:dyDescent="0.25">
      <c r="A26493" t="str">
        <f>HYPERLINK("https://www.773grp.com/globalSearch/THS4222EVM/page-1", "THS4222EVM")</f>
        <v>THS4222EVM</v>
      </c>
      <c r="B26493" s="3" t="s">
        <v>90</v>
      </c>
      <c r="C26493" s="5">
        <v>2</v>
      </c>
      <c r="D26493" s="6">
        <v>137.81</v>
      </c>
    </row>
    <row r="26494" spans="1:4" x14ac:dyDescent="0.25">
      <c r="A26494" t="str">
        <f>HYPERLINK("https://www.773grp.com/globalSearch/THS4226EVM/page-1", "THS4226EVM")</f>
        <v>THS4226EVM</v>
      </c>
      <c r="B26494" s="3" t="s">
        <v>90</v>
      </c>
      <c r="C26494" s="5">
        <v>2</v>
      </c>
      <c r="D26494" s="6">
        <v>137.81</v>
      </c>
    </row>
    <row r="26495" spans="1:4" x14ac:dyDescent="0.25">
      <c r="A26495" t="str">
        <f>HYPERLINK("https://www.773grp.com/globalSearch/THS4271EVM-UG/page-1", "THS4271EVM-UG")</f>
        <v>THS4271EVM-UG</v>
      </c>
      <c r="B26495" s="3" t="s">
        <v>90</v>
      </c>
      <c r="C26495" s="5">
        <v>2</v>
      </c>
      <c r="D26495" s="6">
        <v>137.81</v>
      </c>
    </row>
    <row r="26496" spans="1:4" x14ac:dyDescent="0.25">
      <c r="A26496" t="str">
        <f>HYPERLINK("https://www.773grp.com/globalSearch/THS4302EVM/page-1", "THS4302EVM")</f>
        <v>THS4302EVM</v>
      </c>
      <c r="B26496" s="3" t="s">
        <v>90</v>
      </c>
      <c r="C26496" s="5">
        <v>3</v>
      </c>
      <c r="D26496" s="6">
        <v>137.81</v>
      </c>
    </row>
    <row r="26497" spans="1:4" x14ac:dyDescent="0.25">
      <c r="A26497" t="str">
        <f>HYPERLINK("https://www.773grp.com/globalSearch/THS4303EVM/page-1", "THS4303EVM")</f>
        <v>THS4303EVM</v>
      </c>
      <c r="B26497" s="3" t="s">
        <v>90</v>
      </c>
      <c r="C26497" s="5">
        <v>4</v>
      </c>
      <c r="D26497" s="6">
        <v>137.81</v>
      </c>
    </row>
    <row r="26498" spans="1:4" x14ac:dyDescent="0.25">
      <c r="A26498" t="str">
        <f>HYPERLINK("https://www.773grp.com/globalSearch/THS4500EVM/page-1", "THS4500EVM")</f>
        <v>THS4500EVM</v>
      </c>
      <c r="B26498" s="3" t="s">
        <v>90</v>
      </c>
      <c r="C26498" s="5">
        <v>2</v>
      </c>
      <c r="D26498" s="6">
        <v>137.81</v>
      </c>
    </row>
    <row r="26499" spans="1:4" x14ac:dyDescent="0.25">
      <c r="A26499" t="str">
        <f>HYPERLINK("https://www.773grp.com/globalSearch/THS4520EVM/page-1", "THS4520EVM")</f>
        <v>THS4520EVM</v>
      </c>
      <c r="B26499" s="3" t="s">
        <v>90</v>
      </c>
      <c r="C26499" s="5">
        <v>1</v>
      </c>
      <c r="D26499" s="6">
        <v>137.81</v>
      </c>
    </row>
    <row r="26500" spans="1:4" x14ac:dyDescent="0.25">
      <c r="A26500" t="str">
        <f>HYPERLINK("https://www.773grp.com/globalSearch/THS4601EVM/page-1", "THS4601EVM")</f>
        <v>THS4601EVM</v>
      </c>
      <c r="B26500" s="3" t="s">
        <v>90</v>
      </c>
      <c r="C26500" s="5">
        <v>2</v>
      </c>
      <c r="D26500" s="6">
        <v>137.81</v>
      </c>
    </row>
    <row r="26501" spans="1:4" x14ac:dyDescent="0.25">
      <c r="A26501" t="str">
        <f>HYPERLINK("https://www.773grp.com/globalSearch/THS4631DDAEVM/page-1", "THS4631DDAEVM")</f>
        <v>THS4631DDAEVM</v>
      </c>
      <c r="B26501" s="3" t="s">
        <v>90</v>
      </c>
      <c r="C26501" s="5">
        <v>1</v>
      </c>
      <c r="D26501" s="6">
        <v>137.81</v>
      </c>
    </row>
    <row r="26502" spans="1:4" x14ac:dyDescent="0.25">
      <c r="A26502" t="str">
        <f>HYPERLINK("https://www.773grp.com/globalSearch/THS6012EVM/page-1", "THS6012EVM")</f>
        <v>THS6012EVM</v>
      </c>
      <c r="B26502" s="3" t="s">
        <v>90</v>
      </c>
      <c r="C26502" s="5">
        <v>2</v>
      </c>
      <c r="D26502" s="6">
        <v>137.81</v>
      </c>
    </row>
    <row r="26503" spans="1:4" x14ac:dyDescent="0.25">
      <c r="A26503" t="str">
        <f>HYPERLINK("https://www.773grp.com/globalSearch/THS6062EVM/page-1", "THS6062EVM")</f>
        <v>THS6062EVM</v>
      </c>
      <c r="B26503" s="3" t="s">
        <v>90</v>
      </c>
      <c r="C26503" s="5">
        <v>2</v>
      </c>
      <c r="D26503" s="6">
        <v>137.81</v>
      </c>
    </row>
    <row r="26504" spans="1:4" x14ac:dyDescent="0.25">
      <c r="A26504" t="str">
        <f>HYPERLINK("https://www.773grp.com/globalSearch/THS7002EVM/page-1", "THS7002EVM")</f>
        <v>THS7002EVM</v>
      </c>
      <c r="B26504" s="3" t="s">
        <v>90</v>
      </c>
      <c r="C26504" s="5">
        <v>1</v>
      </c>
      <c r="D26504" s="6">
        <v>137.81</v>
      </c>
    </row>
    <row r="26505" spans="1:4" x14ac:dyDescent="0.25">
      <c r="A26505" t="str">
        <f>HYPERLINK("https://www.773grp.com/globalSearch/THS7314EVM/page-1", "THS7314EVM")</f>
        <v>THS7314EVM</v>
      </c>
      <c r="B26505" s="3" t="s">
        <v>90</v>
      </c>
      <c r="C26505" s="5">
        <v>2</v>
      </c>
      <c r="D26505" s="6">
        <v>137.81</v>
      </c>
    </row>
    <row r="26506" spans="1:4" x14ac:dyDescent="0.25">
      <c r="A26506" t="str">
        <f>HYPERLINK("https://www.773grp.com/globalSearch/THS7316EVM/page-1", "THS7316EVM")</f>
        <v>THS7316EVM</v>
      </c>
      <c r="B26506" s="3" t="s">
        <v>90</v>
      </c>
      <c r="C26506" s="5">
        <v>4</v>
      </c>
      <c r="D26506" s="6">
        <v>137.81</v>
      </c>
    </row>
    <row r="26507" spans="1:4" x14ac:dyDescent="0.25">
      <c r="A26507" t="str">
        <f>HYPERLINK("https://www.773grp.com/globalSearch/THS7319EVM/page-1", "THS7319EVM")</f>
        <v>THS7319EVM</v>
      </c>
      <c r="B26507" s="3" t="s">
        <v>90</v>
      </c>
      <c r="C26507" s="5">
        <v>2</v>
      </c>
      <c r="D26507" s="6">
        <v>137.81</v>
      </c>
    </row>
    <row r="26508" spans="1:4" x14ac:dyDescent="0.25">
      <c r="A26508" t="str">
        <f>HYPERLINK("https://www.773grp.com/globalSearch/THS7530EVM/page-1", "THS7530EVM")</f>
        <v>THS7530EVM</v>
      </c>
      <c r="B26508" s="3" t="s">
        <v>90</v>
      </c>
      <c r="C26508" s="5">
        <v>2</v>
      </c>
      <c r="D26508" s="6">
        <v>137.81</v>
      </c>
    </row>
    <row r="26509" spans="1:4" x14ac:dyDescent="0.25">
      <c r="A26509" t="str">
        <f>HYPERLINK("https://www.773grp.com/globalSearch/THS9000EVM/page-1", "THS9000EVM")</f>
        <v>THS9000EVM</v>
      </c>
      <c r="B26509" s="3" t="s">
        <v>90</v>
      </c>
      <c r="C26509" s="5">
        <v>4</v>
      </c>
      <c r="D26509" s="6">
        <v>137.81</v>
      </c>
    </row>
    <row r="26510" spans="1:4" x14ac:dyDescent="0.25">
      <c r="A26510" t="str">
        <f>HYPERLINK("https://www.773grp.com/globalSearch/THS9001EVM/page-1", "THS9001EVM")</f>
        <v>THS9001EVM</v>
      </c>
      <c r="B26510" s="3" t="s">
        <v>90</v>
      </c>
      <c r="C26510" s="5">
        <v>2</v>
      </c>
      <c r="D26510" s="6">
        <v>137.81</v>
      </c>
    </row>
    <row r="26511" spans="1:4" x14ac:dyDescent="0.25">
      <c r="A26511" t="str">
        <f>HYPERLINK("https://www.773grp.com/globalSearch/TL5001AEVM-108/page-1", "TL5001AEVM-108")</f>
        <v>TL5001AEVM-108</v>
      </c>
      <c r="B26511" s="3" t="s">
        <v>90</v>
      </c>
      <c r="C26511" s="5">
        <v>2</v>
      </c>
      <c r="D26511" s="6">
        <v>137.81</v>
      </c>
    </row>
    <row r="26512" spans="1:4" x14ac:dyDescent="0.25">
      <c r="A26512" t="str">
        <f>HYPERLINK("https://www.773grp.com/globalSearch/TL5001EVM-097/page-1", "TL5001EVM-097")</f>
        <v>TL5001EVM-097</v>
      </c>
      <c r="B26512" s="3" t="s">
        <v>90</v>
      </c>
      <c r="C26512" s="5">
        <v>4</v>
      </c>
      <c r="D26512" s="6">
        <v>137.81</v>
      </c>
    </row>
    <row r="26513" spans="1:4" x14ac:dyDescent="0.25">
      <c r="A26513" t="str">
        <f>HYPERLINK("https://www.773grp.com/globalSearch/TLC3548EVM/page-1", "TLC3548EVM")</f>
        <v>TLC3548EVM</v>
      </c>
      <c r="B26513" s="3" t="s">
        <v>90</v>
      </c>
      <c r="C26513" s="5">
        <v>1</v>
      </c>
      <c r="D26513" s="6">
        <v>137.81</v>
      </c>
    </row>
    <row r="26514" spans="1:4" x14ac:dyDescent="0.25">
      <c r="A26514" t="str">
        <f>HYPERLINK("https://www.773grp.com/globalSearch/TLC5510EVM/page-1", "TLC5510EVM")</f>
        <v>TLC5510EVM</v>
      </c>
      <c r="B26514" s="3" t="s">
        <v>90</v>
      </c>
      <c r="C26514" s="5">
        <v>4</v>
      </c>
      <c r="D26514" s="6">
        <v>137.81</v>
      </c>
    </row>
    <row r="26515" spans="1:4" x14ac:dyDescent="0.25">
      <c r="A26515" t="str">
        <f>HYPERLINK("https://www.773grp.com/globalSearch/TLV320AIC14KEVM/page-1", "TLV320AIC14KEVM")</f>
        <v>TLV320AIC14KEVM</v>
      </c>
      <c r="B26515" s="3" t="s">
        <v>90</v>
      </c>
      <c r="C26515" s="5">
        <v>3</v>
      </c>
      <c r="D26515" s="6">
        <v>137.81</v>
      </c>
    </row>
    <row r="26516" spans="1:4" x14ac:dyDescent="0.25">
      <c r="A26516" t="str">
        <f>HYPERLINK("https://www.773grp.com/globalSearch/TLV320AIC3101EVM/page-1", "TLV320AIC3101EVM")</f>
        <v>TLV320AIC3101EVM</v>
      </c>
      <c r="B26516" s="3" t="s">
        <v>90</v>
      </c>
      <c r="C26516" s="5">
        <v>1</v>
      </c>
      <c r="D26516" s="6">
        <v>137.81</v>
      </c>
    </row>
    <row r="26517" spans="1:4" x14ac:dyDescent="0.25">
      <c r="A26517" t="str">
        <f>HYPERLINK("https://www.773grp.com/globalSearch/TLV320AIC3106EVM/page-1", "TLV320AIC3106EVM")</f>
        <v>TLV320AIC3106EVM</v>
      </c>
      <c r="B26517" s="3" t="s">
        <v>90</v>
      </c>
      <c r="C26517" s="5">
        <v>1</v>
      </c>
      <c r="D26517" s="6">
        <v>137.81</v>
      </c>
    </row>
    <row r="26518" spans="1:4" x14ac:dyDescent="0.25">
      <c r="A26518" t="str">
        <f>HYPERLINK("https://www.773grp.com/globalSearch/TLV320AIC32EVM/page-1", "TLV320AIC32EVM")</f>
        <v>TLV320AIC32EVM</v>
      </c>
      <c r="B26518" s="3" t="s">
        <v>90</v>
      </c>
      <c r="C26518" s="5">
        <v>1</v>
      </c>
      <c r="D26518" s="6">
        <v>137.81</v>
      </c>
    </row>
    <row r="26519" spans="1:4" x14ac:dyDescent="0.25">
      <c r="A26519" t="str">
        <f>HYPERLINK("https://www.773grp.com/globalSearch/TLV320DAC3202EVM/page-1", "TLV320DAC3202EVM")</f>
        <v>TLV320DAC3202EVM</v>
      </c>
      <c r="B26519" s="3" t="s">
        <v>90</v>
      </c>
      <c r="C26519" s="5">
        <v>2</v>
      </c>
      <c r="D26519" s="6">
        <v>137.81</v>
      </c>
    </row>
    <row r="26520" spans="1:4" x14ac:dyDescent="0.25">
      <c r="A26520" t="str">
        <f>HYPERLINK("https://www.773grp.com/globalSearch/TLV320DAC32EVM/page-1", "TLV320DAC32EVM")</f>
        <v>TLV320DAC32EVM</v>
      </c>
      <c r="B26520" s="3" t="s">
        <v>90</v>
      </c>
      <c r="C26520" s="5">
        <v>1</v>
      </c>
      <c r="D26520" s="6">
        <v>137.81</v>
      </c>
    </row>
    <row r="26521" spans="1:4" x14ac:dyDescent="0.25">
      <c r="A26521" t="str">
        <f>HYPERLINK("https://www.773grp.com/globalSearch/TMDSCNCD28027/page-1", "TMDSCNCD28027")</f>
        <v>TMDSCNCD28027</v>
      </c>
      <c r="B26521" s="3" t="s">
        <v>90</v>
      </c>
      <c r="C26521" s="5">
        <v>11</v>
      </c>
      <c r="D26521" s="6">
        <v>137.81</v>
      </c>
    </row>
    <row r="26522" spans="1:4" x14ac:dyDescent="0.25">
      <c r="A26522" t="str">
        <f>HYPERLINK("https://www.773grp.com/globalSearch/TMDX5505EZDSP/page-1", "TMDX5505EZDSP")</f>
        <v>TMDX5505EZDSP</v>
      </c>
      <c r="B26522" s="3" t="s">
        <v>90</v>
      </c>
      <c r="C26522" s="5">
        <v>30</v>
      </c>
      <c r="D26522" s="6">
        <v>137.81</v>
      </c>
    </row>
    <row r="26523" spans="1:4" x14ac:dyDescent="0.25">
      <c r="A26523" t="str">
        <f>HYPERLINK("https://www.773grp.com/globalSearch/TMDXCNCD28027/page-1", "TMDXCNCD28027")</f>
        <v>TMDXCNCD28027</v>
      </c>
      <c r="B26523" s="3" t="s">
        <v>90</v>
      </c>
      <c r="C26523" s="5">
        <v>32</v>
      </c>
      <c r="D26523" s="6">
        <v>137.81</v>
      </c>
    </row>
    <row r="26524" spans="1:4" x14ac:dyDescent="0.25">
      <c r="A26524" t="str">
        <f>HYPERLINK("https://www.773grp.com/globalSearch/TMP006EVM/page-1", "TMP006EVM")</f>
        <v>TMP006EVM</v>
      </c>
      <c r="B26524" s="3" t="s">
        <v>90</v>
      </c>
      <c r="C26524" s="5">
        <v>4</v>
      </c>
      <c r="D26524" s="6">
        <v>137.81</v>
      </c>
    </row>
    <row r="26525" spans="1:4" x14ac:dyDescent="0.25">
      <c r="A26525" t="str">
        <f>HYPERLINK("https://www.773grp.com/globalSearch/TMP100EVM/page-1", "TMP100EVM")</f>
        <v>TMP100EVM</v>
      </c>
      <c r="B26525" s="3" t="s">
        <v>90</v>
      </c>
      <c r="C26525" s="5">
        <v>1</v>
      </c>
      <c r="D26525" s="6">
        <v>137.81</v>
      </c>
    </row>
    <row r="26526" spans="1:4" x14ac:dyDescent="0.25">
      <c r="A26526" t="str">
        <f>HYPERLINK("https://www.773grp.com/globalSearch/TMP122EVM/page-1", "TMP122EVM")</f>
        <v>TMP122EVM</v>
      </c>
      <c r="B26526" s="3" t="s">
        <v>90</v>
      </c>
      <c r="C26526" s="5">
        <v>3</v>
      </c>
      <c r="D26526" s="6">
        <v>137.81</v>
      </c>
    </row>
    <row r="26527" spans="1:4" x14ac:dyDescent="0.25">
      <c r="A26527" t="str">
        <f>HYPERLINK("https://www.773grp.com/globalSearch/TMP709EVM/page-1", "TMP709EVM")</f>
        <v>TMP709EVM</v>
      </c>
      <c r="B26527" s="3" t="s">
        <v>90</v>
      </c>
      <c r="C26527" s="5">
        <v>1</v>
      </c>
      <c r="D26527" s="6">
        <v>137.81</v>
      </c>
    </row>
    <row r="26528" spans="1:4" x14ac:dyDescent="0.25">
      <c r="A26528" t="str">
        <f>HYPERLINK("https://www.773grp.com/globalSearch/TMS320C6A8168ACYG2/page-1", "TMS320C6A8168ACYG2")</f>
        <v>TMS320C6A8168ACYG2</v>
      </c>
      <c r="B26528" s="3" t="s">
        <v>90</v>
      </c>
      <c r="C26528" s="5">
        <v>37</v>
      </c>
      <c r="D26528" s="6">
        <v>137.81</v>
      </c>
    </row>
    <row r="26529" spans="1:4" x14ac:dyDescent="0.25">
      <c r="A26529" t="str">
        <f>HYPERLINK("https://www.773grp.com/globalSearch/TMS320C6A8168BCYG2/page-1", "TMS320C6A8168BCYG2")</f>
        <v>TMS320C6A8168BCYG2</v>
      </c>
      <c r="B26529" s="3" t="s">
        <v>90</v>
      </c>
      <c r="C26529" s="5">
        <v>6</v>
      </c>
      <c r="D26529" s="6">
        <v>137.81</v>
      </c>
    </row>
    <row r="26530" spans="1:4" x14ac:dyDescent="0.25">
      <c r="A26530" t="str">
        <f>HYPERLINK("https://www.773grp.com/globalSearch/TPA0112EVM/page-1", "TPA0112EVM")</f>
        <v>TPA0112EVM</v>
      </c>
      <c r="B26530" s="3" t="s">
        <v>90</v>
      </c>
      <c r="C26530" s="5">
        <v>3</v>
      </c>
      <c r="D26530" s="6">
        <v>137.81</v>
      </c>
    </row>
    <row r="26531" spans="1:4" x14ac:dyDescent="0.25">
      <c r="A26531" t="str">
        <f>HYPERLINK("https://www.773grp.com/globalSearch/TPA0212EVM/page-1", "TPA0212EVM")</f>
        <v>TPA0212EVM</v>
      </c>
      <c r="B26531" s="3" t="s">
        <v>90</v>
      </c>
      <c r="C26531" s="5">
        <v>1</v>
      </c>
      <c r="D26531" s="6">
        <v>137.81</v>
      </c>
    </row>
    <row r="26532" spans="1:4" x14ac:dyDescent="0.25">
      <c r="A26532" t="str">
        <f>HYPERLINK("https://www.773grp.com/globalSearch/TPA0253EVM/page-1", "TPA0253EVM")</f>
        <v>TPA0253EVM</v>
      </c>
      <c r="B26532" s="3" t="s">
        <v>90</v>
      </c>
      <c r="C26532" s="5">
        <v>1</v>
      </c>
      <c r="D26532" s="6">
        <v>137.81</v>
      </c>
    </row>
    <row r="26533" spans="1:4" x14ac:dyDescent="0.25">
      <c r="A26533" t="str">
        <f>HYPERLINK("https://www.773grp.com/globalSearch/TPA1517NEEVM/page-1", "TPA1517NEEVM")</f>
        <v>TPA1517NEEVM</v>
      </c>
      <c r="B26533" s="3" t="s">
        <v>90</v>
      </c>
      <c r="C26533" s="5">
        <v>1</v>
      </c>
      <c r="D26533" s="6">
        <v>137.81</v>
      </c>
    </row>
    <row r="26534" spans="1:4" x14ac:dyDescent="0.25">
      <c r="A26534" t="str">
        <f>HYPERLINK("https://www.773grp.com/globalSearch/TPA2000D1EVM/page-1", "TPA2000D1EVM")</f>
        <v>TPA2000D1EVM</v>
      </c>
      <c r="B26534" s="3" t="s">
        <v>90</v>
      </c>
      <c r="C26534" s="5">
        <v>4</v>
      </c>
      <c r="D26534" s="6">
        <v>137.81</v>
      </c>
    </row>
    <row r="26535" spans="1:4" x14ac:dyDescent="0.25">
      <c r="A26535" t="str">
        <f>HYPERLINK("https://www.773grp.com/globalSearch/TPA2000D2EVM/page-1", "TPA2000D2EVM")</f>
        <v>TPA2000D2EVM</v>
      </c>
      <c r="B26535" s="3" t="s">
        <v>90</v>
      </c>
      <c r="C26535" s="5">
        <v>1</v>
      </c>
      <c r="D26535" s="6">
        <v>137.81</v>
      </c>
    </row>
    <row r="26536" spans="1:4" x14ac:dyDescent="0.25">
      <c r="A26536" t="str">
        <f>HYPERLINK("https://www.773grp.com/globalSearch/TPA2000D4EVM/page-1", "TPA2000D4EVM")</f>
        <v>TPA2000D4EVM</v>
      </c>
      <c r="B26536" s="3" t="s">
        <v>90</v>
      </c>
      <c r="C26536" s="5">
        <v>3</v>
      </c>
      <c r="D26536" s="6">
        <v>137.81</v>
      </c>
    </row>
    <row r="26537" spans="1:4" x14ac:dyDescent="0.25">
      <c r="A26537" t="str">
        <f>HYPERLINK("https://www.773grp.com/globalSearch/TPA2001D1EVM/page-1", "TPA2001D1EVM")</f>
        <v>TPA2001D1EVM</v>
      </c>
      <c r="B26537" s="3" t="s">
        <v>90</v>
      </c>
      <c r="C26537" s="5">
        <v>2</v>
      </c>
      <c r="D26537" s="6">
        <v>137.81</v>
      </c>
    </row>
    <row r="26538" spans="1:4" x14ac:dyDescent="0.25">
      <c r="A26538" t="str">
        <f>HYPERLINK("https://www.773grp.com/globalSearch/TPA2001D2EVM/page-1", "TPA2001D2EVM")</f>
        <v>TPA2001D2EVM</v>
      </c>
      <c r="B26538" s="3" t="s">
        <v>90</v>
      </c>
      <c r="C26538" s="5">
        <v>4</v>
      </c>
      <c r="D26538" s="6">
        <v>137.81</v>
      </c>
    </row>
    <row r="26539" spans="1:4" x14ac:dyDescent="0.25">
      <c r="A26539" t="str">
        <f>HYPERLINK("https://www.773grp.com/globalSearch/TPA2006D1EVM/page-1", "TPA2006D1EVM")</f>
        <v>TPA2006D1EVM</v>
      </c>
      <c r="B26539" s="3" t="s">
        <v>90</v>
      </c>
      <c r="C26539" s="5">
        <v>1</v>
      </c>
      <c r="D26539" s="6">
        <v>137.81</v>
      </c>
    </row>
    <row r="26540" spans="1:4" x14ac:dyDescent="0.25">
      <c r="A26540" t="str">
        <f>HYPERLINK("https://www.773grp.com/globalSearch/TPA2008D2EVM/page-1", "TPA2008D2EVM")</f>
        <v>TPA2008D2EVM</v>
      </c>
      <c r="B26540" s="3" t="s">
        <v>90</v>
      </c>
      <c r="C26540" s="5">
        <v>3</v>
      </c>
      <c r="D26540" s="6">
        <v>137.81</v>
      </c>
    </row>
    <row r="26541" spans="1:4" x14ac:dyDescent="0.25">
      <c r="A26541" t="str">
        <f>HYPERLINK("https://www.773grp.com/globalSearch/TPA2010D1EVM/page-1", "TPA2010D1EVM")</f>
        <v>TPA2010D1EVM</v>
      </c>
      <c r="B26541" s="3" t="s">
        <v>90</v>
      </c>
      <c r="C26541" s="5">
        <v>1</v>
      </c>
      <c r="D26541" s="6">
        <v>137.81</v>
      </c>
    </row>
    <row r="26542" spans="1:4" x14ac:dyDescent="0.25">
      <c r="A26542" t="str">
        <f>HYPERLINK("https://www.773grp.com/globalSearch/TPA2035D1EVM/page-1", "TPA2035D1EVM")</f>
        <v>TPA2035D1EVM</v>
      </c>
      <c r="B26542" s="3" t="s">
        <v>90</v>
      </c>
      <c r="C26542" s="5">
        <v>1</v>
      </c>
      <c r="D26542" s="6">
        <v>137.81</v>
      </c>
    </row>
    <row r="26543" spans="1:4" x14ac:dyDescent="0.25">
      <c r="A26543" t="str">
        <f>HYPERLINK("https://www.773grp.com/globalSearch/TPA203XD1EVM/page-1", "TPA203XD1EVM")</f>
        <v>TPA203XD1EVM</v>
      </c>
      <c r="B26543" s="3" t="s">
        <v>90</v>
      </c>
      <c r="C26543" s="5">
        <v>5</v>
      </c>
      <c r="D26543" s="6">
        <v>137.81</v>
      </c>
    </row>
    <row r="26544" spans="1:4" x14ac:dyDescent="0.25">
      <c r="A26544" t="str">
        <f>HYPERLINK("https://www.773grp.com/globalSearch/TPA3002D2EVM/page-1", "TPA3002D2EVM")</f>
        <v>TPA3002D2EVM</v>
      </c>
      <c r="B26544" s="3" t="s">
        <v>90</v>
      </c>
      <c r="C26544" s="5">
        <v>1</v>
      </c>
      <c r="D26544" s="6">
        <v>137.81</v>
      </c>
    </row>
    <row r="26545" spans="1:4" x14ac:dyDescent="0.25">
      <c r="A26545" t="str">
        <f>HYPERLINK("https://www.773grp.com/globalSearch/TPA3003D2EVM/page-1", "TPA3003D2EVM")</f>
        <v>TPA3003D2EVM</v>
      </c>
      <c r="B26545" s="3" t="s">
        <v>90</v>
      </c>
      <c r="C26545" s="5">
        <v>1</v>
      </c>
      <c r="D26545" s="6">
        <v>137.81</v>
      </c>
    </row>
    <row r="26546" spans="1:4" x14ac:dyDescent="0.25">
      <c r="A26546" t="str">
        <f>HYPERLINK("https://www.773grp.com/globalSearch/TPA3004D2EVM/page-1", "TPA3004D2EVM")</f>
        <v>TPA3004D2EVM</v>
      </c>
      <c r="B26546" s="3" t="s">
        <v>90</v>
      </c>
      <c r="C26546" s="5">
        <v>4</v>
      </c>
      <c r="D26546" s="6">
        <v>137.81</v>
      </c>
    </row>
    <row r="26547" spans="1:4" x14ac:dyDescent="0.25">
      <c r="A26547" t="str">
        <f>HYPERLINK("https://www.773grp.com/globalSearch/TPA4411EVM/page-1", "TPA4411EVM")</f>
        <v>TPA4411EVM</v>
      </c>
      <c r="B26547" s="3" t="s">
        <v>90</v>
      </c>
      <c r="C26547" s="5">
        <v>6</v>
      </c>
      <c r="D26547" s="6">
        <v>137.81</v>
      </c>
    </row>
    <row r="26548" spans="1:4" x14ac:dyDescent="0.25">
      <c r="A26548" t="str">
        <f>HYPERLINK("https://www.773grp.com/globalSearch/TPA6010A4EVM/page-1", "TPA6010A4EVM")</f>
        <v>TPA6010A4EVM</v>
      </c>
      <c r="B26548" s="3" t="s">
        <v>90</v>
      </c>
      <c r="C26548" s="5">
        <v>1</v>
      </c>
      <c r="D26548" s="6">
        <v>137.81</v>
      </c>
    </row>
    <row r="26549" spans="1:4" x14ac:dyDescent="0.25">
      <c r="A26549" t="str">
        <f>HYPERLINK("https://www.773grp.com/globalSearch/TPA6011A4EVM/page-1", "TPA6011A4EVM")</f>
        <v>TPA6011A4EVM</v>
      </c>
      <c r="B26549" s="3" t="s">
        <v>90</v>
      </c>
      <c r="C26549" s="5">
        <v>1</v>
      </c>
      <c r="D26549" s="6">
        <v>137.81</v>
      </c>
    </row>
    <row r="26550" spans="1:4" x14ac:dyDescent="0.25">
      <c r="A26550" t="str">
        <f>HYPERLINK("https://www.773grp.com/globalSearch/TPA6017A2EVM/page-1", "TPA6017A2EVM")</f>
        <v>TPA6017A2EVM</v>
      </c>
      <c r="B26550" s="3" t="s">
        <v>90</v>
      </c>
      <c r="C26550" s="5">
        <v>3</v>
      </c>
      <c r="D26550" s="6">
        <v>137.81</v>
      </c>
    </row>
    <row r="26551" spans="1:4" x14ac:dyDescent="0.25">
      <c r="A26551" t="str">
        <f>HYPERLINK("https://www.773grp.com/globalSearch/TPA6020A2EVM/page-1", "TPA6020A2EVM")</f>
        <v>TPA6020A2EVM</v>
      </c>
      <c r="B26551" s="3" t="s">
        <v>90</v>
      </c>
      <c r="C26551" s="5">
        <v>2</v>
      </c>
      <c r="D26551" s="6">
        <v>137.81</v>
      </c>
    </row>
    <row r="26552" spans="1:4" x14ac:dyDescent="0.25">
      <c r="A26552" t="str">
        <f>HYPERLINK("https://www.773grp.com/globalSearch/TPA6021A4EVM/page-1", "TPA6021A4EVM")</f>
        <v>TPA6021A4EVM</v>
      </c>
      <c r="B26552" s="3" t="s">
        <v>90</v>
      </c>
      <c r="C26552" s="5">
        <v>4</v>
      </c>
      <c r="D26552" s="6">
        <v>137.81</v>
      </c>
    </row>
    <row r="26553" spans="1:4" x14ac:dyDescent="0.25">
      <c r="A26553" t="str">
        <f>HYPERLINK("https://www.773grp.com/globalSearch/TPA6030A4EVM/page-1", "TPA6030A4EVM")</f>
        <v>TPA6030A4EVM</v>
      </c>
      <c r="B26553" s="3" t="s">
        <v>90</v>
      </c>
      <c r="C26553" s="5">
        <v>2</v>
      </c>
      <c r="D26553" s="6">
        <v>137.81</v>
      </c>
    </row>
    <row r="26554" spans="1:4" x14ac:dyDescent="0.25">
      <c r="A26554" t="str">
        <f>HYPERLINK("https://www.773grp.com/globalSearch/TPA6040A4EVM/page-1", "TPA6040A4EVM")</f>
        <v>TPA6040A4EVM</v>
      </c>
      <c r="B26554" s="3" t="s">
        <v>90</v>
      </c>
      <c r="C26554" s="5">
        <v>1</v>
      </c>
      <c r="D26554" s="6">
        <v>137.81</v>
      </c>
    </row>
    <row r="26555" spans="1:4" x14ac:dyDescent="0.25">
      <c r="A26555" t="str">
        <f>HYPERLINK("https://www.773grp.com/globalSearch/TPA6102A2EVM/page-1", "TPA6102A2EVM")</f>
        <v>TPA6102A2EVM</v>
      </c>
      <c r="B26555" s="3" t="s">
        <v>90</v>
      </c>
      <c r="C26555" s="5">
        <v>1</v>
      </c>
      <c r="D26555" s="6">
        <v>137.81</v>
      </c>
    </row>
    <row r="26556" spans="1:4" x14ac:dyDescent="0.25">
      <c r="A26556" t="str">
        <f>HYPERLINK("https://www.773grp.com/globalSearch/TPA6110A2EVM/page-1", "TPA6110A2EVM")</f>
        <v>TPA6110A2EVM</v>
      </c>
      <c r="B26556" s="3" t="s">
        <v>90</v>
      </c>
      <c r="C26556" s="5">
        <v>1</v>
      </c>
      <c r="D26556" s="6">
        <v>137.81</v>
      </c>
    </row>
    <row r="26557" spans="1:4" x14ac:dyDescent="0.25">
      <c r="A26557" t="str">
        <f>HYPERLINK("https://www.773grp.com/globalSearch/TPA6112A2EVM/page-1", "TPA6112A2EVM")</f>
        <v>TPA6112A2EVM</v>
      </c>
      <c r="B26557" s="3" t="s">
        <v>90</v>
      </c>
      <c r="C26557" s="5">
        <v>1</v>
      </c>
      <c r="D26557" s="6">
        <v>137.81</v>
      </c>
    </row>
    <row r="26558" spans="1:4" x14ac:dyDescent="0.25">
      <c r="A26558" t="str">
        <f>HYPERLINK("https://www.773grp.com/globalSearch/TPA6140A2YFFEVM/page-1", "TPA6140A2YFFEVM")</f>
        <v>TPA6140A2YFFEVM</v>
      </c>
      <c r="B26558" s="3" t="s">
        <v>90</v>
      </c>
      <c r="C26558" s="5">
        <v>5</v>
      </c>
      <c r="D26558" s="6">
        <v>137.81</v>
      </c>
    </row>
    <row r="26559" spans="1:4" x14ac:dyDescent="0.25">
      <c r="A26559" t="str">
        <f>HYPERLINK("https://www.773grp.com/globalSearch/TPA6203A1EVM/page-1", "TPA6203A1EVM")</f>
        <v>TPA6203A1EVM</v>
      </c>
      <c r="B26559" s="3" t="s">
        <v>90</v>
      </c>
      <c r="C26559" s="5">
        <v>3</v>
      </c>
      <c r="D26559" s="6">
        <v>137.81</v>
      </c>
    </row>
    <row r="26560" spans="1:4" x14ac:dyDescent="0.25">
      <c r="A26560" t="str">
        <f>HYPERLINK("https://www.773grp.com/globalSearch/TPA6204A1EVM/page-1", "TPA6204A1EVM")</f>
        <v>TPA6204A1EVM</v>
      </c>
      <c r="B26560" s="3" t="s">
        <v>90</v>
      </c>
      <c r="C26560" s="5">
        <v>2</v>
      </c>
      <c r="D26560" s="6">
        <v>137.81</v>
      </c>
    </row>
    <row r="26561" spans="1:4" x14ac:dyDescent="0.25">
      <c r="A26561" t="str">
        <f>HYPERLINK("https://www.773grp.com/globalSearch/TPA6205A1EVM/page-1", "TPA6205A1EVM")</f>
        <v>TPA6205A1EVM</v>
      </c>
      <c r="B26561" s="3" t="s">
        <v>90</v>
      </c>
      <c r="C26561" s="5">
        <v>2</v>
      </c>
      <c r="D26561" s="6">
        <v>137.81</v>
      </c>
    </row>
    <row r="26562" spans="1:4" x14ac:dyDescent="0.25">
      <c r="A26562" t="str">
        <f>HYPERLINK("https://www.773grp.com/globalSearch/TPA741EVM/page-1", "TPA741EVM")</f>
        <v>TPA741EVM</v>
      </c>
      <c r="B26562" s="3" t="s">
        <v>90</v>
      </c>
      <c r="C26562" s="5">
        <v>1</v>
      </c>
      <c r="D26562" s="6">
        <v>137.81</v>
      </c>
    </row>
    <row r="26563" spans="1:4" x14ac:dyDescent="0.25">
      <c r="A26563" t="str">
        <f>HYPERLINK("https://www.773grp.com/globalSearch/TPD4S014EVM/page-1", "TPD4S014EVM")</f>
        <v>TPD4S014EVM</v>
      </c>
      <c r="B26563" s="3" t="s">
        <v>90</v>
      </c>
      <c r="C26563" s="5">
        <v>6</v>
      </c>
      <c r="D26563" s="6">
        <v>137.81</v>
      </c>
    </row>
    <row r="26564" spans="1:4" x14ac:dyDescent="0.25">
      <c r="A26564" t="str">
        <f>HYPERLINK("https://www.773grp.com/globalSearch/TPS2041BEVM/page-1", "TPS2041BEVM")</f>
        <v>TPS2041BEVM</v>
      </c>
      <c r="B26564" s="3" t="s">
        <v>90</v>
      </c>
      <c r="C26564" s="5">
        <v>1</v>
      </c>
      <c r="D26564" s="6">
        <v>137.81</v>
      </c>
    </row>
    <row r="26565" spans="1:4" x14ac:dyDescent="0.25">
      <c r="A26565" t="str">
        <f>HYPERLINK("https://www.773grp.com/globalSearch/TPS2041BEVM-292/page-1", "TPS2041BEVM-292")</f>
        <v>TPS2041BEVM-292</v>
      </c>
      <c r="B26565" s="3" t="s">
        <v>90</v>
      </c>
      <c r="C26565" s="5">
        <v>1</v>
      </c>
      <c r="D26565" s="6">
        <v>137.81</v>
      </c>
    </row>
    <row r="26566" spans="1:4" x14ac:dyDescent="0.25">
      <c r="A26566" t="str">
        <f>HYPERLINK("https://www.773grp.com/globalSearch/TPS2111EVM/page-1", "TPS2111EVM")</f>
        <v>TPS2111EVM</v>
      </c>
      <c r="B26566" s="3" t="s">
        <v>90</v>
      </c>
      <c r="C26566" s="5">
        <v>1</v>
      </c>
      <c r="D26566" s="6">
        <v>137.81</v>
      </c>
    </row>
    <row r="26567" spans="1:4" x14ac:dyDescent="0.25">
      <c r="A26567" t="str">
        <f>HYPERLINK("https://www.773grp.com/globalSearch/TPS2113EVM/page-1", "TPS2113EVM")</f>
        <v>TPS2113EVM</v>
      </c>
      <c r="B26567" s="3" t="s">
        <v>90</v>
      </c>
      <c r="C26567" s="5">
        <v>1</v>
      </c>
      <c r="D26567" s="6">
        <v>137.81</v>
      </c>
    </row>
    <row r="26568" spans="1:4" x14ac:dyDescent="0.25">
      <c r="A26568" t="str">
        <f>HYPERLINK("https://www.773grp.com/globalSearch/TPS2115EVM/page-1", "TPS2115EVM")</f>
        <v>TPS2115EVM</v>
      </c>
      <c r="B26568" s="3" t="s">
        <v>90</v>
      </c>
      <c r="C26568" s="5">
        <v>1</v>
      </c>
      <c r="D26568" s="6">
        <v>137.81</v>
      </c>
    </row>
    <row r="26569" spans="1:4" x14ac:dyDescent="0.25">
      <c r="A26569" t="str">
        <f>HYPERLINK("https://www.773grp.com/globalSearch/TPS2231EVM/page-1", "TPS2231EVM")</f>
        <v>TPS2231EVM</v>
      </c>
      <c r="B26569" s="3" t="s">
        <v>90</v>
      </c>
      <c r="C26569" s="5">
        <v>1</v>
      </c>
      <c r="D26569" s="6">
        <v>137.81</v>
      </c>
    </row>
    <row r="26570" spans="1:4" x14ac:dyDescent="0.25">
      <c r="A26570" t="str">
        <f>HYPERLINK("https://www.773grp.com/globalSearch/TPS2301EVM-153/page-1", "TPS2301EVM-153")</f>
        <v>TPS2301EVM-153</v>
      </c>
      <c r="B26570" s="3" t="s">
        <v>90</v>
      </c>
      <c r="C26570" s="5">
        <v>1</v>
      </c>
      <c r="D26570" s="6">
        <v>137.81</v>
      </c>
    </row>
    <row r="26571" spans="1:4" x14ac:dyDescent="0.25">
      <c r="A26571" t="str">
        <f>HYPERLINK("https://www.773grp.com/globalSearch/TPS2350EVM/page-1", "TPS2350EVM")</f>
        <v>TPS2350EVM</v>
      </c>
      <c r="B26571" s="3" t="s">
        <v>90</v>
      </c>
      <c r="C26571" s="5">
        <v>2</v>
      </c>
      <c r="D26571" s="6">
        <v>137.81</v>
      </c>
    </row>
    <row r="26572" spans="1:4" x14ac:dyDescent="0.25">
      <c r="A26572" t="str">
        <f>HYPERLINK("https://www.773grp.com/globalSearch/TPS2358EVM/page-1", "TPS2358EVM")</f>
        <v>TPS2358EVM</v>
      </c>
      <c r="B26572" s="3" t="s">
        <v>90</v>
      </c>
      <c r="C26572" s="5">
        <v>11</v>
      </c>
      <c r="D26572" s="6">
        <v>137.81</v>
      </c>
    </row>
    <row r="26573" spans="1:4" x14ac:dyDescent="0.25">
      <c r="A26573" t="str">
        <f>HYPERLINK("https://www.773grp.com/globalSearch/TPS23750EVM-108/page-1", "TPS23750EVM-108")</f>
        <v>TPS23750EVM-108</v>
      </c>
      <c r="B26573" s="3" t="s">
        <v>90</v>
      </c>
      <c r="C26573" s="5">
        <v>6</v>
      </c>
      <c r="D26573" s="6">
        <v>137.81</v>
      </c>
    </row>
    <row r="26574" spans="1:4" x14ac:dyDescent="0.25">
      <c r="A26574" t="str">
        <f>HYPERLINK("https://www.773grp.com/globalSearch/TPS23757EVM/page-1", "TPS23757EVM")</f>
        <v>TPS23757EVM</v>
      </c>
      <c r="B26574" s="3" t="s">
        <v>90</v>
      </c>
      <c r="C26574" s="5">
        <v>5</v>
      </c>
      <c r="D26574" s="6">
        <v>137.81</v>
      </c>
    </row>
    <row r="26575" spans="1:4" x14ac:dyDescent="0.25">
      <c r="A26575" t="str">
        <f>HYPERLINK("https://www.773grp.com/globalSearch/TPS2376HEVM/page-1", "TPS2376HEVM")</f>
        <v>TPS2376HEVM</v>
      </c>
      <c r="B26575" s="3" t="s">
        <v>90</v>
      </c>
      <c r="C26575" s="5">
        <v>1</v>
      </c>
      <c r="D26575" s="6">
        <v>137.81</v>
      </c>
    </row>
    <row r="26576" spans="1:4" x14ac:dyDescent="0.25">
      <c r="A26576" t="str">
        <f>HYPERLINK("https://www.773grp.com/globalSearch/TPS2390EVM/page-1", "TPS2390EVM")</f>
        <v>TPS2390EVM</v>
      </c>
      <c r="B26576" s="3" t="s">
        <v>90</v>
      </c>
      <c r="C26576" s="5">
        <v>1</v>
      </c>
      <c r="D26576" s="6">
        <v>137.81</v>
      </c>
    </row>
    <row r="26577" spans="1:4" x14ac:dyDescent="0.25">
      <c r="A26577" t="str">
        <f>HYPERLINK("https://www.773grp.com/globalSearch/TPS2391EVM/page-1", "TPS2391EVM")</f>
        <v>TPS2391EVM</v>
      </c>
      <c r="B26577" s="3" t="s">
        <v>90</v>
      </c>
      <c r="C26577" s="5">
        <v>1</v>
      </c>
      <c r="D26577" s="6">
        <v>137.81</v>
      </c>
    </row>
    <row r="26578" spans="1:4" x14ac:dyDescent="0.25">
      <c r="A26578" t="str">
        <f>HYPERLINK("https://www.773grp.com/globalSearch/TPS2392EVM/page-1", "TPS2392EVM")</f>
        <v>TPS2392EVM</v>
      </c>
      <c r="B26578" s="3" t="s">
        <v>90</v>
      </c>
      <c r="C26578" s="5">
        <v>1</v>
      </c>
      <c r="D26578" s="6">
        <v>137.81</v>
      </c>
    </row>
    <row r="26579" spans="1:4" x14ac:dyDescent="0.25">
      <c r="A26579" t="str">
        <f>HYPERLINK("https://www.773grp.com/globalSearch/TPS2393EVM/page-1", "TPS2393EVM")</f>
        <v>TPS2393EVM</v>
      </c>
      <c r="B26579" s="3" t="s">
        <v>90</v>
      </c>
      <c r="C26579" s="5">
        <v>2</v>
      </c>
      <c r="D26579" s="6">
        <v>137.81</v>
      </c>
    </row>
    <row r="26580" spans="1:4" x14ac:dyDescent="0.25">
      <c r="A26580" t="str">
        <f>HYPERLINK("https://www.773grp.com/globalSearch/TPS2398EVM/page-1", "TPS2398EVM")</f>
        <v>TPS2398EVM</v>
      </c>
      <c r="B26580" s="3" t="s">
        <v>90</v>
      </c>
      <c r="C26580" s="5">
        <v>1</v>
      </c>
      <c r="D26580" s="6">
        <v>137.81</v>
      </c>
    </row>
    <row r="26581" spans="1:4" x14ac:dyDescent="0.25">
      <c r="A26581" t="str">
        <f>HYPERLINK("https://www.773grp.com/globalSearch/TPS2399EVM/page-1", "TPS2399EVM")</f>
        <v>TPS2399EVM</v>
      </c>
      <c r="B26581" s="3" t="s">
        <v>90</v>
      </c>
      <c r="C26581" s="5">
        <v>1</v>
      </c>
      <c r="D26581" s="6">
        <v>137.81</v>
      </c>
    </row>
    <row r="26582" spans="1:4" x14ac:dyDescent="0.25">
      <c r="A26582" t="str">
        <f>HYPERLINK("https://www.773grp.com/globalSearch/TPS2411EVM/page-1", "TPS2411EVM")</f>
        <v>TPS2411EVM</v>
      </c>
      <c r="B26582" s="3" t="s">
        <v>90</v>
      </c>
      <c r="C26582" s="5">
        <v>2</v>
      </c>
      <c r="D26582" s="6">
        <v>137.81</v>
      </c>
    </row>
    <row r="26583" spans="1:4" x14ac:dyDescent="0.25">
      <c r="A26583" t="str">
        <f>HYPERLINK("https://www.773grp.com/globalSearch/TPS2412EVM/page-1", "TPS2412EVM")</f>
        <v>TPS2412EVM</v>
      </c>
      <c r="B26583" s="3" t="s">
        <v>90</v>
      </c>
      <c r="C26583" s="5">
        <v>1</v>
      </c>
      <c r="D26583" s="6">
        <v>137.81</v>
      </c>
    </row>
    <row r="26584" spans="1:4" x14ac:dyDescent="0.25">
      <c r="A26584" t="str">
        <f>HYPERLINK("https://www.773grp.com/globalSearch/TPS2421-2EVM-03/page-1", "TPS2421-2EVM-03")</f>
        <v>TPS2421-2EVM-03</v>
      </c>
      <c r="B26584" s="3" t="s">
        <v>90</v>
      </c>
      <c r="C26584" s="5">
        <v>4</v>
      </c>
      <c r="D26584" s="6">
        <v>137.81</v>
      </c>
    </row>
    <row r="26585" spans="1:4" x14ac:dyDescent="0.25">
      <c r="A26585" t="str">
        <f>HYPERLINK("https://www.773grp.com/globalSearch/TPS24700EVM-001/page-1", "TPS24700EVM-001")</f>
        <v>TPS24700EVM-001</v>
      </c>
      <c r="B26585" s="3" t="s">
        <v>90</v>
      </c>
      <c r="C26585" s="5">
        <v>2</v>
      </c>
      <c r="D26585" s="6">
        <v>137.81</v>
      </c>
    </row>
    <row r="26586" spans="1:4" x14ac:dyDescent="0.25">
      <c r="A26586" t="str">
        <f>HYPERLINK("https://www.773grp.com/globalSearch/TPS2490EVM-001/page-1", "TPS2490EVM-001")</f>
        <v>TPS2490EVM-001</v>
      </c>
      <c r="B26586" s="3" t="s">
        <v>90</v>
      </c>
      <c r="C26586" s="5">
        <v>1</v>
      </c>
      <c r="D26586" s="6">
        <v>137.81</v>
      </c>
    </row>
    <row r="26587" spans="1:4" x14ac:dyDescent="0.25">
      <c r="A26587" t="str">
        <f>HYPERLINK("https://www.773grp.com/globalSearch/TPS2501EVM-337/page-1", "TPS2501EVM-337")</f>
        <v>TPS2501EVM-337</v>
      </c>
      <c r="B26587" s="3" t="s">
        <v>90</v>
      </c>
      <c r="C26587" s="5">
        <v>4</v>
      </c>
      <c r="D26587" s="6">
        <v>137.81</v>
      </c>
    </row>
    <row r="26588" spans="1:4" x14ac:dyDescent="0.25">
      <c r="A26588" t="str">
        <f>HYPERLINK("https://www.773grp.com/globalSearch/TPS2560DRCEVM-424/page-1", "TPS2560DRCEVM-424")</f>
        <v>TPS2560DRCEVM-424</v>
      </c>
      <c r="B26588" s="3" t="s">
        <v>90</v>
      </c>
      <c r="C26588" s="5">
        <v>2</v>
      </c>
      <c r="D26588" s="6">
        <v>137.81</v>
      </c>
    </row>
    <row r="26589" spans="1:4" x14ac:dyDescent="0.25">
      <c r="A26589" t="str">
        <f>HYPERLINK("https://www.773grp.com/globalSearch/TPS2561DRCEVM-424/page-1", "TPS2561DRCEVM-424")</f>
        <v>TPS2561DRCEVM-424</v>
      </c>
      <c r="B26589" s="3" t="s">
        <v>90</v>
      </c>
      <c r="C26589" s="5">
        <v>2</v>
      </c>
      <c r="D26589" s="6">
        <v>137.81</v>
      </c>
    </row>
    <row r="26590" spans="1:4" x14ac:dyDescent="0.25">
      <c r="A26590" t="str">
        <f>HYPERLINK("https://www.773grp.com/globalSearch/TPS2590EVM/page-1", "TPS2590EVM")</f>
        <v>TPS2590EVM</v>
      </c>
      <c r="B26590" s="3" t="s">
        <v>90</v>
      </c>
      <c r="C26590" s="5">
        <v>2</v>
      </c>
      <c r="D26590" s="6">
        <v>137.81</v>
      </c>
    </row>
    <row r="26591" spans="1:4" x14ac:dyDescent="0.25">
      <c r="A26591" t="str">
        <f>HYPERLINK("https://www.773grp.com/globalSearch/TPS386000EVM/page-1", "TPS386000EVM")</f>
        <v>TPS386000EVM</v>
      </c>
      <c r="B26591" s="3" t="s">
        <v>90</v>
      </c>
      <c r="C26591" s="5">
        <v>4</v>
      </c>
      <c r="D26591" s="6">
        <v>137.81</v>
      </c>
    </row>
    <row r="26592" spans="1:4" x14ac:dyDescent="0.25">
      <c r="A26592" t="str">
        <f>HYPERLINK("https://www.773grp.com/globalSearch/TPS386040EVM/page-1", "TPS386040EVM")</f>
        <v>TPS386040EVM</v>
      </c>
      <c r="B26592" s="3" t="s">
        <v>90</v>
      </c>
      <c r="C26592" s="5">
        <v>6</v>
      </c>
      <c r="D26592" s="6">
        <v>137.81</v>
      </c>
    </row>
    <row r="26593" spans="1:4" x14ac:dyDescent="0.25">
      <c r="A26593" t="str">
        <f>HYPERLINK("https://www.773grp.com/globalSearch/TPS40007EVM-001/page-1", "TPS40007EVM-001")</f>
        <v>TPS40007EVM-001</v>
      </c>
      <c r="B26593" s="3" t="s">
        <v>90</v>
      </c>
      <c r="C26593" s="5">
        <v>2</v>
      </c>
      <c r="D26593" s="6">
        <v>137.81</v>
      </c>
    </row>
    <row r="26594" spans="1:4" x14ac:dyDescent="0.25">
      <c r="A26594" t="str">
        <f>HYPERLINK("https://www.773grp.com/globalSearch/TPS40009EVM-001/page-1", "TPS40009EVM-001")</f>
        <v>TPS40009EVM-001</v>
      </c>
      <c r="B26594" s="3" t="s">
        <v>90</v>
      </c>
      <c r="C26594" s="5">
        <v>5</v>
      </c>
      <c r="D26594" s="6">
        <v>137.81</v>
      </c>
    </row>
    <row r="26595" spans="1:4" x14ac:dyDescent="0.25">
      <c r="A26595" t="str">
        <f>HYPERLINK("https://www.773grp.com/globalSearch/TPS40021EVM-001/page-1", "TPS40021EVM-001")</f>
        <v>TPS40021EVM-001</v>
      </c>
      <c r="B26595" s="3" t="s">
        <v>90</v>
      </c>
      <c r="C26595" s="5">
        <v>1</v>
      </c>
      <c r="D26595" s="6">
        <v>137.81</v>
      </c>
    </row>
    <row r="26596" spans="1:4" x14ac:dyDescent="0.25">
      <c r="A26596" t="str">
        <f>HYPERLINK("https://www.773grp.com/globalSearch/TPS40041EVM-001/page-1", "TPS40041EVM-001")</f>
        <v>TPS40041EVM-001</v>
      </c>
      <c r="B26596" s="3" t="s">
        <v>90</v>
      </c>
      <c r="C26596" s="5">
        <v>1</v>
      </c>
      <c r="D26596" s="6">
        <v>137.81</v>
      </c>
    </row>
    <row r="26597" spans="1:4" x14ac:dyDescent="0.25">
      <c r="A26597" t="str">
        <f>HYPERLINK("https://www.773grp.com/globalSearch/TPS40055EVM-001/page-1", "TPS40055EVM-001")</f>
        <v>TPS40055EVM-001</v>
      </c>
      <c r="B26597" s="3" t="s">
        <v>90</v>
      </c>
      <c r="C26597" s="5">
        <v>5</v>
      </c>
      <c r="D26597" s="6">
        <v>137.81</v>
      </c>
    </row>
    <row r="26598" spans="1:4" x14ac:dyDescent="0.25">
      <c r="A26598" t="str">
        <f>HYPERLINK("https://www.773grp.com/globalSearch/TPS40060EVM/page-1", "TPS40060EVM")</f>
        <v>TPS40060EVM</v>
      </c>
      <c r="B26598" s="3" t="s">
        <v>90</v>
      </c>
      <c r="C26598" s="5">
        <v>2</v>
      </c>
      <c r="D26598" s="6">
        <v>137.81</v>
      </c>
    </row>
    <row r="26599" spans="1:4" x14ac:dyDescent="0.25">
      <c r="A26599" t="str">
        <f>HYPERLINK("https://www.773grp.com/globalSearch/TPS40075EVM-001/page-1", "TPS40075EVM-001")</f>
        <v>TPS40075EVM-001</v>
      </c>
      <c r="B26599" s="3" t="s">
        <v>90</v>
      </c>
      <c r="C26599" s="5">
        <v>1</v>
      </c>
      <c r="D26599" s="6">
        <v>137.81</v>
      </c>
    </row>
    <row r="26600" spans="1:4" x14ac:dyDescent="0.25">
      <c r="A26600" t="str">
        <f>HYPERLINK("https://www.773grp.com/globalSearch/TPS40077EVM-001/page-1", "TPS40077EVM-001")</f>
        <v>TPS40077EVM-001</v>
      </c>
      <c r="B26600" s="3" t="s">
        <v>90</v>
      </c>
      <c r="C26600" s="5">
        <v>2</v>
      </c>
      <c r="D26600" s="6">
        <v>137.81</v>
      </c>
    </row>
    <row r="26601" spans="1:4" x14ac:dyDescent="0.25">
      <c r="A26601" t="str">
        <f>HYPERLINK("https://www.773grp.com/globalSearch/TPS40090EVM-001/page-1", "TPS40090EVM-001")</f>
        <v>TPS40090EVM-001</v>
      </c>
      <c r="B26601" s="3" t="s">
        <v>90</v>
      </c>
      <c r="C26601" s="5">
        <v>2</v>
      </c>
      <c r="D26601" s="6">
        <v>137.81</v>
      </c>
    </row>
    <row r="26602" spans="1:4" x14ac:dyDescent="0.25">
      <c r="A26602" t="str">
        <f>HYPERLINK("https://www.773grp.com/globalSearch/TPS40100EVM-001/page-1", "TPS40100EVM-001")</f>
        <v>TPS40100EVM-001</v>
      </c>
      <c r="B26602" s="3" t="s">
        <v>90</v>
      </c>
      <c r="C26602" s="5">
        <v>4</v>
      </c>
      <c r="D26602" s="6">
        <v>137.81</v>
      </c>
    </row>
    <row r="26603" spans="1:4" x14ac:dyDescent="0.25">
      <c r="A26603" t="str">
        <f>HYPERLINK("https://www.773grp.com/globalSearch/TPS40140EVM-002/page-1", "TPS40140EVM-002")</f>
        <v>TPS40140EVM-002</v>
      </c>
      <c r="B26603" s="3" t="s">
        <v>90</v>
      </c>
      <c r="C26603" s="5">
        <v>2</v>
      </c>
      <c r="D26603" s="6">
        <v>137.81</v>
      </c>
    </row>
    <row r="26604" spans="1:4" x14ac:dyDescent="0.25">
      <c r="A26604" t="str">
        <f>HYPERLINK("https://www.773grp.com/globalSearch/TPS40190EVM-001/page-1", "TPS40190EVM-001")</f>
        <v>TPS40190EVM-001</v>
      </c>
      <c r="B26604" s="3" t="s">
        <v>90</v>
      </c>
      <c r="C26604" s="5">
        <v>2</v>
      </c>
      <c r="D26604" s="6">
        <v>137.81</v>
      </c>
    </row>
    <row r="26605" spans="1:4" x14ac:dyDescent="0.25">
      <c r="A26605" t="str">
        <f>HYPERLINK("https://www.773grp.com/globalSearch/TPS40192EVM-525/page-1", "TPS40192EVM-525")</f>
        <v>TPS40192EVM-525</v>
      </c>
      <c r="B26605" s="3" t="s">
        <v>90</v>
      </c>
      <c r="C26605" s="5">
        <v>1</v>
      </c>
      <c r="D26605" s="6">
        <v>137.81</v>
      </c>
    </row>
    <row r="26606" spans="1:4" x14ac:dyDescent="0.25">
      <c r="A26606" t="str">
        <f>HYPERLINK("https://www.773grp.com/globalSearch/TPS40195EVM-001/page-1", "TPS40195EVM-001")</f>
        <v>TPS40195EVM-001</v>
      </c>
      <c r="B26606" s="3" t="s">
        <v>90</v>
      </c>
      <c r="C26606" s="5">
        <v>2</v>
      </c>
      <c r="D26606" s="6">
        <v>137.81</v>
      </c>
    </row>
    <row r="26607" spans="1:4" x14ac:dyDescent="0.25">
      <c r="A26607" t="str">
        <f>HYPERLINK("https://www.773grp.com/globalSearch/TPS40304EVM-353/page-1", "TPS40304EVM-353")</f>
        <v>TPS40304EVM-353</v>
      </c>
      <c r="B26607" s="3" t="s">
        <v>90</v>
      </c>
      <c r="C26607" s="5">
        <v>2</v>
      </c>
      <c r="D26607" s="6">
        <v>137.81</v>
      </c>
    </row>
    <row r="26608" spans="1:4" x14ac:dyDescent="0.25">
      <c r="A26608" t="str">
        <f>HYPERLINK("https://www.773grp.com/globalSearch/TPS40400EVM-351/page-1", "TPS40400EVM-351")</f>
        <v>TPS40400EVM-351</v>
      </c>
      <c r="B26608" s="3" t="s">
        <v>90</v>
      </c>
      <c r="C26608" s="5">
        <v>8</v>
      </c>
      <c r="D26608" s="6">
        <v>137.81</v>
      </c>
    </row>
    <row r="26609" spans="1:4" x14ac:dyDescent="0.25">
      <c r="A26609" t="str">
        <f>HYPERLINK("https://www.773grp.com/globalSearch/TPS43061EVM-198/page-1", "TPS43061EVM-198")</f>
        <v>TPS43061EVM-198</v>
      </c>
      <c r="B26609" s="3" t="s">
        <v>90</v>
      </c>
      <c r="C26609" s="5">
        <v>5</v>
      </c>
      <c r="D26609" s="6">
        <v>137.81</v>
      </c>
    </row>
    <row r="26610" spans="1:4" x14ac:dyDescent="0.25">
      <c r="A26610" t="str">
        <f>HYPERLINK("https://www.773grp.com/globalSearch/TPS51020EVM-001/page-1", "TPS51020EVM-001")</f>
        <v>TPS51020EVM-001</v>
      </c>
      <c r="B26610" s="3" t="s">
        <v>90</v>
      </c>
      <c r="C26610" s="5">
        <v>1</v>
      </c>
      <c r="D26610" s="6">
        <v>137.81</v>
      </c>
    </row>
    <row r="26611" spans="1:4" x14ac:dyDescent="0.25">
      <c r="A26611" t="str">
        <f>HYPERLINK("https://www.773grp.com/globalSearch/TPS5103EVM-136/page-1", "TPS5103EVM-136")</f>
        <v>TPS5103EVM-136</v>
      </c>
      <c r="B26611" s="3" t="s">
        <v>90</v>
      </c>
      <c r="C26611" s="5">
        <v>4</v>
      </c>
      <c r="D26611" s="6">
        <v>137.81</v>
      </c>
    </row>
    <row r="26612" spans="1:4" x14ac:dyDescent="0.25">
      <c r="A26612" t="str">
        <f>HYPERLINK("https://www.773grp.com/globalSearch/TPS51124EVM-001/page-1", "TPS51124EVM-001")</f>
        <v>TPS51124EVM-001</v>
      </c>
      <c r="B26612" s="3" t="s">
        <v>90</v>
      </c>
      <c r="C26612" s="5">
        <v>4</v>
      </c>
      <c r="D26612" s="6">
        <v>137.81</v>
      </c>
    </row>
    <row r="26613" spans="1:4" x14ac:dyDescent="0.25">
      <c r="A26613" t="str">
        <f>HYPERLINK("https://www.773grp.com/globalSearch/TPS51163EVM/page-1", "TPS51163EVM")</f>
        <v>TPS51163EVM</v>
      </c>
      <c r="B26613" s="3" t="s">
        <v>90</v>
      </c>
      <c r="C26613" s="5">
        <v>4</v>
      </c>
      <c r="D26613" s="6">
        <v>137.81</v>
      </c>
    </row>
    <row r="26614" spans="1:4" x14ac:dyDescent="0.25">
      <c r="A26614" t="str">
        <f>HYPERLINK("https://www.773grp.com/globalSearch/TPS51200EVM/page-1", "TPS51200EVM")</f>
        <v>TPS51200EVM</v>
      </c>
      <c r="B26614" s="3" t="s">
        <v>90</v>
      </c>
      <c r="C26614" s="5">
        <v>1</v>
      </c>
      <c r="D26614" s="6">
        <v>137.81</v>
      </c>
    </row>
    <row r="26615" spans="1:4" x14ac:dyDescent="0.25">
      <c r="A26615" t="str">
        <f>HYPERLINK("https://www.773grp.com/globalSearch/TPS51206EVM-745/page-1", "TPS51206EVM-745")</f>
        <v>TPS51206EVM-745</v>
      </c>
      <c r="B26615" s="3" t="s">
        <v>90</v>
      </c>
      <c r="C26615" s="5">
        <v>2</v>
      </c>
      <c r="D26615" s="6">
        <v>137.81</v>
      </c>
    </row>
    <row r="26616" spans="1:4" x14ac:dyDescent="0.25">
      <c r="A26616" t="str">
        <f>HYPERLINK("https://www.773grp.com/globalSearch/TPS51218EVM-496/page-1", "TPS51218EVM-496")</f>
        <v>TPS51218EVM-496</v>
      </c>
      <c r="B26616" s="3" t="s">
        <v>90</v>
      </c>
      <c r="C26616" s="5">
        <v>9</v>
      </c>
      <c r="D26616" s="6">
        <v>137.81</v>
      </c>
    </row>
    <row r="26617" spans="1:4" x14ac:dyDescent="0.25">
      <c r="A26617" t="str">
        <f>HYPERLINK("https://www.773grp.com/globalSearch/TPS51220EVM/page-1", "TPS51220EVM")</f>
        <v>TPS51220EVM</v>
      </c>
      <c r="B26617" s="3" t="s">
        <v>90</v>
      </c>
      <c r="C26617" s="5">
        <v>6</v>
      </c>
      <c r="D26617" s="6">
        <v>137.81</v>
      </c>
    </row>
    <row r="26618" spans="1:4" x14ac:dyDescent="0.25">
      <c r="A26618" t="str">
        <f>HYPERLINK("https://www.773grp.com/globalSearch/TPS51513EVM-549/page-1", "TPS51513EVM-549")</f>
        <v>TPS51513EVM-549</v>
      </c>
      <c r="B26618" s="3" t="s">
        <v>90</v>
      </c>
      <c r="C26618" s="5">
        <v>19</v>
      </c>
      <c r="D26618" s="6">
        <v>137.81</v>
      </c>
    </row>
    <row r="26619" spans="1:4" x14ac:dyDescent="0.25">
      <c r="A26619" t="str">
        <f>HYPERLINK("https://www.773grp.com/globalSearch/TPS53355EVM-743/page-1", "TPS53355EVM-743")</f>
        <v>TPS53355EVM-743</v>
      </c>
      <c r="B26619" s="3" t="s">
        <v>90</v>
      </c>
      <c r="C26619" s="5">
        <v>2</v>
      </c>
      <c r="D26619" s="6">
        <v>137.81</v>
      </c>
    </row>
    <row r="26620" spans="1:4" x14ac:dyDescent="0.25">
      <c r="A26620" t="str">
        <f>HYPERLINK("https://www.773grp.com/globalSearch/TPS54073EVM-098/page-1", "TPS54073EVM-098")</f>
        <v>TPS54073EVM-098</v>
      </c>
      <c r="B26620" s="3" t="s">
        <v>90</v>
      </c>
      <c r="C26620" s="5">
        <v>2</v>
      </c>
      <c r="D26620" s="6">
        <v>137.81</v>
      </c>
    </row>
    <row r="26621" spans="1:4" x14ac:dyDescent="0.25">
      <c r="A26621" t="str">
        <f>HYPERLINK("https://www.773grp.com/globalSearch/TPS54160EVM-535/page-1", "TPS54160EVM-535")</f>
        <v>TPS54160EVM-535</v>
      </c>
      <c r="B26621" s="3" t="s">
        <v>90</v>
      </c>
      <c r="C26621" s="5">
        <v>16</v>
      </c>
      <c r="D26621" s="6">
        <v>137.81</v>
      </c>
    </row>
    <row r="26622" spans="1:4" x14ac:dyDescent="0.25">
      <c r="A26622" t="str">
        <f>HYPERLINK("https://www.773grp.com/globalSearch/TPS54162EVM/page-1", "TPS54162EVM")</f>
        <v>TPS54162EVM</v>
      </c>
      <c r="B26622" s="3" t="s">
        <v>90</v>
      </c>
      <c r="C26622" s="5">
        <v>4</v>
      </c>
      <c r="D26622" s="6">
        <v>137.81</v>
      </c>
    </row>
    <row r="26623" spans="1:4" x14ac:dyDescent="0.25">
      <c r="A26623" t="str">
        <f>HYPERLINK("https://www.773grp.com/globalSearch/TPS54262EVM/page-1", "TPS54262EVM")</f>
        <v>TPS54262EVM</v>
      </c>
      <c r="B26623" s="3" t="s">
        <v>90</v>
      </c>
      <c r="C26623" s="5">
        <v>2</v>
      </c>
      <c r="D26623" s="6">
        <v>137.81</v>
      </c>
    </row>
    <row r="26624" spans="1:4" x14ac:dyDescent="0.25">
      <c r="A26624" t="str">
        <f>HYPERLINK("https://www.773grp.com/globalSearch/TPS54291EVM-431/page-1", "TPS54291EVM-431")</f>
        <v>TPS54291EVM-431</v>
      </c>
      <c r="B26624" s="3" t="s">
        <v>90</v>
      </c>
      <c r="C26624" s="5">
        <v>1</v>
      </c>
      <c r="D26624" s="6">
        <v>137.81</v>
      </c>
    </row>
    <row r="26625" spans="1:4" x14ac:dyDescent="0.25">
      <c r="A26625" t="str">
        <f>HYPERLINK("https://www.773grp.com/globalSearch/TPS54383EVM/page-1", "TPS54383EVM")</f>
        <v>TPS54383EVM</v>
      </c>
      <c r="B26625" s="3" t="s">
        <v>90</v>
      </c>
      <c r="C26625" s="5">
        <v>2</v>
      </c>
      <c r="D26625" s="6">
        <v>137.81</v>
      </c>
    </row>
    <row r="26626" spans="1:4" x14ac:dyDescent="0.25">
      <c r="A26626" t="str">
        <f>HYPERLINK("https://www.773grp.com/globalSearch/TPS54680EVM/page-1", "TPS54680EVM")</f>
        <v>TPS54680EVM</v>
      </c>
      <c r="B26626" s="3" t="s">
        <v>90</v>
      </c>
      <c r="C26626" s="5">
        <v>1</v>
      </c>
      <c r="D26626" s="6">
        <v>137.81</v>
      </c>
    </row>
    <row r="26627" spans="1:4" x14ac:dyDescent="0.25">
      <c r="A26627" t="str">
        <f>HYPERLINK("https://www.773grp.com/globalSearch/TPS55065EVM/page-1", "TPS55065EVM")</f>
        <v>TPS55065EVM</v>
      </c>
      <c r="B26627" s="3" t="s">
        <v>90</v>
      </c>
      <c r="C26627" s="5">
        <v>2</v>
      </c>
      <c r="D26627" s="6">
        <v>137.81</v>
      </c>
    </row>
    <row r="26628" spans="1:4" x14ac:dyDescent="0.25">
      <c r="A26628" t="str">
        <f>HYPERLINK("https://www.773grp.com/globalSearch/TPS56302EVM-163/page-1", "TPS56302EVM-163")</f>
        <v>TPS56302EVM-163</v>
      </c>
      <c r="B26628" s="3" t="s">
        <v>90</v>
      </c>
      <c r="C26628" s="5">
        <v>1</v>
      </c>
      <c r="D26628" s="6">
        <v>137.81</v>
      </c>
    </row>
    <row r="26629" spans="1:4" x14ac:dyDescent="0.25">
      <c r="A26629" t="str">
        <f>HYPERLINK("https://www.773grp.com/globalSearch/TPS60100EVM-131/page-1", "TPS60100EVM-131")</f>
        <v>TPS60100EVM-131</v>
      </c>
      <c r="B26629" s="3" t="s">
        <v>90</v>
      </c>
      <c r="C26629" s="5">
        <v>2</v>
      </c>
      <c r="D26629" s="6">
        <v>137.81</v>
      </c>
    </row>
    <row r="26630" spans="1:4" x14ac:dyDescent="0.25">
      <c r="A26630" t="str">
        <f>HYPERLINK("https://www.773grp.com/globalSearch/TPS60130EVM-143/page-1", "TPS60130EVM-143")</f>
        <v>TPS60130EVM-143</v>
      </c>
      <c r="B26630" s="3" t="s">
        <v>90</v>
      </c>
      <c r="C26630" s="5">
        <v>5</v>
      </c>
      <c r="D26630" s="6">
        <v>137.81</v>
      </c>
    </row>
    <row r="26631" spans="1:4" x14ac:dyDescent="0.25">
      <c r="A26631" t="str">
        <f>HYPERLINK("https://www.773grp.com/globalSearch/TPS60200EVM-145/page-1", "TPS60200EVM-145")</f>
        <v>TPS60200EVM-145</v>
      </c>
      <c r="B26631" s="3" t="s">
        <v>90</v>
      </c>
      <c r="C26631" s="5">
        <v>1</v>
      </c>
      <c r="D26631" s="6">
        <v>137.81</v>
      </c>
    </row>
    <row r="26632" spans="1:4" x14ac:dyDescent="0.25">
      <c r="A26632" t="str">
        <f>HYPERLINK("https://www.773grp.com/globalSearch/TPS60230EVM-047/page-1", "TPS60230EVM-047")</f>
        <v>TPS60230EVM-047</v>
      </c>
      <c r="B26632" s="3" t="s">
        <v>90</v>
      </c>
      <c r="C26632" s="5">
        <v>1</v>
      </c>
      <c r="D26632" s="6">
        <v>137.81</v>
      </c>
    </row>
    <row r="26633" spans="1:4" x14ac:dyDescent="0.25">
      <c r="A26633" t="str">
        <f>HYPERLINK("https://www.773grp.com/globalSearch/TPS60231EVM-047/page-1", "TPS60231EVM-047")</f>
        <v>TPS60231EVM-047</v>
      </c>
      <c r="B26633" s="3" t="s">
        <v>90</v>
      </c>
      <c r="C26633" s="5">
        <v>2</v>
      </c>
      <c r="D26633" s="6">
        <v>137.81</v>
      </c>
    </row>
    <row r="26634" spans="1:4" x14ac:dyDescent="0.25">
      <c r="A26634" t="str">
        <f>HYPERLINK("https://www.773grp.com/globalSearch/TPS60302EVM-170/page-1", "TPS60302EVM-170")</f>
        <v>TPS60302EVM-170</v>
      </c>
      <c r="B26634" s="3" t="s">
        <v>90</v>
      </c>
      <c r="C26634" s="5">
        <v>3</v>
      </c>
      <c r="D26634" s="6">
        <v>137.81</v>
      </c>
    </row>
    <row r="26635" spans="1:4" x14ac:dyDescent="0.25">
      <c r="A26635" t="str">
        <f>HYPERLINK("https://www.773grp.com/globalSearch/TPS61016EVM-157/page-1", "TPS61016EVM-157")</f>
        <v>TPS61016EVM-157</v>
      </c>
      <c r="B26635" s="3" t="s">
        <v>90</v>
      </c>
      <c r="C26635" s="5">
        <v>2</v>
      </c>
      <c r="D26635" s="6">
        <v>137.81</v>
      </c>
    </row>
    <row r="26636" spans="1:4" x14ac:dyDescent="0.25">
      <c r="A26636" t="str">
        <f>HYPERLINK("https://www.773grp.com/globalSearch/TPS61030EVM-208/page-1", "TPS61030EVM-208")</f>
        <v>TPS61030EVM-208</v>
      </c>
      <c r="B26636" s="3" t="s">
        <v>90</v>
      </c>
      <c r="C26636" s="5">
        <v>4</v>
      </c>
      <c r="D26636" s="6">
        <v>137.81</v>
      </c>
    </row>
    <row r="26637" spans="1:4" x14ac:dyDescent="0.25">
      <c r="A26637" t="str">
        <f>HYPERLINK("https://www.773grp.com/globalSearch/TPS61045EVM-231/page-1", "TPS61045EVM-231")</f>
        <v>TPS61045EVM-231</v>
      </c>
      <c r="B26637" s="3" t="s">
        <v>90</v>
      </c>
      <c r="C26637" s="5">
        <v>1</v>
      </c>
      <c r="D26637" s="6">
        <v>137.81</v>
      </c>
    </row>
    <row r="26638" spans="1:4" x14ac:dyDescent="0.25">
      <c r="A26638" t="str">
        <f>HYPERLINK("https://www.773grp.com/globalSearch/TPS61050EVM-269/page-1", "TPS61050EVM-269")</f>
        <v>TPS61050EVM-269</v>
      </c>
      <c r="B26638" s="3" t="s">
        <v>90</v>
      </c>
      <c r="C26638" s="5">
        <v>2</v>
      </c>
      <c r="D26638" s="6">
        <v>137.81</v>
      </c>
    </row>
    <row r="26639" spans="1:4" x14ac:dyDescent="0.25">
      <c r="A26639" t="str">
        <f>HYPERLINK("https://www.773grp.com/globalSearch/TPS61052EVM-269/page-1", "TPS61052EVM-269")</f>
        <v>TPS61052EVM-269</v>
      </c>
      <c r="B26639" s="3" t="s">
        <v>90</v>
      </c>
      <c r="C26639" s="5">
        <v>1</v>
      </c>
      <c r="D26639" s="6">
        <v>137.81</v>
      </c>
    </row>
    <row r="26640" spans="1:4" x14ac:dyDescent="0.25">
      <c r="A26640" t="str">
        <f>HYPERLINK("https://www.773grp.com/globalSearch/TPS61059EVM-141/page-1", "TPS61059EVM-141")</f>
        <v>TPS61059EVM-141</v>
      </c>
      <c r="B26640" s="3" t="s">
        <v>90</v>
      </c>
      <c r="C26640" s="5">
        <v>1</v>
      </c>
      <c r="D26640" s="6">
        <v>137.81</v>
      </c>
    </row>
    <row r="26641" spans="1:4" x14ac:dyDescent="0.25">
      <c r="A26641" t="str">
        <f>HYPERLINK("https://www.773grp.com/globalSearch/TPS61070EVM-062/page-1", "TPS61070EVM-062")</f>
        <v>TPS61070EVM-062</v>
      </c>
      <c r="B26641" s="3" t="s">
        <v>90</v>
      </c>
      <c r="C26641" s="5">
        <v>2</v>
      </c>
      <c r="D26641" s="6">
        <v>137.81</v>
      </c>
    </row>
    <row r="26642" spans="1:4" x14ac:dyDescent="0.25">
      <c r="A26642" t="str">
        <f>HYPERLINK("https://www.773grp.com/globalSearch/TPS61080EVM-147/page-1", "TPS61080EVM-147")</f>
        <v>TPS61080EVM-147</v>
      </c>
      <c r="B26642" s="3" t="s">
        <v>90</v>
      </c>
      <c r="C26642" s="5">
        <v>2</v>
      </c>
      <c r="D26642" s="6">
        <v>137.81</v>
      </c>
    </row>
    <row r="26643" spans="1:4" x14ac:dyDescent="0.25">
      <c r="A26643" t="str">
        <f>HYPERLINK("https://www.773grp.com/globalSearch/TPS61086EVM-526/page-1", "TPS61086EVM-526")</f>
        <v>TPS61086EVM-526</v>
      </c>
      <c r="B26643" s="3" t="s">
        <v>90</v>
      </c>
      <c r="C26643" s="5">
        <v>6</v>
      </c>
      <c r="D26643" s="6">
        <v>137.81</v>
      </c>
    </row>
    <row r="26644" spans="1:4" x14ac:dyDescent="0.25">
      <c r="A26644" t="str">
        <f>HYPERLINK("https://www.773grp.com/globalSearch/TPS61097-33EVM-498/page-1", "TPS61097-33EVM-498")</f>
        <v>TPS61097-33EVM-498</v>
      </c>
      <c r="B26644" s="3" t="s">
        <v>90</v>
      </c>
      <c r="C26644" s="5">
        <v>5</v>
      </c>
      <c r="D26644" s="6">
        <v>137.81</v>
      </c>
    </row>
    <row r="26645" spans="1:4" x14ac:dyDescent="0.25">
      <c r="A26645" t="str">
        <f>HYPERLINK("https://www.773grp.com/globalSearch/TPS61100EVM-216/page-1", "TPS61100EVM-216")</f>
        <v>TPS61100EVM-216</v>
      </c>
      <c r="B26645" s="3" t="s">
        <v>90</v>
      </c>
      <c r="C26645" s="5">
        <v>2</v>
      </c>
      <c r="D26645" s="6">
        <v>137.81</v>
      </c>
    </row>
    <row r="26646" spans="1:4" x14ac:dyDescent="0.25">
      <c r="A26646" t="str">
        <f>HYPERLINK("https://www.773grp.com/globalSearch/TPS61103EVM-216/page-1", "TPS61103EVM-216")</f>
        <v>TPS61103EVM-216</v>
      </c>
      <c r="B26646" s="3" t="s">
        <v>90</v>
      </c>
      <c r="C26646" s="5">
        <v>1</v>
      </c>
      <c r="D26646" s="6">
        <v>137.81</v>
      </c>
    </row>
    <row r="26647" spans="1:4" x14ac:dyDescent="0.25">
      <c r="A26647" t="str">
        <f>HYPERLINK("https://www.773grp.com/globalSearch/TPS61106EVM-216/page-1", "TPS61106EVM-216")</f>
        <v>TPS61106EVM-216</v>
      </c>
      <c r="B26647" s="3" t="s">
        <v>90</v>
      </c>
      <c r="C26647" s="5">
        <v>1</v>
      </c>
      <c r="D26647" s="6">
        <v>137.81</v>
      </c>
    </row>
    <row r="26648" spans="1:4" x14ac:dyDescent="0.25">
      <c r="A26648" t="str">
        <f>HYPERLINK("https://www.773grp.com/globalSearch/TPS61107EVM-216/page-1", "TPS61107EVM-216")</f>
        <v>TPS61107EVM-216</v>
      </c>
      <c r="B26648" s="3" t="s">
        <v>90</v>
      </c>
      <c r="C26648" s="5">
        <v>2</v>
      </c>
      <c r="D26648" s="6">
        <v>137.81</v>
      </c>
    </row>
    <row r="26649" spans="1:4" x14ac:dyDescent="0.25">
      <c r="A26649" t="str">
        <f>HYPERLINK("https://www.773grp.com/globalSearch/TPS61120EVM-205/page-1", "TPS61120EVM-205")</f>
        <v>TPS61120EVM-205</v>
      </c>
      <c r="B26649" s="3" t="str">
        <f>HYPERLINK("https://www.773grp.com/manufacturer/texas-instruments?pageNo=1", "Texas Instruments")</f>
        <v>Texas Instruments</v>
      </c>
      <c r="C26649" s="5">
        <v>2</v>
      </c>
      <c r="D26649" s="6">
        <v>137.81</v>
      </c>
    </row>
    <row r="26650" spans="1:4" x14ac:dyDescent="0.25">
      <c r="A26650" t="str">
        <f>HYPERLINK("https://www.773grp.com/globalSearch/TPS61122EVM-205/page-1", "TPS61122EVM-205")</f>
        <v>TPS61122EVM-205</v>
      </c>
      <c r="B26650" s="3" t="str">
        <f>HYPERLINK("https://www.773grp.com/manufacturer/texas-instruments?pageNo=2", "Texas Instruments")</f>
        <v>Texas Instruments</v>
      </c>
      <c r="C26650" s="5">
        <v>2</v>
      </c>
      <c r="D26650" s="6">
        <v>137.81</v>
      </c>
    </row>
    <row r="26651" spans="1:4" x14ac:dyDescent="0.25">
      <c r="A26651" t="str">
        <f>HYPERLINK("https://www.773grp.com/globalSearch/TPS61130EVM-206/page-1", "TPS61130EVM-206")</f>
        <v>TPS61130EVM-206</v>
      </c>
      <c r="B26651" s="3" t="str">
        <f>HYPERLINK("https://www.773grp.com/manufacturer/texas-instruments?pageNo=3", "Texas Instruments")</f>
        <v>Texas Instruments</v>
      </c>
      <c r="C26651" s="5">
        <v>3</v>
      </c>
      <c r="D26651" s="6">
        <v>137.81</v>
      </c>
    </row>
    <row r="26652" spans="1:4" x14ac:dyDescent="0.25">
      <c r="A26652" t="str">
        <f>HYPERLINK("https://www.773grp.com/globalSearch/TPS61140EVM-157/page-1", "TPS61140EVM-157")</f>
        <v>TPS61140EVM-157</v>
      </c>
      <c r="B26652" s="3" t="str">
        <f>HYPERLINK("https://www.773grp.com/manufacturer/texas-instruments?pageNo=4", "Texas Instruments")</f>
        <v>Texas Instruments</v>
      </c>
      <c r="C26652" s="5">
        <v>1</v>
      </c>
      <c r="D26652" s="6">
        <v>137.81</v>
      </c>
    </row>
    <row r="26653" spans="1:4" x14ac:dyDescent="0.25">
      <c r="A26653" t="str">
        <f>HYPERLINK("https://www.773grp.com/globalSearch/TPS61150AEVM-150/page-1", "TPS61150AEVM-150")</f>
        <v>TPS61150AEVM-150</v>
      </c>
      <c r="B26653" s="3" t="str">
        <f>HYPERLINK("https://www.773grp.com/manufacturer/texas-instruments?pageNo=5", "Texas Instruments")</f>
        <v>Texas Instruments</v>
      </c>
      <c r="C26653" s="5">
        <v>2</v>
      </c>
      <c r="D26653" s="6">
        <v>137.81</v>
      </c>
    </row>
    <row r="26654" spans="1:4" x14ac:dyDescent="0.25">
      <c r="A26654" t="str">
        <f>HYPERLINK("https://www.773grp.com/globalSearch/TPS61166EVM-446/page-1", "TPS61166EVM-446")</f>
        <v>TPS61166EVM-446</v>
      </c>
      <c r="B26654" s="3" t="str">
        <f>HYPERLINK("https://www.773grp.com/manufacturer/texas-instruments?pageNo=6", "Texas Instruments")</f>
        <v>Texas Instruments</v>
      </c>
      <c r="C26654" s="5">
        <v>3</v>
      </c>
      <c r="D26654" s="6">
        <v>137.81</v>
      </c>
    </row>
    <row r="26655" spans="1:4" x14ac:dyDescent="0.25">
      <c r="A26655" t="str">
        <f>HYPERLINK("https://www.773grp.com/globalSearch/TPS61181EVM-259/page-1", "TPS61181EVM-259")</f>
        <v>TPS61181EVM-259</v>
      </c>
      <c r="B26655" s="3" t="str">
        <f>HYPERLINK("https://www.773grp.com/manufacturer/texas-instruments?pageNo=7", "Texas Instruments")</f>
        <v>Texas Instruments</v>
      </c>
      <c r="C26655" s="5">
        <v>13</v>
      </c>
      <c r="D26655" s="6">
        <v>137.81</v>
      </c>
    </row>
    <row r="26656" spans="1:4" x14ac:dyDescent="0.25">
      <c r="A26656" t="str">
        <f>HYPERLINK("https://www.773grp.com/globalSearch/TPS61254EVM-711/page-1", "TPS61254EVM-711")</f>
        <v>TPS61254EVM-711</v>
      </c>
      <c r="B26656" s="3" t="str">
        <f>HYPERLINK("https://www.773grp.com/manufacturer/texas-instruments?pageNo=8", "Texas Instruments")</f>
        <v>Texas Instruments</v>
      </c>
      <c r="C26656" s="5">
        <v>1</v>
      </c>
      <c r="D26656" s="6">
        <v>137.81</v>
      </c>
    </row>
    <row r="26657" spans="1:4" x14ac:dyDescent="0.25">
      <c r="A26657" t="str">
        <f>HYPERLINK("https://www.773grp.com/globalSearch/TPS62000EVM-168/page-1", "TPS62000EVM-168")</f>
        <v>TPS62000EVM-168</v>
      </c>
      <c r="B26657" s="3" t="str">
        <f>HYPERLINK("https://www.773grp.com/manufacturer/texas-instruments?pageNo=9", "Texas Instruments")</f>
        <v>Texas Instruments</v>
      </c>
      <c r="C26657" s="5">
        <v>2</v>
      </c>
      <c r="D26657" s="6">
        <v>137.81</v>
      </c>
    </row>
    <row r="26658" spans="1:4" x14ac:dyDescent="0.25">
      <c r="A26658" t="str">
        <f>HYPERLINK("https://www.773grp.com/globalSearch/TPS62007EVM-168/page-1", "TPS62007EVM-168")</f>
        <v>TPS62007EVM-168</v>
      </c>
      <c r="B26658" s="3" t="str">
        <f>HYPERLINK("https://www.773grp.com/manufacturer/texas-instruments?pageNo=10", "Texas Instruments")</f>
        <v>Texas Instruments</v>
      </c>
      <c r="C26658" s="5">
        <v>1</v>
      </c>
      <c r="D26658" s="6">
        <v>137.81</v>
      </c>
    </row>
    <row r="26659" spans="1:4" x14ac:dyDescent="0.25">
      <c r="A26659" t="str">
        <f>HYPERLINK("https://www.773grp.com/globalSearch/TPS62040EVM-229/page-1", "TPS62040EVM-229")</f>
        <v>TPS62040EVM-229</v>
      </c>
      <c r="B26659" s="3" t="str">
        <f>HYPERLINK("https://www.773grp.com/manufacturer/texas-instruments?pageNo=11", "Texas Instruments")</f>
        <v>Texas Instruments</v>
      </c>
      <c r="C26659" s="5">
        <v>4</v>
      </c>
      <c r="D26659" s="6">
        <v>137.81</v>
      </c>
    </row>
    <row r="26660" spans="1:4" x14ac:dyDescent="0.25">
      <c r="A26660" t="str">
        <f>HYPERLINK("https://www.773grp.com/globalSearch/TPS62060EVM-663/page-1", "TPS62060EVM-663")</f>
        <v>TPS62060EVM-663</v>
      </c>
      <c r="B26660" s="3" t="str">
        <f>HYPERLINK("https://www.773grp.com/manufacturer/texas-instruments?pageNo=12", "Texas Instruments")</f>
        <v>Texas Instruments</v>
      </c>
      <c r="C26660" s="5">
        <v>1</v>
      </c>
      <c r="D26660" s="6">
        <v>137.81</v>
      </c>
    </row>
    <row r="26661" spans="1:4" x14ac:dyDescent="0.25">
      <c r="A26661" t="str">
        <f>HYPERLINK("https://www.773grp.com/globalSearch/TPS62065-67EVM-347/page-1", "TPS62065-67EVM-347")</f>
        <v>TPS62065-67EVM-347</v>
      </c>
      <c r="B26661" s="3" t="str">
        <f>HYPERLINK("https://www.773grp.com/manufacturer/texas-instruments?pageNo=13", "Texas Instruments")</f>
        <v>Texas Instruments</v>
      </c>
      <c r="C26661" s="5">
        <v>7</v>
      </c>
      <c r="D26661" s="6">
        <v>137.81</v>
      </c>
    </row>
    <row r="26662" spans="1:4" x14ac:dyDescent="0.25">
      <c r="A26662" t="str">
        <f>HYPERLINK("https://www.773grp.com/globalSearch/TPS62110EVM-101/page-1", "TPS62110EVM-101")</f>
        <v>TPS62110EVM-101</v>
      </c>
      <c r="B26662" s="3" t="str">
        <f>HYPERLINK("https://www.773grp.com/manufacturer/texas-instruments?pageNo=14", "Texas Instruments")</f>
        <v>Texas Instruments</v>
      </c>
      <c r="C26662" s="5">
        <v>2</v>
      </c>
      <c r="D26662" s="6">
        <v>137.81</v>
      </c>
    </row>
    <row r="26663" spans="1:4" x14ac:dyDescent="0.25">
      <c r="A26663" t="str">
        <f>HYPERLINK("https://www.773grp.com/globalSearch/TPS62120EVM-640/page-1", "TPS62120EVM-640")</f>
        <v>TPS62120EVM-640</v>
      </c>
      <c r="B26663" s="3" t="str">
        <f>HYPERLINK("https://www.773grp.com/manufacturer/texas-instruments?pageNo=15", "Texas Instruments")</f>
        <v>Texas Instruments</v>
      </c>
      <c r="C26663" s="5">
        <v>4</v>
      </c>
      <c r="D26663" s="6">
        <v>137.81</v>
      </c>
    </row>
    <row r="26664" spans="1:4" x14ac:dyDescent="0.25">
      <c r="A26664" t="str">
        <f>HYPERLINK("https://www.773grp.com/globalSearch/TPS62175EVM-098/page-1", "TPS62175EVM-098")</f>
        <v>TPS62175EVM-098</v>
      </c>
      <c r="B26664" s="3" t="str">
        <f>HYPERLINK("https://www.773grp.com/manufacturer/texas-instruments?pageNo=16", "Texas Instruments")</f>
        <v>Texas Instruments</v>
      </c>
      <c r="C26664" s="5">
        <v>5</v>
      </c>
      <c r="D26664" s="6">
        <v>137.81</v>
      </c>
    </row>
    <row r="26665" spans="1:4" x14ac:dyDescent="0.25">
      <c r="A26665" t="str">
        <f>HYPERLINK("https://www.773grp.com/globalSearch/TPS62200EVM-211/page-1", "TPS62200EVM-211")</f>
        <v>TPS62200EVM-211</v>
      </c>
      <c r="B26665" s="3" t="str">
        <f>HYPERLINK("https://www.773grp.com/manufacturer/texas-instruments?pageNo=17", "Texas Instruments")</f>
        <v>Texas Instruments</v>
      </c>
      <c r="C26665" s="5">
        <v>5</v>
      </c>
      <c r="D26665" s="6">
        <v>137.81</v>
      </c>
    </row>
    <row r="26666" spans="1:4" x14ac:dyDescent="0.25">
      <c r="A26666" t="str">
        <f>HYPERLINK("https://www.773grp.com/globalSearch/TPS62203EVM-211/page-1", "TPS62203EVM-211")</f>
        <v>TPS62203EVM-211</v>
      </c>
      <c r="B26666" s="3" t="str">
        <f>HYPERLINK("https://www.773grp.com/manufacturer/texas-instruments?pageNo=18", "Texas Instruments")</f>
        <v>Texas Instruments</v>
      </c>
      <c r="C26666" s="5">
        <v>2</v>
      </c>
      <c r="D26666" s="6">
        <v>137.81</v>
      </c>
    </row>
    <row r="26667" spans="1:4" x14ac:dyDescent="0.25">
      <c r="A26667" t="str">
        <f>HYPERLINK("https://www.773grp.com/globalSearch/TPS62230EVM-370/page-1", "TPS62230EVM-370")</f>
        <v>TPS62230EVM-370</v>
      </c>
      <c r="B26667" s="3" t="str">
        <f>HYPERLINK("https://www.773grp.com/manufacturer/texas-instruments?pageNo=19", "Texas Instruments")</f>
        <v>Texas Instruments</v>
      </c>
      <c r="C26667" s="5">
        <v>5</v>
      </c>
      <c r="D26667" s="6">
        <v>137.81</v>
      </c>
    </row>
    <row r="26668" spans="1:4" x14ac:dyDescent="0.25">
      <c r="A26668" t="str">
        <f>HYPERLINK("https://www.773grp.com/globalSearch/TPS62230EVM-574/page-1", "TPS62230EVM-574")</f>
        <v>TPS62230EVM-574</v>
      </c>
      <c r="B26668" s="3" t="str">
        <f>HYPERLINK("https://www.773grp.com/manufacturer/texas-instruments?pageNo=20", "Texas Instruments")</f>
        <v>Texas Instruments</v>
      </c>
      <c r="C26668" s="5">
        <v>9</v>
      </c>
      <c r="D26668" s="6">
        <v>137.81</v>
      </c>
    </row>
    <row r="26669" spans="1:4" x14ac:dyDescent="0.25">
      <c r="A26669" t="str">
        <f>HYPERLINK("https://www.773grp.com/globalSearch/TPS622315EVM-574/page-1", "TPS622315EVM-574")</f>
        <v>TPS622315EVM-574</v>
      </c>
      <c r="B26669" s="3" t="str">
        <f>HYPERLINK("https://www.773grp.com/manufacturer/texas-instruments?pageNo=21", "Texas Instruments")</f>
        <v>Texas Instruments</v>
      </c>
      <c r="C26669" s="5">
        <v>1</v>
      </c>
      <c r="D26669" s="6">
        <v>137.81</v>
      </c>
    </row>
    <row r="26670" spans="1:4" x14ac:dyDescent="0.25">
      <c r="A26670" t="str">
        <f>HYPERLINK("https://www.773grp.com/globalSearch/TPS62270EVM-306/page-1", "TPS62270EVM-306")</f>
        <v>TPS62270EVM-306</v>
      </c>
      <c r="B26670" s="3" t="str">
        <f>HYPERLINK("https://www.773grp.com/manufacturer/texas-instruments?pageNo=22", "Texas Instruments")</f>
        <v>Texas Instruments</v>
      </c>
      <c r="C26670" s="5">
        <v>1</v>
      </c>
      <c r="D26670" s="6">
        <v>137.81</v>
      </c>
    </row>
    <row r="26671" spans="1:4" x14ac:dyDescent="0.25">
      <c r="A26671" t="str">
        <f>HYPERLINK("https://www.773grp.com/globalSearch/TPS62300EVM-085/page-1", "TPS62300EVM-085")</f>
        <v>TPS62300EVM-085</v>
      </c>
      <c r="B26671" s="3" t="str">
        <f>HYPERLINK("https://www.773grp.com/manufacturer/texas-instruments?pageNo=23", "Texas Instruments")</f>
        <v>Texas Instruments</v>
      </c>
      <c r="C26671" s="5">
        <v>2</v>
      </c>
      <c r="D26671" s="6">
        <v>137.81</v>
      </c>
    </row>
    <row r="26672" spans="1:4" x14ac:dyDescent="0.25">
      <c r="A26672" t="str">
        <f>HYPERLINK("https://www.773grp.com/globalSearch/TPS62350EVM-201/page-1", "TPS62350EVM-201")</f>
        <v>TPS62350EVM-201</v>
      </c>
      <c r="B26672" s="3" t="str">
        <f>HYPERLINK("https://www.773grp.com/manufacturer/texas-instruments?pageNo=24", "Texas Instruments")</f>
        <v>Texas Instruments</v>
      </c>
      <c r="C26672" s="5">
        <v>2</v>
      </c>
      <c r="D26672" s="6">
        <v>137.81</v>
      </c>
    </row>
    <row r="26673" spans="1:4" x14ac:dyDescent="0.25">
      <c r="A26673" t="str">
        <f>HYPERLINK("https://www.773grp.com/globalSearch/TPS62401EVM-167/page-1", "TPS62401EVM-167")</f>
        <v>TPS62401EVM-167</v>
      </c>
      <c r="B26673" s="3" t="str">
        <f>HYPERLINK("https://www.773grp.com/manufacturer/texas-instruments?pageNo=25", "Texas Instruments")</f>
        <v>Texas Instruments</v>
      </c>
      <c r="C26673" s="5">
        <v>1</v>
      </c>
      <c r="D26673" s="6">
        <v>137.81</v>
      </c>
    </row>
    <row r="26674" spans="1:4" x14ac:dyDescent="0.25">
      <c r="A26674" t="str">
        <f>HYPERLINK("https://www.773grp.com/globalSearch/TPS62590EVM-454/page-1", "TPS62590EVM-454")</f>
        <v>TPS62590EVM-454</v>
      </c>
      <c r="B26674" s="3" t="str">
        <f>HYPERLINK("https://www.773grp.com/manufacturer/texas-instruments?pageNo=26", "Texas Instruments")</f>
        <v>Texas Instruments</v>
      </c>
      <c r="C26674" s="5">
        <v>1</v>
      </c>
      <c r="D26674" s="6">
        <v>137.81</v>
      </c>
    </row>
    <row r="26675" spans="1:4" x14ac:dyDescent="0.25">
      <c r="A26675" t="str">
        <f>HYPERLINK("https://www.773grp.com/globalSearch/TPS62750EVM-413/page-1", "TPS62750EVM-413")</f>
        <v>TPS62750EVM-413</v>
      </c>
      <c r="B26675" s="3" t="str">
        <f>HYPERLINK("https://www.773grp.com/manufacturer/texas-instruments?pageNo=27", "Texas Instruments")</f>
        <v>Texas Instruments</v>
      </c>
      <c r="C26675" s="5">
        <v>4</v>
      </c>
      <c r="D26675" s="6">
        <v>137.81</v>
      </c>
    </row>
    <row r="26676" spans="1:4" x14ac:dyDescent="0.25">
      <c r="A26676" t="str">
        <f>HYPERLINK("https://www.773grp.com/globalSearch/TPS63020EVM-487/page-1", "TPS63020EVM-487")</f>
        <v>TPS63020EVM-487</v>
      </c>
      <c r="B26676" s="3" t="str">
        <f>HYPERLINK("https://www.773grp.com/manufacturer/texas-instruments?pageNo=28", "Texas Instruments")</f>
        <v>Texas Instruments</v>
      </c>
      <c r="C26676" s="5">
        <v>19</v>
      </c>
      <c r="D26676" s="6">
        <v>137.81</v>
      </c>
    </row>
    <row r="26677" spans="1:4" x14ac:dyDescent="0.25">
      <c r="A26677" t="str">
        <f>HYPERLINK("https://www.773grp.com/globalSearch/TPS64202EVM-023/page-1", "TPS64202EVM-023")</f>
        <v>TPS64202EVM-023</v>
      </c>
      <c r="B26677" s="3" t="str">
        <f>HYPERLINK("https://www.773grp.com/manufacturer/texas-instruments?pageNo=29", "Texas Instruments")</f>
        <v>Texas Instruments</v>
      </c>
      <c r="C26677" s="5">
        <v>3</v>
      </c>
      <c r="D26677" s="6">
        <v>137.81</v>
      </c>
    </row>
    <row r="26678" spans="1:4" x14ac:dyDescent="0.25">
      <c r="A26678" t="str">
        <f>HYPERLINK("https://www.773grp.com/globalSearch/TPS65000EVM-469/page-1", "TPS65000EVM-469")</f>
        <v>TPS65000EVM-469</v>
      </c>
      <c r="B26678" s="3" t="str">
        <f>HYPERLINK("https://www.773grp.com/manufacturer/texas-instruments?pageNo=30", "Texas Instruments")</f>
        <v>Texas Instruments</v>
      </c>
      <c r="C26678" s="5">
        <v>2</v>
      </c>
      <c r="D26678" s="6">
        <v>137.81</v>
      </c>
    </row>
    <row r="26679" spans="1:4" x14ac:dyDescent="0.25">
      <c r="A26679" t="str">
        <f>HYPERLINK("https://www.773grp.com/globalSearch/TPS65001EVM-453/page-1", "TPS65001EVM-453")</f>
        <v>TPS65001EVM-453</v>
      </c>
      <c r="B26679" s="3" t="str">
        <f>HYPERLINK("https://www.773grp.com/manufacturer/texas-instruments?pageNo=31", "Texas Instruments")</f>
        <v>Texas Instruments</v>
      </c>
      <c r="C26679" s="5">
        <v>2</v>
      </c>
      <c r="D26679" s="6">
        <v>137.81</v>
      </c>
    </row>
    <row r="26680" spans="1:4" x14ac:dyDescent="0.25">
      <c r="A26680" t="str">
        <f>HYPERLINK("https://www.773grp.com/globalSearch/TPS65010EVM-230/page-1", "TPS65010EVM-230")</f>
        <v>TPS65010EVM-230</v>
      </c>
      <c r="B26680" s="3" t="str">
        <f>HYPERLINK("https://www.773grp.com/manufacturer/texas-instruments?pageNo=32", "Texas Instruments")</f>
        <v>Texas Instruments</v>
      </c>
      <c r="C26680" s="5">
        <v>2</v>
      </c>
      <c r="D26680" s="6">
        <v>137.81</v>
      </c>
    </row>
    <row r="26681" spans="1:4" x14ac:dyDescent="0.25">
      <c r="A26681" t="str">
        <f>HYPERLINK("https://www.773grp.com/globalSearch/TPS65011EVM-049/page-1", "TPS65011EVM-049")</f>
        <v>TPS65011EVM-049</v>
      </c>
      <c r="B26681" s="3" t="str">
        <f>HYPERLINK("https://www.773grp.com/manufacturer/texas-instruments?pageNo=33", "Texas Instruments")</f>
        <v>Texas Instruments</v>
      </c>
      <c r="C26681" s="5">
        <v>2</v>
      </c>
      <c r="D26681" s="6">
        <v>137.81</v>
      </c>
    </row>
    <row r="26682" spans="1:4" x14ac:dyDescent="0.25">
      <c r="A26682" t="str">
        <f>HYPERLINK("https://www.773grp.com/globalSearch/TPS65020EVM-110/page-1", "TPS65020EVM-110")</f>
        <v>TPS65020EVM-110</v>
      </c>
      <c r="B26682" s="3" t="str">
        <f>HYPERLINK("https://www.773grp.com/manufacturer/texas-instruments?pageNo=34", "Texas Instruments")</f>
        <v>Texas Instruments</v>
      </c>
      <c r="C26682" s="5">
        <v>8</v>
      </c>
      <c r="D26682" s="6">
        <v>137.81</v>
      </c>
    </row>
    <row r="26683" spans="1:4" x14ac:dyDescent="0.25">
      <c r="A26683" t="str">
        <f>HYPERLINK("https://www.773grp.com/globalSearch/TPS65021EVM-110/page-1", "TPS65021EVM-110")</f>
        <v>TPS65021EVM-110</v>
      </c>
      <c r="B26683" s="3" t="str">
        <f>HYPERLINK("https://www.773grp.com/manufacturer/texas-instruments?pageNo=35", "Texas Instruments")</f>
        <v>Texas Instruments</v>
      </c>
      <c r="C26683" s="5">
        <v>1</v>
      </c>
      <c r="D26683" s="6">
        <v>137.81</v>
      </c>
    </row>
    <row r="26684" spans="1:4" x14ac:dyDescent="0.25">
      <c r="A26684" t="str">
        <f>HYPERLINK("https://www.773grp.com/globalSearch/TPS650241EVM-234/page-1", "TPS650241EVM-234")</f>
        <v>TPS650241EVM-234</v>
      </c>
      <c r="B26684" s="3" t="str">
        <f>HYPERLINK("https://www.773grp.com/manufacturer/texas-instruments?pageNo=36", "Texas Instruments")</f>
        <v>Texas Instruments</v>
      </c>
      <c r="C26684" s="5">
        <v>1</v>
      </c>
      <c r="D26684" s="6">
        <v>137.81</v>
      </c>
    </row>
    <row r="26685" spans="1:4" x14ac:dyDescent="0.25">
      <c r="A26685" t="str">
        <f>HYPERLINK("https://www.773grp.com/globalSearch/TPS650250EVM-447/page-1", "TPS650250EVM-447")</f>
        <v>TPS650250EVM-447</v>
      </c>
      <c r="B26685" s="3" t="str">
        <f>HYPERLINK("https://www.773grp.com/manufacturer/texas-instruments?pageNo=37", "Texas Instruments")</f>
        <v>Texas Instruments</v>
      </c>
      <c r="C26685" s="5">
        <v>2</v>
      </c>
      <c r="D26685" s="6">
        <v>137.81</v>
      </c>
    </row>
    <row r="26686" spans="1:4" x14ac:dyDescent="0.25">
      <c r="A26686" t="str">
        <f>HYPERLINK("https://www.773grp.com/globalSearch/TPS65050EVM-195/page-1", "TPS65050EVM-195")</f>
        <v>TPS65050EVM-195</v>
      </c>
      <c r="B26686" s="3" t="str">
        <f>HYPERLINK("https://www.773grp.com/manufacturer/texas-instruments?pageNo=38", "Texas Instruments")</f>
        <v>Texas Instruments</v>
      </c>
      <c r="C26686" s="5">
        <v>1</v>
      </c>
      <c r="D26686" s="6">
        <v>137.81</v>
      </c>
    </row>
    <row r="26687" spans="1:4" x14ac:dyDescent="0.25">
      <c r="A26687" t="str">
        <f>HYPERLINK("https://www.773grp.com/globalSearch/TPS65120EVM-076/page-1", "TPS65120EVM-076")</f>
        <v>TPS65120EVM-076</v>
      </c>
      <c r="B26687" s="3" t="str">
        <f>HYPERLINK("https://www.773grp.com/manufacturer/texas-instruments?pageNo=39", "Texas Instruments")</f>
        <v>Texas Instruments</v>
      </c>
      <c r="C26687" s="5">
        <v>2</v>
      </c>
      <c r="D26687" s="6">
        <v>137.81</v>
      </c>
    </row>
    <row r="26688" spans="1:4" x14ac:dyDescent="0.25">
      <c r="A26688" t="str">
        <f>HYPERLINK("https://www.773grp.com/globalSearch/TPS65160EVM-194/page-1", "TPS65160EVM-194")</f>
        <v>TPS65160EVM-194</v>
      </c>
      <c r="B26688" s="3" t="str">
        <f>HYPERLINK("https://www.773grp.com/manufacturer/texas-instruments?pageNo=40", "Texas Instruments")</f>
        <v>Texas Instruments</v>
      </c>
      <c r="C26688" s="5">
        <v>1</v>
      </c>
      <c r="D26688" s="6">
        <v>137.81</v>
      </c>
    </row>
    <row r="26689" spans="1:4" x14ac:dyDescent="0.25">
      <c r="A26689" t="str">
        <f>HYPERLINK("https://www.773grp.com/globalSearch/TPS65161EVM-194/page-1", "TPS65161EVM-194")</f>
        <v>TPS65161EVM-194</v>
      </c>
      <c r="B26689" s="3" t="str">
        <f>HYPERLINK("https://www.773grp.com/manufacturer/texas-instruments?pageNo=41", "Texas Instruments")</f>
        <v>Texas Instruments</v>
      </c>
      <c r="C26689" s="5">
        <v>1</v>
      </c>
      <c r="D26689" s="6">
        <v>137.81</v>
      </c>
    </row>
    <row r="26690" spans="1:4" x14ac:dyDescent="0.25">
      <c r="A26690" t="str">
        <f>HYPERLINK("https://www.773grp.com/globalSearch/TPS65165EVM-233/page-1", "TPS65165EVM-233")</f>
        <v>TPS65165EVM-233</v>
      </c>
      <c r="B26690" s="3" t="str">
        <f>HYPERLINK("https://www.773grp.com/manufacturer/texas-instruments?pageNo=42", "Texas Instruments")</f>
        <v>Texas Instruments</v>
      </c>
      <c r="C26690" s="5">
        <v>1</v>
      </c>
      <c r="D26690" s="6">
        <v>137.81</v>
      </c>
    </row>
    <row r="26691" spans="1:4" x14ac:dyDescent="0.25">
      <c r="A26691" t="str">
        <f>HYPERLINK("https://www.773grp.com/globalSearch/TPS6555XEVM-097/page-1", "TPS6555XEVM-097")</f>
        <v>TPS6555XEVM-097</v>
      </c>
      <c r="B26691" s="3" t="str">
        <f>HYPERLINK("https://www.773grp.com/manufacturer/texas-instruments?pageNo=43", "Texas Instruments")</f>
        <v>Texas Instruments</v>
      </c>
      <c r="C26691" s="5">
        <v>2</v>
      </c>
      <c r="D26691" s="6">
        <v>137.81</v>
      </c>
    </row>
    <row r="26692" spans="1:4" x14ac:dyDescent="0.25">
      <c r="A26692" t="str">
        <f>HYPERLINK("https://www.773grp.com/globalSearch/TPS71533EVM/page-1", "TPS71533EVM")</f>
        <v>TPS71533EVM</v>
      </c>
      <c r="B26692" s="3" t="str">
        <f>HYPERLINK("https://www.773grp.com/manufacturer/texas-instruments?pageNo=44", "Texas Instruments")</f>
        <v>Texas Instruments</v>
      </c>
      <c r="C26692" s="5">
        <v>2</v>
      </c>
      <c r="D26692" s="6">
        <v>137.81</v>
      </c>
    </row>
    <row r="26693" spans="1:4" x14ac:dyDescent="0.25">
      <c r="A26693" t="str">
        <f>HYPERLINK("https://www.773grp.com/globalSearch/TPS76933EVM-127/page-1", "TPS76933EVM-127")</f>
        <v>TPS76933EVM-127</v>
      </c>
      <c r="B26693" s="3" t="str">
        <f>HYPERLINK("https://www.773grp.com/manufacturer/texas-instruments?pageNo=45", "Texas Instruments")</f>
        <v>Texas Instruments</v>
      </c>
      <c r="C26693" s="5">
        <v>1</v>
      </c>
      <c r="D26693" s="6">
        <v>137.81</v>
      </c>
    </row>
    <row r="26694" spans="1:4" x14ac:dyDescent="0.25">
      <c r="A26694" t="str">
        <f>HYPERLINK("https://www.773grp.com/globalSearch/TPS84250EVM-001/page-1", "TPS84250EVM-001")</f>
        <v>TPS84250EVM-001</v>
      </c>
      <c r="B26694" s="3" t="str">
        <f>HYPERLINK("https://www.773grp.com/manufacturer/texas-instruments?pageNo=46", "Texas Instruments")</f>
        <v>Texas Instruments</v>
      </c>
      <c r="C26694" s="5">
        <v>3</v>
      </c>
      <c r="D26694" s="6">
        <v>137.81</v>
      </c>
    </row>
    <row r="26695" spans="1:4" x14ac:dyDescent="0.25">
      <c r="A26695" t="str">
        <f>HYPERLINK("https://www.773grp.com/globalSearch/TPS84259EVM-001/page-1", "TPS84259EVM-001")</f>
        <v>TPS84259EVM-001</v>
      </c>
      <c r="B26695" s="3" t="str">
        <f>HYPERLINK("https://www.773grp.com/manufacturer/texas-instruments?pageNo=47", "Texas Instruments")</f>
        <v>Texas Instruments</v>
      </c>
      <c r="C26695" s="5">
        <v>10</v>
      </c>
      <c r="D26695" s="6">
        <v>137.81</v>
      </c>
    </row>
    <row r="26696" spans="1:4" x14ac:dyDescent="0.25">
      <c r="A26696" t="str">
        <f>HYPERLINK("https://www.773grp.com/globalSearch/TPS84410EVM-001/page-1", "TPS84410EVM-001")</f>
        <v>TPS84410EVM-001</v>
      </c>
      <c r="B26696" s="3" t="str">
        <f>HYPERLINK("https://www.773grp.com/manufacturer/texas-instruments?pageNo=48", "Texas Instruments")</f>
        <v>Texas Instruments</v>
      </c>
      <c r="C26696" s="5">
        <v>5</v>
      </c>
      <c r="D26696" s="6">
        <v>137.81</v>
      </c>
    </row>
    <row r="26697" spans="1:4" x14ac:dyDescent="0.25">
      <c r="A26697" t="str">
        <f>HYPERLINK("https://www.773grp.com/globalSearch/TPS84620EVM-692/page-1", "TPS84620EVM-692")</f>
        <v>TPS84620EVM-692</v>
      </c>
      <c r="B26697" s="3" t="str">
        <f>HYPERLINK("https://www.773grp.com/manufacturer/texas-instruments?pageNo=49", "Texas Instruments")</f>
        <v>Texas Instruments</v>
      </c>
      <c r="C26697" s="5">
        <v>53</v>
      </c>
      <c r="D26697" s="6">
        <v>137.81</v>
      </c>
    </row>
    <row r="26698" spans="1:4" x14ac:dyDescent="0.25">
      <c r="A26698" t="str">
        <f>HYPERLINK("https://www.773grp.com/globalSearch/TPS92510EVM-011/page-1", "TPS92510EVM-011")</f>
        <v>TPS92510EVM-011</v>
      </c>
      <c r="B26698" s="3" t="str">
        <f>HYPERLINK("https://www.773grp.com/manufacturer/texas-instruments?pageNo=50", "Texas Instruments")</f>
        <v>Texas Instruments</v>
      </c>
      <c r="C26698" s="5">
        <v>12</v>
      </c>
      <c r="D26698" s="6">
        <v>137.81</v>
      </c>
    </row>
    <row r="26699" spans="1:4" x14ac:dyDescent="0.25">
      <c r="A26699" t="str">
        <f>HYPERLINK("https://www.773grp.com/globalSearch/TSC2004EVM/page-1", "TSC2004EVM")</f>
        <v>TSC2004EVM</v>
      </c>
      <c r="B26699" s="3" t="str">
        <f>HYPERLINK("https://www.773grp.com/manufacturer/texas-instruments?pageNo=51", "Texas Instruments")</f>
        <v>Texas Instruments</v>
      </c>
      <c r="C26699" s="5">
        <v>2</v>
      </c>
      <c r="D26699" s="6">
        <v>137.81</v>
      </c>
    </row>
    <row r="26700" spans="1:4" x14ac:dyDescent="0.25">
      <c r="A26700" t="str">
        <f>HYPERLINK("https://www.773grp.com/globalSearch/TSC2005EVM/page-1", "TSC2005EVM")</f>
        <v>TSC2005EVM</v>
      </c>
      <c r="B26700" s="3" t="str">
        <f>HYPERLINK("https://www.773grp.com/manufacturer/texas-instruments?pageNo=52", "Texas Instruments")</f>
        <v>Texas Instruments</v>
      </c>
      <c r="C26700" s="5">
        <v>5</v>
      </c>
      <c r="D26700" s="6">
        <v>137.81</v>
      </c>
    </row>
    <row r="26701" spans="1:4" x14ac:dyDescent="0.25">
      <c r="A26701" t="str">
        <f>HYPERLINK("https://www.773grp.com/globalSearch/TSC2007EVM/page-1", "TSC2007EVM")</f>
        <v>TSC2007EVM</v>
      </c>
      <c r="B26701" s="3" t="str">
        <f>HYPERLINK("https://www.773grp.com/manufacturer/texas-instruments?pageNo=53", "Texas Instruments")</f>
        <v>Texas Instruments</v>
      </c>
      <c r="C26701" s="5">
        <v>7</v>
      </c>
      <c r="D26701" s="6">
        <v>137.81</v>
      </c>
    </row>
    <row r="26702" spans="1:4" x14ac:dyDescent="0.25">
      <c r="A26702" t="str">
        <f>HYPERLINK("https://www.773grp.com/globalSearch/TSC2008EVM/page-1", "TSC2008EVM")</f>
        <v>TSC2008EVM</v>
      </c>
      <c r="B26702" s="3" t="str">
        <f>HYPERLINK("https://www.773grp.com/manufacturer/texas-instruments?pageNo=54", "Texas Instruments")</f>
        <v>Texas Instruments</v>
      </c>
      <c r="C26702" s="5">
        <v>2</v>
      </c>
      <c r="D26702" s="6">
        <v>137.81</v>
      </c>
    </row>
    <row r="26703" spans="1:4" x14ac:dyDescent="0.25">
      <c r="A26703" t="str">
        <f>HYPERLINK("https://www.773grp.com/globalSearch/TSC2014EVM/page-1", "TSC2014EVM")</f>
        <v>TSC2014EVM</v>
      </c>
      <c r="B26703" s="3" t="str">
        <f>HYPERLINK("https://www.773grp.com/manufacturer/texas-instruments?pageNo=55", "Texas Instruments")</f>
        <v>Texas Instruments</v>
      </c>
      <c r="C26703" s="5">
        <v>2</v>
      </c>
      <c r="D26703" s="6">
        <v>137.81</v>
      </c>
    </row>
    <row r="26704" spans="1:4" x14ac:dyDescent="0.25">
      <c r="A26704" t="str">
        <f>HYPERLINK("https://www.773grp.com/globalSearch/TSC2046EVM/page-1", "TSC2046EVM")</f>
        <v>TSC2046EVM</v>
      </c>
      <c r="B26704" s="3" t="str">
        <f>HYPERLINK("https://www.773grp.com/manufacturer/texas-instruments?pageNo=56", "Texas Instruments")</f>
        <v>Texas Instruments</v>
      </c>
      <c r="C26704" s="5">
        <v>1</v>
      </c>
      <c r="D26704" s="6">
        <v>137.81</v>
      </c>
    </row>
    <row r="26705" spans="1:4" x14ac:dyDescent="0.25">
      <c r="A26705" t="str">
        <f>HYPERLINK("https://www.773grp.com/globalSearch/UCC2540EVM-054/page-1", "UCC2540EVM-054")</f>
        <v>UCC2540EVM-054</v>
      </c>
      <c r="B26705" s="3" t="str">
        <f>HYPERLINK("https://www.773grp.com/manufacturer/texas-instruments?pageNo=57", "Texas Instruments")</f>
        <v>Texas Instruments</v>
      </c>
      <c r="C26705" s="5">
        <v>1</v>
      </c>
      <c r="D26705" s="6">
        <v>137.81</v>
      </c>
    </row>
    <row r="26706" spans="1:4" x14ac:dyDescent="0.25">
      <c r="A26706" t="str">
        <f>HYPERLINK("https://www.773grp.com/globalSearch/TNETD3200GJC/page-1", "TNETD3200GJC")</f>
        <v>TNETD3200GJC</v>
      </c>
      <c r="B26706" s="3" t="str">
        <f>HYPERLINK("https://www.773grp.com/manufacturer/texas-instruments?pageNo=62", "Texas Instruments")</f>
        <v>Texas Instruments</v>
      </c>
      <c r="C26706" s="5">
        <v>40</v>
      </c>
      <c r="D26706" s="6">
        <v>138.66</v>
      </c>
    </row>
    <row r="26707" spans="1:4" x14ac:dyDescent="0.25">
      <c r="A26707" t="str">
        <f>HYPERLINK("https://www.773grp.com/globalSearch/DDC316CGXGT/page-1", "DDC316CGXGT")</f>
        <v>DDC316CGXGT</v>
      </c>
      <c r="B26707" s="3" t="str">
        <f>HYPERLINK("https://www.773grp.com/manufacturer/texas-instruments?pageNo=66", "Texas Instruments")</f>
        <v>Texas Instruments</v>
      </c>
      <c r="C26707" s="5">
        <v>2308</v>
      </c>
      <c r="D26707" s="6">
        <v>139.93</v>
      </c>
    </row>
    <row r="26708" spans="1:4" x14ac:dyDescent="0.25">
      <c r="A26708" t="str">
        <f>HYPERLINK("https://www.773grp.com/globalSearch/JM38510-12501BGA/page-1", "JM38510-12501BGA")</f>
        <v>JM38510-12501BGA</v>
      </c>
      <c r="B26708" s="3" t="str">
        <f>HYPERLINK("https://www.773grp.com/manufacturer/texas-instruments?pageNo=71", "Texas Instruments")</f>
        <v>Texas Instruments</v>
      </c>
      <c r="C26708" s="5">
        <v>108</v>
      </c>
      <c r="D26708" s="6">
        <v>140.36000000000001</v>
      </c>
    </row>
    <row r="26709" spans="1:4" x14ac:dyDescent="0.25">
      <c r="A26709" t="str">
        <f>HYPERLINK("https://www.773grp.com/globalSearch/CC2550EMK/page-1", "CC2550EMK")</f>
        <v>CC2550EMK</v>
      </c>
      <c r="B26709" s="3" t="str">
        <f>HYPERLINK("https://www.773grp.com/manufacturer/texas-instruments?pageNo=72", "Texas Instruments")</f>
        <v>Texas Instruments</v>
      </c>
      <c r="C26709" s="5">
        <v>15</v>
      </c>
      <c r="D26709" s="6">
        <v>140.63</v>
      </c>
    </row>
    <row r="26710" spans="1:4" x14ac:dyDescent="0.25">
      <c r="A26710" t="str">
        <f>HYPERLINK("https://www.773grp.com/globalSearch/MP2378RA/page-1", "MP2378RA")</f>
        <v>MP2378RA</v>
      </c>
      <c r="B26710" s="3" t="str">
        <f>HYPERLINK("https://www.773grp.com/manufacturer/texas-instruments?pageNo=73", "Texas Instruments")</f>
        <v>Texas Instruments</v>
      </c>
      <c r="C26710" s="5">
        <v>1622</v>
      </c>
      <c r="D26710" s="6">
        <v>140.63</v>
      </c>
    </row>
    <row r="26711" spans="1:4" x14ac:dyDescent="0.25">
      <c r="A26711" t="str">
        <f>HYPERLINK("https://www.773grp.com/globalSearch/MPL2378RA/page-1", "MPL2378RA")</f>
        <v>MPL2378RA</v>
      </c>
      <c r="B26711" s="3" t="str">
        <f>HYPERLINK("https://www.773grp.com/manufacturer/texas-instruments?pageNo=74", "Texas Instruments")</f>
        <v>Texas Instruments</v>
      </c>
      <c r="C26711" s="5">
        <v>2968</v>
      </c>
      <c r="D26711" s="6">
        <v>140.63</v>
      </c>
    </row>
    <row r="26712" spans="1:4" x14ac:dyDescent="0.25">
      <c r="A26712" t="str">
        <f>HYPERLINK("https://www.773grp.com/globalSearch/OPA211SKGD1/page-1", "OPA211SKGD1")</f>
        <v>OPA211SKGD1</v>
      </c>
      <c r="B26712" s="3" t="str">
        <f>HYPERLINK("https://www.773grp.com/manufacturer/texas-instruments?pageNo=75", "Texas Instruments")</f>
        <v>Texas Instruments</v>
      </c>
      <c r="C26712" s="5">
        <v>400</v>
      </c>
      <c r="D26712" s="6">
        <v>140.63</v>
      </c>
    </row>
    <row r="26713" spans="1:4" x14ac:dyDescent="0.25">
      <c r="A26713" t="str">
        <f>HYPERLINK("https://www.773grp.com/globalSearch/UCC3952AEVM-001/page-1", "UCC3952AEVM-001")</f>
        <v>UCC3952AEVM-001</v>
      </c>
      <c r="B26713" s="3" t="str">
        <f>HYPERLINK("https://www.773grp.com/manufacturer/texas-instruments?pageNo=77", "Texas Instruments")</f>
        <v>Texas Instruments</v>
      </c>
      <c r="C26713" s="5">
        <v>7</v>
      </c>
      <c r="D26713" s="6">
        <v>140.63</v>
      </c>
    </row>
    <row r="26714" spans="1:4" x14ac:dyDescent="0.25">
      <c r="A26714" t="str">
        <f>HYPERLINK("https://www.773grp.com/globalSearch/UCC3952AEVM-002/page-1", "UCC3952AEVM-002")</f>
        <v>UCC3952AEVM-002</v>
      </c>
      <c r="B26714" s="3" t="str">
        <f>HYPERLINK("https://www.773grp.com/manufacturer/texas-instruments?pageNo=78", "Texas Instruments")</f>
        <v>Texas Instruments</v>
      </c>
      <c r="C26714" s="5">
        <v>10</v>
      </c>
      <c r="D26714" s="6">
        <v>140.63</v>
      </c>
    </row>
    <row r="26715" spans="1:4" x14ac:dyDescent="0.25">
      <c r="A26715" t="str">
        <f>HYPERLINK("https://www.773grp.com/globalSearch/UCC3952AEVM-003/page-1", "UCC3952AEVM-003")</f>
        <v>UCC3952AEVM-003</v>
      </c>
      <c r="B26715" s="3" t="str">
        <f>HYPERLINK("https://www.773grp.com/manufacturer/texas-instruments?pageNo=79", "Texas Instruments")</f>
        <v>Texas Instruments</v>
      </c>
      <c r="C26715" s="5">
        <v>7</v>
      </c>
      <c r="D26715" s="6">
        <v>140.63</v>
      </c>
    </row>
    <row r="26716" spans="1:4" x14ac:dyDescent="0.25">
      <c r="A26716" t="str">
        <f>HYPERLINK("https://www.773grp.com/globalSearch/UCC3952AEVM-004/page-1", "UCC3952AEVM-004")</f>
        <v>UCC3952AEVM-004</v>
      </c>
      <c r="B26716" s="3" t="str">
        <f>HYPERLINK("https://www.773grp.com/manufacturer/texas-instruments?pageNo=80", "Texas Instruments")</f>
        <v>Texas Instruments</v>
      </c>
      <c r="C26716" s="5">
        <v>5</v>
      </c>
      <c r="D26716" s="6">
        <v>140.63</v>
      </c>
    </row>
    <row r="26717" spans="1:4" x14ac:dyDescent="0.25">
      <c r="A26717" t="str">
        <f>HYPERLINK("https://www.773grp.com/globalSearch/SMX5400W/page-1", "SMX5400W")</f>
        <v>SMX5400W</v>
      </c>
      <c r="B26717" s="3" t="str">
        <f>HYPERLINK("https://www.773grp.com/manufacturer/texas-instruments?pageNo=82", "Texas Instruments")</f>
        <v>Texas Instruments</v>
      </c>
      <c r="C26717" s="5">
        <v>1070</v>
      </c>
      <c r="D26717" s="6">
        <v>141.28</v>
      </c>
    </row>
    <row r="26718" spans="1:4" x14ac:dyDescent="0.25">
      <c r="A26718" t="str">
        <f>HYPERLINK("https://www.773grp.com/globalSearch/SMX5402W/page-1", "SMX5402W")</f>
        <v>SMX5402W</v>
      </c>
      <c r="B26718" s="3" t="str">
        <f>HYPERLINK("https://www.773grp.com/manufacturer/texas-instruments?pageNo=83", "Texas Instruments")</f>
        <v>Texas Instruments</v>
      </c>
      <c r="C26718" s="5">
        <v>1145</v>
      </c>
      <c r="D26718" s="6">
        <v>141.28</v>
      </c>
    </row>
    <row r="26719" spans="1:4" x14ac:dyDescent="0.25">
      <c r="A26719" t="str">
        <f>HYPERLINK("https://www.773grp.com/globalSearch/SMX5404W/page-1", "SMX5404W")</f>
        <v>SMX5404W</v>
      </c>
      <c r="B26719" s="3" t="str">
        <f>HYPERLINK("https://www.773grp.com/manufacturer/texas-instruments?pageNo=84", "Texas Instruments")</f>
        <v>Texas Instruments</v>
      </c>
      <c r="C26719" s="5">
        <v>1302</v>
      </c>
      <c r="D26719" s="6">
        <v>141.28</v>
      </c>
    </row>
    <row r="26720" spans="1:4" x14ac:dyDescent="0.25">
      <c r="A26720" t="str">
        <f>HYPERLINK("https://www.773grp.com/globalSearch/SMX5410W/page-1", "SMX5410W")</f>
        <v>SMX5410W</v>
      </c>
      <c r="B26720" s="3" t="str">
        <f>HYPERLINK("https://www.773grp.com/manufacturer/texas-instruments?pageNo=85", "Texas Instruments")</f>
        <v>Texas Instruments</v>
      </c>
      <c r="C26720" s="5">
        <v>559</v>
      </c>
      <c r="D26720" s="6">
        <v>141.28</v>
      </c>
    </row>
    <row r="26721" spans="1:4" x14ac:dyDescent="0.25">
      <c r="A26721" t="str">
        <f>HYPERLINK("https://www.773grp.com/globalSearch/SMX5420W/page-1", "SMX5420W")</f>
        <v>SMX5420W</v>
      </c>
      <c r="B26721" s="3" t="str">
        <f>HYPERLINK("https://www.773grp.com/manufacturer/texas-instruments?pageNo=86", "Texas Instruments")</f>
        <v>Texas Instruments</v>
      </c>
      <c r="C26721" s="5">
        <v>458</v>
      </c>
      <c r="D26721" s="6">
        <v>141.28</v>
      </c>
    </row>
    <row r="26722" spans="1:4" x14ac:dyDescent="0.25">
      <c r="A26722" t="str">
        <f>HYPERLINK("https://www.773grp.com/globalSearch/SMX5430W/page-1", "SMX5430W")</f>
        <v>SMX5430W</v>
      </c>
      <c r="B26722" s="3" t="str">
        <f>HYPERLINK("https://www.773grp.com/manufacturer/texas-instruments?pageNo=87", "Texas Instruments")</f>
        <v>Texas Instruments</v>
      </c>
      <c r="C26722" s="5">
        <v>901</v>
      </c>
      <c r="D26722" s="6">
        <v>141.28</v>
      </c>
    </row>
    <row r="26723" spans="1:4" x14ac:dyDescent="0.25">
      <c r="A26723" t="str">
        <f>HYPERLINK("https://www.773grp.com/globalSearch/SMX5440W/page-1", "SMX5440W")</f>
        <v>SMX5440W</v>
      </c>
      <c r="B26723" s="3" t="str">
        <f>HYPERLINK("https://www.773grp.com/manufacturer/texas-instruments?pageNo=88", "Texas Instruments")</f>
        <v>Texas Instruments</v>
      </c>
      <c r="C26723" s="5">
        <v>73</v>
      </c>
      <c r="D26723" s="6">
        <v>141.28</v>
      </c>
    </row>
    <row r="26724" spans="1:4" x14ac:dyDescent="0.25">
      <c r="A26724" t="str">
        <f>HYPERLINK("https://www.773grp.com/globalSearch/SMX5451W/page-1", "SMX5451W")</f>
        <v>SMX5451W</v>
      </c>
      <c r="B26724" s="3" t="str">
        <f>HYPERLINK("https://www.773grp.com/manufacturer/texas-instruments?pageNo=89", "Texas Instruments")</f>
        <v>Texas Instruments</v>
      </c>
      <c r="C26724" s="5">
        <v>704</v>
      </c>
      <c r="D26724" s="6">
        <v>141.28</v>
      </c>
    </row>
    <row r="26725" spans="1:4" x14ac:dyDescent="0.25">
      <c r="A26725" t="str">
        <f>HYPERLINK("https://www.773grp.com/globalSearch/SMX5473W/page-1", "SMX5473W")</f>
        <v>SMX5473W</v>
      </c>
      <c r="B26725" s="3" t="str">
        <f>HYPERLINK("https://www.773grp.com/manufacturer/texas-instruments?pageNo=90", "Texas Instruments")</f>
        <v>Texas Instruments</v>
      </c>
      <c r="C26725" s="5">
        <v>173</v>
      </c>
      <c r="D26725" s="6">
        <v>141.28</v>
      </c>
    </row>
    <row r="26726" spans="1:4" x14ac:dyDescent="0.25">
      <c r="A26726" t="str">
        <f>HYPERLINK("https://www.773grp.com/globalSearch/SMX5477W/page-1", "SMX5477W")</f>
        <v>SMX5477W</v>
      </c>
      <c r="B26726" s="3" t="str">
        <f>HYPERLINK("https://www.773grp.com/manufacturer/texas-instruments?pageNo=91", "Texas Instruments")</f>
        <v>Texas Instruments</v>
      </c>
      <c r="C26726" s="5">
        <v>435</v>
      </c>
      <c r="D26726" s="6">
        <v>141.28</v>
      </c>
    </row>
    <row r="26727" spans="1:4" x14ac:dyDescent="0.25">
      <c r="A26727" t="str">
        <f>HYPERLINK("https://www.773grp.com/globalSearch/SMX5486W/page-1", "SMX5486W")</f>
        <v>SMX5486W</v>
      </c>
      <c r="B26727" s="3" t="str">
        <f>HYPERLINK("https://www.773grp.com/manufacturer/texas-instruments?pageNo=92", "Texas Instruments")</f>
        <v>Texas Instruments</v>
      </c>
      <c r="C26727" s="5">
        <v>485</v>
      </c>
      <c r="D26727" s="6">
        <v>141.28</v>
      </c>
    </row>
    <row r="26728" spans="1:4" x14ac:dyDescent="0.25">
      <c r="A26728" t="str">
        <f>HYPERLINK("https://www.773grp.com/globalSearch/SMXH00W/page-1", "SMXH00W")</f>
        <v>SMXH00W</v>
      </c>
      <c r="B26728" s="3" t="str">
        <f>HYPERLINK("https://www.773grp.com/manufacturer/texas-instruments?pageNo=93", "Texas Instruments")</f>
        <v>Texas Instruments</v>
      </c>
      <c r="C26728" s="5">
        <v>719</v>
      </c>
      <c r="D26728" s="6">
        <v>141.28</v>
      </c>
    </row>
    <row r="26729" spans="1:4" x14ac:dyDescent="0.25">
      <c r="A26729" t="str">
        <f>HYPERLINK("https://www.773grp.com/globalSearch/TMS320C6412AGNZA6/page-1", "TMS320C6412AGNZA6")</f>
        <v>TMS320C6412AGNZA6</v>
      </c>
      <c r="B26729" s="3" t="str">
        <f>HYPERLINK("https://www.773grp.com/manufacturer/texas-instruments?pageNo=94", "Texas Instruments")</f>
        <v>Texas Instruments</v>
      </c>
      <c r="C26729" s="5">
        <v>13</v>
      </c>
      <c r="D26729" s="6">
        <v>141.46</v>
      </c>
    </row>
    <row r="26730" spans="1:4" x14ac:dyDescent="0.25">
      <c r="A26730" t="str">
        <f>HYPERLINK("https://www.773grp.com/globalSearch/SMJ61CD16LA-35JDM/page-1", "SMJ61CD16LA-35JDM")</f>
        <v>SMJ61CD16LA-35JDM</v>
      </c>
      <c r="B26730" s="3" t="str">
        <f>HYPERLINK("https://www.773grp.com/manufacturer/texas-instruments?pageNo=100", "Texas Instruments")</f>
        <v>Texas Instruments</v>
      </c>
      <c r="C26730" s="5">
        <v>195</v>
      </c>
      <c r="D26730" s="6">
        <v>142.56</v>
      </c>
    </row>
    <row r="26731" spans="1:4" x14ac:dyDescent="0.25">
      <c r="A26731" t="str">
        <f>HYPERLINK("https://www.773grp.com/globalSearch/SMJ64C16L-35JDM/page-1", "SMJ64C16L-35JDM")</f>
        <v>SMJ64C16L-35JDM</v>
      </c>
      <c r="B26731" s="3" t="str">
        <f>HYPERLINK("https://www.773grp.com/manufacturer/texas-instruments?pageNo=101", "Texas Instruments")</f>
        <v>Texas Instruments</v>
      </c>
      <c r="C26731" s="5">
        <v>1329</v>
      </c>
      <c r="D26731" s="6">
        <v>142.56</v>
      </c>
    </row>
    <row r="26732" spans="1:4" x14ac:dyDescent="0.25">
      <c r="A26732" t="str">
        <f>HYPERLINK("https://www.773grp.com/globalSearch/PTB48530AAZ/page-1", "PTB48530AAZ")</f>
        <v>PTB48530AAZ</v>
      </c>
      <c r="B26732" s="3" t="str">
        <f>HYPERLINK("https://www.773grp.com/manufacturer/texas-instruments?pageNo=103", "Texas Instruments")</f>
        <v>Texas Instruments</v>
      </c>
      <c r="C26732" s="5">
        <v>90</v>
      </c>
      <c r="D26732" s="6">
        <v>143.01</v>
      </c>
    </row>
    <row r="26733" spans="1:4" x14ac:dyDescent="0.25">
      <c r="A26733" t="str">
        <f>HYPERLINK("https://www.773grp.com/globalSearch/UC1861J-883B/page-1", "UC1861J-883B")</f>
        <v>UC1861J-883B</v>
      </c>
      <c r="B26733" s="3" t="str">
        <f>HYPERLINK("https://www.773grp.com/manufacturer/texas-instruments?pageNo=104", "Texas Instruments")</f>
        <v>Texas Instruments</v>
      </c>
      <c r="C26733" s="5">
        <v>170</v>
      </c>
      <c r="D26733" s="6">
        <v>143.05000000000001</v>
      </c>
    </row>
    <row r="26734" spans="1:4" x14ac:dyDescent="0.25">
      <c r="A26734" t="str">
        <f>HYPERLINK("https://www.773grp.com/globalSearch/UC1865J-883B/page-1", "UC1865J-883B")</f>
        <v>UC1865J-883B</v>
      </c>
      <c r="B26734" s="3" t="str">
        <f>HYPERLINK("https://www.773grp.com/manufacturer/texas-instruments?pageNo=105", "Texas Instruments")</f>
        <v>Texas Instruments</v>
      </c>
      <c r="C26734" s="5">
        <v>306</v>
      </c>
      <c r="D26734" s="6">
        <v>143.05000000000001</v>
      </c>
    </row>
    <row r="26735" spans="1:4" x14ac:dyDescent="0.25">
      <c r="A26735" t="str">
        <f>HYPERLINK("https://www.773grp.com/globalSearch/TMX320DM8148BCYE/page-1", "TMX320DM8148BCYE")</f>
        <v>TMX320DM8148BCYE</v>
      </c>
      <c r="B26735" s="3" t="str">
        <f>HYPERLINK("https://www.773grp.com/manufacturer/texas-instruments?pageNo=107", "Texas Instruments")</f>
        <v>Texas Instruments</v>
      </c>
      <c r="C26735" s="5">
        <v>1264</v>
      </c>
      <c r="D26735" s="6">
        <v>143.44</v>
      </c>
    </row>
    <row r="26736" spans="1:4" x14ac:dyDescent="0.25">
      <c r="A26736" t="str">
        <f>HYPERLINK("https://www.773grp.com/globalSearch/PCM55HP-1-1K/page-1", "PCM55HP-1-1K")</f>
        <v>PCM55HP-1-1K</v>
      </c>
      <c r="B26736" s="3" t="str">
        <f>HYPERLINK("https://www.773grp.com/manufacturer/texas-instruments?pageNo=118", "Texas Instruments")</f>
        <v>Texas Instruments</v>
      </c>
      <c r="C26736" s="5">
        <v>995</v>
      </c>
      <c r="D26736" s="6">
        <v>145.55000000000001</v>
      </c>
    </row>
    <row r="26737" spans="1:4" x14ac:dyDescent="0.25">
      <c r="A26737" t="str">
        <f>HYPERLINK("https://www.773grp.com/globalSearch/SN65HVD233SHKQ/page-1", "SN65HVD233SHKQ")</f>
        <v>SN65HVD233SHKQ</v>
      </c>
      <c r="B26737" s="3" t="str">
        <f>HYPERLINK("https://www.773grp.com/manufacturer/texas-instruments?pageNo=120", "Texas Instruments")</f>
        <v>Texas Instruments</v>
      </c>
      <c r="C26737" s="5">
        <v>3</v>
      </c>
      <c r="D26737" s="6">
        <v>146.25</v>
      </c>
    </row>
    <row r="26738" spans="1:4" x14ac:dyDescent="0.25">
      <c r="A26738" t="str">
        <f>HYPERLINK("https://www.773grp.com/globalSearch/SNJ55501CJ/page-1", "SNJ55501CJ")</f>
        <v>SNJ55501CJ</v>
      </c>
      <c r="B26738" s="3" t="str">
        <f>HYPERLINK("https://www.773grp.com/manufacturer/texas-instruments?pageNo=124", "Texas Instruments")</f>
        <v>Texas Instruments</v>
      </c>
      <c r="C26738" s="5">
        <v>238</v>
      </c>
      <c r="D26738" s="6">
        <v>147.66</v>
      </c>
    </row>
    <row r="26739" spans="1:4" x14ac:dyDescent="0.25">
      <c r="A26739" t="str">
        <f>HYPERLINK("https://www.773grp.com/globalSearch/TMX320C6415GLZ/page-1", "TMX320C6415GLZ")</f>
        <v>TMX320C6415GLZ</v>
      </c>
      <c r="B26739" s="3" t="str">
        <f>HYPERLINK("https://www.773grp.com/manufacturer/texas-instruments?pageNo=127", "Texas Instruments")</f>
        <v>Texas Instruments</v>
      </c>
      <c r="C26739" s="5">
        <v>14</v>
      </c>
      <c r="D26739" s="6">
        <v>148.44999999999999</v>
      </c>
    </row>
    <row r="26740" spans="1:4" x14ac:dyDescent="0.25">
      <c r="A26740" t="str">
        <f>HYPERLINK("https://www.773grp.com/globalSearch/PTB48510BAS/page-1", "PTB48510BAS")</f>
        <v>PTB48510BAS</v>
      </c>
      <c r="B26740" s="3" t="str">
        <f>HYPERLINK("https://www.773grp.com/manufacturer/texas-instruments?pageNo=129", "Texas Instruments")</f>
        <v>Texas Instruments</v>
      </c>
      <c r="C26740" s="5">
        <v>50</v>
      </c>
      <c r="D26740" s="6">
        <v>148.79</v>
      </c>
    </row>
    <row r="26741" spans="1:4" x14ac:dyDescent="0.25">
      <c r="A26741" t="str">
        <f>HYPERLINK("https://www.773grp.com/globalSearch/PTB48510CAH/page-1", "PTB48510CAH")</f>
        <v>PTB48510CAH</v>
      </c>
      <c r="B26741" s="3" t="str">
        <f>HYPERLINK("https://www.773grp.com/manufacturer/texas-instruments?pageNo=131", "Texas Instruments")</f>
        <v>Texas Instruments</v>
      </c>
      <c r="C26741" s="5">
        <v>9</v>
      </c>
      <c r="D26741" s="6">
        <v>148.79</v>
      </c>
    </row>
    <row r="26742" spans="1:4" x14ac:dyDescent="0.25">
      <c r="A26742" t="str">
        <f>HYPERLINK("https://www.773grp.com/globalSearch/PTB48511AAH/page-1", "PTB48511AAH")</f>
        <v>PTB48511AAH</v>
      </c>
      <c r="B26742" s="3" t="str">
        <f>HYPERLINK("https://www.773grp.com/manufacturer/texas-instruments?pageNo=133", "Texas Instruments")</f>
        <v>Texas Instruments</v>
      </c>
      <c r="C26742" s="5">
        <v>18</v>
      </c>
      <c r="D26742" s="6">
        <v>148.79</v>
      </c>
    </row>
    <row r="26743" spans="1:4" x14ac:dyDescent="0.25">
      <c r="A26743" t="str">
        <f>HYPERLINK("https://www.773grp.com/globalSearch/SMX54LS323J/page-1", "SMX54LS323J")</f>
        <v>SMX54LS323J</v>
      </c>
      <c r="B26743" s="3" t="str">
        <f>HYPERLINK("https://www.773grp.com/manufacturer/texas-instruments?pageNo=134", "Texas Instruments")</f>
        <v>Texas Instruments</v>
      </c>
      <c r="C26743" s="5">
        <v>376</v>
      </c>
      <c r="D26743" s="6">
        <v>148.79</v>
      </c>
    </row>
    <row r="26744" spans="1:4" x14ac:dyDescent="0.25">
      <c r="A26744" t="str">
        <f>HYPERLINK("https://www.773grp.com/globalSearch/SMX54LS323W/page-1", "SMX54LS323W")</f>
        <v>SMX54LS323W</v>
      </c>
      <c r="B26744" s="3" t="str">
        <f>HYPERLINK("https://www.773grp.com/manufacturer/texas-instruments?pageNo=135", "Texas Instruments")</f>
        <v>Texas Instruments</v>
      </c>
      <c r="C26744" s="5">
        <v>61</v>
      </c>
      <c r="D26744" s="6">
        <v>148.79</v>
      </c>
    </row>
    <row r="26745" spans="1:4" x14ac:dyDescent="0.25">
      <c r="A26745" t="str">
        <f>HYPERLINK("https://www.773grp.com/globalSearch/SMX54LS123J/page-1", "SMX54LS123J")</f>
        <v>SMX54LS123J</v>
      </c>
      <c r="B26745" s="3" t="str">
        <f>HYPERLINK("https://www.773grp.com/manufacturer/texas-instruments?pageNo=139", "Texas Instruments")</f>
        <v>Texas Instruments</v>
      </c>
      <c r="C26745" s="5">
        <v>313</v>
      </c>
      <c r="D26745" s="6">
        <v>149.51</v>
      </c>
    </row>
    <row r="26746" spans="1:4" x14ac:dyDescent="0.25">
      <c r="A26746" t="str">
        <f>HYPERLINK("https://www.773grp.com/globalSearch/SMX54LS139J/page-1", "SMX54LS139J")</f>
        <v>SMX54LS139J</v>
      </c>
      <c r="B26746" s="3" t="str">
        <f>HYPERLINK("https://www.773grp.com/manufacturer/texas-instruments?pageNo=140", "Texas Instruments")</f>
        <v>Texas Instruments</v>
      </c>
      <c r="C26746" s="5">
        <v>233</v>
      </c>
      <c r="D26746" s="6">
        <v>149.51</v>
      </c>
    </row>
    <row r="26747" spans="1:4" x14ac:dyDescent="0.25">
      <c r="A26747" t="str">
        <f>HYPERLINK("https://www.773grp.com/globalSearch/SMX54LS165J/page-1", "SMX54LS165J")</f>
        <v>SMX54LS165J</v>
      </c>
      <c r="B26747" s="3" t="str">
        <f>HYPERLINK("https://www.773grp.com/manufacturer/texas-instruments?pageNo=141", "Texas Instruments")</f>
        <v>Texas Instruments</v>
      </c>
      <c r="C26747" s="5">
        <v>744</v>
      </c>
      <c r="D26747" s="6">
        <v>149.51</v>
      </c>
    </row>
    <row r="26748" spans="1:4" x14ac:dyDescent="0.25">
      <c r="A26748" t="str">
        <f>HYPERLINK("https://www.773grp.com/globalSearch/SMX54LS221J/page-1", "SMX54LS221J")</f>
        <v>SMX54LS221J</v>
      </c>
      <c r="B26748" s="3" t="str">
        <f>HYPERLINK("https://www.773grp.com/manufacturer/texas-instruments?pageNo=142", "Texas Instruments")</f>
        <v>Texas Instruments</v>
      </c>
      <c r="C26748" s="5">
        <v>13</v>
      </c>
      <c r="D26748" s="6">
        <v>149.51</v>
      </c>
    </row>
    <row r="26749" spans="1:4" x14ac:dyDescent="0.25">
      <c r="A26749" t="str">
        <f>HYPERLINK("https://www.773grp.com/globalSearch/SMX54LS253J/page-1", "SMX54LS253J")</f>
        <v>SMX54LS253J</v>
      </c>
      <c r="B26749" s="3" t="str">
        <f>HYPERLINK("https://www.773grp.com/manufacturer/texas-instruments?pageNo=143", "Texas Instruments")</f>
        <v>Texas Instruments</v>
      </c>
      <c r="C26749" s="5">
        <v>377</v>
      </c>
      <c r="D26749" s="6">
        <v>149.51</v>
      </c>
    </row>
    <row r="26750" spans="1:4" x14ac:dyDescent="0.25">
      <c r="A26750" t="str">
        <f>HYPERLINK("https://www.773grp.com/globalSearch/SMX54LS280J/page-1", "SMX54LS280J")</f>
        <v>SMX54LS280J</v>
      </c>
      <c r="B26750" s="3" t="str">
        <f>HYPERLINK("https://www.773grp.com/manufacturer/texas-instruments?pageNo=144", "Texas Instruments")</f>
        <v>Texas Instruments</v>
      </c>
      <c r="C26750" s="5">
        <v>589</v>
      </c>
      <c r="D26750" s="6">
        <v>149.51</v>
      </c>
    </row>
    <row r="26751" spans="1:4" x14ac:dyDescent="0.25">
      <c r="A26751" t="str">
        <f>HYPERLINK("https://www.773grp.com/globalSearch/SMX54LS283J/page-1", "SMX54LS283J")</f>
        <v>SMX54LS283J</v>
      </c>
      <c r="B26751" s="3" t="str">
        <f>HYPERLINK("https://www.773grp.com/manufacturer/texas-instruments?pageNo=145", "Texas Instruments")</f>
        <v>Texas Instruments</v>
      </c>
      <c r="C26751" s="5">
        <v>462</v>
      </c>
      <c r="D26751" s="6">
        <v>149.51</v>
      </c>
    </row>
    <row r="26752" spans="1:4" x14ac:dyDescent="0.25">
      <c r="A26752" t="str">
        <f>HYPERLINK("https://www.773grp.com/globalSearch/SMX54LS377J/page-1", "SMX54LS377J")</f>
        <v>SMX54LS377J</v>
      </c>
      <c r="B26752" s="3" t="str">
        <f>HYPERLINK("https://www.773grp.com/manufacturer/texas-instruments?pageNo=146", "Texas Instruments")</f>
        <v>Texas Instruments</v>
      </c>
      <c r="C26752" s="5">
        <v>746</v>
      </c>
      <c r="D26752" s="6">
        <v>149.51</v>
      </c>
    </row>
    <row r="26753" spans="1:4" x14ac:dyDescent="0.25">
      <c r="A26753" t="str">
        <f>HYPERLINK("https://www.773grp.com/globalSearch/SMX54LS390J/page-1", "SMX54LS390J")</f>
        <v>SMX54LS390J</v>
      </c>
      <c r="B26753" s="3" t="str">
        <f>HYPERLINK("https://www.773grp.com/manufacturer/texas-instruments?pageNo=147", "Texas Instruments")</f>
        <v>Texas Instruments</v>
      </c>
      <c r="C26753" s="5">
        <v>629</v>
      </c>
      <c r="D26753" s="6">
        <v>149.51</v>
      </c>
    </row>
    <row r="26754" spans="1:4" x14ac:dyDescent="0.25">
      <c r="A26754" t="str">
        <f>HYPERLINK("https://www.773grp.com/globalSearch/SMX54S139J/page-1", "SMX54S139J")</f>
        <v>SMX54S139J</v>
      </c>
      <c r="B26754" s="3" t="str">
        <f>HYPERLINK("https://www.773grp.com/manufacturer/texas-instruments?pageNo=148", "Texas Instruments")</f>
        <v>Texas Instruments</v>
      </c>
      <c r="C26754" s="5">
        <v>53</v>
      </c>
      <c r="D26754" s="6">
        <v>149.51</v>
      </c>
    </row>
    <row r="26755" spans="1:4" x14ac:dyDescent="0.25">
      <c r="A26755" t="str">
        <f>HYPERLINK("https://www.773grp.com/globalSearch/SMX54S139W/page-1", "SMX54S139W")</f>
        <v>SMX54S139W</v>
      </c>
      <c r="B26755" s="3" t="str">
        <f>HYPERLINK("https://www.773grp.com/manufacturer/texas-instruments?pageNo=149", "Texas Instruments")</f>
        <v>Texas Instruments</v>
      </c>
      <c r="C26755" s="5">
        <v>100</v>
      </c>
      <c r="D26755" s="6">
        <v>149.51</v>
      </c>
    </row>
    <row r="26756" spans="1:4" x14ac:dyDescent="0.25">
      <c r="A26756" t="str">
        <f>HYPERLINK("https://www.773grp.com/globalSearch/PT4562N/page-1", "PT4562N")</f>
        <v>PT4562N</v>
      </c>
      <c r="B26756" s="3" t="str">
        <f>HYPERLINK("https://www.773grp.com/manufacturer/texas-instruments?pageNo=154", "Texas Instruments")</f>
        <v>Texas Instruments</v>
      </c>
      <c r="C26756" s="5">
        <v>3</v>
      </c>
      <c r="D26756" s="6">
        <v>149.63</v>
      </c>
    </row>
    <row r="26757" spans="1:4" x14ac:dyDescent="0.25">
      <c r="A26757" t="str">
        <f>HYPERLINK("https://www.773grp.com/globalSearch/PT4564C/page-1", "PT4564C")</f>
        <v>PT4564C</v>
      </c>
      <c r="B26757" s="3" t="str">
        <f>HYPERLINK("https://www.773grp.com/manufacturer/texas-instruments?pageNo=158", "Texas Instruments")</f>
        <v>Texas Instruments</v>
      </c>
      <c r="C26757" s="5">
        <v>3</v>
      </c>
      <c r="D26757" s="6">
        <v>149.63</v>
      </c>
    </row>
    <row r="26758" spans="1:4" x14ac:dyDescent="0.25">
      <c r="A26758" t="str">
        <f>HYPERLINK("https://www.773grp.com/globalSearch/PT4584A/page-1", "PT4584A")</f>
        <v>PT4584A</v>
      </c>
      <c r="B26758" s="3" t="str">
        <f>HYPERLINK("https://www.773grp.com/manufacturer/texas-instruments?pageNo=166", "Texas Instruments")</f>
        <v>Texas Instruments</v>
      </c>
      <c r="C26758" s="5">
        <v>8</v>
      </c>
      <c r="D26758" s="6">
        <v>149.63</v>
      </c>
    </row>
    <row r="26759" spans="1:4" x14ac:dyDescent="0.25">
      <c r="A26759" t="str">
        <f>HYPERLINK("https://www.773grp.com/globalSearch/TMS320LC548GGU-80/page-1", "TMS320LC548GGU-80")</f>
        <v>TMS320LC548GGU-80</v>
      </c>
      <c r="B26759" s="3" t="str">
        <f>HYPERLINK("https://www.773grp.com/manufacturer/texas-instruments?pageNo=168", "Texas Instruments")</f>
        <v>Texas Instruments</v>
      </c>
      <c r="C26759" s="5">
        <v>675</v>
      </c>
      <c r="D26759" s="6">
        <v>150.28</v>
      </c>
    </row>
    <row r="26760" spans="1:4" x14ac:dyDescent="0.25">
      <c r="A26760" t="str">
        <f>HYPERLINK("https://www.773grp.com/globalSearch/SMX54S260J/page-1", "SMX54S260J")</f>
        <v>SMX54S260J</v>
      </c>
      <c r="B26760" s="3" t="str">
        <f>HYPERLINK("https://www.773grp.com/manufacturer/texas-instruments?pageNo=175", "Texas Instruments")</f>
        <v>Texas Instruments</v>
      </c>
      <c r="C26760" s="5">
        <v>589</v>
      </c>
      <c r="D26760" s="6">
        <v>151.38</v>
      </c>
    </row>
    <row r="26761" spans="1:4" x14ac:dyDescent="0.25">
      <c r="A26761" t="str">
        <f>HYPERLINK("https://www.773grp.com/globalSearch/SMX54S260W/page-1", "SMX54S260W")</f>
        <v>SMX54S260W</v>
      </c>
      <c r="B26761" s="3" t="str">
        <f>HYPERLINK("https://www.773grp.com/manufacturer/texas-instruments?pageNo=176", "Texas Instruments")</f>
        <v>Texas Instruments</v>
      </c>
      <c r="C26761" s="5">
        <v>488</v>
      </c>
      <c r="D26761" s="6">
        <v>151.38</v>
      </c>
    </row>
    <row r="26762" spans="1:4" x14ac:dyDescent="0.25">
      <c r="A26762" t="str">
        <f>HYPERLINK("https://www.773grp.com/globalSearch/AFE5807ZCF/page-1", "AFE5807ZCF")</f>
        <v>AFE5807ZCF</v>
      </c>
      <c r="B26762" s="3" t="str">
        <f>HYPERLINK("https://www.773grp.com/manufacturer/texas-instruments?pageNo=179", "Texas Instruments")</f>
        <v>Texas Instruments</v>
      </c>
      <c r="C26762" s="5">
        <v>166</v>
      </c>
      <c r="D26762" s="6">
        <v>151.88</v>
      </c>
    </row>
    <row r="26763" spans="1:4" x14ac:dyDescent="0.25">
      <c r="A26763" t="str">
        <f>HYPERLINK("https://www.773grp.com/globalSearch/TMS320DM8148BCYE1/page-1", "TMS320DM8148BCYE1")</f>
        <v>TMS320DM8148BCYE1</v>
      </c>
      <c r="B26763" s="3" t="str">
        <f>HYPERLINK("https://www.773grp.com/manufacturer/texas-instruments?pageNo=183", "Texas Instruments")</f>
        <v>Texas Instruments</v>
      </c>
      <c r="C26763" s="5">
        <v>20</v>
      </c>
      <c r="D26763" s="6">
        <v>153.56</v>
      </c>
    </row>
    <row r="26764" spans="1:4" x14ac:dyDescent="0.25">
      <c r="A26764" t="str">
        <f>HYPERLINK("https://www.773grp.com/globalSearch/PT3108A/page-1", "PT3108A")</f>
        <v>PT3108A</v>
      </c>
      <c r="B26764" s="3" t="str">
        <f>HYPERLINK("https://www.773grp.com/manufacturer/texas-instruments?pageNo=186", "Texas Instruments")</f>
        <v>Texas Instruments</v>
      </c>
      <c r="C26764" s="5">
        <v>9</v>
      </c>
      <c r="D26764" s="6">
        <v>153.94999999999999</v>
      </c>
    </row>
    <row r="26765" spans="1:4" x14ac:dyDescent="0.25">
      <c r="A26765" t="str">
        <f>HYPERLINK("https://www.773grp.com/globalSearch/LM117GW-883/page-1", "LM117GW-883")</f>
        <v>LM117GW-883</v>
      </c>
      <c r="B26765" s="3" t="str">
        <f>HYPERLINK("https://www.773grp.com/manufacturer/texas-instruments?pageNo=193", "Texas Instruments")</f>
        <v>Texas Instruments</v>
      </c>
      <c r="C26765" s="5">
        <v>525</v>
      </c>
      <c r="D26765" s="6">
        <v>154.69</v>
      </c>
    </row>
    <row r="26766" spans="1:4" x14ac:dyDescent="0.25">
      <c r="A26766" t="str">
        <f>HYPERLINK("https://www.773grp.com/globalSearch/MSP430F2619SPM/page-1", "MSP430F2619SPM")</f>
        <v>MSP430F2619SPM</v>
      </c>
      <c r="B26766" s="3" t="str">
        <f>HYPERLINK("https://www.773grp.com/manufacturer/texas-instruments?pageNo=194", "Texas Instruments")</f>
        <v>Texas Instruments</v>
      </c>
      <c r="C26766" s="5">
        <v>15</v>
      </c>
      <c r="D26766" s="6">
        <v>154.69</v>
      </c>
    </row>
    <row r="26767" spans="1:4" x14ac:dyDescent="0.25">
      <c r="A26767" t="str">
        <f>HYPERLINK("https://www.773grp.com/globalSearch/SN65HVD11SHKQ/page-1", "SN65HVD11SHKQ")</f>
        <v>SN65HVD11SHKQ</v>
      </c>
      <c r="B26767" s="3" t="str">
        <f>HYPERLINK("https://www.773grp.com/manufacturer/texas-instruments?pageNo=195", "Texas Instruments")</f>
        <v>Texas Instruments</v>
      </c>
      <c r="C26767" s="5">
        <v>10</v>
      </c>
      <c r="D26767" s="6">
        <v>154.69</v>
      </c>
    </row>
    <row r="26768" spans="1:4" x14ac:dyDescent="0.25">
      <c r="A26768" t="str">
        <f>HYPERLINK("https://www.773grp.com/globalSearch/TMS320DM648ZUTD7/page-1", "TMS320DM648ZUTD7")</f>
        <v>TMS320DM648ZUTD7</v>
      </c>
      <c r="B26768" s="3" t="str">
        <f>HYPERLINK("https://www.773grp.com/manufacturer/texas-instruments?pageNo=205", "Texas Instruments")</f>
        <v>Texas Instruments</v>
      </c>
      <c r="C26768" s="5">
        <v>16</v>
      </c>
      <c r="D26768" s="6">
        <v>156.51</v>
      </c>
    </row>
    <row r="26769" spans="1:4" x14ac:dyDescent="0.25">
      <c r="A26769" t="str">
        <f>HYPERLINK("https://www.773grp.com/globalSearch/SN55000JN/page-1", "SN55000JN")</f>
        <v>SN55000JN</v>
      </c>
      <c r="B26769" s="3" t="str">
        <f>HYPERLINK("https://www.773grp.com/manufacturer/texas-instruments?pageNo=209", "Texas Instruments")</f>
        <v>Texas Instruments</v>
      </c>
      <c r="C26769" s="5">
        <v>1249</v>
      </c>
      <c r="D26769" s="6">
        <v>157.5</v>
      </c>
    </row>
    <row r="26770" spans="1:4" x14ac:dyDescent="0.25">
      <c r="A26770" t="str">
        <f>HYPERLINK("https://www.773grp.com/globalSearch/ADS5292IPFP/page-1", "ADS5292IPFP")</f>
        <v>ADS5292IPFP</v>
      </c>
      <c r="B26770" s="3" t="str">
        <f>HYPERLINK("https://www.773grp.com/manufacturer/texas-instruments?pageNo=211", "Texas Instruments")</f>
        <v>Texas Instruments</v>
      </c>
      <c r="C26770" s="5">
        <v>181</v>
      </c>
      <c r="D26770" s="6">
        <v>158.91</v>
      </c>
    </row>
    <row r="26771" spans="1:4" x14ac:dyDescent="0.25">
      <c r="A26771" t="str">
        <f>HYPERLINK("https://www.773grp.com/globalSearch/UC7805AL-81176/page-1", "UC7805AL-81176")</f>
        <v>UC7805AL-81176</v>
      </c>
      <c r="B26771" s="3" t="str">
        <f>HYPERLINK("https://www.773grp.com/manufacturer/texas-instruments?pageNo=212", "Texas Instruments")</f>
        <v>Texas Instruments</v>
      </c>
      <c r="C26771" s="5">
        <v>404</v>
      </c>
      <c r="D26771" s="6">
        <v>159.72999999999999</v>
      </c>
    </row>
    <row r="26772" spans="1:4" x14ac:dyDescent="0.25">
      <c r="A26772" t="str">
        <f>HYPERLINK("https://www.773grp.com/globalSearch/UCC1912SP-81318/page-1", "UCC1912SP-81318")</f>
        <v>UCC1912SP-81318</v>
      </c>
      <c r="B26772" s="3" t="str">
        <f>HYPERLINK("https://www.773grp.com/manufacturer/texas-instruments?pageNo=213", "Texas Instruments")</f>
        <v>Texas Instruments</v>
      </c>
      <c r="C26772" s="5">
        <v>268</v>
      </c>
      <c r="D26772" s="6">
        <v>159.75</v>
      </c>
    </row>
    <row r="26773" spans="1:4" x14ac:dyDescent="0.25">
      <c r="A26773" t="str">
        <f>HYPERLINK("https://www.773grp.com/globalSearch/OPA2333SHKQ/page-1", "OPA2333SHKQ")</f>
        <v>OPA2333SHKQ</v>
      </c>
      <c r="B26773" s="3" t="str">
        <f>HYPERLINK("https://www.773grp.com/manufacturer/texas-instruments?pageNo=215", "Texas Instruments")</f>
        <v>Texas Instruments</v>
      </c>
      <c r="C26773" s="5">
        <v>16</v>
      </c>
      <c r="D26773" s="6">
        <v>160.31</v>
      </c>
    </row>
    <row r="26774" spans="1:4" x14ac:dyDescent="0.25">
      <c r="A26774" t="str">
        <f>HYPERLINK("https://www.773grp.com/globalSearch/TMS320DM642AGNZ7/page-1", "TMS320DM642AGNZ7")</f>
        <v>TMS320DM642AGNZ7</v>
      </c>
      <c r="B26774" s="3" t="str">
        <f>HYPERLINK("https://www.773grp.com/manufacturer/texas-instruments?pageNo=217", "Texas Instruments")</f>
        <v>Texas Instruments</v>
      </c>
      <c r="C26774" s="5">
        <v>749</v>
      </c>
      <c r="D26774" s="6">
        <v>160.31</v>
      </c>
    </row>
    <row r="26775" spans="1:4" x14ac:dyDescent="0.25">
      <c r="A26775" t="str">
        <f>HYPERLINK("https://www.773grp.com/globalSearch/UC1717SP-883B/page-1", "UC1717SP-883B")</f>
        <v>UC1717SP-883B</v>
      </c>
      <c r="B26775" s="3" t="str">
        <f>HYPERLINK("https://www.773grp.com/manufacturer/texas-instruments?pageNo=225", "Texas Instruments")</f>
        <v>Texas Instruments</v>
      </c>
      <c r="C26775" s="5">
        <v>2</v>
      </c>
      <c r="D26775" s="6">
        <v>162.18</v>
      </c>
    </row>
    <row r="26776" spans="1:4" x14ac:dyDescent="0.25">
      <c r="A26776" t="str">
        <f>HYPERLINK("https://www.773grp.com/globalSearch/TMS320DM648ZUTA8/page-1", "TMS320DM648ZUTA8")</f>
        <v>TMS320DM648ZUTA8</v>
      </c>
      <c r="B26776" s="3" t="str">
        <f>HYPERLINK("https://www.773grp.com/manufacturer/texas-instruments?pageNo=230", "Texas Instruments")</f>
        <v>Texas Instruments</v>
      </c>
      <c r="C26776" s="5">
        <v>16</v>
      </c>
      <c r="D26776" s="6">
        <v>162.97999999999999</v>
      </c>
    </row>
    <row r="26777" spans="1:4" x14ac:dyDescent="0.25">
      <c r="A26777" t="str">
        <f>HYPERLINK("https://www.773grp.com/globalSearch/AFE5808AZCF/page-1", "AFE5808AZCF")</f>
        <v>AFE5808AZCF</v>
      </c>
      <c r="B26777" s="3" t="str">
        <f>HYPERLINK("https://www.773grp.com/manufacturer/texas-instruments?pageNo=232", "Texas Instruments")</f>
        <v>Texas Instruments</v>
      </c>
      <c r="C26777" s="5">
        <v>331</v>
      </c>
      <c r="D26777" s="6">
        <v>163.13</v>
      </c>
    </row>
    <row r="26778" spans="1:4" x14ac:dyDescent="0.25">
      <c r="A26778" t="str">
        <f>HYPERLINK("https://www.773grp.com/globalSearch/AFE5808ZCF/page-1", "AFE5808ZCF")</f>
        <v>AFE5808ZCF</v>
      </c>
      <c r="B26778" s="3" t="str">
        <f>HYPERLINK("https://www.773grp.com/manufacturer/texas-instruments?pageNo=233", "Texas Instruments")</f>
        <v>Texas Instruments</v>
      </c>
      <c r="C26778" s="5">
        <v>425</v>
      </c>
      <c r="D26778" s="6">
        <v>163.13</v>
      </c>
    </row>
    <row r="26779" spans="1:4" x14ac:dyDescent="0.25">
      <c r="A26779" t="str">
        <f>HYPERLINK("https://www.773grp.com/globalSearch/EZ430-CHRONOS-433/page-1", "EZ430-CHRONOS-433")</f>
        <v>EZ430-CHRONOS-433</v>
      </c>
      <c r="B26779" s="3" t="str">
        <f>HYPERLINK("https://www.773grp.com/manufacturer/texas-instruments?pageNo=234", "Texas Instruments")</f>
        <v>Texas Instruments</v>
      </c>
      <c r="C26779" s="5">
        <v>17</v>
      </c>
      <c r="D26779" s="6">
        <v>163.13</v>
      </c>
    </row>
    <row r="26780" spans="1:4" x14ac:dyDescent="0.25">
      <c r="A26780" t="str">
        <f>HYPERLINK("https://www.773grp.com/globalSearch/EZ430-CHRONOS-915/page-1", "EZ430-CHRONOS-915")</f>
        <v>EZ430-CHRONOS-915</v>
      </c>
      <c r="B26780" s="3" t="str">
        <f>HYPERLINK("https://www.773grp.com/manufacturer/texas-instruments?pageNo=235", "Texas Instruments")</f>
        <v>Texas Instruments</v>
      </c>
      <c r="C26780" s="5">
        <v>46</v>
      </c>
      <c r="D26780" s="6">
        <v>163.13</v>
      </c>
    </row>
    <row r="26781" spans="1:4" x14ac:dyDescent="0.25">
      <c r="A26781" t="str">
        <f>HYPERLINK("https://www.773grp.com/globalSearch/MSP-FET430PIF/page-1", "MSP-FET430PIF")</f>
        <v>MSP-FET430PIF</v>
      </c>
      <c r="B26781" s="3" t="str">
        <f>HYPERLINK("https://www.773grp.com/manufacturer/texas-instruments?pageNo=236", "Texas Instruments")</f>
        <v>Texas Instruments</v>
      </c>
      <c r="C26781" s="5">
        <v>17</v>
      </c>
      <c r="D26781" s="6">
        <v>163.13</v>
      </c>
    </row>
    <row r="26782" spans="1:4" x14ac:dyDescent="0.25">
      <c r="A26782" t="str">
        <f>HYPERLINK("https://www.773grp.com/globalSearch/MSP-FET430PIF/page-1", "MSP-FET430PIF")</f>
        <v>MSP-FET430PIF</v>
      </c>
      <c r="B26782" s="3" t="str">
        <f>HYPERLINK("https://www.773grp.com/manufacturer/texas-instruments?pageNo=237", "Texas Instruments")</f>
        <v>Texas Instruments</v>
      </c>
      <c r="C26782" s="5">
        <v>3</v>
      </c>
      <c r="D26782" s="6">
        <v>163.13</v>
      </c>
    </row>
    <row r="26783" spans="1:4" x14ac:dyDescent="0.25">
      <c r="A26783" t="str">
        <f>HYPERLINK("https://www.773grp.com/globalSearch/PT3322C/page-1", "PT3322C")</f>
        <v>PT3322C</v>
      </c>
      <c r="B26783" s="3" t="str">
        <f>HYPERLINK("https://www.773grp.com/manufacturer/texas-instruments?pageNo=240", "Texas Instruments")</f>
        <v>Texas Instruments</v>
      </c>
      <c r="C26783" s="5">
        <v>1</v>
      </c>
      <c r="D26783" s="6">
        <v>163.19</v>
      </c>
    </row>
    <row r="26784" spans="1:4" x14ac:dyDescent="0.25">
      <c r="A26784" t="str">
        <f>HYPERLINK("https://www.773grp.com/globalSearch/SMJ68CE16L-35JDM/page-1", "SMJ68CE16L-35JDM")</f>
        <v>SMJ68CE16L-35JDM</v>
      </c>
      <c r="B26784" s="3" t="str">
        <f>HYPERLINK("https://www.773grp.com/manufacturer/texas-instruments?pageNo=253", "Texas Instruments")</f>
        <v>Texas Instruments</v>
      </c>
      <c r="C26784" s="5">
        <v>381</v>
      </c>
      <c r="D26784" s="6">
        <v>163.94</v>
      </c>
    </row>
    <row r="26785" spans="1:4" x14ac:dyDescent="0.25">
      <c r="A26785" t="str">
        <f>HYPERLINK("https://www.773grp.com/globalSearch/TMS62828L-85NW/page-1", "TMS62828L-85NW")</f>
        <v>TMS62828L-85NW</v>
      </c>
      <c r="B26785" s="3" t="str">
        <f>HYPERLINK("https://www.773grp.com/manufacturer/texas-instruments?pageNo=258", "Texas Instruments")</f>
        <v>Texas Instruments</v>
      </c>
      <c r="C26785" s="5">
        <v>301</v>
      </c>
      <c r="D26785" s="6">
        <v>164.4</v>
      </c>
    </row>
    <row r="26786" spans="1:4" x14ac:dyDescent="0.25">
      <c r="A26786" t="str">
        <f>HYPERLINK("https://www.773grp.com/globalSearch/TMS320DM8148CCYE2/page-1", "TMS320DM8148CCYE2")</f>
        <v>TMS320DM8148CCYE2</v>
      </c>
      <c r="B26786" s="3" t="str">
        <f>HYPERLINK("https://www.773grp.com/manufacturer/texas-instruments?pageNo=259", "Texas Instruments")</f>
        <v>Texas Instruments</v>
      </c>
      <c r="C26786" s="5">
        <v>337</v>
      </c>
      <c r="D26786" s="6">
        <v>164.54</v>
      </c>
    </row>
    <row r="26787" spans="1:4" x14ac:dyDescent="0.25">
      <c r="A26787" t="str">
        <f>HYPERLINK("https://www.773grp.com/globalSearch/DAC3484IRKDR/page-1", "DAC3484IRKDR")</f>
        <v>DAC3484IRKDR</v>
      </c>
      <c r="B26787" s="3" t="str">
        <f>HYPERLINK("https://www.773grp.com/manufacturer/texas-instruments?pageNo=261", "Texas Instruments")</f>
        <v>Texas Instruments</v>
      </c>
      <c r="C26787" s="5">
        <v>2000</v>
      </c>
      <c r="D26787" s="6">
        <v>164.81</v>
      </c>
    </row>
    <row r="26788" spans="1:4" x14ac:dyDescent="0.25">
      <c r="A26788" t="str">
        <f>HYPERLINK("https://www.773grp.com/globalSearch/SMX54S32W/page-1", "SMX54S32W")</f>
        <v>SMX54S32W</v>
      </c>
      <c r="B26788" s="3" t="str">
        <f>HYPERLINK("https://www.773grp.com/manufacturer/texas-instruments?pageNo=266", "Texas Instruments")</f>
        <v>Texas Instruments</v>
      </c>
      <c r="C26788" s="5">
        <v>222</v>
      </c>
      <c r="D26788" s="6">
        <v>165.04</v>
      </c>
    </row>
    <row r="26789" spans="1:4" x14ac:dyDescent="0.25">
      <c r="A26789" t="str">
        <f>HYPERLINK("https://www.773grp.com/globalSearch/PT4104A/page-1", "PT4104A")</f>
        <v>PT4104A</v>
      </c>
      <c r="B26789" s="3" t="str">
        <f>HYPERLINK("https://www.773grp.com/manufacturer/texas-instruments?pageNo=271", "Texas Instruments")</f>
        <v>Texas Instruments</v>
      </c>
      <c r="C26789" s="5">
        <v>15</v>
      </c>
      <c r="D26789" s="6">
        <v>165.51</v>
      </c>
    </row>
    <row r="26790" spans="1:4" x14ac:dyDescent="0.25">
      <c r="A26790" t="str">
        <f>HYPERLINK("https://www.773grp.com/globalSearch/CC256XQFNEM/page-1", "CC256XQFNEM")</f>
        <v>CC256XQFNEM</v>
      </c>
      <c r="B26790" s="3" t="str">
        <f>HYPERLINK("https://www.773grp.com/manufacturer/texas-instruments?pageNo=273", "Texas Instruments")</f>
        <v>Texas Instruments</v>
      </c>
      <c r="C26790" s="5">
        <v>7</v>
      </c>
      <c r="D26790" s="6">
        <v>165.94</v>
      </c>
    </row>
    <row r="26791" spans="1:4" x14ac:dyDescent="0.25">
      <c r="A26791" t="str">
        <f>HYPERLINK("https://www.773grp.com/globalSearch/DK-LM3S9B96-FS8/page-1", "DK-LM3S9B96-FS8")</f>
        <v>DK-LM3S9B96-FS8</v>
      </c>
      <c r="B26791" s="3" t="str">
        <f>HYPERLINK("https://www.773grp.com/manufacturer/texas-instruments?pageNo=274", "Texas Instruments")</f>
        <v>Texas Instruments</v>
      </c>
      <c r="C26791" s="5">
        <v>19</v>
      </c>
      <c r="D26791" s="6">
        <v>165.94</v>
      </c>
    </row>
    <row r="26792" spans="1:4" x14ac:dyDescent="0.25">
      <c r="A26792" t="str">
        <f>HYPERLINK("https://www.773grp.com/globalSearch/EKS-LM3S1968/page-1", "EKS-LM3S1968")</f>
        <v>EKS-LM3S1968</v>
      </c>
      <c r="B26792" s="3" t="str">
        <f>HYPERLINK("https://www.773grp.com/manufacturer/texas-instruments?pageNo=275", "Texas Instruments")</f>
        <v>Texas Instruments</v>
      </c>
      <c r="C26792" s="5">
        <v>15</v>
      </c>
      <c r="D26792" s="6">
        <v>165.94</v>
      </c>
    </row>
    <row r="26793" spans="1:4" x14ac:dyDescent="0.25">
      <c r="A26793" t="str">
        <f>HYPERLINK("https://www.773grp.com/globalSearch/TMDSCNCD28035/page-1", "TMDSCNCD28035")</f>
        <v>TMDSCNCD28035</v>
      </c>
      <c r="B26793" s="3" t="str">
        <f>HYPERLINK("https://www.773grp.com/manufacturer/texas-instruments?pageNo=276", "Texas Instruments")</f>
        <v>Texas Instruments</v>
      </c>
      <c r="C26793" s="5">
        <v>5</v>
      </c>
      <c r="D26793" s="6">
        <v>165.94</v>
      </c>
    </row>
    <row r="26794" spans="1:4" x14ac:dyDescent="0.25">
      <c r="A26794" t="str">
        <f>HYPERLINK("https://www.773grp.com/globalSearch/TMDXCNCD28069/page-1", "TMDXCNCD28069")</f>
        <v>TMDXCNCD28069</v>
      </c>
      <c r="B26794" s="3" t="str">
        <f>HYPERLINK("https://www.773grp.com/manufacturer/texas-instruments?pageNo=277", "Texas Instruments")</f>
        <v>Texas Instruments</v>
      </c>
      <c r="C26794" s="5">
        <v>3</v>
      </c>
      <c r="D26794" s="6">
        <v>165.94</v>
      </c>
    </row>
    <row r="26795" spans="1:4" x14ac:dyDescent="0.25">
      <c r="A26795" t="str">
        <f>HYPERLINK("https://www.773grp.com/globalSearch/PCM1704U-K/page-1", "PCM1704U-K")</f>
        <v>PCM1704U-K</v>
      </c>
      <c r="B26795" s="3" t="str">
        <f>HYPERLINK("https://www.773grp.com/manufacturer/texas-instruments?pageNo=280", "Texas Instruments")</f>
        <v>Texas Instruments</v>
      </c>
      <c r="C26795" s="5">
        <v>977</v>
      </c>
      <c r="D26795" s="6">
        <v>166.5</v>
      </c>
    </row>
    <row r="26796" spans="1:4" x14ac:dyDescent="0.25">
      <c r="A26796" t="str">
        <f>HYPERLINK("https://www.773grp.com/globalSearch/SMX54S175J/page-1", "SMX54S175J")</f>
        <v>SMX54S175J</v>
      </c>
      <c r="B26796" s="3" t="str">
        <f>HYPERLINK("https://www.773grp.com/manufacturer/texas-instruments?pageNo=282", "Texas Instruments")</f>
        <v>Texas Instruments</v>
      </c>
      <c r="C26796" s="5">
        <v>169</v>
      </c>
      <c r="D26796" s="6">
        <v>167.24</v>
      </c>
    </row>
    <row r="26797" spans="1:4" x14ac:dyDescent="0.25">
      <c r="A26797" t="str">
        <f>HYPERLINK("https://www.773grp.com/globalSearch/SMX54S175W/page-1", "SMX54S175W")</f>
        <v>SMX54S175W</v>
      </c>
      <c r="B26797" s="3" t="str">
        <f>HYPERLINK("https://www.773grp.com/manufacturer/texas-instruments?pageNo=283", "Texas Instruments")</f>
        <v>Texas Instruments</v>
      </c>
      <c r="C26797" s="5">
        <v>525</v>
      </c>
      <c r="D26797" s="6">
        <v>167.24</v>
      </c>
    </row>
    <row r="26798" spans="1:4" x14ac:dyDescent="0.25">
      <c r="A26798" t="str">
        <f>HYPERLINK("https://www.773grp.com/globalSearch/SMX5406J/page-1", "SMX5406J")</f>
        <v>SMX5406J</v>
      </c>
      <c r="B26798" s="3" t="str">
        <f>HYPERLINK("https://www.773grp.com/manufacturer/texas-instruments?pageNo=284", "Texas Instruments")</f>
        <v>Texas Instruments</v>
      </c>
      <c r="C26798" s="5">
        <v>169</v>
      </c>
      <c r="D26798" s="6">
        <v>167.26</v>
      </c>
    </row>
    <row r="26799" spans="1:4" x14ac:dyDescent="0.25">
      <c r="A26799" t="str">
        <f>HYPERLINK("https://www.773grp.com/globalSearch/SMX54H21W/page-1", "SMX54H21W")</f>
        <v>SMX54H21W</v>
      </c>
      <c r="B26799" s="3" t="str">
        <f>HYPERLINK("https://www.773grp.com/manufacturer/texas-instruments?pageNo=285", "Texas Instruments")</f>
        <v>Texas Instruments</v>
      </c>
      <c r="C26799" s="5">
        <v>209</v>
      </c>
      <c r="D26799" s="6">
        <v>167.26</v>
      </c>
    </row>
    <row r="26800" spans="1:4" x14ac:dyDescent="0.25">
      <c r="A26800" t="str">
        <f>HYPERLINK("https://www.773grp.com/globalSearch/SMX54LS145W/page-1", "SMX54LS145W")</f>
        <v>SMX54LS145W</v>
      </c>
      <c r="B26800" s="3" t="str">
        <f>HYPERLINK("https://www.773grp.com/manufacturer/texas-instruments?pageNo=286", "Texas Instruments")</f>
        <v>Texas Instruments</v>
      </c>
      <c r="C26800" s="5">
        <v>551</v>
      </c>
      <c r="D26800" s="6">
        <v>167.26</v>
      </c>
    </row>
    <row r="26801" spans="1:4" x14ac:dyDescent="0.25">
      <c r="A26801" t="str">
        <f>HYPERLINK("https://www.773grp.com/globalSearch/SMX54S194J/page-1", "SMX54S194J")</f>
        <v>SMX54S194J</v>
      </c>
      <c r="B26801" s="3" t="str">
        <f>HYPERLINK("https://www.773grp.com/manufacturer/texas-instruments?pageNo=287", "Texas Instruments")</f>
        <v>Texas Instruments</v>
      </c>
      <c r="C26801" s="5">
        <v>783</v>
      </c>
      <c r="D26801" s="6">
        <v>167.26</v>
      </c>
    </row>
    <row r="26802" spans="1:4" x14ac:dyDescent="0.25">
      <c r="A26802" t="str">
        <f>HYPERLINK("https://www.773grp.com/globalSearch/SMX54S20W/page-1", "SMX54S20W")</f>
        <v>SMX54S20W</v>
      </c>
      <c r="B26802" s="3" t="str">
        <f>HYPERLINK("https://www.773grp.com/manufacturer/texas-instruments?pageNo=288", "Texas Instruments")</f>
        <v>Texas Instruments</v>
      </c>
      <c r="C26802" s="5">
        <v>245</v>
      </c>
      <c r="D26802" s="6">
        <v>167.26</v>
      </c>
    </row>
    <row r="26803" spans="1:4" x14ac:dyDescent="0.25">
      <c r="A26803" t="str">
        <f>HYPERLINK("https://www.773grp.com/globalSearch/SMX54S37W/page-1", "SMX54S37W")</f>
        <v>SMX54S37W</v>
      </c>
      <c r="B26803" s="3" t="str">
        <f>HYPERLINK("https://www.773grp.com/manufacturer/texas-instruments?pageNo=289", "Texas Instruments")</f>
        <v>Texas Instruments</v>
      </c>
      <c r="C26803" s="5">
        <v>65</v>
      </c>
      <c r="D26803" s="6">
        <v>167.26</v>
      </c>
    </row>
    <row r="26804" spans="1:4" x14ac:dyDescent="0.25">
      <c r="A26804" t="str">
        <f>HYPERLINK("https://www.773grp.com/globalSearch/SMX54S38W/page-1", "SMX54S38W")</f>
        <v>SMX54S38W</v>
      </c>
      <c r="B26804" s="3" t="str">
        <f>HYPERLINK("https://www.773grp.com/manufacturer/texas-instruments?pageNo=290", "Texas Instruments")</f>
        <v>Texas Instruments</v>
      </c>
      <c r="C26804" s="5">
        <v>149</v>
      </c>
      <c r="D26804" s="6">
        <v>167.26</v>
      </c>
    </row>
    <row r="26805" spans="1:4" x14ac:dyDescent="0.25">
      <c r="A26805" t="str">
        <f>HYPERLINK("https://www.773grp.com/globalSearch/ISO7221CHD/page-1", "ISO7221CHD")</f>
        <v>ISO7221CHD</v>
      </c>
      <c r="B26805" s="3" t="str">
        <f>HYPERLINK("https://www.773grp.com/manufacturer/texas-instruments?pageNo=291", "Texas Instruments")</f>
        <v>Texas Instruments</v>
      </c>
      <c r="C26805" s="5">
        <v>31</v>
      </c>
      <c r="D26805" s="6">
        <v>167.35</v>
      </c>
    </row>
    <row r="26806" spans="1:4" x14ac:dyDescent="0.25">
      <c r="A26806" t="str">
        <f>HYPERLINK("https://www.773grp.com/globalSearch/L11010PQ/page-1", "L11010PQ")</f>
        <v>L11010PQ</v>
      </c>
      <c r="B26806" s="3" t="str">
        <f>HYPERLINK("https://www.773grp.com/manufacturer/texas-instruments?pageNo=292", "Texas Instruments")</f>
        <v>Texas Instruments</v>
      </c>
      <c r="C26806" s="5">
        <v>5164</v>
      </c>
      <c r="D26806" s="6">
        <v>168.33</v>
      </c>
    </row>
    <row r="26807" spans="1:4" x14ac:dyDescent="0.25">
      <c r="A26807" t="str">
        <f>HYPERLINK("https://www.773grp.com/globalSearch/TMDSCNCD2808/page-1", "TMDSCNCD2808")</f>
        <v>TMDSCNCD2808</v>
      </c>
      <c r="B26807" s="3" t="str">
        <f>HYPERLINK("https://www.773grp.com/manufacturer/texas-instruments?pageNo=297", "Texas Instruments")</f>
        <v>Texas Instruments</v>
      </c>
      <c r="C26807" s="5">
        <v>7</v>
      </c>
      <c r="D26807" s="6">
        <v>171.79</v>
      </c>
    </row>
    <row r="26808" spans="1:4" x14ac:dyDescent="0.25">
      <c r="A26808" t="str">
        <f>HYPERLINK("https://www.773grp.com/globalSearch/SMJ5C1008L-25JDCM/page-1", "SMJ5C1008L-25JDCM")</f>
        <v>SMJ5C1008L-25JDCM</v>
      </c>
      <c r="B26808" s="3" t="str">
        <f>HYPERLINK("https://www.773grp.com/manufacturer/texas-instruments?pageNo=299", "Texas Instruments")</f>
        <v>Texas Instruments</v>
      </c>
      <c r="C26808" s="5">
        <v>3</v>
      </c>
      <c r="D26808" s="6">
        <v>171.84</v>
      </c>
    </row>
    <row r="26809" spans="1:4" x14ac:dyDescent="0.25">
      <c r="A26809" t="str">
        <f>HYPERLINK("https://www.773grp.com/globalSearch/SMX54LS251J/page-1", "SMX54LS251J")</f>
        <v>SMX54LS251J</v>
      </c>
      <c r="B26809" s="3" t="str">
        <f>HYPERLINK("https://www.773grp.com/manufacturer/texas-instruments?pageNo=303", "Texas Instruments")</f>
        <v>Texas Instruments</v>
      </c>
      <c r="C26809" s="5">
        <v>645</v>
      </c>
      <c r="D26809" s="6">
        <v>172.98</v>
      </c>
    </row>
    <row r="26810" spans="1:4" x14ac:dyDescent="0.25">
      <c r="A26810" t="str">
        <f>HYPERLINK("https://www.773grp.com/globalSearch/SMX54LS251W/page-1", "SMX54LS251W")</f>
        <v>SMX54LS251W</v>
      </c>
      <c r="B26810" s="3" t="str">
        <f>HYPERLINK("https://www.773grp.com/manufacturer/texas-instruments?pageNo=304", "Texas Instruments")</f>
        <v>Texas Instruments</v>
      </c>
      <c r="C26810" s="5">
        <v>131</v>
      </c>
      <c r="D26810" s="6">
        <v>172.98</v>
      </c>
    </row>
    <row r="26811" spans="1:4" x14ac:dyDescent="0.25">
      <c r="A26811" t="str">
        <f>HYPERLINK("https://www.773grp.com/globalSearch/TPS40200SHKJ/page-1", "TPS40200SHKJ")</f>
        <v>TPS40200SHKJ</v>
      </c>
      <c r="B26811" s="3" t="str">
        <f>HYPERLINK("https://www.773grp.com/manufacturer/texas-instruments?pageNo=311", "Texas Instruments")</f>
        <v>Texas Instruments</v>
      </c>
      <c r="C26811" s="5">
        <v>4</v>
      </c>
      <c r="D26811" s="6">
        <v>174.38</v>
      </c>
    </row>
    <row r="26812" spans="1:4" x14ac:dyDescent="0.25">
      <c r="A26812" t="str">
        <f>HYPERLINK("https://www.773grp.com/globalSearch/TPS40210SHKK/page-1", "TPS40210SHKK")</f>
        <v>TPS40210SHKK</v>
      </c>
      <c r="B26812" s="3" t="str">
        <f>HYPERLINK("https://www.773grp.com/manufacturer/texas-instruments?pageNo=312", "Texas Instruments")</f>
        <v>Texas Instruments</v>
      </c>
      <c r="C26812" s="5">
        <v>230</v>
      </c>
      <c r="D26812" s="6">
        <v>174.38</v>
      </c>
    </row>
    <row r="26813" spans="1:4" x14ac:dyDescent="0.25">
      <c r="A26813" t="str">
        <f>HYPERLINK("https://www.773grp.com/globalSearch/PTQB425080N3AD/page-1", "PTQB425080N3AD")</f>
        <v>PTQB425080N3AD</v>
      </c>
      <c r="B26813" s="3" t="str">
        <f>HYPERLINK("https://www.773grp.com/manufacturer/texas-instruments?pageNo=314", "Texas Instruments")</f>
        <v>Texas Instruments</v>
      </c>
      <c r="C26813" s="5">
        <v>40</v>
      </c>
      <c r="D26813" s="6">
        <v>174.66</v>
      </c>
    </row>
    <row r="26814" spans="1:4" x14ac:dyDescent="0.25">
      <c r="A26814" t="str">
        <f>HYPERLINK("https://www.773grp.com/globalSearch/SNJ55ALS056J/page-1", "SNJ55ALS056J")</f>
        <v>SNJ55ALS056J</v>
      </c>
      <c r="B26814" s="3" t="str">
        <f>HYPERLINK("https://www.773grp.com/manufacturer/texas-instruments?pageNo=317", "Texas Instruments")</f>
        <v>Texas Instruments</v>
      </c>
      <c r="C26814" s="5">
        <v>45</v>
      </c>
      <c r="D26814" s="6">
        <v>175.79</v>
      </c>
    </row>
    <row r="26815" spans="1:4" x14ac:dyDescent="0.25">
      <c r="A26815" t="str">
        <f>HYPERLINK("https://www.773grp.com/globalSearch/SMX54LS374J/page-1", "SMX54LS374J")</f>
        <v>SMX54LS374J</v>
      </c>
      <c r="B26815" s="3" t="str">
        <f>HYPERLINK("https://www.773grp.com/manufacturer/texas-instruments?pageNo=323", "Texas Instruments")</f>
        <v>Texas Instruments</v>
      </c>
      <c r="C26815" s="5">
        <v>1671</v>
      </c>
      <c r="D26815" s="6">
        <v>176.38</v>
      </c>
    </row>
    <row r="26816" spans="1:4" x14ac:dyDescent="0.25">
      <c r="A26816" t="str">
        <f>HYPERLINK("https://www.773grp.com/globalSearch/TMS320DM8166BCYG0/page-1", "TMS320DM8166BCYG0")</f>
        <v>TMS320DM8166BCYG0</v>
      </c>
      <c r="B26816" s="3" t="str">
        <f>HYPERLINK("https://www.773grp.com/manufacturer/texas-instruments?pageNo=329", "Texas Instruments")</f>
        <v>Texas Instruments</v>
      </c>
      <c r="C26816" s="5">
        <v>1849</v>
      </c>
      <c r="D26816" s="6">
        <v>177.19</v>
      </c>
    </row>
    <row r="26817" spans="1:4" x14ac:dyDescent="0.25">
      <c r="A26817" t="str">
        <f>HYPERLINK("https://www.773grp.com/globalSearch/THS4521SHKJ/page-1", "THS4521SHKJ")</f>
        <v>THS4521SHKJ</v>
      </c>
      <c r="B26817" s="3" t="str">
        <f>HYPERLINK("https://www.773grp.com/manufacturer/texas-instruments?pageNo=337", "Texas Instruments")</f>
        <v>Texas Instruments</v>
      </c>
      <c r="C26817" s="5">
        <v>18</v>
      </c>
      <c r="D26817" s="6">
        <v>179.3</v>
      </c>
    </row>
    <row r="26818" spans="1:4" x14ac:dyDescent="0.25">
      <c r="A26818" t="str">
        <f>HYPERLINK("https://www.773grp.com/globalSearch/DM385AAARD21F/page-1", "DM385AAARD21F")</f>
        <v>DM385AAARD21F</v>
      </c>
      <c r="B26818" s="3" t="str">
        <f>HYPERLINK("https://www.773grp.com/manufacturer/texas-instruments?pageNo=339", "Texas Instruments")</f>
        <v>Texas Instruments</v>
      </c>
      <c r="C26818" s="5">
        <v>83</v>
      </c>
      <c r="D26818" s="6">
        <v>179.89</v>
      </c>
    </row>
    <row r="26819" spans="1:4" x14ac:dyDescent="0.25">
      <c r="A26819" t="str">
        <f>HYPERLINK("https://www.773grp.com/globalSearch/TMS320C6202BGNZ250/page-1", "TMS320C6202BGNZ250")</f>
        <v>TMS320C6202BGNZ250</v>
      </c>
      <c r="B26819" s="3" t="str">
        <f>HYPERLINK("https://www.773grp.com/manufacturer/texas-instruments?pageNo=342", "Texas Instruments")</f>
        <v>Texas Instruments</v>
      </c>
      <c r="C26819" s="5">
        <v>40</v>
      </c>
      <c r="D26819" s="6">
        <v>180.06</v>
      </c>
    </row>
    <row r="26820" spans="1:4" x14ac:dyDescent="0.25">
      <c r="A26820" t="str">
        <f>HYPERLINK("https://www.773grp.com/globalSearch/D02002FN/page-1", "D02002FN")</f>
        <v>D02002FN</v>
      </c>
      <c r="B26820" s="3" t="str">
        <f>HYPERLINK("https://www.773grp.com/manufacturer/texas-instruments?pageNo=349", "Texas Instruments")</f>
        <v>Texas Instruments</v>
      </c>
      <c r="C26820" s="5">
        <v>14</v>
      </c>
      <c r="D26820" s="6">
        <v>182.14</v>
      </c>
    </row>
    <row r="26821" spans="1:4" x14ac:dyDescent="0.25">
      <c r="A26821" t="str">
        <f>HYPERLINK("https://www.773grp.com/globalSearch/ADS6245IRGZ25/page-1", "ADS6245IRGZ25")</f>
        <v>ADS6245IRGZ25</v>
      </c>
      <c r="B26821" s="3" t="str">
        <f>HYPERLINK("https://www.773grp.com/manufacturer/texas-instruments?pageNo=352", "Texas Instruments")</f>
        <v>Texas Instruments</v>
      </c>
      <c r="C26821" s="5">
        <v>300</v>
      </c>
      <c r="D26821" s="6">
        <v>182.81</v>
      </c>
    </row>
    <row r="26822" spans="1:4" x14ac:dyDescent="0.25">
      <c r="A26822" t="str">
        <f>HYPERLINK("https://www.773grp.com/globalSearch/INA333SHKJ/page-1", "INA333SHKJ")</f>
        <v>INA333SHKJ</v>
      </c>
      <c r="B26822" s="3" t="str">
        <f>HYPERLINK("https://www.773grp.com/manufacturer/texas-instruments?pageNo=353", "Texas Instruments")</f>
        <v>Texas Instruments</v>
      </c>
      <c r="C26822" s="5">
        <v>36</v>
      </c>
      <c r="D26822" s="6">
        <v>182.81</v>
      </c>
    </row>
    <row r="26823" spans="1:4" x14ac:dyDescent="0.25">
      <c r="A26823" t="str">
        <f>HYPERLINK("https://www.773grp.com/globalSearch/4423P/page-1", "4423P")</f>
        <v>4423P</v>
      </c>
      <c r="B26823" s="3" t="str">
        <f>HYPERLINK("https://www.773grp.com/manufacturer/texas-instruments?pageNo=356", "Texas Instruments")</f>
        <v>Texas Instruments</v>
      </c>
      <c r="C26823" s="5">
        <v>1716</v>
      </c>
      <c r="D26823" s="6">
        <v>183.23</v>
      </c>
    </row>
    <row r="26824" spans="1:4" x14ac:dyDescent="0.25">
      <c r="A26824" t="str">
        <f>HYPERLINK("https://www.773grp.com/globalSearch/UC137L-80115/page-1", "UC137L-80115")</f>
        <v>UC137L-80115</v>
      </c>
      <c r="B26824" s="3" t="str">
        <f>HYPERLINK("https://www.773grp.com/manufacturer/texas-instruments?pageNo=357", "Texas Instruments")</f>
        <v>Texas Instruments</v>
      </c>
      <c r="C26824" s="5">
        <v>386</v>
      </c>
      <c r="D26824" s="6">
        <v>183.94</v>
      </c>
    </row>
    <row r="26825" spans="1:4" x14ac:dyDescent="0.25">
      <c r="A26825" t="str">
        <f>HYPERLINK("https://www.773grp.com/globalSearch/PTB48511BAZ/page-1", "PTB48511BAZ")</f>
        <v>PTB48511BAZ</v>
      </c>
      <c r="B26825" s="3" t="str">
        <f>HYPERLINK("https://www.773grp.com/manufacturer/texas-instruments?pageNo=362", "Texas Instruments")</f>
        <v>Texas Instruments</v>
      </c>
      <c r="C26825" s="5">
        <v>9</v>
      </c>
      <c r="D26825" s="6">
        <v>184.36</v>
      </c>
    </row>
    <row r="26826" spans="1:4" x14ac:dyDescent="0.25">
      <c r="A26826" t="str">
        <f>HYPERLINK("https://www.773grp.com/globalSearch/JM38510-50402BRA/page-1", "JM38510-50402BRA")</f>
        <v>JM38510-50402BRA</v>
      </c>
      <c r="B26826" s="3" t="str">
        <f>HYPERLINK("https://www.773grp.com/manufacturer/texas-instruments?pageNo=369", "Texas Instruments")</f>
        <v>Texas Instruments</v>
      </c>
      <c r="C26826" s="5">
        <v>316</v>
      </c>
      <c r="D26826" s="6">
        <v>187.56</v>
      </c>
    </row>
    <row r="26827" spans="1:4" x14ac:dyDescent="0.25">
      <c r="A26827" t="str">
        <f>HYPERLINK("https://www.773grp.com/globalSearch/JM38510-50407BRA/page-1", "JM38510-50407BRA")</f>
        <v>JM38510-50407BRA</v>
      </c>
      <c r="B26827" s="3" t="str">
        <f>HYPERLINK("https://www.773grp.com/manufacturer/texas-instruments?pageNo=370", "Texas Instruments")</f>
        <v>Texas Instruments</v>
      </c>
      <c r="C26827" s="5">
        <v>23</v>
      </c>
      <c r="D26827" s="6">
        <v>187.74</v>
      </c>
    </row>
    <row r="26828" spans="1:4" x14ac:dyDescent="0.25">
      <c r="A26828" t="str">
        <f>HYPERLINK("https://www.773grp.com/globalSearch/TMS320DM6467CZUTV/page-1", "TMS320DM6467CZUTV")</f>
        <v>TMS320DM6467CZUTV</v>
      </c>
      <c r="B26828" s="3" t="str">
        <f>HYPERLINK("https://www.773grp.com/manufacturer/texas-instruments?pageNo=372", "Texas Instruments")</f>
        <v>Texas Instruments</v>
      </c>
      <c r="C26828" s="5">
        <v>3567</v>
      </c>
      <c r="D26828" s="6">
        <v>188.03</v>
      </c>
    </row>
    <row r="26829" spans="1:4" x14ac:dyDescent="0.25">
      <c r="A26829" t="str">
        <f>HYPERLINK("https://www.773grp.com/globalSearch/TMS320DM6467CZUTVH/page-1", "TMS320DM6467CZUTVH")</f>
        <v>TMS320DM6467CZUTVH</v>
      </c>
      <c r="B26829" s="3" t="str">
        <f>HYPERLINK("https://www.773grp.com/manufacturer/texas-instruments?pageNo=373", "Texas Instruments")</f>
        <v>Texas Instruments</v>
      </c>
      <c r="C26829" s="5">
        <v>7970</v>
      </c>
      <c r="D26829" s="6">
        <v>188.03</v>
      </c>
    </row>
    <row r="26830" spans="1:4" x14ac:dyDescent="0.25">
      <c r="A26830" t="str">
        <f>HYPERLINK("https://www.773grp.com/globalSearch/SNJ55551FJ/page-1", "SNJ55551FJ")</f>
        <v>SNJ55551FJ</v>
      </c>
      <c r="B26830" s="3" t="str">
        <f>HYPERLINK("https://www.773grp.com/manufacturer/texas-instruments?pageNo=380", "Texas Instruments")</f>
        <v>Texas Instruments</v>
      </c>
      <c r="C26830" s="5">
        <v>211</v>
      </c>
      <c r="D26830" s="6">
        <v>189.29</v>
      </c>
    </row>
    <row r="26831" spans="1:4" x14ac:dyDescent="0.25">
      <c r="A26831" t="str">
        <f>HYPERLINK("https://www.773grp.com/globalSearch/SNJ55552FJ/page-1", "SNJ55552FJ")</f>
        <v>SNJ55552FJ</v>
      </c>
      <c r="B26831" s="3" t="str">
        <f>HYPERLINK("https://www.773grp.com/manufacturer/texas-instruments?pageNo=381", "Texas Instruments")</f>
        <v>Texas Instruments</v>
      </c>
      <c r="C26831" s="5">
        <v>185</v>
      </c>
      <c r="D26831" s="6">
        <v>189.29</v>
      </c>
    </row>
    <row r="26832" spans="1:4" x14ac:dyDescent="0.25">
      <c r="A26832" t="str">
        <f>HYPERLINK("https://www.773grp.com/globalSearch/TMS320C6657CZHA/page-1", "TMS320C6657CZHA")</f>
        <v>TMS320C6657CZHA</v>
      </c>
      <c r="B26832" s="3" t="str">
        <f>HYPERLINK("https://www.773grp.com/manufacturer/texas-instruments?pageNo=385", "Texas Instruments")</f>
        <v>Texas Instruments</v>
      </c>
      <c r="C26832" s="5">
        <v>60</v>
      </c>
      <c r="D26832" s="6">
        <v>189.85</v>
      </c>
    </row>
    <row r="26833" spans="1:4" x14ac:dyDescent="0.25">
      <c r="A26833" t="str">
        <f>HYPERLINK("https://www.773grp.com/globalSearch/UC1854L-883BC/page-1", "UC1854L-883BC")</f>
        <v>UC1854L-883BC</v>
      </c>
      <c r="B26833" s="3" t="str">
        <f>HYPERLINK("https://www.773grp.com/manufacturer/texas-instruments?pageNo=394", "Texas Instruments")</f>
        <v>Texas Instruments</v>
      </c>
      <c r="C26833" s="5">
        <v>38</v>
      </c>
      <c r="D26833" s="6">
        <v>190.99</v>
      </c>
    </row>
    <row r="26834" spans="1:4" x14ac:dyDescent="0.25">
      <c r="A26834" t="str">
        <f>HYPERLINK("https://www.773grp.com/globalSearch/JM38510-37101SCA/page-1", "JM38510-37101SCA")</f>
        <v>JM38510-37101SCA</v>
      </c>
      <c r="B26834" s="3" t="str">
        <f>HYPERLINK("https://www.773grp.com/manufacturer/texas-instruments?pageNo=395", "Texas Instruments")</f>
        <v>Texas Instruments</v>
      </c>
      <c r="C26834" s="5">
        <v>89</v>
      </c>
      <c r="D26834" s="6">
        <v>191.16</v>
      </c>
    </row>
    <row r="26835" spans="1:4" x14ac:dyDescent="0.25">
      <c r="A26835" t="str">
        <f>HYPERLINK("https://www.773grp.com/globalSearch/SMX54LS375J/page-1", "SMX54LS375J")</f>
        <v>SMX54LS375J</v>
      </c>
      <c r="B26835" s="3" t="str">
        <f>HYPERLINK("https://www.773grp.com/manufacturer/texas-instruments?pageNo=396", "Texas Instruments")</f>
        <v>Texas Instruments</v>
      </c>
      <c r="C26835" s="5">
        <v>123</v>
      </c>
      <c r="D26835" s="6">
        <v>191.25</v>
      </c>
    </row>
    <row r="26836" spans="1:4" x14ac:dyDescent="0.25">
      <c r="A26836" t="str">
        <f>HYPERLINK("https://www.773grp.com/globalSearch/SMX55114J/page-1", "SMX55114J")</f>
        <v>SMX55114J</v>
      </c>
      <c r="B26836" s="3" t="str">
        <f>HYPERLINK("https://www.773grp.com/manufacturer/texas-instruments?pageNo=397", "Texas Instruments")</f>
        <v>Texas Instruments</v>
      </c>
      <c r="C26836" s="5">
        <v>500</v>
      </c>
      <c r="D26836" s="6">
        <v>191.25</v>
      </c>
    </row>
    <row r="26837" spans="1:4" x14ac:dyDescent="0.25">
      <c r="A26837" t="str">
        <f>HYPERLINK("https://www.773grp.com/globalSearch/SMX55114W/page-1", "SMX55114W")</f>
        <v>SMX55114W</v>
      </c>
      <c r="B26837" s="3" t="str">
        <f>HYPERLINK("https://www.773grp.com/manufacturer/texas-instruments?pageNo=398", "Texas Instruments")</f>
        <v>Texas Instruments</v>
      </c>
      <c r="C26837" s="5">
        <v>368</v>
      </c>
      <c r="D26837" s="6">
        <v>191.25</v>
      </c>
    </row>
    <row r="26838" spans="1:4" x14ac:dyDescent="0.25">
      <c r="A26838" t="str">
        <f>HYPERLINK("https://www.773grp.com/globalSearch/SMX55115W/page-1", "SMX55115W")</f>
        <v>SMX55115W</v>
      </c>
      <c r="B26838" s="3" t="str">
        <f>HYPERLINK("https://www.773grp.com/manufacturer/texas-instruments?pageNo=399", "Texas Instruments")</f>
        <v>Texas Instruments</v>
      </c>
      <c r="C26838" s="5">
        <v>79</v>
      </c>
      <c r="D26838" s="6">
        <v>191.25</v>
      </c>
    </row>
    <row r="26839" spans="1:4" x14ac:dyDescent="0.25">
      <c r="A26839" t="str">
        <f>HYPERLINK("https://www.773grp.com/globalSearch/TMS380C16PQL/page-1", "TMS380C16PQL")</f>
        <v>TMS380C16PQL</v>
      </c>
      <c r="B26839" s="3" t="str">
        <f>HYPERLINK("https://www.773grp.com/manufacturer/texas-instruments?pageNo=403", "Texas Instruments")</f>
        <v>Texas Instruments</v>
      </c>
      <c r="C26839" s="5">
        <v>288</v>
      </c>
      <c r="D26839" s="6">
        <v>192.38</v>
      </c>
    </row>
    <row r="26840" spans="1:4" x14ac:dyDescent="0.25">
      <c r="A26840" t="str">
        <f>HYPERLINK("https://www.773grp.com/globalSearch/EKI-LM3S6965/page-1", "EKI-LM3S6965")</f>
        <v>EKI-LM3S6965</v>
      </c>
      <c r="B26840" s="3" t="str">
        <f>HYPERLINK("https://www.773grp.com/manufacturer/texas-instruments?pageNo=411", "Texas Instruments")</f>
        <v>Texas Instruments</v>
      </c>
      <c r="C26840" s="5">
        <v>7</v>
      </c>
      <c r="D26840" s="6">
        <v>194.06</v>
      </c>
    </row>
    <row r="26841" spans="1:4" x14ac:dyDescent="0.25">
      <c r="A26841" t="str">
        <f>HYPERLINK("https://www.773grp.com/globalSearch/TMDSCNCD28027F/page-1", "TMDSCNCD28027F")</f>
        <v>TMDSCNCD28027F</v>
      </c>
      <c r="B26841" s="3" t="str">
        <f>HYPERLINK("https://www.773grp.com/manufacturer/texas-instruments?pageNo=413", "Texas Instruments")</f>
        <v>Texas Instruments</v>
      </c>
      <c r="C26841" s="5">
        <v>4</v>
      </c>
      <c r="D26841" s="6">
        <v>194.06</v>
      </c>
    </row>
    <row r="26842" spans="1:4" x14ac:dyDescent="0.25">
      <c r="A26842" t="str">
        <f>HYPERLINK("https://www.773grp.com/globalSearch/TMDSCNCD28335/page-1", "TMDSCNCD28335")</f>
        <v>TMDSCNCD28335</v>
      </c>
      <c r="B26842" s="3" t="str">
        <f>HYPERLINK("https://www.773grp.com/manufacturer/texas-instruments?pageNo=414", "Texas Instruments")</f>
        <v>Texas Instruments</v>
      </c>
      <c r="C26842" s="5">
        <v>24</v>
      </c>
      <c r="D26842" s="6">
        <v>194.06</v>
      </c>
    </row>
    <row r="26843" spans="1:4" x14ac:dyDescent="0.25">
      <c r="A26843" t="str">
        <f>HYPERLINK("https://www.773grp.com/globalSearch/TMDXCNCD28055ISO/page-1", "TMDXCNCD28055ISO")</f>
        <v>TMDXCNCD28055ISO</v>
      </c>
      <c r="B26843" s="3" t="str">
        <f>HYPERLINK("https://www.773grp.com/manufacturer/texas-instruments?pageNo=415", "Texas Instruments")</f>
        <v>Texas Instruments</v>
      </c>
      <c r="C26843" s="5">
        <v>13</v>
      </c>
      <c r="D26843" s="6">
        <v>194.06</v>
      </c>
    </row>
    <row r="26844" spans="1:4" x14ac:dyDescent="0.25">
      <c r="A26844" t="str">
        <f>HYPERLINK("https://www.773grp.com/globalSearch/TMS320C6203BGNY173/page-1", "TMS320C6203BGNY173")</f>
        <v>TMS320C6203BGNY173</v>
      </c>
      <c r="B26844" s="3" t="str">
        <f>HYPERLINK("https://www.773grp.com/manufacturer/texas-instruments?pageNo=424", "Texas Instruments")</f>
        <v>Texas Instruments</v>
      </c>
      <c r="C26844" s="5">
        <v>85</v>
      </c>
      <c r="D26844" s="6">
        <v>194.54</v>
      </c>
    </row>
    <row r="26845" spans="1:4" x14ac:dyDescent="0.25">
      <c r="A26845" t="str">
        <f>HYPERLINK("https://www.773grp.com/globalSearch/ADS8402IBPFBT/page-1", "ADS8402IBPFBT")</f>
        <v>ADS8402IBPFBT</v>
      </c>
      <c r="B26845" s="3" t="str">
        <f>HYPERLINK("https://www.773grp.com/manufacturer/texas-instruments?pageNo=429", "Texas Instruments")</f>
        <v>Texas Instruments</v>
      </c>
      <c r="C26845" s="5">
        <v>817</v>
      </c>
      <c r="D26845" s="6">
        <v>196.73</v>
      </c>
    </row>
    <row r="26846" spans="1:4" x14ac:dyDescent="0.25">
      <c r="A26846" t="str">
        <f>HYPERLINK("https://www.773grp.com/globalSearch/TMDSDSPTXT/page-1", "TMDSDSPTXT")</f>
        <v>TMDSDSPTXT</v>
      </c>
      <c r="B26846" s="3" t="str">
        <f>HYPERLINK("https://www.773grp.com/manufacturer/texas-instruments?pageNo=430", "Texas Instruments")</f>
        <v>Texas Instruments</v>
      </c>
      <c r="C26846" s="5">
        <v>1</v>
      </c>
      <c r="D26846" s="6">
        <v>196.76</v>
      </c>
    </row>
    <row r="26847" spans="1:4" x14ac:dyDescent="0.25">
      <c r="A26847" t="str">
        <f>HYPERLINK("https://www.773grp.com/globalSearch/CC4000GPSEM/page-1", "CC4000GPSEM")</f>
        <v>CC4000GPSEM</v>
      </c>
      <c r="B26847" s="3" t="str">
        <f>HYPERLINK("https://www.773grp.com/manufacturer/texas-instruments?pageNo=431", "Texas Instruments")</f>
        <v>Texas Instruments</v>
      </c>
      <c r="C26847" s="5">
        <v>7</v>
      </c>
      <c r="D26847" s="6">
        <v>196.85</v>
      </c>
    </row>
    <row r="26848" spans="1:4" x14ac:dyDescent="0.25">
      <c r="A26848" t="str">
        <f>HYPERLINK("https://www.773grp.com/globalSearch/SNJ55116J/page-1", "SNJ55116J")</f>
        <v>SNJ55116J</v>
      </c>
      <c r="B26848" s="3" t="str">
        <f>HYPERLINK("https://www.773grp.com/manufacturer/texas-instruments?pageNo=433", "Texas Instruments")</f>
        <v>Texas Instruments</v>
      </c>
      <c r="C26848" s="5">
        <v>1</v>
      </c>
      <c r="D26848" s="6">
        <v>197.01</v>
      </c>
    </row>
    <row r="26849" spans="1:4" x14ac:dyDescent="0.25">
      <c r="A26849" t="str">
        <f>HYPERLINK("https://www.773grp.com/globalSearch/SMJ64C16S-25JDM/page-1", "SMJ64C16S-25JDM")</f>
        <v>SMJ64C16S-25JDM</v>
      </c>
      <c r="B26849" s="3" t="str">
        <f>HYPERLINK("https://www.773grp.com/manufacturer/texas-instruments?pageNo=437", "Texas Instruments")</f>
        <v>Texas Instruments</v>
      </c>
      <c r="C26849" s="5">
        <v>575</v>
      </c>
      <c r="D26849" s="6">
        <v>199.69</v>
      </c>
    </row>
    <row r="26850" spans="1:4" x14ac:dyDescent="0.25">
      <c r="A26850" t="str">
        <f>HYPERLINK("https://www.773grp.com/globalSearch/PGC5016-PB/page-1", "PGC5016-PB")</f>
        <v>PGC5016-PB</v>
      </c>
      <c r="B26850" s="3" t="str">
        <f>HYPERLINK("https://www.773grp.com/manufacturer/texas-instruments?pageNo=439", "Texas Instruments")</f>
        <v>Texas Instruments</v>
      </c>
      <c r="C26850" s="5">
        <v>8</v>
      </c>
      <c r="D26850" s="6">
        <v>200</v>
      </c>
    </row>
    <row r="26851" spans="1:4" x14ac:dyDescent="0.25">
      <c r="A26851" t="str">
        <f>HYPERLINK("https://www.773grp.com/globalSearch/SMJ61CD16SA-25JDM/page-1", "SMJ61CD16SA-25JDM")</f>
        <v>SMJ61CD16SA-25JDM</v>
      </c>
      <c r="B26851" s="3" t="str">
        <f>HYPERLINK("https://www.773grp.com/manufacturer/texas-instruments?pageNo=441", "Texas Instruments")</f>
        <v>Texas Instruments</v>
      </c>
      <c r="C26851" s="5">
        <v>205</v>
      </c>
      <c r="D26851" s="6">
        <v>200.25</v>
      </c>
    </row>
    <row r="26852" spans="1:4" x14ac:dyDescent="0.25">
      <c r="A26852" t="str">
        <f>HYPERLINK("https://www.773grp.com/globalSearch/BT6001B-RFM/page-1", "BT6001B-RFM")</f>
        <v>BT6001B-RFM</v>
      </c>
      <c r="B26852" s="3" t="str">
        <f>HYPERLINK("https://www.773grp.com/manufacturer/texas-instruments?pageNo=446", "Texas Instruments")</f>
        <v>Texas Instruments</v>
      </c>
      <c r="C26852" s="5">
        <v>540</v>
      </c>
      <c r="D26852" s="6">
        <v>200.9</v>
      </c>
    </row>
    <row r="26853" spans="1:4" x14ac:dyDescent="0.25">
      <c r="A26853" t="str">
        <f>HYPERLINK("https://www.773grp.com/globalSearch/TMS320DM8148BCYE2/page-1", "TMS320DM8148BCYE2")</f>
        <v>TMS320DM8148BCYE2</v>
      </c>
      <c r="B26853" s="3" t="str">
        <f>HYPERLINK("https://www.773grp.com/manufacturer/texas-instruments?pageNo=460", "Texas Instruments")</f>
        <v>Texas Instruments</v>
      </c>
      <c r="C26853" s="5">
        <v>1100</v>
      </c>
      <c r="D26853" s="6">
        <v>202.5</v>
      </c>
    </row>
    <row r="26854" spans="1:4" x14ac:dyDescent="0.25">
      <c r="A26854" t="str">
        <f>HYPERLINK("https://www.773grp.com/globalSearch/SMX54H103W/page-1", "SMX54H103W")</f>
        <v>SMX54H103W</v>
      </c>
      <c r="B26854" s="3" t="str">
        <f>HYPERLINK("https://www.773grp.com/manufacturer/texas-instruments?pageNo=468", "Texas Instruments")</f>
        <v>Texas Instruments</v>
      </c>
      <c r="C26854" s="5">
        <v>222</v>
      </c>
      <c r="D26854" s="6">
        <v>205.25</v>
      </c>
    </row>
    <row r="26855" spans="1:4" x14ac:dyDescent="0.25">
      <c r="A26855" t="str">
        <f>HYPERLINK("https://www.773grp.com/globalSearch/UC1823ALP-883B/page-1", "UC1823ALP-883B")</f>
        <v>UC1823ALP-883B</v>
      </c>
      <c r="B26855" s="3" t="str">
        <f>HYPERLINK("https://www.773grp.com/manufacturer/texas-instruments?pageNo=470", "Texas Instruments")</f>
        <v>Texas Instruments</v>
      </c>
      <c r="C26855" s="5">
        <v>12</v>
      </c>
      <c r="D26855" s="6">
        <v>205.63</v>
      </c>
    </row>
    <row r="26856" spans="1:4" x14ac:dyDescent="0.25">
      <c r="A26856" t="str">
        <f>HYPERLINK("https://www.773grp.com/globalSearch/ADS41B49IRGZT/page-1", "ADS41B49IRGZT")</f>
        <v>ADS41B49IRGZT</v>
      </c>
      <c r="B26856" s="3" t="str">
        <f>HYPERLINK("https://www.773grp.com/manufacturer/texas-instruments?pageNo=476", "Texas Instruments")</f>
        <v>Texas Instruments</v>
      </c>
      <c r="C26856" s="5">
        <v>437</v>
      </c>
      <c r="D26856" s="6">
        <v>208.54</v>
      </c>
    </row>
    <row r="26857" spans="1:4" x14ac:dyDescent="0.25">
      <c r="A26857" t="str">
        <f>HYPERLINK("https://www.773grp.com/globalSearch/ADS6443IRGC25/page-1", "ADS6443IRGC25")</f>
        <v>ADS6443IRGC25</v>
      </c>
      <c r="B26857" s="3" t="str">
        <f>HYPERLINK("https://www.773grp.com/manufacturer/texas-instruments?pageNo=479", "Texas Instruments")</f>
        <v>Texas Instruments</v>
      </c>
      <c r="C26857" s="5">
        <v>100</v>
      </c>
      <c r="D26857" s="6">
        <v>209.54</v>
      </c>
    </row>
    <row r="26858" spans="1:4" x14ac:dyDescent="0.25">
      <c r="A26858" t="str">
        <f>HYPERLINK("https://www.773grp.com/globalSearch/PT4823C/page-1", "PT4823C")</f>
        <v>PT4823C</v>
      </c>
      <c r="B26858" s="3" t="str">
        <f>HYPERLINK("https://www.773grp.com/manufacturer/texas-instruments?pageNo=481", "Texas Instruments")</f>
        <v>Texas Instruments</v>
      </c>
      <c r="C26858" s="5">
        <v>5</v>
      </c>
      <c r="D26858" s="6">
        <v>209.81</v>
      </c>
    </row>
    <row r="26859" spans="1:4" x14ac:dyDescent="0.25">
      <c r="A26859" t="str">
        <f>HYPERLINK("https://www.773grp.com/globalSearch/SNJ55554FJ/page-1", "SNJ55554FJ")</f>
        <v>SNJ55554FJ</v>
      </c>
      <c r="B26859" s="3" t="str">
        <f>HYPERLINK("https://www.773grp.com/manufacturer/texas-instruments?pageNo=487", "Texas Instruments")</f>
        <v>Texas Instruments</v>
      </c>
      <c r="C26859" s="5">
        <v>409</v>
      </c>
      <c r="D26859" s="6">
        <v>209.88</v>
      </c>
    </row>
    <row r="26860" spans="1:4" x14ac:dyDescent="0.25">
      <c r="A26860" t="str">
        <f>HYPERLINK("https://www.773grp.com/globalSearch/TNETA1570PGW/page-1", "TNETA1570PGW")</f>
        <v>TNETA1570PGW</v>
      </c>
      <c r="B26860" s="3" t="str">
        <f>HYPERLINK("https://www.773grp.com/manufacturer/texas-instruments?pageNo=488", "Texas Instruments")</f>
        <v>Texas Instruments</v>
      </c>
      <c r="C26860" s="5">
        <v>372</v>
      </c>
      <c r="D26860" s="6">
        <v>209.98</v>
      </c>
    </row>
    <row r="26861" spans="1:4" x14ac:dyDescent="0.25">
      <c r="A26861" t="str">
        <f>HYPERLINK("https://www.773grp.com/globalSearch/PT4401N/page-1", "PT4401N")</f>
        <v>PT4401N</v>
      </c>
      <c r="B26861" s="3" t="str">
        <f>HYPERLINK("https://www.773grp.com/manufacturer/texas-instruments?pageNo=489", "Texas Instruments")</f>
        <v>Texas Instruments</v>
      </c>
      <c r="C26861" s="5">
        <v>1</v>
      </c>
      <c r="D26861" s="6">
        <v>210.23</v>
      </c>
    </row>
    <row r="26862" spans="1:4" x14ac:dyDescent="0.25">
      <c r="A26862" t="str">
        <f>HYPERLINK("https://www.773grp.com/globalSearch/ADS1146EVM/page-1", "ADS1146EVM")</f>
        <v>ADS1146EVM</v>
      </c>
      <c r="B26862" s="3" t="str">
        <f>HYPERLINK("https://www.773grp.com/manufacturer/texas-instruments?pageNo=491", "Texas Instruments")</f>
        <v>Texas Instruments</v>
      </c>
      <c r="C26862" s="5">
        <v>13</v>
      </c>
      <c r="D26862" s="6">
        <v>210.94</v>
      </c>
    </row>
    <row r="26863" spans="1:4" x14ac:dyDescent="0.25">
      <c r="A26863" t="str">
        <f>HYPERLINK("https://www.773grp.com/globalSearch/ADS1147EVM/page-1", "ADS1147EVM")</f>
        <v>ADS1147EVM</v>
      </c>
      <c r="B26863" s="3" t="str">
        <f>HYPERLINK("https://www.773grp.com/manufacturer/texas-instruments?pageNo=492", "Texas Instruments")</f>
        <v>Texas Instruments</v>
      </c>
      <c r="C26863" s="5">
        <v>2</v>
      </c>
      <c r="D26863" s="6">
        <v>210.94</v>
      </c>
    </row>
    <row r="26864" spans="1:4" x14ac:dyDescent="0.25">
      <c r="A26864" t="str">
        <f>HYPERLINK("https://www.773grp.com/globalSearch/ADS1148EVM/page-1", "ADS1148EVM")</f>
        <v>ADS1148EVM</v>
      </c>
      <c r="B26864" s="3" t="str">
        <f>HYPERLINK("https://www.773grp.com/manufacturer/texas-instruments?pageNo=493", "Texas Instruments")</f>
        <v>Texas Instruments</v>
      </c>
      <c r="C26864" s="5">
        <v>10</v>
      </c>
      <c r="D26864" s="6">
        <v>210.94</v>
      </c>
    </row>
    <row r="26865" spans="1:4" x14ac:dyDescent="0.25">
      <c r="A26865" t="str">
        <f>HYPERLINK("https://www.773grp.com/globalSearch/ADS1246EVM/page-1", "ADS1246EVM")</f>
        <v>ADS1246EVM</v>
      </c>
      <c r="B26865" s="3" t="str">
        <f>HYPERLINK("https://www.773grp.com/manufacturer/texas-instruments?pageNo=494", "Texas Instruments")</f>
        <v>Texas Instruments</v>
      </c>
      <c r="C26865" s="5">
        <v>1</v>
      </c>
      <c r="D26865" s="6">
        <v>210.94</v>
      </c>
    </row>
    <row r="26866" spans="1:4" x14ac:dyDescent="0.25">
      <c r="A26866" t="str">
        <f>HYPERLINK("https://www.773grp.com/globalSearch/ADS1248EVM/page-1", "ADS1248EVM")</f>
        <v>ADS1248EVM</v>
      </c>
      <c r="B26866" s="3" t="str">
        <f>HYPERLINK("https://www.773grp.com/manufacturer/texas-instruments?pageNo=495", "Texas Instruments")</f>
        <v>Texas Instruments</v>
      </c>
      <c r="C26866" s="5">
        <v>11</v>
      </c>
      <c r="D26866" s="6">
        <v>210.94</v>
      </c>
    </row>
    <row r="26867" spans="1:4" x14ac:dyDescent="0.25">
      <c r="A26867" t="str">
        <f>HYPERLINK("https://www.773grp.com/globalSearch/ADS1259EVM/page-1", "ADS1259EVM")</f>
        <v>ADS1259EVM</v>
      </c>
      <c r="B26867" s="3" t="str">
        <f>HYPERLINK("https://www.773grp.com/manufacturer/texas-instruments?pageNo=496", "Texas Instruments")</f>
        <v>Texas Instruments</v>
      </c>
      <c r="C26867" s="5">
        <v>4</v>
      </c>
      <c r="D26867" s="6">
        <v>210.94</v>
      </c>
    </row>
    <row r="26868" spans="1:4" x14ac:dyDescent="0.25">
      <c r="A26868" t="str">
        <f>HYPERLINK("https://www.773grp.com/globalSearch/ADS7924EVM/page-1", "ADS7924EVM")</f>
        <v>ADS7924EVM</v>
      </c>
      <c r="B26868" s="3" t="str">
        <f>HYPERLINK("https://www.773grp.com/manufacturer/texas-instruments?pageNo=497", "Texas Instruments")</f>
        <v>Texas Instruments</v>
      </c>
      <c r="C26868" s="5">
        <v>1</v>
      </c>
      <c r="D26868" s="6">
        <v>210.94</v>
      </c>
    </row>
    <row r="26869" spans="1:4" x14ac:dyDescent="0.25">
      <c r="A26869" t="str">
        <f>HYPERLINK("https://www.773grp.com/globalSearch/BQ2026EVM/page-1", "BQ2026EVM")</f>
        <v>BQ2026EVM</v>
      </c>
      <c r="B26869" s="3" t="str">
        <f>HYPERLINK("https://www.773grp.com/manufacturer/texas-instruments?pageNo=499", "Texas Instruments")</f>
        <v>Texas Instruments</v>
      </c>
      <c r="C26869" s="5">
        <v>10</v>
      </c>
      <c r="D26869" s="6">
        <v>210.94</v>
      </c>
    </row>
    <row r="26870" spans="1:4" x14ac:dyDescent="0.25">
      <c r="A26870" t="str">
        <f>HYPERLINK("https://www.773grp.com/globalSearch/CC2510DK-MINI/page-1", "CC2510DK-MINI")</f>
        <v>CC2510DK-MINI</v>
      </c>
      <c r="B26870" s="3" t="str">
        <f>HYPERLINK("https://www.773grp.com/manufacturer/texas-instruments?pageNo=500", "Texas Instruments")</f>
        <v>Texas Instruments</v>
      </c>
      <c r="C26870" s="5">
        <v>10</v>
      </c>
      <c r="D26870" s="6">
        <v>210.94</v>
      </c>
    </row>
    <row r="26871" spans="1:4" x14ac:dyDescent="0.25">
      <c r="A26871" t="str">
        <f>HYPERLINK("https://www.773grp.com/globalSearch/DAC7678EVM/page-1", "DAC7678EVM")</f>
        <v>DAC7678EVM</v>
      </c>
      <c r="B26871" s="3" t="str">
        <f>HYPERLINK("https://www.773grp.com/manufacturer/texas-instruments?pageNo=501", "Texas Instruments")</f>
        <v>Texas Instruments</v>
      </c>
      <c r="C26871" s="5">
        <v>13</v>
      </c>
      <c r="D26871" s="6">
        <v>210.94</v>
      </c>
    </row>
    <row r="26872" spans="1:4" x14ac:dyDescent="0.25">
      <c r="A26872" t="str">
        <f>HYPERLINK("https://www.773grp.com/globalSearch/DAC8718EVM/page-1", "DAC8718EVM")</f>
        <v>DAC8718EVM</v>
      </c>
      <c r="B26872" s="3" t="str">
        <f>HYPERLINK("https://www.773grp.com/manufacturer/texas-instruments?pageNo=502", "Texas Instruments")</f>
        <v>Texas Instruments</v>
      </c>
      <c r="C26872" s="5">
        <v>3</v>
      </c>
      <c r="D26872" s="6">
        <v>210.94</v>
      </c>
    </row>
    <row r="26873" spans="1:4" x14ac:dyDescent="0.25">
      <c r="A26873" t="str">
        <f>HYPERLINK("https://www.773grp.com/globalSearch/LM2854EVAL/page-1", "LM2854EVAL")</f>
        <v>LM2854EVAL</v>
      </c>
      <c r="B26873" s="3" t="str">
        <f>HYPERLINK("https://www.773grp.com/manufacturer/texas-instruments?pageNo=503", "Texas Instruments")</f>
        <v>Texas Instruments</v>
      </c>
      <c r="C26873" s="5">
        <v>2</v>
      </c>
      <c r="D26873" s="6">
        <v>210.94</v>
      </c>
    </row>
    <row r="26874" spans="1:4" x14ac:dyDescent="0.25">
      <c r="A26874" t="str">
        <f>HYPERLINK("https://www.773grp.com/globalSearch/LM3409EVAL-NOPB/page-1", "LM3409EVAL-NOPB")</f>
        <v>LM3409EVAL-NOPB</v>
      </c>
      <c r="B26874" s="3" t="str">
        <f>HYPERLINK("https://www.773grp.com/manufacturer/texas-instruments?pageNo=504", "Texas Instruments")</f>
        <v>Texas Instruments</v>
      </c>
      <c r="C26874" s="5">
        <v>2</v>
      </c>
      <c r="D26874" s="6">
        <v>210.94</v>
      </c>
    </row>
    <row r="26875" spans="1:4" x14ac:dyDescent="0.25">
      <c r="A26875" t="str">
        <f>HYPERLINK("https://www.773grp.com/globalSearch/LM3509SDEV/page-1", "LM3509SDEV")</f>
        <v>LM3509SDEV</v>
      </c>
      <c r="B26875" s="3" t="str">
        <f>HYPERLINK("https://www.773grp.com/manufacturer/texas-instruments?pageNo=505", "Texas Instruments")</f>
        <v>Texas Instruments</v>
      </c>
      <c r="C26875" s="5">
        <v>2</v>
      </c>
      <c r="D26875" s="6">
        <v>210.94</v>
      </c>
    </row>
    <row r="26876" spans="1:4" x14ac:dyDescent="0.25">
      <c r="A26876" t="str">
        <f>HYPERLINK("https://www.773grp.com/globalSearch/LM3668SD-4550EV/page-1", "LM3668SD-4550EV")</f>
        <v>LM3668SD-4550EV</v>
      </c>
      <c r="B26876" s="3" t="str">
        <f>HYPERLINK("https://www.773grp.com/manufacturer/texas-instruments?pageNo=506", "Texas Instruments")</f>
        <v>Texas Instruments</v>
      </c>
      <c r="C26876" s="5">
        <v>3</v>
      </c>
      <c r="D26876" s="6">
        <v>210.94</v>
      </c>
    </row>
    <row r="26877" spans="1:4" x14ac:dyDescent="0.25">
      <c r="A26877" t="str">
        <f>HYPERLINK("https://www.773grp.com/globalSearch/REF5025SHKJ/page-1", "REF5025SHKJ")</f>
        <v>REF5025SHKJ</v>
      </c>
      <c r="B26877" s="3" t="str">
        <f>HYPERLINK("https://www.773grp.com/manufacturer/texas-instruments?pageNo=507", "Texas Instruments")</f>
        <v>Texas Instruments</v>
      </c>
      <c r="C26877" s="5">
        <v>1</v>
      </c>
      <c r="D26877" s="6">
        <v>210.94</v>
      </c>
    </row>
    <row r="26878" spans="1:4" x14ac:dyDescent="0.25">
      <c r="A26878" t="str">
        <f>HYPERLINK("https://www.773grp.com/globalSearch/TIET890AGA/page-1", "TIET890AGA")</f>
        <v>TIET890AGA</v>
      </c>
      <c r="B26878" s="3" t="str">
        <f>HYPERLINK("https://www.773grp.com/manufacturer/texas-instruments?pageNo=509", "Texas Instruments")</f>
        <v>Texas Instruments</v>
      </c>
      <c r="C26878" s="5">
        <v>161</v>
      </c>
      <c r="D26878" s="6">
        <v>211.36</v>
      </c>
    </row>
    <row r="26879" spans="1:4" x14ac:dyDescent="0.25">
      <c r="A26879" t="str">
        <f>HYPERLINK("https://www.773grp.com/globalSearch/ADS5294IPFP/page-1", "ADS5294IPFP")</f>
        <v>ADS5294IPFP</v>
      </c>
      <c r="B26879" s="3" t="str">
        <f>HYPERLINK("https://www.773grp.com/manufacturer/texas-instruments?pageNo=516", "Texas Instruments")</f>
        <v>Texas Instruments</v>
      </c>
      <c r="C26879" s="5">
        <v>275</v>
      </c>
      <c r="D26879" s="6">
        <v>215.16</v>
      </c>
    </row>
    <row r="26880" spans="1:4" x14ac:dyDescent="0.25">
      <c r="A26880" t="str">
        <f>HYPERLINK("https://www.773grp.com/globalSearch/AFEDRI8201PFBT/page-1", "AFEDRI8201PFBT")</f>
        <v>AFEDRI8201PFBT</v>
      </c>
      <c r="B26880" s="3" t="str">
        <f>HYPERLINK("https://www.773grp.com/manufacturer/texas-instruments?pageNo=517", "Texas Instruments")</f>
        <v>Texas Instruments</v>
      </c>
      <c r="C26880" s="5">
        <v>2000</v>
      </c>
      <c r="D26880" s="6">
        <v>215.16</v>
      </c>
    </row>
    <row r="26881" spans="1:4" x14ac:dyDescent="0.25">
      <c r="A26881" t="str">
        <f>HYPERLINK("https://www.773grp.com/globalSearch/SMX55234W/page-1", "SMX55234W")</f>
        <v>SMX55234W</v>
      </c>
      <c r="B26881" s="3" t="str">
        <f>HYPERLINK("https://www.773grp.com/manufacturer/texas-instruments?pageNo=518", "Texas Instruments")</f>
        <v>Texas Instruments</v>
      </c>
      <c r="C26881" s="5">
        <v>616</v>
      </c>
      <c r="D26881" s="6">
        <v>215.16</v>
      </c>
    </row>
    <row r="26882" spans="1:4" x14ac:dyDescent="0.25">
      <c r="A26882" t="str">
        <f>HYPERLINK("https://www.773grp.com/globalSearch/ADS4246IRGC25/page-1", "ADS4246IRGC25")</f>
        <v>ADS4246IRGC25</v>
      </c>
      <c r="B26882" s="3" t="str">
        <f>HYPERLINK("https://www.773grp.com/manufacturer/texas-instruments?pageNo=522", "Texas Instruments")</f>
        <v>Texas Instruments</v>
      </c>
      <c r="C26882" s="5">
        <v>25</v>
      </c>
      <c r="D26882" s="6">
        <v>215.86</v>
      </c>
    </row>
    <row r="26883" spans="1:4" x14ac:dyDescent="0.25">
      <c r="A26883" t="str">
        <f>HYPERLINK("https://www.773grp.com/globalSearch/TMS320C6202BGNY300/page-1", "TMS320C6202BGNY300")</f>
        <v>TMS320C6202BGNY300</v>
      </c>
      <c r="B26883" s="3" t="str">
        <f>HYPERLINK("https://www.773grp.com/manufacturer/texas-instruments?pageNo=523", "Texas Instruments")</f>
        <v>Texas Instruments</v>
      </c>
      <c r="C26883" s="5">
        <v>63</v>
      </c>
      <c r="D26883" s="6">
        <v>216.09</v>
      </c>
    </row>
    <row r="26884" spans="1:4" x14ac:dyDescent="0.25">
      <c r="A26884" t="str">
        <f>HYPERLINK("https://www.773grp.com/globalSearch/TMS320DM6467CCUTV6/page-1", "TMS320DM6467CCUTV6")</f>
        <v>TMS320DM6467CCUTV6</v>
      </c>
      <c r="B26884" s="3" t="str">
        <f>HYPERLINK("https://www.773grp.com/manufacturer/texas-instruments?pageNo=526", "Texas Instruments")</f>
        <v>Texas Instruments</v>
      </c>
      <c r="C26884" s="5">
        <v>19</v>
      </c>
      <c r="D26884" s="6">
        <v>216.11</v>
      </c>
    </row>
    <row r="26885" spans="1:4" x14ac:dyDescent="0.25">
      <c r="A26885" t="str">
        <f>HYPERLINK("https://www.773grp.com/globalSearch/TMSDM6467CCUT6TAN/page-1", "TMSDM6467CCUT6TAN")</f>
        <v>TMSDM6467CCUT6TAN</v>
      </c>
      <c r="B26885" s="3" t="str">
        <f>HYPERLINK("https://www.773grp.com/manufacturer/texas-instruments?pageNo=527", "Texas Instruments")</f>
        <v>Texas Instruments</v>
      </c>
      <c r="C26885" s="5">
        <v>116</v>
      </c>
      <c r="D26885" s="6">
        <v>216.11</v>
      </c>
    </row>
    <row r="26886" spans="1:4" x14ac:dyDescent="0.25">
      <c r="A26886" t="str">
        <f>HYPERLINK("https://www.773grp.com/globalSearch/UC1825BLP-883B/page-1", "UC1825BLP-883B")</f>
        <v>UC1825BLP-883B</v>
      </c>
      <c r="B26886" s="3" t="str">
        <f>HYPERLINK("https://www.773grp.com/manufacturer/texas-instruments?pageNo=528", "Texas Instruments")</f>
        <v>Texas Instruments</v>
      </c>
      <c r="C26886" s="5">
        <v>7</v>
      </c>
      <c r="D26886" s="6">
        <v>216.18</v>
      </c>
    </row>
    <row r="26887" spans="1:4" x14ac:dyDescent="0.25">
      <c r="A26887" t="str">
        <f>HYPERLINK("https://www.773grp.com/globalSearch/ADS5272IPFP/page-1", "ADS5272IPFP")</f>
        <v>ADS5272IPFP</v>
      </c>
      <c r="B26887" s="3" t="str">
        <f>HYPERLINK("https://www.773grp.com/manufacturer/texas-instruments?pageNo=533", "Texas Instruments")</f>
        <v>Texas Instruments</v>
      </c>
      <c r="C26887" s="5">
        <v>80</v>
      </c>
      <c r="D26887" s="6">
        <v>217.74</v>
      </c>
    </row>
    <row r="26888" spans="1:4" x14ac:dyDescent="0.25">
      <c r="A26888" t="str">
        <f>HYPERLINK("https://www.773grp.com/globalSearch/THS4521SHKQ/page-1", "THS4521SHKQ")</f>
        <v>THS4521SHKQ</v>
      </c>
      <c r="B26888" s="3" t="str">
        <f>HYPERLINK("https://www.773grp.com/manufacturer/texas-instruments?pageNo=536", "Texas Instruments")</f>
        <v>Texas Instruments</v>
      </c>
      <c r="C26888" s="5">
        <v>10</v>
      </c>
      <c r="D26888" s="6">
        <v>221.49</v>
      </c>
    </row>
    <row r="26889" spans="1:4" x14ac:dyDescent="0.25">
      <c r="A26889" t="str">
        <f>HYPERLINK("https://www.773grp.com/globalSearch/UC117L-80339/page-1", "UC117L-80339")</f>
        <v>UC117L-80339</v>
      </c>
      <c r="B26889" s="3" t="str">
        <f>HYPERLINK("https://www.773grp.com/manufacturer/texas-instruments?pageNo=537", "Texas Instruments")</f>
        <v>Texas Instruments</v>
      </c>
      <c r="C26889" s="5">
        <v>3</v>
      </c>
      <c r="D26889" s="6">
        <v>221.79</v>
      </c>
    </row>
    <row r="26890" spans="1:4" x14ac:dyDescent="0.25">
      <c r="A26890" t="str">
        <f>HYPERLINK("https://www.773grp.com/globalSearch/LM3224MM-ADJEV-NOPB/page-1", "LM3224MM-ADJEV-NOPB")</f>
        <v>LM3224MM-ADJEV-NOPB</v>
      </c>
      <c r="B26890" s="3" t="str">
        <f>HYPERLINK("https://www.773grp.com/manufacturer/texas-instruments?pageNo=539", "Texas Instruments")</f>
        <v>Texas Instruments</v>
      </c>
      <c r="C26890" s="5">
        <v>2</v>
      </c>
      <c r="D26890" s="6">
        <v>222.19</v>
      </c>
    </row>
    <row r="26891" spans="1:4" x14ac:dyDescent="0.25">
      <c r="A26891" t="str">
        <f>HYPERLINK("https://www.773grp.com/globalSearch/LM3448-EDSNEV-NOPB/page-1", "LM3448-EDSNEV-NOPB")</f>
        <v>LM3448-EDSNEV-NOPB</v>
      </c>
      <c r="B26891" s="3" t="str">
        <f>HYPERLINK("https://www.773grp.com/manufacturer/texas-instruments?pageNo=540", "Texas Instruments")</f>
        <v>Texas Instruments</v>
      </c>
      <c r="C26891" s="5">
        <v>5</v>
      </c>
      <c r="D26891" s="6">
        <v>222.19</v>
      </c>
    </row>
    <row r="26892" spans="1:4" x14ac:dyDescent="0.25">
      <c r="A26892" t="str">
        <f>HYPERLINK("https://www.773grp.com/globalSearch/LM3464EVAL-NOPB/page-1", "LM3464EVAL-NOPB")</f>
        <v>LM3464EVAL-NOPB</v>
      </c>
      <c r="B26892" s="3" t="str">
        <f>HYPERLINK("https://www.773grp.com/manufacturer/texas-instruments?pageNo=541", "Texas Instruments")</f>
        <v>Texas Instruments</v>
      </c>
      <c r="C26892" s="5">
        <v>1</v>
      </c>
      <c r="D26892" s="6">
        <v>222.19</v>
      </c>
    </row>
    <row r="26893" spans="1:4" x14ac:dyDescent="0.25">
      <c r="A26893" t="str">
        <f>HYPERLINK("https://www.773grp.com/globalSearch/TMDSDOCK28027/page-1", "TMDSDOCK28027")</f>
        <v>TMDSDOCK28027</v>
      </c>
      <c r="B26893" s="3" t="str">
        <f>HYPERLINK("https://www.773grp.com/manufacturer/texas-instruments?pageNo=543", "Texas Instruments")</f>
        <v>Texas Instruments</v>
      </c>
      <c r="C26893" s="5">
        <v>6</v>
      </c>
      <c r="D26893" s="6">
        <v>222.19</v>
      </c>
    </row>
    <row r="26894" spans="1:4" x14ac:dyDescent="0.25">
      <c r="A26894" t="str">
        <f>HYPERLINK("https://www.773grp.com/globalSearch/TMDSEMU100U-14T/page-1", "TMDSEMU100U-14T")</f>
        <v>TMDSEMU100U-14T</v>
      </c>
      <c r="B26894" s="3" t="str">
        <f>HYPERLINK("https://www.773grp.com/manufacturer/texas-instruments?pageNo=544", "Texas Instruments")</f>
        <v>Texas Instruments</v>
      </c>
      <c r="C26894" s="5">
        <v>5</v>
      </c>
      <c r="D26894" s="6">
        <v>222.19</v>
      </c>
    </row>
    <row r="26895" spans="1:4" x14ac:dyDescent="0.25">
      <c r="A26895" t="str">
        <f>HYPERLINK("https://www.773grp.com/globalSearch/TMDSEMU100V2U-14T/page-1", "TMDSEMU100V2U-14T")</f>
        <v>TMDSEMU100V2U-14T</v>
      </c>
      <c r="B26895" s="3" t="str">
        <f>HYPERLINK("https://www.773grp.com/manufacturer/texas-instruments?pageNo=545", "Texas Instruments")</f>
        <v>Texas Instruments</v>
      </c>
      <c r="C26895" s="5">
        <v>3</v>
      </c>
      <c r="D26895" s="6">
        <v>222.19</v>
      </c>
    </row>
    <row r="26896" spans="1:4" x14ac:dyDescent="0.25">
      <c r="A26896" t="str">
        <f>HYPERLINK("https://www.773grp.com/globalSearch/TMDSEMU100V2U-20T/page-1", "TMDSEMU100V2U-20T")</f>
        <v>TMDSEMU100V2U-20T</v>
      </c>
      <c r="B26896" s="3" t="str">
        <f>HYPERLINK("https://www.773grp.com/manufacturer/texas-instruments?pageNo=546", "Texas Instruments")</f>
        <v>Texas Instruments</v>
      </c>
      <c r="C26896" s="5">
        <v>2</v>
      </c>
      <c r="D26896" s="6">
        <v>222.19</v>
      </c>
    </row>
    <row r="26897" spans="1:4" x14ac:dyDescent="0.25">
      <c r="A26897" t="str">
        <f>HYPERLINK("https://www.773grp.com/globalSearch/TMDSEMU100V2U-ARM/page-1", "TMDSEMU100V2U-ARM")</f>
        <v>TMDSEMU100V2U-ARM</v>
      </c>
      <c r="B26897" s="3" t="str">
        <f>HYPERLINK("https://www.773grp.com/manufacturer/texas-instruments?pageNo=547", "Texas Instruments")</f>
        <v>Texas Instruments</v>
      </c>
      <c r="C26897" s="5">
        <v>7</v>
      </c>
      <c r="D26897" s="6">
        <v>222.19</v>
      </c>
    </row>
    <row r="26898" spans="1:4" x14ac:dyDescent="0.25">
      <c r="A26898" t="str">
        <f>HYPERLINK("https://www.773grp.com/globalSearch/TMDX470MF066USB/page-1", "TMDX470MF066USB")</f>
        <v>TMDX470MF066USB</v>
      </c>
      <c r="B26898" s="3" t="str">
        <f>HYPERLINK("https://www.773grp.com/manufacturer/texas-instruments?pageNo=548", "Texas Instruments")</f>
        <v>Texas Instruments</v>
      </c>
      <c r="C26898" s="5">
        <v>7</v>
      </c>
      <c r="D26898" s="6">
        <v>222.19</v>
      </c>
    </row>
    <row r="26899" spans="1:4" x14ac:dyDescent="0.25">
      <c r="A26899" t="str">
        <f>HYPERLINK("https://www.773grp.com/globalSearch/TMDX570LS20SUSB/page-1", "TMDX570LS20SUSB")</f>
        <v>TMDX570LS20SUSB</v>
      </c>
      <c r="B26899" s="3" t="str">
        <f>HYPERLINK("https://www.773grp.com/manufacturer/texas-instruments?pageNo=549", "Texas Instruments")</f>
        <v>Texas Instruments</v>
      </c>
      <c r="C26899" s="5">
        <v>18</v>
      </c>
      <c r="D26899" s="6">
        <v>222.19</v>
      </c>
    </row>
    <row r="26900" spans="1:4" x14ac:dyDescent="0.25">
      <c r="A26900" t="str">
        <f>HYPERLINK("https://www.773grp.com/globalSearch/TMDX570LS31USB/page-1", "TMDX570LS31USB")</f>
        <v>TMDX570LS31USB</v>
      </c>
      <c r="B26900" s="3" t="str">
        <f>HYPERLINK("https://www.773grp.com/manufacturer/texas-instruments?pageNo=550", "Texas Instruments")</f>
        <v>Texas Instruments</v>
      </c>
      <c r="C26900" s="5">
        <v>1</v>
      </c>
      <c r="D26900" s="6">
        <v>222.19</v>
      </c>
    </row>
    <row r="26901" spans="1:4" x14ac:dyDescent="0.25">
      <c r="A26901" t="str">
        <f>HYPERLINK("https://www.773grp.com/globalSearch/TMDXBDKFP5515/page-1", "TMDXBDKFP5515")</f>
        <v>TMDXBDKFP5515</v>
      </c>
      <c r="B26901" s="3" t="str">
        <f>HYPERLINK("https://www.773grp.com/manufacturer/texas-instruments?pageNo=551", "Texas Instruments")</f>
        <v>Texas Instruments</v>
      </c>
      <c r="C26901" s="5">
        <v>3</v>
      </c>
      <c r="D26901" s="6">
        <v>222.19</v>
      </c>
    </row>
    <row r="26902" spans="1:4" x14ac:dyDescent="0.25">
      <c r="A26902" t="str">
        <f>HYPERLINK("https://www.773grp.com/globalSearch/TMDXDOCK28027/page-1", "TMDXDOCK28027")</f>
        <v>TMDXDOCK28027</v>
      </c>
      <c r="B26902" s="3" t="str">
        <f>HYPERLINK("https://www.773grp.com/manufacturer/texas-instruments?pageNo=552", "Texas Instruments")</f>
        <v>Texas Instruments</v>
      </c>
      <c r="C26902" s="5">
        <v>17</v>
      </c>
      <c r="D26902" s="6">
        <v>222.19</v>
      </c>
    </row>
    <row r="26903" spans="1:4" x14ac:dyDescent="0.25">
      <c r="A26903" t="str">
        <f>HYPERLINK("https://www.773grp.com/globalSearch/TMDXRM48USB/page-1", "TMDXRM48USB")</f>
        <v>TMDXRM48USB</v>
      </c>
      <c r="B26903" s="3" t="str">
        <f>HYPERLINK("https://www.773grp.com/manufacturer/texas-instruments?pageNo=553", "Texas Instruments")</f>
        <v>Texas Instruments</v>
      </c>
      <c r="C26903" s="5">
        <v>4</v>
      </c>
      <c r="D26903" s="6">
        <v>222.19</v>
      </c>
    </row>
    <row r="26904" spans="1:4" x14ac:dyDescent="0.25">
      <c r="A26904" t="str">
        <f>HYPERLINK("https://www.773grp.com/globalSearch/INA129SHKJ/page-1", "INA129SHKJ")</f>
        <v>INA129SHKJ</v>
      </c>
      <c r="B26904" s="3" t="str">
        <f>HYPERLINK("https://www.773grp.com/manufacturer/texas-instruments?pageNo=559", "Texas Instruments")</f>
        <v>Texas Instruments</v>
      </c>
      <c r="C26904" s="5">
        <v>5</v>
      </c>
      <c r="D26904" s="6">
        <v>225</v>
      </c>
    </row>
    <row r="26905" spans="1:4" x14ac:dyDescent="0.25">
      <c r="A26905" t="str">
        <f>HYPERLINK("https://www.773grp.com/globalSearch/INA271SHKJ/page-1", "INA271SHKJ")</f>
        <v>INA271SHKJ</v>
      </c>
      <c r="B26905" s="3" t="str">
        <f>HYPERLINK("https://www.773grp.com/manufacturer/texas-instruments?pageNo=561", "Texas Instruments")</f>
        <v>Texas Instruments</v>
      </c>
      <c r="C26905" s="5">
        <v>59</v>
      </c>
      <c r="D26905" s="6">
        <v>225</v>
      </c>
    </row>
    <row r="26906" spans="1:4" x14ac:dyDescent="0.25">
      <c r="A26906" t="str">
        <f>HYPERLINK("https://www.773grp.com/globalSearch/INA333SHKQ/page-1", "INA333SHKQ")</f>
        <v>INA333SHKQ</v>
      </c>
      <c r="B26906" s="3" t="str">
        <f>HYPERLINK("https://www.773grp.com/manufacturer/texas-instruments?pageNo=562", "Texas Instruments")</f>
        <v>Texas Instruments</v>
      </c>
      <c r="C26906" s="5">
        <v>1</v>
      </c>
      <c r="D26906" s="6">
        <v>225</v>
      </c>
    </row>
    <row r="26907" spans="1:4" x14ac:dyDescent="0.25">
      <c r="A26907" t="str">
        <f>HYPERLINK("https://www.773grp.com/globalSearch/TMDXWL1271COM6M/page-1", "TMDXWL1271COM6M")</f>
        <v>TMDXWL1271COM6M</v>
      </c>
      <c r="B26907" s="3" t="str">
        <f>HYPERLINK("https://www.773grp.com/manufacturer/texas-instruments?pageNo=563", "Texas Instruments")</f>
        <v>Texas Instruments</v>
      </c>
      <c r="C26907" s="5">
        <v>4</v>
      </c>
      <c r="D26907" s="6">
        <v>225</v>
      </c>
    </row>
    <row r="26908" spans="1:4" x14ac:dyDescent="0.25">
      <c r="A26908" t="str">
        <f>HYPERLINK("https://www.773grp.com/globalSearch/TMS320DM6467ZUTAV/page-1", "TMS320DM6467ZUTAV")</f>
        <v>TMS320DM6467ZUTAV</v>
      </c>
      <c r="B26908" s="3" t="str">
        <f>HYPERLINK("https://www.773grp.com/manufacturer/texas-instruments?pageNo=564", "Texas Instruments")</f>
        <v>Texas Instruments</v>
      </c>
      <c r="C26908" s="5">
        <v>642</v>
      </c>
      <c r="D26908" s="6">
        <v>225.5</v>
      </c>
    </row>
    <row r="26909" spans="1:4" x14ac:dyDescent="0.25">
      <c r="A26909" t="str">
        <f>HYPERLINK("https://www.773grp.com/globalSearch/TMS320DM6467CGUTA6/page-1", "TMS320DM6467CGUTA6")</f>
        <v>TMS320DM6467CGUTA6</v>
      </c>
      <c r="B26909" s="3" t="str">
        <f>HYPERLINK("https://www.773grp.com/manufacturer/texas-instruments?pageNo=565", "Texas Instruments")</f>
        <v>Texas Instruments</v>
      </c>
      <c r="C26909" s="5">
        <v>797</v>
      </c>
      <c r="D26909" s="6">
        <v>225.56</v>
      </c>
    </row>
    <row r="26910" spans="1:4" x14ac:dyDescent="0.25">
      <c r="A26910" t="str">
        <f>HYPERLINK("https://www.773grp.com/globalSearch/SN74AGT3638-20PCB/page-1", "SN74AGT3638-20PCB")</f>
        <v>SN74AGT3638-20PCB</v>
      </c>
      <c r="B26910" s="3" t="str">
        <f>HYPERLINK("https://www.773grp.com/manufacturer/texas-instruments?pageNo=577", "Texas Instruments")</f>
        <v>Texas Instruments</v>
      </c>
      <c r="C26910" s="5">
        <v>600</v>
      </c>
      <c r="D26910" s="6">
        <v>227.34</v>
      </c>
    </row>
    <row r="26911" spans="1:4" x14ac:dyDescent="0.25">
      <c r="A26911" t="str">
        <f>HYPERLINK("https://www.773grp.com/globalSearch/SMJ68CE16S-25JDM/page-1", "SMJ68CE16S-25JDM")</f>
        <v>SMJ68CE16S-25JDM</v>
      </c>
      <c r="B26911" s="3" t="str">
        <f>HYPERLINK("https://www.773grp.com/manufacturer/texas-instruments?pageNo=579", "Texas Instruments")</f>
        <v>Texas Instruments</v>
      </c>
      <c r="C26911" s="5">
        <v>281</v>
      </c>
      <c r="D26911" s="6">
        <v>227.81</v>
      </c>
    </row>
    <row r="26912" spans="1:4" x14ac:dyDescent="0.25">
      <c r="A26912" t="str">
        <f>HYPERLINK("https://www.773grp.com/globalSearch/ADS4149IRGZ25/page-1", "ADS4149IRGZ25")</f>
        <v>ADS4149IRGZ25</v>
      </c>
      <c r="B26912" s="3" t="str">
        <f>HYPERLINK("https://www.773grp.com/manufacturer/texas-instruments?pageNo=582", "Texas Instruments")</f>
        <v>Texas Instruments</v>
      </c>
      <c r="C26912" s="5">
        <v>131</v>
      </c>
      <c r="D26912" s="6">
        <v>228.24</v>
      </c>
    </row>
    <row r="26913" spans="1:4" x14ac:dyDescent="0.25">
      <c r="A26913" t="str">
        <f>HYPERLINK("https://www.773grp.com/globalSearch/TMS320DM648ZUTD1/page-1", "TMS320DM648ZUTD1")</f>
        <v>TMS320DM648ZUTD1</v>
      </c>
      <c r="B26913" s="3" t="str">
        <f>HYPERLINK("https://www.773grp.com/manufacturer/texas-instruments?pageNo=584", "Texas Instruments")</f>
        <v>Texas Instruments</v>
      </c>
      <c r="C26913" s="5">
        <v>36</v>
      </c>
      <c r="D26913" s="6">
        <v>229.5</v>
      </c>
    </row>
    <row r="26914" spans="1:4" x14ac:dyDescent="0.25">
      <c r="A26914" t="str">
        <f>HYPERLINK("https://www.773grp.com/globalSearch/TMS320C6203BZNY300/page-1", "TMS320C6203BZNY300")</f>
        <v>TMS320C6203BZNY300</v>
      </c>
      <c r="B26914" s="3" t="str">
        <f>HYPERLINK("https://www.773grp.com/manufacturer/texas-instruments?pageNo=587", "Texas Instruments")</f>
        <v>Texas Instruments</v>
      </c>
      <c r="C26914" s="5">
        <v>56</v>
      </c>
      <c r="D26914" s="6">
        <v>229.55</v>
      </c>
    </row>
    <row r="26915" spans="1:4" x14ac:dyDescent="0.25">
      <c r="A26915" t="str">
        <f>HYPERLINK("https://www.773grp.com/globalSearch/PTLK3104SAIGNT/page-1", "PTLK3104SAIGNT")</f>
        <v>PTLK3104SAIGNT</v>
      </c>
      <c r="B26915" s="3" t="str">
        <f>HYPERLINK("https://www.773grp.com/manufacturer/texas-instruments?pageNo=593", "Texas Instruments")</f>
        <v>Texas Instruments</v>
      </c>
      <c r="C26915" s="5">
        <v>311</v>
      </c>
      <c r="D26915" s="6">
        <v>233.25</v>
      </c>
    </row>
    <row r="26916" spans="1:4" x14ac:dyDescent="0.25">
      <c r="A26916" t="str">
        <f>HYPERLINK("https://www.773grp.com/globalSearch/SMJ64C16L-25JDM/page-1", "SMJ64C16L-25JDM")</f>
        <v>SMJ64C16L-25JDM</v>
      </c>
      <c r="B26916" s="3" t="str">
        <f>HYPERLINK("https://www.773grp.com/manufacturer/texas-instruments?pageNo=594", "Texas Instruments")</f>
        <v>Texas Instruments</v>
      </c>
      <c r="C26916" s="5">
        <v>647</v>
      </c>
      <c r="D26916" s="6">
        <v>233.44</v>
      </c>
    </row>
    <row r="26917" spans="1:4" x14ac:dyDescent="0.25">
      <c r="A26917" t="str">
        <f>HYPERLINK("https://www.773grp.com/globalSearch/5962-8550601VSA/page-1", "5962-8550601VSA")</f>
        <v>5962-8550601VSA</v>
      </c>
      <c r="B26917" s="3" t="str">
        <f>HYPERLINK("https://www.773grp.com/manufacturer/texas-instruments?pageNo=596", "Texas Instruments")</f>
        <v>Texas Instruments</v>
      </c>
      <c r="C26917" s="5">
        <v>5</v>
      </c>
      <c r="D26917" s="6">
        <v>234.28</v>
      </c>
    </row>
    <row r="26918" spans="1:4" x14ac:dyDescent="0.25">
      <c r="A26918" t="str">
        <f>HYPERLINK("https://www.773grp.com/globalSearch/5962-9678201VSA/page-1", "5962-9678201VSA")</f>
        <v>5962-9678201VSA</v>
      </c>
      <c r="B26918" s="3" t="str">
        <f>HYPERLINK("https://www.773grp.com/manufacturer/texas-instruments?pageNo=599", "Texas Instruments")</f>
        <v>Texas Instruments</v>
      </c>
      <c r="C26918" s="5">
        <v>20</v>
      </c>
      <c r="D26918" s="6">
        <v>234.43</v>
      </c>
    </row>
    <row r="26919" spans="1:4" x14ac:dyDescent="0.25">
      <c r="A26919" t="str">
        <f>HYPERLINK("https://www.773grp.com/globalSearch/TMS320DM6467CCUT7/page-1", "TMS320DM6467CCUT7")</f>
        <v>TMS320DM6467CCUT7</v>
      </c>
      <c r="B26919" s="3" t="str">
        <f>HYPERLINK("https://www.773grp.com/manufacturer/texas-instruments?pageNo=601", "Texas Instruments")</f>
        <v>Texas Instruments</v>
      </c>
      <c r="C26919" s="5">
        <v>336</v>
      </c>
      <c r="D26919" s="6">
        <v>234.94</v>
      </c>
    </row>
    <row r="26920" spans="1:4" x14ac:dyDescent="0.25">
      <c r="A26920" t="str">
        <f>HYPERLINK("https://www.773grp.com/globalSearch/TMS320DM6467ZUT7/page-1", "TMS320DM6467ZUT7")</f>
        <v>TMS320DM6467ZUT7</v>
      </c>
      <c r="B26920" s="3" t="str">
        <f>HYPERLINK("https://www.773grp.com/manufacturer/texas-instruments?pageNo=602", "Texas Instruments")</f>
        <v>Texas Instruments</v>
      </c>
      <c r="C26920" s="5">
        <v>88</v>
      </c>
      <c r="D26920" s="6">
        <v>234.94</v>
      </c>
    </row>
    <row r="26921" spans="1:4" x14ac:dyDescent="0.25">
      <c r="A26921" t="str">
        <f>HYPERLINK("https://www.773grp.com/globalSearch/SMJ61CD16LA-25JDM/page-1", "SMJ61CD16LA-25JDM")</f>
        <v>SMJ61CD16LA-25JDM</v>
      </c>
      <c r="B26921" s="3" t="str">
        <f>HYPERLINK("https://www.773grp.com/manufacturer/texas-instruments?pageNo=604", "Texas Instruments")</f>
        <v>Texas Instruments</v>
      </c>
      <c r="C26921" s="5">
        <v>243</v>
      </c>
      <c r="D26921" s="6">
        <v>235.63</v>
      </c>
    </row>
    <row r="26922" spans="1:4" x14ac:dyDescent="0.25">
      <c r="A26922" t="str">
        <f>HYPERLINK("https://www.773grp.com/globalSearch/RI-ACC-SHT3-00/page-1", "RI-ACC-SHT3-00")</f>
        <v>RI-ACC-SHT3-00</v>
      </c>
      <c r="B26922" s="3" t="str">
        <f>HYPERLINK("https://www.773grp.com/manufacturer/texas-instruments?pageNo=605", "Texas Instruments")</f>
        <v>Texas Instruments</v>
      </c>
      <c r="C26922" s="5">
        <v>1158</v>
      </c>
      <c r="D26922" s="6">
        <v>236.25</v>
      </c>
    </row>
    <row r="26923" spans="1:4" x14ac:dyDescent="0.25">
      <c r="A26923" t="str">
        <f>HYPERLINK("https://www.773grp.com/globalSearch/TMX320C6203BGLSH/page-1", "TMX320C6203BGLSH")</f>
        <v>TMX320C6203BGLSH</v>
      </c>
      <c r="B26923" s="3" t="str">
        <f>HYPERLINK("https://www.773grp.com/manufacturer/texas-instruments?pageNo=610", "Texas Instruments")</f>
        <v>Texas Instruments</v>
      </c>
      <c r="C26923" s="5">
        <v>821</v>
      </c>
      <c r="D26923" s="6">
        <v>236.76</v>
      </c>
    </row>
    <row r="26924" spans="1:4" x14ac:dyDescent="0.25">
      <c r="A26924" t="str">
        <f>HYPERLINK("https://www.773grp.com/globalSearch/TMX320C6203BGLSX/page-1", "TMX320C6203BGLSX")</f>
        <v>TMX320C6203BGLSX</v>
      </c>
      <c r="B26924" s="3" t="str">
        <f>HYPERLINK("https://www.773grp.com/manufacturer/texas-instruments?pageNo=611", "Texas Instruments")</f>
        <v>Texas Instruments</v>
      </c>
      <c r="C26924" s="5">
        <v>2196</v>
      </c>
      <c r="D26924" s="6">
        <v>236.76</v>
      </c>
    </row>
    <row r="26925" spans="1:4" x14ac:dyDescent="0.25">
      <c r="A26925" t="str">
        <f>HYPERLINK("https://www.773grp.com/globalSearch/TLC320AD545-EVM/page-1", "TLC320AD545-EVM")</f>
        <v>TLC320AD545-EVM</v>
      </c>
      <c r="B26925" s="3" t="str">
        <f>HYPERLINK("https://www.773grp.com/manufacturer/texas-instruments?pageNo=614", "Texas Instruments")</f>
        <v>Texas Instruments</v>
      </c>
      <c r="C26925" s="5">
        <v>6</v>
      </c>
      <c r="D26925" s="6">
        <v>237.83</v>
      </c>
    </row>
    <row r="26926" spans="1:4" x14ac:dyDescent="0.25">
      <c r="A26926" t="str">
        <f>HYPERLINK("https://www.773grp.com/globalSearch/TLV5604-08-31EVM/page-1", "TLV5604-08-31EVM")</f>
        <v>TLV5604-08-31EVM</v>
      </c>
      <c r="B26926" s="3" t="str">
        <f>HYPERLINK("https://www.773grp.com/manufacturer/texas-instruments?pageNo=615", "Texas Instruments")</f>
        <v>Texas Instruments</v>
      </c>
      <c r="C26926" s="5">
        <v>8</v>
      </c>
      <c r="D26926" s="6">
        <v>237.83</v>
      </c>
    </row>
    <row r="26927" spans="1:4" x14ac:dyDescent="0.25">
      <c r="A26927" t="str">
        <f>HYPERLINK("https://www.773grp.com/globalSearch/JM38510-38505SRA/page-1", "JM38510-38505SRA")</f>
        <v>JM38510-38505SRA</v>
      </c>
      <c r="B26927" s="3" t="str">
        <f>HYPERLINK("https://www.773grp.com/manufacturer/texas-instruments?pageNo=616", "Texas Instruments")</f>
        <v>Texas Instruments</v>
      </c>
      <c r="C26927" s="5">
        <v>31</v>
      </c>
      <c r="D26927" s="6">
        <v>238.48</v>
      </c>
    </row>
    <row r="26928" spans="1:4" x14ac:dyDescent="0.25">
      <c r="A26928" t="str">
        <f>HYPERLINK("https://www.773grp.com/globalSearch/RI-ANT-P02A-00/page-1", "RI-ANT-P02A-00")</f>
        <v>RI-ANT-P02A-00</v>
      </c>
      <c r="B26928" s="3" t="str">
        <f>HYPERLINK("https://www.773grp.com/manufacturer/texas-instruments?pageNo=617", "Texas Instruments")</f>
        <v>Texas Instruments</v>
      </c>
      <c r="C26928" s="5">
        <v>20</v>
      </c>
      <c r="D26928" s="6">
        <v>239.06</v>
      </c>
    </row>
    <row r="26929" spans="1:4" x14ac:dyDescent="0.25">
      <c r="A26929" t="str">
        <f>HYPERLINK("https://www.773grp.com/globalSearch/RI-ANT-P02A-30/page-1", "RI-ANT-P02A-30")</f>
        <v>RI-ANT-P02A-30</v>
      </c>
      <c r="B26929" s="3" t="str">
        <f>HYPERLINK("https://www.773grp.com/manufacturer/texas-instruments?pageNo=618", "Texas Instruments")</f>
        <v>Texas Instruments</v>
      </c>
      <c r="C26929" s="5">
        <v>2</v>
      </c>
      <c r="D26929" s="6">
        <v>239.06</v>
      </c>
    </row>
    <row r="26930" spans="1:4" x14ac:dyDescent="0.25">
      <c r="A26930" t="str">
        <f>HYPERLINK("https://www.773grp.com/globalSearch/TMDXCNCD28069ISO/page-1", "TMDXCNCD28069ISO")</f>
        <v>TMDXCNCD28069ISO</v>
      </c>
      <c r="B26930" s="3" t="str">
        <f>HYPERLINK("https://www.773grp.com/manufacturer/texas-instruments?pageNo=619", "Texas Instruments")</f>
        <v>Texas Instruments</v>
      </c>
      <c r="C26930" s="5">
        <v>8</v>
      </c>
      <c r="D26930" s="6">
        <v>239.06</v>
      </c>
    </row>
    <row r="26931" spans="1:4" x14ac:dyDescent="0.25">
      <c r="A26931" t="str">
        <f>HYPERLINK("https://www.773grp.com/globalSearch/TMS320DM8168ACYG2/page-1", "TMS320DM8168ACYG2")</f>
        <v>TMS320DM8168ACYG2</v>
      </c>
      <c r="B26931" s="3" t="str">
        <f>HYPERLINK("https://www.773grp.com/manufacturer/texas-instruments?pageNo=620", "Texas Instruments")</f>
        <v>Texas Instruments</v>
      </c>
      <c r="C26931" s="5">
        <v>550</v>
      </c>
      <c r="D26931" s="6">
        <v>239.06</v>
      </c>
    </row>
    <row r="26932" spans="1:4" x14ac:dyDescent="0.25">
      <c r="A26932" t="str">
        <f>HYPERLINK("https://www.773grp.com/globalSearch/JM38510-65204SDA/page-1", "JM38510-65204SDA")</f>
        <v>JM38510-65204SDA</v>
      </c>
      <c r="B26932" s="3" t="str">
        <f>HYPERLINK("https://www.773grp.com/manufacturer/texas-instruments?pageNo=624", "Texas Instruments")</f>
        <v>Texas Instruments</v>
      </c>
      <c r="C26932" s="5">
        <v>66</v>
      </c>
      <c r="D26932" s="6">
        <v>243.9</v>
      </c>
    </row>
    <row r="26933" spans="1:4" x14ac:dyDescent="0.25">
      <c r="A26933" t="str">
        <f>HYPERLINK("https://www.773grp.com/globalSearch/JM38510-65001SCA/page-1", "JM38510-65001SCA")</f>
        <v>JM38510-65001SCA</v>
      </c>
      <c r="B26933" s="3" t="str">
        <f>HYPERLINK("https://www.773grp.com/manufacturer/texas-instruments?pageNo=625", "Texas Instruments")</f>
        <v>Texas Instruments</v>
      </c>
      <c r="C26933" s="5">
        <v>1048</v>
      </c>
      <c r="D26933" s="6">
        <v>243.93</v>
      </c>
    </row>
    <row r="26934" spans="1:4" x14ac:dyDescent="0.25">
      <c r="A26934" t="str">
        <f>HYPERLINK("https://www.773grp.com/globalSearch/JM38510-65101SCA/page-1", "JM38510-65101SCA")</f>
        <v>JM38510-65101SCA</v>
      </c>
      <c r="B26934" s="3" t="str">
        <f>HYPERLINK("https://www.773grp.com/manufacturer/texas-instruments?pageNo=626", "Texas Instruments")</f>
        <v>Texas Instruments</v>
      </c>
      <c r="C26934" s="5">
        <v>946</v>
      </c>
      <c r="D26934" s="6">
        <v>243.93</v>
      </c>
    </row>
    <row r="26935" spans="1:4" x14ac:dyDescent="0.25">
      <c r="A26935" t="str">
        <f>HYPERLINK("https://www.773grp.com/globalSearch/JM38510-65203SCA/page-1", "JM38510-65203SCA")</f>
        <v>JM38510-65203SCA</v>
      </c>
      <c r="B26935" s="3" t="str">
        <f>HYPERLINK("https://www.773grp.com/manufacturer/texas-instruments?pageNo=627", "Texas Instruments")</f>
        <v>Texas Instruments</v>
      </c>
      <c r="C26935" s="5">
        <v>105</v>
      </c>
      <c r="D26935" s="6">
        <v>243.93</v>
      </c>
    </row>
    <row r="26936" spans="1:4" x14ac:dyDescent="0.25">
      <c r="A26936" t="str">
        <f>HYPERLINK("https://www.773grp.com/globalSearch/JM38510-65701SCA/page-1", "JM38510-65701SCA")</f>
        <v>JM38510-65701SCA</v>
      </c>
      <c r="B26936" s="3" t="str">
        <f>HYPERLINK("https://www.773grp.com/manufacturer/texas-instruments?pageNo=628", "Texas Instruments")</f>
        <v>Texas Instruments</v>
      </c>
      <c r="C26936" s="5">
        <v>257</v>
      </c>
      <c r="D26936" s="6">
        <v>243.93</v>
      </c>
    </row>
    <row r="26937" spans="1:4" x14ac:dyDescent="0.25">
      <c r="A26937" t="str">
        <f>HYPERLINK("https://www.773grp.com/globalSearch/REF5025SHKQ/page-1", "REF5025SHKQ")</f>
        <v>REF5025SHKQ</v>
      </c>
      <c r="B26937" s="3" t="str">
        <f>HYPERLINK("https://www.773grp.com/manufacturer/texas-instruments?pageNo=629", "Texas Instruments")</f>
        <v>Texas Instruments</v>
      </c>
      <c r="C26937" s="5">
        <v>42</v>
      </c>
      <c r="D26937" s="6">
        <v>244.69</v>
      </c>
    </row>
    <row r="26938" spans="1:4" x14ac:dyDescent="0.25">
      <c r="A26938" t="str">
        <f>HYPERLINK("https://www.773grp.com/globalSearch/CC1100EMK-433/page-1", "CC1100EMK-433")</f>
        <v>CC1100EMK-433</v>
      </c>
      <c r="B26938" s="3" t="str">
        <f>HYPERLINK("https://www.773grp.com/manufacturer/texas-instruments?pageNo=633", "Texas Instruments")</f>
        <v>Texas Instruments</v>
      </c>
      <c r="C26938" s="5">
        <v>2</v>
      </c>
      <c r="D26938" s="6">
        <v>213.6</v>
      </c>
    </row>
    <row r="26939" spans="1:4" x14ac:dyDescent="0.25">
      <c r="A26939" t="str">
        <f>HYPERLINK("https://www.773grp.com/globalSearch/CC1100EMK-868/page-1", "CC1100EMK-868")</f>
        <v>CC1100EMK-868</v>
      </c>
      <c r="B26939" s="3" t="str">
        <f>HYPERLINK("https://www.773grp.com/manufacturer/texas-instruments?pageNo=634", "Texas Instruments")</f>
        <v>Texas Instruments</v>
      </c>
      <c r="C26939" s="5">
        <v>2</v>
      </c>
      <c r="D26939" s="6">
        <v>213.6</v>
      </c>
    </row>
    <row r="26940" spans="1:4" x14ac:dyDescent="0.25">
      <c r="A26940" t="str">
        <f>HYPERLINK("https://www.773grp.com/globalSearch/CC2500EMK/page-1", "CC2500EMK")</f>
        <v>CC2500EMK</v>
      </c>
      <c r="B26940" s="3" t="str">
        <f>HYPERLINK("https://www.773grp.com/manufacturer/texas-instruments?pageNo=635", "Texas Instruments")</f>
        <v>Texas Instruments</v>
      </c>
      <c r="C26940" s="5">
        <v>7</v>
      </c>
      <c r="D26940" s="6">
        <v>213.6</v>
      </c>
    </row>
    <row r="26941" spans="1:4" x14ac:dyDescent="0.25">
      <c r="A26941" t="str">
        <f>HYPERLINK("https://www.773grp.com/globalSearch/DDC264CZAW/page-1", "DDC264CZAW")</f>
        <v>DDC264CZAW</v>
      </c>
      <c r="B26941" s="3" t="str">
        <f>HYPERLINK("https://www.773grp.com/manufacturer/texas-instruments?pageNo=639", "Texas Instruments")</f>
        <v>Texas Instruments</v>
      </c>
      <c r="C26941" s="5">
        <v>7</v>
      </c>
      <c r="D26941" s="6">
        <v>215.75</v>
      </c>
    </row>
    <row r="26942" spans="1:4" x14ac:dyDescent="0.25">
      <c r="A26942" t="str">
        <f>HYPERLINK("https://www.773grp.com/globalSearch/EKI-LM3S8962/page-1", "EKI-LM3S8962")</f>
        <v>EKI-LM3S8962</v>
      </c>
      <c r="B26942" s="3" t="str">
        <f>HYPERLINK("https://www.773grp.com/manufacturer/texas-instruments?pageNo=640", "Texas Instruments")</f>
        <v>Texas Instruments</v>
      </c>
      <c r="C26942" s="5">
        <v>25</v>
      </c>
      <c r="D26942" s="6">
        <v>250.31</v>
      </c>
    </row>
    <row r="26943" spans="1:4" x14ac:dyDescent="0.25">
      <c r="A26943" t="str">
        <f>HYPERLINK("https://www.773grp.com/globalSearch/EKK-LM3S8962/page-1", "EKK-LM3S8962")</f>
        <v>EKK-LM3S8962</v>
      </c>
      <c r="B26943" s="3" t="str">
        <f>HYPERLINK("https://www.773grp.com/manufacturer/texas-instruments?pageNo=641", "Texas Instruments")</f>
        <v>Texas Instruments</v>
      </c>
      <c r="C26943" s="5">
        <v>3</v>
      </c>
      <c r="D26943" s="6">
        <v>250.31</v>
      </c>
    </row>
    <row r="26944" spans="1:4" x14ac:dyDescent="0.25">
      <c r="A26944" t="str">
        <f>HYPERLINK("https://www.773grp.com/globalSearch/EKS-LM3S8962/page-1", "EKS-LM3S8962")</f>
        <v>EKS-LM3S8962</v>
      </c>
      <c r="B26944" s="3" t="str">
        <f>HYPERLINK("https://www.773grp.com/manufacturer/texas-instruments?pageNo=642", "Texas Instruments")</f>
        <v>Texas Instruments</v>
      </c>
      <c r="C26944" s="5">
        <v>11</v>
      </c>
      <c r="D26944" s="6">
        <v>250.31</v>
      </c>
    </row>
    <row r="26945" spans="1:4" x14ac:dyDescent="0.25">
      <c r="A26945" t="str">
        <f>HYPERLINK("https://www.773grp.com/globalSearch/MSP-TS430DA38/page-1", "MSP-TS430DA38")</f>
        <v>MSP-TS430DA38</v>
      </c>
      <c r="B26945" s="3" t="str">
        <f>HYPERLINK("https://www.773grp.com/manufacturer/texas-instruments?pageNo=643", "Texas Instruments")</f>
        <v>Texas Instruments</v>
      </c>
      <c r="C26945" s="5">
        <v>3</v>
      </c>
      <c r="D26945" s="6">
        <v>250.31</v>
      </c>
    </row>
    <row r="26946" spans="1:4" x14ac:dyDescent="0.25">
      <c r="A26946" t="str">
        <f>HYPERLINK("https://www.773grp.com/globalSearch/MSP-TS430DW28/page-1", "MSP-TS430DW28")</f>
        <v>MSP-TS430DW28</v>
      </c>
      <c r="B26946" s="3" t="str">
        <f>HYPERLINK("https://www.773grp.com/manufacturer/texas-instruments?pageNo=644", "Texas Instruments")</f>
        <v>Texas Instruments</v>
      </c>
      <c r="C26946" s="5">
        <v>2</v>
      </c>
      <c r="D26946" s="6">
        <v>250.31</v>
      </c>
    </row>
    <row r="26947" spans="1:4" x14ac:dyDescent="0.25">
      <c r="A26947" t="str">
        <f>HYPERLINK("https://www.773grp.com/globalSearch/MSP-TS430PM64A/page-1", "MSP-TS430PM64A")</f>
        <v>MSP-TS430PM64A</v>
      </c>
      <c r="B26947" s="3" t="str">
        <f>HYPERLINK("https://www.773grp.com/manufacturer/texas-instruments?pageNo=645", "Texas Instruments")</f>
        <v>Texas Instruments</v>
      </c>
      <c r="C26947" s="5">
        <v>2</v>
      </c>
      <c r="D26947" s="6">
        <v>250.31</v>
      </c>
    </row>
    <row r="26948" spans="1:4" x14ac:dyDescent="0.25">
      <c r="A26948" t="str">
        <f>HYPERLINK("https://www.773grp.com/globalSearch/MSP-TS430PN80/page-1", "MSP-TS430PN80")</f>
        <v>MSP-TS430PN80</v>
      </c>
      <c r="B26948" s="3" t="str">
        <f>HYPERLINK("https://www.773grp.com/manufacturer/texas-instruments?pageNo=646", "Texas Instruments")</f>
        <v>Texas Instruments</v>
      </c>
      <c r="C26948" s="5">
        <v>4</v>
      </c>
      <c r="D26948" s="6">
        <v>250.31</v>
      </c>
    </row>
    <row r="26949" spans="1:4" x14ac:dyDescent="0.25">
      <c r="A26949" t="str">
        <f>HYPERLINK("https://www.773grp.com/globalSearch/MSP-TS430PW14/page-1", "MSP-TS430PW14")</f>
        <v>MSP-TS430PW14</v>
      </c>
      <c r="B26949" s="3" t="str">
        <f>HYPERLINK("https://www.773grp.com/manufacturer/texas-instruments?pageNo=647", "Texas Instruments")</f>
        <v>Texas Instruments</v>
      </c>
      <c r="C26949" s="5">
        <v>23</v>
      </c>
      <c r="D26949" s="6">
        <v>250.31</v>
      </c>
    </row>
    <row r="26950" spans="1:4" x14ac:dyDescent="0.25">
      <c r="A26950" t="str">
        <f>HYPERLINK("https://www.773grp.com/globalSearch/MSP-TS430PZ100A/page-1", "MSP-TS430PZ100A")</f>
        <v>MSP-TS430PZ100A</v>
      </c>
      <c r="B26950" s="3" t="str">
        <f>HYPERLINK("https://www.773grp.com/manufacturer/texas-instruments?pageNo=648", "Texas Instruments")</f>
        <v>Texas Instruments</v>
      </c>
      <c r="C26950" s="5">
        <v>1</v>
      </c>
      <c r="D26950" s="6">
        <v>250.31</v>
      </c>
    </row>
    <row r="26951" spans="1:4" x14ac:dyDescent="0.25">
      <c r="A26951" t="str">
        <f>HYPERLINK("https://www.773grp.com/globalSearch/MSP-TS430PZ5X100/page-1", "MSP-TS430PZ5X100")</f>
        <v>MSP-TS430PZ5X100</v>
      </c>
      <c r="B26951" s="3" t="str">
        <f>HYPERLINK("https://www.773grp.com/manufacturer/texas-instruments?pageNo=649", "Texas Instruments")</f>
        <v>Texas Instruments</v>
      </c>
      <c r="C26951" s="5">
        <v>2</v>
      </c>
      <c r="D26951" s="6">
        <v>250.31</v>
      </c>
    </row>
    <row r="26952" spans="1:4" x14ac:dyDescent="0.25">
      <c r="A26952" t="str">
        <f>HYPERLINK("https://www.773grp.com/globalSearch/MSP-TS430QFN23X0/page-1", "MSP-TS430QFN23X0")</f>
        <v>MSP-TS430QFN23X0</v>
      </c>
      <c r="B26952" s="3" t="str">
        <f>HYPERLINK("https://www.773grp.com/manufacturer/texas-instruments?pageNo=650", "Texas Instruments")</f>
        <v>Texas Instruments</v>
      </c>
      <c r="C26952" s="5">
        <v>10</v>
      </c>
      <c r="D26952" s="6">
        <v>250.31</v>
      </c>
    </row>
    <row r="26953" spans="1:4" x14ac:dyDescent="0.25">
      <c r="A26953" t="str">
        <f>HYPERLINK("https://www.773grp.com/globalSearch/MSP-TS430RGZ48C/page-1", "MSP-TS430RGZ48C")</f>
        <v>MSP-TS430RGZ48C</v>
      </c>
      <c r="B26953" s="3" t="str">
        <f>HYPERLINK("https://www.773grp.com/manufacturer/texas-instruments?pageNo=651", "Texas Instruments")</f>
        <v>Texas Instruments</v>
      </c>
      <c r="C26953" s="5">
        <v>68</v>
      </c>
      <c r="D26953" s="6">
        <v>250.31</v>
      </c>
    </row>
    <row r="26954" spans="1:4" x14ac:dyDescent="0.25">
      <c r="A26954" t="str">
        <f>HYPERLINK("https://www.773grp.com/globalSearch/TMDSSDSFRU/page-1", "TMDSSDSFRU")</f>
        <v>TMDSSDSFRU</v>
      </c>
      <c r="B26954" s="3" t="str">
        <f>HYPERLINK("https://www.773grp.com/manufacturer/texas-instruments?pageNo=652", "Texas Instruments")</f>
        <v>Texas Instruments</v>
      </c>
      <c r="C26954" s="5">
        <v>3</v>
      </c>
      <c r="D26954" s="6">
        <v>250.31</v>
      </c>
    </row>
    <row r="26955" spans="1:4" x14ac:dyDescent="0.25">
      <c r="A26955" t="str">
        <f>HYPERLINK("https://www.773grp.com/globalSearch/TMDXDOCK28035/page-1", "TMDXDOCK28035")</f>
        <v>TMDXDOCK28035</v>
      </c>
      <c r="B26955" s="3" t="str">
        <f>HYPERLINK("https://www.773grp.com/manufacturer/texas-instruments?pageNo=653", "Texas Instruments")</f>
        <v>Texas Instruments</v>
      </c>
      <c r="C26955" s="5">
        <v>23</v>
      </c>
      <c r="D26955" s="6">
        <v>250.31</v>
      </c>
    </row>
    <row r="26956" spans="1:4" x14ac:dyDescent="0.25">
      <c r="A26956" t="str">
        <f>HYPERLINK("https://www.773grp.com/globalSearch/JM38510-65302SDA/page-1", "JM38510-65302SDA")</f>
        <v>JM38510-65302SDA</v>
      </c>
      <c r="B26956" s="3" t="str">
        <f>HYPERLINK("https://www.773grp.com/manufacturer/texas-instruments?pageNo=657", "Texas Instruments")</f>
        <v>Texas Instruments</v>
      </c>
      <c r="C26956" s="5">
        <v>122</v>
      </c>
      <c r="D26956" s="6">
        <v>217.1</v>
      </c>
    </row>
    <row r="26957" spans="1:4" x14ac:dyDescent="0.25">
      <c r="A26957" t="str">
        <f>HYPERLINK("https://www.773grp.com/globalSearch/5962-8415001VFA/page-1", "5962-8415001VFA")</f>
        <v>5962-8415001VFA</v>
      </c>
      <c r="B26957" s="3" t="str">
        <f>HYPERLINK("https://www.773grp.com/manufacturer/texas-instruments?pageNo=672", "Texas Instruments")</f>
        <v>Texas Instruments</v>
      </c>
      <c r="C26957" s="5">
        <v>22</v>
      </c>
      <c r="D26957" s="6">
        <v>254.81</v>
      </c>
    </row>
    <row r="26958" spans="1:4" x14ac:dyDescent="0.25">
      <c r="A26958" t="str">
        <f>HYPERLINK("https://www.773grp.com/globalSearch/5962-8984502VDA/page-1", "5962-8984502VDA")</f>
        <v>5962-8984502VDA</v>
      </c>
      <c r="B26958" s="3" t="str">
        <f>HYPERLINK("https://www.773grp.com/manufacturer/texas-instruments?pageNo=673", "Texas Instruments")</f>
        <v>Texas Instruments</v>
      </c>
      <c r="C26958" s="5">
        <v>10</v>
      </c>
      <c r="D26958" s="6">
        <v>254.81</v>
      </c>
    </row>
    <row r="26959" spans="1:4" x14ac:dyDescent="0.25">
      <c r="A26959" t="str">
        <f>HYPERLINK("https://www.773grp.com/globalSearch/5962-7602001VDA/page-1", "5962-7602001VDA")</f>
        <v>5962-7602001VDA</v>
      </c>
      <c r="B26959" s="3" t="str">
        <f>HYPERLINK("https://www.773grp.com/manufacturer/texas-instruments?pageNo=677", "Texas Instruments")</f>
        <v>Texas Instruments</v>
      </c>
      <c r="C26959" s="5">
        <v>25</v>
      </c>
      <c r="D26959" s="6">
        <v>222.26</v>
      </c>
    </row>
    <row r="26960" spans="1:4" x14ac:dyDescent="0.25">
      <c r="A26960" t="str">
        <f>HYPERLINK("https://www.773grp.com/globalSearch/JM38510-31101SFA/page-1", "JM38510-31101SFA")</f>
        <v>JM38510-31101SFA</v>
      </c>
      <c r="B26960" s="3" t="str">
        <f>HYPERLINK("https://www.773grp.com/manufacturer/texas-instruments?pageNo=687", "Texas Instruments")</f>
        <v>Texas Instruments</v>
      </c>
      <c r="C26960" s="5">
        <v>76</v>
      </c>
      <c r="D26960" s="6">
        <v>222.26</v>
      </c>
    </row>
    <row r="26961" spans="1:4" x14ac:dyDescent="0.25">
      <c r="A26961" t="str">
        <f>HYPERLINK("https://www.773grp.com/globalSearch/JM38510-65602SRA/page-1", "JM38510-65602SRA")</f>
        <v>JM38510-65602SRA</v>
      </c>
      <c r="B26961" s="3" t="str">
        <f>HYPERLINK("https://www.773grp.com/manufacturer/texas-instruments?pageNo=696", "Texas Instruments")</f>
        <v>Texas Instruments</v>
      </c>
      <c r="C26961" s="5">
        <v>76</v>
      </c>
      <c r="D26961" s="6">
        <v>258.66000000000003</v>
      </c>
    </row>
    <row r="26962" spans="1:4" x14ac:dyDescent="0.25">
      <c r="A26962" t="str">
        <f>HYPERLINK("https://www.773grp.com/globalSearch/TMDSDOCK2808/page-1", "TMDSDOCK2808")</f>
        <v>TMDSDOCK2808</v>
      </c>
      <c r="B26962" s="3" t="str">
        <f>HYPERLINK("https://www.773grp.com/manufacturer/texas-instruments?pageNo=697", "Texas Instruments")</f>
        <v>Texas Instruments</v>
      </c>
      <c r="C26962" s="5">
        <v>8</v>
      </c>
      <c r="D26962" s="6">
        <v>259.08999999999997</v>
      </c>
    </row>
    <row r="26963" spans="1:4" x14ac:dyDescent="0.25">
      <c r="A26963" t="str">
        <f>HYPERLINK("https://www.773grp.com/globalSearch/ADC16DV160CILQ-NOPB/page-1", "ADC16DV160CILQ-NOPB")</f>
        <v>ADC16DV160CILQ-NOPB</v>
      </c>
      <c r="B26963" s="3" t="str">
        <f>HYPERLINK("https://www.773grp.com/manufacturer/texas-instruments?pageNo=701", "Texas Instruments")</f>
        <v>Texas Instruments</v>
      </c>
      <c r="C26963" s="5">
        <v>128</v>
      </c>
      <c r="D26963" s="6">
        <v>224.29</v>
      </c>
    </row>
    <row r="26964" spans="1:4" x14ac:dyDescent="0.25">
      <c r="A26964" t="str">
        <f>HYPERLINK("https://www.773grp.com/globalSearch/CC1000PPK-868/page-1", "CC1000PPK-868")</f>
        <v>CC1000PPK-868</v>
      </c>
      <c r="B26964" s="3" t="str">
        <f>HYPERLINK("https://www.773grp.com/manufacturer/texas-instruments?pageNo=702", "Texas Instruments")</f>
        <v>Texas Instruments</v>
      </c>
      <c r="C26964" s="5">
        <v>1</v>
      </c>
      <c r="D26964" s="6">
        <v>224.29</v>
      </c>
    </row>
    <row r="26965" spans="1:4" x14ac:dyDescent="0.25">
      <c r="A26965" t="str">
        <f>HYPERLINK("https://www.773grp.com/globalSearch/JM38510-65302SCA/page-1", "JM38510-65302SCA")</f>
        <v>JM38510-65302SCA</v>
      </c>
      <c r="B26965" s="3" t="str">
        <f>HYPERLINK("https://www.773grp.com/manufacturer/texas-instruments?pageNo=704", "Texas Instruments")</f>
        <v>Texas Instruments</v>
      </c>
      <c r="C26965" s="5">
        <v>65</v>
      </c>
      <c r="D26965" s="6">
        <v>259.88</v>
      </c>
    </row>
    <row r="26966" spans="1:4" x14ac:dyDescent="0.25">
      <c r="A26966" t="str">
        <f>HYPERLINK("https://www.773grp.com/globalSearch/UC1708J-90164/page-1", "UC1708J-90164")</f>
        <v>UC1708J-90164</v>
      </c>
      <c r="B26966" s="3" t="str">
        <f>HYPERLINK("https://www.773grp.com/manufacturer/texas-instruments?pageNo=708", "Texas Instruments")</f>
        <v>Texas Instruments</v>
      </c>
      <c r="C26966" s="5">
        <v>179</v>
      </c>
      <c r="D26966" s="6">
        <v>261.56</v>
      </c>
    </row>
    <row r="26967" spans="1:4" x14ac:dyDescent="0.25">
      <c r="A26967" t="str">
        <f>HYPERLINK("https://www.773grp.com/globalSearch/TMS32C6416DGLZW5E0/page-1", "TMS32C6416DGLZW5E0")</f>
        <v>TMS32C6416DGLZW5E0</v>
      </c>
      <c r="B26967" s="3" t="str">
        <f>HYPERLINK("https://www.773grp.com/manufacturer/texas-instruments?pageNo=715", "Texas Instruments")</f>
        <v>Texas Instruments</v>
      </c>
      <c r="C26967" s="5">
        <v>1453</v>
      </c>
      <c r="D26967" s="6">
        <v>226.19</v>
      </c>
    </row>
    <row r="26968" spans="1:4" x14ac:dyDescent="0.25">
      <c r="A26968" t="str">
        <f>HYPERLINK("https://www.773grp.com/globalSearch/TMS32C6414EGLZA5E0/page-1", "TMS32C6414EGLZA5E0")</f>
        <v>TMS32C6414EGLZA5E0</v>
      </c>
      <c r="B26968" s="3" t="str">
        <f>HYPERLINK("https://www.773grp.com/manufacturer/texas-instruments?pageNo=717", "Texas Instruments")</f>
        <v>Texas Instruments</v>
      </c>
      <c r="C26968" s="5">
        <v>22</v>
      </c>
      <c r="D26968" s="6">
        <v>226.21</v>
      </c>
    </row>
    <row r="26969" spans="1:4" x14ac:dyDescent="0.25">
      <c r="A26969" t="str">
        <f>HYPERLINK("https://www.773grp.com/globalSearch/TMS32C6414EZLZ6E3/page-1", "TMS32C6414EZLZ6E3")</f>
        <v>TMS32C6414EZLZ6E3</v>
      </c>
      <c r="B26969" s="3" t="str">
        <f>HYPERLINK("https://www.773grp.com/manufacturer/texas-instruments?pageNo=718", "Texas Instruments")</f>
        <v>Texas Instruments</v>
      </c>
      <c r="C26969" s="5">
        <v>33</v>
      </c>
      <c r="D26969" s="6">
        <v>226.21</v>
      </c>
    </row>
    <row r="26970" spans="1:4" x14ac:dyDescent="0.25">
      <c r="A26970" t="str">
        <f>HYPERLINK("https://www.773grp.com/globalSearch/FLINK3V10BT-RX/page-1", "FLINK3V10BT-RX")</f>
        <v>FLINK3V10BT-RX</v>
      </c>
      <c r="B26970" s="3" t="str">
        <f>HYPERLINK("https://www.773grp.com/manufacturer/texas-instruments?pageNo=721", "Texas Instruments")</f>
        <v>Texas Instruments</v>
      </c>
      <c r="C26970" s="5">
        <v>1</v>
      </c>
      <c r="D26970" s="6">
        <v>226.43</v>
      </c>
    </row>
    <row r="26971" spans="1:4" x14ac:dyDescent="0.25">
      <c r="A26971" t="str">
        <f>HYPERLINK("https://www.773grp.com/globalSearch/JM38510-65307SEA/page-1", "JM38510-65307SEA")</f>
        <v>JM38510-65307SEA</v>
      </c>
      <c r="B26971" s="3" t="str">
        <f>HYPERLINK("https://www.773grp.com/manufacturer/texas-instruments?pageNo=722", "Texas Instruments")</f>
        <v>Texas Instruments</v>
      </c>
      <c r="C26971" s="5">
        <v>1</v>
      </c>
      <c r="D26971" s="6">
        <v>227.08</v>
      </c>
    </row>
    <row r="26972" spans="1:4" x14ac:dyDescent="0.25">
      <c r="A26972" t="str">
        <f>HYPERLINK("https://www.773grp.com/globalSearch/JM38510-65802SEA/page-1", "JM38510-65802SEA")</f>
        <v>JM38510-65802SEA</v>
      </c>
      <c r="B26972" s="3" t="str">
        <f>HYPERLINK("https://www.773grp.com/manufacturer/texas-instruments?pageNo=723", "Texas Instruments")</f>
        <v>Texas Instruments</v>
      </c>
      <c r="C26972" s="5">
        <v>245</v>
      </c>
      <c r="D26972" s="6">
        <v>227.08</v>
      </c>
    </row>
    <row r="26973" spans="1:4" x14ac:dyDescent="0.25">
      <c r="A26973" t="str">
        <f>HYPERLINK("https://www.773grp.com/globalSearch/JM38510-65803SEA/page-1", "JM38510-65803SEA")</f>
        <v>JM38510-65803SEA</v>
      </c>
      <c r="B26973" s="3" t="str">
        <f>HYPERLINK("https://www.773grp.com/manufacturer/texas-instruments?pageNo=724", "Texas Instruments")</f>
        <v>Texas Instruments</v>
      </c>
      <c r="C26973" s="5">
        <v>129</v>
      </c>
      <c r="D26973" s="6">
        <v>227.08</v>
      </c>
    </row>
    <row r="26974" spans="1:4" x14ac:dyDescent="0.25">
      <c r="A26974" t="str">
        <f>HYPERLINK("https://www.773grp.com/globalSearch/JM38510-66302SEA/page-1", "JM38510-66302SEA")</f>
        <v>JM38510-66302SEA</v>
      </c>
      <c r="B26974" s="3" t="str">
        <f>HYPERLINK("https://www.773grp.com/manufacturer/texas-instruments?pageNo=725", "Texas Instruments")</f>
        <v>Texas Instruments</v>
      </c>
      <c r="C26974" s="5">
        <v>74</v>
      </c>
      <c r="D26974" s="6">
        <v>227.08</v>
      </c>
    </row>
    <row r="26975" spans="1:4" x14ac:dyDescent="0.25">
      <c r="A26975" t="str">
        <f>HYPERLINK("https://www.773grp.com/globalSearch/TMS320DM6467ZUTD7/page-1", "TMS320DM6467ZUTD7")</f>
        <v>TMS320DM6467ZUTD7</v>
      </c>
      <c r="B26975" s="3" t="str">
        <f>HYPERLINK("https://www.773grp.com/manufacturer/texas-instruments?pageNo=734", "Texas Instruments")</f>
        <v>Texas Instruments</v>
      </c>
      <c r="C26975" s="5">
        <v>665</v>
      </c>
      <c r="D26975" s="6">
        <v>263.11</v>
      </c>
    </row>
    <row r="26976" spans="1:4" x14ac:dyDescent="0.25">
      <c r="A26976" t="str">
        <f>HYPERLINK("https://www.773grp.com/globalSearch/JM38510-36001SFA/page-1", "JM38510-36001SFA")</f>
        <v>JM38510-36001SFA</v>
      </c>
      <c r="B26976" s="3" t="str">
        <f>HYPERLINK("https://www.773grp.com/manufacturer/texas-instruments?pageNo=736", "Texas Instruments")</f>
        <v>Texas Instruments</v>
      </c>
      <c r="C26976" s="5">
        <v>43</v>
      </c>
      <c r="D26976" s="6">
        <v>263.76</v>
      </c>
    </row>
    <row r="26977" spans="1:4" x14ac:dyDescent="0.25">
      <c r="A26977" t="str">
        <f>HYPERLINK("https://www.773grp.com/globalSearch/PTB78520WAH/page-1", "PTB78520WAH")</f>
        <v>PTB78520WAH</v>
      </c>
      <c r="B26977" s="3" t="str">
        <f>HYPERLINK("https://www.773grp.com/manufacturer/texas-instruments?pageNo=741", "Texas Instruments")</f>
        <v>Texas Instruments</v>
      </c>
      <c r="C26977" s="5">
        <v>82</v>
      </c>
      <c r="D26977" s="6">
        <v>228.45</v>
      </c>
    </row>
    <row r="26978" spans="1:4" x14ac:dyDescent="0.25">
      <c r="A26978" t="str">
        <f>HYPERLINK("https://www.773grp.com/globalSearch/TMS320DM8168CCYG4/page-1", "TMS320DM8168CCYG4")</f>
        <v>TMS320DM8168CCYG4</v>
      </c>
      <c r="B26978" s="3" t="str">
        <f>HYPERLINK("https://www.773grp.com/manufacturer/texas-instruments?pageNo=751", "Texas Instruments")</f>
        <v>Texas Instruments</v>
      </c>
      <c r="C26978" s="5">
        <v>719</v>
      </c>
      <c r="D26978" s="6">
        <v>230.16</v>
      </c>
    </row>
    <row r="26979" spans="1:4" x14ac:dyDescent="0.25">
      <c r="A26979" t="str">
        <f>HYPERLINK("https://www.773grp.com/globalSearch/VCE6467TZUTL1/page-1", "VCE6467TZUTL1")</f>
        <v>VCE6467TZUTL1</v>
      </c>
      <c r="B26979" s="3" t="str">
        <f>HYPERLINK("https://www.773grp.com/manufacturer/texas-instruments?pageNo=754", "Texas Instruments")</f>
        <v>Texas Instruments</v>
      </c>
      <c r="C26979" s="5">
        <v>5</v>
      </c>
      <c r="D26979" s="6">
        <v>230.6</v>
      </c>
    </row>
    <row r="26980" spans="1:4" x14ac:dyDescent="0.25">
      <c r="A26980" t="str">
        <f>HYPERLINK("https://www.773grp.com/globalSearch/SN65HVD1040HD/page-1", "SN65HVD1040HD")</f>
        <v>SN65HVD1040HD</v>
      </c>
      <c r="B26980" s="3" t="str">
        <f>HYPERLINK("https://www.773grp.com/manufacturer/texas-instruments?pageNo=755", "Texas Instruments")</f>
        <v>Texas Instruments</v>
      </c>
      <c r="C26980" s="5">
        <v>25</v>
      </c>
      <c r="D26980" s="6">
        <v>267.19</v>
      </c>
    </row>
    <row r="26981" spans="1:4" x14ac:dyDescent="0.25">
      <c r="A26981" t="str">
        <f>HYPERLINK("https://www.773grp.com/globalSearch/SN65HVD1040SHKQ/page-1", "SN65HVD1040SHKQ")</f>
        <v>SN65HVD1040SHKQ</v>
      </c>
      <c r="B26981" s="3" t="str">
        <f>HYPERLINK("https://www.773grp.com/manufacturer/texas-instruments?pageNo=756", "Texas Instruments")</f>
        <v>Texas Instruments</v>
      </c>
      <c r="C26981" s="5">
        <v>15</v>
      </c>
      <c r="D26981" s="6">
        <v>267.19</v>
      </c>
    </row>
    <row r="26982" spans="1:4" x14ac:dyDescent="0.25">
      <c r="A26982" t="str">
        <f>HYPERLINK("https://www.773grp.com/globalSearch/TMS320DM8168CCYG2/page-1", "TMS320DM8168CCYG2")</f>
        <v>TMS320DM8168CCYG2</v>
      </c>
      <c r="B26982" s="3" t="str">
        <f>HYPERLINK("https://www.773grp.com/manufacturer/texas-instruments?pageNo=757", "Texas Instruments")</f>
        <v>Texas Instruments</v>
      </c>
      <c r="C26982" s="5">
        <v>50</v>
      </c>
      <c r="D26982" s="6">
        <v>267.19</v>
      </c>
    </row>
    <row r="26983" spans="1:4" x14ac:dyDescent="0.25">
      <c r="A26983" t="str">
        <f>HYPERLINK("https://www.773grp.com/globalSearch/MSP-TS430RSB40/page-1", "MSP-TS430RSB40")</f>
        <v>MSP-TS430RSB40</v>
      </c>
      <c r="B26983" s="3" t="str">
        <f>HYPERLINK("https://www.773grp.com/manufacturer/texas-instruments?pageNo=758", "Texas Instruments")</f>
        <v>Texas Instruments</v>
      </c>
      <c r="C26983" s="5">
        <v>3</v>
      </c>
      <c r="D26983" s="6">
        <v>267.77999999999997</v>
      </c>
    </row>
    <row r="26984" spans="1:4" x14ac:dyDescent="0.25">
      <c r="A26984" t="str">
        <f>HYPERLINK("https://www.773grp.com/globalSearch/JM38510-65001SDA/page-1", "JM38510-65001SDA")</f>
        <v>JM38510-65001SDA</v>
      </c>
      <c r="B26984" s="3" t="str">
        <f>HYPERLINK("https://www.773grp.com/manufacturer/texas-instruments?pageNo=760", "Texas Instruments")</f>
        <v>Texas Instruments</v>
      </c>
      <c r="C26984" s="5">
        <v>46</v>
      </c>
      <c r="D26984" s="6">
        <v>268.31</v>
      </c>
    </row>
    <row r="26985" spans="1:4" x14ac:dyDescent="0.25">
      <c r="A26985" t="str">
        <f>HYPERLINK("https://www.773grp.com/globalSearch/JM38510-65101SDA/page-1", "JM38510-65101SDA")</f>
        <v>JM38510-65101SDA</v>
      </c>
      <c r="B26985" s="3" t="str">
        <f>HYPERLINK("https://www.773grp.com/manufacturer/texas-instruments?pageNo=761", "Texas Instruments")</f>
        <v>Texas Instruments</v>
      </c>
      <c r="C26985" s="5">
        <v>34</v>
      </c>
      <c r="D26985" s="6">
        <v>268.31</v>
      </c>
    </row>
    <row r="26986" spans="1:4" x14ac:dyDescent="0.25">
      <c r="A26986" t="str">
        <f>HYPERLINK("https://www.773grp.com/globalSearch/JM38510-65203SDA/page-1", "JM38510-65203SDA")</f>
        <v>JM38510-65203SDA</v>
      </c>
      <c r="B26986" s="3" t="str">
        <f>HYPERLINK("https://www.773grp.com/manufacturer/texas-instruments?pageNo=762", "Texas Instruments")</f>
        <v>Texas Instruments</v>
      </c>
      <c r="C26986" s="5">
        <v>190</v>
      </c>
      <c r="D26986" s="6">
        <v>268.31</v>
      </c>
    </row>
    <row r="26987" spans="1:4" x14ac:dyDescent="0.25">
      <c r="A26987" t="str">
        <f>HYPERLINK("https://www.773grp.com/globalSearch/JM38510-65701SDA/page-1", "JM38510-65701SDA")</f>
        <v>JM38510-65701SDA</v>
      </c>
      <c r="B26987" s="3" t="str">
        <f>HYPERLINK("https://www.773grp.com/manufacturer/texas-instruments?pageNo=763", "Texas Instruments")</f>
        <v>Texas Instruments</v>
      </c>
      <c r="C26987" s="5">
        <v>136</v>
      </c>
      <c r="D26987" s="6">
        <v>268.31</v>
      </c>
    </row>
    <row r="26988" spans="1:4" x14ac:dyDescent="0.25">
      <c r="A26988" t="str">
        <f>HYPERLINK("https://www.773grp.com/globalSearch/EKI-LM3S3748/page-1", "EKI-LM3S3748")</f>
        <v>EKI-LM3S3748</v>
      </c>
      <c r="B26988" s="3" t="str">
        <f>HYPERLINK("https://www.773grp.com/manufacturer/texas-instruments?pageNo=768", "Texas Instruments")</f>
        <v>Texas Instruments</v>
      </c>
      <c r="C26988" s="5">
        <v>27</v>
      </c>
      <c r="D26988" s="6">
        <v>232.83</v>
      </c>
    </row>
    <row r="26989" spans="1:4" x14ac:dyDescent="0.25">
      <c r="A26989" t="str">
        <f>HYPERLINK("https://www.773grp.com/globalSearch/EKK-LM3S3748/page-1", "EKK-LM3S3748")</f>
        <v>EKK-LM3S3748</v>
      </c>
      <c r="B26989" s="3" t="str">
        <f>HYPERLINK("https://www.773grp.com/manufacturer/texas-instruments?pageNo=769", "Texas Instruments")</f>
        <v>Texas Instruments</v>
      </c>
      <c r="C26989" s="5">
        <v>3</v>
      </c>
      <c r="D26989" s="6">
        <v>232.83</v>
      </c>
    </row>
    <row r="26990" spans="1:4" x14ac:dyDescent="0.25">
      <c r="A26990" t="str">
        <f>HYPERLINK("https://www.773grp.com/globalSearch/EKS-LM3S3748/page-1", "EKS-LM3S3748")</f>
        <v>EKS-LM3S3748</v>
      </c>
      <c r="B26990" s="3" t="str">
        <f>HYPERLINK("https://www.773grp.com/manufacturer/texas-instruments?pageNo=770", "Texas Instruments")</f>
        <v>Texas Instruments</v>
      </c>
      <c r="C26990" s="5">
        <v>10</v>
      </c>
      <c r="D26990" s="6">
        <v>232.83</v>
      </c>
    </row>
    <row r="26991" spans="1:4" x14ac:dyDescent="0.25">
      <c r="A26991" t="str">
        <f>HYPERLINK("https://www.773grp.com/globalSearch/TLC1225MJB/page-1", "TLC1225MJB")</f>
        <v>TLC1225MJB</v>
      </c>
      <c r="B26991" s="3" t="str">
        <f>HYPERLINK("https://www.773grp.com/manufacturer/texas-instruments?pageNo=771", "Texas Instruments")</f>
        <v>Texas Instruments</v>
      </c>
      <c r="C26991" s="5">
        <v>51</v>
      </c>
      <c r="D26991" s="6">
        <v>270</v>
      </c>
    </row>
    <row r="26992" spans="1:4" x14ac:dyDescent="0.25">
      <c r="A26992" t="str">
        <f>HYPERLINK("https://www.773grp.com/globalSearch/5962-8774201VEA/page-1", "5962-8774201VEA")</f>
        <v>5962-8774201VEA</v>
      </c>
      <c r="B26992" s="3" t="str">
        <f>HYPERLINK("https://www.773grp.com/manufacturer/texas-instruments?pageNo=772", "Texas Instruments")</f>
        <v>Texas Instruments</v>
      </c>
      <c r="C26992" s="5">
        <v>15</v>
      </c>
      <c r="D26992" s="6">
        <v>270.56</v>
      </c>
    </row>
    <row r="26993" spans="1:4" x14ac:dyDescent="0.25">
      <c r="A26993" t="str">
        <f>HYPERLINK("https://www.773grp.com/globalSearch/SMJ68CE16L-25JDM/page-1", "SMJ68CE16L-25JDM")</f>
        <v>SMJ68CE16L-25JDM</v>
      </c>
      <c r="B26993" s="3" t="str">
        <f>HYPERLINK("https://www.773grp.com/manufacturer/texas-instruments?pageNo=773", "Texas Instruments")</f>
        <v>Texas Instruments</v>
      </c>
      <c r="C26993" s="5">
        <v>1386</v>
      </c>
      <c r="D26993" s="6">
        <v>270.95999999999998</v>
      </c>
    </row>
    <row r="26994" spans="1:4" x14ac:dyDescent="0.25">
      <c r="A26994" t="str">
        <f>HYPERLINK("https://www.773grp.com/globalSearch/TMX320C6203BGLS-3H/page-1", "TMX320C6203BGLS-3H")</f>
        <v>TMX320C6203BGLS-3H</v>
      </c>
      <c r="B26994" s="3" t="str">
        <f>HYPERLINK("https://www.773grp.com/manufacturer/texas-instruments?pageNo=777", "Texas Instruments")</f>
        <v>Texas Instruments</v>
      </c>
      <c r="C26994" s="5">
        <v>357</v>
      </c>
      <c r="D26994" s="6">
        <v>235.14</v>
      </c>
    </row>
    <row r="26995" spans="1:4" x14ac:dyDescent="0.25">
      <c r="A26995" t="str">
        <f>HYPERLINK("https://www.773grp.com/globalSearch/TMX320C6203BGNY-3/page-1", "TMX320C6203BGNY-3")</f>
        <v>TMX320C6203BGNY-3</v>
      </c>
      <c r="B26995" s="3" t="str">
        <f>HYPERLINK("https://www.773grp.com/manufacturer/texas-instruments?pageNo=778", "Texas Instruments")</f>
        <v>Texas Instruments</v>
      </c>
      <c r="C26995" s="5">
        <v>86</v>
      </c>
      <c r="D26995" s="6">
        <v>235.14</v>
      </c>
    </row>
    <row r="26996" spans="1:4" x14ac:dyDescent="0.25">
      <c r="A26996" t="str">
        <f>HYPERLINK("https://www.773grp.com/globalSearch/TMX32C6203BGLS173A/page-1", "TMX32C6203BGLS173A")</f>
        <v>TMX32C6203BGLS173A</v>
      </c>
      <c r="B26996" s="3" t="str">
        <f>HYPERLINK("https://www.773grp.com/manufacturer/texas-instruments?pageNo=779", "Texas Instruments")</f>
        <v>Texas Instruments</v>
      </c>
      <c r="C26996" s="5">
        <v>172</v>
      </c>
      <c r="D26996" s="6">
        <v>235.14</v>
      </c>
    </row>
    <row r="26997" spans="1:4" x14ac:dyDescent="0.25">
      <c r="A26997" t="str">
        <f>HYPERLINK("https://www.773grp.com/globalSearch/TMX32C6203BGLS173X/page-1", "TMX32C6203BGLS173X")</f>
        <v>TMX32C6203BGLS173X</v>
      </c>
      <c r="B26997" s="3" t="str">
        <f>HYPERLINK("https://www.773grp.com/manufacturer/texas-instruments?pageNo=780", "Texas Instruments")</f>
        <v>Texas Instruments</v>
      </c>
      <c r="C26997" s="5">
        <v>5472</v>
      </c>
      <c r="D26997" s="6">
        <v>235.14</v>
      </c>
    </row>
    <row r="26998" spans="1:4" x14ac:dyDescent="0.25">
      <c r="A26998" t="str">
        <f>HYPERLINK("https://www.773grp.com/globalSearch/WDC6202GJL250X/page-1", "WDC6202GJL250X")</f>
        <v>WDC6202GJL250X</v>
      </c>
      <c r="B26998" s="3" t="str">
        <f>HYPERLINK("https://www.773grp.com/manufacturer/texas-instruments?pageNo=781", "Texas Instruments")</f>
        <v>Texas Instruments</v>
      </c>
      <c r="C26998" s="5">
        <v>80</v>
      </c>
      <c r="D26998" s="6">
        <v>235.38</v>
      </c>
    </row>
    <row r="26999" spans="1:4" x14ac:dyDescent="0.25">
      <c r="A26999" t="str">
        <f>HYPERLINK("https://www.773grp.com/globalSearch/TMDSADP1460/page-1", "TMDSADP1460")</f>
        <v>TMDSADP1460</v>
      </c>
      <c r="B26999" s="3" t="str">
        <f>HYPERLINK("https://www.773grp.com/manufacturer/texas-instruments?pageNo=786", "Texas Instruments")</f>
        <v>Texas Instruments</v>
      </c>
      <c r="C26999" s="5">
        <v>13</v>
      </c>
      <c r="D26999" s="6">
        <v>274.23</v>
      </c>
    </row>
    <row r="27000" spans="1:4" x14ac:dyDescent="0.25">
      <c r="A27000" t="str">
        <f>HYPERLINK("https://www.773grp.com/globalSearch/LOG100JP/page-1", "LOG100JP")</f>
        <v>LOG100JP</v>
      </c>
      <c r="B27000" s="3" t="str">
        <f>HYPERLINK("https://www.773grp.com/manufacturer/texas-instruments?pageNo=791", "Texas Instruments")</f>
        <v>Texas Instruments</v>
      </c>
      <c r="C27000" s="5">
        <v>8508</v>
      </c>
      <c r="D27000" s="6">
        <v>237.75</v>
      </c>
    </row>
    <row r="27001" spans="1:4" x14ac:dyDescent="0.25">
      <c r="A27001" t="str">
        <f>HYPERLINK("https://www.773grp.com/globalSearch/LOG100JP-4/page-1", "LOG100JP-4")</f>
        <v>LOG100JP-4</v>
      </c>
      <c r="B27001" s="3" t="str">
        <f>HYPERLINK("https://www.773grp.com/manufacturer/texas-instruments?pageNo=793", "Texas Instruments")</f>
        <v>Texas Instruments</v>
      </c>
      <c r="C27001" s="5">
        <v>85</v>
      </c>
      <c r="D27001" s="6">
        <v>237.75</v>
      </c>
    </row>
    <row r="27002" spans="1:4" x14ac:dyDescent="0.25">
      <c r="A27002" t="str">
        <f>HYPERLINK("https://www.773grp.com/globalSearch/OPA541BM/page-1", "OPA541BM")</f>
        <v>OPA541BM</v>
      </c>
      <c r="B27002" s="3" t="str">
        <f>HYPERLINK("https://www.773grp.com/manufacturer/texas-instruments?pageNo=795", "Texas Instruments")</f>
        <v>Texas Instruments</v>
      </c>
      <c r="C27002" s="5">
        <v>12</v>
      </c>
      <c r="D27002" s="6">
        <v>238.08</v>
      </c>
    </row>
    <row r="27003" spans="1:4" x14ac:dyDescent="0.25">
      <c r="A27003" t="str">
        <f>HYPERLINK("https://www.773grp.com/globalSearch/TMS32C6415EGLZ6E3/page-1", "TMS32C6415EGLZ6E3")</f>
        <v>TMS32C6415EGLZ6E3</v>
      </c>
      <c r="B27003" s="3" t="str">
        <f>HYPERLINK("https://www.773grp.com/manufacturer/texas-instruments?pageNo=796", "Texas Instruments")</f>
        <v>Texas Instruments</v>
      </c>
      <c r="C27003" s="5">
        <v>66</v>
      </c>
      <c r="D27003" s="6">
        <v>238.13</v>
      </c>
    </row>
    <row r="27004" spans="1:4" x14ac:dyDescent="0.25">
      <c r="A27004" t="str">
        <f>HYPERLINK("https://www.773grp.com/globalSearch/TMS320VC5441GUR/page-1", "TMS320VC5441GUR")</f>
        <v>TMS320VC5441GUR</v>
      </c>
      <c r="B27004" s="3" t="str">
        <f>HYPERLINK("https://www.773grp.com/manufacturer/texas-instruments?pageNo=802", "Texas Instruments")</f>
        <v>Texas Instruments</v>
      </c>
      <c r="C27004" s="5">
        <v>4000</v>
      </c>
      <c r="D27004" s="6">
        <v>239.46</v>
      </c>
    </row>
    <row r="27005" spans="1:4" x14ac:dyDescent="0.25">
      <c r="A27005" t="str">
        <f>HYPERLINK("https://www.773grp.com/globalSearch/TMX320C6203BGLS173H/page-1", "TMX320C6203BGLS173H")</f>
        <v>TMX320C6203BGLS173H</v>
      </c>
      <c r="B27005" s="3" t="str">
        <f>HYPERLINK("https://www.773grp.com/manufacturer/texas-instruments?pageNo=803", "Texas Instruments")</f>
        <v>Texas Instruments</v>
      </c>
      <c r="C27005" s="5">
        <v>2232</v>
      </c>
      <c r="D27005" s="6">
        <v>277.31</v>
      </c>
    </row>
    <row r="27006" spans="1:4" x14ac:dyDescent="0.25">
      <c r="A27006" t="str">
        <f>HYPERLINK("https://www.773grp.com/globalSearch/GC5330IZEV/page-1", "GC5330IZEV")</f>
        <v>GC5330IZEV</v>
      </c>
      <c r="B27006" s="3" t="str">
        <f>HYPERLINK("https://www.773grp.com/manufacturer/texas-instruments?pageNo=808", "Texas Instruments")</f>
        <v>Texas Instruments</v>
      </c>
      <c r="C27006" s="5">
        <v>1</v>
      </c>
      <c r="D27006" s="6">
        <v>277.94</v>
      </c>
    </row>
    <row r="27007" spans="1:4" x14ac:dyDescent="0.25">
      <c r="A27007" t="str">
        <f>HYPERLINK("https://www.773grp.com/globalSearch/ADS1192ECG-FE/page-1", "ADS1192ECG-FE")</f>
        <v>ADS1192ECG-FE</v>
      </c>
      <c r="B27007" s="3" t="str">
        <f>HYPERLINK("https://www.773grp.com/manufacturer/texas-instruments?pageNo=810", "Texas Instruments")</f>
        <v>Texas Instruments</v>
      </c>
      <c r="C27007" s="5">
        <v>2</v>
      </c>
      <c r="D27007" s="6">
        <v>278.44</v>
      </c>
    </row>
    <row r="27008" spans="1:4" x14ac:dyDescent="0.25">
      <c r="A27008" t="str">
        <f>HYPERLINK("https://www.773grp.com/globalSearch/ADS1230REF/page-1", "ADS1230REF")</f>
        <v>ADS1230REF</v>
      </c>
      <c r="B27008" s="3" t="str">
        <f>HYPERLINK("https://www.773grp.com/manufacturer/texas-instruments?pageNo=811", "Texas Instruments")</f>
        <v>Texas Instruments</v>
      </c>
      <c r="C27008" s="5">
        <v>3</v>
      </c>
      <c r="D27008" s="6">
        <v>278.44</v>
      </c>
    </row>
    <row r="27009" spans="1:4" x14ac:dyDescent="0.25">
      <c r="A27009" t="str">
        <f>HYPERLINK("https://www.773grp.com/globalSearch/ADS5433EVM/page-1", "ADS5433EVM")</f>
        <v>ADS5433EVM</v>
      </c>
      <c r="B27009" s="3" t="str">
        <f>HYPERLINK("https://www.773grp.com/manufacturer/texas-instruments?pageNo=812", "Texas Instruments")</f>
        <v>Texas Instruments</v>
      </c>
      <c r="C27009" s="5">
        <v>2</v>
      </c>
      <c r="D27009" s="6">
        <v>278.44</v>
      </c>
    </row>
    <row r="27010" spans="1:4" x14ac:dyDescent="0.25">
      <c r="A27010" t="str">
        <f>HYPERLINK("https://www.773grp.com/globalSearch/ADS7881EVM/page-1", "ADS7881EVM")</f>
        <v>ADS7881EVM</v>
      </c>
      <c r="B27010" s="3" t="str">
        <f>HYPERLINK("https://www.773grp.com/manufacturer/texas-instruments?pageNo=813", "Texas Instruments")</f>
        <v>Texas Instruments</v>
      </c>
      <c r="C27010" s="5">
        <v>1</v>
      </c>
      <c r="D27010" s="6">
        <v>278.44</v>
      </c>
    </row>
    <row r="27011" spans="1:4" x14ac:dyDescent="0.25">
      <c r="A27011" t="str">
        <f>HYPERLINK("https://www.773grp.com/globalSearch/ADS8322EVM/page-1", "ADS8322EVM")</f>
        <v>ADS8322EVM</v>
      </c>
      <c r="B27011" s="3" t="str">
        <f>HYPERLINK("https://www.773grp.com/manufacturer/texas-instruments?pageNo=814", "Texas Instruments")</f>
        <v>Texas Instruments</v>
      </c>
      <c r="C27011" s="5">
        <v>1</v>
      </c>
      <c r="D27011" s="6">
        <v>278.44</v>
      </c>
    </row>
    <row r="27012" spans="1:4" x14ac:dyDescent="0.25">
      <c r="A27012" t="str">
        <f>HYPERLINK("https://www.773grp.com/globalSearch/ADS8323EVM/page-1", "ADS8323EVM")</f>
        <v>ADS8323EVM</v>
      </c>
      <c r="B27012" s="3" t="str">
        <f>HYPERLINK("https://www.773grp.com/manufacturer/texas-instruments?pageNo=815", "Texas Instruments")</f>
        <v>Texas Instruments</v>
      </c>
      <c r="C27012" s="5">
        <v>1</v>
      </c>
      <c r="D27012" s="6">
        <v>278.44</v>
      </c>
    </row>
    <row r="27013" spans="1:4" x14ac:dyDescent="0.25">
      <c r="A27013" t="str">
        <f>HYPERLINK("https://www.773grp.com/globalSearch/ADS8372EVM/page-1", "ADS8372EVM")</f>
        <v>ADS8372EVM</v>
      </c>
      <c r="B27013" s="3" t="str">
        <f>HYPERLINK("https://www.773grp.com/manufacturer/texas-instruments?pageNo=816", "Texas Instruments")</f>
        <v>Texas Instruments</v>
      </c>
      <c r="C27013" s="5">
        <v>1</v>
      </c>
      <c r="D27013" s="6">
        <v>278.44</v>
      </c>
    </row>
    <row r="27014" spans="1:4" x14ac:dyDescent="0.25">
      <c r="A27014" t="str">
        <f>HYPERLINK("https://www.773grp.com/globalSearch/ADS8482EVM/page-1", "ADS8482EVM")</f>
        <v>ADS8482EVM</v>
      </c>
      <c r="B27014" s="3" t="str">
        <f>HYPERLINK("https://www.773grp.com/manufacturer/texas-instruments?pageNo=817", "Texas Instruments")</f>
        <v>Texas Instruments</v>
      </c>
      <c r="C27014" s="5">
        <v>1</v>
      </c>
      <c r="D27014" s="6">
        <v>278.44</v>
      </c>
    </row>
    <row r="27015" spans="1:4" x14ac:dyDescent="0.25">
      <c r="A27015" t="str">
        <f>HYPERLINK("https://www.773grp.com/globalSearch/ADS8557EVM/page-1", "ADS8557EVM")</f>
        <v>ADS8557EVM</v>
      </c>
      <c r="B27015" s="3" t="str">
        <f>HYPERLINK("https://www.773grp.com/manufacturer/texas-instruments?pageNo=818", "Texas Instruments")</f>
        <v>Texas Instruments</v>
      </c>
      <c r="C27015" s="5">
        <v>1</v>
      </c>
      <c r="D27015" s="6">
        <v>278.44</v>
      </c>
    </row>
    <row r="27016" spans="1:4" x14ac:dyDescent="0.25">
      <c r="A27016" t="str">
        <f>HYPERLINK("https://www.773grp.com/globalSearch/ADS8558EVM/page-1", "ADS8558EVM")</f>
        <v>ADS8558EVM</v>
      </c>
      <c r="B27016" s="3" t="str">
        <f>HYPERLINK("https://www.773grp.com/manufacturer/texas-instruments?pageNo=819", "Texas Instruments")</f>
        <v>Texas Instruments</v>
      </c>
      <c r="C27016" s="5">
        <v>2</v>
      </c>
      <c r="D27016" s="6">
        <v>278.44</v>
      </c>
    </row>
    <row r="27017" spans="1:4" x14ac:dyDescent="0.25">
      <c r="A27017" t="str">
        <f>HYPERLINK("https://www.773grp.com/globalSearch/AMC1210EVM/page-1", "AMC1210EVM")</f>
        <v>AMC1210EVM</v>
      </c>
      <c r="B27017" s="3" t="str">
        <f>HYPERLINK("https://www.773grp.com/manufacturer/texas-instruments?pageNo=820", "Texas Instruments")</f>
        <v>Texas Instruments</v>
      </c>
      <c r="C27017" s="5">
        <v>1</v>
      </c>
      <c r="D27017" s="6">
        <v>278.44</v>
      </c>
    </row>
    <row r="27018" spans="1:4" x14ac:dyDescent="0.25">
      <c r="A27018" t="str">
        <f>HYPERLINK("https://www.773grp.com/globalSearch/BQ2013HEVM-001/page-1", "BQ2013HEVM-001")</f>
        <v>BQ2013HEVM-001</v>
      </c>
      <c r="B27018" s="3" t="str">
        <f>HYPERLINK("https://www.773grp.com/manufacturer/texas-instruments?pageNo=821", "Texas Instruments")</f>
        <v>Texas Instruments</v>
      </c>
      <c r="C27018" s="5">
        <v>1</v>
      </c>
      <c r="D27018" s="6">
        <v>278.44</v>
      </c>
    </row>
    <row r="27019" spans="1:4" x14ac:dyDescent="0.25">
      <c r="A27019" t="str">
        <f>HYPERLINK("https://www.773grp.com/globalSearch/BQ2050HEVM/page-1", "BQ2050HEVM")</f>
        <v>BQ2050HEVM</v>
      </c>
      <c r="B27019" s="3" t="str">
        <f>HYPERLINK("https://www.773grp.com/manufacturer/texas-instruments?pageNo=822", "Texas Instruments")</f>
        <v>Texas Instruments</v>
      </c>
      <c r="C27019" s="5">
        <v>2</v>
      </c>
      <c r="D27019" s="6">
        <v>278.44</v>
      </c>
    </row>
    <row r="27020" spans="1:4" x14ac:dyDescent="0.25">
      <c r="A27020" t="str">
        <f>HYPERLINK("https://www.773grp.com/globalSearch/BQ2084EVM-001/page-1", "BQ2084EVM-001")</f>
        <v>BQ2084EVM-001</v>
      </c>
      <c r="B27020" s="3" t="str">
        <f>HYPERLINK("https://www.773grp.com/manufacturer/texas-instruments?pageNo=823", "Texas Instruments")</f>
        <v>Texas Instruments</v>
      </c>
      <c r="C27020" s="5">
        <v>1</v>
      </c>
      <c r="D27020" s="6">
        <v>278.44</v>
      </c>
    </row>
    <row r="27021" spans="1:4" x14ac:dyDescent="0.25">
      <c r="A27021" t="str">
        <f>HYPERLINK("https://www.773grp.com/globalSearch/BQ24001RGWEVM/page-1", "BQ24001RGWEVM")</f>
        <v>BQ24001RGWEVM</v>
      </c>
      <c r="B27021" s="3" t="str">
        <f>HYPERLINK("https://www.773grp.com/manufacturer/texas-instruments?pageNo=825", "Texas Instruments")</f>
        <v>Texas Instruments</v>
      </c>
      <c r="C27021" s="5">
        <v>5</v>
      </c>
      <c r="D27021" s="6">
        <v>278.44</v>
      </c>
    </row>
    <row r="27022" spans="1:4" x14ac:dyDescent="0.25">
      <c r="A27022" t="str">
        <f>HYPERLINK("https://www.773grp.com/globalSearch/BQ24040EVM/page-1", "BQ24040EVM")</f>
        <v>BQ24040EVM</v>
      </c>
      <c r="B27022" s="3" t="str">
        <f>HYPERLINK("https://www.773grp.com/manufacturer/texas-instruments?pageNo=826", "Texas Instruments")</f>
        <v>Texas Instruments</v>
      </c>
      <c r="C27022" s="5">
        <v>3</v>
      </c>
      <c r="D27022" s="6">
        <v>278.44</v>
      </c>
    </row>
    <row r="27023" spans="1:4" x14ac:dyDescent="0.25">
      <c r="A27023" t="str">
        <f>HYPERLINK("https://www.773grp.com/globalSearch/BQ24041EVM/page-1", "BQ24041EVM")</f>
        <v>BQ24041EVM</v>
      </c>
      <c r="B27023" s="3" t="str">
        <f>HYPERLINK("https://www.773grp.com/manufacturer/texas-instruments?pageNo=827", "Texas Instruments")</f>
        <v>Texas Instruments</v>
      </c>
      <c r="C27023" s="5">
        <v>2</v>
      </c>
      <c r="D27023" s="6">
        <v>278.44</v>
      </c>
    </row>
    <row r="27024" spans="1:4" x14ac:dyDescent="0.25">
      <c r="A27024" t="str">
        <f>HYPERLINK("https://www.773grp.com/globalSearch/BQ24071EVM/page-1", "BQ24071EVM")</f>
        <v>BQ24071EVM</v>
      </c>
      <c r="B27024" s="3" t="str">
        <f>HYPERLINK("https://www.773grp.com/manufacturer/texas-instruments?pageNo=828", "Texas Instruments")</f>
        <v>Texas Instruments</v>
      </c>
      <c r="C27024" s="5">
        <v>1</v>
      </c>
      <c r="D27024" s="6">
        <v>278.44</v>
      </c>
    </row>
    <row r="27025" spans="1:4" x14ac:dyDescent="0.25">
      <c r="A27025" t="str">
        <f>HYPERLINK("https://www.773grp.com/globalSearch/BQ24072TEVM/page-1", "BQ24072TEVM")</f>
        <v>BQ24072TEVM</v>
      </c>
      <c r="B27025" s="3" t="str">
        <f>HYPERLINK("https://www.773grp.com/manufacturer/texas-instruments?pageNo=829", "Texas Instruments")</f>
        <v>Texas Instruments</v>
      </c>
      <c r="C27025" s="5">
        <v>2</v>
      </c>
      <c r="D27025" s="6">
        <v>278.44</v>
      </c>
    </row>
    <row r="27026" spans="1:4" x14ac:dyDescent="0.25">
      <c r="A27026" t="str">
        <f>HYPERLINK("https://www.773grp.com/globalSearch/BQ24075TEVM/page-1", "BQ24075TEVM")</f>
        <v>BQ24075TEVM</v>
      </c>
      <c r="B27026" s="3" t="str">
        <f>HYPERLINK("https://www.773grp.com/manufacturer/texas-instruments?pageNo=830", "Texas Instruments")</f>
        <v>Texas Instruments</v>
      </c>
      <c r="C27026" s="5">
        <v>2</v>
      </c>
      <c r="D27026" s="6">
        <v>278.44</v>
      </c>
    </row>
    <row r="27027" spans="1:4" x14ac:dyDescent="0.25">
      <c r="A27027" t="str">
        <f>HYPERLINK("https://www.773grp.com/globalSearch/BQ24115EVM/page-1", "BQ24115EVM")</f>
        <v>BQ24115EVM</v>
      </c>
      <c r="B27027" s="3" t="str">
        <f>HYPERLINK("https://www.773grp.com/manufacturer/texas-instruments?pageNo=831", "Texas Instruments")</f>
        <v>Texas Instruments</v>
      </c>
      <c r="C27027" s="5">
        <v>9</v>
      </c>
      <c r="D27027" s="6">
        <v>278.44</v>
      </c>
    </row>
    <row r="27028" spans="1:4" x14ac:dyDescent="0.25">
      <c r="A27028" t="str">
        <f>HYPERLINK("https://www.773grp.com/globalSearch/BQ24150AEVM/page-1", "BQ24150AEVM")</f>
        <v>BQ24150AEVM</v>
      </c>
      <c r="B27028" s="3" t="str">
        <f>HYPERLINK("https://www.773grp.com/manufacturer/texas-instruments?pageNo=832", "Texas Instruments")</f>
        <v>Texas Instruments</v>
      </c>
      <c r="C27028" s="5">
        <v>10</v>
      </c>
      <c r="D27028" s="6">
        <v>278.44</v>
      </c>
    </row>
    <row r="27029" spans="1:4" x14ac:dyDescent="0.25">
      <c r="A27029" t="str">
        <f>HYPERLINK("https://www.773grp.com/globalSearch/BQ24172EVM-706-5V/page-1", "BQ24172EVM-706-5V")</f>
        <v>BQ24172EVM-706-5V</v>
      </c>
      <c r="B27029" s="3" t="str">
        <f>HYPERLINK("https://www.773grp.com/manufacturer/texas-instruments?pageNo=833", "Texas Instruments")</f>
        <v>Texas Instruments</v>
      </c>
      <c r="C27029" s="5">
        <v>2</v>
      </c>
      <c r="D27029" s="6">
        <v>278.44</v>
      </c>
    </row>
    <row r="27030" spans="1:4" x14ac:dyDescent="0.25">
      <c r="A27030" t="str">
        <f>HYPERLINK("https://www.773grp.com/globalSearch/BQ24190EVM-021/page-1", "BQ24190EVM-021")</f>
        <v>BQ24190EVM-021</v>
      </c>
      <c r="B27030" s="3" t="str">
        <f>HYPERLINK("https://www.773grp.com/manufacturer/texas-instruments?pageNo=834", "Texas Instruments")</f>
        <v>Texas Instruments</v>
      </c>
      <c r="C27030" s="5">
        <v>5</v>
      </c>
      <c r="D27030" s="6">
        <v>278.44</v>
      </c>
    </row>
    <row r="27031" spans="1:4" x14ac:dyDescent="0.25">
      <c r="A27031" t="str">
        <f>HYPERLINK("https://www.773grp.com/globalSearch/BQ24192IEVM-021/page-1", "BQ24192IEVM-021")</f>
        <v>BQ24192IEVM-021</v>
      </c>
      <c r="B27031" s="3" t="str">
        <f>HYPERLINK("https://www.773grp.com/manufacturer/texas-instruments?pageNo=835", "Texas Instruments")</f>
        <v>Texas Instruments</v>
      </c>
      <c r="C27031" s="5">
        <v>5</v>
      </c>
      <c r="D27031" s="6">
        <v>278.44</v>
      </c>
    </row>
    <row r="27032" spans="1:4" x14ac:dyDescent="0.25">
      <c r="A27032" t="str">
        <f>HYPERLINK("https://www.773grp.com/globalSearch/BQ24195EVM-193/page-1", "BQ24195EVM-193")</f>
        <v>BQ24195EVM-193</v>
      </c>
      <c r="B27032" s="3" t="str">
        <f>HYPERLINK("https://www.773grp.com/manufacturer/texas-instruments?pageNo=836", "Texas Instruments")</f>
        <v>Texas Instruments</v>
      </c>
      <c r="C27032" s="5">
        <v>2</v>
      </c>
      <c r="D27032" s="6">
        <v>278.44</v>
      </c>
    </row>
    <row r="27033" spans="1:4" x14ac:dyDescent="0.25">
      <c r="A27033" t="str">
        <f>HYPERLINK("https://www.773grp.com/globalSearch/BQ24196EVM-021/page-1", "BQ24196EVM-021")</f>
        <v>BQ24196EVM-021</v>
      </c>
      <c r="B27033" s="3" t="str">
        <f>HYPERLINK("https://www.773grp.com/manufacturer/texas-instruments?pageNo=837", "Texas Instruments")</f>
        <v>Texas Instruments</v>
      </c>
      <c r="C27033" s="5">
        <v>5</v>
      </c>
      <c r="D27033" s="6">
        <v>278.44</v>
      </c>
    </row>
    <row r="27034" spans="1:4" x14ac:dyDescent="0.25">
      <c r="A27034" t="str">
        <f>HYPERLINK("https://www.773grp.com/globalSearch/BQ24350EVM/page-1", "BQ24350EVM")</f>
        <v>BQ24350EVM</v>
      </c>
      <c r="B27034" s="3" t="str">
        <f>HYPERLINK("https://www.773grp.com/manufacturer/texas-instruments?pageNo=838", "Texas Instruments")</f>
        <v>Texas Instruments</v>
      </c>
      <c r="C27034" s="5">
        <v>4</v>
      </c>
      <c r="D27034" s="6">
        <v>278.44</v>
      </c>
    </row>
    <row r="27035" spans="1:4" x14ac:dyDescent="0.25">
      <c r="A27035" t="str">
        <f>HYPERLINK("https://www.773grp.com/globalSearch/BQ24617EVM/page-1", "BQ24617EVM")</f>
        <v>BQ24617EVM</v>
      </c>
      <c r="B27035" s="3" t="str">
        <f>HYPERLINK("https://www.773grp.com/manufacturer/texas-instruments?pageNo=839", "Texas Instruments")</f>
        <v>Texas Instruments</v>
      </c>
      <c r="C27035" s="5">
        <v>1</v>
      </c>
      <c r="D27035" s="6">
        <v>278.44</v>
      </c>
    </row>
    <row r="27036" spans="1:4" x14ac:dyDescent="0.25">
      <c r="A27036" t="str">
        <f>HYPERLINK("https://www.773grp.com/globalSearch/BQ24745EVM/page-1", "BQ24745EVM")</f>
        <v>BQ24745EVM</v>
      </c>
      <c r="B27036" s="3" t="str">
        <f>HYPERLINK("https://www.773grp.com/manufacturer/texas-instruments?pageNo=840", "Texas Instruments")</f>
        <v>Texas Instruments</v>
      </c>
      <c r="C27036" s="5">
        <v>2</v>
      </c>
      <c r="D27036" s="6">
        <v>278.44</v>
      </c>
    </row>
    <row r="27037" spans="1:4" x14ac:dyDescent="0.25">
      <c r="A27037" t="str">
        <f>HYPERLINK("https://www.773grp.com/globalSearch/BQ25040EVM/page-1", "BQ25040EVM")</f>
        <v>BQ25040EVM</v>
      </c>
      <c r="B27037" s="3" t="str">
        <f>HYPERLINK("https://www.773grp.com/manufacturer/texas-instruments?pageNo=841", "Texas Instruments")</f>
        <v>Texas Instruments</v>
      </c>
      <c r="C27037" s="5">
        <v>2</v>
      </c>
      <c r="D27037" s="6">
        <v>278.44</v>
      </c>
    </row>
    <row r="27038" spans="1:4" x14ac:dyDescent="0.25">
      <c r="A27038" t="str">
        <f>HYPERLINK("https://www.773grp.com/globalSearch/BQ25070EVM-740/page-1", "BQ25070EVM-740")</f>
        <v>BQ25070EVM-740</v>
      </c>
      <c r="B27038" s="3" t="str">
        <f>HYPERLINK("https://www.773grp.com/manufacturer/texas-instruments?pageNo=842", "Texas Instruments")</f>
        <v>Texas Instruments</v>
      </c>
      <c r="C27038" s="5">
        <v>1</v>
      </c>
      <c r="D27038" s="6">
        <v>278.44</v>
      </c>
    </row>
    <row r="27039" spans="1:4" x14ac:dyDescent="0.25">
      <c r="A27039" t="str">
        <f>HYPERLINK("https://www.773grp.com/globalSearch/BQ26200EVM-001/page-1", "BQ26200EVM-001")</f>
        <v>BQ26200EVM-001</v>
      </c>
      <c r="B27039" s="3" t="str">
        <f>HYPERLINK("https://www.773grp.com/manufacturer/texas-instruments?pageNo=843", "Texas Instruments")</f>
        <v>Texas Instruments</v>
      </c>
      <c r="C27039" s="5">
        <v>1</v>
      </c>
      <c r="D27039" s="6">
        <v>278.44</v>
      </c>
    </row>
    <row r="27040" spans="1:4" x14ac:dyDescent="0.25">
      <c r="A27040" t="str">
        <f>HYPERLINK("https://www.773grp.com/globalSearch/BQ26500EVM-001/page-1", "BQ26500EVM-001")</f>
        <v>BQ26500EVM-001</v>
      </c>
      <c r="B27040" s="3" t="str">
        <f>HYPERLINK("https://www.773grp.com/manufacturer/texas-instruments?pageNo=844", "Texas Instruments")</f>
        <v>Texas Instruments</v>
      </c>
      <c r="C27040" s="5">
        <v>3</v>
      </c>
      <c r="D27040" s="6">
        <v>278.44</v>
      </c>
    </row>
    <row r="27041" spans="1:4" x14ac:dyDescent="0.25">
      <c r="A27041" t="str">
        <f>HYPERLINK("https://www.773grp.com/globalSearch/BQ27200EVM/page-1", "BQ27200EVM")</f>
        <v>BQ27200EVM</v>
      </c>
      <c r="B27041" s="3" t="str">
        <f>HYPERLINK("https://www.773grp.com/manufacturer/texas-instruments?pageNo=845", "Texas Instruments")</f>
        <v>Texas Instruments</v>
      </c>
      <c r="C27041" s="5">
        <v>2</v>
      </c>
      <c r="D27041" s="6">
        <v>278.44</v>
      </c>
    </row>
    <row r="27042" spans="1:4" x14ac:dyDescent="0.25">
      <c r="A27042" t="str">
        <f>HYPERLINK("https://www.773grp.com/globalSearch/BQ27350EVM/page-1", "BQ27350EVM")</f>
        <v>BQ27350EVM</v>
      </c>
      <c r="B27042" s="3" t="str">
        <f>HYPERLINK("https://www.773grp.com/manufacturer/texas-instruments?pageNo=846", "Texas Instruments")</f>
        <v>Texas Instruments</v>
      </c>
      <c r="C27042" s="5">
        <v>1</v>
      </c>
      <c r="D27042" s="6">
        <v>278.44</v>
      </c>
    </row>
    <row r="27043" spans="1:4" x14ac:dyDescent="0.25">
      <c r="A27043" t="str">
        <f>HYPERLINK("https://www.773grp.com/globalSearch/BQ27425EVM/page-1", "BQ27425EVM")</f>
        <v>BQ27425EVM</v>
      </c>
      <c r="B27043" s="3" t="str">
        <f>HYPERLINK("https://www.773grp.com/manufacturer/texas-instruments?pageNo=847", "Texas Instruments")</f>
        <v>Texas Instruments</v>
      </c>
      <c r="C27043" s="5">
        <v>1</v>
      </c>
      <c r="D27043" s="6">
        <v>278.44</v>
      </c>
    </row>
    <row r="27044" spans="1:4" x14ac:dyDescent="0.25">
      <c r="A27044" t="str">
        <f>HYPERLINK("https://www.773grp.com/globalSearch/BQ27500EVM/page-1", "BQ27500EVM")</f>
        <v>BQ27500EVM</v>
      </c>
      <c r="B27044" s="3" t="str">
        <f>HYPERLINK("https://www.773grp.com/manufacturer/texas-instruments?pageNo=848", "Texas Instruments")</f>
        <v>Texas Instruments</v>
      </c>
      <c r="C27044" s="5">
        <v>1</v>
      </c>
      <c r="D27044" s="6">
        <v>278.44</v>
      </c>
    </row>
    <row r="27045" spans="1:4" x14ac:dyDescent="0.25">
      <c r="A27045" t="str">
        <f>HYPERLINK("https://www.773grp.com/globalSearch/BQ27505EVM/page-1", "BQ27505EVM")</f>
        <v>BQ27505EVM</v>
      </c>
      <c r="B27045" s="3" t="str">
        <f>HYPERLINK("https://www.773grp.com/manufacturer/texas-instruments?pageNo=849", "Texas Instruments")</f>
        <v>Texas Instruments</v>
      </c>
      <c r="C27045" s="5">
        <v>2</v>
      </c>
      <c r="D27045" s="6">
        <v>278.44</v>
      </c>
    </row>
    <row r="27046" spans="1:4" x14ac:dyDescent="0.25">
      <c r="A27046" t="str">
        <f>HYPERLINK("https://www.773grp.com/globalSearch/CC1100E-EMK470/page-1", "CC1100E-EMK470")</f>
        <v>CC1100E-EMK470</v>
      </c>
      <c r="B27046" s="3" t="str">
        <f>HYPERLINK("https://www.773grp.com/manufacturer/texas-instruments?pageNo=850", "Texas Instruments")</f>
        <v>Texas Instruments</v>
      </c>
      <c r="C27046" s="5">
        <v>3</v>
      </c>
      <c r="D27046" s="6">
        <v>278.44</v>
      </c>
    </row>
    <row r="27047" spans="1:4" x14ac:dyDescent="0.25">
      <c r="A27047" t="str">
        <f>HYPERLINK("https://www.773grp.com/globalSearch/CC1101CC1190EMK868/page-1", "CC1101CC1190EMK868")</f>
        <v>CC1101CC1190EMK868</v>
      </c>
      <c r="B27047" s="3" t="str">
        <f>HYPERLINK("https://www.773grp.com/manufacturer/texas-instruments?pageNo=851", "Texas Instruments")</f>
        <v>Texas Instruments</v>
      </c>
      <c r="C27047" s="5">
        <v>2</v>
      </c>
      <c r="D27047" s="6">
        <v>278.44</v>
      </c>
    </row>
    <row r="27048" spans="1:4" x14ac:dyDescent="0.25">
      <c r="A27048" t="str">
        <f>HYPERLINK("https://www.773grp.com/globalSearch/CC1101EMK433/page-1", "CC1101EMK433")</f>
        <v>CC1101EMK433</v>
      </c>
      <c r="B27048" s="3" t="str">
        <f>HYPERLINK("https://www.773grp.com/manufacturer/texas-instruments?pageNo=852", "Texas Instruments")</f>
        <v>Texas Instruments</v>
      </c>
      <c r="C27048" s="5">
        <v>1</v>
      </c>
      <c r="D27048" s="6">
        <v>278.44</v>
      </c>
    </row>
    <row r="27049" spans="1:4" x14ac:dyDescent="0.25">
      <c r="A27049" t="str">
        <f>HYPERLINK("https://www.773grp.com/globalSearch/CC1101EMK868-915/page-1", "CC1101EMK868-915")</f>
        <v>CC1101EMK868-915</v>
      </c>
      <c r="B27049" s="3" t="str">
        <f>HYPERLINK("https://www.773grp.com/manufacturer/texas-instruments?pageNo=853", "Texas Instruments")</f>
        <v>Texas Instruments</v>
      </c>
      <c r="C27049" s="5">
        <v>3</v>
      </c>
      <c r="D27049" s="6">
        <v>278.44</v>
      </c>
    </row>
    <row r="27050" spans="1:4" x14ac:dyDescent="0.25">
      <c r="A27050" t="str">
        <f>HYPERLINK("https://www.773grp.com/globalSearch/CC1110EMK433/page-1", "CC1110EMK433")</f>
        <v>CC1110EMK433</v>
      </c>
      <c r="B27050" s="3" t="str">
        <f>HYPERLINK("https://www.773grp.com/manufacturer/texas-instruments?pageNo=854", "Texas Instruments")</f>
        <v>Texas Instruments</v>
      </c>
      <c r="C27050" s="5">
        <v>1</v>
      </c>
      <c r="D27050" s="6">
        <v>278.44</v>
      </c>
    </row>
    <row r="27051" spans="1:4" x14ac:dyDescent="0.25">
      <c r="A27051" t="str">
        <f>HYPERLINK("https://www.773grp.com/globalSearch/CC1110EMK868-915/page-1", "CC1110EMK868-915")</f>
        <v>CC1110EMK868-915</v>
      </c>
      <c r="B27051" s="3" t="str">
        <f>HYPERLINK("https://www.773grp.com/manufacturer/texas-instruments?pageNo=855", "Texas Instruments")</f>
        <v>Texas Instruments</v>
      </c>
      <c r="C27051" s="5">
        <v>4</v>
      </c>
      <c r="D27051" s="6">
        <v>278.44</v>
      </c>
    </row>
    <row r="27052" spans="1:4" x14ac:dyDescent="0.25">
      <c r="A27052" t="str">
        <f>HYPERLINK("https://www.773grp.com/globalSearch/CC1120EMK-169/page-1", "CC1120EMK-169")</f>
        <v>CC1120EMK-169</v>
      </c>
      <c r="B27052" s="3" t="str">
        <f>HYPERLINK("https://www.773grp.com/manufacturer/texas-instruments?pageNo=856", "Texas Instruments")</f>
        <v>Texas Instruments</v>
      </c>
      <c r="C27052" s="5">
        <v>3</v>
      </c>
      <c r="D27052" s="6">
        <v>278.44</v>
      </c>
    </row>
    <row r="27053" spans="1:4" x14ac:dyDescent="0.25">
      <c r="A27053" t="str">
        <f>HYPERLINK("https://www.773grp.com/globalSearch/CC1120EMK-420-470/page-1", "CC1120EMK-420-470")</f>
        <v>CC1120EMK-420-470</v>
      </c>
      <c r="B27053" s="3" t="str">
        <f>HYPERLINK("https://www.773grp.com/manufacturer/texas-instruments?pageNo=857", "Texas Instruments")</f>
        <v>Texas Instruments</v>
      </c>
      <c r="C27053" s="5">
        <v>2</v>
      </c>
      <c r="D27053" s="6">
        <v>278.44</v>
      </c>
    </row>
    <row r="27054" spans="1:4" x14ac:dyDescent="0.25">
      <c r="A27054" t="str">
        <f>HYPERLINK("https://www.773grp.com/globalSearch/CC1120EMK-868-915/page-1", "CC1120EMK-868-915")</f>
        <v>CC1120EMK-868-915</v>
      </c>
      <c r="B27054" s="3" t="str">
        <f>HYPERLINK("https://www.773grp.com/manufacturer/texas-instruments?pageNo=858", "Texas Instruments")</f>
        <v>Texas Instruments</v>
      </c>
      <c r="C27054" s="5">
        <v>2</v>
      </c>
      <c r="D27054" s="6">
        <v>278.44</v>
      </c>
    </row>
    <row r="27055" spans="1:4" x14ac:dyDescent="0.25">
      <c r="A27055" t="str">
        <f>HYPERLINK("https://www.773grp.com/globalSearch/CC2430-CC2590EMK/page-1", "CC2430-CC2590EMK")</f>
        <v>CC2430-CC2590EMK</v>
      </c>
      <c r="B27055" s="3" t="str">
        <f>HYPERLINK("https://www.773grp.com/manufacturer/texas-instruments?pageNo=859", "Texas Instruments")</f>
        <v>Texas Instruments</v>
      </c>
      <c r="C27055" s="5">
        <v>3</v>
      </c>
      <c r="D27055" s="6">
        <v>278.44</v>
      </c>
    </row>
    <row r="27056" spans="1:4" x14ac:dyDescent="0.25">
      <c r="A27056" t="str">
        <f>HYPERLINK("https://www.773grp.com/globalSearch/CC2430-CC2591EMK/page-1", "CC2430-CC2591EMK")</f>
        <v>CC2430-CC2591EMK</v>
      </c>
      <c r="B27056" s="3" t="str">
        <f>HYPERLINK("https://www.773grp.com/manufacturer/texas-instruments?pageNo=860", "Texas Instruments")</f>
        <v>Texas Instruments</v>
      </c>
      <c r="C27056" s="5">
        <v>1</v>
      </c>
      <c r="D27056" s="6">
        <v>278.44</v>
      </c>
    </row>
    <row r="27057" spans="1:4" x14ac:dyDescent="0.25">
      <c r="A27057" t="str">
        <f>HYPERLINK("https://www.773grp.com/globalSearch/CC2430EMK/page-1", "CC2430EMK")</f>
        <v>CC2430EMK</v>
      </c>
      <c r="B27057" s="3" t="str">
        <f>HYPERLINK("https://www.773grp.com/manufacturer/texas-instruments?pageNo=861", "Texas Instruments")</f>
        <v>Texas Instruments</v>
      </c>
      <c r="C27057" s="5">
        <v>2</v>
      </c>
      <c r="D27057" s="6">
        <v>278.44</v>
      </c>
    </row>
    <row r="27058" spans="1:4" x14ac:dyDescent="0.25">
      <c r="A27058" t="str">
        <f>HYPERLINK("https://www.773grp.com/globalSearch/CC2431EMK/page-1", "CC2431EMK")</f>
        <v>CC2431EMK</v>
      </c>
      <c r="B27058" s="3" t="str">
        <f>HYPERLINK("https://www.773grp.com/manufacturer/texas-instruments?pageNo=862", "Texas Instruments")</f>
        <v>Texas Instruments</v>
      </c>
      <c r="C27058" s="5">
        <v>4</v>
      </c>
      <c r="D27058" s="6">
        <v>278.44</v>
      </c>
    </row>
    <row r="27059" spans="1:4" x14ac:dyDescent="0.25">
      <c r="A27059" t="str">
        <f>HYPERLINK("https://www.773grp.com/globalSearch/CC2520-CC2591EMK/page-1", "CC2520-CC2591EMK")</f>
        <v>CC2520-CC2591EMK</v>
      </c>
      <c r="B27059" s="3" t="str">
        <f>HYPERLINK("https://www.773grp.com/manufacturer/texas-instruments?pageNo=863", "Texas Instruments")</f>
        <v>Texas Instruments</v>
      </c>
      <c r="C27059" s="5">
        <v>1</v>
      </c>
      <c r="D27059" s="6">
        <v>278.44</v>
      </c>
    </row>
    <row r="27060" spans="1:4" x14ac:dyDescent="0.25">
      <c r="A27060" t="str">
        <f>HYPERLINK("https://www.773grp.com/globalSearch/CC2520EMK/page-1", "CC2520EMK")</f>
        <v>CC2520EMK</v>
      </c>
      <c r="B27060" s="3" t="str">
        <f>HYPERLINK("https://www.773grp.com/manufacturer/texas-instruments?pageNo=864", "Texas Instruments")</f>
        <v>Texas Instruments</v>
      </c>
      <c r="C27060" s="5">
        <v>3</v>
      </c>
      <c r="D27060" s="6">
        <v>278.44</v>
      </c>
    </row>
    <row r="27061" spans="1:4" x14ac:dyDescent="0.25">
      <c r="A27061" t="str">
        <f>HYPERLINK("https://www.773grp.com/globalSearch/CC2530-CC2591EMK/page-1", "CC2530-CC2591EMK")</f>
        <v>CC2530-CC2591EMK</v>
      </c>
      <c r="B27061" s="3" t="str">
        <f>HYPERLINK("https://www.773grp.com/manufacturer/texas-instruments?pageNo=865", "Texas Instruments")</f>
        <v>Texas Instruments</v>
      </c>
      <c r="C27061" s="5">
        <v>2</v>
      </c>
      <c r="D27061" s="6">
        <v>278.44</v>
      </c>
    </row>
    <row r="27062" spans="1:4" x14ac:dyDescent="0.25">
      <c r="A27062" t="str">
        <f>HYPERLINK("https://www.773grp.com/globalSearch/CC2530ZDK-ZNP-MINI/page-1", "CC2530ZDK-ZNP-MINI")</f>
        <v>CC2530ZDK-ZNP-MINI</v>
      </c>
      <c r="B27062" s="3" t="str">
        <f>HYPERLINK("https://www.773grp.com/manufacturer/texas-instruments?pageNo=866", "Texas Instruments")</f>
        <v>Texas Instruments</v>
      </c>
      <c r="C27062" s="5">
        <v>1</v>
      </c>
      <c r="D27062" s="6">
        <v>278.44</v>
      </c>
    </row>
    <row r="27063" spans="1:4" x14ac:dyDescent="0.25">
      <c r="A27063" t="str">
        <f>HYPERLINK("https://www.773grp.com/globalSearch/CC2533EMK/page-1", "CC2533EMK")</f>
        <v>CC2533EMK</v>
      </c>
      <c r="B27063" s="3" t="str">
        <f>HYPERLINK("https://www.773grp.com/manufacturer/texas-instruments?pageNo=867", "Texas Instruments")</f>
        <v>Texas Instruments</v>
      </c>
      <c r="C27063" s="5">
        <v>3</v>
      </c>
      <c r="D27063" s="6">
        <v>278.44</v>
      </c>
    </row>
    <row r="27064" spans="1:4" x14ac:dyDescent="0.25">
      <c r="A27064" t="str">
        <f>HYPERLINK("https://www.773grp.com/globalSearch/CC2591EMK/page-1", "CC2591EMK")</f>
        <v>CC2591EMK</v>
      </c>
      <c r="B27064" s="3" t="str">
        <f>HYPERLINK("https://www.773grp.com/manufacturer/texas-instruments?pageNo=868", "Texas Instruments")</f>
        <v>Texas Instruments</v>
      </c>
      <c r="C27064" s="5">
        <v>9</v>
      </c>
      <c r="D27064" s="6">
        <v>278.44</v>
      </c>
    </row>
    <row r="27065" spans="1:4" x14ac:dyDescent="0.25">
      <c r="A27065" t="str">
        <f>HYPERLINK("https://www.773grp.com/globalSearch/CC-ANTENNA-DK/page-1", "CC-ANTENNA-DK")</f>
        <v>CC-ANTENNA-DK</v>
      </c>
      <c r="B27065" s="3" t="str">
        <f>HYPERLINK("https://www.773grp.com/manufacturer/texas-instruments?pageNo=869", "Texas Instruments")</f>
        <v>Texas Instruments</v>
      </c>
      <c r="C27065" s="5">
        <v>2</v>
      </c>
      <c r="D27065" s="6">
        <v>278.44</v>
      </c>
    </row>
    <row r="27066" spans="1:4" x14ac:dyDescent="0.25">
      <c r="A27066" t="str">
        <f>HYPERLINK("https://www.773grp.com/globalSearch/CDCS502PERF-EVM/page-1", "CDCS502PERF-EVM")</f>
        <v>CDCS502PERF-EVM</v>
      </c>
      <c r="B27066" s="3" t="str">
        <f>HYPERLINK("https://www.773grp.com/manufacturer/texas-instruments?pageNo=870", "Texas Instruments")</f>
        <v>Texas Instruments</v>
      </c>
      <c r="C27066" s="5">
        <v>2</v>
      </c>
      <c r="D27066" s="6">
        <v>278.44</v>
      </c>
    </row>
    <row r="27067" spans="1:4" x14ac:dyDescent="0.25">
      <c r="A27067" t="str">
        <f>HYPERLINK("https://www.773grp.com/globalSearch/DAC7741EVM/page-1", "DAC7741EVM")</f>
        <v>DAC7741EVM</v>
      </c>
      <c r="B27067" s="3" t="str">
        <f>HYPERLINK("https://www.773grp.com/manufacturer/texas-instruments?pageNo=871", "Texas Instruments")</f>
        <v>Texas Instruments</v>
      </c>
      <c r="C27067" s="5">
        <v>2</v>
      </c>
      <c r="D27067" s="6">
        <v>278.44</v>
      </c>
    </row>
    <row r="27068" spans="1:4" x14ac:dyDescent="0.25">
      <c r="A27068" t="str">
        <f>HYPERLINK("https://www.773grp.com/globalSearch/DAC8531EVM/page-1", "DAC8531EVM")</f>
        <v>DAC8531EVM</v>
      </c>
      <c r="B27068" s="3" t="str">
        <f>HYPERLINK("https://www.773grp.com/manufacturer/texas-instruments?pageNo=872", "Texas Instruments")</f>
        <v>Texas Instruments</v>
      </c>
      <c r="C27068" s="5">
        <v>10</v>
      </c>
      <c r="D27068" s="6">
        <v>278.44</v>
      </c>
    </row>
    <row r="27069" spans="1:4" x14ac:dyDescent="0.25">
      <c r="A27069" t="str">
        <f>HYPERLINK("https://www.773grp.com/globalSearch/DAC8728EVM/page-1", "DAC8728EVM")</f>
        <v>DAC8728EVM</v>
      </c>
      <c r="B27069" s="3" t="str">
        <f>HYPERLINK("https://www.773grp.com/manufacturer/texas-instruments?pageNo=873", "Texas Instruments")</f>
        <v>Texas Instruments</v>
      </c>
      <c r="C27069" s="5">
        <v>5</v>
      </c>
      <c r="D27069" s="6">
        <v>278.44</v>
      </c>
    </row>
    <row r="27070" spans="1:4" x14ac:dyDescent="0.25">
      <c r="A27070" t="str">
        <f>HYPERLINK("https://www.773grp.com/globalSearch/DDC264CZAWR-1/page-1", "DDC264CZAWR-1")</f>
        <v>DDC264CZAWR-1</v>
      </c>
      <c r="B27070" s="3" t="str">
        <f>HYPERLINK("https://www.773grp.com/manufacturer/texas-instruments?pageNo=874", "Texas Instruments")</f>
        <v>Texas Instruments</v>
      </c>
      <c r="C27070" s="5">
        <v>108</v>
      </c>
      <c r="D27070" s="6">
        <v>278.44</v>
      </c>
    </row>
    <row r="27071" spans="1:4" x14ac:dyDescent="0.25">
      <c r="A27071" t="str">
        <f>HYPERLINK("https://www.773grp.com/globalSearch/DK-EM2-7960R/page-1", "DK-EM2-7960R")</f>
        <v>DK-EM2-7960R</v>
      </c>
      <c r="B27071" s="3" t="str">
        <f>HYPERLINK("https://www.773grp.com/manufacturer/texas-instruments?pageNo=875", "Texas Instruments")</f>
        <v>Texas Instruments</v>
      </c>
      <c r="C27071" s="5">
        <v>10</v>
      </c>
      <c r="D27071" s="6">
        <v>278.44</v>
      </c>
    </row>
    <row r="27072" spans="1:4" x14ac:dyDescent="0.25">
      <c r="A27072" t="str">
        <f>HYPERLINK("https://www.773grp.com/globalSearch/DRV2603EVM-CT/page-1", "DRV2603EVM-CT")</f>
        <v>DRV2603EVM-CT</v>
      </c>
      <c r="B27072" s="3" t="str">
        <f>HYPERLINK("https://www.773grp.com/manufacturer/texas-instruments?pageNo=876", "Texas Instruments")</f>
        <v>Texas Instruments</v>
      </c>
      <c r="C27072" s="5">
        <v>5</v>
      </c>
      <c r="D27072" s="6">
        <v>278.44</v>
      </c>
    </row>
    <row r="27073" spans="1:4" x14ac:dyDescent="0.25">
      <c r="A27073" t="str">
        <f>HYPERLINK("https://www.773grp.com/globalSearch/DRV2604EVM-CT/page-1", "DRV2604EVM-CT")</f>
        <v>DRV2604EVM-CT</v>
      </c>
      <c r="B27073" s="3" t="str">
        <f>HYPERLINK("https://www.773grp.com/manufacturer/texas-instruments?pageNo=877", "Texas Instruments")</f>
        <v>Texas Instruments</v>
      </c>
      <c r="C27073" s="5">
        <v>4</v>
      </c>
      <c r="D27073" s="6">
        <v>278.44</v>
      </c>
    </row>
    <row r="27074" spans="1:4" x14ac:dyDescent="0.25">
      <c r="A27074" t="str">
        <f>HYPERLINK("https://www.773grp.com/globalSearch/DRV600EVM/page-1", "DRV600EVM")</f>
        <v>DRV600EVM</v>
      </c>
      <c r="B27074" s="3" t="str">
        <f>HYPERLINK("https://www.773grp.com/manufacturer/texas-instruments?pageNo=878", "Texas Instruments")</f>
        <v>Texas Instruments</v>
      </c>
      <c r="C27074" s="5">
        <v>2</v>
      </c>
      <c r="D27074" s="6">
        <v>278.44</v>
      </c>
    </row>
    <row r="27075" spans="1:4" x14ac:dyDescent="0.25">
      <c r="A27075" t="str">
        <f>HYPERLINK("https://www.773grp.com/globalSearch/DRV601EVM/page-1", "DRV601EVM")</f>
        <v>DRV601EVM</v>
      </c>
      <c r="B27075" s="3" t="str">
        <f>HYPERLINK("https://www.773grp.com/manufacturer/texas-instruments?pageNo=879", "Texas Instruments")</f>
        <v>Texas Instruments</v>
      </c>
      <c r="C27075" s="5">
        <v>2</v>
      </c>
      <c r="D27075" s="6">
        <v>278.44</v>
      </c>
    </row>
    <row r="27076" spans="1:4" x14ac:dyDescent="0.25">
      <c r="A27076" t="str">
        <f>HYPERLINK("https://www.773grp.com/globalSearch/DRV601EVM2/page-1", "DRV601EVM2")</f>
        <v>DRV601EVM2</v>
      </c>
      <c r="B27076" s="3" t="str">
        <f>HYPERLINK("https://www.773grp.com/manufacturer/texas-instruments?pageNo=880", "Texas Instruments")</f>
        <v>Texas Instruments</v>
      </c>
      <c r="C27076" s="5">
        <v>1</v>
      </c>
      <c r="D27076" s="6">
        <v>278.44</v>
      </c>
    </row>
    <row r="27077" spans="1:4" x14ac:dyDescent="0.25">
      <c r="A27077" t="str">
        <f>HYPERLINK("https://www.773grp.com/globalSearch/DRV604PWPEVM/page-1", "DRV604PWPEVM")</f>
        <v>DRV604PWPEVM</v>
      </c>
      <c r="B27077" s="3" t="str">
        <f>HYPERLINK("https://www.773grp.com/manufacturer/texas-instruments?pageNo=881", "Texas Instruments")</f>
        <v>Texas Instruments</v>
      </c>
      <c r="C27077" s="5">
        <v>1</v>
      </c>
      <c r="D27077" s="6">
        <v>278.44</v>
      </c>
    </row>
    <row r="27078" spans="1:4" x14ac:dyDescent="0.25">
      <c r="A27078" t="str">
        <f>HYPERLINK("https://www.773grp.com/globalSearch/DRV612EVM/page-1", "DRV612EVM")</f>
        <v>DRV612EVM</v>
      </c>
      <c r="B27078" s="3" t="str">
        <f>HYPERLINK("https://www.773grp.com/manufacturer/texas-instruments?pageNo=882", "Texas Instruments")</f>
        <v>Texas Instruments</v>
      </c>
      <c r="C27078" s="5">
        <v>1</v>
      </c>
      <c r="D27078" s="6">
        <v>278.44</v>
      </c>
    </row>
    <row r="27079" spans="1:4" x14ac:dyDescent="0.25">
      <c r="A27079" t="str">
        <f>HYPERLINK("https://www.773grp.com/globalSearch/DRV632EVM/page-1", "DRV632EVM")</f>
        <v>DRV632EVM</v>
      </c>
      <c r="B27079" s="3" t="str">
        <f>HYPERLINK("https://www.773grp.com/manufacturer/texas-instruments?pageNo=883", "Texas Instruments")</f>
        <v>Texas Instruments</v>
      </c>
      <c r="C27079" s="5">
        <v>1</v>
      </c>
      <c r="D27079" s="6">
        <v>278.44</v>
      </c>
    </row>
    <row r="27080" spans="1:4" x14ac:dyDescent="0.25">
      <c r="A27080" t="str">
        <f>HYPERLINK("https://www.773grp.com/globalSearch/DV2000S1/page-1", "DV2000S1")</f>
        <v>DV2000S1</v>
      </c>
      <c r="B27080" s="3" t="str">
        <f>HYPERLINK("https://www.773grp.com/manufacturer/texas-instruments?pageNo=884", "Texas Instruments")</f>
        <v>Texas Instruments</v>
      </c>
      <c r="C27080" s="5">
        <v>1</v>
      </c>
      <c r="D27080" s="6">
        <v>278.44</v>
      </c>
    </row>
    <row r="27081" spans="1:4" x14ac:dyDescent="0.25">
      <c r="A27081" t="str">
        <f>HYPERLINK("https://www.773grp.com/globalSearch/DV2003S2/page-1", "DV2003S2")</f>
        <v>DV2003S2</v>
      </c>
      <c r="B27081" s="3" t="str">
        <f>HYPERLINK("https://www.773grp.com/manufacturer/texas-instruments?pageNo=885", "Texas Instruments")</f>
        <v>Texas Instruments</v>
      </c>
      <c r="C27081" s="5">
        <v>1</v>
      </c>
      <c r="D27081" s="6">
        <v>278.44</v>
      </c>
    </row>
    <row r="27082" spans="1:4" x14ac:dyDescent="0.25">
      <c r="A27082" t="str">
        <f>HYPERLINK("https://www.773grp.com/globalSearch/DV2004ES1/page-1", "DV2004ES1")</f>
        <v>DV2004ES1</v>
      </c>
      <c r="B27082" s="3" t="str">
        <f>HYPERLINK("https://www.773grp.com/manufacturer/texas-instruments?pageNo=886", "Texas Instruments")</f>
        <v>Texas Instruments</v>
      </c>
      <c r="C27082" s="5">
        <v>1</v>
      </c>
      <c r="D27082" s="6">
        <v>278.44</v>
      </c>
    </row>
    <row r="27083" spans="1:4" x14ac:dyDescent="0.25">
      <c r="A27083" t="str">
        <f>HYPERLINK("https://www.773grp.com/globalSearch/EKC-LM3S9B90/page-1", "EKC-LM3S9B90")</f>
        <v>EKC-LM3S9B90</v>
      </c>
      <c r="B27083" s="3" t="str">
        <f>HYPERLINK("https://www.773grp.com/manufacturer/texas-instruments?pageNo=887", "Texas Instruments")</f>
        <v>Texas Instruments</v>
      </c>
      <c r="C27083" s="5">
        <v>8</v>
      </c>
      <c r="D27083" s="6">
        <v>278.44</v>
      </c>
    </row>
    <row r="27084" spans="1:4" x14ac:dyDescent="0.25">
      <c r="A27084" t="str">
        <f>HYPERLINK("https://www.773grp.com/globalSearch/EKC-LM3S9B92/page-1", "EKC-LM3S9B92")</f>
        <v>EKC-LM3S9B92</v>
      </c>
      <c r="B27084" s="3" t="str">
        <f>HYPERLINK("https://www.773grp.com/manufacturer/texas-instruments?pageNo=888", "Texas Instruments")</f>
        <v>Texas Instruments</v>
      </c>
      <c r="C27084" s="5">
        <v>30</v>
      </c>
      <c r="D27084" s="6">
        <v>278.44</v>
      </c>
    </row>
    <row r="27085" spans="1:4" x14ac:dyDescent="0.25">
      <c r="A27085" t="str">
        <f>HYPERLINK("https://www.773grp.com/globalSearch/EKI-LM3S9B90/page-1", "EKI-LM3S9B90")</f>
        <v>EKI-LM3S9B90</v>
      </c>
      <c r="B27085" s="3" t="str">
        <f>HYPERLINK("https://www.773grp.com/manufacturer/texas-instruments?pageNo=889", "Texas Instruments")</f>
        <v>Texas Instruments</v>
      </c>
      <c r="C27085" s="5">
        <v>2</v>
      </c>
      <c r="D27085" s="6">
        <v>278.44</v>
      </c>
    </row>
    <row r="27086" spans="1:4" x14ac:dyDescent="0.25">
      <c r="A27086" t="str">
        <f>HYPERLINK("https://www.773grp.com/globalSearch/EKI-LM3S9B92/page-1", "EKI-LM3S9B92")</f>
        <v>EKI-LM3S9B92</v>
      </c>
      <c r="B27086" s="3" t="str">
        <f>HYPERLINK("https://www.773grp.com/manufacturer/texas-instruments?pageNo=890", "Texas Instruments")</f>
        <v>Texas Instruments</v>
      </c>
      <c r="C27086" s="5">
        <v>42</v>
      </c>
      <c r="D27086" s="6">
        <v>278.44</v>
      </c>
    </row>
    <row r="27087" spans="1:4" x14ac:dyDescent="0.25">
      <c r="A27087" t="str">
        <f>HYPERLINK("https://www.773grp.com/globalSearch/EKK-LM3S9B90/page-1", "EKK-LM3S9B90")</f>
        <v>EKK-LM3S9B90</v>
      </c>
      <c r="B27087" s="3" t="str">
        <f>HYPERLINK("https://www.773grp.com/manufacturer/texas-instruments?pageNo=891", "Texas Instruments")</f>
        <v>Texas Instruments</v>
      </c>
      <c r="C27087" s="5">
        <v>8</v>
      </c>
      <c r="D27087" s="6">
        <v>278.44</v>
      </c>
    </row>
    <row r="27088" spans="1:4" x14ac:dyDescent="0.25">
      <c r="A27088" t="str">
        <f>HYPERLINK("https://www.773grp.com/globalSearch/EKK-LM3S9B92/page-1", "EKK-LM3S9B92")</f>
        <v>EKK-LM3S9B92</v>
      </c>
      <c r="B27088" s="3" t="str">
        <f>HYPERLINK("https://www.773grp.com/manufacturer/texas-instruments?pageNo=892", "Texas Instruments")</f>
        <v>Texas Instruments</v>
      </c>
      <c r="C27088" s="5">
        <v>3</v>
      </c>
      <c r="D27088" s="6">
        <v>278.44</v>
      </c>
    </row>
    <row r="27089" spans="1:4" x14ac:dyDescent="0.25">
      <c r="A27089" t="str">
        <f>HYPERLINK("https://www.773grp.com/globalSearch/EKS-LM3S9B90/page-1", "EKS-LM3S9B90")</f>
        <v>EKS-LM3S9B90</v>
      </c>
      <c r="B27089" s="3" t="str">
        <f>HYPERLINK("https://www.773grp.com/manufacturer/texas-instruments?pageNo=893", "Texas Instruments")</f>
        <v>Texas Instruments</v>
      </c>
      <c r="C27089" s="5">
        <v>13</v>
      </c>
      <c r="D27089" s="6">
        <v>278.44</v>
      </c>
    </row>
    <row r="27090" spans="1:4" x14ac:dyDescent="0.25">
      <c r="A27090" t="str">
        <f>HYPERLINK("https://www.773grp.com/globalSearch/EKS-LM3S9B92/page-1", "EKS-LM3S9B92")</f>
        <v>EKS-LM3S9B92</v>
      </c>
      <c r="B27090" s="3" t="str">
        <f>HYPERLINK("https://www.773grp.com/manufacturer/texas-instruments?pageNo=894", "Texas Instruments")</f>
        <v>Texas Instruments</v>
      </c>
      <c r="C27090" s="5">
        <v>7</v>
      </c>
      <c r="D27090" s="6">
        <v>278.44</v>
      </c>
    </row>
    <row r="27091" spans="1:4" x14ac:dyDescent="0.25">
      <c r="A27091" t="str">
        <f>HYPERLINK("https://www.773grp.com/globalSearch/EKT-LM3S9B92/page-1", "EKT-LM3S9B92")</f>
        <v>EKT-LM3S9B92</v>
      </c>
      <c r="B27091" s="3" t="str">
        <f>HYPERLINK("https://www.773grp.com/manufacturer/texas-instruments?pageNo=895", "Texas Instruments")</f>
        <v>Texas Instruments</v>
      </c>
      <c r="C27091" s="5">
        <v>2</v>
      </c>
      <c r="D27091" s="6">
        <v>278.44</v>
      </c>
    </row>
    <row r="27092" spans="1:4" x14ac:dyDescent="0.25">
      <c r="A27092" t="str">
        <f>HYPERLINK("https://www.773grp.com/globalSearch/EV2300/page-1", "EV2300")</f>
        <v>EV2300</v>
      </c>
      <c r="B27092" s="3" t="str">
        <f>HYPERLINK("https://www.773grp.com/manufacturer/texas-instruments?pageNo=896", "Texas Instruments")</f>
        <v>Texas Instruments</v>
      </c>
      <c r="C27092" s="5">
        <v>1</v>
      </c>
      <c r="D27092" s="6">
        <v>278.44</v>
      </c>
    </row>
    <row r="27093" spans="1:4" x14ac:dyDescent="0.25">
      <c r="A27093" t="str">
        <f>HYPERLINK("https://www.773grp.com/globalSearch/EZ430-RF2480/page-1", "EZ430-RF2480")</f>
        <v>EZ430-RF2480</v>
      </c>
      <c r="B27093" s="3" t="str">
        <f>HYPERLINK("https://www.773grp.com/manufacturer/texas-instruments?pageNo=897", "Texas Instruments")</f>
        <v>Texas Instruments</v>
      </c>
      <c r="C27093" s="5">
        <v>12</v>
      </c>
      <c r="D27093" s="6">
        <v>278.44</v>
      </c>
    </row>
    <row r="27094" spans="1:4" x14ac:dyDescent="0.25">
      <c r="A27094" t="str">
        <f>HYPERLINK("https://www.773grp.com/globalSearch/EZ430-RF2560/page-1", "EZ430-RF2560")</f>
        <v>EZ430-RF2560</v>
      </c>
      <c r="B27094" s="3" t="str">
        <f>HYPERLINK("https://www.773grp.com/manufacturer/texas-instruments?pageNo=898", "Texas Instruments")</f>
        <v>Texas Instruments</v>
      </c>
      <c r="C27094" s="5">
        <v>2</v>
      </c>
      <c r="D27094" s="6">
        <v>278.44</v>
      </c>
    </row>
    <row r="27095" spans="1:4" x14ac:dyDescent="0.25">
      <c r="A27095" t="str">
        <f>HYPERLINK("https://www.773grp.com/globalSearch/EZ430-RF256X/page-1", "EZ430-RF256X")</f>
        <v>EZ430-RF256X</v>
      </c>
      <c r="B27095" s="3" t="str">
        <f>HYPERLINK("https://www.773grp.com/manufacturer/texas-instruments?pageNo=899", "Texas Instruments")</f>
        <v>Texas Instruments</v>
      </c>
      <c r="C27095" s="5">
        <v>1</v>
      </c>
      <c r="D27095" s="6">
        <v>278.44</v>
      </c>
    </row>
    <row r="27096" spans="1:4" x14ac:dyDescent="0.25">
      <c r="A27096" t="str">
        <f>HYPERLINK("https://www.773grp.com/globalSearch/LM25066EVK-NOPB/page-1", "LM25066EVK-NOPB")</f>
        <v>LM25066EVK-NOPB</v>
      </c>
      <c r="B27096" s="3" t="str">
        <f>HYPERLINK("https://www.773grp.com/manufacturer/texas-instruments?pageNo=900", "Texas Instruments")</f>
        <v>Texas Instruments</v>
      </c>
      <c r="C27096" s="5">
        <v>2</v>
      </c>
      <c r="D27096" s="6">
        <v>278.44</v>
      </c>
    </row>
    <row r="27097" spans="1:4" x14ac:dyDescent="0.25">
      <c r="A27097" t="str">
        <f>HYPERLINK("https://www.773grp.com/globalSearch/LM3447-A19-120VEVM/page-1", "LM3447-A19-120VEVM")</f>
        <v>LM3447-A19-120VEVM</v>
      </c>
      <c r="B27097" s="3" t="str">
        <f>HYPERLINK("https://www.773grp.com/manufacturer/texas-instruments?pageNo=901", "Texas Instruments")</f>
        <v>Texas Instruments</v>
      </c>
      <c r="C27097" s="5">
        <v>20</v>
      </c>
      <c r="D27097" s="6">
        <v>278.44</v>
      </c>
    </row>
    <row r="27098" spans="1:4" x14ac:dyDescent="0.25">
      <c r="A27098" t="str">
        <f>HYPERLINK("https://www.773grp.com/globalSearch/LM3447-A19-230VEVM/page-1", "LM3447-A19-230VEVM")</f>
        <v>LM3447-A19-230VEVM</v>
      </c>
      <c r="B27098" s="3" t="str">
        <f>HYPERLINK("https://www.773grp.com/manufacturer/texas-instruments?pageNo=902", "Texas Instruments")</f>
        <v>Texas Instruments</v>
      </c>
      <c r="C27098" s="5">
        <v>20</v>
      </c>
      <c r="D27098" s="6">
        <v>278.44</v>
      </c>
    </row>
    <row r="27099" spans="1:4" x14ac:dyDescent="0.25">
      <c r="A27099" t="str">
        <f>HYPERLINK("https://www.773grp.com/globalSearch/LMP91050SDEVAL-NOPB/page-1", "LMP91050SDEVAL-NOPB")</f>
        <v>LMP91050SDEVAL-NOPB</v>
      </c>
      <c r="B27099" s="3" t="str">
        <f>HYPERLINK("https://www.773grp.com/manufacturer/texas-instruments?pageNo=903", "Texas Instruments")</f>
        <v>Texas Instruments</v>
      </c>
      <c r="C27099" s="5">
        <v>1</v>
      </c>
      <c r="D27099" s="6">
        <v>278.44</v>
      </c>
    </row>
    <row r="27100" spans="1:4" x14ac:dyDescent="0.25">
      <c r="A27100" t="str">
        <f>HYPERLINK("https://www.773grp.com/globalSearch/LMP91051EVM/page-1", "LMP91051EVM")</f>
        <v>LMP91051EVM</v>
      </c>
      <c r="B27100" s="3" t="str">
        <f>HYPERLINK("https://www.773grp.com/manufacturer/texas-instruments?pageNo=904", "Texas Instruments")</f>
        <v>Texas Instruments</v>
      </c>
      <c r="C27100" s="5">
        <v>2</v>
      </c>
      <c r="D27100" s="6">
        <v>278.44</v>
      </c>
    </row>
    <row r="27101" spans="1:4" x14ac:dyDescent="0.25">
      <c r="A27101" t="str">
        <f>HYPERLINK("https://www.773grp.com/globalSearch/MSC1201EVM/page-1", "MSC1201EVM")</f>
        <v>MSC1201EVM</v>
      </c>
      <c r="B27101" s="3" t="str">
        <f>HYPERLINK("https://www.773grp.com/manufacturer/texas-instruments?pageNo=905", "Texas Instruments")</f>
        <v>Texas Instruments</v>
      </c>
      <c r="C27101" s="5">
        <v>1</v>
      </c>
      <c r="D27101" s="6">
        <v>278.44</v>
      </c>
    </row>
    <row r="27102" spans="1:4" x14ac:dyDescent="0.25">
      <c r="A27102" t="str">
        <f>HYPERLINK("https://www.773grp.com/globalSearch/MSP430E325AFZ/page-1", "MSP430E325AFZ")</f>
        <v>MSP430E325AFZ</v>
      </c>
      <c r="B27102" s="3" t="str">
        <f>HYPERLINK("https://www.773grp.com/manufacturer/texas-instruments?pageNo=906", "Texas Instruments")</f>
        <v>Texas Instruments</v>
      </c>
      <c r="C27102" s="5">
        <v>26</v>
      </c>
      <c r="D27102" s="6">
        <v>278.44</v>
      </c>
    </row>
    <row r="27103" spans="1:4" x14ac:dyDescent="0.25">
      <c r="A27103" t="str">
        <f>HYPERLINK("https://www.773grp.com/globalSearch/MSP-FET430P120/page-1", "MSP-FET430P120")</f>
        <v>MSP-FET430P120</v>
      </c>
      <c r="B27103" s="3" t="str">
        <f>HYPERLINK("https://www.773grp.com/manufacturer/texas-instruments?pageNo=907", "Texas Instruments")</f>
        <v>Texas Instruments</v>
      </c>
      <c r="C27103" s="5">
        <v>11</v>
      </c>
      <c r="D27103" s="6">
        <v>278.44</v>
      </c>
    </row>
    <row r="27104" spans="1:4" x14ac:dyDescent="0.25">
      <c r="A27104" t="str">
        <f>HYPERLINK("https://www.773grp.com/globalSearch/MSP-FET430P140/page-1", "MSP-FET430P140")</f>
        <v>MSP-FET430P140</v>
      </c>
      <c r="B27104" s="3" t="str">
        <f>HYPERLINK("https://www.773grp.com/manufacturer/texas-instruments?pageNo=908", "Texas Instruments")</f>
        <v>Texas Instruments</v>
      </c>
      <c r="C27104" s="5">
        <v>17</v>
      </c>
      <c r="D27104" s="6">
        <v>278.44</v>
      </c>
    </row>
    <row r="27105" spans="1:4" x14ac:dyDescent="0.25">
      <c r="A27105" t="str">
        <f>HYPERLINK("https://www.773grp.com/globalSearch/MSP-FET430P410/page-1", "MSP-FET430P410")</f>
        <v>MSP-FET430P410</v>
      </c>
      <c r="B27105" s="3" t="str">
        <f>HYPERLINK("https://www.773grp.com/manufacturer/texas-instruments?pageNo=909", "Texas Instruments")</f>
        <v>Texas Instruments</v>
      </c>
      <c r="C27105" s="5">
        <v>4</v>
      </c>
      <c r="D27105" s="6">
        <v>278.44</v>
      </c>
    </row>
    <row r="27106" spans="1:4" x14ac:dyDescent="0.25">
      <c r="A27106" t="str">
        <f>HYPERLINK("https://www.773grp.com/globalSearch/MSP-FET430P430/page-1", "MSP-FET430P430")</f>
        <v>MSP-FET430P430</v>
      </c>
      <c r="B27106" s="3" t="str">
        <f>HYPERLINK("https://www.773grp.com/manufacturer/texas-instruments?pageNo=910", "Texas Instruments")</f>
        <v>Texas Instruments</v>
      </c>
      <c r="C27106" s="5">
        <v>18</v>
      </c>
      <c r="D27106" s="6">
        <v>278.44</v>
      </c>
    </row>
    <row r="27107" spans="1:4" x14ac:dyDescent="0.25">
      <c r="A27107" t="str">
        <f>HYPERLINK("https://www.773grp.com/globalSearch/MSP-FET430P440/page-1", "MSP-FET430P440")</f>
        <v>MSP-FET430P440</v>
      </c>
      <c r="B27107" s="3" t="str">
        <f>HYPERLINK("https://www.773grp.com/manufacturer/texas-instruments?pageNo=911", "Texas Instruments")</f>
        <v>Texas Instruments</v>
      </c>
      <c r="C27107" s="5">
        <v>12</v>
      </c>
      <c r="D27107" s="6">
        <v>278.44</v>
      </c>
    </row>
    <row r="27108" spans="1:4" x14ac:dyDescent="0.25">
      <c r="A27108" t="str">
        <f>HYPERLINK("https://www.773grp.com/globalSearch/MSP-TRF6901-DEMO/page-1", "MSP-TRF6901-DEMO")</f>
        <v>MSP-TRF6901-DEMO</v>
      </c>
      <c r="B27108" s="3" t="str">
        <f>HYPERLINK("https://www.773grp.com/manufacturer/texas-instruments?pageNo=912", "Texas Instruments")</f>
        <v>Texas Instruments</v>
      </c>
      <c r="C27108" s="5">
        <v>1</v>
      </c>
      <c r="D27108" s="6">
        <v>278.44</v>
      </c>
    </row>
    <row r="27109" spans="1:4" x14ac:dyDescent="0.25">
      <c r="A27109" t="str">
        <f>HYPERLINK("https://www.773grp.com/globalSearch/OPA3695EVM/page-1", "OPA3695EVM")</f>
        <v>OPA3695EVM</v>
      </c>
      <c r="B27109" s="3" t="str">
        <f>HYPERLINK("https://www.773grp.com/manufacturer/texas-instruments?pageNo=913", "Texas Instruments")</f>
        <v>Texas Instruments</v>
      </c>
      <c r="C27109" s="5">
        <v>2</v>
      </c>
      <c r="D27109" s="6">
        <v>278.44</v>
      </c>
    </row>
    <row r="27110" spans="1:4" x14ac:dyDescent="0.25">
      <c r="A27110" t="str">
        <f>HYPERLINK("https://www.773grp.com/globalSearch/PAN1315EMK/page-1", "PAN1315EMK")</f>
        <v>PAN1315EMK</v>
      </c>
      <c r="B27110" s="3" t="str">
        <f>HYPERLINK("https://www.773grp.com/manufacturer/texas-instruments?pageNo=914", "Texas Instruments")</f>
        <v>Texas Instruments</v>
      </c>
      <c r="C27110" s="5">
        <v>24</v>
      </c>
      <c r="D27110" s="6">
        <v>278.44</v>
      </c>
    </row>
    <row r="27111" spans="1:4" x14ac:dyDescent="0.25">
      <c r="A27111" t="str">
        <f>HYPERLINK("https://www.773grp.com/globalSearch/PGA2500EVM/page-1", "PGA2500EVM")</f>
        <v>PGA2500EVM</v>
      </c>
      <c r="B27111" s="3" t="str">
        <f>HYPERLINK("https://www.773grp.com/manufacturer/texas-instruments?pageNo=915", "Texas Instruments")</f>
        <v>Texas Instruments</v>
      </c>
      <c r="C27111" s="5">
        <v>4</v>
      </c>
      <c r="D27111" s="6">
        <v>278.44</v>
      </c>
    </row>
    <row r="27112" spans="1:4" x14ac:dyDescent="0.25">
      <c r="A27112" t="str">
        <f>HYPERLINK("https://www.773grp.com/globalSearch/PGA2505EVM/page-1", "PGA2505EVM")</f>
        <v>PGA2505EVM</v>
      </c>
      <c r="B27112" s="3" t="str">
        <f>HYPERLINK("https://www.773grp.com/manufacturer/texas-instruments?pageNo=916", "Texas Instruments")</f>
        <v>Texas Instruments</v>
      </c>
      <c r="C27112" s="5">
        <v>1</v>
      </c>
      <c r="D27112" s="6">
        <v>278.44</v>
      </c>
    </row>
    <row r="27113" spans="1:4" x14ac:dyDescent="0.25">
      <c r="A27113" t="str">
        <f>HYPERLINK("https://www.773grp.com/globalSearch/PGA4311EVM/page-1", "PGA4311EVM")</f>
        <v>PGA4311EVM</v>
      </c>
      <c r="B27113" s="3" t="str">
        <f>HYPERLINK("https://www.773grp.com/manufacturer/texas-instruments?pageNo=917", "Texas Instruments")</f>
        <v>Texas Instruments</v>
      </c>
      <c r="C27113" s="5">
        <v>1</v>
      </c>
      <c r="D27113" s="6">
        <v>278.44</v>
      </c>
    </row>
    <row r="27114" spans="1:4" x14ac:dyDescent="0.25">
      <c r="A27114" t="str">
        <f>HYPERLINK("https://www.773grp.com/globalSearch/SN65CML100EVM/page-1", "SN65CML100EVM")</f>
        <v>SN65CML100EVM</v>
      </c>
      <c r="B27114" s="3" t="str">
        <f>HYPERLINK("https://www.773grp.com/manufacturer/texas-instruments?pageNo=920", "Texas Instruments")</f>
        <v>Texas Instruments</v>
      </c>
      <c r="C27114" s="5">
        <v>2</v>
      </c>
      <c r="D27114" s="6">
        <v>278.44</v>
      </c>
    </row>
    <row r="27115" spans="1:4" x14ac:dyDescent="0.25">
      <c r="A27115" t="str">
        <f>HYPERLINK("https://www.773grp.com/globalSearch/TAS5548EVM/page-1", "TAS5548EVM")</f>
        <v>TAS5548EVM</v>
      </c>
      <c r="B27115" s="3" t="str">
        <f>HYPERLINK("https://www.773grp.com/manufacturer/texas-instruments?pageNo=921", "Texas Instruments")</f>
        <v>Texas Instruments</v>
      </c>
      <c r="C27115" s="5">
        <v>5</v>
      </c>
      <c r="D27115" s="6">
        <v>278.44</v>
      </c>
    </row>
    <row r="27116" spans="1:4" x14ac:dyDescent="0.25">
      <c r="A27116" t="str">
        <f>HYPERLINK("https://www.773grp.com/globalSearch/THS1215EVM/page-1", "THS1215EVM")</f>
        <v>THS1215EVM</v>
      </c>
      <c r="B27116" s="3" t="str">
        <f>HYPERLINK("https://www.773grp.com/manufacturer/texas-instruments?pageNo=922", "Texas Instruments")</f>
        <v>Texas Instruments</v>
      </c>
      <c r="C27116" s="5">
        <v>1</v>
      </c>
      <c r="D27116" s="6">
        <v>278.44</v>
      </c>
    </row>
    <row r="27117" spans="1:4" x14ac:dyDescent="0.25">
      <c r="A27117" t="str">
        <f>HYPERLINK("https://www.773grp.com/globalSearch/THS4521EVM/page-1", "THS4521EVM")</f>
        <v>THS4521EVM</v>
      </c>
      <c r="B27117" s="3" t="str">
        <f>HYPERLINK("https://www.773grp.com/manufacturer/texas-instruments?pageNo=923", "Texas Instruments")</f>
        <v>Texas Instruments</v>
      </c>
      <c r="C27117" s="5">
        <v>2</v>
      </c>
      <c r="D27117" s="6">
        <v>278.44</v>
      </c>
    </row>
    <row r="27118" spans="1:4" x14ac:dyDescent="0.25">
      <c r="A27118" t="str">
        <f>HYPERLINK("https://www.773grp.com/globalSearch/THS4531ADGKEVM/page-1", "THS4531ADGKEVM")</f>
        <v>THS4531ADGKEVM</v>
      </c>
      <c r="B27118" s="3" t="str">
        <f>HYPERLINK("https://www.773grp.com/manufacturer/texas-instruments?pageNo=924", "Texas Instruments")</f>
        <v>Texas Instruments</v>
      </c>
      <c r="C27118" s="5">
        <v>5</v>
      </c>
      <c r="D27118" s="6">
        <v>278.44</v>
      </c>
    </row>
    <row r="27119" spans="1:4" x14ac:dyDescent="0.25">
      <c r="A27119" t="str">
        <f>HYPERLINK("https://www.773grp.com/globalSearch/THS5661EVM/page-1", "THS5661EVM")</f>
        <v>THS5661EVM</v>
      </c>
      <c r="B27119" s="3" t="str">
        <f>HYPERLINK("https://www.773grp.com/manufacturer/texas-instruments?pageNo=925", "Texas Instruments")</f>
        <v>Texas Instruments</v>
      </c>
      <c r="C27119" s="5">
        <v>1</v>
      </c>
      <c r="D27119" s="6">
        <v>278.44</v>
      </c>
    </row>
    <row r="27120" spans="1:4" x14ac:dyDescent="0.25">
      <c r="A27120" t="str">
        <f>HYPERLINK("https://www.773grp.com/globalSearch/THS7320YHCEVM/page-1", "THS7320YHCEVM")</f>
        <v>THS7320YHCEVM</v>
      </c>
      <c r="B27120" s="3" t="str">
        <f>HYPERLINK("https://www.773grp.com/manufacturer/texas-instruments?pageNo=926", "Texas Instruments")</f>
        <v>Texas Instruments</v>
      </c>
      <c r="C27120" s="5">
        <v>5</v>
      </c>
      <c r="D27120" s="6">
        <v>278.44</v>
      </c>
    </row>
    <row r="27121" spans="1:4" x14ac:dyDescent="0.25">
      <c r="A27121" t="str">
        <f>HYPERLINK("https://www.773grp.com/globalSearch/THS770006EVM/page-1", "THS770006EVM")</f>
        <v>THS770006EVM</v>
      </c>
      <c r="B27121" s="3" t="str">
        <f>HYPERLINK("https://www.773grp.com/manufacturer/texas-instruments?pageNo=927", "Texas Instruments")</f>
        <v>Texas Instruments</v>
      </c>
      <c r="C27121" s="5">
        <v>17</v>
      </c>
      <c r="D27121" s="6">
        <v>278.44</v>
      </c>
    </row>
    <row r="27122" spans="1:4" x14ac:dyDescent="0.25">
      <c r="A27122" t="str">
        <f>HYPERLINK("https://www.773grp.com/globalSearch/TLC59116EVM-390/page-1", "TLC59116EVM-390")</f>
        <v>TLC59116EVM-390</v>
      </c>
      <c r="B27122" s="3" t="str">
        <f>HYPERLINK("https://www.773grp.com/manufacturer/texas-instruments?pageNo=928", "Texas Instruments")</f>
        <v>Texas Instruments</v>
      </c>
      <c r="C27122" s="5">
        <v>2</v>
      </c>
      <c r="D27122" s="6">
        <v>278.44</v>
      </c>
    </row>
    <row r="27123" spans="1:4" x14ac:dyDescent="0.25">
      <c r="A27123" t="str">
        <f>HYPERLINK("https://www.773grp.com/globalSearch/TLC5924EVM-186/page-1", "TLC5924EVM-186")</f>
        <v>TLC5924EVM-186</v>
      </c>
      <c r="B27123" s="3" t="str">
        <f>HYPERLINK("https://www.773grp.com/manufacturer/texas-instruments?pageNo=929", "Texas Instruments")</f>
        <v>Texas Instruments</v>
      </c>
      <c r="C27123" s="5">
        <v>3</v>
      </c>
      <c r="D27123" s="6">
        <v>278.44</v>
      </c>
    </row>
    <row r="27124" spans="1:4" x14ac:dyDescent="0.25">
      <c r="A27124" t="str">
        <f>HYPERLINK("https://www.773grp.com/globalSearch/TLC5942EVM-248/page-1", "TLC5942EVM-248")</f>
        <v>TLC5942EVM-248</v>
      </c>
      <c r="B27124" s="3" t="str">
        <f>HYPERLINK("https://www.773grp.com/manufacturer/texas-instruments?pageNo=930", "Texas Instruments")</f>
        <v>Texas Instruments</v>
      </c>
      <c r="C27124" s="5">
        <v>1</v>
      </c>
      <c r="D27124" s="6">
        <v>278.44</v>
      </c>
    </row>
    <row r="27125" spans="1:4" x14ac:dyDescent="0.25">
      <c r="A27125" t="str">
        <f>HYPERLINK("https://www.773grp.com/globalSearch/TLK100INTEVM/page-1", "TLK100INTEVM")</f>
        <v>TLK100INTEVM</v>
      </c>
      <c r="B27125" s="3" t="str">
        <f>HYPERLINK("https://www.773grp.com/manufacturer/texas-instruments?pageNo=931", "Texas Instruments")</f>
        <v>Texas Instruments</v>
      </c>
      <c r="C27125" s="5">
        <v>2</v>
      </c>
      <c r="D27125" s="6">
        <v>278.44</v>
      </c>
    </row>
    <row r="27126" spans="1:4" x14ac:dyDescent="0.25">
      <c r="A27126" t="str">
        <f>HYPERLINK("https://www.773grp.com/globalSearch/TLV320AIC29EVM-PDK/page-1", "TLV320AIC29EVM-PDK")</f>
        <v>TLV320AIC29EVM-PDK</v>
      </c>
      <c r="B27126" s="3" t="str">
        <f>HYPERLINK("https://www.773grp.com/manufacturer/texas-instruments?pageNo=932", "Texas Instruments")</f>
        <v>Texas Instruments</v>
      </c>
      <c r="C27126" s="5">
        <v>3</v>
      </c>
      <c r="D27126" s="6">
        <v>278.44</v>
      </c>
    </row>
    <row r="27127" spans="1:4" x14ac:dyDescent="0.25">
      <c r="A27127" t="str">
        <f>HYPERLINK("https://www.773grp.com/globalSearch/TLV320AIC3107EVM-K/page-1", "TLV320AIC3107EVM-K")</f>
        <v>TLV320AIC3107EVM-K</v>
      </c>
      <c r="B27127" s="3" t="str">
        <f>HYPERLINK("https://www.773grp.com/manufacturer/texas-instruments?pageNo=933", "Texas Instruments")</f>
        <v>Texas Instruments</v>
      </c>
      <c r="C27127" s="5">
        <v>1</v>
      </c>
      <c r="D27127" s="6">
        <v>278.44</v>
      </c>
    </row>
    <row r="27128" spans="1:4" x14ac:dyDescent="0.25">
      <c r="A27128" t="str">
        <f>HYPERLINK("https://www.773grp.com/globalSearch/TMDSCNCD28069MISO/page-1", "TMDSCNCD28069MISO")</f>
        <v>TMDSCNCD28069MISO</v>
      </c>
      <c r="B27128" s="3" t="str">
        <f>HYPERLINK("https://www.773grp.com/manufacturer/texas-instruments?pageNo=934", "Texas Instruments")</f>
        <v>Texas Instruments</v>
      </c>
      <c r="C27128" s="5">
        <v>1</v>
      </c>
      <c r="D27128" s="6">
        <v>278.44</v>
      </c>
    </row>
    <row r="27129" spans="1:4" x14ac:dyDescent="0.25">
      <c r="A27129" t="str">
        <f>HYPERLINK("https://www.773grp.com/globalSearch/TMDSDOCK28335/page-1", "TMDSDOCK28335")</f>
        <v>TMDSDOCK28335</v>
      </c>
      <c r="B27129" s="3" t="str">
        <f>HYPERLINK("https://www.773grp.com/manufacturer/texas-instruments?pageNo=935", "Texas Instruments")</f>
        <v>Texas Instruments</v>
      </c>
      <c r="C27129" s="5">
        <v>2</v>
      </c>
      <c r="D27129" s="6">
        <v>278.44</v>
      </c>
    </row>
    <row r="27130" spans="1:4" x14ac:dyDescent="0.25">
      <c r="A27130" t="str">
        <f>HYPERLINK("https://www.773grp.com/globalSearch/TMDX5535EZDSP/page-1", "TMDX5535EZDSP")</f>
        <v>TMDX5535EZDSP</v>
      </c>
      <c r="B27130" s="3" t="str">
        <f>HYPERLINK("https://www.773grp.com/manufacturer/texas-instruments?pageNo=936", "Texas Instruments")</f>
        <v>Texas Instruments</v>
      </c>
      <c r="C27130" s="5">
        <v>1</v>
      </c>
      <c r="D27130" s="6">
        <v>278.44</v>
      </c>
    </row>
    <row r="27131" spans="1:4" x14ac:dyDescent="0.25">
      <c r="A27131" t="str">
        <f>HYPERLINK("https://www.773grp.com/globalSearch/TMDX570LS31CNCD/page-1", "TMDX570LS31CNCD")</f>
        <v>TMDX570LS31CNCD</v>
      </c>
      <c r="B27131" s="3" t="str">
        <f>HYPERLINK("https://www.773grp.com/manufacturer/texas-instruments?pageNo=937", "Texas Instruments")</f>
        <v>Texas Instruments</v>
      </c>
      <c r="C27131" s="5">
        <v>3</v>
      </c>
      <c r="D27131" s="6">
        <v>278.44</v>
      </c>
    </row>
    <row r="27132" spans="1:4" x14ac:dyDescent="0.25">
      <c r="A27132" t="str">
        <f>HYPERLINK("https://www.773grp.com/globalSearch/TMDXDOCK28069/page-1", "TMDXDOCK28069")</f>
        <v>TMDXDOCK28069</v>
      </c>
      <c r="B27132" s="3" t="str">
        <f>HYPERLINK("https://www.773grp.com/manufacturer/texas-instruments?pageNo=938", "Texas Instruments")</f>
        <v>Texas Instruments</v>
      </c>
      <c r="C27132" s="5">
        <v>2</v>
      </c>
      <c r="D27132" s="6">
        <v>278.44</v>
      </c>
    </row>
    <row r="27133" spans="1:4" x14ac:dyDescent="0.25">
      <c r="A27133" t="str">
        <f>HYPERLINK("https://www.773grp.com/globalSearch/TMDXICE3359/page-1", "TMDXICE3359")</f>
        <v>TMDXICE3359</v>
      </c>
      <c r="B27133" s="3" t="str">
        <f>HYPERLINK("https://www.773grp.com/manufacturer/texas-instruments?pageNo=939", "Texas Instruments")</f>
        <v>Texas Instruments</v>
      </c>
      <c r="C27133" s="5">
        <v>83</v>
      </c>
      <c r="D27133" s="6">
        <v>278.44</v>
      </c>
    </row>
    <row r="27134" spans="1:4" x14ac:dyDescent="0.25">
      <c r="A27134" t="str">
        <f>HYPERLINK("https://www.773grp.com/globalSearch/TMDXRM48CNCD/page-1", "TMDXRM48CNCD")</f>
        <v>TMDXRM48CNCD</v>
      </c>
      <c r="B27134" s="3" t="str">
        <f>HYPERLINK("https://www.773grp.com/manufacturer/texas-instruments?pageNo=940", "Texas Instruments")</f>
        <v>Texas Instruments</v>
      </c>
      <c r="C27134" s="5">
        <v>20</v>
      </c>
      <c r="D27134" s="6">
        <v>278.44</v>
      </c>
    </row>
    <row r="27135" spans="1:4" x14ac:dyDescent="0.25">
      <c r="A27135" t="str">
        <f>HYPERLINK("https://www.773grp.com/globalSearch/TPA2015D1YZHEVM/page-1", "TPA2015D1YZHEVM")</f>
        <v>TPA2015D1YZHEVM</v>
      </c>
      <c r="B27135" s="3" t="str">
        <f>HYPERLINK("https://www.773grp.com/manufacturer/texas-instruments?pageNo=942", "Texas Instruments")</f>
        <v>Texas Instruments</v>
      </c>
      <c r="C27135" s="5">
        <v>7</v>
      </c>
      <c r="D27135" s="6">
        <v>278.44</v>
      </c>
    </row>
    <row r="27136" spans="1:4" x14ac:dyDescent="0.25">
      <c r="A27136" t="str">
        <f>HYPERLINK("https://www.773grp.com/globalSearch/TPA2017D2RTJEVM/page-1", "TPA2017D2RTJEVM")</f>
        <v>TPA2017D2RTJEVM</v>
      </c>
      <c r="B27136" s="3" t="str">
        <f>HYPERLINK("https://www.773grp.com/manufacturer/texas-instruments?pageNo=943", "Texas Instruments")</f>
        <v>Texas Instruments</v>
      </c>
      <c r="C27136" s="5">
        <v>3</v>
      </c>
      <c r="D27136" s="6">
        <v>278.44</v>
      </c>
    </row>
    <row r="27137" spans="1:4" x14ac:dyDescent="0.25">
      <c r="A27137" t="str">
        <f>HYPERLINK("https://www.773grp.com/globalSearch/TPA2018D1YZFEVM/page-1", "TPA2018D1YZFEVM")</f>
        <v>TPA2018D1YZFEVM</v>
      </c>
      <c r="B27137" s="3" t="str">
        <f>HYPERLINK("https://www.773grp.com/manufacturer/texas-instruments?pageNo=944", "Texas Instruments")</f>
        <v>Texas Instruments</v>
      </c>
      <c r="C27137" s="5">
        <v>2</v>
      </c>
      <c r="D27137" s="6">
        <v>278.44</v>
      </c>
    </row>
    <row r="27138" spans="1:4" x14ac:dyDescent="0.25">
      <c r="A27138" t="str">
        <f>HYPERLINK("https://www.773grp.com/globalSearch/TPA2028D1YZFEVM/page-1", "TPA2028D1YZFEVM")</f>
        <v>TPA2028D1YZFEVM</v>
      </c>
      <c r="B27138" s="3" t="str">
        <f>HYPERLINK("https://www.773grp.com/manufacturer/texas-instruments?pageNo=945", "Texas Instruments")</f>
        <v>Texas Instruments</v>
      </c>
      <c r="C27138" s="5">
        <v>16</v>
      </c>
      <c r="D27138" s="6">
        <v>278.44</v>
      </c>
    </row>
    <row r="27139" spans="1:4" x14ac:dyDescent="0.25">
      <c r="A27139" t="str">
        <f>HYPERLINK("https://www.773grp.com/globalSearch/TPA6012A4PWPEVM/page-1", "TPA6012A4PWPEVM")</f>
        <v>TPA6012A4PWPEVM</v>
      </c>
      <c r="B27139" s="3" t="str">
        <f>HYPERLINK("https://www.773grp.com/manufacturer/texas-instruments?pageNo=946", "Texas Instruments")</f>
        <v>Texas Instruments</v>
      </c>
      <c r="C27139" s="5">
        <v>2</v>
      </c>
      <c r="D27139" s="6">
        <v>278.44</v>
      </c>
    </row>
    <row r="27140" spans="1:4" x14ac:dyDescent="0.25">
      <c r="A27140" t="str">
        <f>HYPERLINK("https://www.773grp.com/globalSearch/TPA6013A4PWPEVM/page-1", "TPA6013A4PWPEVM")</f>
        <v>TPA6013A4PWPEVM</v>
      </c>
      <c r="B27140" s="3" t="str">
        <f>HYPERLINK("https://www.773grp.com/manufacturer/texas-instruments?pageNo=947", "Texas Instruments")</f>
        <v>Texas Instruments</v>
      </c>
      <c r="C27140" s="5">
        <v>1</v>
      </c>
      <c r="D27140" s="6">
        <v>278.44</v>
      </c>
    </row>
    <row r="27141" spans="1:4" x14ac:dyDescent="0.25">
      <c r="A27141" t="str">
        <f>HYPERLINK("https://www.773grp.com/globalSearch/TPA6138A2EVM/page-1", "TPA6138A2EVM")</f>
        <v>TPA6138A2EVM</v>
      </c>
      <c r="B27141" s="3" t="str">
        <f>HYPERLINK("https://www.773grp.com/manufacturer/texas-instruments?pageNo=948", "Texas Instruments")</f>
        <v>Texas Instruments</v>
      </c>
      <c r="C27141" s="5">
        <v>1</v>
      </c>
      <c r="D27141" s="6">
        <v>278.44</v>
      </c>
    </row>
    <row r="27142" spans="1:4" x14ac:dyDescent="0.25">
      <c r="A27142" t="str">
        <f>HYPERLINK("https://www.773grp.com/globalSearch/TPA6139A2EVM/page-1", "TPA6139A2EVM")</f>
        <v>TPA6139A2EVM</v>
      </c>
      <c r="B27142" s="3" t="str">
        <f>HYPERLINK("https://www.773grp.com/manufacturer/texas-instruments?pageNo=949", "Texas Instruments")</f>
        <v>Texas Instruments</v>
      </c>
      <c r="C27142" s="5">
        <v>1</v>
      </c>
      <c r="D27142" s="6">
        <v>278.44</v>
      </c>
    </row>
    <row r="27143" spans="1:4" x14ac:dyDescent="0.25">
      <c r="A27143" t="str">
        <f>HYPERLINK("https://www.773grp.com/globalSearch/TPS2330EVM-184/page-1", "TPS2330EVM-184")</f>
        <v>TPS2330EVM-184</v>
      </c>
      <c r="B27143" s="3" t="str">
        <f>HYPERLINK("https://www.773grp.com/manufacturer/texas-instruments?pageNo=950", "Texas Instruments")</f>
        <v>Texas Instruments</v>
      </c>
      <c r="C27143" s="5">
        <v>1</v>
      </c>
      <c r="D27143" s="6">
        <v>278.44</v>
      </c>
    </row>
    <row r="27144" spans="1:4" x14ac:dyDescent="0.25">
      <c r="A27144" t="str">
        <f>HYPERLINK("https://www.773grp.com/globalSearch/TPS2359EVM/page-1", "TPS2359EVM")</f>
        <v>TPS2359EVM</v>
      </c>
      <c r="B27144" s="3" t="str">
        <f>HYPERLINK("https://www.773grp.com/manufacturer/texas-instruments?pageNo=951", "Texas Instruments")</f>
        <v>Texas Instruments</v>
      </c>
      <c r="C27144" s="5">
        <v>6</v>
      </c>
      <c r="D27144" s="6">
        <v>278.44</v>
      </c>
    </row>
    <row r="27145" spans="1:4" x14ac:dyDescent="0.25">
      <c r="A27145" t="str">
        <f>HYPERLINK("https://www.773grp.com/globalSearch/TPS51621EVM-602/page-1", "TPS51621EVM-602")</f>
        <v>TPS51621EVM-602</v>
      </c>
      <c r="B27145" s="3" t="str">
        <f>HYPERLINK("https://www.773grp.com/manufacturer/texas-instruments?pageNo=952", "Texas Instruments")</f>
        <v>Texas Instruments</v>
      </c>
      <c r="C27145" s="5">
        <v>6</v>
      </c>
      <c r="D27145" s="6">
        <v>278.44</v>
      </c>
    </row>
    <row r="27146" spans="1:4" x14ac:dyDescent="0.25">
      <c r="A27146" t="str">
        <f>HYPERLINK("https://www.773grp.com/globalSearch/TPS60251EVM-192/page-1", "TPS60251EVM-192")</f>
        <v>TPS60251EVM-192</v>
      </c>
      <c r="B27146" s="3" t="str">
        <f>HYPERLINK("https://www.773grp.com/manufacturer/texas-instruments?pageNo=953", "Texas Instruments")</f>
        <v>Texas Instruments</v>
      </c>
      <c r="C27146" s="5">
        <v>2</v>
      </c>
      <c r="D27146" s="6">
        <v>278.44</v>
      </c>
    </row>
    <row r="27147" spans="1:4" x14ac:dyDescent="0.25">
      <c r="A27147" t="str">
        <f>HYPERLINK("https://www.773grp.com/globalSearch/TPS62361BEVM-655/page-1", "TPS62361BEVM-655")</f>
        <v>TPS62361BEVM-655</v>
      </c>
      <c r="B27147" s="3" t="str">
        <f>HYPERLINK("https://www.773grp.com/manufacturer/texas-instruments?pageNo=954", "Texas Instruments")</f>
        <v>Texas Instruments</v>
      </c>
      <c r="C27147" s="5">
        <v>1</v>
      </c>
      <c r="D27147" s="6">
        <v>278.44</v>
      </c>
    </row>
    <row r="27148" spans="1:4" x14ac:dyDescent="0.25">
      <c r="A27148" t="str">
        <f>HYPERLINK("https://www.773grp.com/globalSearch/TPS70351EVM-165/page-1", "TPS70351EVM-165")</f>
        <v>TPS70351EVM-165</v>
      </c>
      <c r="B27148" s="3" t="str">
        <f>HYPERLINK("https://www.773grp.com/manufacturer/texas-instruments?pageNo=955", "Texas Instruments")</f>
        <v>Texas Instruments</v>
      </c>
      <c r="C27148" s="5">
        <v>2</v>
      </c>
      <c r="D27148" s="6">
        <v>278.44</v>
      </c>
    </row>
    <row r="27149" spans="1:4" x14ac:dyDescent="0.25">
      <c r="A27149" t="str">
        <f>HYPERLINK("https://www.773grp.com/globalSearch/TPS92010EVM-592/page-1", "TPS92010EVM-592")</f>
        <v>TPS92010EVM-592</v>
      </c>
      <c r="B27149" s="3" t="str">
        <f>HYPERLINK("https://www.773grp.com/manufacturer/texas-instruments?pageNo=956", "Texas Instruments")</f>
        <v>Texas Instruments</v>
      </c>
      <c r="C27149" s="5">
        <v>44</v>
      </c>
      <c r="D27149" s="6">
        <v>278.44</v>
      </c>
    </row>
    <row r="27150" spans="1:4" x14ac:dyDescent="0.25">
      <c r="A27150" t="str">
        <f>HYPERLINK("https://www.773grp.com/globalSearch/TPS92210EVM-613/page-1", "TPS92210EVM-613")</f>
        <v>TPS92210EVM-613</v>
      </c>
      <c r="B27150" s="3" t="str">
        <f>HYPERLINK("https://www.773grp.com/manufacturer/texas-instruments?pageNo=957", "Texas Instruments")</f>
        <v>Texas Instruments</v>
      </c>
      <c r="C27150" s="5">
        <v>5</v>
      </c>
      <c r="D27150" s="6">
        <v>278.44</v>
      </c>
    </row>
    <row r="27151" spans="1:4" x14ac:dyDescent="0.25">
      <c r="A27151" t="str">
        <f>HYPERLINK("https://www.773grp.com/globalSearch/TPS92210EVM-647/page-1", "TPS92210EVM-647")</f>
        <v>TPS92210EVM-647</v>
      </c>
      <c r="B27151" s="3" t="str">
        <f>HYPERLINK("https://www.773grp.com/manufacturer/texas-instruments?pageNo=958", "Texas Instruments")</f>
        <v>Texas Instruments</v>
      </c>
      <c r="C27151" s="5">
        <v>10</v>
      </c>
      <c r="D27151" s="6">
        <v>278.44</v>
      </c>
    </row>
    <row r="27152" spans="1:4" x14ac:dyDescent="0.25">
      <c r="A27152" t="str">
        <f>HYPERLINK("https://www.773grp.com/globalSearch/TSC2004EVM-PDK/page-1", "TSC2004EVM-PDK")</f>
        <v>TSC2004EVM-PDK</v>
      </c>
      <c r="B27152" s="3" t="str">
        <f>HYPERLINK("https://www.773grp.com/manufacturer/texas-instruments?pageNo=959", "Texas Instruments")</f>
        <v>Texas Instruments</v>
      </c>
      <c r="C27152" s="5">
        <v>1</v>
      </c>
      <c r="D27152" s="6">
        <v>278.44</v>
      </c>
    </row>
    <row r="27153" spans="1:4" x14ac:dyDescent="0.25">
      <c r="A27153" t="str">
        <f>HYPERLINK("https://www.773grp.com/globalSearch/TSC2005EVM-PDK/page-1", "TSC2005EVM-PDK")</f>
        <v>TSC2005EVM-PDK</v>
      </c>
      <c r="B27153" s="3" t="str">
        <f>HYPERLINK("https://www.773grp.com/manufacturer/texas-instruments?pageNo=960", "Texas Instruments")</f>
        <v>Texas Instruments</v>
      </c>
      <c r="C27153" s="5">
        <v>2</v>
      </c>
      <c r="D27153" s="6">
        <v>278.44</v>
      </c>
    </row>
    <row r="27154" spans="1:4" x14ac:dyDescent="0.25">
      <c r="A27154" t="str">
        <f>HYPERLINK("https://www.773grp.com/globalSearch/TSC2100EVM/page-1", "TSC2100EVM")</f>
        <v>TSC2100EVM</v>
      </c>
      <c r="B27154" s="3" t="str">
        <f>HYPERLINK("https://www.773grp.com/manufacturer/texas-instruments?pageNo=961", "Texas Instruments")</f>
        <v>Texas Instruments</v>
      </c>
      <c r="C27154" s="5">
        <v>2</v>
      </c>
      <c r="D27154" s="6">
        <v>278.44</v>
      </c>
    </row>
    <row r="27155" spans="1:4" x14ac:dyDescent="0.25">
      <c r="A27155" t="str">
        <f>HYPERLINK("https://www.773grp.com/globalSearch/TUSB3410GPIOPDK/page-1", "TUSB3410GPIOPDK")</f>
        <v>TUSB3410GPIOPDK</v>
      </c>
      <c r="B27155" s="3" t="str">
        <f>HYPERLINK("https://www.773grp.com/manufacturer/texas-instruments?pageNo=962", "Texas Instruments")</f>
        <v>Texas Instruments</v>
      </c>
      <c r="C27155" s="5">
        <v>3</v>
      </c>
      <c r="D27155" s="6">
        <v>278.44</v>
      </c>
    </row>
    <row r="27156" spans="1:4" x14ac:dyDescent="0.25">
      <c r="A27156" t="str">
        <f>HYPERLINK("https://www.773grp.com/globalSearch/TUSB3410UARTPDK/page-1", "TUSB3410UARTPDK")</f>
        <v>TUSB3410UARTPDK</v>
      </c>
      <c r="B27156" s="3" t="str">
        <f>HYPERLINK("https://www.773grp.com/manufacturer/texas-instruments?pageNo=963", "Texas Instruments")</f>
        <v>Texas Instruments</v>
      </c>
      <c r="C27156" s="5">
        <v>4</v>
      </c>
      <c r="D27156" s="6">
        <v>278.44</v>
      </c>
    </row>
    <row r="27157" spans="1:4" x14ac:dyDescent="0.25">
      <c r="A27157" t="str">
        <f>HYPERLINK("https://www.773grp.com/globalSearch/UCC28051EVM/page-1", "UCC28051EVM")</f>
        <v>UCC28051EVM</v>
      </c>
      <c r="B27157" s="3" t="str">
        <f>HYPERLINK("https://www.773grp.com/manufacturer/texas-instruments?pageNo=964", "Texas Instruments")</f>
        <v>Texas Instruments</v>
      </c>
      <c r="C27157" s="5">
        <v>3</v>
      </c>
      <c r="D27157" s="6">
        <v>278.44</v>
      </c>
    </row>
    <row r="27158" spans="1:4" x14ac:dyDescent="0.25">
      <c r="A27158" t="str">
        <f>HYPERLINK("https://www.773grp.com/globalSearch/UCC28221EVM/page-1", "UCC28221EVM")</f>
        <v>UCC28221EVM</v>
      </c>
      <c r="B27158" s="3" t="str">
        <f>HYPERLINK("https://www.773grp.com/manufacturer/texas-instruments?pageNo=965", "Texas Instruments")</f>
        <v>Texas Instruments</v>
      </c>
      <c r="C27158" s="5">
        <v>3</v>
      </c>
      <c r="D27158" s="6">
        <v>278.44</v>
      </c>
    </row>
    <row r="27159" spans="1:4" x14ac:dyDescent="0.25">
      <c r="A27159" t="str">
        <f>HYPERLINK("https://www.773grp.com/globalSearch/UCC28521EVM/page-1", "UCC28521EVM")</f>
        <v>UCC28521EVM</v>
      </c>
      <c r="B27159" s="3" t="str">
        <f>HYPERLINK("https://www.773grp.com/manufacturer/texas-instruments?pageNo=966", "Texas Instruments")</f>
        <v>Texas Instruments</v>
      </c>
      <c r="C27159" s="5">
        <v>1</v>
      </c>
      <c r="D27159" s="6">
        <v>278.44</v>
      </c>
    </row>
    <row r="27160" spans="1:4" x14ac:dyDescent="0.25">
      <c r="A27160" t="str">
        <f>HYPERLINK("https://www.773grp.com/globalSearch/UCC28528EVM/page-1", "UCC28528EVM")</f>
        <v>UCC28528EVM</v>
      </c>
      <c r="B27160" s="3" t="str">
        <f>HYPERLINK("https://www.773grp.com/manufacturer/texas-instruments?pageNo=967", "Texas Instruments")</f>
        <v>Texas Instruments</v>
      </c>
      <c r="C27160" s="5">
        <v>1</v>
      </c>
      <c r="D27160" s="6">
        <v>278.44</v>
      </c>
    </row>
    <row r="27161" spans="1:4" x14ac:dyDescent="0.25">
      <c r="A27161" t="str">
        <f>HYPERLINK("https://www.773grp.com/globalSearch/UCC28810EVM-002/page-1", "UCC28810EVM-002")</f>
        <v>UCC28810EVM-002</v>
      </c>
      <c r="B27161" s="3" t="str">
        <f>HYPERLINK("https://www.773grp.com/manufacturer/texas-instruments?pageNo=968", "Texas Instruments")</f>
        <v>Texas Instruments</v>
      </c>
      <c r="C27161" s="5">
        <v>25</v>
      </c>
      <c r="D27161" s="6">
        <v>278.44</v>
      </c>
    </row>
    <row r="27162" spans="1:4" x14ac:dyDescent="0.25">
      <c r="A27162" t="str">
        <f>HYPERLINK("https://www.773grp.com/globalSearch/UCC28810EVM-003/page-1", "UCC28810EVM-003")</f>
        <v>UCC28810EVM-003</v>
      </c>
      <c r="B27162" s="3" t="str">
        <f>HYPERLINK("https://www.773grp.com/manufacturer/texas-instruments?pageNo=969", "Texas Instruments")</f>
        <v>Texas Instruments</v>
      </c>
      <c r="C27162" s="5">
        <v>5</v>
      </c>
      <c r="D27162" s="6">
        <v>278.44</v>
      </c>
    </row>
    <row r="27163" spans="1:4" x14ac:dyDescent="0.25">
      <c r="A27163" t="str">
        <f>HYPERLINK("https://www.773grp.com/globalSearch/UCC28950EVM-442/page-1", "UCC28950EVM-442")</f>
        <v>UCC28950EVM-442</v>
      </c>
      <c r="B27163" s="3" t="str">
        <f>HYPERLINK("https://www.773grp.com/manufacturer/texas-instruments?pageNo=970", "Texas Instruments")</f>
        <v>Texas Instruments</v>
      </c>
      <c r="C27163" s="5">
        <v>3</v>
      </c>
      <c r="D27163" s="6">
        <v>278.44</v>
      </c>
    </row>
    <row r="27164" spans="1:4" x14ac:dyDescent="0.25">
      <c r="A27164" t="str">
        <f>HYPERLINK("https://www.773grp.com/globalSearch/UCC2897AEVM/page-1", "UCC2897AEVM")</f>
        <v>UCC2897AEVM</v>
      </c>
      <c r="B27164" s="3" t="str">
        <f>HYPERLINK("https://www.773grp.com/manufacturer/texas-instruments?pageNo=971", "Texas Instruments")</f>
        <v>Texas Instruments</v>
      </c>
      <c r="C27164" s="5">
        <v>2</v>
      </c>
      <c r="D27164" s="6">
        <v>278.44</v>
      </c>
    </row>
    <row r="27165" spans="1:4" x14ac:dyDescent="0.25">
      <c r="A27165" t="str">
        <f>HYPERLINK("https://www.773grp.com/globalSearch/UCC3580EVM/page-1", "UCC3580EVM")</f>
        <v>UCC3580EVM</v>
      </c>
      <c r="B27165" s="3" t="str">
        <f>HYPERLINK("https://www.773grp.com/manufacturer/texas-instruments?pageNo=972", "Texas Instruments")</f>
        <v>Texas Instruments</v>
      </c>
      <c r="C27165" s="5">
        <v>2</v>
      </c>
      <c r="D27165" s="6">
        <v>278.44</v>
      </c>
    </row>
    <row r="27166" spans="1:4" x14ac:dyDescent="0.25">
      <c r="A27166" t="str">
        <f>HYPERLINK("https://www.773grp.com/globalSearch/UCC3809EVM/page-1", "UCC3809EVM")</f>
        <v>UCC3809EVM</v>
      </c>
      <c r="B27166" s="3" t="str">
        <f>HYPERLINK("https://www.773grp.com/manufacturer/texas-instruments?pageNo=973", "Texas Instruments")</f>
        <v>Texas Instruments</v>
      </c>
      <c r="C27166" s="5">
        <v>1</v>
      </c>
      <c r="D27166" s="6">
        <v>278.44</v>
      </c>
    </row>
    <row r="27167" spans="1:4" x14ac:dyDescent="0.25">
      <c r="A27167" t="str">
        <f>HYPERLINK("https://www.773grp.com/globalSearch/UCC3817EVM/page-1", "UCC3817EVM")</f>
        <v>UCC3817EVM</v>
      </c>
      <c r="B27167" s="3" t="str">
        <f>HYPERLINK("https://www.773grp.com/manufacturer/texas-instruments?pageNo=974", "Texas Instruments")</f>
        <v>Texas Instruments</v>
      </c>
      <c r="C27167" s="5">
        <v>1</v>
      </c>
      <c r="D27167" s="6">
        <v>278.44</v>
      </c>
    </row>
    <row r="27168" spans="1:4" x14ac:dyDescent="0.25">
      <c r="A27168" t="str">
        <f>HYPERLINK("https://www.773grp.com/globalSearch/UCC3889EVM/page-1", "UCC3889EVM")</f>
        <v>UCC3889EVM</v>
      </c>
      <c r="B27168" s="3" t="str">
        <f>HYPERLINK("https://www.773grp.com/manufacturer/texas-instruments?pageNo=975", "Texas Instruments")</f>
        <v>Texas Instruments</v>
      </c>
      <c r="C27168" s="5">
        <v>2</v>
      </c>
      <c r="D27168" s="6">
        <v>278.44</v>
      </c>
    </row>
    <row r="27169" spans="1:4" x14ac:dyDescent="0.25">
      <c r="A27169" t="str">
        <f>HYPERLINK("https://www.773grp.com/globalSearch/UCD90SEQ48EVM-560/page-1", "UCD90SEQ48EVM-560")</f>
        <v>UCD90SEQ48EVM-560</v>
      </c>
      <c r="B27169" s="3" t="str">
        <f>HYPERLINK("https://www.773grp.com/manufacturer/texas-instruments?pageNo=976", "Texas Instruments")</f>
        <v>Texas Instruments</v>
      </c>
      <c r="C27169" s="5">
        <v>3</v>
      </c>
      <c r="D27169" s="6">
        <v>278.44</v>
      </c>
    </row>
    <row r="27170" spans="1:4" x14ac:dyDescent="0.25">
      <c r="A27170" t="str">
        <f>HYPERLINK("https://www.773grp.com/globalSearch/VCA2619EVM/page-1", "VCA2619EVM")</f>
        <v>VCA2619EVM</v>
      </c>
      <c r="B27170" s="3" t="str">
        <f>HYPERLINK("https://www.773grp.com/manufacturer/texas-instruments?pageNo=977", "Texas Instruments")</f>
        <v>Texas Instruments</v>
      </c>
      <c r="C27170" s="5">
        <v>1</v>
      </c>
      <c r="D27170" s="6">
        <v>278.44</v>
      </c>
    </row>
    <row r="27171" spans="1:4" x14ac:dyDescent="0.25">
      <c r="A27171" t="str">
        <f>HYPERLINK("https://www.773grp.com/globalSearch/TMS32C6416DGLZW6E3/page-1", "TMS32C6416DGLZW6E3")</f>
        <v>TMS32C6416DGLZW6E3</v>
      </c>
      <c r="B27171" s="3" t="s">
        <v>90</v>
      </c>
      <c r="C27171" s="5">
        <v>13768</v>
      </c>
      <c r="D27171" s="6">
        <v>244.46</v>
      </c>
    </row>
    <row r="27172" spans="1:4" x14ac:dyDescent="0.25">
      <c r="A27172" t="str">
        <f>HYPERLINK("https://www.773grp.com/globalSearch/MSP-FET430UIF/page-1", "MSP-FET430UIF")</f>
        <v>MSP-FET430UIF</v>
      </c>
      <c r="B27172" s="3" t="s">
        <v>90</v>
      </c>
      <c r="C27172" s="5">
        <v>83</v>
      </c>
      <c r="D27172" s="6">
        <v>245.65</v>
      </c>
    </row>
    <row r="27173" spans="1:4" x14ac:dyDescent="0.25">
      <c r="A27173" t="str">
        <f>HYPERLINK("https://www.773grp.com/globalSearch/RI-ANT-S01C-30/page-1", "RI-ANT-S01C-30")</f>
        <v>RI-ANT-S01C-30</v>
      </c>
      <c r="B27173" s="3" t="s">
        <v>90</v>
      </c>
      <c r="C27173" s="5">
        <v>7</v>
      </c>
      <c r="D27173" s="6">
        <v>245.65</v>
      </c>
    </row>
    <row r="27174" spans="1:4" x14ac:dyDescent="0.25">
      <c r="A27174" t="str">
        <f>HYPERLINK("https://www.773grp.com/globalSearch/TMDXDOCK28055/page-1", "TMDXDOCK28055")</f>
        <v>TMDXDOCK28055</v>
      </c>
      <c r="B27174" s="3" t="s">
        <v>90</v>
      </c>
      <c r="C27174" s="5">
        <v>15</v>
      </c>
      <c r="D27174" s="6">
        <v>245.65</v>
      </c>
    </row>
    <row r="27175" spans="1:4" x14ac:dyDescent="0.25">
      <c r="A27175" t="str">
        <f>HYPERLINK("https://www.773grp.com/globalSearch/JM38510-32501SRA/page-1", "JM38510-32501SRA")</f>
        <v>JM38510-32501SRA</v>
      </c>
      <c r="B27175" s="3" t="s">
        <v>90</v>
      </c>
      <c r="C27175" s="5">
        <v>90</v>
      </c>
      <c r="D27175" s="6">
        <v>246.19</v>
      </c>
    </row>
    <row r="27176" spans="1:4" x14ac:dyDescent="0.25">
      <c r="A27176" t="str">
        <f>HYPERLINK("https://www.773grp.com/globalSearch/JM38510-65802SFA/page-1", "JM38510-65802SFA")</f>
        <v>JM38510-65802SFA</v>
      </c>
      <c r="B27176" s="3" t="s">
        <v>90</v>
      </c>
      <c r="C27176" s="5">
        <v>9</v>
      </c>
      <c r="D27176" s="6">
        <v>249.8</v>
      </c>
    </row>
    <row r="27177" spans="1:4" x14ac:dyDescent="0.25">
      <c r="A27177" t="str">
        <f>HYPERLINK("https://www.773grp.com/globalSearch/ADS8320SHKQ/page-1", "ADS8320SHKQ")</f>
        <v>ADS8320SHKQ</v>
      </c>
      <c r="B27177" s="3" t="s">
        <v>90</v>
      </c>
      <c r="C27177" s="5">
        <v>2</v>
      </c>
      <c r="D27177" s="6">
        <v>249.93</v>
      </c>
    </row>
    <row r="27178" spans="1:4" x14ac:dyDescent="0.25">
      <c r="A27178" t="str">
        <f>HYPERLINK("https://www.773grp.com/globalSearch/MSP-EXP430FG4618/page-1", "MSP-EXP430FG4618")</f>
        <v>MSP-EXP430FG4618</v>
      </c>
      <c r="B27178" s="3" t="s">
        <v>90</v>
      </c>
      <c r="C27178" s="5">
        <v>111</v>
      </c>
      <c r="D27178" s="6">
        <v>249.93</v>
      </c>
    </row>
    <row r="27179" spans="1:4" x14ac:dyDescent="0.25">
      <c r="A27179" t="str">
        <f>HYPERLINK("https://www.773grp.com/globalSearch/MSP-TS430L092/page-1", "MSP-TS430L092")</f>
        <v>MSP-TS430L092</v>
      </c>
      <c r="B27179" s="3" t="s">
        <v>90</v>
      </c>
      <c r="C27179" s="5">
        <v>114</v>
      </c>
      <c r="D27179" s="6">
        <v>249.93</v>
      </c>
    </row>
    <row r="27180" spans="1:4" x14ac:dyDescent="0.25">
      <c r="A27180" t="str">
        <f>HYPERLINK("https://www.773grp.com/globalSearch/MSP-TS430RHA40A/page-1", "MSP-TS430RHA40A")</f>
        <v>MSP-TS430RHA40A</v>
      </c>
      <c r="B27180" s="3" t="s">
        <v>90</v>
      </c>
      <c r="C27180" s="5">
        <v>12</v>
      </c>
      <c r="D27180" s="6">
        <v>249.93</v>
      </c>
    </row>
    <row r="27181" spans="1:4" x14ac:dyDescent="0.25">
      <c r="A27181" t="str">
        <f>HYPERLINK("https://www.773grp.com/globalSearch/5962-9754301VSA/page-1", "5962-9754301VSA")</f>
        <v>5962-9754301VSA</v>
      </c>
      <c r="B27181" s="3" t="s">
        <v>90</v>
      </c>
      <c r="C27181" s="5">
        <v>4</v>
      </c>
      <c r="D27181" s="6">
        <v>250.56</v>
      </c>
    </row>
    <row r="27182" spans="1:4" x14ac:dyDescent="0.25">
      <c r="A27182" t="str">
        <f>HYPERLINK("https://www.773grp.com/globalSearch/TMS320C6671ACYPA25/page-1", "TMS320C6671ACYPA25")</f>
        <v>TMS320C6671ACYPA25</v>
      </c>
      <c r="B27182" s="3" t="s">
        <v>90</v>
      </c>
      <c r="C27182" s="5">
        <v>44</v>
      </c>
      <c r="D27182" s="6">
        <v>253.13</v>
      </c>
    </row>
    <row r="27183" spans="1:4" x14ac:dyDescent="0.25">
      <c r="A27183" t="str">
        <f>HYPERLINK("https://www.773grp.com/globalSearch/ISO100CP/page-1", "ISO100CP")</f>
        <v>ISO100CP</v>
      </c>
      <c r="B27183" s="3" t="s">
        <v>90</v>
      </c>
      <c r="C27183" s="5">
        <v>235</v>
      </c>
      <c r="D27183" s="6">
        <v>253.86</v>
      </c>
    </row>
    <row r="27184" spans="1:4" x14ac:dyDescent="0.25">
      <c r="A27184" t="str">
        <f>HYPERLINK("https://www.773grp.com/globalSearch/EKC-LM4F232/page-1", "EKC-LM4F232")</f>
        <v>EKC-LM4F232</v>
      </c>
      <c r="B27184" s="3" t="s">
        <v>90</v>
      </c>
      <c r="C27184" s="5">
        <v>138</v>
      </c>
      <c r="D27184" s="6">
        <v>254.19</v>
      </c>
    </row>
    <row r="27185" spans="1:4" x14ac:dyDescent="0.25">
      <c r="A27185" t="str">
        <f>HYPERLINK("https://www.773grp.com/globalSearch/EKI-LM4F232/page-1", "EKI-LM4F232")</f>
        <v>EKI-LM4F232</v>
      </c>
      <c r="B27185" s="3" t="s">
        <v>90</v>
      </c>
      <c r="C27185" s="5">
        <v>1</v>
      </c>
      <c r="D27185" s="6">
        <v>254.19</v>
      </c>
    </row>
    <row r="27186" spans="1:4" x14ac:dyDescent="0.25">
      <c r="A27186" t="str">
        <f>HYPERLINK("https://www.773grp.com/globalSearch/EKS-LM4F232/page-1", "EKS-LM4F232")</f>
        <v>EKS-LM4F232</v>
      </c>
      <c r="B27186" s="3" t="s">
        <v>90</v>
      </c>
      <c r="C27186" s="5">
        <v>5</v>
      </c>
      <c r="D27186" s="6">
        <v>254.19</v>
      </c>
    </row>
    <row r="27187" spans="1:4" x14ac:dyDescent="0.25">
      <c r="A27187" t="str">
        <f>HYPERLINK("https://www.773grp.com/globalSearch/EZ430-RF2500/page-1", "EZ430-RF2500")</f>
        <v>EZ430-RF2500</v>
      </c>
      <c r="B27187" s="3" t="s">
        <v>90</v>
      </c>
      <c r="C27187" s="5">
        <v>3</v>
      </c>
      <c r="D27187" s="6">
        <v>256.33999999999997</v>
      </c>
    </row>
    <row r="27188" spans="1:4" x14ac:dyDescent="0.25">
      <c r="A27188" t="str">
        <f>HYPERLINK("https://www.773grp.com/globalSearch/TMX320C6414CGLZ5/page-1", "TMX320C6414CGLZ5")</f>
        <v>TMX320C6414CGLZ5</v>
      </c>
      <c r="B27188" s="3" t="s">
        <v>90</v>
      </c>
      <c r="C27188" s="5">
        <v>1</v>
      </c>
      <c r="D27188" s="6">
        <v>259.39</v>
      </c>
    </row>
    <row r="27189" spans="1:4" x14ac:dyDescent="0.25">
      <c r="A27189" t="str">
        <f>HYPERLINK("https://www.773grp.com/globalSearch/2D569/page-1", "2D569")</f>
        <v>2D569</v>
      </c>
      <c r="B27189" s="3" t="s">
        <v>90</v>
      </c>
      <c r="C27189" s="5">
        <v>74</v>
      </c>
      <c r="D27189" s="6">
        <v>265.5</v>
      </c>
    </row>
    <row r="27190" spans="1:4" x14ac:dyDescent="0.25">
      <c r="A27190" t="str">
        <f>HYPERLINK("https://www.773grp.com/globalSearch/4127KG/page-1", "4127KG")</f>
        <v>4127KG</v>
      </c>
      <c r="B27190" s="3" t="s">
        <v>90</v>
      </c>
      <c r="C27190" s="5">
        <v>435</v>
      </c>
      <c r="D27190" s="6">
        <v>265.73</v>
      </c>
    </row>
    <row r="27191" spans="1:4" x14ac:dyDescent="0.25">
      <c r="A27191" t="str">
        <f>HYPERLINK("https://www.773grp.com/globalSearch/TMS32C6415DGLZW6E3/page-1", "TMS32C6415DGLZW6E3")</f>
        <v>TMS32C6415DGLZW6E3</v>
      </c>
      <c r="B27191" s="3" t="s">
        <v>90</v>
      </c>
      <c r="C27191" s="5">
        <v>482</v>
      </c>
      <c r="D27191" s="6">
        <v>266.14999999999998</v>
      </c>
    </row>
    <row r="27192" spans="1:4" x14ac:dyDescent="0.25">
      <c r="A27192" t="str">
        <f>HYPERLINK("https://www.773grp.com/globalSearch/ADS1278HPAP/page-1", "ADS1278HPAP")</f>
        <v>ADS1278HPAP</v>
      </c>
      <c r="B27192" s="3" t="s">
        <v>90</v>
      </c>
      <c r="C27192" s="5">
        <v>150</v>
      </c>
      <c r="D27192" s="6">
        <v>267.01</v>
      </c>
    </row>
    <row r="27193" spans="1:4" x14ac:dyDescent="0.25">
      <c r="A27193" t="str">
        <f>HYPERLINK("https://www.773grp.com/globalSearch/RI-ANT-S02C-30/page-1", "RI-ANT-S02C-30")</f>
        <v>RI-ANT-S02C-30</v>
      </c>
      <c r="B27193" s="3" t="s">
        <v>90</v>
      </c>
      <c r="C27193" s="5">
        <v>68</v>
      </c>
      <c r="D27193" s="6">
        <v>267.01</v>
      </c>
    </row>
    <row r="27194" spans="1:4" x14ac:dyDescent="0.25">
      <c r="A27194" t="str">
        <f>HYPERLINK("https://www.773grp.com/globalSearch/SN299029GFW/page-1", "SN299029GFW")</f>
        <v>SN299029GFW</v>
      </c>
      <c r="B27194" s="3" t="s">
        <v>90</v>
      </c>
      <c r="C27194" s="5">
        <v>4477</v>
      </c>
      <c r="D27194" s="6">
        <v>267.01</v>
      </c>
    </row>
    <row r="27195" spans="1:4" x14ac:dyDescent="0.25">
      <c r="A27195" t="str">
        <f>HYPERLINK("https://www.773grp.com/globalSearch/TMDSCNCD28346-168/page-1", "TMDSCNCD28346-168")</f>
        <v>TMDSCNCD28346-168</v>
      </c>
      <c r="B27195" s="3" t="s">
        <v>90</v>
      </c>
      <c r="C27195" s="5">
        <v>6</v>
      </c>
      <c r="D27195" s="6">
        <v>267.01</v>
      </c>
    </row>
    <row r="27196" spans="1:4" x14ac:dyDescent="0.25">
      <c r="A27196" t="str">
        <f>HYPERLINK("https://www.773grp.com/globalSearch/TMDSDOCK28346-168/page-1", "TMDSDOCK28346-168")</f>
        <v>TMDSDOCK28346-168</v>
      </c>
      <c r="B27196" s="3" t="s">
        <v>90</v>
      </c>
      <c r="C27196" s="5">
        <v>5</v>
      </c>
      <c r="D27196" s="6">
        <v>267.01</v>
      </c>
    </row>
    <row r="27197" spans="1:4" x14ac:dyDescent="0.25">
      <c r="A27197" t="str">
        <f>HYPERLINK("https://www.773grp.com/globalSearch/TMDXCNCD28346-168/page-1", "TMDXCNCD28346-168")</f>
        <v>TMDXCNCD28346-168</v>
      </c>
      <c r="B27197" s="3" t="s">
        <v>90</v>
      </c>
      <c r="C27197" s="5">
        <v>13</v>
      </c>
      <c r="D27197" s="6">
        <v>267.01</v>
      </c>
    </row>
    <row r="27198" spans="1:4" x14ac:dyDescent="0.25">
      <c r="A27198" t="str">
        <f>HYPERLINK("https://www.773grp.com/globalSearch/TMS320C6454BZTZ8/page-1", "TMS320C6454BZTZ8")</f>
        <v>TMS320C6454BZTZ8</v>
      </c>
      <c r="B27198" s="3" t="s">
        <v>90</v>
      </c>
      <c r="C27198" s="5">
        <v>341</v>
      </c>
      <c r="D27198" s="6">
        <v>267.11</v>
      </c>
    </row>
    <row r="27199" spans="1:4" x14ac:dyDescent="0.25">
      <c r="A27199" t="str">
        <f>HYPERLINK("https://www.773grp.com/globalSearch/TMS32C6414EGLZA6E3/page-1", "TMS32C6414EGLZA6E3")</f>
        <v>TMS32C6414EGLZA6E3</v>
      </c>
      <c r="B27199" s="3" t="s">
        <v>90</v>
      </c>
      <c r="C27199" s="5">
        <v>12</v>
      </c>
      <c r="D27199" s="6">
        <v>271.45</v>
      </c>
    </row>
    <row r="27200" spans="1:4" x14ac:dyDescent="0.25">
      <c r="A27200" t="str">
        <f>HYPERLINK("https://www.773grp.com/globalSearch/TPS54362HPWP/page-1", "TPS54362HPWP")</f>
        <v>TPS54362HPWP</v>
      </c>
      <c r="B27200" s="3" t="s">
        <v>90</v>
      </c>
      <c r="C27200" s="5">
        <v>34</v>
      </c>
      <c r="D27200" s="6">
        <v>275.55</v>
      </c>
    </row>
    <row r="27201" spans="1:4" x14ac:dyDescent="0.25">
      <c r="A27201" t="str">
        <f>HYPERLINK("https://www.773grp.com/globalSearch/ADS5485IRGC25/page-1", "ADS5485IRGC25")</f>
        <v>ADS5485IRGC25</v>
      </c>
      <c r="B27201" s="3" t="s">
        <v>90</v>
      </c>
      <c r="C27201" s="5">
        <v>25</v>
      </c>
      <c r="D27201" s="6">
        <v>277.7</v>
      </c>
    </row>
    <row r="27202" spans="1:4" x14ac:dyDescent="0.25">
      <c r="A27202" t="str">
        <f>HYPERLINK("https://www.773grp.com/globalSearch/TMDSDOCK28035/page-1", "TMDSDOCK28035")</f>
        <v>TMDSDOCK28035</v>
      </c>
      <c r="B27202" s="3" t="s">
        <v>90</v>
      </c>
      <c r="C27202" s="5">
        <v>5</v>
      </c>
      <c r="D27202" s="6">
        <v>277.7</v>
      </c>
    </row>
    <row r="27203" spans="1:4" x14ac:dyDescent="0.25">
      <c r="A27203" t="str">
        <f>HYPERLINK("https://www.773grp.com/globalSearch/TMDXCNCDH52C1/page-1", "TMDXCNCDH52C1")</f>
        <v>TMDXCNCDH52C1</v>
      </c>
      <c r="B27203" s="3" t="s">
        <v>90</v>
      </c>
      <c r="C27203" s="5">
        <v>2</v>
      </c>
      <c r="D27203" s="6">
        <v>277.7</v>
      </c>
    </row>
    <row r="27204" spans="1:4" x14ac:dyDescent="0.25">
      <c r="A27204" t="str">
        <f>HYPERLINK("https://www.773grp.com/globalSearch/DC-6201GJC/page-1", "DC-6201GJC")</f>
        <v>DC-6201GJC</v>
      </c>
      <c r="B27204" s="3" t="s">
        <v>90</v>
      </c>
      <c r="C27204" s="5">
        <v>100</v>
      </c>
      <c r="D27204" s="6">
        <v>279.33999999999997</v>
      </c>
    </row>
    <row r="27205" spans="1:4" x14ac:dyDescent="0.25">
      <c r="A27205" t="str">
        <f>HYPERLINK("https://www.773grp.com/globalSearch/TMS320C6414TBZLZW8/page-1", "TMS320C6414TBZLZW8")</f>
        <v>TMS320C6414TBZLZW8</v>
      </c>
      <c r="B27205" s="3" t="s">
        <v>90</v>
      </c>
      <c r="C27205" s="5">
        <v>31</v>
      </c>
      <c r="D27205" s="6">
        <v>280.69</v>
      </c>
    </row>
    <row r="27206" spans="1:4" x14ac:dyDescent="0.25">
      <c r="A27206" t="str">
        <f>HYPERLINK("https://www.773grp.com/globalSearch/2D1064JG/page-1", "2D1064JG")</f>
        <v>2D1064JG</v>
      </c>
      <c r="B27206" s="3" t="s">
        <v>90</v>
      </c>
      <c r="C27206" s="5">
        <v>1098</v>
      </c>
      <c r="D27206" s="6">
        <v>284.08999999999997</v>
      </c>
    </row>
    <row r="27207" spans="1:4" x14ac:dyDescent="0.25">
      <c r="A27207" t="str">
        <f>HYPERLINK("https://www.773grp.com/globalSearch/PC404-15/page-1", "PC404-15")</f>
        <v>PC404-15</v>
      </c>
      <c r="B27207" s="3" t="s">
        <v>90</v>
      </c>
      <c r="C27207" s="5">
        <v>4</v>
      </c>
      <c r="D27207" s="6">
        <v>284.08999999999997</v>
      </c>
    </row>
    <row r="27208" spans="1:4" x14ac:dyDescent="0.25">
      <c r="A27208" t="str">
        <f>HYPERLINK("https://www.773grp.com/globalSearch/ADS62P48IRGCT/page-1", "ADS62P48IRGCT")</f>
        <v>ADS62P48IRGCT</v>
      </c>
      <c r="B27208" s="3" t="s">
        <v>90</v>
      </c>
      <c r="C27208" s="5">
        <v>213</v>
      </c>
      <c r="D27208" s="6">
        <v>285.18</v>
      </c>
    </row>
    <row r="27209" spans="1:4" x14ac:dyDescent="0.25">
      <c r="A27209" t="str">
        <f>HYPERLINK("https://www.773grp.com/globalSearch/SNJ55563AFJ/page-1", "SNJ55563AFJ")</f>
        <v>SNJ55563AFJ</v>
      </c>
      <c r="B27209" s="3" t="s">
        <v>90</v>
      </c>
      <c r="C27209" s="5">
        <v>3</v>
      </c>
      <c r="D27209" s="6">
        <v>286.24</v>
      </c>
    </row>
    <row r="27210" spans="1:4" x14ac:dyDescent="0.25">
      <c r="A27210" t="str">
        <f>HYPERLINK("https://www.773grp.com/globalSearch/SNJ55564AFJ/page-1", "SNJ55564AFJ")</f>
        <v>SNJ55564AFJ</v>
      </c>
      <c r="B27210" s="3" t="s">
        <v>90</v>
      </c>
      <c r="C27210" s="5">
        <v>2</v>
      </c>
      <c r="D27210" s="6">
        <v>286.24</v>
      </c>
    </row>
    <row r="27211" spans="1:4" x14ac:dyDescent="0.25">
      <c r="A27211" t="str">
        <f>HYPERLINK("https://www.773grp.com/globalSearch/UC1525AJ-90033/page-1", "UC1525AJ-90033")</f>
        <v>UC1525AJ-90033</v>
      </c>
      <c r="B27211" s="3" t="s">
        <v>90</v>
      </c>
      <c r="C27211" s="5">
        <v>89</v>
      </c>
      <c r="D27211" s="6">
        <v>286.24</v>
      </c>
    </row>
    <row r="27212" spans="1:4" x14ac:dyDescent="0.25">
      <c r="A27212" t="str">
        <f>HYPERLINK("https://www.773grp.com/globalSearch/UC1525AJ-90133/page-1", "UC1525AJ-90133")</f>
        <v>UC1525AJ-90133</v>
      </c>
      <c r="B27212" s="3" t="s">
        <v>90</v>
      </c>
      <c r="C27212" s="5">
        <v>37</v>
      </c>
      <c r="D27212" s="6">
        <v>286.24</v>
      </c>
    </row>
    <row r="27213" spans="1:4" x14ac:dyDescent="0.25">
      <c r="A27213" t="str">
        <f>HYPERLINK("https://www.773grp.com/globalSearch/OPA501AM/page-1", "OPA501AM")</f>
        <v>OPA501AM</v>
      </c>
      <c r="B27213" s="3" t="s">
        <v>90</v>
      </c>
      <c r="C27213" s="5">
        <v>1332</v>
      </c>
      <c r="D27213" s="6">
        <v>288.48</v>
      </c>
    </row>
    <row r="27214" spans="1:4" x14ac:dyDescent="0.25">
      <c r="A27214" t="str">
        <f>HYPERLINK("https://www.773grp.com/globalSearch/RI-STU-TRDC-30/page-1", "RI-STU-TRDC-30")</f>
        <v>RI-STU-TRDC-30</v>
      </c>
      <c r="B27214" s="3" t="s">
        <v>90</v>
      </c>
      <c r="C27214" s="5">
        <v>1915</v>
      </c>
      <c r="D27214" s="6">
        <v>291.56</v>
      </c>
    </row>
    <row r="27215" spans="1:4" x14ac:dyDescent="0.25">
      <c r="A27215" t="str">
        <f>HYPERLINK("https://www.773grp.com/globalSearch/TMS320VC5441AGGU/page-1", "TMS320VC5441AGGU")</f>
        <v>TMS320VC5441AGGU</v>
      </c>
      <c r="B27215" s="3" t="s">
        <v>90</v>
      </c>
      <c r="C27215" s="5">
        <v>162</v>
      </c>
      <c r="D27215" s="6">
        <v>292.58</v>
      </c>
    </row>
    <row r="27216" spans="1:4" x14ac:dyDescent="0.25">
      <c r="A27216" t="str">
        <f>HYPERLINK("https://www.773grp.com/globalSearch/PT4482N/page-1", "PT4482N")</f>
        <v>PT4482N</v>
      </c>
      <c r="B27216" s="3" t="s">
        <v>90</v>
      </c>
      <c r="C27216" s="5">
        <v>4</v>
      </c>
      <c r="D27216" s="6">
        <v>296.05</v>
      </c>
    </row>
    <row r="27217" spans="1:4" x14ac:dyDescent="0.25">
      <c r="A27217" t="str">
        <f>HYPERLINK("https://www.773grp.com/globalSearch/RDK-S2E/page-1", "RDK-S2E")</f>
        <v>RDK-S2E</v>
      </c>
      <c r="B27217" s="3" t="s">
        <v>90</v>
      </c>
      <c r="C27217" s="5">
        <v>16</v>
      </c>
      <c r="D27217" s="6">
        <v>296.91000000000003</v>
      </c>
    </row>
    <row r="27218" spans="1:4" x14ac:dyDescent="0.25">
      <c r="A27218" t="str">
        <f>HYPERLINK("https://www.773grp.com/globalSearch/ADS4249IRGC25/page-1", "ADS4249IRGC25")</f>
        <v>ADS4249IRGC25</v>
      </c>
      <c r="B27218" s="3" t="s">
        <v>90</v>
      </c>
      <c r="C27218" s="5">
        <v>8</v>
      </c>
      <c r="D27218" s="6">
        <v>299.06</v>
      </c>
    </row>
    <row r="27219" spans="1:4" x14ac:dyDescent="0.25">
      <c r="A27219" t="str">
        <f>HYPERLINK("https://www.773grp.com/globalSearch/SMX320E25FZE/page-1", "SMX320E25FZE")</f>
        <v>SMX320E25FZE</v>
      </c>
      <c r="B27219" s="3" t="s">
        <v>90</v>
      </c>
      <c r="C27219" s="5">
        <v>313</v>
      </c>
      <c r="D27219" s="6">
        <v>299.06</v>
      </c>
    </row>
    <row r="27220" spans="1:4" x14ac:dyDescent="0.25">
      <c r="A27220" t="str">
        <f>HYPERLINK("https://www.773grp.com/globalSearch/TMDSCNCD28M36/page-1", "TMDSCNCD28M36")</f>
        <v>TMDSCNCD28M36</v>
      </c>
      <c r="B27220" s="3" t="s">
        <v>90</v>
      </c>
      <c r="C27220" s="5">
        <v>6</v>
      </c>
      <c r="D27220" s="6">
        <v>309.73</v>
      </c>
    </row>
    <row r="27221" spans="1:4" x14ac:dyDescent="0.25">
      <c r="A27221" t="str">
        <f>HYPERLINK("https://www.773grp.com/globalSearch/TMS320C25GBA/page-1", "TMS320C25GBA")</f>
        <v>TMS320C25GBA</v>
      </c>
      <c r="B27221" s="3" t="s">
        <v>90</v>
      </c>
      <c r="C27221" s="5">
        <v>11</v>
      </c>
      <c r="D27221" s="6">
        <v>311.95999999999998</v>
      </c>
    </row>
    <row r="27222" spans="1:4" x14ac:dyDescent="0.25">
      <c r="A27222" t="str">
        <f>HYPERLINK("https://www.773grp.com/globalSearch/ADS42JB49IRGC25/page-1", "ADS42JB49IRGC25")</f>
        <v>ADS42JB49IRGC25</v>
      </c>
      <c r="B27222" s="3" t="s">
        <v>90</v>
      </c>
      <c r="C27222" s="5">
        <v>25</v>
      </c>
      <c r="D27222" s="6">
        <v>312.93</v>
      </c>
    </row>
    <row r="27223" spans="1:4" x14ac:dyDescent="0.25">
      <c r="A27223" t="str">
        <f>HYPERLINK("https://www.773grp.com/globalSearch/5962-9950403VCA/page-1", "5962-9950403VCA")</f>
        <v>5962-9950403VCA</v>
      </c>
      <c r="B27223" s="3" t="s">
        <v>90</v>
      </c>
      <c r="C27223" s="5">
        <v>3</v>
      </c>
      <c r="D27223" s="6">
        <v>314.01</v>
      </c>
    </row>
    <row r="27224" spans="1:4" x14ac:dyDescent="0.25">
      <c r="A27224" t="str">
        <f>HYPERLINK("https://www.773grp.com/globalSearch/TMX320C6416CGLZ5/page-1", "TMX320C6416CGLZ5")</f>
        <v>TMX320C6416CGLZ5</v>
      </c>
      <c r="B27224" s="3" t="s">
        <v>90</v>
      </c>
      <c r="C27224" s="5">
        <v>71</v>
      </c>
      <c r="D27224" s="6">
        <v>314.14999999999998</v>
      </c>
    </row>
    <row r="27225" spans="1:4" x14ac:dyDescent="0.25">
      <c r="A27225" t="str">
        <f>HYPERLINK("https://www.773grp.com/globalSearch/TMS32C6416EGLZA6E3/page-1", "TMS32C6416EGLZA6E3")</f>
        <v>TMS32C6416EGLZA6E3</v>
      </c>
      <c r="B27225" s="3" t="s">
        <v>90</v>
      </c>
      <c r="C27225" s="5">
        <v>9</v>
      </c>
      <c r="D27225" s="6">
        <v>314.33</v>
      </c>
    </row>
    <row r="27226" spans="1:4" x14ac:dyDescent="0.25">
      <c r="A27226" t="str">
        <f>HYPERLINK("https://www.773grp.com/globalSearch/TMS32C6416EZLZA6E3/page-1", "TMS32C6416EZLZA6E3")</f>
        <v>TMS32C6416EZLZA6E3</v>
      </c>
      <c r="B27226" s="3" t="s">
        <v>90</v>
      </c>
      <c r="C27226" s="5">
        <v>60</v>
      </c>
      <c r="D27226" s="6">
        <v>314.33</v>
      </c>
    </row>
    <row r="27227" spans="1:4" x14ac:dyDescent="0.25">
      <c r="A27227" t="str">
        <f>HYPERLINK("https://www.773grp.com/globalSearch/ADC76JG-1/page-1", "ADC76JG-1")</f>
        <v>ADC76JG-1</v>
      </c>
      <c r="B27227" s="3" t="s">
        <v>90</v>
      </c>
      <c r="C27227" s="5">
        <v>517</v>
      </c>
      <c r="D27227" s="6">
        <v>316.61</v>
      </c>
    </row>
    <row r="27228" spans="1:4" x14ac:dyDescent="0.25">
      <c r="A27228" t="str">
        <f>HYPERLINK("https://www.773grp.com/globalSearch/TMS32C6415EGLZ6E3C/page-1", "TMS32C6415EGLZ6E3C")</f>
        <v>TMS32C6415EGLZ6E3C</v>
      </c>
      <c r="B27228" s="3" t="s">
        <v>90</v>
      </c>
      <c r="C27228" s="5">
        <v>55</v>
      </c>
      <c r="D27228" s="6">
        <v>317.5</v>
      </c>
    </row>
    <row r="27229" spans="1:4" x14ac:dyDescent="0.25">
      <c r="A27229" t="str">
        <f>HYPERLINK("https://www.773grp.com/globalSearch/ADS1015EVM-PDK/page-1", "ADS1015EVM-PDK")</f>
        <v>ADS1015EVM-PDK</v>
      </c>
      <c r="B27229" s="3" t="s">
        <v>90</v>
      </c>
      <c r="C27229" s="5">
        <v>2</v>
      </c>
      <c r="D27229" s="6">
        <v>318.27999999999997</v>
      </c>
    </row>
    <row r="27230" spans="1:4" x14ac:dyDescent="0.25">
      <c r="A27230" t="str">
        <f>HYPERLINK("https://www.773grp.com/globalSearch/ADS1606EVM/page-1", "ADS1606EVM")</f>
        <v>ADS1606EVM</v>
      </c>
      <c r="B27230" s="3" t="s">
        <v>90</v>
      </c>
      <c r="C27230" s="5">
        <v>2</v>
      </c>
      <c r="D27230" s="6">
        <v>318.27999999999997</v>
      </c>
    </row>
    <row r="27231" spans="1:4" x14ac:dyDescent="0.25">
      <c r="A27231" t="str">
        <f>HYPERLINK("https://www.773grp.com/globalSearch/ADS1625EVM/page-1", "ADS1625EVM")</f>
        <v>ADS1625EVM</v>
      </c>
      <c r="B27231" s="3" t="s">
        <v>90</v>
      </c>
      <c r="C27231" s="5">
        <v>1</v>
      </c>
      <c r="D27231" s="6">
        <v>318.27999999999997</v>
      </c>
    </row>
    <row r="27232" spans="1:4" x14ac:dyDescent="0.25">
      <c r="A27232" t="str">
        <f>HYPERLINK("https://www.773grp.com/globalSearch/ADS1626EVM/page-1", "ADS1626EVM")</f>
        <v>ADS1626EVM</v>
      </c>
      <c r="B27232" s="3" t="s">
        <v>90</v>
      </c>
      <c r="C27232" s="5">
        <v>1</v>
      </c>
      <c r="D27232" s="6">
        <v>318.27999999999997</v>
      </c>
    </row>
    <row r="27233" spans="1:4" x14ac:dyDescent="0.25">
      <c r="A27233" t="str">
        <f>HYPERLINK("https://www.773grp.com/globalSearch/ADS7961EVM-PDK/page-1", "ADS7961EVM-PDK")</f>
        <v>ADS7961EVM-PDK</v>
      </c>
      <c r="B27233" s="3" t="s">
        <v>90</v>
      </c>
      <c r="C27233" s="5">
        <v>3</v>
      </c>
      <c r="D27233" s="6">
        <v>318.27999999999997</v>
      </c>
    </row>
    <row r="27234" spans="1:4" x14ac:dyDescent="0.25">
      <c r="A27234" t="str">
        <f>HYPERLINK("https://www.773grp.com/globalSearch/ADS8317EVM-PDK/page-1", "ADS8317EVM-PDK")</f>
        <v>ADS8317EVM-PDK</v>
      </c>
      <c r="B27234" s="3" t="s">
        <v>90</v>
      </c>
      <c r="C27234" s="5">
        <v>1</v>
      </c>
      <c r="D27234" s="6">
        <v>318.27999999999997</v>
      </c>
    </row>
    <row r="27235" spans="1:4" x14ac:dyDescent="0.25">
      <c r="A27235" t="str">
        <f>HYPERLINK("https://www.773grp.com/globalSearch/ADS8412EVM/page-1", "ADS8412EVM")</f>
        <v>ADS8412EVM</v>
      </c>
      <c r="B27235" s="3" t="s">
        <v>90</v>
      </c>
      <c r="C27235" s="5">
        <v>1</v>
      </c>
      <c r="D27235" s="6">
        <v>318.27999999999997</v>
      </c>
    </row>
    <row r="27236" spans="1:4" x14ac:dyDescent="0.25">
      <c r="A27236" t="str">
        <f>HYPERLINK("https://www.773grp.com/globalSearch/ADS850-EVM/page-1", "ADS850-EVM")</f>
        <v>ADS850-EVM</v>
      </c>
      <c r="B27236" s="3" t="s">
        <v>90</v>
      </c>
      <c r="C27236" s="5">
        <v>1</v>
      </c>
      <c r="D27236" s="6">
        <v>318.27999999999997</v>
      </c>
    </row>
    <row r="27237" spans="1:4" x14ac:dyDescent="0.25">
      <c r="A27237" t="str">
        <f>HYPERLINK("https://www.773grp.com/globalSearch/BQ24721EVM/page-1", "BQ24721EVM")</f>
        <v>BQ24721EVM</v>
      </c>
      <c r="B27237" s="3" t="s">
        <v>90</v>
      </c>
      <c r="C27237" s="5">
        <v>1</v>
      </c>
      <c r="D27237" s="6">
        <v>318.27999999999997</v>
      </c>
    </row>
    <row r="27238" spans="1:4" x14ac:dyDescent="0.25">
      <c r="A27238" t="str">
        <f>HYPERLINK("https://www.773grp.com/globalSearch/BQ24730EVM/page-1", "BQ24730EVM")</f>
        <v>BQ24730EVM</v>
      </c>
      <c r="B27238" s="3" t="s">
        <v>90</v>
      </c>
      <c r="C27238" s="5">
        <v>1</v>
      </c>
      <c r="D27238" s="6">
        <v>318.27999999999997</v>
      </c>
    </row>
    <row r="27239" spans="1:4" x14ac:dyDescent="0.25">
      <c r="A27239" t="str">
        <f>HYPERLINK("https://www.773grp.com/globalSearch/BQ24751AEVM/page-1", "BQ24751AEVM")</f>
        <v>BQ24751AEVM</v>
      </c>
      <c r="B27239" s="3" t="s">
        <v>90</v>
      </c>
      <c r="C27239" s="5">
        <v>2</v>
      </c>
      <c r="D27239" s="6">
        <v>318.27999999999997</v>
      </c>
    </row>
    <row r="27240" spans="1:4" x14ac:dyDescent="0.25">
      <c r="A27240" t="str">
        <f>HYPERLINK("https://www.773grp.com/globalSearch/BQ24751EVM/page-1", "BQ24751EVM")</f>
        <v>BQ24751EVM</v>
      </c>
      <c r="B27240" s="3" t="s">
        <v>90</v>
      </c>
      <c r="C27240" s="5">
        <v>1</v>
      </c>
      <c r="D27240" s="6">
        <v>318.27999999999997</v>
      </c>
    </row>
    <row r="27241" spans="1:4" x14ac:dyDescent="0.25">
      <c r="A27241" t="str">
        <f>HYPERLINK("https://www.773grp.com/globalSearch/BUF08630EVM/page-1", "BUF08630EVM")</f>
        <v>BUF08630EVM</v>
      </c>
      <c r="B27241" s="3" t="s">
        <v>90</v>
      </c>
      <c r="C27241" s="5">
        <v>1</v>
      </c>
      <c r="D27241" s="6">
        <v>318.27999999999997</v>
      </c>
    </row>
    <row r="27242" spans="1:4" x14ac:dyDescent="0.25">
      <c r="A27242" t="str">
        <f>HYPERLINK("https://www.773grp.com/globalSearch/CC2430DB/page-1", "CC2430DB")</f>
        <v>CC2430DB</v>
      </c>
      <c r="B27242" s="3" t="s">
        <v>90</v>
      </c>
      <c r="C27242" s="5">
        <v>3</v>
      </c>
      <c r="D27242" s="6">
        <v>318.27999999999997</v>
      </c>
    </row>
    <row r="27243" spans="1:4" x14ac:dyDescent="0.25">
      <c r="A27243" t="str">
        <f>HYPERLINK("https://www.773grp.com/globalSearch/CC2510EMK/page-1", "CC2510EMK")</f>
        <v>CC2510EMK</v>
      </c>
      <c r="B27243" s="3" t="s">
        <v>90</v>
      </c>
      <c r="C27243" s="5">
        <v>5</v>
      </c>
      <c r="D27243" s="6">
        <v>318.27999999999997</v>
      </c>
    </row>
    <row r="27244" spans="1:4" x14ac:dyDescent="0.25">
      <c r="A27244" t="str">
        <f>HYPERLINK("https://www.773grp.com/globalSearch/CC2533DK-RF4CE-BA/page-1", "CC2533DK-RF4CE-BA")</f>
        <v>CC2533DK-RF4CE-BA</v>
      </c>
      <c r="B27244" s="3" t="s">
        <v>90</v>
      </c>
      <c r="C27244" s="5">
        <v>2</v>
      </c>
      <c r="D27244" s="6">
        <v>318.27999999999997</v>
      </c>
    </row>
    <row r="27245" spans="1:4" x14ac:dyDescent="0.25">
      <c r="A27245" t="str">
        <f>HYPERLINK("https://www.773grp.com/globalSearch/CC85XXDK-HEADSET/page-1", "CC85XXDK-HEADSET")</f>
        <v>CC85XXDK-HEADSET</v>
      </c>
      <c r="B27245" s="3" t="s">
        <v>90</v>
      </c>
      <c r="C27245" s="5">
        <v>2</v>
      </c>
      <c r="D27245" s="6">
        <v>318.27999999999997</v>
      </c>
    </row>
    <row r="27246" spans="1:4" x14ac:dyDescent="0.25">
      <c r="A27246" t="str">
        <f>HYPERLINK("https://www.773grp.com/globalSearch/CDC3S04EVM/page-1", "CDC3S04EVM")</f>
        <v>CDC3S04EVM</v>
      </c>
      <c r="B27246" s="3" t="s">
        <v>90</v>
      </c>
      <c r="C27246" s="5">
        <v>3</v>
      </c>
      <c r="D27246" s="6">
        <v>318.27999999999997</v>
      </c>
    </row>
    <row r="27247" spans="1:4" x14ac:dyDescent="0.25">
      <c r="A27247" t="str">
        <f>HYPERLINK("https://www.773grp.com/globalSearch/CDCE906-706PERFEVM/page-1", "CDCE906-706PERFEVM")</f>
        <v>CDCE906-706PERFEVM</v>
      </c>
      <c r="B27247" s="3" t="s">
        <v>90</v>
      </c>
      <c r="C27247" s="5">
        <v>1</v>
      </c>
      <c r="D27247" s="6">
        <v>318.27999999999997</v>
      </c>
    </row>
    <row r="27248" spans="1:4" x14ac:dyDescent="0.25">
      <c r="A27248" t="str">
        <f>HYPERLINK("https://www.773grp.com/globalSearch/CDCE906-706PROGEVM/page-1", "CDCE906-706PROGEVM")</f>
        <v>CDCE906-706PROGEVM</v>
      </c>
      <c r="B27248" s="3" t="s">
        <v>90</v>
      </c>
      <c r="C27248" s="5">
        <v>2</v>
      </c>
      <c r="D27248" s="6">
        <v>318.27999999999997</v>
      </c>
    </row>
    <row r="27249" spans="1:4" x14ac:dyDescent="0.25">
      <c r="A27249" t="str">
        <f>HYPERLINK("https://www.773grp.com/globalSearch/CDCE913PERF-EVM/page-1", "CDCE913PERF-EVM")</f>
        <v>CDCE913PERF-EVM</v>
      </c>
      <c r="B27249" s="3" t="s">
        <v>90</v>
      </c>
      <c r="C27249" s="5">
        <v>2</v>
      </c>
      <c r="D27249" s="6">
        <v>318.27999999999997</v>
      </c>
    </row>
    <row r="27250" spans="1:4" x14ac:dyDescent="0.25">
      <c r="A27250" t="str">
        <f>HYPERLINK("https://www.773grp.com/globalSearch/CDCE949PERF-EVM/page-1", "CDCE949PERF-EVM")</f>
        <v>CDCE949PERF-EVM</v>
      </c>
      <c r="B27250" s="3" t="s">
        <v>90</v>
      </c>
      <c r="C27250" s="5">
        <v>1</v>
      </c>
      <c r="D27250" s="6">
        <v>318.27999999999997</v>
      </c>
    </row>
    <row r="27251" spans="1:4" x14ac:dyDescent="0.25">
      <c r="A27251" t="str">
        <f>HYPERLINK("https://www.773grp.com/globalSearch/CDCEL913PERF-EVM/page-1", "CDCEL913PERF-EVM")</f>
        <v>CDCEL913PERF-EVM</v>
      </c>
      <c r="B27251" s="3" t="s">
        <v>90</v>
      </c>
      <c r="C27251" s="5">
        <v>1</v>
      </c>
      <c r="D27251" s="6">
        <v>318.27999999999997</v>
      </c>
    </row>
    <row r="27252" spans="1:4" x14ac:dyDescent="0.25">
      <c r="A27252" t="str">
        <f>HYPERLINK("https://www.773grp.com/globalSearch/CDCEL949PERF-EVM/page-1", "CDCEL949PERF-EVM")</f>
        <v>CDCEL949PERF-EVM</v>
      </c>
      <c r="B27252" s="3" t="s">
        <v>90</v>
      </c>
      <c r="C27252" s="5">
        <v>1</v>
      </c>
      <c r="D27252" s="6">
        <v>318.27999999999997</v>
      </c>
    </row>
    <row r="27253" spans="1:4" x14ac:dyDescent="0.25">
      <c r="A27253" t="str">
        <f>HYPERLINK("https://www.773grp.com/globalSearch/CDCLVC1112EVM/page-1", "CDCLVC1112EVM")</f>
        <v>CDCLVC1112EVM</v>
      </c>
      <c r="B27253" s="3" t="s">
        <v>90</v>
      </c>
      <c r="C27253" s="5">
        <v>1</v>
      </c>
      <c r="D27253" s="6">
        <v>318.27999999999997</v>
      </c>
    </row>
    <row r="27254" spans="1:4" x14ac:dyDescent="0.25">
      <c r="A27254" t="str">
        <f>HYPERLINK("https://www.773grp.com/globalSearch/CDCLVC1310-EVM/page-1", "CDCLVC1310-EVM")</f>
        <v>CDCLVC1310-EVM</v>
      </c>
      <c r="B27254" s="3" t="s">
        <v>90</v>
      </c>
      <c r="C27254" s="5">
        <v>2</v>
      </c>
      <c r="D27254" s="6">
        <v>318.27999999999997</v>
      </c>
    </row>
    <row r="27255" spans="1:4" x14ac:dyDescent="0.25">
      <c r="A27255" t="str">
        <f>HYPERLINK("https://www.773grp.com/globalSearch/CDCLVD1204EVM/page-1", "CDCLVD1204EVM")</f>
        <v>CDCLVD1204EVM</v>
      </c>
      <c r="B27255" s="3" t="s">
        <v>90</v>
      </c>
      <c r="C27255" s="5">
        <v>4</v>
      </c>
      <c r="D27255" s="6">
        <v>318.27999999999997</v>
      </c>
    </row>
    <row r="27256" spans="1:4" x14ac:dyDescent="0.25">
      <c r="A27256" t="str">
        <f>HYPERLINK("https://www.773grp.com/globalSearch/CDCLVD1213EVM/page-1", "CDCLVD1213EVM")</f>
        <v>CDCLVD1213EVM</v>
      </c>
      <c r="B27256" s="3" t="s">
        <v>90</v>
      </c>
      <c r="C27256" s="5">
        <v>7</v>
      </c>
      <c r="D27256" s="6">
        <v>318.27999999999997</v>
      </c>
    </row>
    <row r="27257" spans="1:4" x14ac:dyDescent="0.25">
      <c r="A27257" t="str">
        <f>HYPERLINK("https://www.773grp.com/globalSearch/CDCLVD2102EVM/page-1", "CDCLVD2102EVM")</f>
        <v>CDCLVD2102EVM</v>
      </c>
      <c r="B27257" s="3" t="s">
        <v>90</v>
      </c>
      <c r="C27257" s="5">
        <v>2</v>
      </c>
      <c r="D27257" s="6">
        <v>318.27999999999997</v>
      </c>
    </row>
    <row r="27258" spans="1:4" x14ac:dyDescent="0.25">
      <c r="A27258" t="str">
        <f>HYPERLINK("https://www.773grp.com/globalSearch/CDCLVP1102EVM/page-1", "CDCLVP1102EVM")</f>
        <v>CDCLVP1102EVM</v>
      </c>
      <c r="B27258" s="3" t="s">
        <v>90</v>
      </c>
      <c r="C27258" s="5">
        <v>1</v>
      </c>
      <c r="D27258" s="6">
        <v>318.27999999999997</v>
      </c>
    </row>
    <row r="27259" spans="1:4" x14ac:dyDescent="0.25">
      <c r="A27259" t="str">
        <f>HYPERLINK("https://www.773grp.com/globalSearch/CDCLVP1204EVM/page-1", "CDCLVP1204EVM")</f>
        <v>CDCLVP1204EVM</v>
      </c>
      <c r="B27259" s="3" t="s">
        <v>90</v>
      </c>
      <c r="C27259" s="5">
        <v>3</v>
      </c>
      <c r="D27259" s="6">
        <v>318.27999999999997</v>
      </c>
    </row>
    <row r="27260" spans="1:4" x14ac:dyDescent="0.25">
      <c r="A27260" t="str">
        <f>HYPERLINK("https://www.773grp.com/globalSearch/CDCLVP1208EVM/page-1", "CDCLVP1208EVM")</f>
        <v>CDCLVP1208EVM</v>
      </c>
      <c r="B27260" s="3" t="s">
        <v>90</v>
      </c>
      <c r="C27260" s="5">
        <v>9</v>
      </c>
      <c r="D27260" s="6">
        <v>318.27999999999997</v>
      </c>
    </row>
    <row r="27261" spans="1:4" x14ac:dyDescent="0.25">
      <c r="A27261" t="str">
        <f>HYPERLINK("https://www.773grp.com/globalSearch/CDCLVP1212EVM/page-1", "CDCLVP1212EVM")</f>
        <v>CDCLVP1212EVM</v>
      </c>
      <c r="B27261" s="3" t="s">
        <v>90</v>
      </c>
      <c r="C27261" s="5">
        <v>2</v>
      </c>
      <c r="D27261" s="6">
        <v>318.27999999999997</v>
      </c>
    </row>
    <row r="27262" spans="1:4" x14ac:dyDescent="0.25">
      <c r="A27262" t="str">
        <f>HYPERLINK("https://www.773grp.com/globalSearch/CDCLVP1216EVM/page-1", "CDCLVP1216EVM")</f>
        <v>CDCLVP1216EVM</v>
      </c>
      <c r="B27262" s="3" t="s">
        <v>90</v>
      </c>
      <c r="C27262" s="5">
        <v>2</v>
      </c>
      <c r="D27262" s="6">
        <v>318.27999999999997</v>
      </c>
    </row>
    <row r="27263" spans="1:4" x14ac:dyDescent="0.25">
      <c r="A27263" t="str">
        <f>HYPERLINK("https://www.773grp.com/globalSearch/CDCLVP2104EVM/page-1", "CDCLVP2104EVM")</f>
        <v>CDCLVP2104EVM</v>
      </c>
      <c r="B27263" s="3" t="s">
        <v>90</v>
      </c>
      <c r="C27263" s="5">
        <v>11</v>
      </c>
      <c r="D27263" s="6">
        <v>318.27999999999997</v>
      </c>
    </row>
    <row r="27264" spans="1:4" x14ac:dyDescent="0.25">
      <c r="A27264" t="str">
        <f>HYPERLINK("https://www.773grp.com/globalSearch/CDCLVP2106EVM/page-1", "CDCLVP2106EVM")</f>
        <v>CDCLVP2106EVM</v>
      </c>
      <c r="B27264" s="3" t="s">
        <v>90</v>
      </c>
      <c r="C27264" s="5">
        <v>3</v>
      </c>
      <c r="D27264" s="6">
        <v>318.27999999999997</v>
      </c>
    </row>
    <row r="27265" spans="1:4" x14ac:dyDescent="0.25">
      <c r="A27265" t="str">
        <f>HYPERLINK("https://www.773grp.com/globalSearch/DAC121S101EVAL-NOPB/page-1", "DAC121S101EVAL-NOPB")</f>
        <v>DAC121S101EVAL-NOPB</v>
      </c>
      <c r="B27265" s="3" t="s">
        <v>90</v>
      </c>
      <c r="C27265" s="5">
        <v>1</v>
      </c>
      <c r="D27265" s="6">
        <v>318.27999999999997</v>
      </c>
    </row>
    <row r="27266" spans="1:4" x14ac:dyDescent="0.25">
      <c r="A27266" t="str">
        <f>HYPERLINK("https://www.773grp.com/globalSearch/DAC2904-EVM/page-1", "DAC2904-EVM")</f>
        <v>DAC2904-EVM</v>
      </c>
      <c r="B27266" s="3" t="s">
        <v>90</v>
      </c>
      <c r="C27266" s="5">
        <v>1</v>
      </c>
      <c r="D27266" s="6">
        <v>318.27999999999997</v>
      </c>
    </row>
    <row r="27267" spans="1:4" x14ac:dyDescent="0.25">
      <c r="A27267" t="str">
        <f>HYPERLINK("https://www.773grp.com/globalSearch/DAC5652EVM/page-1", "DAC5652EVM")</f>
        <v>DAC5652EVM</v>
      </c>
      <c r="B27267" s="3" t="s">
        <v>90</v>
      </c>
      <c r="C27267" s="5">
        <v>5</v>
      </c>
      <c r="D27267" s="6">
        <v>318.27999999999997</v>
      </c>
    </row>
    <row r="27268" spans="1:4" x14ac:dyDescent="0.25">
      <c r="A27268" t="str">
        <f>HYPERLINK("https://www.773grp.com/globalSearch/DAC8411EVM-PDK/page-1", "DAC8411EVM-PDK")</f>
        <v>DAC8411EVM-PDK</v>
      </c>
      <c r="B27268" s="3" t="s">
        <v>90</v>
      </c>
      <c r="C27268" s="5">
        <v>6</v>
      </c>
      <c r="D27268" s="6">
        <v>318.27999999999997</v>
      </c>
    </row>
    <row r="27269" spans="1:4" x14ac:dyDescent="0.25">
      <c r="A27269" t="str">
        <f>HYPERLINK("https://www.773grp.com/globalSearch/DAC8560EVM-PDK/page-1", "DAC8560EVM-PDK")</f>
        <v>DAC8560EVM-PDK</v>
      </c>
      <c r="B27269" s="3" t="s">
        <v>90</v>
      </c>
      <c r="C27269" s="5">
        <v>2</v>
      </c>
      <c r="D27269" s="6">
        <v>318.27999999999997</v>
      </c>
    </row>
    <row r="27270" spans="1:4" x14ac:dyDescent="0.25">
      <c r="A27270" t="str">
        <f>HYPERLINK("https://www.773grp.com/globalSearch/DAC8581EVM-PDK/page-1", "DAC8581EVM-PDK")</f>
        <v>DAC8581EVM-PDK</v>
      </c>
      <c r="B27270" s="3" t="s">
        <v>90</v>
      </c>
      <c r="C27270" s="5">
        <v>2</v>
      </c>
      <c r="D27270" s="6">
        <v>318.27999999999997</v>
      </c>
    </row>
    <row r="27271" spans="1:4" x14ac:dyDescent="0.25">
      <c r="A27271" t="str">
        <f>HYPERLINK("https://www.773grp.com/globalSearch/DAC8811EVM-PDK/page-1", "DAC8811EVM-PDK")</f>
        <v>DAC8811EVM-PDK</v>
      </c>
      <c r="B27271" s="3" t="s">
        <v>90</v>
      </c>
      <c r="C27271" s="5">
        <v>2</v>
      </c>
      <c r="D27271" s="6">
        <v>318.27999999999997</v>
      </c>
    </row>
    <row r="27272" spans="1:4" x14ac:dyDescent="0.25">
      <c r="A27272" t="str">
        <f>HYPERLINK("https://www.773grp.com/globalSearch/DAC8832EVM-PDK/page-1", "DAC8832EVM-PDK")</f>
        <v>DAC8832EVM-PDK</v>
      </c>
      <c r="B27272" s="3" t="s">
        <v>90</v>
      </c>
      <c r="C27272" s="5">
        <v>2</v>
      </c>
      <c r="D27272" s="6">
        <v>318.27999999999997</v>
      </c>
    </row>
    <row r="27273" spans="1:4" x14ac:dyDescent="0.25">
      <c r="A27273" t="str">
        <f>HYPERLINK("https://www.773grp.com/globalSearch/DAC8881EVM-PDK/page-1", "DAC8881EVM-PDK")</f>
        <v>DAC8881EVM-PDK</v>
      </c>
      <c r="B27273" s="3" t="s">
        <v>90</v>
      </c>
      <c r="C27273" s="5">
        <v>3</v>
      </c>
      <c r="D27273" s="6">
        <v>318.27999999999997</v>
      </c>
    </row>
    <row r="27274" spans="1:4" x14ac:dyDescent="0.25">
      <c r="A27274" t="str">
        <f>HYPERLINK("https://www.773grp.com/globalSearch/DEM-ADS9XXE/page-1", "DEM-ADS9XXE")</f>
        <v>DEM-ADS9XXE</v>
      </c>
      <c r="B27274" s="3" t="s">
        <v>90</v>
      </c>
      <c r="C27274" s="5">
        <v>1</v>
      </c>
      <c r="D27274" s="6">
        <v>318.27999999999997</v>
      </c>
    </row>
    <row r="27275" spans="1:4" x14ac:dyDescent="0.25">
      <c r="A27275" t="str">
        <f>HYPERLINK("https://www.773grp.com/globalSearch/DIX4192EVM-PDK/page-1", "DIX4192EVM-PDK")</f>
        <v>DIX4192EVM-PDK</v>
      </c>
      <c r="B27275" s="3" t="s">
        <v>90</v>
      </c>
      <c r="C27275" s="5">
        <v>4</v>
      </c>
      <c r="D27275" s="6">
        <v>318.27999999999997</v>
      </c>
    </row>
    <row r="27276" spans="1:4" x14ac:dyDescent="0.25">
      <c r="A27276" t="str">
        <f>HYPERLINK("https://www.773grp.com/globalSearch/DK-TM4C123G/page-1", "DK-TM4C123G")</f>
        <v>DK-TM4C123G</v>
      </c>
      <c r="B27276" s="3" t="s">
        <v>90</v>
      </c>
      <c r="C27276" s="5">
        <v>1</v>
      </c>
      <c r="D27276" s="6">
        <v>318.27999999999997</v>
      </c>
    </row>
    <row r="27277" spans="1:4" x14ac:dyDescent="0.25">
      <c r="A27277" t="str">
        <f>HYPERLINK("https://www.773grp.com/globalSearch/DRV8412DDWEVM/page-1", "DRV8412DDWEVM")</f>
        <v>DRV8412DDWEVM</v>
      </c>
      <c r="B27277" s="3" t="s">
        <v>90</v>
      </c>
      <c r="C27277" s="5">
        <v>9</v>
      </c>
      <c r="D27277" s="6">
        <v>318.27999999999997</v>
      </c>
    </row>
    <row r="27278" spans="1:4" x14ac:dyDescent="0.25">
      <c r="A27278" t="str">
        <f>HYPERLINK("https://www.773grp.com/globalSearch/DRV8812EVM/page-1", "DRV8812EVM")</f>
        <v>DRV8812EVM</v>
      </c>
      <c r="B27278" s="3" t="s">
        <v>90</v>
      </c>
      <c r="C27278" s="5">
        <v>25</v>
      </c>
      <c r="D27278" s="6">
        <v>318.27999999999997</v>
      </c>
    </row>
    <row r="27279" spans="1:4" x14ac:dyDescent="0.25">
      <c r="A27279" t="str">
        <f>HYPERLINK("https://www.773grp.com/globalSearch/DRV8813EVM/page-1", "DRV8813EVM")</f>
        <v>DRV8813EVM</v>
      </c>
      <c r="B27279" s="3" t="s">
        <v>90</v>
      </c>
      <c r="C27279" s="5">
        <v>1</v>
      </c>
      <c r="D27279" s="6">
        <v>318.27999999999997</v>
      </c>
    </row>
    <row r="27280" spans="1:4" x14ac:dyDescent="0.25">
      <c r="A27280" t="str">
        <f>HYPERLINK("https://www.773grp.com/globalSearch/DRV8814EVM/page-1", "DRV8814EVM")</f>
        <v>DRV8814EVM</v>
      </c>
      <c r="B27280" s="3" t="s">
        <v>90</v>
      </c>
      <c r="C27280" s="5">
        <v>6</v>
      </c>
      <c r="D27280" s="6">
        <v>318.27999999999997</v>
      </c>
    </row>
    <row r="27281" spans="1:4" x14ac:dyDescent="0.25">
      <c r="A27281" t="str">
        <f>HYPERLINK("https://www.773grp.com/globalSearch/DRV8821EVM/page-1", "DRV8821EVM")</f>
        <v>DRV8821EVM</v>
      </c>
      <c r="B27281" s="3" t="s">
        <v>90</v>
      </c>
      <c r="C27281" s="5">
        <v>5</v>
      </c>
      <c r="D27281" s="6">
        <v>318.27999999999997</v>
      </c>
    </row>
    <row r="27282" spans="1:4" x14ac:dyDescent="0.25">
      <c r="A27282" t="str">
        <f>HYPERLINK("https://www.773grp.com/globalSearch/DRV8843EVM/page-1", "DRV8843EVM")</f>
        <v>DRV8843EVM</v>
      </c>
      <c r="B27282" s="3" t="s">
        <v>90</v>
      </c>
      <c r="C27282" s="5">
        <v>4</v>
      </c>
      <c r="D27282" s="6">
        <v>318.27999999999997</v>
      </c>
    </row>
    <row r="27283" spans="1:4" x14ac:dyDescent="0.25">
      <c r="A27283" t="str">
        <f>HYPERLINK("https://www.773grp.com/globalSearch/DS91C176EVK-NOPB/page-1", "DS91C176EVK-NOPB")</f>
        <v>DS91C176EVK-NOPB</v>
      </c>
      <c r="B27283" s="3" t="s">
        <v>90</v>
      </c>
      <c r="C27283" s="5">
        <v>5</v>
      </c>
      <c r="D27283" s="6">
        <v>318.27999999999997</v>
      </c>
    </row>
    <row r="27284" spans="1:4" x14ac:dyDescent="0.25">
      <c r="A27284" t="str">
        <f>HYPERLINK("https://www.773grp.com/globalSearch/EKB-UCOS3-EVM/page-1", "EKB-UCOS3-EVM")</f>
        <v>EKB-UCOS3-EVM</v>
      </c>
      <c r="B27284" s="3" t="s">
        <v>90</v>
      </c>
      <c r="C27284" s="5">
        <v>146</v>
      </c>
      <c r="D27284" s="6">
        <v>318.27999999999997</v>
      </c>
    </row>
    <row r="27285" spans="1:4" x14ac:dyDescent="0.25">
      <c r="A27285" t="str">
        <f>HYPERLINK("https://www.773grp.com/globalSearch/EKC-EVALBOT/page-1", "EKC-EVALBOT")</f>
        <v>EKC-EVALBOT</v>
      </c>
      <c r="B27285" s="3" t="s">
        <v>90</v>
      </c>
      <c r="C27285" s="5">
        <v>51</v>
      </c>
      <c r="D27285" s="6">
        <v>318.27999999999997</v>
      </c>
    </row>
    <row r="27286" spans="1:4" x14ac:dyDescent="0.25">
      <c r="A27286" t="str">
        <f>HYPERLINK("https://www.773grp.com/globalSearch/EKI-EVALBOT/page-1", "EKI-EVALBOT")</f>
        <v>EKI-EVALBOT</v>
      </c>
      <c r="B27286" s="3" t="s">
        <v>90</v>
      </c>
      <c r="C27286" s="5">
        <v>29</v>
      </c>
      <c r="D27286" s="6">
        <v>318.27999999999997</v>
      </c>
    </row>
    <row r="27287" spans="1:4" x14ac:dyDescent="0.25">
      <c r="A27287" t="str">
        <f>HYPERLINK("https://www.773grp.com/globalSearch/EKK-EVALBOT/page-1", "EKK-EVALBOT")</f>
        <v>EKK-EVALBOT</v>
      </c>
      <c r="B27287" s="3" t="s">
        <v>90</v>
      </c>
      <c r="C27287" s="5">
        <v>29</v>
      </c>
      <c r="D27287" s="6">
        <v>318.27999999999997</v>
      </c>
    </row>
    <row r="27288" spans="1:4" x14ac:dyDescent="0.25">
      <c r="A27288" t="str">
        <f>HYPERLINK("https://www.773grp.com/globalSearch/EKK-LM4F232/page-1", "EKK-LM4F232")</f>
        <v>EKK-LM4F232</v>
      </c>
      <c r="B27288" s="3" t="s">
        <v>90</v>
      </c>
      <c r="C27288" s="5">
        <v>18</v>
      </c>
      <c r="D27288" s="6">
        <v>318.27999999999997</v>
      </c>
    </row>
    <row r="27289" spans="1:4" x14ac:dyDescent="0.25">
      <c r="A27289" t="str">
        <f>HYPERLINK("https://www.773grp.com/globalSearch/EKS-EVALBOT/page-1", "EKS-EVALBOT")</f>
        <v>EKS-EVALBOT</v>
      </c>
      <c r="B27289" s="3" t="s">
        <v>90</v>
      </c>
      <c r="C27289" s="5">
        <v>16</v>
      </c>
      <c r="D27289" s="6">
        <v>318.27999999999997</v>
      </c>
    </row>
    <row r="27290" spans="1:4" x14ac:dyDescent="0.25">
      <c r="A27290" t="str">
        <f>HYPERLINK("https://www.773grp.com/globalSearch/EKT-EVALBOT/page-1", "EKT-EVALBOT")</f>
        <v>EKT-EVALBOT</v>
      </c>
      <c r="B27290" s="3" t="s">
        <v>90</v>
      </c>
      <c r="C27290" s="5">
        <v>15</v>
      </c>
      <c r="D27290" s="6">
        <v>318.27999999999997</v>
      </c>
    </row>
    <row r="27291" spans="1:4" x14ac:dyDescent="0.25">
      <c r="A27291" t="str">
        <f>HYPERLINK("https://www.773grp.com/globalSearch/EM430F6137RF900/page-1", "EM430F6137RF900")</f>
        <v>EM430F6137RF900</v>
      </c>
      <c r="B27291" s="3" t="s">
        <v>90</v>
      </c>
      <c r="C27291" s="5">
        <v>8</v>
      </c>
      <c r="D27291" s="6">
        <v>318.27999999999997</v>
      </c>
    </row>
    <row r="27292" spans="1:4" x14ac:dyDescent="0.25">
      <c r="A27292" t="str">
        <f>HYPERLINK("https://www.773grp.com/globalSearch/EZ430-RF2500-SEH/page-1", "EZ430-RF2500-SEH")</f>
        <v>EZ430-RF2500-SEH</v>
      </c>
      <c r="B27292" s="3" t="s">
        <v>90</v>
      </c>
      <c r="C27292" s="5">
        <v>13</v>
      </c>
      <c r="D27292" s="6">
        <v>318.27999999999997</v>
      </c>
    </row>
    <row r="27293" spans="1:4" x14ac:dyDescent="0.25">
      <c r="A27293" t="str">
        <f>HYPERLINK("https://www.773grp.com/globalSearch/INA220EVM/page-1", "INA220EVM")</f>
        <v>INA220EVM</v>
      </c>
      <c r="B27293" s="3" t="s">
        <v>90</v>
      </c>
      <c r="C27293" s="5">
        <v>1</v>
      </c>
      <c r="D27293" s="6">
        <v>318.27999999999997</v>
      </c>
    </row>
    <row r="27294" spans="1:4" x14ac:dyDescent="0.25">
      <c r="A27294" t="str">
        <f>HYPERLINK("https://www.773grp.com/globalSearch/LM3424BKBSTEVAL-NOPB/page-1", "LM3424BKBSTEVAL-NOPB")</f>
        <v>LM3424BKBSTEVAL-NOPB</v>
      </c>
      <c r="B27294" s="3" t="s">
        <v>90</v>
      </c>
      <c r="C27294" s="5">
        <v>5</v>
      </c>
      <c r="D27294" s="6">
        <v>318.27999999999997</v>
      </c>
    </row>
    <row r="27295" spans="1:4" x14ac:dyDescent="0.25">
      <c r="A27295" t="str">
        <f>HYPERLINK("https://www.773grp.com/globalSearch/LM3463EVM/page-1", "LM3463EVM")</f>
        <v>LM3463EVM</v>
      </c>
      <c r="B27295" s="3" t="s">
        <v>90</v>
      </c>
      <c r="C27295" s="5">
        <v>10</v>
      </c>
      <c r="D27295" s="6">
        <v>318.27999999999997</v>
      </c>
    </row>
    <row r="27296" spans="1:4" x14ac:dyDescent="0.25">
      <c r="A27296" t="str">
        <f>HYPERLINK("https://www.773grp.com/globalSearch/LM5071EVAL-NOPB/page-1", "LM5071EVAL-NOPB")</f>
        <v>LM5071EVAL-NOPB</v>
      </c>
      <c r="B27296" s="3" t="s">
        <v>90</v>
      </c>
      <c r="C27296" s="5">
        <v>2</v>
      </c>
      <c r="D27296" s="6">
        <v>318.27999999999997</v>
      </c>
    </row>
    <row r="27297" spans="1:4" x14ac:dyDescent="0.25">
      <c r="A27297" t="str">
        <f>HYPERLINK("https://www.773grp.com/globalSearch/LME49720MABD/page-1", "LME49720MABD")</f>
        <v>LME49720MABD</v>
      </c>
      <c r="B27297" s="3" t="s">
        <v>90</v>
      </c>
      <c r="C27297" s="5">
        <v>2</v>
      </c>
      <c r="D27297" s="6">
        <v>318.27999999999997</v>
      </c>
    </row>
    <row r="27298" spans="1:4" x14ac:dyDescent="0.25">
      <c r="A27298" t="str">
        <f>HYPERLINK("https://www.773grp.com/globalSearch/MDL-BLDC/page-1", "MDL-BLDC")</f>
        <v>MDL-BLDC</v>
      </c>
      <c r="B27298" s="3" t="s">
        <v>90</v>
      </c>
      <c r="C27298" s="5">
        <v>4</v>
      </c>
      <c r="D27298" s="6">
        <v>318.27999999999997</v>
      </c>
    </row>
    <row r="27299" spans="1:4" x14ac:dyDescent="0.25">
      <c r="A27299" t="str">
        <f>HYPERLINK("https://www.773grp.com/globalSearch/REMOTI-CC2530DK/page-1", "REMOTI-CC2530DK")</f>
        <v>REMOTI-CC2530DK</v>
      </c>
      <c r="B27299" s="3" t="s">
        <v>90</v>
      </c>
      <c r="C27299" s="5">
        <v>2</v>
      </c>
      <c r="D27299" s="6">
        <v>318.27999999999997</v>
      </c>
    </row>
    <row r="27300" spans="1:4" x14ac:dyDescent="0.25">
      <c r="A27300" t="str">
        <f>HYPERLINK("https://www.773grp.com/globalSearch/SD034EVK/page-1", "SD034EVK")</f>
        <v>SD034EVK</v>
      </c>
      <c r="B27300" s="3" t="s">
        <v>90</v>
      </c>
      <c r="C27300" s="5">
        <v>2</v>
      </c>
      <c r="D27300" s="6">
        <v>318.27999999999997</v>
      </c>
    </row>
    <row r="27301" spans="1:4" x14ac:dyDescent="0.25">
      <c r="A27301" t="str">
        <f>HYPERLINK("https://www.773grp.com/globalSearch/SPIO-4-NOPB/page-1", "SPIO-4-NOPB")</f>
        <v>SPIO-4-NOPB</v>
      </c>
      <c r="B27301" s="3" t="s">
        <v>90</v>
      </c>
      <c r="C27301" s="5">
        <v>1</v>
      </c>
      <c r="D27301" s="6">
        <v>318.27999999999997</v>
      </c>
    </row>
    <row r="27302" spans="1:4" x14ac:dyDescent="0.25">
      <c r="A27302" t="str">
        <f>HYPERLINK("https://www.773grp.com/globalSearch/THS7303EVM/page-1", "THS7303EVM")</f>
        <v>THS7303EVM</v>
      </c>
      <c r="B27302" s="3" t="s">
        <v>90</v>
      </c>
      <c r="C27302" s="5">
        <v>1</v>
      </c>
      <c r="D27302" s="6">
        <v>318.27999999999997</v>
      </c>
    </row>
    <row r="27303" spans="1:4" x14ac:dyDescent="0.25">
      <c r="A27303" t="str">
        <f>HYPERLINK("https://www.773grp.com/globalSearch/THS7360EVM/page-1", "THS7360EVM")</f>
        <v>THS7360EVM</v>
      </c>
      <c r="B27303" s="3" t="s">
        <v>90</v>
      </c>
      <c r="C27303" s="5">
        <v>8</v>
      </c>
      <c r="D27303" s="6">
        <v>318.27999999999997</v>
      </c>
    </row>
    <row r="27304" spans="1:4" x14ac:dyDescent="0.25">
      <c r="A27304" t="str">
        <f>HYPERLINK("https://www.773grp.com/globalSearch/THS7364EVM/page-1", "THS7364EVM")</f>
        <v>THS7364EVM</v>
      </c>
      <c r="B27304" s="3" t="s">
        <v>90</v>
      </c>
      <c r="C27304" s="5">
        <v>2</v>
      </c>
      <c r="D27304" s="6">
        <v>318.27999999999997</v>
      </c>
    </row>
    <row r="27305" spans="1:4" x14ac:dyDescent="0.25">
      <c r="A27305" t="str">
        <f>HYPERLINK("https://www.773grp.com/globalSearch/THS7368EVM/page-1", "THS7368EVM")</f>
        <v>THS7368EVM</v>
      </c>
      <c r="B27305" s="3" t="s">
        <v>90</v>
      </c>
      <c r="C27305" s="5">
        <v>1</v>
      </c>
      <c r="D27305" s="6">
        <v>318.27999999999997</v>
      </c>
    </row>
    <row r="27306" spans="1:4" x14ac:dyDescent="0.25">
      <c r="A27306" t="str">
        <f>HYPERLINK("https://www.773grp.com/globalSearch/TLV320AIC3007EVM-K/page-1", "TLV320AIC3007EVM-K")</f>
        <v>TLV320AIC3007EVM-K</v>
      </c>
      <c r="B27306" s="3" t="s">
        <v>90</v>
      </c>
      <c r="C27306" s="5">
        <v>5</v>
      </c>
      <c r="D27306" s="6">
        <v>318.27999999999997</v>
      </c>
    </row>
    <row r="27307" spans="1:4" x14ac:dyDescent="0.25">
      <c r="A27307" t="str">
        <f>HYPERLINK("https://www.773grp.com/globalSearch/TLV320AIC3253EVM-K/page-1", "TLV320AIC3253EVM-K")</f>
        <v>TLV320AIC3253EVM-K</v>
      </c>
      <c r="B27307" s="3" t="s">
        <v>90</v>
      </c>
      <c r="C27307" s="5">
        <v>1</v>
      </c>
      <c r="D27307" s="6">
        <v>318.27999999999997</v>
      </c>
    </row>
    <row r="27308" spans="1:4" x14ac:dyDescent="0.25">
      <c r="A27308" t="str">
        <f>HYPERLINK("https://www.773grp.com/globalSearch/TLV320AIC32EVM-PDK/page-1", "TLV320AIC32EVM-PDK")</f>
        <v>TLV320AIC32EVM-PDK</v>
      </c>
      <c r="B27308" s="3" t="s">
        <v>90</v>
      </c>
      <c r="C27308" s="5">
        <v>1</v>
      </c>
      <c r="D27308" s="6">
        <v>318.27999999999997</v>
      </c>
    </row>
    <row r="27309" spans="1:4" x14ac:dyDescent="0.25">
      <c r="A27309" t="str">
        <f>HYPERLINK("https://www.773grp.com/globalSearch/TLV320AIC33EVM-PDK/page-1", "TLV320AIC33EVM-PDK")</f>
        <v>TLV320AIC33EVM-PDK</v>
      </c>
      <c r="B27309" s="3" t="s">
        <v>90</v>
      </c>
      <c r="C27309" s="5">
        <v>1</v>
      </c>
      <c r="D27309" s="6">
        <v>318.27999999999997</v>
      </c>
    </row>
    <row r="27310" spans="1:4" x14ac:dyDescent="0.25">
      <c r="A27310" t="str">
        <f>HYPERLINK("https://www.773grp.com/globalSearch/TMP513EVM/page-1", "TMP513EVM")</f>
        <v>TMP513EVM</v>
      </c>
      <c r="B27310" s="3" t="s">
        <v>90</v>
      </c>
      <c r="C27310" s="5">
        <v>2</v>
      </c>
      <c r="D27310" s="6">
        <v>318.27999999999997</v>
      </c>
    </row>
    <row r="27311" spans="1:4" x14ac:dyDescent="0.25">
      <c r="A27311" t="str">
        <f>HYPERLINK("https://www.773grp.com/globalSearch/TPA3100D2EVM/page-1", "TPA3100D2EVM")</f>
        <v>TPA3100D2EVM</v>
      </c>
      <c r="B27311" s="3" t="s">
        <v>90</v>
      </c>
      <c r="C27311" s="5">
        <v>1</v>
      </c>
      <c r="D27311" s="6">
        <v>318.27999999999997</v>
      </c>
    </row>
    <row r="27312" spans="1:4" x14ac:dyDescent="0.25">
      <c r="A27312" t="str">
        <f>HYPERLINK("https://www.773grp.com/globalSearch/TPA3101D2EVM/page-1", "TPA3101D2EVM")</f>
        <v>TPA3101D2EVM</v>
      </c>
      <c r="B27312" s="3" t="s">
        <v>90</v>
      </c>
      <c r="C27312" s="5">
        <v>2</v>
      </c>
      <c r="D27312" s="6">
        <v>318.27999999999997</v>
      </c>
    </row>
    <row r="27313" spans="1:4" x14ac:dyDescent="0.25">
      <c r="A27313" t="str">
        <f>HYPERLINK("https://www.773grp.com/globalSearch/TPA3130D2EVM/page-1", "TPA3130D2EVM")</f>
        <v>TPA3130D2EVM</v>
      </c>
      <c r="B27313" s="3" t="s">
        <v>90</v>
      </c>
      <c r="C27313" s="5">
        <v>2</v>
      </c>
      <c r="D27313" s="6">
        <v>318.27999999999997</v>
      </c>
    </row>
    <row r="27314" spans="1:4" x14ac:dyDescent="0.25">
      <c r="A27314" t="str">
        <f>HYPERLINK("https://www.773grp.com/globalSearch/TPS2384EVM/page-1", "TPS2384EVM")</f>
        <v>TPS2384EVM</v>
      </c>
      <c r="B27314" s="3" t="s">
        <v>90</v>
      </c>
      <c r="C27314" s="5">
        <v>2</v>
      </c>
      <c r="D27314" s="6">
        <v>318.27999999999997</v>
      </c>
    </row>
    <row r="27315" spans="1:4" x14ac:dyDescent="0.25">
      <c r="A27315" t="str">
        <f>HYPERLINK("https://www.773grp.com/globalSearch/TPS2458EVM/page-1", "TPS2458EVM")</f>
        <v>TPS2458EVM</v>
      </c>
      <c r="B27315" s="3" t="s">
        <v>90</v>
      </c>
      <c r="C27315" s="5">
        <v>2</v>
      </c>
      <c r="D27315" s="6">
        <v>318.27999999999997</v>
      </c>
    </row>
    <row r="27316" spans="1:4" x14ac:dyDescent="0.25">
      <c r="A27316" t="str">
        <f>HYPERLINK("https://www.773grp.com/globalSearch/TPS2459EVM/page-1", "TPS2459EVM")</f>
        <v>TPS2459EVM</v>
      </c>
      <c r="B27316" s="3" t="s">
        <v>90</v>
      </c>
      <c r="C27316" s="5">
        <v>3</v>
      </c>
      <c r="D27316" s="6">
        <v>318.27999999999997</v>
      </c>
    </row>
    <row r="27317" spans="1:4" x14ac:dyDescent="0.25">
      <c r="A27317" t="str">
        <f>HYPERLINK("https://www.773grp.com/globalSearch/TPS65810EVM/page-1", "TPS65810EVM")</f>
        <v>TPS65810EVM</v>
      </c>
      <c r="B27317" s="3" t="s">
        <v>90</v>
      </c>
      <c r="C27317" s="5">
        <v>1</v>
      </c>
      <c r="D27317" s="6">
        <v>318.27999999999997</v>
      </c>
    </row>
    <row r="27318" spans="1:4" x14ac:dyDescent="0.25">
      <c r="A27318" t="str">
        <f>HYPERLINK("https://www.773grp.com/globalSearch/TSC2003EVM-PDK/page-1", "TSC2003EVM-PDK")</f>
        <v>TSC2003EVM-PDK</v>
      </c>
      <c r="B27318" s="3" t="s">
        <v>90</v>
      </c>
      <c r="C27318" s="5">
        <v>2</v>
      </c>
      <c r="D27318" s="6">
        <v>318.27999999999997</v>
      </c>
    </row>
    <row r="27319" spans="1:4" x14ac:dyDescent="0.25">
      <c r="A27319" t="str">
        <f>HYPERLINK("https://www.773grp.com/globalSearch/TSC2014EVM-PDK/page-1", "TSC2014EVM-PDK")</f>
        <v>TSC2014EVM-PDK</v>
      </c>
      <c r="B27319" s="3" t="s">
        <v>90</v>
      </c>
      <c r="C27319" s="5">
        <v>1</v>
      </c>
      <c r="D27319" s="6">
        <v>318.27999999999997</v>
      </c>
    </row>
    <row r="27320" spans="1:4" x14ac:dyDescent="0.25">
      <c r="A27320" t="str">
        <f>HYPERLINK("https://www.773grp.com/globalSearch/TSC2046EVM-PDK/page-1", "TSC2046EVM-PDK")</f>
        <v>TSC2046EVM-PDK</v>
      </c>
      <c r="B27320" s="3" t="s">
        <v>90</v>
      </c>
      <c r="C27320" s="5">
        <v>2</v>
      </c>
      <c r="D27320" s="6">
        <v>318.27999999999997</v>
      </c>
    </row>
    <row r="27321" spans="1:4" x14ac:dyDescent="0.25">
      <c r="A27321" t="str">
        <f>HYPERLINK("https://www.773grp.com/globalSearch/UCD9081EVM/page-1", "UCD9081EVM")</f>
        <v>UCD9081EVM</v>
      </c>
      <c r="B27321" s="3" t="s">
        <v>90</v>
      </c>
      <c r="C27321" s="5">
        <v>1</v>
      </c>
      <c r="D27321" s="6">
        <v>318.27999999999997</v>
      </c>
    </row>
    <row r="27322" spans="1:4" x14ac:dyDescent="0.25">
      <c r="A27322" t="str">
        <f>HYPERLINK("https://www.773grp.com/globalSearch/VCA2615EVM/page-1", "VCA2615EVM")</f>
        <v>VCA2615EVM</v>
      </c>
      <c r="B27322" s="3" t="s">
        <v>90</v>
      </c>
      <c r="C27322" s="5">
        <v>3</v>
      </c>
      <c r="D27322" s="6">
        <v>318.27999999999997</v>
      </c>
    </row>
    <row r="27323" spans="1:4" x14ac:dyDescent="0.25">
      <c r="A27323" t="str">
        <f>HYPERLINK("https://www.773grp.com/globalSearch/VCA8500BOARD/page-1", "VCA8500BOARD")</f>
        <v>VCA8500BOARD</v>
      </c>
      <c r="B27323" s="3" t="s">
        <v>90</v>
      </c>
      <c r="C27323" s="5">
        <v>1</v>
      </c>
      <c r="D27323" s="6">
        <v>318.27999999999997</v>
      </c>
    </row>
    <row r="27324" spans="1:4" x14ac:dyDescent="0.25">
      <c r="A27324" t="str">
        <f>HYPERLINK("https://www.773grp.com/globalSearch/JM38510-30502SCA/page-1", "JM38510-30502SCA")</f>
        <v>JM38510-30502SCA</v>
      </c>
      <c r="B27324" s="3" t="s">
        <v>90</v>
      </c>
      <c r="C27324" s="5">
        <v>35</v>
      </c>
      <c r="D27324" s="6">
        <v>319.33999999999997</v>
      </c>
    </row>
    <row r="27325" spans="1:4" x14ac:dyDescent="0.25">
      <c r="A27325" t="str">
        <f>HYPERLINK("https://www.773grp.com/globalSearch/TMDSADPEMU-20A/page-1", "TMDSADPEMU-20A")</f>
        <v>TMDSADPEMU-20A</v>
      </c>
      <c r="B27325" s="3" t="s">
        <v>90</v>
      </c>
      <c r="C27325" s="5">
        <v>1</v>
      </c>
      <c r="D27325" s="6">
        <v>320.33</v>
      </c>
    </row>
    <row r="27326" spans="1:4" x14ac:dyDescent="0.25">
      <c r="A27326" t="str">
        <f>HYPERLINK("https://www.773grp.com/globalSearch/EPC50C605/page-1", "EPC50C605")</f>
        <v>EPC50C605</v>
      </c>
      <c r="B27326" s="3" t="s">
        <v>90</v>
      </c>
      <c r="C27326" s="5">
        <v>1</v>
      </c>
      <c r="D27326" s="6">
        <v>320.39999999999998</v>
      </c>
    </row>
    <row r="27327" spans="1:4" x14ac:dyDescent="0.25">
      <c r="A27327" t="str">
        <f>HYPERLINK("https://www.773grp.com/globalSearch/TMDSDSK33/page-1", "TMDSDSK33")</f>
        <v>TMDSDSK33</v>
      </c>
      <c r="B27327" s="3" t="s">
        <v>90</v>
      </c>
      <c r="C27327" s="5">
        <v>1</v>
      </c>
      <c r="D27327" s="6">
        <v>320.44</v>
      </c>
    </row>
    <row r="27328" spans="1:4" x14ac:dyDescent="0.25">
      <c r="A27328" t="str">
        <f>HYPERLINK("https://www.773grp.com/globalSearch/TMDSDSK33-0E/page-1", "TMDSDSK33-0E")</f>
        <v>TMDSDSK33-0E</v>
      </c>
      <c r="B27328" s="3" t="s">
        <v>90</v>
      </c>
      <c r="C27328" s="5">
        <v>1</v>
      </c>
      <c r="D27328" s="6">
        <v>320.44</v>
      </c>
    </row>
    <row r="27329" spans="1:4" x14ac:dyDescent="0.25">
      <c r="A27329" t="str">
        <f>HYPERLINK("https://www.773grp.com/globalSearch/TMDSADP1414/page-1", "TMDSADP1414")</f>
        <v>TMDSADP1414</v>
      </c>
      <c r="B27329" s="3" t="s">
        <v>90</v>
      </c>
      <c r="C27329" s="5">
        <v>2</v>
      </c>
      <c r="D27329" s="6">
        <v>329.51</v>
      </c>
    </row>
    <row r="27330" spans="1:4" x14ac:dyDescent="0.25">
      <c r="A27330" t="str">
        <f>HYPERLINK("https://www.773grp.com/globalSearch/TMDSADP1420/page-1", "TMDSADP1420")</f>
        <v>TMDSADP1420</v>
      </c>
      <c r="B27330" s="3" t="s">
        <v>90</v>
      </c>
      <c r="C27330" s="5">
        <v>5</v>
      </c>
      <c r="D27330" s="6">
        <v>329.51</v>
      </c>
    </row>
    <row r="27331" spans="1:4" x14ac:dyDescent="0.25">
      <c r="A27331" t="str">
        <f>HYPERLINK("https://www.773grp.com/globalSearch/LM139J-SCA/page-1", "LM139J-SCA")</f>
        <v>LM139J-SCA</v>
      </c>
      <c r="B27331" s="3" t="s">
        <v>90</v>
      </c>
      <c r="C27331" s="5">
        <v>65</v>
      </c>
      <c r="D27331" s="6">
        <v>330.16</v>
      </c>
    </row>
    <row r="27332" spans="1:4" x14ac:dyDescent="0.25">
      <c r="A27332" t="str">
        <f>HYPERLINK("https://www.773grp.com/globalSearch/TMX320C6416GLZ5/page-1", "TMX320C6416GLZ5")</f>
        <v>TMX320C6416GLZ5</v>
      </c>
      <c r="B27332" s="3" t="s">
        <v>90</v>
      </c>
      <c r="C27332" s="5">
        <v>24</v>
      </c>
      <c r="D27332" s="6">
        <v>330.99</v>
      </c>
    </row>
    <row r="27333" spans="1:4" x14ac:dyDescent="0.25">
      <c r="A27333" t="str">
        <f>HYPERLINK("https://www.773grp.com/globalSearch/5962-7900801VCA/page-1", "5962-7900801VCA")</f>
        <v>5962-7900801VCA</v>
      </c>
      <c r="B27333" s="3" t="s">
        <v>90</v>
      </c>
      <c r="C27333" s="5">
        <v>15</v>
      </c>
      <c r="D27333" s="6">
        <v>332.28</v>
      </c>
    </row>
    <row r="27334" spans="1:4" x14ac:dyDescent="0.25">
      <c r="A27334" t="str">
        <f>HYPERLINK("https://www.773grp.com/globalSearch/TMS320C6415TBZLZA8/page-1", "TMS320C6415TBZLZA8")</f>
        <v>TMS320C6415TBZLZA8</v>
      </c>
      <c r="B27334" s="3" t="s">
        <v>90</v>
      </c>
      <c r="C27334" s="5">
        <v>232</v>
      </c>
      <c r="D27334" s="6">
        <v>333.94</v>
      </c>
    </row>
    <row r="27335" spans="1:4" x14ac:dyDescent="0.25">
      <c r="A27335" t="str">
        <f>HYPERLINK("https://www.773grp.com/globalSearch/TMS320C6414TBZLZ8/page-1", "TMS320C6414TBZLZ8")</f>
        <v>TMS320C6414TBZLZ8</v>
      </c>
      <c r="B27335" s="3" t="s">
        <v>90</v>
      </c>
      <c r="C27335" s="5">
        <v>46</v>
      </c>
      <c r="D27335" s="6">
        <v>336.71</v>
      </c>
    </row>
    <row r="27336" spans="1:4" x14ac:dyDescent="0.25">
      <c r="A27336" t="str">
        <f>HYPERLINK("https://www.773grp.com/globalSearch/CC3000FRAMEMK-L/page-1", "CC3000FRAMEMK-L")</f>
        <v>CC3000FRAMEMK-L</v>
      </c>
      <c r="B27336" s="3" t="s">
        <v>90</v>
      </c>
      <c r="C27336" s="5">
        <v>2</v>
      </c>
      <c r="D27336" s="6">
        <v>339.64</v>
      </c>
    </row>
    <row r="27337" spans="1:4" x14ac:dyDescent="0.25">
      <c r="A27337" t="str">
        <f>HYPERLINK("https://www.773grp.com/globalSearch/TMDSDOCK28343/page-1", "TMDSDOCK28343")</f>
        <v>TMDSDOCK28343</v>
      </c>
      <c r="B27337" s="3" t="s">
        <v>90</v>
      </c>
      <c r="C27337" s="5">
        <v>3</v>
      </c>
      <c r="D27337" s="6">
        <v>339.64</v>
      </c>
    </row>
    <row r="27338" spans="1:4" x14ac:dyDescent="0.25">
      <c r="A27338" t="str">
        <f>HYPERLINK("https://www.773grp.com/globalSearch/TMDXDOCK28343/page-1", "TMDXDOCK28343")</f>
        <v>TMDXDOCK28343</v>
      </c>
      <c r="B27338" s="3" t="s">
        <v>90</v>
      </c>
      <c r="C27338" s="5">
        <v>19</v>
      </c>
      <c r="D27338" s="6">
        <v>339.64</v>
      </c>
    </row>
    <row r="27339" spans="1:4" x14ac:dyDescent="0.25">
      <c r="A27339" t="str">
        <f>HYPERLINK("https://www.773grp.com/globalSearch/CC3000FRAMEMK-M/page-1", "CC3000FRAMEMK-M")</f>
        <v>CC3000FRAMEMK-M</v>
      </c>
      <c r="B27339" s="3" t="s">
        <v>90</v>
      </c>
      <c r="C27339" s="5">
        <v>1</v>
      </c>
      <c r="D27339" s="6">
        <v>339.66</v>
      </c>
    </row>
    <row r="27340" spans="1:4" x14ac:dyDescent="0.25">
      <c r="A27340" t="str">
        <f>HYPERLINK("https://www.773grp.com/globalSearch/RI-RFM-003C-30/page-1", "RI-RFM-003C-30")</f>
        <v>RI-RFM-003C-30</v>
      </c>
      <c r="B27340" s="3" t="s">
        <v>90</v>
      </c>
      <c r="C27340" s="5">
        <v>2055</v>
      </c>
      <c r="D27340" s="6">
        <v>341.78</v>
      </c>
    </row>
    <row r="27341" spans="1:4" x14ac:dyDescent="0.25">
      <c r="A27341" t="str">
        <f>HYPERLINK("https://www.773grp.com/globalSearch/TMS320C6678CYP/page-1", "TMS320C6678CYP")</f>
        <v>TMS320C6678CYP</v>
      </c>
      <c r="B27341" s="3" t="s">
        <v>90</v>
      </c>
      <c r="C27341" s="5">
        <v>200</v>
      </c>
      <c r="D27341" s="6">
        <v>341.78</v>
      </c>
    </row>
    <row r="27342" spans="1:4" x14ac:dyDescent="0.25">
      <c r="A27342" t="str">
        <f>HYPERLINK("https://www.773grp.com/globalSearch/TMX320C6670ACYP/page-1", "TMX320C6670ACYP")</f>
        <v>TMX320C6670ACYP</v>
      </c>
      <c r="B27342" s="3" t="s">
        <v>90</v>
      </c>
      <c r="C27342" s="5">
        <v>51</v>
      </c>
      <c r="D27342" s="6">
        <v>341.78</v>
      </c>
    </row>
    <row r="27343" spans="1:4" x14ac:dyDescent="0.25">
      <c r="A27343" t="str">
        <f>HYPERLINK("https://www.773grp.com/globalSearch/TMS320C6454BCTZA/page-1", "TMS320C6454BCTZA")</f>
        <v>TMS320C6454BCTZA</v>
      </c>
      <c r="B27343" s="3" t="s">
        <v>90</v>
      </c>
      <c r="C27343" s="5">
        <v>28</v>
      </c>
      <c r="D27343" s="6">
        <v>342.33</v>
      </c>
    </row>
    <row r="27344" spans="1:4" x14ac:dyDescent="0.25">
      <c r="A27344" t="str">
        <f>HYPERLINK("https://www.773grp.com/globalSearch/ADS62P49IRGCT/page-1", "ADS62P49IRGCT")</f>
        <v>ADS62P49IRGCT</v>
      </c>
      <c r="B27344" s="3" t="s">
        <v>90</v>
      </c>
      <c r="C27344" s="5">
        <v>113</v>
      </c>
      <c r="D27344" s="6">
        <v>343.34</v>
      </c>
    </row>
    <row r="27345" spans="1:4" x14ac:dyDescent="0.25">
      <c r="A27345" t="str">
        <f>HYPERLINK("https://www.773grp.com/globalSearch/TPS7H1201SHKS/page-1", "TPS7H1201SHKS")</f>
        <v>TPS7H1201SHKS</v>
      </c>
      <c r="B27345" s="3" t="s">
        <v>90</v>
      </c>
      <c r="C27345" s="5">
        <v>1</v>
      </c>
      <c r="D27345" s="6">
        <v>352.45</v>
      </c>
    </row>
    <row r="27346" spans="1:4" x14ac:dyDescent="0.25">
      <c r="A27346" t="str">
        <f>HYPERLINK("https://www.773grp.com/globalSearch/ISO103/page-1", "ISO103")</f>
        <v>ISO103</v>
      </c>
      <c r="B27346" s="3" t="s">
        <v>90</v>
      </c>
      <c r="C27346" s="5">
        <v>3829</v>
      </c>
      <c r="D27346" s="6">
        <v>352.55</v>
      </c>
    </row>
    <row r="27347" spans="1:4" x14ac:dyDescent="0.25">
      <c r="A27347" t="str">
        <f>HYPERLINK("https://www.773grp.com/globalSearch/TMS320C44GFWA/page-1", "TMS320C44GFWA")</f>
        <v>TMS320C44GFWA</v>
      </c>
      <c r="B27347" s="3" t="s">
        <v>90</v>
      </c>
      <c r="C27347" s="5">
        <v>47</v>
      </c>
      <c r="D27347" s="6">
        <v>357.76</v>
      </c>
    </row>
    <row r="27348" spans="1:4" x14ac:dyDescent="0.25">
      <c r="A27348" t="str">
        <f>HYPERLINK("https://www.773grp.com/globalSearch/DAC707KP-3/page-1", "DAC707KP-3")</f>
        <v>DAC707KP-3</v>
      </c>
      <c r="B27348" s="3" t="s">
        <v>90</v>
      </c>
      <c r="C27348" s="5">
        <v>5</v>
      </c>
      <c r="D27348" s="6">
        <v>363.14</v>
      </c>
    </row>
    <row r="27349" spans="1:4" x14ac:dyDescent="0.25">
      <c r="A27349" t="str">
        <f>HYPERLINK("https://www.773grp.com/globalSearch/DAC707KP-4/page-1", "DAC707KP-4")</f>
        <v>DAC707KP-4</v>
      </c>
      <c r="B27349" s="3" t="s">
        <v>90</v>
      </c>
      <c r="C27349" s="5">
        <v>305</v>
      </c>
      <c r="D27349" s="6">
        <v>363.14</v>
      </c>
    </row>
    <row r="27350" spans="1:4" x14ac:dyDescent="0.25">
      <c r="A27350" t="str">
        <f>HYPERLINK("https://www.773grp.com/globalSearch/DAC707KP-6/page-1", "DAC707KP-6")</f>
        <v>DAC707KP-6</v>
      </c>
      <c r="B27350" s="3" t="s">
        <v>90</v>
      </c>
      <c r="C27350" s="5">
        <v>234</v>
      </c>
      <c r="D27350" s="6">
        <v>363.14</v>
      </c>
    </row>
    <row r="27351" spans="1:4" x14ac:dyDescent="0.25">
      <c r="A27351" t="str">
        <f>HYPERLINK("https://www.773grp.com/globalSearch/RI-ANT-G02E-30/page-1", "RI-ANT-G02E-30")</f>
        <v>RI-ANT-G02E-30</v>
      </c>
      <c r="B27351" s="3" t="s">
        <v>90</v>
      </c>
      <c r="C27351" s="5">
        <v>6</v>
      </c>
      <c r="D27351" s="6">
        <v>363.14</v>
      </c>
    </row>
    <row r="27352" spans="1:4" x14ac:dyDescent="0.25">
      <c r="A27352" t="str">
        <f>HYPERLINK("https://www.773grp.com/globalSearch/JM38510-65352SCA/page-1", "JM38510-65352SCA")</f>
        <v>JM38510-65352SCA</v>
      </c>
      <c r="B27352" s="3" t="s">
        <v>90</v>
      </c>
      <c r="C27352" s="5">
        <v>98</v>
      </c>
      <c r="D27352" s="6">
        <v>365.48</v>
      </c>
    </row>
    <row r="27353" spans="1:4" x14ac:dyDescent="0.25">
      <c r="A27353" t="str">
        <f>HYPERLINK("https://www.773grp.com/globalSearch/0729MC/page-1", "0729MC")</f>
        <v>0729MC</v>
      </c>
      <c r="B27353" s="3" t="s">
        <v>90</v>
      </c>
      <c r="C27353" s="5">
        <v>17</v>
      </c>
      <c r="D27353" s="6">
        <v>368.61</v>
      </c>
    </row>
    <row r="27354" spans="1:4" x14ac:dyDescent="0.25">
      <c r="A27354" t="str">
        <f>HYPERLINK("https://www.773grp.com/globalSearch/ADS1278SHFQ/page-1", "ADS1278SHFQ")</f>
        <v>ADS1278SHFQ</v>
      </c>
      <c r="B27354" s="3" t="s">
        <v>90</v>
      </c>
      <c r="C27354" s="5">
        <v>22</v>
      </c>
      <c r="D27354" s="6">
        <v>373.81</v>
      </c>
    </row>
    <row r="27355" spans="1:4" x14ac:dyDescent="0.25">
      <c r="A27355" t="str">
        <f>HYPERLINK("https://www.773grp.com/globalSearch/ADS1282SJDJ/page-1", "ADS1282SJDJ")</f>
        <v>ADS1282SJDJ</v>
      </c>
      <c r="B27355" s="3" t="s">
        <v>90</v>
      </c>
      <c r="C27355" s="5">
        <v>21</v>
      </c>
      <c r="D27355" s="6">
        <v>373.81</v>
      </c>
    </row>
    <row r="27356" spans="1:4" x14ac:dyDescent="0.25">
      <c r="A27356" t="str">
        <f>HYPERLINK("https://www.773grp.com/globalSearch/DAC9881EVM-PDK/page-1", "DAC9881EVM-PDK")</f>
        <v>DAC9881EVM-PDK</v>
      </c>
      <c r="B27356" s="3" t="s">
        <v>90</v>
      </c>
      <c r="C27356" s="5">
        <v>5</v>
      </c>
      <c r="D27356" s="6">
        <v>373.81</v>
      </c>
    </row>
    <row r="27357" spans="1:4" x14ac:dyDescent="0.25">
      <c r="A27357" t="str">
        <f>HYPERLINK("https://www.773grp.com/globalSearch/DEM-ADS7812-13P/page-1", "DEM-ADS7812-13P")</f>
        <v>DEM-ADS7812-13P</v>
      </c>
      <c r="B27357" s="3" t="s">
        <v>90</v>
      </c>
      <c r="C27357" s="5">
        <v>12</v>
      </c>
      <c r="D27357" s="6">
        <v>373.81</v>
      </c>
    </row>
    <row r="27358" spans="1:4" x14ac:dyDescent="0.25">
      <c r="A27358" t="str">
        <f>HYPERLINK("https://www.773grp.com/globalSearch/LMX25311650EVAL/page-1", "LMX25311650EVAL")</f>
        <v>LMX25311650EVAL</v>
      </c>
      <c r="B27358" s="3" t="s">
        <v>90</v>
      </c>
      <c r="C27358" s="5">
        <v>1</v>
      </c>
      <c r="D27358" s="6">
        <v>373.81</v>
      </c>
    </row>
    <row r="27359" spans="1:4" x14ac:dyDescent="0.25">
      <c r="A27359" t="str">
        <f>HYPERLINK("https://www.773grp.com/globalSearch/LMX25312265EVAL-NOPB/page-1", "LMX25312265EVAL-NOPB")</f>
        <v>LMX25312265EVAL-NOPB</v>
      </c>
      <c r="B27359" s="3" t="s">
        <v>90</v>
      </c>
      <c r="C27359" s="5">
        <v>2</v>
      </c>
      <c r="D27359" s="6">
        <v>373.81</v>
      </c>
    </row>
    <row r="27360" spans="1:4" x14ac:dyDescent="0.25">
      <c r="A27360" t="str">
        <f>HYPERLINK("https://www.773grp.com/globalSearch/LMX25313010EVAL-NOPB/page-1", "LMX25313010EVAL-NOPB")</f>
        <v>LMX25313010EVAL-NOPB</v>
      </c>
      <c r="B27360" s="3" t="s">
        <v>90</v>
      </c>
      <c r="C27360" s="5">
        <v>4</v>
      </c>
      <c r="D27360" s="6">
        <v>373.81</v>
      </c>
    </row>
    <row r="27361" spans="1:4" x14ac:dyDescent="0.25">
      <c r="A27361" t="str">
        <f>HYPERLINK("https://www.773grp.com/globalSearch/MPM11503JD/page-1", "MPM11503JD")</f>
        <v>MPM11503JD</v>
      </c>
      <c r="B27361" s="3" t="s">
        <v>90</v>
      </c>
      <c r="C27361" s="5">
        <v>71</v>
      </c>
      <c r="D27361" s="6">
        <v>373.81</v>
      </c>
    </row>
    <row r="27362" spans="1:4" x14ac:dyDescent="0.25">
      <c r="A27362" t="str">
        <f>HYPERLINK("https://www.773grp.com/globalSearch/MPM11732JD/page-1", "MPM11732JD")</f>
        <v>MPM11732JD</v>
      </c>
      <c r="B27362" s="3" t="s">
        <v>90</v>
      </c>
      <c r="C27362" s="5">
        <v>38</v>
      </c>
      <c r="D27362" s="6">
        <v>373.81</v>
      </c>
    </row>
    <row r="27363" spans="1:4" x14ac:dyDescent="0.25">
      <c r="A27363" t="str">
        <f>HYPERLINK("https://www.773grp.com/globalSearch/MSP-EXP430F5438/page-1", "MSP-EXP430F5438")</f>
        <v>MSP-EXP430F5438</v>
      </c>
      <c r="B27363" s="3" t="s">
        <v>90</v>
      </c>
      <c r="C27363" s="5">
        <v>42</v>
      </c>
      <c r="D27363" s="6">
        <v>373.81</v>
      </c>
    </row>
    <row r="27364" spans="1:4" x14ac:dyDescent="0.25">
      <c r="A27364" t="str">
        <f>HYPERLINK("https://www.773grp.com/globalSearch/MSP-FET430U092/page-1", "MSP-FET430U092")</f>
        <v>MSP-FET430U092</v>
      </c>
      <c r="B27364" s="3" t="s">
        <v>90</v>
      </c>
      <c r="C27364" s="5">
        <v>5</v>
      </c>
      <c r="D27364" s="6">
        <v>373.81</v>
      </c>
    </row>
    <row r="27365" spans="1:4" x14ac:dyDescent="0.25">
      <c r="A27365" t="str">
        <f>HYPERLINK("https://www.773grp.com/globalSearch/MSP-FET430U100/page-1", "MSP-FET430U100")</f>
        <v>MSP-FET430U100</v>
      </c>
      <c r="B27365" s="3" t="s">
        <v>90</v>
      </c>
      <c r="C27365" s="5">
        <v>23</v>
      </c>
      <c r="D27365" s="6">
        <v>373.81</v>
      </c>
    </row>
    <row r="27366" spans="1:4" x14ac:dyDescent="0.25">
      <c r="A27366" t="str">
        <f>HYPERLINK("https://www.773grp.com/globalSearch/MSP-FET430U14/page-1", "MSP-FET430U14")</f>
        <v>MSP-FET430U14</v>
      </c>
      <c r="B27366" s="3" t="s">
        <v>90</v>
      </c>
      <c r="C27366" s="5">
        <v>29</v>
      </c>
      <c r="D27366" s="6">
        <v>373.81</v>
      </c>
    </row>
    <row r="27367" spans="1:4" x14ac:dyDescent="0.25">
      <c r="A27367" t="str">
        <f>HYPERLINK("https://www.773grp.com/globalSearch/MSP-FET430U23X0/page-1", "MSP-FET430U23X0")</f>
        <v>MSP-FET430U23X0</v>
      </c>
      <c r="B27367" s="3" t="s">
        <v>90</v>
      </c>
      <c r="C27367" s="5">
        <v>13</v>
      </c>
      <c r="D27367" s="6">
        <v>373.81</v>
      </c>
    </row>
    <row r="27368" spans="1:4" x14ac:dyDescent="0.25">
      <c r="A27368" t="str">
        <f>HYPERLINK("https://www.773grp.com/globalSearch/MSP-FET430U24/page-1", "MSP-FET430U24")</f>
        <v>MSP-FET430U24</v>
      </c>
      <c r="B27368" s="3" t="s">
        <v>90</v>
      </c>
      <c r="C27368" s="5">
        <v>5</v>
      </c>
      <c r="D27368" s="6">
        <v>373.81</v>
      </c>
    </row>
    <row r="27369" spans="1:4" x14ac:dyDescent="0.25">
      <c r="A27369" t="str">
        <f>HYPERLINK("https://www.773grp.com/globalSearch/MSP-FET430U28/page-1", "MSP-FET430U28")</f>
        <v>MSP-FET430U28</v>
      </c>
      <c r="B27369" s="3" t="s">
        <v>90</v>
      </c>
      <c r="C27369" s="5">
        <v>3</v>
      </c>
      <c r="D27369" s="6">
        <v>373.81</v>
      </c>
    </row>
    <row r="27370" spans="1:4" x14ac:dyDescent="0.25">
      <c r="A27370" t="str">
        <f>HYPERLINK("https://www.773grp.com/globalSearch/MSP-FET430U38/page-1", "MSP-FET430U38")</f>
        <v>MSP-FET430U38</v>
      </c>
      <c r="B27370" s="3" t="s">
        <v>90</v>
      </c>
      <c r="C27370" s="5">
        <v>2</v>
      </c>
      <c r="D27370" s="6">
        <v>373.81</v>
      </c>
    </row>
    <row r="27371" spans="1:4" x14ac:dyDescent="0.25">
      <c r="A27371" t="str">
        <f>HYPERLINK("https://www.773grp.com/globalSearch/MSP-FET430U40A/page-1", "MSP-FET430U40A")</f>
        <v>MSP-FET430U40A</v>
      </c>
      <c r="B27371" s="3" t="s">
        <v>90</v>
      </c>
      <c r="C27371" s="5">
        <v>2</v>
      </c>
      <c r="D27371" s="6">
        <v>373.81</v>
      </c>
    </row>
    <row r="27372" spans="1:4" x14ac:dyDescent="0.25">
      <c r="A27372" t="str">
        <f>HYPERLINK("https://www.773grp.com/globalSearch/MSP-FET430U48/page-1", "MSP-FET430U48")</f>
        <v>MSP-FET430U48</v>
      </c>
      <c r="B27372" s="3" t="s">
        <v>90</v>
      </c>
      <c r="C27372" s="5">
        <v>10</v>
      </c>
      <c r="D27372" s="6">
        <v>373.81</v>
      </c>
    </row>
    <row r="27373" spans="1:4" x14ac:dyDescent="0.25">
      <c r="A27373" t="str">
        <f>HYPERLINK("https://www.773grp.com/globalSearch/MSP-FET430U5X100/page-1", "MSP-FET430U5X100")</f>
        <v>MSP-FET430U5X100</v>
      </c>
      <c r="B27373" s="3" t="s">
        <v>90</v>
      </c>
      <c r="C27373" s="5">
        <v>7</v>
      </c>
      <c r="D27373" s="6">
        <v>373.81</v>
      </c>
    </row>
    <row r="27374" spans="1:4" x14ac:dyDescent="0.25">
      <c r="A27374" t="str">
        <f>HYPERLINK("https://www.773grp.com/globalSearch/MSP-FET430U64/page-1", "MSP-FET430U64")</f>
        <v>MSP-FET430U64</v>
      </c>
      <c r="B27374" s="3" t="s">
        <v>90</v>
      </c>
      <c r="C27374" s="5">
        <v>20</v>
      </c>
      <c r="D27374" s="6">
        <v>373.81</v>
      </c>
    </row>
    <row r="27375" spans="1:4" x14ac:dyDescent="0.25">
      <c r="A27375" t="str">
        <f>HYPERLINK("https://www.773grp.com/globalSearch/MSP-FET430U64USB/page-1", "MSP-FET430U64USB")</f>
        <v>MSP-FET430U64USB</v>
      </c>
      <c r="B27375" s="3" t="s">
        <v>90</v>
      </c>
      <c r="C27375" s="5">
        <v>2</v>
      </c>
      <c r="D27375" s="6">
        <v>373.81</v>
      </c>
    </row>
    <row r="27376" spans="1:4" x14ac:dyDescent="0.25">
      <c r="A27376" t="str">
        <f>HYPERLINK("https://www.773grp.com/globalSearch/MSP-FET430U80/page-1", "MSP-FET430U80")</f>
        <v>MSP-FET430U80</v>
      </c>
      <c r="B27376" s="3" t="s">
        <v>90</v>
      </c>
      <c r="C27376" s="5">
        <v>34</v>
      </c>
      <c r="D27376" s="6">
        <v>373.81</v>
      </c>
    </row>
    <row r="27377" spans="1:4" x14ac:dyDescent="0.25">
      <c r="A27377" t="str">
        <f>HYPERLINK("https://www.773grp.com/globalSearch/MSP-FET430U80A/page-1", "MSP-FET430U80A")</f>
        <v>MSP-FET430U80A</v>
      </c>
      <c r="B27377" s="3" t="s">
        <v>90</v>
      </c>
      <c r="C27377" s="5">
        <v>4</v>
      </c>
      <c r="D27377" s="6">
        <v>373.81</v>
      </c>
    </row>
    <row r="27378" spans="1:4" x14ac:dyDescent="0.25">
      <c r="A27378" t="str">
        <f>HYPERLINK("https://www.773grp.com/globalSearch/MSP-FET430U80USB/page-1", "MSP-FET430U80USB")</f>
        <v>MSP-FET430U80USB</v>
      </c>
      <c r="B27378" s="3" t="s">
        <v>90</v>
      </c>
      <c r="C27378" s="5">
        <v>1</v>
      </c>
      <c r="D27378" s="6">
        <v>373.81</v>
      </c>
    </row>
    <row r="27379" spans="1:4" x14ac:dyDescent="0.25">
      <c r="A27379" t="str">
        <f>HYPERLINK("https://www.773grp.com/globalSearch/TMDX470MF066HDK/page-1", "TMDX470MF066HDK")</f>
        <v>TMDX470MF066HDK</v>
      </c>
      <c r="B27379" s="3" t="s">
        <v>90</v>
      </c>
      <c r="C27379" s="5">
        <v>6</v>
      </c>
      <c r="D27379" s="6">
        <v>373.81</v>
      </c>
    </row>
    <row r="27380" spans="1:4" x14ac:dyDescent="0.25">
      <c r="A27380" t="str">
        <f>HYPERLINK("https://www.773grp.com/globalSearch/GC1012B-PQ/page-1", "GC1012B-PQ")</f>
        <v>GC1012B-PQ</v>
      </c>
      <c r="B27380" s="3" t="s">
        <v>90</v>
      </c>
      <c r="C27380" s="5">
        <v>2</v>
      </c>
      <c r="D27380" s="6">
        <v>374.35</v>
      </c>
    </row>
    <row r="27381" spans="1:4" x14ac:dyDescent="0.25">
      <c r="A27381" t="str">
        <f>HYPERLINK("https://www.773grp.com/globalSearch/RI-ACC-ATI2-00/page-1", "RI-ACC-ATI2-00")</f>
        <v>RI-ACC-ATI2-00</v>
      </c>
      <c r="B27381" s="3" t="s">
        <v>90</v>
      </c>
      <c r="C27381" s="5">
        <v>2</v>
      </c>
      <c r="D27381" s="6">
        <v>376.95</v>
      </c>
    </row>
    <row r="27382" spans="1:4" x14ac:dyDescent="0.25">
      <c r="A27382" t="str">
        <f>HYPERLINK("https://www.773grp.com/globalSearch/TMS320C6414TBGLZ1/page-1", "TMS320C6414TBGLZ1")</f>
        <v>TMS320C6414TBGLZ1</v>
      </c>
      <c r="B27382" s="3" t="s">
        <v>90</v>
      </c>
      <c r="C27382" s="5">
        <v>174</v>
      </c>
      <c r="D27382" s="6">
        <v>379.54</v>
      </c>
    </row>
    <row r="27383" spans="1:4" x14ac:dyDescent="0.25">
      <c r="A27383" t="str">
        <f>HYPERLINK("https://www.773grp.com/globalSearch/RI-ANT-G01E-30/page-1", "RI-ANT-G01E-30")</f>
        <v>RI-ANT-G01E-30</v>
      </c>
      <c r="B27383" s="3" t="s">
        <v>90</v>
      </c>
      <c r="C27383" s="5">
        <v>4</v>
      </c>
      <c r="D27383" s="6">
        <v>384.5</v>
      </c>
    </row>
    <row r="27384" spans="1:4" x14ac:dyDescent="0.25">
      <c r="A27384" t="str">
        <f>HYPERLINK("https://www.773grp.com/globalSearch/SMX320E14FJM/page-1", "SMX320E14FJM")</f>
        <v>SMX320E14FJM</v>
      </c>
      <c r="B27384" s="3" t="s">
        <v>90</v>
      </c>
      <c r="C27384" s="5">
        <v>56</v>
      </c>
      <c r="D27384" s="6">
        <v>388.3</v>
      </c>
    </row>
    <row r="27385" spans="1:4" x14ac:dyDescent="0.25">
      <c r="A27385" t="str">
        <f>HYPERLINK("https://www.773grp.com/globalSearch/3581J/page-1", "3581J")</f>
        <v>3581J</v>
      </c>
      <c r="B27385" s="3" t="s">
        <v>90</v>
      </c>
      <c r="C27385" s="5">
        <v>2707</v>
      </c>
      <c r="D27385" s="6">
        <v>389.09</v>
      </c>
    </row>
    <row r="27386" spans="1:4" x14ac:dyDescent="0.25">
      <c r="A27386" t="str">
        <f>HYPERLINK("https://www.773grp.com/globalSearch/TMX320C6415CGLZ/page-1", "TMX320C6415CGLZ")</f>
        <v>TMX320C6415CGLZ</v>
      </c>
      <c r="B27386" s="3" t="s">
        <v>90</v>
      </c>
      <c r="C27386" s="5">
        <v>7</v>
      </c>
      <c r="D27386" s="6">
        <v>389.09</v>
      </c>
    </row>
    <row r="27387" spans="1:4" x14ac:dyDescent="0.25">
      <c r="A27387" t="str">
        <f>HYPERLINK("https://www.773grp.com/globalSearch/ISO103B/page-1", "ISO103B")</f>
        <v>ISO103B</v>
      </c>
      <c r="B27387" s="3" t="s">
        <v>90</v>
      </c>
      <c r="C27387" s="5">
        <v>834</v>
      </c>
      <c r="D27387" s="6">
        <v>394.64</v>
      </c>
    </row>
    <row r="27388" spans="1:4" x14ac:dyDescent="0.25">
      <c r="A27388" t="str">
        <f>HYPERLINK("https://www.773grp.com/globalSearch/ADS5474IPFPG4/page-1", "ADS5474IPFPG4")</f>
        <v>ADS5474IPFPG4</v>
      </c>
      <c r="B27388" s="3" t="s">
        <v>90</v>
      </c>
      <c r="C27388" s="5">
        <v>1</v>
      </c>
      <c r="D27388" s="6">
        <v>394.71</v>
      </c>
    </row>
    <row r="27389" spans="1:4" x14ac:dyDescent="0.25">
      <c r="A27389" t="str">
        <f>HYPERLINK("https://www.773grp.com/globalSearch/ISO113/page-1", "ISO113")</f>
        <v>ISO113</v>
      </c>
      <c r="B27389" s="3" t="s">
        <v>90</v>
      </c>
      <c r="C27389" s="5">
        <v>161</v>
      </c>
      <c r="D27389" s="6">
        <v>394.74</v>
      </c>
    </row>
    <row r="27390" spans="1:4" x14ac:dyDescent="0.25">
      <c r="A27390" t="str">
        <f>HYPERLINK("https://www.773grp.com/globalSearch/MDL-IDM28/page-1", "MDL-IDM28")</f>
        <v>MDL-IDM28</v>
      </c>
      <c r="B27390" s="3" t="s">
        <v>90</v>
      </c>
      <c r="C27390" s="5">
        <v>1</v>
      </c>
      <c r="D27390" s="6">
        <v>395.18</v>
      </c>
    </row>
    <row r="27391" spans="1:4" x14ac:dyDescent="0.25">
      <c r="A27391" t="str">
        <f>HYPERLINK("https://www.773grp.com/globalSearch/TMDSPREX28335/page-1", "TMDSPREX28335")</f>
        <v>TMDSPREX28335</v>
      </c>
      <c r="B27391" s="3" t="s">
        <v>90</v>
      </c>
      <c r="C27391" s="5">
        <v>6</v>
      </c>
      <c r="D27391" s="6">
        <v>395.85</v>
      </c>
    </row>
    <row r="27392" spans="1:4" x14ac:dyDescent="0.25">
      <c r="A27392" t="str">
        <f>HYPERLINK("https://www.773grp.com/globalSearch/RR-IDISC-ANT34-24/page-1", "RR-IDISC-ANT34-24")</f>
        <v>RR-IDISC-ANT34-24</v>
      </c>
      <c r="B27392" s="3" t="s">
        <v>90</v>
      </c>
      <c r="C27392" s="5">
        <v>10</v>
      </c>
      <c r="D27392" s="6">
        <v>402.86</v>
      </c>
    </row>
    <row r="27393" spans="1:4" x14ac:dyDescent="0.25">
      <c r="A27393" t="str">
        <f>HYPERLINK("https://www.773grp.com/globalSearch/TMS320C6474FGUN2/page-1", "TMS320C6474FGUN2")</f>
        <v>TMS320C6474FGUN2</v>
      </c>
      <c r="B27393" s="3" t="s">
        <v>90</v>
      </c>
      <c r="C27393" s="5">
        <v>19</v>
      </c>
      <c r="D27393" s="6">
        <v>412.7</v>
      </c>
    </row>
    <row r="27394" spans="1:4" x14ac:dyDescent="0.25">
      <c r="A27394" t="str">
        <f>HYPERLINK("https://www.773grp.com/globalSearch/ADS1146EVM-PDK/page-1", "ADS1146EVM-PDK")</f>
        <v>ADS1146EVM-PDK</v>
      </c>
      <c r="B27394" s="3" t="s">
        <v>90</v>
      </c>
      <c r="C27394" s="5">
        <v>6</v>
      </c>
      <c r="D27394" s="6">
        <v>425.09</v>
      </c>
    </row>
    <row r="27395" spans="1:4" x14ac:dyDescent="0.25">
      <c r="A27395" t="str">
        <f>HYPERLINK("https://www.773grp.com/globalSearch/ADS1147EVM-PDK/page-1", "ADS1147EVM-PDK")</f>
        <v>ADS1147EVM-PDK</v>
      </c>
      <c r="B27395" s="3" t="s">
        <v>90</v>
      </c>
      <c r="C27395" s="5">
        <v>7</v>
      </c>
      <c r="D27395" s="6">
        <v>425.09</v>
      </c>
    </row>
    <row r="27396" spans="1:4" x14ac:dyDescent="0.25">
      <c r="A27396" t="str">
        <f>HYPERLINK("https://www.773grp.com/globalSearch/ADS1148EVM-PDK/page-1", "ADS1148EVM-PDK")</f>
        <v>ADS1148EVM-PDK</v>
      </c>
      <c r="B27396" s="3" t="s">
        <v>90</v>
      </c>
      <c r="C27396" s="5">
        <v>7</v>
      </c>
      <c r="D27396" s="6">
        <v>425.09</v>
      </c>
    </row>
    <row r="27397" spans="1:4" x14ac:dyDescent="0.25">
      <c r="A27397" t="str">
        <f>HYPERLINK("https://www.773grp.com/globalSearch/ADS1198ECGFE-PDK/page-1", "ADS1198ECGFE-PDK")</f>
        <v>ADS1198ECGFE-PDK</v>
      </c>
      <c r="B27397" s="3" t="s">
        <v>90</v>
      </c>
      <c r="C27397" s="5">
        <v>2</v>
      </c>
      <c r="D27397" s="6">
        <v>425.09</v>
      </c>
    </row>
    <row r="27398" spans="1:4" x14ac:dyDescent="0.25">
      <c r="A27398" t="str">
        <f>HYPERLINK("https://www.773grp.com/globalSearch/ADS1246EVM-PDK/page-1", "ADS1246EVM-PDK")</f>
        <v>ADS1246EVM-PDK</v>
      </c>
      <c r="B27398" s="3" t="s">
        <v>90</v>
      </c>
      <c r="C27398" s="5">
        <v>2</v>
      </c>
      <c r="D27398" s="6">
        <v>425.09</v>
      </c>
    </row>
    <row r="27399" spans="1:4" x14ac:dyDescent="0.25">
      <c r="A27399" t="str">
        <f>HYPERLINK("https://www.773grp.com/globalSearch/ADS1259EVM-PDK/page-1", "ADS1259EVM-PDK")</f>
        <v>ADS1259EVM-PDK</v>
      </c>
      <c r="B27399" s="3" t="s">
        <v>90</v>
      </c>
      <c r="C27399" s="5">
        <v>4</v>
      </c>
      <c r="D27399" s="6">
        <v>425.09</v>
      </c>
    </row>
    <row r="27400" spans="1:4" x14ac:dyDescent="0.25">
      <c r="A27400" t="str">
        <f>HYPERLINK("https://www.773grp.com/globalSearch/ADS1298ECGFE-PDK/page-1", "ADS1298ECGFE-PDK")</f>
        <v>ADS1298ECGFE-PDK</v>
      </c>
      <c r="B27400" s="3" t="s">
        <v>90</v>
      </c>
      <c r="C27400" s="5">
        <v>2</v>
      </c>
      <c r="D27400" s="6">
        <v>425.09</v>
      </c>
    </row>
    <row r="27401" spans="1:4" x14ac:dyDescent="0.25">
      <c r="A27401" t="str">
        <f>HYPERLINK("https://www.773grp.com/globalSearch/ADS1298RECGFE-PDK/page-1", "ADS1298RECGFE-PDK")</f>
        <v>ADS1298RECGFE-PDK</v>
      </c>
      <c r="B27401" s="3" t="s">
        <v>90</v>
      </c>
      <c r="C27401" s="5">
        <v>1</v>
      </c>
      <c r="D27401" s="6">
        <v>425.09</v>
      </c>
    </row>
    <row r="27402" spans="1:4" x14ac:dyDescent="0.25">
      <c r="A27402" t="str">
        <f>HYPERLINK("https://www.773grp.com/globalSearch/ADS5232EVM/page-1", "ADS5232EVM")</f>
        <v>ADS5232EVM</v>
      </c>
      <c r="B27402" s="3" t="s">
        <v>90</v>
      </c>
      <c r="C27402" s="5">
        <v>1</v>
      </c>
      <c r="D27402" s="6">
        <v>425.09</v>
      </c>
    </row>
    <row r="27403" spans="1:4" x14ac:dyDescent="0.25">
      <c r="A27403" t="str">
        <f>HYPERLINK("https://www.773grp.com/globalSearch/ADS5271EVM/page-1", "ADS5271EVM")</f>
        <v>ADS5271EVM</v>
      </c>
      <c r="B27403" s="3" t="s">
        <v>90</v>
      </c>
      <c r="C27403" s="5">
        <v>1</v>
      </c>
      <c r="D27403" s="6">
        <v>425.09</v>
      </c>
    </row>
    <row r="27404" spans="1:4" x14ac:dyDescent="0.25">
      <c r="A27404" t="str">
        <f>HYPERLINK("https://www.773grp.com/globalSearch/ADS5272EVM/page-1", "ADS5272EVM")</f>
        <v>ADS5272EVM</v>
      </c>
      <c r="B27404" s="3" t="s">
        <v>90</v>
      </c>
      <c r="C27404" s="5">
        <v>2</v>
      </c>
      <c r="D27404" s="6">
        <v>425.09</v>
      </c>
    </row>
    <row r="27405" spans="1:4" x14ac:dyDescent="0.25">
      <c r="A27405" t="str">
        <f>HYPERLINK("https://www.773grp.com/globalSearch/ADS5273EVM/page-1", "ADS5273EVM")</f>
        <v>ADS5273EVM</v>
      </c>
      <c r="B27405" s="3" t="s">
        <v>90</v>
      </c>
      <c r="C27405" s="5">
        <v>1</v>
      </c>
      <c r="D27405" s="6">
        <v>425.09</v>
      </c>
    </row>
    <row r="27406" spans="1:4" x14ac:dyDescent="0.25">
      <c r="A27406" t="str">
        <f>HYPERLINK("https://www.773grp.com/globalSearch/ADS5413EVM/page-1", "ADS5413EVM")</f>
        <v>ADS5413EVM</v>
      </c>
      <c r="B27406" s="3" t="s">
        <v>90</v>
      </c>
      <c r="C27406" s="5">
        <v>1</v>
      </c>
      <c r="D27406" s="6">
        <v>425.09</v>
      </c>
    </row>
    <row r="27407" spans="1:4" x14ac:dyDescent="0.25">
      <c r="A27407" t="str">
        <f>HYPERLINK("https://www.773grp.com/globalSearch/ADS5500EVM/page-1", "ADS5500EVM")</f>
        <v>ADS5500EVM</v>
      </c>
      <c r="B27407" s="3" t="s">
        <v>90</v>
      </c>
      <c r="C27407" s="5">
        <v>25</v>
      </c>
      <c r="D27407" s="6">
        <v>425.09</v>
      </c>
    </row>
    <row r="27408" spans="1:4" x14ac:dyDescent="0.25">
      <c r="A27408" t="str">
        <f>HYPERLINK("https://www.773grp.com/globalSearch/ADS5542EVM/page-1", "ADS5542EVM")</f>
        <v>ADS5542EVM</v>
      </c>
      <c r="B27408" s="3" t="s">
        <v>90</v>
      </c>
      <c r="C27408" s="5">
        <v>4</v>
      </c>
      <c r="D27408" s="6">
        <v>425.09</v>
      </c>
    </row>
    <row r="27409" spans="1:4" x14ac:dyDescent="0.25">
      <c r="A27409" t="str">
        <f>HYPERLINK("https://www.773grp.com/globalSearch/AFE5804EVM/page-1", "AFE5804EVM")</f>
        <v>AFE5804EVM</v>
      </c>
      <c r="B27409" s="3" t="s">
        <v>90</v>
      </c>
      <c r="C27409" s="5">
        <v>1</v>
      </c>
      <c r="D27409" s="6">
        <v>425.09</v>
      </c>
    </row>
    <row r="27410" spans="1:4" x14ac:dyDescent="0.25">
      <c r="A27410" t="str">
        <f>HYPERLINK("https://www.773grp.com/globalSearch/BQ51013EVM-725/page-1", "BQ51013EVM-725")</f>
        <v>BQ51013EVM-725</v>
      </c>
      <c r="B27410" s="3" t="s">
        <v>90</v>
      </c>
      <c r="C27410" s="5">
        <v>1</v>
      </c>
      <c r="D27410" s="6">
        <v>425.09</v>
      </c>
    </row>
    <row r="27411" spans="1:4" x14ac:dyDescent="0.25">
      <c r="A27411" t="str">
        <f>HYPERLINK("https://www.773grp.com/globalSearch/CDCE18005EVM/page-1", "CDCE18005EVM")</f>
        <v>CDCE18005EVM</v>
      </c>
      <c r="B27411" s="3" t="s">
        <v>90</v>
      </c>
      <c r="C27411" s="5">
        <v>2</v>
      </c>
      <c r="D27411" s="6">
        <v>425.09</v>
      </c>
    </row>
    <row r="27412" spans="1:4" x14ac:dyDescent="0.25">
      <c r="A27412" t="str">
        <f>HYPERLINK("https://www.773grp.com/globalSearch/CDCE421AEVM/page-1", "CDCE421AEVM")</f>
        <v>CDCE421AEVM</v>
      </c>
      <c r="B27412" s="3" t="s">
        <v>90</v>
      </c>
      <c r="C27412" s="5">
        <v>4</v>
      </c>
      <c r="D27412" s="6">
        <v>425.09</v>
      </c>
    </row>
    <row r="27413" spans="1:4" x14ac:dyDescent="0.25">
      <c r="A27413" t="str">
        <f>HYPERLINK("https://www.773grp.com/globalSearch/CDCE62002EVM/page-1", "CDCE62002EVM")</f>
        <v>CDCE62002EVM</v>
      </c>
      <c r="B27413" s="3" t="s">
        <v>90</v>
      </c>
      <c r="C27413" s="5">
        <v>2</v>
      </c>
      <c r="D27413" s="6">
        <v>425.09</v>
      </c>
    </row>
    <row r="27414" spans="1:4" x14ac:dyDescent="0.25">
      <c r="A27414" t="str">
        <f>HYPERLINK("https://www.773grp.com/globalSearch/CDCE72010EVM/page-1", "CDCE72010EVM")</f>
        <v>CDCE72010EVM</v>
      </c>
      <c r="B27414" s="3" t="s">
        <v>90</v>
      </c>
      <c r="C27414" s="5">
        <v>3</v>
      </c>
      <c r="D27414" s="6">
        <v>425.09</v>
      </c>
    </row>
    <row r="27415" spans="1:4" x14ac:dyDescent="0.25">
      <c r="A27415" t="str">
        <f>HYPERLINK("https://www.773grp.com/globalSearch/CDCM7005BGA-EVM/page-1", "CDCM7005BGA-EVM")</f>
        <v>CDCM7005BGA-EVM</v>
      </c>
      <c r="B27415" s="3" t="s">
        <v>90</v>
      </c>
      <c r="C27415" s="5">
        <v>3</v>
      </c>
      <c r="D27415" s="6">
        <v>425.09</v>
      </c>
    </row>
    <row r="27416" spans="1:4" x14ac:dyDescent="0.25">
      <c r="A27416" t="str">
        <f>HYPERLINK("https://www.773grp.com/globalSearch/CDCM7005QFN-EVM/page-1", "CDCM7005QFN-EVM")</f>
        <v>CDCM7005QFN-EVM</v>
      </c>
      <c r="B27416" s="3" t="s">
        <v>90</v>
      </c>
      <c r="C27416" s="5">
        <v>1</v>
      </c>
      <c r="D27416" s="6">
        <v>425.09</v>
      </c>
    </row>
    <row r="27417" spans="1:4" x14ac:dyDescent="0.25">
      <c r="A27417" t="str">
        <f>HYPERLINK("https://www.773grp.com/globalSearch/DAC2932EVM/page-1", "DAC2932EVM")</f>
        <v>DAC2932EVM</v>
      </c>
      <c r="B27417" s="3" t="s">
        <v>90</v>
      </c>
      <c r="C27417" s="5">
        <v>1</v>
      </c>
      <c r="D27417" s="6">
        <v>425.09</v>
      </c>
    </row>
    <row r="27418" spans="1:4" x14ac:dyDescent="0.25">
      <c r="A27418" t="str">
        <f>HYPERLINK("https://www.773grp.com/globalSearch/DAC3162EVM/page-1", "DAC3162EVM")</f>
        <v>DAC3162EVM</v>
      </c>
      <c r="B27418" s="3" t="s">
        <v>90</v>
      </c>
      <c r="C27418" s="5">
        <v>1</v>
      </c>
      <c r="D27418" s="6">
        <v>425.09</v>
      </c>
    </row>
    <row r="27419" spans="1:4" x14ac:dyDescent="0.25">
      <c r="A27419" t="str">
        <f>HYPERLINK("https://www.773grp.com/globalSearch/DAC5675AEVM/page-1", "DAC5675AEVM")</f>
        <v>DAC5675AEVM</v>
      </c>
      <c r="B27419" s="3" t="s">
        <v>90</v>
      </c>
      <c r="C27419" s="5">
        <v>1</v>
      </c>
      <c r="D27419" s="6">
        <v>425.09</v>
      </c>
    </row>
    <row r="27420" spans="1:4" x14ac:dyDescent="0.25">
      <c r="A27420" t="str">
        <f>HYPERLINK("https://www.773grp.com/globalSearch/DAC5686EVM/page-1", "DAC5686EVM")</f>
        <v>DAC5686EVM</v>
      </c>
      <c r="B27420" s="3" t="s">
        <v>90</v>
      </c>
      <c r="C27420" s="5">
        <v>3</v>
      </c>
      <c r="D27420" s="6">
        <v>425.09</v>
      </c>
    </row>
    <row r="27421" spans="1:4" x14ac:dyDescent="0.25">
      <c r="A27421" t="str">
        <f>HYPERLINK("https://www.773grp.com/globalSearch/DAC5687EVM/page-1", "DAC5687EVM")</f>
        <v>DAC5687EVM</v>
      </c>
      <c r="B27421" s="3" t="s">
        <v>90</v>
      </c>
      <c r="C27421" s="5">
        <v>2</v>
      </c>
      <c r="D27421" s="6">
        <v>425.09</v>
      </c>
    </row>
    <row r="27422" spans="1:4" x14ac:dyDescent="0.25">
      <c r="A27422" t="str">
        <f>HYPERLINK("https://www.773grp.com/globalSearch/EKB-UCOS3-BNDL/page-1", "EKB-UCOS3-BNDL")</f>
        <v>EKB-UCOS3-BNDL</v>
      </c>
      <c r="B27422" s="3" t="s">
        <v>90</v>
      </c>
      <c r="C27422" s="5">
        <v>52</v>
      </c>
      <c r="D27422" s="6">
        <v>425.09</v>
      </c>
    </row>
    <row r="27423" spans="1:4" x14ac:dyDescent="0.25">
      <c r="A27423" t="str">
        <f>HYPERLINK("https://www.773grp.com/globalSearch/EV2400/page-1", "EV2400")</f>
        <v>EV2400</v>
      </c>
      <c r="B27423" s="3" t="s">
        <v>90</v>
      </c>
      <c r="C27423" s="5">
        <v>3</v>
      </c>
      <c r="D27423" s="6">
        <v>425.09</v>
      </c>
    </row>
    <row r="27424" spans="1:4" x14ac:dyDescent="0.25">
      <c r="A27424" t="str">
        <f>HYPERLINK("https://www.773grp.com/globalSearch/GC5016EVM/page-1", "GC5016EVM")</f>
        <v>GC5016EVM</v>
      </c>
      <c r="B27424" s="3" t="s">
        <v>90</v>
      </c>
      <c r="C27424" s="5">
        <v>3</v>
      </c>
      <c r="D27424" s="6">
        <v>425.09</v>
      </c>
    </row>
    <row r="27425" spans="1:4" x14ac:dyDescent="0.25">
      <c r="A27425" t="str">
        <f>HYPERLINK("https://www.773grp.com/globalSearch/HVBLDCMTR/page-1", "HVBLDCMTR")</f>
        <v>HVBLDCMTR</v>
      </c>
      <c r="B27425" s="3" t="s">
        <v>90</v>
      </c>
      <c r="C27425" s="5">
        <v>2</v>
      </c>
      <c r="D27425" s="6">
        <v>425.09</v>
      </c>
    </row>
    <row r="27426" spans="1:4" x14ac:dyDescent="0.25">
      <c r="A27426" t="str">
        <f>HYPERLINK("https://www.773grp.com/globalSearch/MDL-IDM/page-1", "MDL-IDM")</f>
        <v>MDL-IDM</v>
      </c>
      <c r="B27426" s="3" t="s">
        <v>90</v>
      </c>
      <c r="C27426" s="5">
        <v>1</v>
      </c>
      <c r="D27426" s="6">
        <v>425.09</v>
      </c>
    </row>
    <row r="27427" spans="1:4" x14ac:dyDescent="0.25">
      <c r="A27427" t="str">
        <f>HYPERLINK("https://www.773grp.com/globalSearch/MSP-GANG430/page-1", "MSP-GANG430")</f>
        <v>MSP-GANG430</v>
      </c>
      <c r="B27427" s="3" t="s">
        <v>90</v>
      </c>
      <c r="C27427" s="5">
        <v>1</v>
      </c>
      <c r="D27427" s="6">
        <v>425.09</v>
      </c>
    </row>
    <row r="27428" spans="1:4" x14ac:dyDescent="0.25">
      <c r="A27428" t="str">
        <f>HYPERLINK("https://www.773grp.com/globalSearch/MSP-PRGS430/page-1", "MSP-PRGS430")</f>
        <v>MSP-PRGS430</v>
      </c>
      <c r="B27428" s="3" t="s">
        <v>90</v>
      </c>
      <c r="C27428" s="5">
        <v>2</v>
      </c>
      <c r="D27428" s="6">
        <v>425.09</v>
      </c>
    </row>
    <row r="27429" spans="1:4" x14ac:dyDescent="0.25">
      <c r="A27429" t="str">
        <f>HYPERLINK("https://www.773grp.com/globalSearch/PCM5122EVM-U/page-1", "PCM5122EVM-U")</f>
        <v>PCM5122EVM-U</v>
      </c>
      <c r="B27429" s="3" t="s">
        <v>90</v>
      </c>
      <c r="C27429" s="5">
        <v>6</v>
      </c>
      <c r="D27429" s="6">
        <v>425.09</v>
      </c>
    </row>
    <row r="27430" spans="1:4" x14ac:dyDescent="0.25">
      <c r="A27430" t="str">
        <f>HYPERLINK("https://www.773grp.com/globalSearch/PCM5142EVM-U/page-1", "PCM5142EVM-U")</f>
        <v>PCM5142EVM-U</v>
      </c>
      <c r="B27430" s="3" t="s">
        <v>90</v>
      </c>
      <c r="C27430" s="5">
        <v>7</v>
      </c>
      <c r="D27430" s="6">
        <v>425.09</v>
      </c>
    </row>
    <row r="27431" spans="1:4" x14ac:dyDescent="0.25">
      <c r="A27431" t="str">
        <f>HYPERLINK("https://www.773grp.com/globalSearch/PGA309EVM-USB/page-1", "PGA309EVM-USB")</f>
        <v>PGA309EVM-USB</v>
      </c>
      <c r="B27431" s="3" t="s">
        <v>90</v>
      </c>
      <c r="C27431" s="5">
        <v>3</v>
      </c>
      <c r="D27431" s="6">
        <v>425.09</v>
      </c>
    </row>
    <row r="27432" spans="1:4" x14ac:dyDescent="0.25">
      <c r="A27432" t="str">
        <f>HYPERLINK("https://www.773grp.com/globalSearch/RDK-STEPPER/page-1", "RDK-STEPPER")</f>
        <v>RDK-STEPPER</v>
      </c>
      <c r="B27432" s="3" t="s">
        <v>90</v>
      </c>
      <c r="C27432" s="5">
        <v>25</v>
      </c>
      <c r="D27432" s="6">
        <v>425.09</v>
      </c>
    </row>
    <row r="27433" spans="1:4" x14ac:dyDescent="0.25">
      <c r="A27433" t="str">
        <f>HYPERLINK("https://www.773grp.com/globalSearch/STK-PRO430-MVK/page-1", "STK-PRO430-MVK")</f>
        <v>STK-PRO430-MVK</v>
      </c>
      <c r="B27433" s="3" t="s">
        <v>90</v>
      </c>
      <c r="C27433" s="5">
        <v>8</v>
      </c>
      <c r="D27433" s="6">
        <v>425.09</v>
      </c>
    </row>
    <row r="27434" spans="1:4" x14ac:dyDescent="0.25">
      <c r="A27434" t="str">
        <f>HYPERLINK("https://www.773grp.com/globalSearch/TALP1000B/page-1", "TALP1000B")</f>
        <v>TALP1000B</v>
      </c>
      <c r="B27434" s="3" t="s">
        <v>90</v>
      </c>
      <c r="C27434" s="5">
        <v>3</v>
      </c>
      <c r="D27434" s="6">
        <v>425.09</v>
      </c>
    </row>
    <row r="27435" spans="1:4" x14ac:dyDescent="0.25">
      <c r="A27435" t="str">
        <f>HYPERLINK("https://www.773grp.com/globalSearch/TAS5708EVM/page-1", "TAS5708EVM")</f>
        <v>TAS5708EVM</v>
      </c>
      <c r="B27435" s="3" t="s">
        <v>90</v>
      </c>
      <c r="C27435" s="5">
        <v>1</v>
      </c>
      <c r="D27435" s="6">
        <v>425.09</v>
      </c>
    </row>
    <row r="27436" spans="1:4" x14ac:dyDescent="0.25">
      <c r="A27436" t="str">
        <f>HYPERLINK("https://www.773grp.com/globalSearch/TAS5710EVM/page-1", "TAS5710EVM")</f>
        <v>TAS5710EVM</v>
      </c>
      <c r="B27436" s="3" t="s">
        <v>90</v>
      </c>
      <c r="C27436" s="5">
        <v>2</v>
      </c>
      <c r="D27436" s="6">
        <v>425.09</v>
      </c>
    </row>
    <row r="27437" spans="1:4" x14ac:dyDescent="0.25">
      <c r="A27437" t="str">
        <f>HYPERLINK("https://www.773grp.com/globalSearch/TAS5719EVM/page-1", "TAS5719EVM")</f>
        <v>TAS5719EVM</v>
      </c>
      <c r="B27437" s="3" t="s">
        <v>90</v>
      </c>
      <c r="C27437" s="5">
        <v>4</v>
      </c>
      <c r="D27437" s="6">
        <v>425.09</v>
      </c>
    </row>
    <row r="27438" spans="1:4" x14ac:dyDescent="0.25">
      <c r="A27438" t="str">
        <f>HYPERLINK("https://www.773grp.com/globalSearch/THS7327EVM/page-1", "THS7327EVM")</f>
        <v>THS7327EVM</v>
      </c>
      <c r="B27438" s="3" t="s">
        <v>90</v>
      </c>
      <c r="C27438" s="5">
        <v>1</v>
      </c>
      <c r="D27438" s="6">
        <v>425.09</v>
      </c>
    </row>
    <row r="27439" spans="1:4" x14ac:dyDescent="0.25">
      <c r="A27439" t="str">
        <f>HYPERLINK("https://www.773grp.com/globalSearch/TLV320AIC1106EVM-K/page-1", "TLV320AIC1106EVM-K")</f>
        <v>TLV320AIC1106EVM-K</v>
      </c>
      <c r="B27439" s="3" t="s">
        <v>90</v>
      </c>
      <c r="C27439" s="5">
        <v>5</v>
      </c>
      <c r="D27439" s="6">
        <v>425.09</v>
      </c>
    </row>
    <row r="27440" spans="1:4" x14ac:dyDescent="0.25">
      <c r="A27440" t="str">
        <f>HYPERLINK("https://www.773grp.com/globalSearch/TLV320AIC1110EVM-K/page-1", "TLV320AIC1110EVM-K")</f>
        <v>TLV320AIC1110EVM-K</v>
      </c>
      <c r="B27440" s="3" t="s">
        <v>90</v>
      </c>
      <c r="C27440" s="5">
        <v>6</v>
      </c>
      <c r="D27440" s="6">
        <v>425.09</v>
      </c>
    </row>
    <row r="27441" spans="1:4" x14ac:dyDescent="0.25">
      <c r="A27441" t="str">
        <f>HYPERLINK("https://www.773grp.com/globalSearch/TLV320AIC23EVM2/page-1", "TLV320AIC23EVM2")</f>
        <v>TLV320AIC23EVM2</v>
      </c>
      <c r="B27441" s="3" t="s">
        <v>90</v>
      </c>
      <c r="C27441" s="5">
        <v>2</v>
      </c>
      <c r="D27441" s="6">
        <v>425.09</v>
      </c>
    </row>
    <row r="27442" spans="1:4" x14ac:dyDescent="0.25">
      <c r="A27442" t="str">
        <f>HYPERLINK("https://www.773grp.com/globalSearch/TMDX570LS12HDK/page-1", "TMDX570LS12HDK")</f>
        <v>TMDX570LS12HDK</v>
      </c>
      <c r="B27442" s="3" t="s">
        <v>90</v>
      </c>
      <c r="C27442" s="5">
        <v>1</v>
      </c>
      <c r="D27442" s="6">
        <v>425.09</v>
      </c>
    </row>
    <row r="27443" spans="1:4" x14ac:dyDescent="0.25">
      <c r="A27443" t="str">
        <f>HYPERLINK("https://www.773grp.com/globalSearch/TMDX570LS31HDK/page-1", "TMDX570LS31HDK")</f>
        <v>TMDX570LS31HDK</v>
      </c>
      <c r="B27443" s="3" t="s">
        <v>90</v>
      </c>
      <c r="C27443" s="5">
        <v>9</v>
      </c>
      <c r="D27443" s="6">
        <v>425.09</v>
      </c>
    </row>
    <row r="27444" spans="1:4" x14ac:dyDescent="0.25">
      <c r="A27444" t="str">
        <f>HYPERLINK("https://www.773grp.com/globalSearch/TPA2051D3YFFEVM/page-1", "TPA2051D3YFFEVM")</f>
        <v>TPA2051D3YFFEVM</v>
      </c>
      <c r="B27444" s="3" t="s">
        <v>90</v>
      </c>
      <c r="C27444" s="5">
        <v>2</v>
      </c>
      <c r="D27444" s="6">
        <v>425.09</v>
      </c>
    </row>
    <row r="27445" spans="1:4" x14ac:dyDescent="0.25">
      <c r="A27445" t="str">
        <f>HYPERLINK("https://www.773grp.com/globalSearch/TRF3703-15EVM/page-1", "TRF3703-15EVM")</f>
        <v>TRF3703-15EVM</v>
      </c>
      <c r="B27445" s="3" t="s">
        <v>90</v>
      </c>
      <c r="C27445" s="5">
        <v>2</v>
      </c>
      <c r="D27445" s="6">
        <v>425.09</v>
      </c>
    </row>
    <row r="27446" spans="1:4" x14ac:dyDescent="0.25">
      <c r="A27446" t="str">
        <f>HYPERLINK("https://www.773grp.com/globalSearch/TRF3703-33EVM/page-1", "TRF3703-33EVM")</f>
        <v>TRF3703-33EVM</v>
      </c>
      <c r="B27446" s="3" t="s">
        <v>90</v>
      </c>
      <c r="C27446" s="5">
        <v>3</v>
      </c>
      <c r="D27446" s="6">
        <v>425.09</v>
      </c>
    </row>
    <row r="27447" spans="1:4" x14ac:dyDescent="0.25">
      <c r="A27447" t="str">
        <f>HYPERLINK("https://www.773grp.com/globalSearch/TRF3750Q1900EVM/page-1", "TRF3750Q1900EVM")</f>
        <v>TRF3750Q1900EVM</v>
      </c>
      <c r="B27447" s="3" t="s">
        <v>90</v>
      </c>
      <c r="C27447" s="5">
        <v>1</v>
      </c>
      <c r="D27447" s="6">
        <v>425.09</v>
      </c>
    </row>
    <row r="27448" spans="1:4" x14ac:dyDescent="0.25">
      <c r="A27448" t="str">
        <f>HYPERLINK("https://www.773grp.com/globalSearch/TSC2020EVM-PDK/page-1", "TSC2020EVM-PDK")</f>
        <v>TSC2020EVM-PDK</v>
      </c>
      <c r="B27448" s="3" t="s">
        <v>90</v>
      </c>
      <c r="C27448" s="5">
        <v>2</v>
      </c>
      <c r="D27448" s="6">
        <v>425.09</v>
      </c>
    </row>
    <row r="27449" spans="1:4" x14ac:dyDescent="0.25">
      <c r="A27449" t="str">
        <f>HYPERLINK("https://www.773grp.com/globalSearch/TUSB3210GENPDK/page-1", "TUSB3210GENPDK")</f>
        <v>TUSB3210GENPDK</v>
      </c>
      <c r="B27449" s="3" t="s">
        <v>90</v>
      </c>
      <c r="C27449" s="5">
        <v>2</v>
      </c>
      <c r="D27449" s="6">
        <v>425.09</v>
      </c>
    </row>
    <row r="27450" spans="1:4" x14ac:dyDescent="0.25">
      <c r="A27450" t="str">
        <f>HYPERLINK("https://www.773grp.com/globalSearch/TUSB6020PDK/page-1", "TUSB6020PDK")</f>
        <v>TUSB6020PDK</v>
      </c>
      <c r="B27450" s="3" t="s">
        <v>90</v>
      </c>
      <c r="C27450" s="5">
        <v>1</v>
      </c>
      <c r="D27450" s="6">
        <v>425.09</v>
      </c>
    </row>
    <row r="27451" spans="1:4" x14ac:dyDescent="0.25">
      <c r="A27451" t="str">
        <f>HYPERLINK("https://www.773grp.com/globalSearch/WLEDEVM-260/page-1", "WLEDEVM-260")</f>
        <v>WLEDEVM-260</v>
      </c>
      <c r="B27451" s="3" t="s">
        <v>90</v>
      </c>
      <c r="C27451" s="5">
        <v>1</v>
      </c>
      <c r="D27451" s="6">
        <v>425.09</v>
      </c>
    </row>
    <row r="27452" spans="1:4" x14ac:dyDescent="0.25">
      <c r="A27452" t="str">
        <f>HYPERLINK("https://www.773grp.com/globalSearch/XTR108EVM/page-1", "XTR108EVM")</f>
        <v>XTR108EVM</v>
      </c>
      <c r="B27452" s="3" t="s">
        <v>90</v>
      </c>
      <c r="C27452" s="5">
        <v>1</v>
      </c>
      <c r="D27452" s="6">
        <v>425.09</v>
      </c>
    </row>
    <row r="27453" spans="1:4" x14ac:dyDescent="0.25">
      <c r="A27453" t="str">
        <f>HYPERLINK("https://www.773grp.com/globalSearch/TMS320C6670AXCYP2/page-1", "TMS320C6670AXCYP2")</f>
        <v>TMS320C6670AXCYP2</v>
      </c>
      <c r="B27453" s="3" t="s">
        <v>90</v>
      </c>
      <c r="C27453" s="5">
        <v>88</v>
      </c>
      <c r="D27453" s="6">
        <v>427.21</v>
      </c>
    </row>
    <row r="27454" spans="1:4" x14ac:dyDescent="0.25">
      <c r="A27454" t="str">
        <f>HYPERLINK("https://www.773grp.com/globalSearch/TMS320C6678CYP25/page-1", "TMS320C6678CYP25")</f>
        <v>TMS320C6678CYP25</v>
      </c>
      <c r="B27454" s="3" t="s">
        <v>90</v>
      </c>
      <c r="C27454" s="5">
        <v>29</v>
      </c>
      <c r="D27454" s="6">
        <v>427.21</v>
      </c>
    </row>
    <row r="27455" spans="1:4" x14ac:dyDescent="0.25">
      <c r="A27455" t="str">
        <f>HYPERLINK("https://www.773grp.com/globalSearch/TMS320C6678CYPA/page-1", "TMS320C6678CYPA")</f>
        <v>TMS320C6678CYPA</v>
      </c>
      <c r="B27455" s="3" t="s">
        <v>90</v>
      </c>
      <c r="C27455" s="5">
        <v>8</v>
      </c>
      <c r="D27455" s="6">
        <v>427.21</v>
      </c>
    </row>
    <row r="27456" spans="1:4" x14ac:dyDescent="0.25">
      <c r="A27456" t="str">
        <f>HYPERLINK("https://www.773grp.com/globalSearch/UC1832J-90083/page-1", "UC1832J-90083")</f>
        <v>UC1832J-90083</v>
      </c>
      <c r="B27456" s="3" t="s">
        <v>90</v>
      </c>
      <c r="C27456" s="5">
        <v>79</v>
      </c>
      <c r="D27456" s="6">
        <v>427.21</v>
      </c>
    </row>
    <row r="27457" spans="1:4" x14ac:dyDescent="0.25">
      <c r="A27457" t="str">
        <f>HYPERLINK("https://www.773grp.com/globalSearch/UC1832J-90089/page-1", "UC1832J-90089")</f>
        <v>UC1832J-90089</v>
      </c>
      <c r="B27457" s="3" t="s">
        <v>90</v>
      </c>
      <c r="C27457" s="5">
        <v>228</v>
      </c>
      <c r="D27457" s="6">
        <v>427.21</v>
      </c>
    </row>
    <row r="27458" spans="1:4" x14ac:dyDescent="0.25">
      <c r="A27458" t="str">
        <f>HYPERLINK("https://www.773grp.com/globalSearch/UC1832J-90102/page-1", "UC1832J-90102")</f>
        <v>UC1832J-90102</v>
      </c>
      <c r="B27458" s="3" t="s">
        <v>90</v>
      </c>
      <c r="C27458" s="5">
        <v>86</v>
      </c>
      <c r="D27458" s="6">
        <v>427.21</v>
      </c>
    </row>
    <row r="27459" spans="1:4" x14ac:dyDescent="0.25">
      <c r="A27459" t="str">
        <f>HYPERLINK("https://www.773grp.com/globalSearch/TMS320C6474FGUNA/page-1", "TMS320C6474FGUNA")</f>
        <v>TMS320C6474FGUNA</v>
      </c>
      <c r="B27459" s="3" t="s">
        <v>90</v>
      </c>
      <c r="C27459" s="5">
        <v>15677</v>
      </c>
      <c r="D27459" s="6">
        <v>429.89</v>
      </c>
    </row>
    <row r="27460" spans="1:4" x14ac:dyDescent="0.25">
      <c r="A27460" t="str">
        <f>HYPERLINK("https://www.773grp.com/globalSearch/ISO113B/page-1", "ISO113B")</f>
        <v>ISO113B</v>
      </c>
      <c r="B27460" s="3" t="s">
        <v>90</v>
      </c>
      <c r="C27460" s="5">
        <v>213</v>
      </c>
      <c r="D27460" s="6">
        <v>430.09</v>
      </c>
    </row>
    <row r="27461" spans="1:4" x14ac:dyDescent="0.25">
      <c r="A27461" t="str">
        <f>HYPERLINK("https://www.773grp.com/globalSearch/TMX320C6416CGLZ/page-1", "TMX320C6416CGLZ")</f>
        <v>TMX320C6416CGLZ</v>
      </c>
      <c r="B27461" s="3" t="s">
        <v>90</v>
      </c>
      <c r="C27461" s="5">
        <v>18</v>
      </c>
      <c r="D27461" s="6">
        <v>432.33</v>
      </c>
    </row>
    <row r="27462" spans="1:4" x14ac:dyDescent="0.25">
      <c r="A27462" t="str">
        <f>HYPERLINK("https://www.773grp.com/globalSearch/TMS320C6454BZTZ2/page-1", "TMS320C6454BZTZ2")</f>
        <v>TMS320C6454BZTZ2</v>
      </c>
      <c r="B27462" s="3" t="s">
        <v>90</v>
      </c>
      <c r="C27462" s="5">
        <v>5</v>
      </c>
      <c r="D27462" s="6">
        <v>440.04</v>
      </c>
    </row>
    <row r="27463" spans="1:4" x14ac:dyDescent="0.25">
      <c r="A27463" t="str">
        <f>HYPERLINK("https://www.773grp.com/globalSearch/TMS320C6678AXCYP25/page-1", "TMS320C6678AXCYP25")</f>
        <v>TMS320C6678AXCYP25</v>
      </c>
      <c r="B27463" s="3" t="s">
        <v>90</v>
      </c>
      <c r="C27463" s="5">
        <v>44</v>
      </c>
      <c r="D27463" s="6">
        <v>444.3</v>
      </c>
    </row>
    <row r="27464" spans="1:4" x14ac:dyDescent="0.25">
      <c r="A27464" t="str">
        <f>HYPERLINK("https://www.773grp.com/globalSearch/TMS320C6455BGTZA/page-1", "TMS320C6455BGTZA")</f>
        <v>TMS320C6455BGTZA</v>
      </c>
      <c r="B27464" s="3" t="s">
        <v>90</v>
      </c>
      <c r="C27464" s="5">
        <v>53</v>
      </c>
      <c r="D27464" s="6">
        <v>447.41</v>
      </c>
    </row>
    <row r="27465" spans="1:4" x14ac:dyDescent="0.25">
      <c r="A27465" t="str">
        <f>HYPERLINK("https://www.773grp.com/globalSearch/TMDSPLCMODA-P3X/page-1", "TMDSPLCMODA-P3X")</f>
        <v>TMDSPLCMODA-P3X</v>
      </c>
      <c r="B27465" s="3" t="s">
        <v>90</v>
      </c>
      <c r="C27465" s="5">
        <v>6</v>
      </c>
      <c r="D27465" s="6">
        <v>459.25</v>
      </c>
    </row>
    <row r="27466" spans="1:4" x14ac:dyDescent="0.25">
      <c r="A27466" t="str">
        <f>HYPERLINK("https://www.773grp.com/globalSearch/TMS320C6455BCTZ2/page-1", "TMS320C6455BCTZ2")</f>
        <v>TMS320C6455BCTZ2</v>
      </c>
      <c r="B27466" s="3" t="s">
        <v>90</v>
      </c>
      <c r="C27466" s="5">
        <v>131</v>
      </c>
      <c r="D27466" s="6">
        <v>460.79</v>
      </c>
    </row>
    <row r="27467" spans="1:4" x14ac:dyDescent="0.25">
      <c r="A27467" t="str">
        <f>HYPERLINK("https://www.773grp.com/globalSearch/RDK-BDC/page-1", "RDK-BDC")</f>
        <v>RDK-BDC</v>
      </c>
      <c r="B27467" s="3" t="s">
        <v>90</v>
      </c>
      <c r="C27467" s="5">
        <v>5</v>
      </c>
      <c r="D27467" s="6">
        <v>467.81</v>
      </c>
    </row>
    <row r="27468" spans="1:4" x14ac:dyDescent="0.25">
      <c r="A27468" t="str">
        <f>HYPERLINK("https://www.773grp.com/globalSearch/RDK-BDC24/page-1", "RDK-BDC24")</f>
        <v>RDK-BDC24</v>
      </c>
      <c r="B27468" s="3" t="s">
        <v>90</v>
      </c>
      <c r="C27468" s="5">
        <v>2</v>
      </c>
      <c r="D27468" s="6">
        <v>467.81</v>
      </c>
    </row>
    <row r="27469" spans="1:4" x14ac:dyDescent="0.25">
      <c r="A27469" t="str">
        <f>HYPERLINK("https://www.773grp.com/globalSearch/RDK-BLDC/page-1", "RDK-BLDC")</f>
        <v>RDK-BLDC</v>
      </c>
      <c r="B27469" s="3" t="s">
        <v>90</v>
      </c>
      <c r="C27469" s="5">
        <v>5</v>
      </c>
      <c r="D27469" s="6">
        <v>467.81</v>
      </c>
    </row>
    <row r="27470" spans="1:4" x14ac:dyDescent="0.25">
      <c r="A27470" t="str">
        <f>HYPERLINK("https://www.773grp.com/globalSearch/RDK-IDM/page-1", "RDK-IDM")</f>
        <v>RDK-IDM</v>
      </c>
      <c r="B27470" s="3" t="s">
        <v>90</v>
      </c>
      <c r="C27470" s="5">
        <v>21</v>
      </c>
      <c r="D27470" s="6">
        <v>467.81</v>
      </c>
    </row>
    <row r="27471" spans="1:4" x14ac:dyDescent="0.25">
      <c r="A27471" t="str">
        <f>HYPERLINK("https://www.773grp.com/globalSearch/RDK-IDM-L35/page-1", "RDK-IDM-L35")</f>
        <v>RDK-IDM-L35</v>
      </c>
      <c r="B27471" s="3" t="s">
        <v>90</v>
      </c>
      <c r="C27471" s="5">
        <v>13</v>
      </c>
      <c r="D27471" s="6">
        <v>467.81</v>
      </c>
    </row>
    <row r="27472" spans="1:4" x14ac:dyDescent="0.25">
      <c r="A27472" t="str">
        <f>HYPERLINK("https://www.773grp.com/globalSearch/UC1610J-90135/page-1", "UC1610J-90135")</f>
        <v>UC1610J-90135</v>
      </c>
      <c r="B27472" s="3" t="s">
        <v>90</v>
      </c>
      <c r="C27472" s="5">
        <v>46</v>
      </c>
      <c r="D27472" s="6">
        <v>469.94</v>
      </c>
    </row>
    <row r="27473" spans="1:4" x14ac:dyDescent="0.25">
      <c r="A27473" t="str">
        <f>HYPERLINK("https://www.773grp.com/globalSearch/UC1834J-90005/page-1", "UC1834J-90005")</f>
        <v>UC1834J-90005</v>
      </c>
      <c r="B27473" s="3" t="s">
        <v>90</v>
      </c>
      <c r="C27473" s="5">
        <v>100</v>
      </c>
      <c r="D27473" s="6">
        <v>469.94</v>
      </c>
    </row>
    <row r="27474" spans="1:4" x14ac:dyDescent="0.25">
      <c r="A27474" t="str">
        <f>HYPERLINK("https://www.773grp.com/globalSearch/UC1834J-90021/page-1", "UC1834J-90021")</f>
        <v>UC1834J-90021</v>
      </c>
      <c r="B27474" s="3" t="s">
        <v>90</v>
      </c>
      <c r="C27474" s="5">
        <v>30</v>
      </c>
      <c r="D27474" s="6">
        <v>469.94</v>
      </c>
    </row>
    <row r="27475" spans="1:4" x14ac:dyDescent="0.25">
      <c r="A27475" t="str">
        <f>HYPERLINK("https://www.773grp.com/globalSearch/UC1834J-90093/page-1", "UC1834J-90093")</f>
        <v>UC1834J-90093</v>
      </c>
      <c r="B27475" s="3" t="s">
        <v>90</v>
      </c>
      <c r="C27475" s="5">
        <v>30</v>
      </c>
      <c r="D27475" s="6">
        <v>469.94</v>
      </c>
    </row>
    <row r="27476" spans="1:4" x14ac:dyDescent="0.25">
      <c r="A27476" t="str">
        <f>HYPERLINK("https://www.773grp.com/globalSearch/ADS1278SHKP/page-1", "ADS1278SHKP")</f>
        <v>ADS1278SHKP</v>
      </c>
      <c r="B27476" s="3" t="s">
        <v>90</v>
      </c>
      <c r="C27476" s="5">
        <v>3</v>
      </c>
      <c r="D27476" s="6">
        <v>480.61</v>
      </c>
    </row>
    <row r="27477" spans="1:4" x14ac:dyDescent="0.25">
      <c r="A27477" t="str">
        <f>HYPERLINK("https://www.773grp.com/globalSearch/TMDSDCDC2KIT/page-1", "TMDSDCDC2KIT")</f>
        <v>TMDSDCDC2KIT</v>
      </c>
      <c r="B27477" s="3" t="s">
        <v>90</v>
      </c>
      <c r="C27477" s="5">
        <v>7</v>
      </c>
      <c r="D27477" s="6">
        <v>489.15</v>
      </c>
    </row>
    <row r="27478" spans="1:4" x14ac:dyDescent="0.25">
      <c r="A27478" t="str">
        <f>HYPERLINK("https://www.773grp.com/globalSearch/TMDSRESDCKIT/page-1", "TMDSRESDCKIT")</f>
        <v>TMDSRESDCKIT</v>
      </c>
      <c r="B27478" s="3" t="s">
        <v>90</v>
      </c>
      <c r="C27478" s="5">
        <v>3</v>
      </c>
      <c r="D27478" s="6">
        <v>489.15</v>
      </c>
    </row>
    <row r="27479" spans="1:4" x14ac:dyDescent="0.25">
      <c r="A27479" t="str">
        <f>HYPERLINK("https://www.773grp.com/globalSearch/TMX320C6202GJL12/page-1", "TMX320C6202GJL12")</f>
        <v>TMX320C6202GJL12</v>
      </c>
      <c r="B27479" s="3" t="s">
        <v>90</v>
      </c>
      <c r="C27479" s="5">
        <v>56</v>
      </c>
      <c r="D27479" s="6">
        <v>490.2</v>
      </c>
    </row>
    <row r="27480" spans="1:4" x14ac:dyDescent="0.25">
      <c r="A27480" t="str">
        <f>HYPERLINK("https://www.773grp.com/globalSearch/TMS320C6472EZTZ7/page-1", "TMS320C6472EZTZ7")</f>
        <v>TMS320C6472EZTZ7</v>
      </c>
      <c r="B27480" s="3" t="s">
        <v>90</v>
      </c>
      <c r="C27480" s="5">
        <v>1</v>
      </c>
      <c r="D27480" s="6">
        <v>492.59</v>
      </c>
    </row>
    <row r="27481" spans="1:4" x14ac:dyDescent="0.25">
      <c r="A27481" t="str">
        <f>HYPERLINK("https://www.773grp.com/globalSearch/TMS320C44PDB60/page-1", "TMS320C44PDB60")</f>
        <v>TMS320C44PDB60</v>
      </c>
      <c r="B27481" s="3" t="s">
        <v>90</v>
      </c>
      <c r="C27481" s="5">
        <v>26</v>
      </c>
      <c r="D27481" s="6">
        <v>497.28</v>
      </c>
    </row>
    <row r="27482" spans="1:4" x14ac:dyDescent="0.25">
      <c r="A27482" t="str">
        <f>HYPERLINK("https://www.773grp.com/globalSearch/5962-0721901VHA/page-1", "5962-0721901VHA")</f>
        <v>5962-0721901VHA</v>
      </c>
      <c r="B27482" s="3" t="s">
        <v>90</v>
      </c>
      <c r="C27482" s="5">
        <v>74</v>
      </c>
      <c r="D27482" s="6">
        <v>498.04</v>
      </c>
    </row>
    <row r="27483" spans="1:4" x14ac:dyDescent="0.25">
      <c r="A27483" t="str">
        <f>HYPERLINK("https://www.773grp.com/globalSearch/5962-9957001Q2A/page-1", "5962-9957001Q2A")</f>
        <v>5962-9957001Q2A</v>
      </c>
      <c r="B27483" s="3" t="s">
        <v>90</v>
      </c>
      <c r="C27483" s="5">
        <v>27</v>
      </c>
      <c r="D27483" s="6">
        <v>499.88</v>
      </c>
    </row>
    <row r="27484" spans="1:4" x14ac:dyDescent="0.25">
      <c r="A27484" t="str">
        <f>HYPERLINK("https://www.773grp.com/globalSearch/SN74ACT8832AGB/page-1", "SN74ACT8832AGB")</f>
        <v>SN74ACT8832AGB</v>
      </c>
      <c r="B27484" s="3" t="s">
        <v>90</v>
      </c>
      <c r="C27484" s="5">
        <v>210</v>
      </c>
      <c r="D27484" s="6">
        <v>501.98</v>
      </c>
    </row>
    <row r="27485" spans="1:4" x14ac:dyDescent="0.25">
      <c r="A27485" t="str">
        <f>HYPERLINK("https://www.773grp.com/globalSearch/TMS320C30GEL40/page-1", "TMS320C30GEL40")</f>
        <v>TMS320C30GEL40</v>
      </c>
      <c r="B27485" s="3" t="s">
        <v>90</v>
      </c>
      <c r="C27485" s="5">
        <v>47</v>
      </c>
      <c r="D27485" s="6">
        <v>503.26</v>
      </c>
    </row>
    <row r="27486" spans="1:4" x14ac:dyDescent="0.25">
      <c r="A27486" t="str">
        <f>HYPERLINK("https://www.773grp.com/globalSearch/UC1825AJ-90113/page-1", "UC1825AJ-90113")</f>
        <v>UC1825AJ-90113</v>
      </c>
      <c r="B27486" s="3" t="s">
        <v>90</v>
      </c>
      <c r="C27486" s="5">
        <v>181</v>
      </c>
      <c r="D27486" s="6">
        <v>516.94000000000005</v>
      </c>
    </row>
    <row r="27487" spans="1:4" x14ac:dyDescent="0.25">
      <c r="A27487" t="str">
        <f>HYPERLINK("https://www.773grp.com/globalSearch/XACT89100GA/page-1", "XACT89100GA")</f>
        <v>XACT89100GA</v>
      </c>
      <c r="B27487" s="3" t="s">
        <v>90</v>
      </c>
      <c r="C27487" s="5">
        <v>1604</v>
      </c>
      <c r="D27487" s="6">
        <v>516.94000000000005</v>
      </c>
    </row>
    <row r="27488" spans="1:4" x14ac:dyDescent="0.25">
      <c r="A27488" t="str">
        <f>HYPERLINK("https://www.773grp.com/globalSearch/TMS320C6455DZTZA8/page-1", "TMS320C6455DZTZA8")</f>
        <v>TMS320C6455DZTZA8</v>
      </c>
      <c r="B27488" s="3" t="s">
        <v>90</v>
      </c>
      <c r="C27488" s="5">
        <v>248</v>
      </c>
      <c r="D27488" s="6">
        <v>526.34</v>
      </c>
    </row>
    <row r="27489" spans="1:4" x14ac:dyDescent="0.25">
      <c r="A27489" t="str">
        <f>HYPERLINK("https://www.773grp.com/globalSearch/DK-EM2-2520Z/page-1", "DK-EM2-2520Z")</f>
        <v>DK-EM2-2520Z</v>
      </c>
      <c r="B27489" s="3" t="s">
        <v>90</v>
      </c>
      <c r="C27489" s="5">
        <v>7</v>
      </c>
      <c r="D27489" s="6">
        <v>531.89</v>
      </c>
    </row>
    <row r="27490" spans="1:4" x14ac:dyDescent="0.25">
      <c r="A27490" t="str">
        <f>HYPERLINK("https://www.773grp.com/globalSearch/DK-LM3S801/page-1", "DK-LM3S801")</f>
        <v>DK-LM3S801</v>
      </c>
      <c r="B27490" s="3" t="s">
        <v>90</v>
      </c>
      <c r="C27490" s="5">
        <v>1</v>
      </c>
      <c r="D27490" s="6">
        <v>531.89</v>
      </c>
    </row>
    <row r="27491" spans="1:4" x14ac:dyDescent="0.25">
      <c r="A27491" t="str">
        <f>HYPERLINK("https://www.773grp.com/globalSearch/LMK04816BEVAL-NOPB/page-1", "LMK04816BEVAL-NOPB")</f>
        <v>LMK04816BEVAL-NOPB</v>
      </c>
      <c r="B27491" s="3" t="s">
        <v>90</v>
      </c>
      <c r="C27491" s="5">
        <v>1</v>
      </c>
      <c r="D27491" s="6">
        <v>531.89</v>
      </c>
    </row>
    <row r="27492" spans="1:4" x14ac:dyDescent="0.25">
      <c r="A27492" t="str">
        <f>HYPERLINK("https://www.773grp.com/globalSearch/MSP-SA430-SUB1GHZ/page-1", "MSP-SA430-SUB1GHZ")</f>
        <v>MSP-SA430-SUB1GHZ</v>
      </c>
      <c r="B27492" s="3" t="s">
        <v>90</v>
      </c>
      <c r="C27492" s="5">
        <v>6</v>
      </c>
      <c r="D27492" s="6">
        <v>531.89</v>
      </c>
    </row>
    <row r="27493" spans="1:4" x14ac:dyDescent="0.25">
      <c r="A27493" t="str">
        <f>HYPERLINK("https://www.773grp.com/globalSearch/TLV320DAC3203EVM-K/page-1", "TLV320DAC3203EVM-K")</f>
        <v>TLV320DAC3203EVM-K</v>
      </c>
      <c r="B27493" s="3" t="s">
        <v>90</v>
      </c>
      <c r="C27493" s="5">
        <v>1</v>
      </c>
      <c r="D27493" s="6">
        <v>531.89</v>
      </c>
    </row>
    <row r="27494" spans="1:4" x14ac:dyDescent="0.25">
      <c r="A27494" t="str">
        <f>HYPERLINK("https://www.773grp.com/globalSearch/TMDSHVPFCKIT/page-1", "TMDSHVPFCKIT")</f>
        <v>TMDSHVPFCKIT</v>
      </c>
      <c r="B27494" s="3" t="s">
        <v>90</v>
      </c>
      <c r="C27494" s="5">
        <v>6</v>
      </c>
      <c r="D27494" s="6">
        <v>531.89</v>
      </c>
    </row>
    <row r="27495" spans="1:4" x14ac:dyDescent="0.25">
      <c r="A27495" t="str">
        <f>HYPERLINK("https://www.773grp.com/globalSearch/DAC725KP/page-1", "DAC725KP")</f>
        <v>DAC725KP</v>
      </c>
      <c r="B27495" s="3" t="s">
        <v>90</v>
      </c>
      <c r="C27495" s="5">
        <v>505</v>
      </c>
      <c r="D27495" s="6">
        <v>534.03</v>
      </c>
    </row>
    <row r="27496" spans="1:4" x14ac:dyDescent="0.25">
      <c r="A27496" t="str">
        <f>HYPERLINK("https://www.773grp.com/globalSearch/TMDS3242850-02/page-1", "TMDS3242850-02")</f>
        <v>TMDS3242850-02</v>
      </c>
      <c r="B27496" s="3" t="s">
        <v>90</v>
      </c>
      <c r="C27496" s="5">
        <v>2</v>
      </c>
      <c r="D27496" s="6">
        <v>534.04</v>
      </c>
    </row>
    <row r="27497" spans="1:4" x14ac:dyDescent="0.25">
      <c r="A27497" t="str">
        <f>HYPERLINK("https://www.773grp.com/globalSearch/TMDS3780512A/page-1", "TMDS3780512A")</f>
        <v>TMDS3780512A</v>
      </c>
      <c r="B27497" s="3" t="s">
        <v>90</v>
      </c>
      <c r="C27497" s="5">
        <v>1</v>
      </c>
      <c r="D27497" s="6">
        <v>534.05999999999995</v>
      </c>
    </row>
    <row r="27498" spans="1:4" x14ac:dyDescent="0.25">
      <c r="A27498" t="str">
        <f>HYPERLINK("https://www.773grp.com/globalSearch/TMS320C6455DZTZ2/page-1", "TMS320C6455DZTZ2")</f>
        <v>TMS320C6455DZTZ2</v>
      </c>
      <c r="B27498" s="3" t="s">
        <v>90</v>
      </c>
      <c r="C27498" s="5">
        <v>1</v>
      </c>
      <c r="D27498" s="6">
        <v>542.14</v>
      </c>
    </row>
    <row r="27499" spans="1:4" x14ac:dyDescent="0.25">
      <c r="A27499" t="str">
        <f>HYPERLINK("https://www.773grp.com/globalSearch/5962-8670406VPA/page-1", "5962-8670406VPA")</f>
        <v>5962-8670406VPA</v>
      </c>
      <c r="B27499" s="3" t="s">
        <v>90</v>
      </c>
      <c r="C27499" s="5">
        <v>12</v>
      </c>
      <c r="D27499" s="6">
        <v>542.89</v>
      </c>
    </row>
    <row r="27500" spans="1:4" x14ac:dyDescent="0.25">
      <c r="A27500" t="str">
        <f>HYPERLINK("https://www.773grp.com/globalSearch/TMDSADP1414-ISO/page-1", "TMDSADP1414-ISO")</f>
        <v>TMDSADP1414-ISO</v>
      </c>
      <c r="B27500" s="3" t="s">
        <v>90</v>
      </c>
      <c r="C27500" s="5">
        <v>1</v>
      </c>
      <c r="D27500" s="6">
        <v>550.66</v>
      </c>
    </row>
    <row r="27501" spans="1:4" x14ac:dyDescent="0.25">
      <c r="A27501" t="str">
        <f>HYPERLINK("https://www.773grp.com/globalSearch/DS90C032WLQMLV/page-1", "DS90C032WLQMLV")</f>
        <v>DS90C032WLQMLV</v>
      </c>
      <c r="B27501" s="3" t="s">
        <v>90</v>
      </c>
      <c r="C27501" s="5">
        <v>38</v>
      </c>
      <c r="D27501" s="6">
        <v>551.1</v>
      </c>
    </row>
    <row r="27502" spans="1:4" x14ac:dyDescent="0.25">
      <c r="A27502" t="str">
        <f>HYPERLINK("https://www.773grp.com/globalSearch/DS90LV032AW-MLS/page-1", "DS90LV032AW-MLS")</f>
        <v>DS90LV032AW-MLS</v>
      </c>
      <c r="B27502" s="3" t="s">
        <v>90</v>
      </c>
      <c r="C27502" s="5">
        <v>11</v>
      </c>
      <c r="D27502" s="6">
        <v>551.1</v>
      </c>
    </row>
    <row r="27503" spans="1:4" x14ac:dyDescent="0.25">
      <c r="A27503" t="str">
        <f>HYPERLINK("https://www.773grp.com/globalSearch/UC1825J-90046/page-1", "UC1825J-90046")</f>
        <v>UC1825J-90046</v>
      </c>
      <c r="B27503" s="3" t="s">
        <v>90</v>
      </c>
      <c r="C27503" s="5">
        <v>71</v>
      </c>
      <c r="D27503" s="6">
        <v>566.04999999999995</v>
      </c>
    </row>
    <row r="27504" spans="1:4" x14ac:dyDescent="0.25">
      <c r="A27504" t="str">
        <f>HYPERLINK("https://www.773grp.com/globalSearch/UC1825J-90104/page-1", "UC1825J-90104")</f>
        <v>UC1825J-90104</v>
      </c>
      <c r="B27504" s="3" t="s">
        <v>90</v>
      </c>
      <c r="C27504" s="5">
        <v>245</v>
      </c>
      <c r="D27504" s="6">
        <v>566.04999999999995</v>
      </c>
    </row>
    <row r="27505" spans="1:4" x14ac:dyDescent="0.25">
      <c r="A27505" t="str">
        <f>HYPERLINK("https://www.773grp.com/globalSearch/UC1825J-90105/page-1", "UC1825J-90105")</f>
        <v>UC1825J-90105</v>
      </c>
      <c r="B27505" s="3" t="s">
        <v>90</v>
      </c>
      <c r="C27505" s="5">
        <v>58</v>
      </c>
      <c r="D27505" s="6">
        <v>566.04999999999995</v>
      </c>
    </row>
    <row r="27506" spans="1:4" x14ac:dyDescent="0.25">
      <c r="A27506" t="str">
        <f>HYPERLINK("https://www.773grp.com/globalSearch/UC1825J-90146/page-1", "UC1825J-90146")</f>
        <v>UC1825J-90146</v>
      </c>
      <c r="B27506" s="3" t="s">
        <v>90</v>
      </c>
      <c r="C27506" s="5">
        <v>85</v>
      </c>
      <c r="D27506" s="6">
        <v>566.04999999999995</v>
      </c>
    </row>
    <row r="27507" spans="1:4" x14ac:dyDescent="0.25">
      <c r="A27507" t="str">
        <f>HYPERLINK("https://www.773grp.com/globalSearch/UC1825J-90153/page-1", "UC1825J-90153")</f>
        <v>UC1825J-90153</v>
      </c>
      <c r="B27507" s="3" t="s">
        <v>90</v>
      </c>
      <c r="C27507" s="5">
        <v>193</v>
      </c>
      <c r="D27507" s="6">
        <v>566.04999999999995</v>
      </c>
    </row>
    <row r="27508" spans="1:4" x14ac:dyDescent="0.25">
      <c r="A27508" t="str">
        <f>HYPERLINK("https://www.773grp.com/globalSearch/UC1825J-90168/page-1", "UC1825J-90168")</f>
        <v>UC1825J-90168</v>
      </c>
      <c r="B27508" s="3" t="s">
        <v>90</v>
      </c>
      <c r="C27508" s="5">
        <v>95</v>
      </c>
      <c r="D27508" s="6">
        <v>566.04999999999995</v>
      </c>
    </row>
    <row r="27509" spans="1:4" x14ac:dyDescent="0.25">
      <c r="A27509" t="str">
        <f>HYPERLINK("https://www.773grp.com/globalSearch/UC1843J-90035/page-1", "UC1843J-90035")</f>
        <v>UC1843J-90035</v>
      </c>
      <c r="B27509" s="3" t="s">
        <v>90</v>
      </c>
      <c r="C27509" s="5">
        <v>184</v>
      </c>
      <c r="D27509" s="6">
        <v>566.04999999999995</v>
      </c>
    </row>
    <row r="27510" spans="1:4" x14ac:dyDescent="0.25">
      <c r="A27510" t="str">
        <f>HYPERLINK("https://www.773grp.com/globalSearch/UC1844AJ-90027/page-1", "UC1844AJ-90027")</f>
        <v>UC1844AJ-90027</v>
      </c>
      <c r="B27510" s="3" t="s">
        <v>90</v>
      </c>
      <c r="C27510" s="5">
        <v>14</v>
      </c>
      <c r="D27510" s="6">
        <v>566.04999999999995</v>
      </c>
    </row>
    <row r="27511" spans="1:4" x14ac:dyDescent="0.25">
      <c r="A27511" t="str">
        <f>HYPERLINK("https://www.773grp.com/globalSearch/UC1845AJ-90081/page-1", "UC1845AJ-90081")</f>
        <v>UC1845AJ-90081</v>
      </c>
      <c r="B27511" s="3" t="s">
        <v>90</v>
      </c>
      <c r="C27511" s="5">
        <v>47</v>
      </c>
      <c r="D27511" s="6">
        <v>566.04999999999995</v>
      </c>
    </row>
    <row r="27512" spans="1:4" x14ac:dyDescent="0.25">
      <c r="A27512" t="str">
        <f>HYPERLINK("https://www.773grp.com/globalSearch/UC1845AJ-90134/page-1", "UC1845AJ-90134")</f>
        <v>UC1845AJ-90134</v>
      </c>
      <c r="B27512" s="3" t="s">
        <v>90</v>
      </c>
      <c r="C27512" s="5">
        <v>58</v>
      </c>
      <c r="D27512" s="6">
        <v>566.04999999999995</v>
      </c>
    </row>
    <row r="27513" spans="1:4" x14ac:dyDescent="0.25">
      <c r="A27513" t="str">
        <f>HYPERLINK("https://www.773grp.com/globalSearch/UC1846J-90079/page-1", "UC1846J-90079")</f>
        <v>UC1846J-90079</v>
      </c>
      <c r="B27513" s="3" t="s">
        <v>90</v>
      </c>
      <c r="C27513" s="5">
        <v>164</v>
      </c>
      <c r="D27513" s="6">
        <v>566.04999999999995</v>
      </c>
    </row>
    <row r="27514" spans="1:4" x14ac:dyDescent="0.25">
      <c r="A27514" t="str">
        <f>HYPERLINK("https://www.773grp.com/globalSearch/UC1846J-90090/page-1", "UC1846J-90090")</f>
        <v>UC1846J-90090</v>
      </c>
      <c r="B27514" s="3" t="s">
        <v>90</v>
      </c>
      <c r="C27514" s="5">
        <v>166</v>
      </c>
      <c r="D27514" s="6">
        <v>566.04999999999995</v>
      </c>
    </row>
    <row r="27515" spans="1:4" x14ac:dyDescent="0.25">
      <c r="A27515" t="str">
        <f>HYPERLINK("https://www.773grp.com/globalSearch/UC1846J-90097/page-1", "UC1846J-90097")</f>
        <v>UC1846J-90097</v>
      </c>
      <c r="B27515" s="3" t="s">
        <v>90</v>
      </c>
      <c r="C27515" s="5">
        <v>120</v>
      </c>
      <c r="D27515" s="6">
        <v>566.04999999999995</v>
      </c>
    </row>
    <row r="27516" spans="1:4" x14ac:dyDescent="0.25">
      <c r="A27516" t="str">
        <f>HYPERLINK("https://www.773grp.com/globalSearch/UC1846J-90128/page-1", "UC1846J-90128")</f>
        <v>UC1846J-90128</v>
      </c>
      <c r="B27516" s="3" t="s">
        <v>90</v>
      </c>
      <c r="C27516" s="5">
        <v>40</v>
      </c>
      <c r="D27516" s="6">
        <v>566.04999999999995</v>
      </c>
    </row>
    <row r="27517" spans="1:4" x14ac:dyDescent="0.25">
      <c r="A27517" t="str">
        <f>HYPERLINK("https://www.773grp.com/globalSearch/LM117HRQMLV/page-1", "LM117HRQMLV")</f>
        <v>LM117HRQMLV</v>
      </c>
      <c r="B27517" s="3" t="s">
        <v>90</v>
      </c>
      <c r="C27517" s="5">
        <v>20</v>
      </c>
      <c r="D27517" s="6">
        <v>571.92999999999995</v>
      </c>
    </row>
    <row r="27518" spans="1:4" x14ac:dyDescent="0.25">
      <c r="A27518" t="str">
        <f>HYPERLINK("https://www.773grp.com/globalSearch/TMDXWL1271DC18XL1X/page-1", "TMDXWL1271DC18XL1X")</f>
        <v>TMDXWL1271DC18XL1X</v>
      </c>
      <c r="B27518" s="3" t="s">
        <v>90</v>
      </c>
      <c r="C27518" s="5">
        <v>5</v>
      </c>
      <c r="D27518" s="6">
        <v>574.61</v>
      </c>
    </row>
    <row r="27519" spans="1:4" x14ac:dyDescent="0.25">
      <c r="A27519" t="str">
        <f>HYPERLINK("https://www.773grp.com/globalSearch/UC1845AJ-90095/page-1", "UC1845AJ-90095")</f>
        <v>UC1845AJ-90095</v>
      </c>
      <c r="B27519" s="3" t="s">
        <v>90</v>
      </c>
      <c r="C27519" s="5">
        <v>95</v>
      </c>
      <c r="D27519" s="6">
        <v>576.74</v>
      </c>
    </row>
    <row r="27520" spans="1:4" x14ac:dyDescent="0.25">
      <c r="A27520" t="str">
        <f>HYPERLINK("https://www.773grp.com/globalSearch/UC1901J-90054/page-1", "UC1901J-90054")</f>
        <v>UC1901J-90054</v>
      </c>
      <c r="B27520" s="3" t="s">
        <v>90</v>
      </c>
      <c r="C27520" s="5">
        <v>76</v>
      </c>
      <c r="D27520" s="6">
        <v>576.74</v>
      </c>
    </row>
    <row r="27521" spans="1:4" x14ac:dyDescent="0.25">
      <c r="A27521" t="str">
        <f>HYPERLINK("https://www.773grp.com/globalSearch/UC1843AJ-90141/page-1", "UC1843AJ-90141")</f>
        <v>UC1843AJ-90141</v>
      </c>
      <c r="B27521" s="3" t="s">
        <v>90</v>
      </c>
      <c r="C27521" s="5">
        <v>50</v>
      </c>
      <c r="D27521" s="6">
        <v>587.42999999999995</v>
      </c>
    </row>
    <row r="27522" spans="1:4" x14ac:dyDescent="0.25">
      <c r="A27522" t="str">
        <f>HYPERLINK("https://www.773grp.com/globalSearch/UC1856J-90065/page-1", "UC1856J-90065")</f>
        <v>UC1856J-90065</v>
      </c>
      <c r="B27522" s="3" t="s">
        <v>90</v>
      </c>
      <c r="C27522" s="5">
        <v>128</v>
      </c>
      <c r="D27522" s="6">
        <v>587.42999999999995</v>
      </c>
    </row>
    <row r="27523" spans="1:4" x14ac:dyDescent="0.25">
      <c r="A27523" t="str">
        <f>HYPERLINK("https://www.773grp.com/globalSearch/UC1856J-90096/page-1", "UC1856J-90096")</f>
        <v>UC1856J-90096</v>
      </c>
      <c r="B27523" s="3" t="s">
        <v>90</v>
      </c>
      <c r="C27523" s="5">
        <v>63</v>
      </c>
      <c r="D27523" s="6">
        <v>587.42999999999995</v>
      </c>
    </row>
    <row r="27524" spans="1:4" x14ac:dyDescent="0.25">
      <c r="A27524" t="str">
        <f>HYPERLINK("https://www.773grp.com/globalSearch/UC1856J-90140/page-1", "UC1856J-90140")</f>
        <v>UC1856J-90140</v>
      </c>
      <c r="B27524" s="3" t="s">
        <v>90</v>
      </c>
      <c r="C27524" s="5">
        <v>49</v>
      </c>
      <c r="D27524" s="6">
        <v>587.42999999999995</v>
      </c>
    </row>
    <row r="27525" spans="1:4" x14ac:dyDescent="0.25">
      <c r="A27525" t="str">
        <f>HYPERLINK("https://www.773grp.com/globalSearch/ADC12D500RFIUT-NOPB/page-1", "ADC12D500RFIUT-NOPB")</f>
        <v>ADC12D500RFIUT-NOPB</v>
      </c>
      <c r="B27525" s="3" t="s">
        <v>90</v>
      </c>
      <c r="C27525" s="5">
        <v>10</v>
      </c>
      <c r="D27525" s="6">
        <v>589.55999999999995</v>
      </c>
    </row>
    <row r="27526" spans="1:4" x14ac:dyDescent="0.25">
      <c r="A27526" t="str">
        <f>HYPERLINK("https://www.773grp.com/globalSearch/SM320C6455BGTZEP/page-1", "SM320C6455BGTZEP")</f>
        <v>SM320C6455BGTZEP</v>
      </c>
      <c r="B27526" s="3" t="s">
        <v>90</v>
      </c>
      <c r="C27526" s="5">
        <v>8</v>
      </c>
      <c r="D27526" s="6">
        <v>593.19000000000005</v>
      </c>
    </row>
    <row r="27527" spans="1:4" x14ac:dyDescent="0.25">
      <c r="A27527" t="str">
        <f>HYPERLINK("https://www.773grp.com/globalSearch/UC1525BL-90172/page-1", "UC1525BL-90172")</f>
        <v>UC1525BL-90172</v>
      </c>
      <c r="B27527" s="3" t="s">
        <v>90</v>
      </c>
      <c r="C27527" s="5">
        <v>75</v>
      </c>
      <c r="D27527" s="6">
        <v>598.1</v>
      </c>
    </row>
    <row r="27528" spans="1:4" x14ac:dyDescent="0.25">
      <c r="A27528" t="str">
        <f>HYPERLINK("https://www.773grp.com/globalSearch/UC1823J-90062/page-1", "UC1823J-90062")</f>
        <v>UC1823J-90062</v>
      </c>
      <c r="B27528" s="3" t="s">
        <v>90</v>
      </c>
      <c r="C27528" s="5">
        <v>220</v>
      </c>
      <c r="D27528" s="6">
        <v>598.1</v>
      </c>
    </row>
    <row r="27529" spans="1:4" x14ac:dyDescent="0.25">
      <c r="A27529" t="str">
        <f>HYPERLINK("https://www.773grp.com/globalSearch/UC1823J-90087/page-1", "UC1823J-90087")</f>
        <v>UC1823J-90087</v>
      </c>
      <c r="B27529" s="3" t="s">
        <v>90</v>
      </c>
      <c r="C27529" s="5">
        <v>61</v>
      </c>
      <c r="D27529" s="6">
        <v>598.1</v>
      </c>
    </row>
    <row r="27530" spans="1:4" x14ac:dyDescent="0.25">
      <c r="A27530" t="str">
        <f>HYPERLINK("https://www.773grp.com/globalSearch/UC1823J-90101/page-1", "UC1823J-90101")</f>
        <v>UC1823J-90101</v>
      </c>
      <c r="B27530" s="3" t="s">
        <v>90</v>
      </c>
      <c r="C27530" s="5">
        <v>108</v>
      </c>
      <c r="D27530" s="6">
        <v>598.1</v>
      </c>
    </row>
    <row r="27531" spans="1:4" x14ac:dyDescent="0.25">
      <c r="A27531" t="str">
        <f>HYPERLINK("https://www.773grp.com/globalSearch/UC1637J-90123/page-1", "UC1637J-90123")</f>
        <v>UC1637J-90123</v>
      </c>
      <c r="B27531" s="3" t="s">
        <v>90</v>
      </c>
      <c r="C27531" s="5">
        <v>62</v>
      </c>
      <c r="D27531" s="6">
        <v>608.79</v>
      </c>
    </row>
    <row r="27532" spans="1:4" x14ac:dyDescent="0.25">
      <c r="A27532" t="str">
        <f>HYPERLINK("https://www.773grp.com/globalSearch/UC1841J-90004/page-1", "UC1841J-90004")</f>
        <v>UC1841J-90004</v>
      </c>
      <c r="B27532" s="3" t="s">
        <v>90</v>
      </c>
      <c r="C27532" s="5">
        <v>21</v>
      </c>
      <c r="D27532" s="6">
        <v>608.79</v>
      </c>
    </row>
    <row r="27533" spans="1:4" x14ac:dyDescent="0.25">
      <c r="A27533" t="str">
        <f>HYPERLINK("https://www.773grp.com/globalSearch/UC1844AJ-90144/page-1", "UC1844AJ-90144")</f>
        <v>UC1844AJ-90144</v>
      </c>
      <c r="B27533" s="3" t="s">
        <v>90</v>
      </c>
      <c r="C27533" s="5">
        <v>167</v>
      </c>
      <c r="D27533" s="6">
        <v>608.79</v>
      </c>
    </row>
    <row r="27534" spans="1:4" x14ac:dyDescent="0.25">
      <c r="A27534" t="str">
        <f>HYPERLINK("https://www.773grp.com/globalSearch/UC1901J-90120/page-1", "UC1901J-90120")</f>
        <v>UC1901J-90120</v>
      </c>
      <c r="B27534" s="3" t="s">
        <v>90</v>
      </c>
      <c r="C27534" s="5">
        <v>37</v>
      </c>
      <c r="D27534" s="6">
        <v>630.15</v>
      </c>
    </row>
    <row r="27535" spans="1:4" x14ac:dyDescent="0.25">
      <c r="A27535" t="str">
        <f>HYPERLINK("https://www.773grp.com/globalSearch/TMDS3P761119A/page-1", "TMDS3P761119A")</f>
        <v>TMDS3P761119A</v>
      </c>
      <c r="B27535" s="3" t="s">
        <v>90</v>
      </c>
      <c r="C27535" s="5">
        <v>2</v>
      </c>
      <c r="D27535" s="6">
        <v>630.16</v>
      </c>
    </row>
    <row r="27536" spans="1:4" x14ac:dyDescent="0.25">
      <c r="A27536" t="str">
        <f>HYPERLINK("https://www.773grp.com/globalSearch/TMDSOSK5912/page-1", "TMDSOSK5912")</f>
        <v>TMDSOSK5912</v>
      </c>
      <c r="B27536" s="3" t="s">
        <v>90</v>
      </c>
      <c r="C27536" s="5">
        <v>17</v>
      </c>
      <c r="D27536" s="6">
        <v>630.16</v>
      </c>
    </row>
    <row r="27537" spans="1:4" x14ac:dyDescent="0.25">
      <c r="A27537" t="str">
        <f>HYPERLINK("https://www.773grp.com/globalSearch/TMDSOSK5912-0E/page-1", "TMDSOSK5912-0E")</f>
        <v>TMDSOSK5912-0E</v>
      </c>
      <c r="B27537" s="3" t="s">
        <v>90</v>
      </c>
      <c r="C27537" s="5">
        <v>2</v>
      </c>
      <c r="D27537" s="6">
        <v>630.16</v>
      </c>
    </row>
    <row r="27538" spans="1:4" x14ac:dyDescent="0.25">
      <c r="A27538" t="str">
        <f>HYPERLINK("https://www.773grp.com/globalSearch/TMDXOSK5912/page-1", "TMDXOSK5912")</f>
        <v>TMDXOSK5912</v>
      </c>
      <c r="B27538" s="3" t="s">
        <v>90</v>
      </c>
      <c r="C27538" s="5">
        <v>2</v>
      </c>
      <c r="D27538" s="6">
        <v>630.16</v>
      </c>
    </row>
    <row r="27539" spans="1:4" x14ac:dyDescent="0.25">
      <c r="A27539" t="str">
        <f>HYPERLINK("https://www.773grp.com/globalSearch/DK-LM3S-DRV8312/page-1", "DK-LM3S-DRV8312")</f>
        <v>DK-LM3S-DRV8312</v>
      </c>
      <c r="B27539" s="3" t="s">
        <v>90</v>
      </c>
      <c r="C27539" s="5">
        <v>2</v>
      </c>
      <c r="D27539" s="6">
        <v>638.66</v>
      </c>
    </row>
    <row r="27540" spans="1:4" x14ac:dyDescent="0.25">
      <c r="A27540" t="str">
        <f>HYPERLINK("https://www.773grp.com/globalSearch/ADS4122EVM/page-1", "ADS4122EVM")</f>
        <v>ADS4122EVM</v>
      </c>
      <c r="B27540" s="3" t="s">
        <v>90</v>
      </c>
      <c r="C27540" s="5">
        <v>1</v>
      </c>
      <c r="D27540" s="6">
        <v>638.69000000000005</v>
      </c>
    </row>
    <row r="27541" spans="1:4" x14ac:dyDescent="0.25">
      <c r="A27541" t="str">
        <f>HYPERLINK("https://www.773grp.com/globalSearch/ADS4125EVM/page-1", "ADS4125EVM")</f>
        <v>ADS4125EVM</v>
      </c>
      <c r="B27541" s="3" t="s">
        <v>90</v>
      </c>
      <c r="C27541" s="5">
        <v>1</v>
      </c>
      <c r="D27541" s="6">
        <v>638.69000000000005</v>
      </c>
    </row>
    <row r="27542" spans="1:4" x14ac:dyDescent="0.25">
      <c r="A27542" t="str">
        <f>HYPERLINK("https://www.773grp.com/globalSearch/ADS4129EVM/page-1", "ADS4129EVM")</f>
        <v>ADS4129EVM</v>
      </c>
      <c r="B27542" s="3" t="s">
        <v>90</v>
      </c>
      <c r="C27542" s="5">
        <v>1</v>
      </c>
      <c r="D27542" s="6">
        <v>638.69000000000005</v>
      </c>
    </row>
    <row r="27543" spans="1:4" x14ac:dyDescent="0.25">
      <c r="A27543" t="str">
        <f>HYPERLINK("https://www.773grp.com/globalSearch/ADS4142EVM/page-1", "ADS4142EVM")</f>
        <v>ADS4142EVM</v>
      </c>
      <c r="B27543" s="3" t="s">
        <v>90</v>
      </c>
      <c r="C27543" s="5">
        <v>1</v>
      </c>
      <c r="D27543" s="6">
        <v>638.69000000000005</v>
      </c>
    </row>
    <row r="27544" spans="1:4" x14ac:dyDescent="0.25">
      <c r="A27544" t="str">
        <f>HYPERLINK("https://www.773grp.com/globalSearch/ADS4146EVM/page-1", "ADS4146EVM")</f>
        <v>ADS4146EVM</v>
      </c>
      <c r="B27544" s="3" t="s">
        <v>90</v>
      </c>
      <c r="C27544" s="5">
        <v>9</v>
      </c>
      <c r="D27544" s="6">
        <v>638.69000000000005</v>
      </c>
    </row>
    <row r="27545" spans="1:4" x14ac:dyDescent="0.25">
      <c r="A27545" t="str">
        <f>HYPERLINK("https://www.773grp.com/globalSearch/ADS5263EVM/page-1", "ADS5263EVM")</f>
        <v>ADS5263EVM</v>
      </c>
      <c r="B27545" s="3" t="s">
        <v>90</v>
      </c>
      <c r="C27545" s="5">
        <v>1</v>
      </c>
      <c r="D27545" s="6">
        <v>638.69000000000005</v>
      </c>
    </row>
    <row r="27546" spans="1:4" x14ac:dyDescent="0.25">
      <c r="A27546" t="str">
        <f>HYPERLINK("https://www.773grp.com/globalSearch/ADS5281EVM/page-1", "ADS5281EVM")</f>
        <v>ADS5281EVM</v>
      </c>
      <c r="B27546" s="3" t="s">
        <v>90</v>
      </c>
      <c r="C27546" s="5">
        <v>1</v>
      </c>
      <c r="D27546" s="6">
        <v>638.69000000000005</v>
      </c>
    </row>
    <row r="27547" spans="1:4" x14ac:dyDescent="0.25">
      <c r="A27547" t="str">
        <f>HYPERLINK("https://www.773grp.com/globalSearch/ADS5282EVM/page-1", "ADS5282EVM")</f>
        <v>ADS5282EVM</v>
      </c>
      <c r="B27547" s="3" t="s">
        <v>90</v>
      </c>
      <c r="C27547" s="5">
        <v>1</v>
      </c>
      <c r="D27547" s="6">
        <v>638.69000000000005</v>
      </c>
    </row>
    <row r="27548" spans="1:4" x14ac:dyDescent="0.25">
      <c r="A27548" t="str">
        <f>HYPERLINK("https://www.773grp.com/globalSearch/ADS5463EVM/page-1", "ADS5463EVM")</f>
        <v>ADS5463EVM</v>
      </c>
      <c r="B27548" s="3" t="s">
        <v>90</v>
      </c>
      <c r="C27548" s="5">
        <v>2</v>
      </c>
      <c r="D27548" s="6">
        <v>638.69000000000005</v>
      </c>
    </row>
    <row r="27549" spans="1:4" x14ac:dyDescent="0.25">
      <c r="A27549" t="str">
        <f>HYPERLINK("https://www.773grp.com/globalSearch/ADS5481EVM/page-1", "ADS5481EVM")</f>
        <v>ADS5481EVM</v>
      </c>
      <c r="B27549" s="3" t="s">
        <v>90</v>
      </c>
      <c r="C27549" s="5">
        <v>1</v>
      </c>
      <c r="D27549" s="6">
        <v>638.69000000000005</v>
      </c>
    </row>
    <row r="27550" spans="1:4" x14ac:dyDescent="0.25">
      <c r="A27550" t="str">
        <f>HYPERLINK("https://www.773grp.com/globalSearch/ADS5483EVM/page-1", "ADS5483EVM")</f>
        <v>ADS5483EVM</v>
      </c>
      <c r="B27550" s="3" t="s">
        <v>90</v>
      </c>
      <c r="C27550" s="5">
        <v>2</v>
      </c>
      <c r="D27550" s="6">
        <v>638.69000000000005</v>
      </c>
    </row>
    <row r="27551" spans="1:4" x14ac:dyDescent="0.25">
      <c r="A27551" t="str">
        <f>HYPERLINK("https://www.773grp.com/globalSearch/ADS5484EVM/page-1", "ADS5484EVM")</f>
        <v>ADS5484EVM</v>
      </c>
      <c r="B27551" s="3" t="s">
        <v>90</v>
      </c>
      <c r="C27551" s="5">
        <v>1</v>
      </c>
      <c r="D27551" s="6">
        <v>638.69000000000005</v>
      </c>
    </row>
    <row r="27552" spans="1:4" x14ac:dyDescent="0.25">
      <c r="A27552" t="str">
        <f>HYPERLINK("https://www.773grp.com/globalSearch/ADS5517EVM/page-1", "ADS5517EVM")</f>
        <v>ADS5517EVM</v>
      </c>
      <c r="B27552" s="3" t="s">
        <v>90</v>
      </c>
      <c r="C27552" s="5">
        <v>1</v>
      </c>
      <c r="D27552" s="6">
        <v>638.69000000000005</v>
      </c>
    </row>
    <row r="27553" spans="1:4" x14ac:dyDescent="0.25">
      <c r="A27553" t="str">
        <f>HYPERLINK("https://www.773grp.com/globalSearch/ADS5545EVM/page-1", "ADS5545EVM")</f>
        <v>ADS5545EVM</v>
      </c>
      <c r="B27553" s="3" t="s">
        <v>90</v>
      </c>
      <c r="C27553" s="5">
        <v>1</v>
      </c>
      <c r="D27553" s="6">
        <v>638.69000000000005</v>
      </c>
    </row>
    <row r="27554" spans="1:4" x14ac:dyDescent="0.25">
      <c r="A27554" t="str">
        <f>HYPERLINK("https://www.773grp.com/globalSearch/ADS5546EVM/page-1", "ADS5546EVM")</f>
        <v>ADS5546EVM</v>
      </c>
      <c r="B27554" s="3" t="s">
        <v>90</v>
      </c>
      <c r="C27554" s="5">
        <v>1</v>
      </c>
      <c r="D27554" s="6">
        <v>638.69000000000005</v>
      </c>
    </row>
    <row r="27555" spans="1:4" x14ac:dyDescent="0.25">
      <c r="A27555" t="str">
        <f>HYPERLINK("https://www.773grp.com/globalSearch/ADS5553EVM/page-1", "ADS5553EVM")</f>
        <v>ADS5553EVM</v>
      </c>
      <c r="B27555" s="3" t="s">
        <v>90</v>
      </c>
      <c r="C27555" s="5">
        <v>3</v>
      </c>
      <c r="D27555" s="6">
        <v>638.69000000000005</v>
      </c>
    </row>
    <row r="27556" spans="1:4" x14ac:dyDescent="0.25">
      <c r="A27556" t="str">
        <f>HYPERLINK("https://www.773grp.com/globalSearch/ADS58C48EVM/page-1", "ADS58C48EVM")</f>
        <v>ADS58C48EVM</v>
      </c>
      <c r="B27556" s="3" t="s">
        <v>90</v>
      </c>
      <c r="C27556" s="5">
        <v>4</v>
      </c>
      <c r="D27556" s="6">
        <v>638.69000000000005</v>
      </c>
    </row>
    <row r="27557" spans="1:4" x14ac:dyDescent="0.25">
      <c r="A27557" t="str">
        <f>HYPERLINK("https://www.773grp.com/globalSearch/ADS6122EVM/page-1", "ADS6122EVM")</f>
        <v>ADS6122EVM</v>
      </c>
      <c r="B27557" s="3" t="s">
        <v>90</v>
      </c>
      <c r="C27557" s="5">
        <v>1</v>
      </c>
      <c r="D27557" s="6">
        <v>638.69000000000005</v>
      </c>
    </row>
    <row r="27558" spans="1:4" x14ac:dyDescent="0.25">
      <c r="A27558" t="str">
        <f>HYPERLINK("https://www.773grp.com/globalSearch/ADS6125EVM/page-1", "ADS6125EVM")</f>
        <v>ADS6125EVM</v>
      </c>
      <c r="B27558" s="3" t="s">
        <v>90</v>
      </c>
      <c r="C27558" s="5">
        <v>4</v>
      </c>
      <c r="D27558" s="6">
        <v>638.69000000000005</v>
      </c>
    </row>
    <row r="27559" spans="1:4" x14ac:dyDescent="0.25">
      <c r="A27559" t="str">
        <f>HYPERLINK("https://www.773grp.com/globalSearch/ADS6129EVM/page-1", "ADS6129EVM")</f>
        <v>ADS6129EVM</v>
      </c>
      <c r="B27559" s="3" t="s">
        <v>90</v>
      </c>
      <c r="C27559" s="5">
        <v>1</v>
      </c>
      <c r="D27559" s="6">
        <v>638.69000000000005</v>
      </c>
    </row>
    <row r="27560" spans="1:4" x14ac:dyDescent="0.25">
      <c r="A27560" t="str">
        <f>HYPERLINK("https://www.773grp.com/globalSearch/ADS6145EVM/page-1", "ADS6145EVM")</f>
        <v>ADS6145EVM</v>
      </c>
      <c r="B27560" s="3" t="s">
        <v>90</v>
      </c>
      <c r="C27560" s="5">
        <v>4</v>
      </c>
      <c r="D27560" s="6">
        <v>638.69000000000005</v>
      </c>
    </row>
    <row r="27561" spans="1:4" x14ac:dyDescent="0.25">
      <c r="A27561" t="str">
        <f>HYPERLINK("https://www.773grp.com/globalSearch/ADS61JB23EVM/page-1", "ADS61JB23EVM")</f>
        <v>ADS61JB23EVM</v>
      </c>
      <c r="B27561" s="3" t="s">
        <v>90</v>
      </c>
      <c r="C27561" s="5">
        <v>5</v>
      </c>
      <c r="D27561" s="6">
        <v>638.69000000000005</v>
      </c>
    </row>
    <row r="27562" spans="1:4" x14ac:dyDescent="0.25">
      <c r="A27562" t="str">
        <f>HYPERLINK("https://www.773grp.com/globalSearch/ADS6242EVM/page-1", "ADS6242EVM")</f>
        <v>ADS6242EVM</v>
      </c>
      <c r="B27562" s="3" t="s">
        <v>90</v>
      </c>
      <c r="C27562" s="5">
        <v>1</v>
      </c>
      <c r="D27562" s="6">
        <v>638.69000000000005</v>
      </c>
    </row>
    <row r="27563" spans="1:4" x14ac:dyDescent="0.25">
      <c r="A27563" t="str">
        <f>HYPERLINK("https://www.773grp.com/globalSearch/ADS62C17EVM/page-1", "ADS62C17EVM")</f>
        <v>ADS62C17EVM</v>
      </c>
      <c r="B27563" s="3" t="s">
        <v>90</v>
      </c>
      <c r="C27563" s="5">
        <v>1</v>
      </c>
      <c r="D27563" s="6">
        <v>638.69000000000005</v>
      </c>
    </row>
    <row r="27564" spans="1:4" x14ac:dyDescent="0.25">
      <c r="A27564" t="str">
        <f>HYPERLINK("https://www.773grp.com/globalSearch/ADS62P22EVM/page-1", "ADS62P22EVM")</f>
        <v>ADS62P22EVM</v>
      </c>
      <c r="B27564" s="3" t="s">
        <v>90</v>
      </c>
      <c r="C27564" s="5">
        <v>1</v>
      </c>
      <c r="D27564" s="6">
        <v>638.69000000000005</v>
      </c>
    </row>
    <row r="27565" spans="1:4" x14ac:dyDescent="0.25">
      <c r="A27565" t="str">
        <f>HYPERLINK("https://www.773grp.com/globalSearch/ADS62P23EVM/page-1", "ADS62P23EVM")</f>
        <v>ADS62P23EVM</v>
      </c>
      <c r="B27565" s="3" t="s">
        <v>90</v>
      </c>
      <c r="C27565" s="5">
        <v>1</v>
      </c>
      <c r="D27565" s="6">
        <v>638.69000000000005</v>
      </c>
    </row>
    <row r="27566" spans="1:4" x14ac:dyDescent="0.25">
      <c r="A27566" t="str">
        <f>HYPERLINK("https://www.773grp.com/globalSearch/ADS62P25EVM/page-1", "ADS62P25EVM")</f>
        <v>ADS62P25EVM</v>
      </c>
      <c r="B27566" s="3" t="s">
        <v>90</v>
      </c>
      <c r="C27566" s="5">
        <v>1</v>
      </c>
      <c r="D27566" s="6">
        <v>638.69000000000005</v>
      </c>
    </row>
    <row r="27567" spans="1:4" x14ac:dyDescent="0.25">
      <c r="A27567" t="str">
        <f>HYPERLINK("https://www.773grp.com/globalSearch/ADS62P43EVM/page-1", "ADS62P43EVM")</f>
        <v>ADS62P43EVM</v>
      </c>
      <c r="B27567" s="3" t="s">
        <v>90</v>
      </c>
      <c r="C27567" s="5">
        <v>1</v>
      </c>
      <c r="D27567" s="6">
        <v>638.69000000000005</v>
      </c>
    </row>
    <row r="27568" spans="1:4" x14ac:dyDescent="0.25">
      <c r="A27568" t="str">
        <f>HYPERLINK("https://www.773grp.com/globalSearch/ADS62P45EVM/page-1", "ADS62P45EVM")</f>
        <v>ADS62P45EVM</v>
      </c>
      <c r="B27568" s="3" t="s">
        <v>90</v>
      </c>
      <c r="C27568" s="5">
        <v>1</v>
      </c>
      <c r="D27568" s="6">
        <v>638.69000000000005</v>
      </c>
    </row>
    <row r="27569" spans="1:4" x14ac:dyDescent="0.25">
      <c r="A27569" t="str">
        <f>HYPERLINK("https://www.773grp.com/globalSearch/ADS6422EVM/page-1", "ADS6422EVM")</f>
        <v>ADS6422EVM</v>
      </c>
      <c r="B27569" s="3" t="s">
        <v>90</v>
      </c>
      <c r="C27569" s="5">
        <v>1</v>
      </c>
      <c r="D27569" s="6">
        <v>638.69000000000005</v>
      </c>
    </row>
    <row r="27570" spans="1:4" x14ac:dyDescent="0.25">
      <c r="A27570" t="str">
        <f>HYPERLINK("https://www.773grp.com/globalSearch/ADS6423EVM/page-1", "ADS6423EVM")</f>
        <v>ADS6423EVM</v>
      </c>
      <c r="B27570" s="3" t="s">
        <v>90</v>
      </c>
      <c r="C27570" s="5">
        <v>1</v>
      </c>
      <c r="D27570" s="6">
        <v>638.69000000000005</v>
      </c>
    </row>
    <row r="27571" spans="1:4" x14ac:dyDescent="0.25">
      <c r="A27571" t="str">
        <f>HYPERLINK("https://www.773grp.com/globalSearch/ADS6425EVM/page-1", "ADS6425EVM")</f>
        <v>ADS6425EVM</v>
      </c>
      <c r="B27571" s="3" t="s">
        <v>90</v>
      </c>
      <c r="C27571" s="5">
        <v>2</v>
      </c>
      <c r="D27571" s="6">
        <v>638.69000000000005</v>
      </c>
    </row>
    <row r="27572" spans="1:4" x14ac:dyDescent="0.25">
      <c r="A27572" t="str">
        <f>HYPERLINK("https://www.773grp.com/globalSearch/ADS6442EVM/page-1", "ADS6442EVM")</f>
        <v>ADS6442EVM</v>
      </c>
      <c r="B27572" s="3" t="s">
        <v>90</v>
      </c>
      <c r="C27572" s="5">
        <v>1</v>
      </c>
      <c r="D27572" s="6">
        <v>638.69000000000005</v>
      </c>
    </row>
    <row r="27573" spans="1:4" x14ac:dyDescent="0.25">
      <c r="A27573" t="str">
        <f>HYPERLINK("https://www.773grp.com/globalSearch/ADS6444EVM/page-1", "ADS6444EVM")</f>
        <v>ADS6444EVM</v>
      </c>
      <c r="B27573" s="3" t="s">
        <v>90</v>
      </c>
      <c r="C27573" s="5">
        <v>1</v>
      </c>
      <c r="D27573" s="6">
        <v>638.69000000000005</v>
      </c>
    </row>
    <row r="27574" spans="1:4" x14ac:dyDescent="0.25">
      <c r="A27574" t="str">
        <f>HYPERLINK("https://www.773grp.com/globalSearch/AFE5801EVM/page-1", "AFE5801EVM")</f>
        <v>AFE5801EVM</v>
      </c>
      <c r="B27574" s="3" t="s">
        <v>90</v>
      </c>
      <c r="C27574" s="5">
        <v>2</v>
      </c>
      <c r="D27574" s="6">
        <v>638.69000000000005</v>
      </c>
    </row>
    <row r="27575" spans="1:4" x14ac:dyDescent="0.25">
      <c r="A27575" t="str">
        <f>HYPERLINK("https://www.773grp.com/globalSearch/AFE5807EVM/page-1", "AFE5807EVM")</f>
        <v>AFE5807EVM</v>
      </c>
      <c r="B27575" s="3" t="s">
        <v>90</v>
      </c>
      <c r="C27575" s="5">
        <v>5</v>
      </c>
      <c r="D27575" s="6">
        <v>638.69000000000005</v>
      </c>
    </row>
    <row r="27576" spans="1:4" x14ac:dyDescent="0.25">
      <c r="A27576" t="str">
        <f>HYPERLINK("https://www.773grp.com/globalSearch/AFE5809EVM/page-1", "AFE5809EVM")</f>
        <v>AFE5809EVM</v>
      </c>
      <c r="B27576" s="3" t="s">
        <v>90</v>
      </c>
      <c r="C27576" s="5">
        <v>5</v>
      </c>
      <c r="D27576" s="6">
        <v>638.69000000000005</v>
      </c>
    </row>
    <row r="27577" spans="1:4" x14ac:dyDescent="0.25">
      <c r="A27577" t="str">
        <f>HYPERLINK("https://www.773grp.com/globalSearch/AFE5851EVM/page-1", "AFE5851EVM")</f>
        <v>AFE5851EVM</v>
      </c>
      <c r="B27577" s="3" t="s">
        <v>90</v>
      </c>
      <c r="C27577" s="5">
        <v>1</v>
      </c>
      <c r="D27577" s="6">
        <v>638.69000000000005</v>
      </c>
    </row>
    <row r="27578" spans="1:4" x14ac:dyDescent="0.25">
      <c r="A27578" t="str">
        <f>HYPERLINK("https://www.773grp.com/globalSearch/BQMTESTER/page-1", "BQMTESTER")</f>
        <v>BQMTESTER</v>
      </c>
      <c r="B27578" s="3" t="s">
        <v>90</v>
      </c>
      <c r="C27578" s="5">
        <v>1</v>
      </c>
      <c r="D27578" s="6">
        <v>638.69000000000005</v>
      </c>
    </row>
    <row r="27579" spans="1:4" x14ac:dyDescent="0.25">
      <c r="A27579" t="str">
        <f>HYPERLINK("https://www.773grp.com/globalSearch/CC2530DK/page-1", "CC2530DK")</f>
        <v>CC2530DK</v>
      </c>
      <c r="B27579" s="3" t="s">
        <v>90</v>
      </c>
      <c r="C27579" s="5">
        <v>5</v>
      </c>
      <c r="D27579" s="6">
        <v>638.69000000000005</v>
      </c>
    </row>
    <row r="27580" spans="1:4" x14ac:dyDescent="0.25">
      <c r="A27580" t="str">
        <f>HYPERLINK("https://www.773grp.com/globalSearch/CC85XXDK/page-1", "CC85XXDK")</f>
        <v>CC85XXDK</v>
      </c>
      <c r="B27580" s="3" t="s">
        <v>90</v>
      </c>
      <c r="C27580" s="5">
        <v>3</v>
      </c>
      <c r="D27580" s="6">
        <v>638.69000000000005</v>
      </c>
    </row>
    <row r="27581" spans="1:4" x14ac:dyDescent="0.25">
      <c r="A27581" t="str">
        <f>HYPERLINK("https://www.773grp.com/globalSearch/DEM-DAI1771/page-1", "DEM-DAI1771")</f>
        <v>DEM-DAI1771</v>
      </c>
      <c r="B27581" s="3" t="s">
        <v>90</v>
      </c>
      <c r="C27581" s="5">
        <v>1</v>
      </c>
      <c r="D27581" s="6">
        <v>638.69000000000005</v>
      </c>
    </row>
    <row r="27582" spans="1:4" x14ac:dyDescent="0.25">
      <c r="A27582" t="str">
        <f>HYPERLINK("https://www.773grp.com/globalSearch/DEM-PCM2900/page-1", "DEM-PCM2900")</f>
        <v>DEM-PCM2900</v>
      </c>
      <c r="B27582" s="3" t="s">
        <v>90</v>
      </c>
      <c r="C27582" s="5">
        <v>3</v>
      </c>
      <c r="D27582" s="6">
        <v>638.69000000000005</v>
      </c>
    </row>
    <row r="27583" spans="1:4" x14ac:dyDescent="0.25">
      <c r="A27583" t="str">
        <f>HYPERLINK("https://www.773grp.com/globalSearch/DEM-PCM2901/page-1", "DEM-PCM2901")</f>
        <v>DEM-PCM2901</v>
      </c>
      <c r="B27583" s="3" t="s">
        <v>90</v>
      </c>
      <c r="C27583" s="5">
        <v>1</v>
      </c>
      <c r="D27583" s="6">
        <v>638.69000000000005</v>
      </c>
    </row>
    <row r="27584" spans="1:4" x14ac:dyDescent="0.25">
      <c r="A27584" t="str">
        <f>HYPERLINK("https://www.773grp.com/globalSearch/DEM-PCM2903/page-1", "DEM-PCM2903")</f>
        <v>DEM-PCM2903</v>
      </c>
      <c r="B27584" s="3" t="s">
        <v>90</v>
      </c>
      <c r="C27584" s="5">
        <v>1</v>
      </c>
      <c r="D27584" s="6">
        <v>638.69000000000005</v>
      </c>
    </row>
    <row r="27585" spans="1:4" x14ac:dyDescent="0.25">
      <c r="A27585" t="str">
        <f>HYPERLINK("https://www.773grp.com/globalSearch/DRV8301-69M-KIT/page-1", "DRV8301-69M-KIT")</f>
        <v>DRV8301-69M-KIT</v>
      </c>
      <c r="B27585" s="3" t="s">
        <v>90</v>
      </c>
      <c r="C27585" s="5">
        <v>2</v>
      </c>
      <c r="D27585" s="6">
        <v>638.69000000000005</v>
      </c>
    </row>
    <row r="27586" spans="1:4" x14ac:dyDescent="0.25">
      <c r="A27586" t="str">
        <f>HYPERLINK("https://www.773grp.com/globalSearch/DRV8301-HC-C2-KIT/page-1", "DRV8301-HC-C2-KIT")</f>
        <v>DRV8301-HC-C2-KIT</v>
      </c>
      <c r="B27586" s="3" t="s">
        <v>90</v>
      </c>
      <c r="C27586" s="5">
        <v>3</v>
      </c>
      <c r="D27586" s="6">
        <v>638.69000000000005</v>
      </c>
    </row>
    <row r="27587" spans="1:4" x14ac:dyDescent="0.25">
      <c r="A27587" t="str">
        <f>HYPERLINK("https://www.773grp.com/globalSearch/DRV8312-C2-KIT/page-1", "DRV8312-C2-KIT")</f>
        <v>DRV8312-C2-KIT</v>
      </c>
      <c r="B27587" s="3" t="s">
        <v>90</v>
      </c>
      <c r="C27587" s="5">
        <v>3</v>
      </c>
      <c r="D27587" s="6">
        <v>638.69000000000005</v>
      </c>
    </row>
    <row r="27588" spans="1:4" x14ac:dyDescent="0.25">
      <c r="A27588" t="str">
        <f>HYPERLINK("https://www.773grp.com/globalSearch/HVACIMTR/page-1", "HVACIMTR")</f>
        <v>HVACIMTR</v>
      </c>
      <c r="B27588" s="3" t="s">
        <v>90</v>
      </c>
      <c r="C27588" s="5">
        <v>2</v>
      </c>
      <c r="D27588" s="6">
        <v>638.69000000000005</v>
      </c>
    </row>
    <row r="27589" spans="1:4" x14ac:dyDescent="0.25">
      <c r="A27589" t="str">
        <f>HYPERLINK("https://www.773grp.com/globalSearch/HVPMSMMTR/page-1", "HVPMSMMTR")</f>
        <v>HVPMSMMTR</v>
      </c>
      <c r="B27589" s="3" t="s">
        <v>90</v>
      </c>
      <c r="C27589" s="5">
        <v>2</v>
      </c>
      <c r="D27589" s="6">
        <v>638.69000000000005</v>
      </c>
    </row>
    <row r="27590" spans="1:4" x14ac:dyDescent="0.25">
      <c r="A27590" t="str">
        <f>HYPERLINK("https://www.773grp.com/globalSearch/PGA870EVM/page-1", "PGA870EVM")</f>
        <v>PGA870EVM</v>
      </c>
      <c r="B27590" s="3" t="s">
        <v>90</v>
      </c>
      <c r="C27590" s="5">
        <v>6</v>
      </c>
      <c r="D27590" s="6">
        <v>638.69000000000005</v>
      </c>
    </row>
    <row r="27591" spans="1:4" x14ac:dyDescent="0.25">
      <c r="A27591" t="str">
        <f>HYPERLINK("https://www.773grp.com/globalSearch/RDK-IDM-SBC/page-1", "RDK-IDM-SBC")</f>
        <v>RDK-IDM-SBC</v>
      </c>
      <c r="B27591" s="3" t="s">
        <v>90</v>
      </c>
      <c r="C27591" s="5">
        <v>15</v>
      </c>
      <c r="D27591" s="6">
        <v>638.69000000000005</v>
      </c>
    </row>
    <row r="27592" spans="1:4" x14ac:dyDescent="0.25">
      <c r="A27592" t="str">
        <f>HYPERLINK("https://www.773grp.com/globalSearch/TAS5132DDV6EVM/page-1", "TAS5132DDV6EVM")</f>
        <v>TAS5132DDV6EVM</v>
      </c>
      <c r="B27592" s="3" t="s">
        <v>90</v>
      </c>
      <c r="C27592" s="5">
        <v>1</v>
      </c>
      <c r="D27592" s="6">
        <v>638.69000000000005</v>
      </c>
    </row>
    <row r="27593" spans="1:4" x14ac:dyDescent="0.25">
      <c r="A27593" t="str">
        <f>HYPERLINK("https://www.773grp.com/globalSearch/TAS5601EVM4/page-1", "TAS5601EVM4")</f>
        <v>TAS5601EVM4</v>
      </c>
      <c r="B27593" s="3" t="s">
        <v>90</v>
      </c>
      <c r="C27593" s="5">
        <v>1</v>
      </c>
      <c r="D27593" s="6">
        <v>638.69000000000005</v>
      </c>
    </row>
    <row r="27594" spans="1:4" x14ac:dyDescent="0.25">
      <c r="A27594" t="str">
        <f>HYPERLINK("https://www.773grp.com/globalSearch/TRF2436EVM/page-1", "TRF2436EVM")</f>
        <v>TRF2436EVM</v>
      </c>
      <c r="B27594" s="3" t="s">
        <v>90</v>
      </c>
      <c r="C27594" s="5">
        <v>3</v>
      </c>
      <c r="D27594" s="6">
        <v>638.69000000000005</v>
      </c>
    </row>
    <row r="27595" spans="1:4" x14ac:dyDescent="0.25">
      <c r="A27595" t="str">
        <f>HYPERLINK("https://www.773grp.com/globalSearch/TRF3710EVM/page-1", "TRF3710EVM")</f>
        <v>TRF3710EVM</v>
      </c>
      <c r="B27595" s="3" t="s">
        <v>90</v>
      </c>
      <c r="C27595" s="5">
        <v>1</v>
      </c>
      <c r="D27595" s="6">
        <v>638.69000000000005</v>
      </c>
    </row>
    <row r="27596" spans="1:4" x14ac:dyDescent="0.25">
      <c r="A27596" t="str">
        <f>HYPERLINK("https://www.773grp.com/globalSearch/TRF371109EVM/page-1", "TRF371109EVM")</f>
        <v>TRF371109EVM</v>
      </c>
      <c r="B27596" s="3" t="s">
        <v>90</v>
      </c>
      <c r="C27596" s="5">
        <v>1</v>
      </c>
      <c r="D27596" s="6">
        <v>638.69000000000005</v>
      </c>
    </row>
    <row r="27597" spans="1:4" x14ac:dyDescent="0.25">
      <c r="A27597" t="str">
        <f>HYPERLINK("https://www.773grp.com/globalSearch/TRF371125EVM/page-1", "TRF371125EVM")</f>
        <v>TRF371125EVM</v>
      </c>
      <c r="B27597" s="3" t="s">
        <v>90</v>
      </c>
      <c r="C27597" s="5">
        <v>2</v>
      </c>
      <c r="D27597" s="6">
        <v>638.69000000000005</v>
      </c>
    </row>
    <row r="27598" spans="1:4" x14ac:dyDescent="0.25">
      <c r="A27598" t="str">
        <f>HYPERLINK("https://www.773grp.com/globalSearch/XIO2001EVM/page-1", "XIO2001EVM")</f>
        <v>XIO2001EVM</v>
      </c>
      <c r="B27598" s="3" t="s">
        <v>90</v>
      </c>
      <c r="C27598" s="5">
        <v>2</v>
      </c>
      <c r="D27598" s="6">
        <v>638.69000000000005</v>
      </c>
    </row>
    <row r="27599" spans="1:4" x14ac:dyDescent="0.25">
      <c r="A27599" t="str">
        <f>HYPERLINK("https://www.773grp.com/globalSearch/XIO2213AEVM/page-1", "XIO2213AEVM")</f>
        <v>XIO2213AEVM</v>
      </c>
      <c r="B27599" s="3" t="s">
        <v>90</v>
      </c>
      <c r="C27599" s="5">
        <v>1</v>
      </c>
      <c r="D27599" s="6">
        <v>638.69000000000005</v>
      </c>
    </row>
    <row r="27600" spans="1:4" x14ac:dyDescent="0.25">
      <c r="A27600" t="str">
        <f>HYPERLINK("https://www.773grp.com/globalSearch/TMDS3P761119/page-1", "TMDS3P761119")</f>
        <v>TMDS3P761119</v>
      </c>
      <c r="B27600" s="3" t="s">
        <v>90</v>
      </c>
      <c r="C27600" s="5">
        <v>1</v>
      </c>
      <c r="D27600" s="6">
        <v>638.70000000000005</v>
      </c>
    </row>
    <row r="27601" spans="1:4" x14ac:dyDescent="0.25">
      <c r="A27601" t="str">
        <f>HYPERLINK("https://www.773grp.com/globalSearch/UC1706J-90003/page-1", "UC1706J-90003")</f>
        <v>UC1706J-90003</v>
      </c>
      <c r="B27601" s="3" t="s">
        <v>90</v>
      </c>
      <c r="C27601" s="5">
        <v>49</v>
      </c>
      <c r="D27601" s="6">
        <v>640.83000000000004</v>
      </c>
    </row>
    <row r="27602" spans="1:4" x14ac:dyDescent="0.25">
      <c r="A27602" t="str">
        <f>HYPERLINK("https://www.773grp.com/globalSearch/UC1708J-90110/page-1", "UC1708J-90110")</f>
        <v>UC1708J-90110</v>
      </c>
      <c r="B27602" s="3" t="s">
        <v>90</v>
      </c>
      <c r="C27602" s="5">
        <v>140</v>
      </c>
      <c r="D27602" s="6">
        <v>640.83000000000004</v>
      </c>
    </row>
    <row r="27603" spans="1:4" x14ac:dyDescent="0.25">
      <c r="A27603" t="str">
        <f>HYPERLINK("https://www.773grp.com/globalSearch/UC1834L-90045/page-1", "UC1834L-90045")</f>
        <v>UC1834L-90045</v>
      </c>
      <c r="B27603" s="3" t="s">
        <v>90</v>
      </c>
      <c r="C27603" s="5">
        <v>235</v>
      </c>
      <c r="D27603" s="6">
        <v>640.83000000000004</v>
      </c>
    </row>
    <row r="27604" spans="1:4" x14ac:dyDescent="0.25">
      <c r="A27604" t="str">
        <f>HYPERLINK("https://www.773grp.com/globalSearch/UC1834L-90094/page-1", "UC1834L-90094")</f>
        <v>UC1834L-90094</v>
      </c>
      <c r="B27604" s="3" t="s">
        <v>90</v>
      </c>
      <c r="C27604" s="5">
        <v>185</v>
      </c>
      <c r="D27604" s="6">
        <v>640.83000000000004</v>
      </c>
    </row>
    <row r="27605" spans="1:4" x14ac:dyDescent="0.25">
      <c r="A27605" t="str">
        <f>HYPERLINK("https://www.773grp.com/globalSearch/UC1834L-90162/page-1", "UC1834L-90162")</f>
        <v>UC1834L-90162</v>
      </c>
      <c r="B27605" s="3" t="s">
        <v>90</v>
      </c>
      <c r="C27605" s="5">
        <v>174</v>
      </c>
      <c r="D27605" s="6">
        <v>640.83000000000004</v>
      </c>
    </row>
    <row r="27606" spans="1:4" x14ac:dyDescent="0.25">
      <c r="A27606" t="str">
        <f>HYPERLINK("https://www.773grp.com/globalSearch/SM470R1B1MHFQS/page-1", "SM470R1B1MHFQS")</f>
        <v>SM470R1B1MHFQS</v>
      </c>
      <c r="B27606" s="3" t="s">
        <v>90</v>
      </c>
      <c r="C27606" s="5">
        <v>33</v>
      </c>
      <c r="D27606" s="6">
        <v>640.92999999999995</v>
      </c>
    </row>
    <row r="27607" spans="1:4" x14ac:dyDescent="0.25">
      <c r="A27607" t="str">
        <f>HYPERLINK("https://www.773grp.com/globalSearch/UC1901J-90085/page-1", "UC1901J-90085")</f>
        <v>UC1901J-90085</v>
      </c>
      <c r="B27607" s="3" t="s">
        <v>90</v>
      </c>
      <c r="C27607" s="5">
        <v>61</v>
      </c>
      <c r="D27607" s="6">
        <v>651.51</v>
      </c>
    </row>
    <row r="27608" spans="1:4" x14ac:dyDescent="0.25">
      <c r="A27608" t="str">
        <f>HYPERLINK("https://www.773grp.com/globalSearch/TMDXEZD2812/page-1", "TMDXEZD2812")</f>
        <v>TMDXEZD2812</v>
      </c>
      <c r="B27608" s="3" t="s">
        <v>90</v>
      </c>
      <c r="C27608" s="5">
        <v>1</v>
      </c>
      <c r="D27608" s="6">
        <v>651.53</v>
      </c>
    </row>
    <row r="27609" spans="1:4" x14ac:dyDescent="0.25">
      <c r="A27609" t="str">
        <f>HYPERLINK("https://www.773grp.com/globalSearch/RI-CTL-MB6B-30/page-1", "RI-CTL-MB6B-30")</f>
        <v>RI-CTL-MB6B-30</v>
      </c>
      <c r="B27609" s="3" t="s">
        <v>90</v>
      </c>
      <c r="C27609" s="5">
        <v>3</v>
      </c>
      <c r="D27609" s="6">
        <v>663.43</v>
      </c>
    </row>
    <row r="27610" spans="1:4" x14ac:dyDescent="0.25">
      <c r="A27610" t="str">
        <f>HYPERLINK("https://www.773grp.com/globalSearch/UC1708J-90138/page-1", "UC1708J-90138")</f>
        <v>UC1708J-90138</v>
      </c>
      <c r="B27610" s="3" t="s">
        <v>90</v>
      </c>
      <c r="C27610" s="5">
        <v>79</v>
      </c>
      <c r="D27610" s="6">
        <v>672.86</v>
      </c>
    </row>
    <row r="27611" spans="1:4" x14ac:dyDescent="0.25">
      <c r="A27611" t="str">
        <f>HYPERLINK("https://www.773grp.com/globalSearch/TMDSDSK5510-0E/page-1", "TMDSDSK5510-0E")</f>
        <v>TMDSDSK5510-0E</v>
      </c>
      <c r="B27611" s="3" t="s">
        <v>90</v>
      </c>
      <c r="C27611" s="5">
        <v>37</v>
      </c>
      <c r="D27611" s="6">
        <v>675</v>
      </c>
    </row>
    <row r="27612" spans="1:4" x14ac:dyDescent="0.25">
      <c r="A27612" t="str">
        <f>HYPERLINK("https://www.773grp.com/globalSearch/TMDSDCDC8KIT/page-1", "TMDSDCDC8KIT")</f>
        <v>TMDSDCDC8KIT</v>
      </c>
      <c r="B27612" s="3" t="s">
        <v>90</v>
      </c>
      <c r="C27612" s="5">
        <v>3</v>
      </c>
      <c r="D27612" s="6">
        <v>694.23</v>
      </c>
    </row>
    <row r="27613" spans="1:4" x14ac:dyDescent="0.25">
      <c r="A27613" t="str">
        <f>HYPERLINK("https://www.773grp.com/globalSearch/ADC08D1020CIYB-NOPB/page-1", "ADC08D1020CIYB-NOPB")</f>
        <v>ADC08D1020CIYB-NOPB</v>
      </c>
      <c r="B27613" s="3" t="s">
        <v>90</v>
      </c>
      <c r="C27613" s="5">
        <v>5</v>
      </c>
      <c r="D27613" s="6">
        <v>702.78</v>
      </c>
    </row>
    <row r="27614" spans="1:4" x14ac:dyDescent="0.25">
      <c r="A27614" t="str">
        <f>HYPERLINK("https://www.773grp.com/globalSearch/5962-0722301VFA/page-1", "5962-0722301VFA")</f>
        <v>5962-0722301VFA</v>
      </c>
      <c r="B27614" s="3" t="s">
        <v>90</v>
      </c>
      <c r="C27614" s="5">
        <v>42</v>
      </c>
      <c r="D27614" s="6">
        <v>711.41</v>
      </c>
    </row>
    <row r="27615" spans="1:4" x14ac:dyDescent="0.25">
      <c r="A27615" t="str">
        <f>HYPERLINK("https://www.773grp.com/globalSearch/RI-K3A-001A-00/page-1", "RI-K3A-001A-00")</f>
        <v>RI-K3A-001A-00</v>
      </c>
      <c r="B27615" s="3" t="s">
        <v>90</v>
      </c>
      <c r="C27615" s="5">
        <v>1</v>
      </c>
      <c r="D27615" s="6">
        <v>736.95</v>
      </c>
    </row>
    <row r="27616" spans="1:4" x14ac:dyDescent="0.25">
      <c r="A27616" t="str">
        <f>HYPERLINK("https://www.773grp.com/globalSearch/TMDSEZD2407/page-1", "TMDSEZD2407")</f>
        <v>TMDSEZD2407</v>
      </c>
      <c r="B27616" s="3" t="s">
        <v>90</v>
      </c>
      <c r="C27616" s="5">
        <v>17</v>
      </c>
      <c r="D27616" s="6">
        <v>736.96</v>
      </c>
    </row>
    <row r="27617" spans="1:4" x14ac:dyDescent="0.25">
      <c r="A27617" t="str">
        <f>HYPERLINK("https://www.773grp.com/globalSearch/TMDSEZD2407-0E/page-1", "TMDSEZD2407-0E")</f>
        <v>TMDSEZD2407-0E</v>
      </c>
      <c r="B27617" s="3" t="s">
        <v>90</v>
      </c>
      <c r="C27617" s="5">
        <v>2</v>
      </c>
      <c r="D27617" s="6">
        <v>736.96</v>
      </c>
    </row>
    <row r="27618" spans="1:4" x14ac:dyDescent="0.25">
      <c r="A27618" t="str">
        <f>HYPERLINK("https://www.773grp.com/globalSearch/TMDSENRGYKIT/page-1", "TMDSENRGYKIT")</f>
        <v>TMDSENRGYKIT</v>
      </c>
      <c r="B27618" s="3" t="s">
        <v>90</v>
      </c>
      <c r="C27618" s="5">
        <v>3</v>
      </c>
      <c r="D27618" s="6">
        <v>745.49</v>
      </c>
    </row>
    <row r="27619" spans="1:4" x14ac:dyDescent="0.25">
      <c r="A27619" t="str">
        <f>HYPERLINK("https://www.773grp.com/globalSearch/TMDSEVM6472/page-1", "TMDSEVM6472")</f>
        <v>TMDSEVM6472</v>
      </c>
      <c r="B27619" s="3" t="s">
        <v>90</v>
      </c>
      <c r="C27619" s="5">
        <v>7</v>
      </c>
      <c r="D27619" s="6">
        <v>745.5</v>
      </c>
    </row>
    <row r="27620" spans="1:4" x14ac:dyDescent="0.25">
      <c r="A27620" t="str">
        <f>HYPERLINK("https://www.773grp.com/globalSearch/SMX11786-1/page-1", "SMX11786-1")</f>
        <v>SMX11786-1</v>
      </c>
      <c r="B27620" s="3" t="s">
        <v>90</v>
      </c>
      <c r="C27620" s="5">
        <v>4096</v>
      </c>
      <c r="D27620" s="6">
        <v>760.44</v>
      </c>
    </row>
    <row r="27621" spans="1:4" x14ac:dyDescent="0.25">
      <c r="A27621" t="str">
        <f>HYPERLINK("https://www.773grp.com/globalSearch/TMDS1MTRPFCKIT/page-1", "TMDS1MTRPFCKIT")</f>
        <v>TMDS1MTRPFCKIT</v>
      </c>
      <c r="B27621" s="3" t="s">
        <v>90</v>
      </c>
      <c r="C27621" s="5">
        <v>3</v>
      </c>
      <c r="D27621" s="6">
        <v>788.21</v>
      </c>
    </row>
    <row r="27622" spans="1:4" x14ac:dyDescent="0.25">
      <c r="A27622" t="str">
        <f>HYPERLINK("https://www.773grp.com/globalSearch/TMDSSOLARPEXPKIT/page-1", "TMDSSOLARPEXPKIT")</f>
        <v>TMDSSOLARPEXPKIT</v>
      </c>
      <c r="B27622" s="3" t="s">
        <v>90</v>
      </c>
      <c r="C27622" s="5">
        <v>1</v>
      </c>
      <c r="D27622" s="6">
        <v>801.03</v>
      </c>
    </row>
    <row r="27623" spans="1:4" x14ac:dyDescent="0.25">
      <c r="A27623" t="str">
        <f>HYPERLINK("https://www.773grp.com/globalSearch/TMDXMDKDS3254/page-1", "TMDXMDKDS3254")</f>
        <v>TMDXMDKDS3254</v>
      </c>
      <c r="B27623" s="3" t="s">
        <v>90</v>
      </c>
      <c r="C27623" s="5">
        <v>3</v>
      </c>
      <c r="D27623" s="6">
        <v>801.03</v>
      </c>
    </row>
    <row r="27624" spans="1:4" x14ac:dyDescent="0.25">
      <c r="A27624" t="str">
        <f>HYPERLINK("https://www.773grp.com/globalSearch/RDK-ACIM/page-1", "RDK-ACIM")</f>
        <v>RDK-ACIM</v>
      </c>
      <c r="B27624" s="3" t="s">
        <v>90</v>
      </c>
      <c r="C27624" s="5">
        <v>4</v>
      </c>
      <c r="D27624" s="6">
        <v>809.58</v>
      </c>
    </row>
    <row r="27625" spans="1:4" x14ac:dyDescent="0.25">
      <c r="A27625" t="str">
        <f>HYPERLINK("https://www.773grp.com/globalSearch/TMDSDCDCLEDKIT/page-1", "TMDSDCDCLEDKIT")</f>
        <v>TMDSDCDCLEDKIT</v>
      </c>
      <c r="B27625" s="3" t="s">
        <v>90</v>
      </c>
      <c r="C27625" s="5">
        <v>25</v>
      </c>
      <c r="D27625" s="6">
        <v>809.58</v>
      </c>
    </row>
    <row r="27626" spans="1:4" x14ac:dyDescent="0.25">
      <c r="A27626" t="str">
        <f>HYPERLINK("https://www.773grp.com/globalSearch/DAC650JL-5/page-1", "DAC650JL-5")</f>
        <v>DAC650JL-5</v>
      </c>
      <c r="B27626" s="3" t="s">
        <v>90</v>
      </c>
      <c r="C27626" s="5">
        <v>1</v>
      </c>
      <c r="D27626" s="6">
        <v>833.06</v>
      </c>
    </row>
    <row r="27627" spans="1:4" x14ac:dyDescent="0.25">
      <c r="A27627" t="str">
        <f>HYPERLINK("https://www.773grp.com/globalSearch/TMDXMDKPO8328/page-1", "TMDXMDKPO8328")</f>
        <v>TMDXMDKPO8328</v>
      </c>
      <c r="B27627" s="3" t="s">
        <v>90</v>
      </c>
      <c r="C27627" s="5">
        <v>15</v>
      </c>
      <c r="D27627" s="6">
        <v>843.75</v>
      </c>
    </row>
    <row r="27628" spans="1:4" x14ac:dyDescent="0.25">
      <c r="A27628" t="str">
        <f>HYPERLINK("https://www.773grp.com/globalSearch/TMDS320006711/page-1", "TMDS320006711")</f>
        <v>TMDS320006711</v>
      </c>
      <c r="B27628" s="3" t="s">
        <v>90</v>
      </c>
      <c r="C27628" s="5">
        <v>1</v>
      </c>
      <c r="D27628" s="6">
        <v>843.76</v>
      </c>
    </row>
    <row r="27629" spans="1:4" x14ac:dyDescent="0.25">
      <c r="A27629" t="str">
        <f>HYPERLINK("https://www.773grp.com/globalSearch/TMDSDSK5416-0E/page-1", "TMDSDSK5416-0E")</f>
        <v>TMDSDSK5416-0E</v>
      </c>
      <c r="B27629" s="3" t="s">
        <v>90</v>
      </c>
      <c r="C27629" s="5">
        <v>2</v>
      </c>
      <c r="D27629" s="6">
        <v>843.76</v>
      </c>
    </row>
    <row r="27630" spans="1:4" x14ac:dyDescent="0.25">
      <c r="A27630" t="str">
        <f>HYPERLINK("https://www.773grp.com/globalSearch/TMDSDSK6713-0E/page-1", "TMDSDSK6713-0E")</f>
        <v>TMDSDSK6713-0E</v>
      </c>
      <c r="B27630" s="3" t="s">
        <v>90</v>
      </c>
      <c r="C27630" s="5">
        <v>1</v>
      </c>
      <c r="D27630" s="6">
        <v>843.76</v>
      </c>
    </row>
    <row r="27631" spans="1:4" x14ac:dyDescent="0.25">
      <c r="A27631" t="str">
        <f>HYPERLINK("https://www.773grp.com/globalSearch/TMDSEZD2812-0E/page-1", "TMDSEZD2812-0E")</f>
        <v>TMDSEZD2812-0E</v>
      </c>
      <c r="B27631" s="3" t="s">
        <v>90</v>
      </c>
      <c r="C27631" s="5">
        <v>1</v>
      </c>
      <c r="D27631" s="6">
        <v>843.76</v>
      </c>
    </row>
    <row r="27632" spans="1:4" x14ac:dyDescent="0.25">
      <c r="A27632" t="str">
        <f>HYPERLINK("https://www.773grp.com/globalSearch/TMDXOSKL137BET/page-1", "TMDXOSKL137BET")</f>
        <v>TMDXOSKL137BET</v>
      </c>
      <c r="B27632" s="3" t="s">
        <v>90</v>
      </c>
      <c r="C27632" s="5">
        <v>9</v>
      </c>
      <c r="D27632" s="6">
        <v>843.76</v>
      </c>
    </row>
    <row r="27633" spans="1:4" x14ac:dyDescent="0.25">
      <c r="A27633" t="str">
        <f>HYPERLINK("https://www.773grp.com/globalSearch/ADS42JB49EVM/page-1", "ADS42JB49EVM")</f>
        <v>ADS42JB49EVM</v>
      </c>
      <c r="B27633" s="3" t="s">
        <v>90</v>
      </c>
      <c r="C27633" s="5">
        <v>4</v>
      </c>
      <c r="D27633" s="6">
        <v>852.29</v>
      </c>
    </row>
    <row r="27634" spans="1:4" x14ac:dyDescent="0.25">
      <c r="A27634" t="str">
        <f>HYPERLINK("https://www.773grp.com/globalSearch/ADS42JB69EVM/page-1", "ADS42JB69EVM")</f>
        <v>ADS42JB69EVM</v>
      </c>
      <c r="B27634" s="3" t="s">
        <v>90</v>
      </c>
      <c r="C27634" s="5">
        <v>5</v>
      </c>
      <c r="D27634" s="6">
        <v>852.29</v>
      </c>
    </row>
    <row r="27635" spans="1:4" x14ac:dyDescent="0.25">
      <c r="A27635" t="str">
        <f>HYPERLINK("https://www.773grp.com/globalSearch/ADS42LB49EVM/page-1", "ADS42LB49EVM")</f>
        <v>ADS42LB49EVM</v>
      </c>
      <c r="B27635" s="3" t="s">
        <v>90</v>
      </c>
      <c r="C27635" s="5">
        <v>3</v>
      </c>
      <c r="D27635" s="6">
        <v>852.29</v>
      </c>
    </row>
    <row r="27636" spans="1:4" x14ac:dyDescent="0.25">
      <c r="A27636" t="str">
        <f>HYPERLINK("https://www.773grp.com/globalSearch/ADS42LB69EVM/page-1", "ADS42LB69EVM")</f>
        <v>ADS42LB69EVM</v>
      </c>
      <c r="B27636" s="3" t="s">
        <v>90</v>
      </c>
      <c r="C27636" s="5">
        <v>4</v>
      </c>
      <c r="D27636" s="6">
        <v>852.29</v>
      </c>
    </row>
    <row r="27637" spans="1:4" x14ac:dyDescent="0.25">
      <c r="A27637" t="str">
        <f>HYPERLINK("https://www.773grp.com/globalSearch/DEM-DAI1737/page-1", "DEM-DAI1737")</f>
        <v>DEM-DAI1737</v>
      </c>
      <c r="B27637" s="3" t="s">
        <v>90</v>
      </c>
      <c r="C27637" s="5">
        <v>1</v>
      </c>
      <c r="D27637" s="6">
        <v>852.29</v>
      </c>
    </row>
    <row r="27638" spans="1:4" x14ac:dyDescent="0.25">
      <c r="A27638" t="str">
        <f>HYPERLINK("https://www.773grp.com/globalSearch/LMX25412690EVAL-NOPB/page-1", "LMX25412690EVAL-NOPB")</f>
        <v>LMX25412690EVAL-NOPB</v>
      </c>
      <c r="B27638" s="3" t="s">
        <v>90</v>
      </c>
      <c r="C27638" s="5">
        <v>1</v>
      </c>
      <c r="D27638" s="6">
        <v>852.29</v>
      </c>
    </row>
    <row r="27639" spans="1:4" x14ac:dyDescent="0.25">
      <c r="A27639" t="str">
        <f>HYPERLINK("https://www.773grp.com/globalSearch/LMX25413320EVAL-NOPB/page-1", "LMX25413320EVAL-NOPB")</f>
        <v>LMX25413320EVAL-NOPB</v>
      </c>
      <c r="B27639" s="3" t="s">
        <v>90</v>
      </c>
      <c r="C27639" s="5">
        <v>5</v>
      </c>
      <c r="D27639" s="6">
        <v>852.29</v>
      </c>
    </row>
    <row r="27640" spans="1:4" x14ac:dyDescent="0.25">
      <c r="A27640" t="str">
        <f>HYPERLINK("https://www.773grp.com/globalSearch/LX21EVK01-NOPB/page-1", "LX21EVK01-NOPB")</f>
        <v>LX21EVK01-NOPB</v>
      </c>
      <c r="B27640" s="3" t="s">
        <v>90</v>
      </c>
      <c r="C27640" s="5">
        <v>1</v>
      </c>
      <c r="D27640" s="6">
        <v>852.29</v>
      </c>
    </row>
    <row r="27641" spans="1:4" x14ac:dyDescent="0.25">
      <c r="A27641" t="str">
        <f>HYPERLINK("https://www.773grp.com/globalSearch/SD1983EVK-NOPB/page-1", "SD1983EVK-NOPB")</f>
        <v>SD1983EVK-NOPB</v>
      </c>
      <c r="B27641" s="3" t="s">
        <v>90</v>
      </c>
      <c r="C27641" s="5">
        <v>5</v>
      </c>
      <c r="D27641" s="6">
        <v>852.29</v>
      </c>
    </row>
    <row r="27642" spans="1:4" x14ac:dyDescent="0.25">
      <c r="A27642" t="str">
        <f>HYPERLINK("https://www.773grp.com/globalSearch/TAS3108EVM2/page-1", "TAS3108EVM2")</f>
        <v>TAS3108EVM2</v>
      </c>
      <c r="B27642" s="3" t="s">
        <v>90</v>
      </c>
      <c r="C27642" s="5">
        <v>1</v>
      </c>
      <c r="D27642" s="6">
        <v>852.29</v>
      </c>
    </row>
    <row r="27643" spans="1:4" x14ac:dyDescent="0.25">
      <c r="A27643" t="str">
        <f>HYPERLINK("https://www.773grp.com/globalSearch/TAS5142DDV6EVM2/page-1", "TAS5142DDV6EVM2")</f>
        <v>TAS5142DDV6EVM2</v>
      </c>
      <c r="B27643" s="3" t="s">
        <v>90</v>
      </c>
      <c r="C27643" s="5">
        <v>1</v>
      </c>
      <c r="D27643" s="6">
        <v>852.29</v>
      </c>
    </row>
    <row r="27644" spans="1:4" x14ac:dyDescent="0.25">
      <c r="A27644" t="str">
        <f>HYPERLINK("https://www.773grp.com/globalSearch/TAS5162DDV6EVM/page-1", "TAS5162DDV6EVM")</f>
        <v>TAS5162DDV6EVM</v>
      </c>
      <c r="B27644" s="3" t="s">
        <v>90</v>
      </c>
      <c r="C27644" s="5">
        <v>3</v>
      </c>
      <c r="D27644" s="6">
        <v>852.29</v>
      </c>
    </row>
    <row r="27645" spans="1:4" x14ac:dyDescent="0.25">
      <c r="A27645" t="str">
        <f>HYPERLINK("https://www.773grp.com/globalSearch/TAS5162DDV6EVM2/page-1", "TAS5162DDV6EVM2")</f>
        <v>TAS5162DDV6EVM2</v>
      </c>
      <c r="B27645" s="3" t="s">
        <v>90</v>
      </c>
      <c r="C27645" s="5">
        <v>2</v>
      </c>
      <c r="D27645" s="6">
        <v>852.29</v>
      </c>
    </row>
    <row r="27646" spans="1:4" x14ac:dyDescent="0.25">
      <c r="A27646" t="str">
        <f>HYPERLINK("https://www.773grp.com/globalSearch/TAS5342DDV6EVM/page-1", "TAS5342DDV6EVM")</f>
        <v>TAS5342DDV6EVM</v>
      </c>
      <c r="B27646" s="3" t="s">
        <v>90</v>
      </c>
      <c r="C27646" s="5">
        <v>1</v>
      </c>
      <c r="D27646" s="6">
        <v>852.29</v>
      </c>
    </row>
    <row r="27647" spans="1:4" x14ac:dyDescent="0.25">
      <c r="A27647" t="str">
        <f>HYPERLINK("https://www.773grp.com/globalSearch/TAS5342LDDV6EVM/page-1", "TAS5342LDDV6EVM")</f>
        <v>TAS5342LDDV6EVM</v>
      </c>
      <c r="B27647" s="3" t="s">
        <v>90</v>
      </c>
      <c r="C27647" s="5">
        <v>1</v>
      </c>
      <c r="D27647" s="6">
        <v>852.29</v>
      </c>
    </row>
    <row r="27648" spans="1:4" x14ac:dyDescent="0.25">
      <c r="A27648" t="str">
        <f>HYPERLINK("https://www.773grp.com/globalSearch/TAS5352DDV6EVM/page-1", "TAS5352DDV6EVM")</f>
        <v>TAS5352DDV6EVM</v>
      </c>
      <c r="B27648" s="3" t="s">
        <v>90</v>
      </c>
      <c r="C27648" s="5">
        <v>1</v>
      </c>
      <c r="D27648" s="6">
        <v>852.29</v>
      </c>
    </row>
    <row r="27649" spans="1:4" x14ac:dyDescent="0.25">
      <c r="A27649" t="str">
        <f>HYPERLINK("https://www.773grp.com/globalSearch/TAS5508-5142K7EVM/page-1", "TAS5508-5142K7EVM")</f>
        <v>TAS5508-5142K7EVM</v>
      </c>
      <c r="B27649" s="3" t="s">
        <v>90</v>
      </c>
      <c r="C27649" s="5">
        <v>1</v>
      </c>
      <c r="D27649" s="6">
        <v>852.29</v>
      </c>
    </row>
    <row r="27650" spans="1:4" x14ac:dyDescent="0.25">
      <c r="A27650" t="str">
        <f>HYPERLINK("https://www.773grp.com/globalSearch/TAS5518-5152K8EVM/page-1", "TAS5518-5152K8EVM")</f>
        <v>TAS5518-5152K8EVM</v>
      </c>
      <c r="B27650" s="3" t="s">
        <v>90</v>
      </c>
      <c r="C27650" s="5">
        <v>1</v>
      </c>
      <c r="D27650" s="6">
        <v>852.29</v>
      </c>
    </row>
    <row r="27651" spans="1:4" x14ac:dyDescent="0.25">
      <c r="A27651" t="str">
        <f>HYPERLINK("https://www.773grp.com/globalSearch/TAS5611PHD2EVM/page-1", "TAS5611PHD2EVM")</f>
        <v>TAS5611PHD2EVM</v>
      </c>
      <c r="B27651" s="3" t="s">
        <v>90</v>
      </c>
      <c r="C27651" s="5">
        <v>27</v>
      </c>
      <c r="D27651" s="6">
        <v>852.29</v>
      </c>
    </row>
    <row r="27652" spans="1:4" x14ac:dyDescent="0.25">
      <c r="A27652" t="str">
        <f>HYPERLINK("https://www.773grp.com/globalSearch/TAS5612PHD2EVM/page-1", "TAS5612PHD2EVM")</f>
        <v>TAS5612PHD2EVM</v>
      </c>
      <c r="B27652" s="3" t="s">
        <v>90</v>
      </c>
      <c r="C27652" s="5">
        <v>1</v>
      </c>
      <c r="D27652" s="6">
        <v>852.29</v>
      </c>
    </row>
    <row r="27653" spans="1:4" x14ac:dyDescent="0.25">
      <c r="A27653" t="str">
        <f>HYPERLINK("https://www.773grp.com/globalSearch/TAS5614PHD2EVM/page-1", "TAS5614PHD2EVM")</f>
        <v>TAS5614PHD2EVM</v>
      </c>
      <c r="B27653" s="3" t="s">
        <v>90</v>
      </c>
      <c r="C27653" s="5">
        <v>3</v>
      </c>
      <c r="D27653" s="6">
        <v>852.29</v>
      </c>
    </row>
    <row r="27654" spans="1:4" x14ac:dyDescent="0.25">
      <c r="A27654" t="str">
        <f>HYPERLINK("https://www.773grp.com/globalSearch/TMDS2MTRPFCKIT/page-1", "TMDS2MTRPFCKIT")</f>
        <v>TMDS2MTRPFCKIT</v>
      </c>
      <c r="B27654" s="3" t="s">
        <v>90</v>
      </c>
      <c r="C27654" s="5">
        <v>4</v>
      </c>
      <c r="D27654" s="6">
        <v>852.29</v>
      </c>
    </row>
    <row r="27655" spans="1:4" x14ac:dyDescent="0.25">
      <c r="A27655" t="str">
        <f>HYPERLINK("https://www.773grp.com/globalSearch/TMDSSDSFBPK/page-1", "TMDSSDSFBPK")</f>
        <v>TMDSSDSFBPK</v>
      </c>
      <c r="B27655" s="3" t="s">
        <v>90</v>
      </c>
      <c r="C27655" s="5">
        <v>1</v>
      </c>
      <c r="D27655" s="6">
        <v>852.33</v>
      </c>
    </row>
    <row r="27656" spans="1:4" x14ac:dyDescent="0.25">
      <c r="A27656" t="str">
        <f>HYPERLINK("https://www.773grp.com/globalSearch/OMAPL137BPTPH/page-1", "OMAPL137BPTPH")</f>
        <v>OMAPL137BPTPH</v>
      </c>
      <c r="B27656" s="3" t="s">
        <v>90</v>
      </c>
      <c r="C27656" s="5">
        <v>23</v>
      </c>
      <c r="D27656" s="6">
        <v>854.44</v>
      </c>
    </row>
    <row r="27657" spans="1:4" x14ac:dyDescent="0.25">
      <c r="A27657" t="str">
        <f>HYPERLINK("https://www.773grp.com/globalSearch/UC1710J-90048/page-1", "UC1710J-90048")</f>
        <v>UC1710J-90048</v>
      </c>
      <c r="B27657" s="3" t="s">
        <v>90</v>
      </c>
      <c r="C27657" s="5">
        <v>9</v>
      </c>
      <c r="D27657" s="6">
        <v>865.11</v>
      </c>
    </row>
    <row r="27658" spans="1:4" x14ac:dyDescent="0.25">
      <c r="A27658" t="str">
        <f>HYPERLINK("https://www.773grp.com/globalSearch/RR-IDISC-MR101USB/page-1", "RR-IDISC-MR101USB")</f>
        <v>RR-IDISC-MR101USB</v>
      </c>
      <c r="B27658" s="3" t="s">
        <v>90</v>
      </c>
      <c r="C27658" s="5">
        <v>12</v>
      </c>
      <c r="D27658" s="6">
        <v>872.05</v>
      </c>
    </row>
    <row r="27659" spans="1:4" x14ac:dyDescent="0.25">
      <c r="A27659" t="str">
        <f>HYPERLINK("https://www.773grp.com/globalSearch/TMDSDSK5416/page-1", "TMDSDSK5416")</f>
        <v>TMDSDSK5416</v>
      </c>
      <c r="B27659" s="3" t="s">
        <v>90</v>
      </c>
      <c r="C27659" s="5">
        <v>1</v>
      </c>
      <c r="D27659" s="6">
        <v>873.54</v>
      </c>
    </row>
    <row r="27660" spans="1:4" x14ac:dyDescent="0.25">
      <c r="A27660" t="str">
        <f>HYPERLINK("https://www.773grp.com/globalSearch/TMDSDSK5510/page-1", "TMDSDSK5510")</f>
        <v>TMDSDSK5510</v>
      </c>
      <c r="B27660" s="3" t="s">
        <v>90</v>
      </c>
      <c r="C27660" s="5">
        <v>15</v>
      </c>
      <c r="D27660" s="6">
        <v>873.54</v>
      </c>
    </row>
    <row r="27661" spans="1:4" x14ac:dyDescent="0.25">
      <c r="A27661" t="str">
        <f>HYPERLINK("https://www.773grp.com/globalSearch/TMDSDSK6713/page-1", "TMDSDSK6713")</f>
        <v>TMDSDSK6713</v>
      </c>
      <c r="B27661" s="3" t="s">
        <v>90</v>
      </c>
      <c r="C27661" s="5">
        <v>31</v>
      </c>
      <c r="D27661" s="6">
        <v>873.54</v>
      </c>
    </row>
    <row r="27662" spans="1:4" x14ac:dyDescent="0.25">
      <c r="A27662" t="str">
        <f>HYPERLINK("https://www.773grp.com/globalSearch/TMDSEZD2812/page-1", "TMDSEZD2812")</f>
        <v>TMDSEZD2812</v>
      </c>
      <c r="B27662" s="3" t="s">
        <v>90</v>
      </c>
      <c r="C27662" s="5">
        <v>14</v>
      </c>
      <c r="D27662" s="6">
        <v>873.54</v>
      </c>
    </row>
    <row r="27663" spans="1:4" x14ac:dyDescent="0.25">
      <c r="A27663" t="str">
        <f>HYPERLINK("https://www.773grp.com/globalSearch/SM28VLT32SHKN/page-1", "SM28VLT32SHKN")</f>
        <v>SM28VLT32SHKN</v>
      </c>
      <c r="B27663" s="3" t="s">
        <v>90</v>
      </c>
      <c r="C27663" s="5">
        <v>6</v>
      </c>
      <c r="D27663" s="6">
        <v>886.48</v>
      </c>
    </row>
    <row r="27664" spans="1:4" x14ac:dyDescent="0.25">
      <c r="A27664" t="str">
        <f>HYPERLINK("https://www.773grp.com/globalSearch/TMDSEVM6670L/page-1", "TMDSEVM6670L")</f>
        <v>TMDSEVM6670L</v>
      </c>
      <c r="B27664" s="3" t="s">
        <v>90</v>
      </c>
      <c r="C27664" s="5">
        <v>1</v>
      </c>
      <c r="D27664" s="6">
        <v>894.91</v>
      </c>
    </row>
    <row r="27665" spans="1:4" x14ac:dyDescent="0.25">
      <c r="A27665" t="str">
        <f>HYPERLINK("https://www.773grp.com/globalSearch/DK-LM3S9B96/page-1", "DK-LM3S9B96")</f>
        <v>DK-LM3S9B96</v>
      </c>
      <c r="B27665" s="3" t="s">
        <v>90</v>
      </c>
      <c r="C27665" s="5">
        <v>15</v>
      </c>
      <c r="D27665" s="6">
        <v>907.83</v>
      </c>
    </row>
    <row r="27666" spans="1:4" x14ac:dyDescent="0.25">
      <c r="A27666" t="str">
        <f>HYPERLINK("https://www.773grp.com/globalSearch/XACT89110GFH/page-1", "XACT89110GFH")</f>
        <v>XACT89110GFH</v>
      </c>
      <c r="B27666" s="3" t="s">
        <v>90</v>
      </c>
      <c r="C27666" s="5">
        <v>149</v>
      </c>
      <c r="D27666" s="6">
        <v>944.14</v>
      </c>
    </row>
    <row r="27667" spans="1:4" x14ac:dyDescent="0.25">
      <c r="A27667" t="str">
        <f>HYPERLINK("https://www.773grp.com/globalSearch/TMDXMDKEK1258/page-1", "TMDXMDKEK1258")</f>
        <v>TMDXMDKEK1258</v>
      </c>
      <c r="B27667" s="3" t="s">
        <v>90</v>
      </c>
      <c r="C27667" s="5">
        <v>21</v>
      </c>
      <c r="D27667" s="6">
        <v>959.09</v>
      </c>
    </row>
    <row r="27668" spans="1:4" x14ac:dyDescent="0.25">
      <c r="A27668" t="str">
        <f>HYPERLINK("https://www.773grp.com/globalSearch/SBP9966DNJ/page-1", "SBP9966DNJ")</f>
        <v>SBP9966DNJ</v>
      </c>
      <c r="B27668" s="3" t="s">
        <v>90</v>
      </c>
      <c r="C27668" s="5">
        <v>378</v>
      </c>
      <c r="D27668" s="6">
        <v>961.24</v>
      </c>
    </row>
    <row r="27669" spans="1:4" x14ac:dyDescent="0.25">
      <c r="A27669" t="str">
        <f>HYPERLINK("https://www.773grp.com/globalSearch/TMDSHV1PHINVKIT/page-1", "TMDSHV1PHINVKIT")</f>
        <v>TMDSHV1PHINVKIT</v>
      </c>
      <c r="B27669" s="3" t="s">
        <v>90</v>
      </c>
      <c r="C27669" s="5">
        <v>1</v>
      </c>
      <c r="D27669" s="6">
        <v>961.24</v>
      </c>
    </row>
    <row r="27670" spans="1:4" x14ac:dyDescent="0.25">
      <c r="A27670" t="str">
        <f>HYPERLINK("https://www.773grp.com/globalSearch/TMDSHVBLPFCKIT/page-1", "TMDSHVBLPFCKIT")</f>
        <v>TMDSHVBLPFCKIT</v>
      </c>
      <c r="B27670" s="3" t="s">
        <v>90</v>
      </c>
      <c r="C27670" s="5">
        <v>1</v>
      </c>
      <c r="D27670" s="6">
        <v>961.24</v>
      </c>
    </row>
    <row r="27671" spans="1:4" x14ac:dyDescent="0.25">
      <c r="A27671" t="str">
        <f>HYPERLINK("https://www.773grp.com/globalSearch/CC2420DBK/page-1", "CC2420DBK")</f>
        <v>CC2420DBK</v>
      </c>
      <c r="B27671" s="3" t="s">
        <v>90</v>
      </c>
      <c r="C27671" s="5">
        <v>1</v>
      </c>
      <c r="D27671" s="6">
        <v>1014.64</v>
      </c>
    </row>
    <row r="27672" spans="1:4" x14ac:dyDescent="0.25">
      <c r="A27672" t="str">
        <f>HYPERLINK("https://www.773grp.com/globalSearch/TMS320DRE311PGE/page-1", "TMS320DRE311PGE")</f>
        <v>TMS320DRE311PGE</v>
      </c>
      <c r="B27672" s="3" t="s">
        <v>90</v>
      </c>
      <c r="C27672" s="5">
        <v>2632</v>
      </c>
      <c r="D27672" s="6">
        <v>1014.64</v>
      </c>
    </row>
    <row r="27673" spans="1:4" x14ac:dyDescent="0.25">
      <c r="A27673" t="str">
        <f>HYPERLINK("https://www.773grp.com/globalSearch/ADC603JH-2/page-1", "ADC603JH-2")</f>
        <v>ADC603JH-2</v>
      </c>
      <c r="B27673" s="3" t="s">
        <v>90</v>
      </c>
      <c r="C27673" s="5">
        <v>1</v>
      </c>
      <c r="D27673" s="6">
        <v>1042.49</v>
      </c>
    </row>
    <row r="27674" spans="1:4" x14ac:dyDescent="0.25">
      <c r="A27674" t="str">
        <f>HYPERLINK("https://www.773grp.com/globalSearch/CC1100-1150DK-433/page-1", "CC1100-1150DK-433")</f>
        <v>CC1100-1150DK-433</v>
      </c>
      <c r="B27674" s="3" t="s">
        <v>90</v>
      </c>
      <c r="C27674" s="5">
        <v>1</v>
      </c>
      <c r="D27674" s="6">
        <v>1046.68</v>
      </c>
    </row>
    <row r="27675" spans="1:4" x14ac:dyDescent="0.25">
      <c r="A27675" t="str">
        <f>HYPERLINK("https://www.773grp.com/globalSearch/CC2500-CC2550DK/page-1", "CC2500-CC2550DK")</f>
        <v>CC2500-CC2550DK</v>
      </c>
      <c r="B27675" s="3" t="s">
        <v>90</v>
      </c>
      <c r="C27675" s="5">
        <v>4</v>
      </c>
      <c r="D27675" s="6">
        <v>1046.68</v>
      </c>
    </row>
    <row r="27676" spans="1:4" x14ac:dyDescent="0.25">
      <c r="A27676" t="str">
        <f>HYPERLINK("https://www.773grp.com/globalSearch/TMDSCCS-ALLN01/page-1", "TMDSCCS-ALLN01")</f>
        <v>TMDSCCS-ALLN01</v>
      </c>
      <c r="B27676" s="3" t="s">
        <v>90</v>
      </c>
      <c r="C27676" s="5">
        <v>1</v>
      </c>
      <c r="D27676" s="6">
        <v>1057.3499999999999</v>
      </c>
    </row>
    <row r="27677" spans="1:4" x14ac:dyDescent="0.25">
      <c r="A27677" t="str">
        <f>HYPERLINK("https://www.773grp.com/globalSearch/TMDSCCS-MCUN01/page-1", "TMDSCCS-MCUN01")</f>
        <v>TMDSCCS-MCUN01</v>
      </c>
      <c r="B27677" s="3" t="s">
        <v>90</v>
      </c>
      <c r="C27677" s="5">
        <v>8</v>
      </c>
      <c r="D27677" s="6">
        <v>1057.3499999999999</v>
      </c>
    </row>
    <row r="27678" spans="1:4" x14ac:dyDescent="0.25">
      <c r="A27678" t="str">
        <f>HYPERLINK("https://www.773grp.com/globalSearch/TMDXEZR2812/page-1", "TMDXEZR2812")</f>
        <v>TMDXEZR2812</v>
      </c>
      <c r="B27678" s="3" t="s">
        <v>90</v>
      </c>
      <c r="C27678" s="5">
        <v>8</v>
      </c>
      <c r="D27678" s="6">
        <v>1057.3800000000001</v>
      </c>
    </row>
    <row r="27679" spans="1:4" x14ac:dyDescent="0.25">
      <c r="A27679" t="str">
        <f>HYPERLINK("https://www.773grp.com/globalSearch/TMDSDSK5509-0E/page-1", "TMDSDSK5509-0E")</f>
        <v>TMDSDSK5509-0E</v>
      </c>
      <c r="B27679" s="3" t="s">
        <v>90</v>
      </c>
      <c r="C27679" s="5">
        <v>1</v>
      </c>
      <c r="D27679" s="6">
        <v>1057.4000000000001</v>
      </c>
    </row>
    <row r="27680" spans="1:4" x14ac:dyDescent="0.25">
      <c r="A27680" t="str">
        <f>HYPERLINK("https://www.773grp.com/globalSearch/TMDSSUB2000/page-1", "TMDSSUB2000")</f>
        <v>TMDSSUB2000</v>
      </c>
      <c r="B27680" s="3" t="s">
        <v>90</v>
      </c>
      <c r="C27680" s="5">
        <v>3</v>
      </c>
      <c r="D27680" s="6">
        <v>1057.4000000000001</v>
      </c>
    </row>
    <row r="27681" spans="1:4" x14ac:dyDescent="0.25">
      <c r="A27681" t="str">
        <f>HYPERLINK("https://www.773grp.com/globalSearch/TMDXEVM355/page-1", "TMDXEVM355")</f>
        <v>TMDXEVM355</v>
      </c>
      <c r="B27681" s="3" t="s">
        <v>90</v>
      </c>
      <c r="C27681" s="5">
        <v>16</v>
      </c>
      <c r="D27681" s="6">
        <v>1057.4000000000001</v>
      </c>
    </row>
    <row r="27682" spans="1:4" x14ac:dyDescent="0.25">
      <c r="A27682" t="str">
        <f>HYPERLINK("https://www.773grp.com/globalSearch/TMDXEVM6424/page-1", "TMDXEVM6424")</f>
        <v>TMDXEVM6424</v>
      </c>
      <c r="B27682" s="3" t="s">
        <v>90</v>
      </c>
      <c r="C27682" s="5">
        <v>5</v>
      </c>
      <c r="D27682" s="6">
        <v>1057.4000000000001</v>
      </c>
    </row>
    <row r="27683" spans="1:4" x14ac:dyDescent="0.25">
      <c r="A27683" t="str">
        <f>HYPERLINK("https://www.773grp.com/globalSearch/TMDXEZ28044/page-1", "TMDXEZ28044")</f>
        <v>TMDXEZ28044</v>
      </c>
      <c r="B27683" s="3" t="s">
        <v>90</v>
      </c>
      <c r="C27683" s="5">
        <v>4</v>
      </c>
      <c r="D27683" s="6">
        <v>1057.4000000000001</v>
      </c>
    </row>
    <row r="27684" spans="1:4" x14ac:dyDescent="0.25">
      <c r="A27684" t="str">
        <f>HYPERLINK("https://www.773grp.com/globalSearch/TMDXEZS2808/page-1", "TMDXEZS2808")</f>
        <v>TMDXEZS2808</v>
      </c>
      <c r="B27684" s="3" t="s">
        <v>90</v>
      </c>
      <c r="C27684" s="5">
        <v>1</v>
      </c>
      <c r="D27684" s="6">
        <v>1057.4000000000001</v>
      </c>
    </row>
    <row r="27685" spans="1:4" x14ac:dyDescent="0.25">
      <c r="A27685" t="str">
        <f>HYPERLINK("https://www.773grp.com/globalSearch/TMDXVDP6437/page-1", "TMDXVDP6437")</f>
        <v>TMDXVDP6437</v>
      </c>
      <c r="B27685" s="3" t="s">
        <v>90</v>
      </c>
      <c r="C27685" s="5">
        <v>2</v>
      </c>
      <c r="D27685" s="6">
        <v>1057.4000000000001</v>
      </c>
    </row>
    <row r="27686" spans="1:4" x14ac:dyDescent="0.25">
      <c r="A27686" t="str">
        <f>HYPERLINK("https://www.773grp.com/globalSearch/ADS1675REF/page-1", "ADS1675REF")</f>
        <v>ADS1675REF</v>
      </c>
      <c r="B27686" s="3" t="s">
        <v>90</v>
      </c>
      <c r="C27686" s="5">
        <v>1</v>
      </c>
      <c r="D27686" s="6">
        <v>1065.9100000000001</v>
      </c>
    </row>
    <row r="27687" spans="1:4" x14ac:dyDescent="0.25">
      <c r="A27687" t="str">
        <f>HYPERLINK("https://www.773grp.com/globalSearch/AFE7222EVM/page-1", "AFE7222EVM")</f>
        <v>AFE7222EVM</v>
      </c>
      <c r="B27687" s="3" t="s">
        <v>90</v>
      </c>
      <c r="C27687" s="5">
        <v>6</v>
      </c>
      <c r="D27687" s="6">
        <v>1065.9100000000001</v>
      </c>
    </row>
    <row r="27688" spans="1:4" x14ac:dyDescent="0.25">
      <c r="A27688" t="str">
        <f>HYPERLINK("https://www.773grp.com/globalSearch/AMC7812EVM-PDK/page-1", "AMC7812EVM-PDK")</f>
        <v>AMC7812EVM-PDK</v>
      </c>
      <c r="B27688" s="3" t="s">
        <v>90</v>
      </c>
      <c r="C27688" s="5">
        <v>2</v>
      </c>
      <c r="D27688" s="6">
        <v>1065.9100000000001</v>
      </c>
    </row>
    <row r="27689" spans="1:4" x14ac:dyDescent="0.25">
      <c r="A27689" t="str">
        <f>HYPERLINK("https://www.773grp.com/globalSearch/CC1101DK868-915/page-1", "CC1101DK868-915")</f>
        <v>CC1101DK868-915</v>
      </c>
      <c r="B27689" s="3" t="s">
        <v>90</v>
      </c>
      <c r="C27689" s="5">
        <v>1</v>
      </c>
      <c r="D27689" s="6">
        <v>1065.9100000000001</v>
      </c>
    </row>
    <row r="27690" spans="1:4" x14ac:dyDescent="0.25">
      <c r="A27690" t="str">
        <f>HYPERLINK("https://www.773grp.com/globalSearch/DAC3282EVM/page-1", "DAC3282EVM")</f>
        <v>DAC3282EVM</v>
      </c>
      <c r="B27690" s="3" t="s">
        <v>90</v>
      </c>
      <c r="C27690" s="5">
        <v>1</v>
      </c>
      <c r="D27690" s="6">
        <v>1065.9100000000001</v>
      </c>
    </row>
    <row r="27691" spans="1:4" x14ac:dyDescent="0.25">
      <c r="A27691" t="str">
        <f>HYPERLINK("https://www.773grp.com/globalSearch/DAC3283EVM/page-1", "DAC3283EVM")</f>
        <v>DAC3283EVM</v>
      </c>
      <c r="B27691" s="3" t="s">
        <v>90</v>
      </c>
      <c r="C27691" s="5">
        <v>1</v>
      </c>
      <c r="D27691" s="6">
        <v>1065.9100000000001</v>
      </c>
    </row>
    <row r="27692" spans="1:4" x14ac:dyDescent="0.25">
      <c r="A27692" t="str">
        <f>HYPERLINK("https://www.773grp.com/globalSearch/DAC3482EVM/page-1", "DAC3482EVM")</f>
        <v>DAC3482EVM</v>
      </c>
      <c r="B27692" s="3" t="s">
        <v>90</v>
      </c>
      <c r="C27692" s="5">
        <v>1</v>
      </c>
      <c r="D27692" s="6">
        <v>1065.9100000000001</v>
      </c>
    </row>
    <row r="27693" spans="1:4" x14ac:dyDescent="0.25">
      <c r="A27693" t="str">
        <f>HYPERLINK("https://www.773grp.com/globalSearch/DAC3484EVM/page-1", "DAC3484EVM")</f>
        <v>DAC3484EVM</v>
      </c>
      <c r="B27693" s="3" t="s">
        <v>90</v>
      </c>
      <c r="C27693" s="5">
        <v>4</v>
      </c>
      <c r="D27693" s="6">
        <v>1065.9100000000001</v>
      </c>
    </row>
    <row r="27694" spans="1:4" x14ac:dyDescent="0.25">
      <c r="A27694" t="str">
        <f>HYPERLINK("https://www.773grp.com/globalSearch/DAC34H84EVM/page-1", "DAC34H84EVM")</f>
        <v>DAC34H84EVM</v>
      </c>
      <c r="B27694" s="3" t="s">
        <v>90</v>
      </c>
      <c r="C27694" s="5">
        <v>2</v>
      </c>
      <c r="D27694" s="6">
        <v>1065.9100000000001</v>
      </c>
    </row>
    <row r="27695" spans="1:4" x14ac:dyDescent="0.25">
      <c r="A27695" t="str">
        <f>HYPERLINK("https://www.773grp.com/globalSearch/DAC34SH84EVM/page-1", "DAC34SH84EVM")</f>
        <v>DAC34SH84EVM</v>
      </c>
      <c r="B27695" s="3" t="s">
        <v>90</v>
      </c>
      <c r="C27695" s="5">
        <v>2</v>
      </c>
      <c r="D27695" s="6">
        <v>1065.9100000000001</v>
      </c>
    </row>
    <row r="27696" spans="1:4" x14ac:dyDescent="0.25">
      <c r="A27696" t="str">
        <f>HYPERLINK("https://www.773grp.com/globalSearch/DAC5682ZEVM/page-1", "DAC5682ZEVM")</f>
        <v>DAC5682ZEVM</v>
      </c>
      <c r="B27696" s="3" t="s">
        <v>90</v>
      </c>
      <c r="C27696" s="5">
        <v>2</v>
      </c>
      <c r="D27696" s="6">
        <v>1065.9100000000001</v>
      </c>
    </row>
    <row r="27697" spans="1:4" x14ac:dyDescent="0.25">
      <c r="A27697" t="str">
        <f>HYPERLINK("https://www.773grp.com/globalSearch/DAC5689EVM/page-1", "DAC5689EVM")</f>
        <v>DAC5689EVM</v>
      </c>
      <c r="B27697" s="3" t="s">
        <v>90</v>
      </c>
      <c r="C27697" s="5">
        <v>1</v>
      </c>
      <c r="D27697" s="6">
        <v>1065.9100000000001</v>
      </c>
    </row>
    <row r="27698" spans="1:4" x14ac:dyDescent="0.25">
      <c r="A27698" t="str">
        <f>HYPERLINK("https://www.773grp.com/globalSearch/DDC11XEVM-PDK/page-1", "DDC11XEVM-PDK")</f>
        <v>DDC11XEVM-PDK</v>
      </c>
      <c r="B27698" s="3" t="s">
        <v>90</v>
      </c>
      <c r="C27698" s="5">
        <v>1</v>
      </c>
      <c r="D27698" s="6">
        <v>1065.9100000000001</v>
      </c>
    </row>
    <row r="27699" spans="1:4" x14ac:dyDescent="0.25">
      <c r="A27699" t="str">
        <f>HYPERLINK("https://www.773grp.com/globalSearch/DLP5500FLEX/page-1", "DLP5500FLEX")</f>
        <v>DLP5500FLEX</v>
      </c>
      <c r="B27699" s="3" t="s">
        <v>90</v>
      </c>
      <c r="C27699" s="5">
        <v>1</v>
      </c>
      <c r="D27699" s="6">
        <v>1065.9100000000001</v>
      </c>
    </row>
    <row r="27700" spans="1:4" x14ac:dyDescent="0.25">
      <c r="A27700" t="str">
        <f>HYPERLINK("https://www.773grp.com/globalSearch/DRV8301-RM48-KIT/page-1", "DRV8301-RM48-KIT")</f>
        <v>DRV8301-RM48-KIT</v>
      </c>
      <c r="B27700" s="3" t="s">
        <v>90</v>
      </c>
      <c r="C27700" s="5">
        <v>1</v>
      </c>
      <c r="D27700" s="6">
        <v>1065.9100000000001</v>
      </c>
    </row>
    <row r="27701" spans="1:4" x14ac:dyDescent="0.25">
      <c r="A27701" t="str">
        <f>HYPERLINK("https://www.773grp.com/globalSearch/FLINK3V8BT-85-NOPB/page-1", "FLINK3V8BT-85-NOPB")</f>
        <v>FLINK3V8BT-85-NOPB</v>
      </c>
      <c r="B27701" s="3" t="s">
        <v>90</v>
      </c>
      <c r="C27701" s="5">
        <v>10</v>
      </c>
      <c r="D27701" s="6">
        <v>1065.9100000000001</v>
      </c>
    </row>
    <row r="27702" spans="1:4" x14ac:dyDescent="0.25">
      <c r="A27702" t="str">
        <f>HYPERLINK("https://www.773grp.com/globalSearch/LM48901SQEVAL-NOPB/page-1", "LM48901SQEVAL-NOPB")</f>
        <v>LM48901SQEVAL-NOPB</v>
      </c>
      <c r="B27702" s="3" t="s">
        <v>90</v>
      </c>
      <c r="C27702" s="5">
        <v>2</v>
      </c>
      <c r="D27702" s="6">
        <v>1065.9100000000001</v>
      </c>
    </row>
    <row r="27703" spans="1:4" x14ac:dyDescent="0.25">
      <c r="A27703" t="str">
        <f>HYPERLINK("https://www.773grp.com/globalSearch/MSP-CCE430PRO/page-1", "MSP-CCE430PRO")</f>
        <v>MSP-CCE430PRO</v>
      </c>
      <c r="B27703" s="3" t="s">
        <v>90</v>
      </c>
      <c r="C27703" s="5">
        <v>31</v>
      </c>
      <c r="D27703" s="6">
        <v>1065.9100000000001</v>
      </c>
    </row>
    <row r="27704" spans="1:4" x14ac:dyDescent="0.25">
      <c r="A27704" t="str">
        <f>HYPERLINK("https://www.773grp.com/globalSearch/TAS5508-5121K8EVM/page-1", "TAS5508-5121K8EVM")</f>
        <v>TAS5508-5121K8EVM</v>
      </c>
      <c r="B27704" s="3" t="s">
        <v>90</v>
      </c>
      <c r="C27704" s="5">
        <v>1</v>
      </c>
      <c r="D27704" s="6">
        <v>1065.9100000000001</v>
      </c>
    </row>
    <row r="27705" spans="1:4" x14ac:dyDescent="0.25">
      <c r="A27705" t="str">
        <f>HYPERLINK("https://www.773grp.com/globalSearch/TMDSRGBLEDKIT/page-1", "TMDSRGBLEDKIT")</f>
        <v>TMDSRGBLEDKIT</v>
      </c>
      <c r="B27705" s="3" t="s">
        <v>90</v>
      </c>
      <c r="C27705" s="5">
        <v>13</v>
      </c>
      <c r="D27705" s="6">
        <v>1065.9100000000001</v>
      </c>
    </row>
    <row r="27706" spans="1:4" x14ac:dyDescent="0.25">
      <c r="A27706" t="str">
        <f>HYPERLINK("https://www.773grp.com/globalSearch/TRF2443EVM/page-1", "TRF2443EVM")</f>
        <v>TRF2443EVM</v>
      </c>
      <c r="B27706" s="3" t="s">
        <v>90</v>
      </c>
      <c r="C27706" s="5">
        <v>1</v>
      </c>
      <c r="D27706" s="6">
        <v>1065.9100000000001</v>
      </c>
    </row>
    <row r="27707" spans="1:4" x14ac:dyDescent="0.25">
      <c r="A27707" t="str">
        <f>HYPERLINK("https://www.773grp.com/globalSearch/TRF3765EVM-F/page-1", "TRF3765EVM-F")</f>
        <v>TRF3765EVM-F</v>
      </c>
      <c r="B27707" s="3" t="s">
        <v>90</v>
      </c>
      <c r="C27707" s="5">
        <v>8</v>
      </c>
      <c r="D27707" s="6">
        <v>1065.9100000000001</v>
      </c>
    </row>
    <row r="27708" spans="1:4" x14ac:dyDescent="0.25">
      <c r="A27708" t="str">
        <f>HYPERLINK("https://www.773grp.com/globalSearch/TSW1100EVM/page-1", "TSW1100EVM")</f>
        <v>TSW1100EVM</v>
      </c>
      <c r="B27708" s="3" t="s">
        <v>90</v>
      </c>
      <c r="C27708" s="5">
        <v>1</v>
      </c>
      <c r="D27708" s="6">
        <v>1065.9100000000001</v>
      </c>
    </row>
    <row r="27709" spans="1:4" x14ac:dyDescent="0.25">
      <c r="A27709" t="str">
        <f>HYPERLINK("https://www.773grp.com/globalSearch/TSW1265EVM/page-1", "TSW1265EVM")</f>
        <v>TSW1265EVM</v>
      </c>
      <c r="B27709" s="3" t="s">
        <v>90</v>
      </c>
      <c r="C27709" s="5">
        <v>1</v>
      </c>
      <c r="D27709" s="6">
        <v>1065.9100000000001</v>
      </c>
    </row>
    <row r="27710" spans="1:4" x14ac:dyDescent="0.25">
      <c r="A27710" t="str">
        <f>HYPERLINK("https://www.773grp.com/globalSearch/XIO2000AEVM/page-1", "XIO2000AEVM")</f>
        <v>XIO2000AEVM</v>
      </c>
      <c r="B27710" s="3" t="s">
        <v>90</v>
      </c>
      <c r="C27710" s="5">
        <v>20</v>
      </c>
      <c r="D27710" s="6">
        <v>1065.9100000000001</v>
      </c>
    </row>
    <row r="27711" spans="1:4" x14ac:dyDescent="0.25">
      <c r="A27711" t="str">
        <f>HYPERLINK("https://www.773grp.com/globalSearch/SN74ACT8847-30GA/page-1", "SN74ACT8847-30GA")</f>
        <v>SN74ACT8847-30GA</v>
      </c>
      <c r="B27711" s="3" t="s">
        <v>90</v>
      </c>
      <c r="C27711" s="5">
        <v>170</v>
      </c>
      <c r="D27711" s="6">
        <v>1068.04</v>
      </c>
    </row>
    <row r="27712" spans="1:4" x14ac:dyDescent="0.25">
      <c r="A27712" t="str">
        <f>HYPERLINK("https://www.773grp.com/globalSearch/TMDSCCS2000-1/page-1", "TMDSCCS2000-1")</f>
        <v>TMDSCCS2000-1</v>
      </c>
      <c r="B27712" s="3" t="s">
        <v>90</v>
      </c>
      <c r="C27712" s="5">
        <v>5</v>
      </c>
      <c r="D27712" s="6">
        <v>1094.69</v>
      </c>
    </row>
    <row r="27713" spans="1:4" x14ac:dyDescent="0.25">
      <c r="A27713" t="str">
        <f>HYPERLINK("https://www.773grp.com/globalSearch/TMDSDSK6416-T/page-1", "TMDSDSK6416-T")</f>
        <v>TMDSDSK6416-T</v>
      </c>
      <c r="B27713" s="3" t="s">
        <v>90</v>
      </c>
      <c r="C27713" s="5">
        <v>6</v>
      </c>
      <c r="D27713" s="6">
        <v>1094.69</v>
      </c>
    </row>
    <row r="27714" spans="1:4" x14ac:dyDescent="0.25">
      <c r="A27714" t="str">
        <f>HYPERLINK("https://www.773grp.com/globalSearch/TMDSEVM355/page-1", "TMDSEVM355")</f>
        <v>TMDSEVM355</v>
      </c>
      <c r="B27714" s="3" t="s">
        <v>90</v>
      </c>
      <c r="C27714" s="5">
        <v>7</v>
      </c>
      <c r="D27714" s="6">
        <v>1094.69</v>
      </c>
    </row>
    <row r="27715" spans="1:4" x14ac:dyDescent="0.25">
      <c r="A27715" t="str">
        <f>HYPERLINK("https://www.773grp.com/globalSearch/TMDSEZ28044/page-1", "TMDSEZ28044")</f>
        <v>TMDSEZ28044</v>
      </c>
      <c r="B27715" s="3" t="s">
        <v>90</v>
      </c>
      <c r="C27715" s="5">
        <v>1</v>
      </c>
      <c r="D27715" s="6">
        <v>1094.69</v>
      </c>
    </row>
    <row r="27716" spans="1:4" x14ac:dyDescent="0.25">
      <c r="A27716" t="str">
        <f>HYPERLINK("https://www.773grp.com/globalSearch/TMDSEZ28335/page-1", "TMDSEZ28335")</f>
        <v>TMDSEZ28335</v>
      </c>
      <c r="B27716" s="3" t="s">
        <v>90</v>
      </c>
      <c r="C27716" s="5">
        <v>5</v>
      </c>
      <c r="D27716" s="6">
        <v>1094.69</v>
      </c>
    </row>
    <row r="27717" spans="1:4" x14ac:dyDescent="0.25">
      <c r="A27717" t="str">
        <f>HYPERLINK("https://www.773grp.com/globalSearch/CC2400DK/page-1", "CC2400DK")</f>
        <v>CC2400DK</v>
      </c>
      <c r="B27717" s="3" t="s">
        <v>90</v>
      </c>
      <c r="C27717" s="5">
        <v>3</v>
      </c>
      <c r="D27717" s="6">
        <v>1153.48</v>
      </c>
    </row>
    <row r="27718" spans="1:4" x14ac:dyDescent="0.25">
      <c r="A27718" t="str">
        <f>HYPERLINK("https://www.773grp.com/globalSearch/CC2430DK/page-1", "CC2430DK")</f>
        <v>CC2430DK</v>
      </c>
      <c r="B27718" s="3" t="s">
        <v>90</v>
      </c>
      <c r="C27718" s="5">
        <v>5</v>
      </c>
      <c r="D27718" s="6">
        <v>1153.48</v>
      </c>
    </row>
    <row r="27719" spans="1:4" x14ac:dyDescent="0.25">
      <c r="A27719" t="str">
        <f>HYPERLINK("https://www.773grp.com/globalSearch/TMDXEVM6657LE/page-1", "TMDXEVM6657LE")</f>
        <v>TMDXEVM6657LE</v>
      </c>
      <c r="B27719" s="3" t="s">
        <v>90</v>
      </c>
      <c r="C27719" s="5">
        <v>1</v>
      </c>
      <c r="D27719" s="6">
        <v>1172.71</v>
      </c>
    </row>
    <row r="27720" spans="1:4" x14ac:dyDescent="0.25">
      <c r="A27720" t="str">
        <f>HYPERLINK("https://www.773grp.com/globalSearch/TMDSHVMPPTKIT/page-1", "TMDSHVMPPTKIT")</f>
        <v>TMDSHVMPPTKIT</v>
      </c>
      <c r="B27720" s="3" t="s">
        <v>90</v>
      </c>
      <c r="C27720" s="5">
        <v>1</v>
      </c>
      <c r="D27720" s="6">
        <v>1174.8399999999999</v>
      </c>
    </row>
    <row r="27721" spans="1:4" x14ac:dyDescent="0.25">
      <c r="A27721" t="str">
        <f>HYPERLINK("https://www.773grp.com/globalSearch/TMDSHVPSFBKIT/page-1", "TMDSHVPSFBKIT")</f>
        <v>TMDSHVPSFBKIT</v>
      </c>
      <c r="B27721" s="3" t="s">
        <v>90</v>
      </c>
      <c r="C27721" s="5">
        <v>1</v>
      </c>
      <c r="D27721" s="6">
        <v>1174.8399999999999</v>
      </c>
    </row>
    <row r="27722" spans="1:4" x14ac:dyDescent="0.25">
      <c r="A27722" t="str">
        <f>HYPERLINK("https://www.773grp.com/globalSearch/SMJ32020GBS/page-1", "SMJ32020GBS")</f>
        <v>SMJ32020GBS</v>
      </c>
      <c r="B27722" s="3" t="s">
        <v>90</v>
      </c>
      <c r="C27722" s="5">
        <v>1</v>
      </c>
      <c r="D27722" s="6">
        <v>1221.8399999999999</v>
      </c>
    </row>
    <row r="27723" spans="1:4" x14ac:dyDescent="0.25">
      <c r="A27723" t="str">
        <f>HYPERLINK("https://www.773grp.com/globalSearch/TMDXEVM365/page-1", "TMDXEVM365")</f>
        <v>TMDXEVM365</v>
      </c>
      <c r="B27723" s="3" t="s">
        <v>90</v>
      </c>
      <c r="C27723" s="5">
        <v>8</v>
      </c>
      <c r="D27723" s="6">
        <v>1270.96</v>
      </c>
    </row>
    <row r="27724" spans="1:4" x14ac:dyDescent="0.25">
      <c r="A27724" t="str">
        <f>HYPERLINK("https://www.773grp.com/globalSearch/TMDSEZD2401-0E/page-1", "TMDSEZD2401-0E")</f>
        <v>TMDSEZD2401-0E</v>
      </c>
      <c r="B27724" s="3" t="s">
        <v>90</v>
      </c>
      <c r="C27724" s="5">
        <v>3</v>
      </c>
      <c r="D27724" s="6">
        <v>1271.01</v>
      </c>
    </row>
    <row r="27725" spans="1:4" x14ac:dyDescent="0.25">
      <c r="A27725" t="str">
        <f>HYPERLINK("https://www.773grp.com/globalSearch/ADS58H43EVM/page-1", "ADS58H43EVM")</f>
        <v>ADS58H43EVM</v>
      </c>
      <c r="B27725" s="3" t="s">
        <v>90</v>
      </c>
      <c r="C27725" s="5">
        <v>5</v>
      </c>
      <c r="D27725" s="6">
        <v>1279.51</v>
      </c>
    </row>
    <row r="27726" spans="1:4" x14ac:dyDescent="0.25">
      <c r="A27726" t="str">
        <f>HYPERLINK("https://www.773grp.com/globalSearch/TMDSEVM6678LE/page-1", "TMDSEVM6678LE")</f>
        <v>TMDSEVM6678LE</v>
      </c>
      <c r="B27726" s="3" t="s">
        <v>90</v>
      </c>
      <c r="C27726" s="5">
        <v>1</v>
      </c>
      <c r="D27726" s="6">
        <v>1279.51</v>
      </c>
    </row>
    <row r="27727" spans="1:4" x14ac:dyDescent="0.25">
      <c r="A27727" t="str">
        <f>HYPERLINK("https://www.773grp.com/globalSearch/TMDSPLCKIT-V3/page-1", "TMDSPLCKIT-V3")</f>
        <v>TMDSPLCKIT-V3</v>
      </c>
      <c r="B27727" s="3" t="s">
        <v>90</v>
      </c>
      <c r="C27727" s="5">
        <v>2</v>
      </c>
      <c r="D27727" s="6">
        <v>1279.51</v>
      </c>
    </row>
    <row r="27728" spans="1:4" x14ac:dyDescent="0.25">
      <c r="A27728" t="str">
        <f>HYPERLINK("https://www.773grp.com/globalSearch/TMDSVDP6437/page-1", "TMDSVDP6437")</f>
        <v>TMDSVDP6437</v>
      </c>
      <c r="B27728" s="3" t="s">
        <v>90</v>
      </c>
      <c r="C27728" s="5">
        <v>11</v>
      </c>
      <c r="D27728" s="6">
        <v>1279.51</v>
      </c>
    </row>
    <row r="27729" spans="1:4" x14ac:dyDescent="0.25">
      <c r="A27729" t="str">
        <f>HYPERLINK("https://www.773grp.com/globalSearch/SBR9000/page-1", "SBR9000")</f>
        <v>SBR9000</v>
      </c>
      <c r="B27729" s="3" t="s">
        <v>90</v>
      </c>
      <c r="C27729" s="5">
        <v>587</v>
      </c>
      <c r="D27729" s="6">
        <v>1281.6400000000001</v>
      </c>
    </row>
    <row r="27730" spans="1:4" x14ac:dyDescent="0.25">
      <c r="A27730" t="str">
        <f>HYPERLINK("https://www.773grp.com/globalSearch/SPB9000DNJ8/page-1", "SPB9000DNJ8")</f>
        <v>SPB9000DNJ8</v>
      </c>
      <c r="B27730" s="3" t="s">
        <v>90</v>
      </c>
      <c r="C27730" s="5">
        <v>28</v>
      </c>
      <c r="D27730" s="6">
        <v>1281.6400000000001</v>
      </c>
    </row>
    <row r="27731" spans="1:4" x14ac:dyDescent="0.25">
      <c r="A27731" t="str">
        <f>HYPERLINK("https://www.773grp.com/globalSearch/TMDSSUBALL/page-1", "TMDSSUBALL")</f>
        <v>TMDSSUBALL</v>
      </c>
      <c r="B27731" s="3" t="s">
        <v>90</v>
      </c>
      <c r="C27731" s="5">
        <v>6</v>
      </c>
      <c r="D27731" s="6">
        <v>1281.69</v>
      </c>
    </row>
    <row r="27732" spans="1:4" x14ac:dyDescent="0.25">
      <c r="A27732" t="str">
        <f>HYPERLINK("https://www.773grp.com/globalSearch/TMDSSUB6000/page-1", "TMDSSUB6000")</f>
        <v>TMDSSUB6000</v>
      </c>
      <c r="B27732" s="3" t="s">
        <v>90</v>
      </c>
      <c r="C27732" s="5">
        <v>3</v>
      </c>
      <c r="D27732" s="6">
        <v>1281.73</v>
      </c>
    </row>
    <row r="27733" spans="1:4" x14ac:dyDescent="0.25">
      <c r="A27733" t="str">
        <f>HYPERLINK("https://www.773grp.com/globalSearch/SMJ32020FJS/page-1", "SMJ32020FJS")</f>
        <v>SMJ32020FJS</v>
      </c>
      <c r="B27733" s="3" t="s">
        <v>90</v>
      </c>
      <c r="C27733" s="5">
        <v>81</v>
      </c>
      <c r="D27733" s="6">
        <v>1282.93</v>
      </c>
    </row>
    <row r="27734" spans="1:4" x14ac:dyDescent="0.25">
      <c r="A27734" t="str">
        <f>HYPERLINK("https://www.773grp.com/globalSearch/TMDSDSK6455/page-1", "TMDSDSK6455")</f>
        <v>TMDSDSK6455</v>
      </c>
      <c r="B27734" s="3" t="s">
        <v>90</v>
      </c>
      <c r="C27734" s="5">
        <v>19</v>
      </c>
      <c r="D27734" s="6">
        <v>1315.83</v>
      </c>
    </row>
    <row r="27735" spans="1:4" x14ac:dyDescent="0.25">
      <c r="A27735" t="str">
        <f>HYPERLINK("https://www.773grp.com/globalSearch/TMDSEVM6457LE/page-1", "TMDSEVM6457LE")</f>
        <v>TMDSEVM6457LE</v>
      </c>
      <c r="B27735" s="3" t="s">
        <v>90</v>
      </c>
      <c r="C27735" s="5">
        <v>2</v>
      </c>
      <c r="D27735" s="6">
        <v>1343.49</v>
      </c>
    </row>
    <row r="27736" spans="1:4" x14ac:dyDescent="0.25">
      <c r="A27736" t="str">
        <f>HYPERLINK("https://www.773grp.com/globalSearch/CC2510-CC2511DK/page-1", "CC2510-CC2511DK")</f>
        <v>CC2510-CC2511DK</v>
      </c>
      <c r="B27736" s="3" t="s">
        <v>90</v>
      </c>
      <c r="C27736" s="5">
        <v>5</v>
      </c>
      <c r="D27736" s="6">
        <v>1386.31</v>
      </c>
    </row>
    <row r="27737" spans="1:4" x14ac:dyDescent="0.25">
      <c r="A27737" t="str">
        <f>HYPERLINK("https://www.773grp.com/globalSearch/CC2530ZDK/page-1", "CC2530ZDK")</f>
        <v>CC2530ZDK</v>
      </c>
      <c r="B27737" s="3" t="s">
        <v>90</v>
      </c>
      <c r="C27737" s="5">
        <v>6</v>
      </c>
      <c r="D27737" s="6">
        <v>1386.31</v>
      </c>
    </row>
    <row r="27738" spans="1:4" x14ac:dyDescent="0.25">
      <c r="A27738" t="str">
        <f>HYPERLINK("https://www.773grp.com/globalSearch/TSW1200EVM/page-1", "TSW1200EVM")</f>
        <v>TSW1200EVM</v>
      </c>
      <c r="B27738" s="3" t="s">
        <v>90</v>
      </c>
      <c r="C27738" s="5">
        <v>2</v>
      </c>
      <c r="D27738" s="6">
        <v>1386.31</v>
      </c>
    </row>
    <row r="27739" spans="1:4" x14ac:dyDescent="0.25">
      <c r="A27739" t="str">
        <f>HYPERLINK("https://www.773grp.com/globalSearch/TSW1250EVM/page-1", "TSW1250EVM")</f>
        <v>TSW1250EVM</v>
      </c>
      <c r="B27739" s="3" t="s">
        <v>90</v>
      </c>
      <c r="C27739" s="5">
        <v>8</v>
      </c>
      <c r="D27739" s="6">
        <v>1386.31</v>
      </c>
    </row>
    <row r="27740" spans="1:4" x14ac:dyDescent="0.25">
      <c r="A27740" t="str">
        <f>HYPERLINK("https://www.773grp.com/globalSearch/TSW3003EVM/page-1", "TSW3003EVM")</f>
        <v>TSW3003EVM</v>
      </c>
      <c r="B27740" s="3" t="s">
        <v>90</v>
      </c>
      <c r="C27740" s="5">
        <v>1</v>
      </c>
      <c r="D27740" s="6">
        <v>1386.31</v>
      </c>
    </row>
    <row r="27741" spans="1:4" x14ac:dyDescent="0.25">
      <c r="A27741" t="str">
        <f>HYPERLINK("https://www.773grp.com/globalSearch/RI-K2A-001A-01/page-1", "RI-K2A-001A-01")</f>
        <v>RI-K2A-001A-01</v>
      </c>
      <c r="B27741" s="3" t="s">
        <v>90</v>
      </c>
      <c r="C27741" s="5">
        <v>2</v>
      </c>
      <c r="D27741" s="6">
        <v>1419.85</v>
      </c>
    </row>
    <row r="27742" spans="1:4" x14ac:dyDescent="0.25">
      <c r="A27742" t="str">
        <f>HYPERLINK("https://www.773grp.com/globalSearch/2D992/page-1", "2D992")</f>
        <v>2D992</v>
      </c>
      <c r="B27742" s="3" t="s">
        <v>90</v>
      </c>
      <c r="C27742" s="5">
        <v>124</v>
      </c>
      <c r="D27742" s="6">
        <v>1421.15</v>
      </c>
    </row>
    <row r="27743" spans="1:4" x14ac:dyDescent="0.25">
      <c r="A27743" t="str">
        <f>HYPERLINK("https://www.773grp.com/globalSearch/XACT89120GA/page-1", "XACT89120GA")</f>
        <v>XACT89120GA</v>
      </c>
      <c r="B27743" s="3" t="s">
        <v>90</v>
      </c>
      <c r="C27743" s="5">
        <v>308</v>
      </c>
      <c r="D27743" s="6">
        <v>1435.44</v>
      </c>
    </row>
    <row r="27744" spans="1:4" x14ac:dyDescent="0.25">
      <c r="A27744" t="str">
        <f>HYPERLINK("https://www.773grp.com/globalSearch/ADS5400IPZP/page-1", "ADS5400IPZP")</f>
        <v>ADS5400IPZP</v>
      </c>
      <c r="B27744" s="3" t="s">
        <v>90</v>
      </c>
      <c r="C27744" s="5">
        <v>40</v>
      </c>
      <c r="D27744" s="6">
        <v>1460.64</v>
      </c>
    </row>
    <row r="27745" spans="1:4" x14ac:dyDescent="0.25">
      <c r="A27745" t="str">
        <f>HYPERLINK("https://www.773grp.com/globalSearch/TMDSACDCKIT/page-1", "TMDSACDCKIT")</f>
        <v>TMDSACDCKIT</v>
      </c>
      <c r="B27745" s="3" t="s">
        <v>90</v>
      </c>
      <c r="C27745" s="5">
        <v>4</v>
      </c>
      <c r="D27745" s="6">
        <v>1484.58</v>
      </c>
    </row>
    <row r="27746" spans="1:4" x14ac:dyDescent="0.25">
      <c r="A27746" t="str">
        <f>HYPERLINK("https://www.773grp.com/globalSearch/TMDSHVMTRPFCKIT/page-1", "TMDSHVMTRPFCKIT")</f>
        <v>TMDSHVMTRPFCKIT</v>
      </c>
      <c r="B27746" s="3" t="s">
        <v>90</v>
      </c>
      <c r="C27746" s="5">
        <v>4</v>
      </c>
      <c r="D27746" s="6">
        <v>1493.11</v>
      </c>
    </row>
    <row r="27747" spans="1:4" x14ac:dyDescent="0.25">
      <c r="A27747" t="str">
        <f>HYPERLINK("https://www.773grp.com/globalSearch/TMDSIACLEDCOMKIT/page-1", "TMDSIACLEDCOMKIT")</f>
        <v>TMDSIACLEDCOMKIT</v>
      </c>
      <c r="B27747" s="3" t="s">
        <v>90</v>
      </c>
      <c r="C27747" s="5">
        <v>5</v>
      </c>
      <c r="D27747" s="6">
        <v>1493.11</v>
      </c>
    </row>
    <row r="27748" spans="1:4" x14ac:dyDescent="0.25">
      <c r="A27748" t="str">
        <f>HYPERLINK("https://www.773grp.com/globalSearch/TMDXHVMTRKIT5X/page-1", "TMDXHVMTRKIT5X")</f>
        <v>TMDXHVMTRKIT5X</v>
      </c>
      <c r="B27748" s="3" t="s">
        <v>90</v>
      </c>
      <c r="C27748" s="5">
        <v>5</v>
      </c>
      <c r="D27748" s="6">
        <v>1493.11</v>
      </c>
    </row>
    <row r="27749" spans="1:4" x14ac:dyDescent="0.25">
      <c r="A27749" t="str">
        <f>HYPERLINK("https://www.773grp.com/globalSearch/TMDS3243855-02/page-1", "TMDS3243855-02")</f>
        <v>TMDS3243855-02</v>
      </c>
      <c r="B27749" s="3" t="s">
        <v>90</v>
      </c>
      <c r="C27749" s="5">
        <v>1</v>
      </c>
      <c r="D27749" s="6">
        <v>1609.1</v>
      </c>
    </row>
    <row r="27750" spans="1:4" x14ac:dyDescent="0.25">
      <c r="A27750" t="str">
        <f>HYPERLINK("https://www.773grp.com/globalSearch/TLK1501EVM/page-1", "TLK1501EVM")</f>
        <v>TLK1501EVM</v>
      </c>
      <c r="B27750" s="3" t="s">
        <v>90</v>
      </c>
      <c r="C27750" s="5">
        <v>1</v>
      </c>
      <c r="D27750" s="6">
        <v>1706.73</v>
      </c>
    </row>
    <row r="27751" spans="1:4" x14ac:dyDescent="0.25">
      <c r="A27751" t="str">
        <f>HYPERLINK("https://www.773grp.com/globalSearch/TLK2501EVM/page-1", "TLK2501EVM")</f>
        <v>TLK2501EVM</v>
      </c>
      <c r="B27751" s="3" t="s">
        <v>90</v>
      </c>
      <c r="C27751" s="5">
        <v>2</v>
      </c>
      <c r="D27751" s="6">
        <v>1706.73</v>
      </c>
    </row>
    <row r="27752" spans="1:4" x14ac:dyDescent="0.25">
      <c r="A27752" t="str">
        <f>HYPERLINK("https://www.773grp.com/globalSearch/TX-SDK-V2-NOPB/page-1", "TX-SDK-V2-NOPB")</f>
        <v>TX-SDK-V2-NOPB</v>
      </c>
      <c r="B27752" s="3" t="s">
        <v>90</v>
      </c>
      <c r="C27752" s="5">
        <v>1</v>
      </c>
      <c r="D27752" s="6">
        <v>1706.73</v>
      </c>
    </row>
    <row r="27753" spans="1:4" x14ac:dyDescent="0.25">
      <c r="A27753" t="str">
        <f>HYPERLINK("https://www.773grp.com/globalSearch/TMDXEVM1707/page-1", "TMDXEVM1707")</f>
        <v>TMDXEVM1707</v>
      </c>
      <c r="B27753" s="3" t="s">
        <v>90</v>
      </c>
      <c r="C27753" s="5">
        <v>9</v>
      </c>
      <c r="D27753" s="6">
        <v>1804.99</v>
      </c>
    </row>
    <row r="27754" spans="1:4" x14ac:dyDescent="0.25">
      <c r="A27754" t="str">
        <f>HYPERLINK("https://www.773grp.com/globalSearch/TMDSEVM3517/page-1", "TMDSEVM3517")</f>
        <v>TMDSEVM3517</v>
      </c>
      <c r="B27754" s="3" t="s">
        <v>90</v>
      </c>
      <c r="C27754" s="5">
        <v>10</v>
      </c>
      <c r="D27754" s="6">
        <v>1813.53</v>
      </c>
    </row>
    <row r="27755" spans="1:4" x14ac:dyDescent="0.25">
      <c r="A27755" t="str">
        <f>HYPERLINK("https://www.773grp.com/globalSearch/TMDSEVM357/page-1", "TMDSEVM357")</f>
        <v>TMDSEVM357</v>
      </c>
      <c r="B27755" s="3" t="s">
        <v>90</v>
      </c>
      <c r="C27755" s="5">
        <v>4</v>
      </c>
      <c r="D27755" s="6">
        <v>1911.79</v>
      </c>
    </row>
    <row r="27756" spans="1:4" x14ac:dyDescent="0.25">
      <c r="A27756" t="str">
        <f>HYPERLINK("https://www.773grp.com/globalSearch/TMDSEVM357/page-1", "TMDSEVM357")</f>
        <v>TMDSEVM357</v>
      </c>
      <c r="B27756" s="3" t="s">
        <v>90</v>
      </c>
      <c r="C27756" s="5">
        <v>1</v>
      </c>
      <c r="D27756" s="6">
        <v>1911.79</v>
      </c>
    </row>
    <row r="27757" spans="1:4" x14ac:dyDescent="0.25">
      <c r="A27757" t="str">
        <f>HYPERLINK("https://www.773grp.com/globalSearch/TMDXIDK3359/page-1", "TMDXIDK3359")</f>
        <v>TMDXIDK3359</v>
      </c>
      <c r="B27757" s="3" t="s">
        <v>90</v>
      </c>
      <c r="C27757" s="5">
        <v>8</v>
      </c>
      <c r="D27757" s="6">
        <v>1911.79</v>
      </c>
    </row>
    <row r="27758" spans="1:4" x14ac:dyDescent="0.25">
      <c r="A27758" t="str">
        <f>HYPERLINK("https://www.773grp.com/globalSearch/SMJ320C40GFM40/page-1", "SMJ320C40GFM40")</f>
        <v>SMJ320C40GFM40</v>
      </c>
      <c r="B27758" s="3" t="s">
        <v>90</v>
      </c>
      <c r="C27758" s="5">
        <v>5</v>
      </c>
      <c r="D27758" s="6">
        <v>1942.23</v>
      </c>
    </row>
    <row r="27759" spans="1:4" x14ac:dyDescent="0.25">
      <c r="A27759" t="str">
        <f>HYPERLINK("https://www.773grp.com/globalSearch/TMDS3PMCK240/page-1", "TMDS3PMCK240")</f>
        <v>TMDS3PMCK240</v>
      </c>
      <c r="B27759" s="3" t="s">
        <v>90</v>
      </c>
      <c r="C27759" s="5">
        <v>2</v>
      </c>
      <c r="D27759" s="6">
        <v>2019.13</v>
      </c>
    </row>
    <row r="27760" spans="1:4" x14ac:dyDescent="0.25">
      <c r="A27760" t="str">
        <f>HYPERLINK("https://www.773grp.com/globalSearch/5962-9162304MXC/page-1", "5962-9162304MXC")</f>
        <v>5962-9162304MXC</v>
      </c>
      <c r="B27760" s="3" t="s">
        <v>90</v>
      </c>
      <c r="C27760" s="5">
        <v>1</v>
      </c>
      <c r="D27760" s="6">
        <v>2112.0100000000002</v>
      </c>
    </row>
    <row r="27761" spans="1:4" x14ac:dyDescent="0.25">
      <c r="A27761" t="str">
        <f>HYPERLINK("https://www.773grp.com/globalSearch/TMDXEVM3358/page-1", "TMDXEVM3358")</f>
        <v>TMDXEVM3358</v>
      </c>
      <c r="B27761" s="3" t="s">
        <v>90</v>
      </c>
      <c r="C27761" s="5">
        <v>8</v>
      </c>
      <c r="D27761" s="6">
        <v>2125.39</v>
      </c>
    </row>
    <row r="27762" spans="1:4" x14ac:dyDescent="0.25">
      <c r="A27762" t="str">
        <f>HYPERLINK("https://www.773grp.com/globalSearch/TMDX3240B51/page-1", "TMDX3240B51")</f>
        <v>TMDX3240B51</v>
      </c>
      <c r="B27762" s="3" t="s">
        <v>90</v>
      </c>
      <c r="C27762" s="5">
        <v>4</v>
      </c>
      <c r="D27762" s="6">
        <v>2125.4299999999998</v>
      </c>
    </row>
    <row r="27763" spans="1:4" x14ac:dyDescent="0.25">
      <c r="A27763" t="str">
        <f>HYPERLINK("https://www.773grp.com/globalSearch/TMDXMEVM3503-L/page-1", "TMDXMEVM3503-L")</f>
        <v>TMDXMEVM3503-L</v>
      </c>
      <c r="B27763" s="3" t="s">
        <v>90</v>
      </c>
      <c r="C27763" s="5">
        <v>1</v>
      </c>
      <c r="D27763" s="6">
        <v>2125.5100000000002</v>
      </c>
    </row>
    <row r="27764" spans="1:4" x14ac:dyDescent="0.25">
      <c r="A27764" t="str">
        <f>HYPERLINK("https://www.773grp.com/globalSearch/TMDX320036711/page-1", "TMDX320036711")</f>
        <v>TMDX320036711</v>
      </c>
      <c r="B27764" s="3" t="s">
        <v>90</v>
      </c>
      <c r="C27764" s="5">
        <v>1</v>
      </c>
      <c r="D27764" s="6">
        <v>2125.54</v>
      </c>
    </row>
    <row r="27765" spans="1:4" x14ac:dyDescent="0.25">
      <c r="A27765" t="str">
        <f>HYPERLINK("https://www.773grp.com/globalSearch/TMDSEMUPP/page-1", "TMDSEMUPP")</f>
        <v>TMDSEMUPP</v>
      </c>
      <c r="B27765" s="3" t="s">
        <v>90</v>
      </c>
      <c r="C27765" s="5">
        <v>1</v>
      </c>
      <c r="D27765" s="6">
        <v>2133.9499999999998</v>
      </c>
    </row>
    <row r="27766" spans="1:4" x14ac:dyDescent="0.25">
      <c r="A27766" t="str">
        <f>HYPERLINK("https://www.773grp.com/globalSearch/TMDSEMUPP-0E/page-1", "TMDSEMUPP-0E")</f>
        <v>TMDSEMUPP-0E</v>
      </c>
      <c r="B27766" s="3" t="s">
        <v>90</v>
      </c>
      <c r="C27766" s="5">
        <v>2</v>
      </c>
      <c r="D27766" s="6">
        <v>2133.9499999999998</v>
      </c>
    </row>
    <row r="27767" spans="1:4" x14ac:dyDescent="0.25">
      <c r="A27767" t="str">
        <f>HYPERLINK("https://www.773grp.com/globalSearch/TMDS3260051/page-1", "TMDS3260051")</f>
        <v>TMDS3260051</v>
      </c>
      <c r="B27767" s="3" t="s">
        <v>90</v>
      </c>
      <c r="C27767" s="5">
        <v>1</v>
      </c>
      <c r="D27767" s="6">
        <v>2134.75</v>
      </c>
    </row>
    <row r="27768" spans="1:4" x14ac:dyDescent="0.25">
      <c r="A27768" t="str">
        <f>HYPERLINK("https://www.773grp.com/globalSearch/TMDX324002XX/page-1", "TMDX324002XX")</f>
        <v>TMDX324002XX</v>
      </c>
      <c r="B27768" s="3" t="s">
        <v>90</v>
      </c>
      <c r="C27768" s="5">
        <v>1</v>
      </c>
      <c r="D27768" s="6">
        <v>2135.5500000000002</v>
      </c>
    </row>
    <row r="27769" spans="1:4" x14ac:dyDescent="0.25">
      <c r="A27769" t="str">
        <f>HYPERLINK("https://www.773grp.com/globalSearch/ADC12D800RFIUT-NOPB/page-1", "ADC12D800RFIUT-NOPB")</f>
        <v>ADC12D800RFIUT-NOPB</v>
      </c>
      <c r="B27769" s="3" t="s">
        <v>90</v>
      </c>
      <c r="C27769" s="5">
        <v>40</v>
      </c>
      <c r="D27769" s="6">
        <v>2177.7399999999998</v>
      </c>
    </row>
    <row r="27770" spans="1:4" x14ac:dyDescent="0.25">
      <c r="A27770" t="str">
        <f>HYPERLINK("https://www.773grp.com/globalSearch/TMDSMEVM3530-L/page-1", "TMDSMEVM3530-L")</f>
        <v>TMDSMEVM3530-L</v>
      </c>
      <c r="B27770" s="3" t="s">
        <v>90</v>
      </c>
      <c r="C27770" s="5">
        <v>5</v>
      </c>
      <c r="D27770" s="6">
        <v>2231.66</v>
      </c>
    </row>
    <row r="27771" spans="1:4" x14ac:dyDescent="0.25">
      <c r="A27771" t="str">
        <f>HYPERLINK("https://www.773grp.com/globalSearch/TMDSEVML138/page-1", "TMDSEVML138")</f>
        <v>TMDSEVML138</v>
      </c>
      <c r="B27771" s="3" t="s">
        <v>90</v>
      </c>
      <c r="C27771" s="5">
        <v>34</v>
      </c>
      <c r="D27771" s="6">
        <v>2242.88</v>
      </c>
    </row>
    <row r="27772" spans="1:4" x14ac:dyDescent="0.25">
      <c r="A27772" t="str">
        <f>HYPERLINK("https://www.773grp.com/globalSearch/TMDSCCSUBALLF10-P/page-1", "TMDSCCSUBALLF10-P")</f>
        <v>TMDSCCSUBALLF10-P</v>
      </c>
      <c r="B27772" s="3" t="s">
        <v>90</v>
      </c>
      <c r="C27772" s="5">
        <v>1</v>
      </c>
      <c r="D27772" s="6">
        <v>2347.5500000000002</v>
      </c>
    </row>
    <row r="27773" spans="1:4" x14ac:dyDescent="0.25">
      <c r="A27773" t="str">
        <f>HYPERLINK("https://www.773grp.com/globalSearch/SMJ34020HTM28/page-1", "SMJ34020HTM28")</f>
        <v>SMJ34020HTM28</v>
      </c>
      <c r="B27773" s="3" t="s">
        <v>90</v>
      </c>
      <c r="C27773" s="5">
        <v>2</v>
      </c>
      <c r="D27773" s="6">
        <v>2380.1999999999998</v>
      </c>
    </row>
    <row r="27774" spans="1:4" x14ac:dyDescent="0.25">
      <c r="A27774" t="str">
        <f>HYPERLINK("https://www.773grp.com/globalSearch/TMDSipexCAMDM368MT5/page-1", "TMDSipexCAMDM368MT5")</f>
        <v>TMDSipexCAMDM368MT5</v>
      </c>
      <c r="B27774" s="3" t="s">
        <v>90</v>
      </c>
      <c r="C27774" s="5">
        <v>1</v>
      </c>
      <c r="D27774" s="6">
        <v>2403.09</v>
      </c>
    </row>
    <row r="27775" spans="1:4" x14ac:dyDescent="0.25">
      <c r="A27775" t="str">
        <f>HYPERLINK("https://www.773grp.com/globalSearch/TMDXEVMWIFI1808L/page-1", "TMDXEVMWIFI1808L")</f>
        <v>TMDXEVMWIFI1808L</v>
      </c>
      <c r="B27775" s="3" t="s">
        <v>90</v>
      </c>
      <c r="C27775" s="5">
        <v>4</v>
      </c>
      <c r="D27775" s="6">
        <v>2456.5</v>
      </c>
    </row>
    <row r="27776" spans="1:4" x14ac:dyDescent="0.25">
      <c r="A27776" t="str">
        <f>HYPERLINK("https://www.773grp.com/globalSearch/MSBOHCI400EVM/page-1", "MSBOHCI400EVM")</f>
        <v>MSBOHCI400EVM</v>
      </c>
      <c r="B27776" s="3" t="s">
        <v>90</v>
      </c>
      <c r="C27776" s="5">
        <v>2</v>
      </c>
      <c r="D27776" s="6">
        <v>2685.35</v>
      </c>
    </row>
    <row r="27777" spans="1:4" x14ac:dyDescent="0.25">
      <c r="A27777" t="str">
        <f>HYPERLINK("https://www.773grp.com/globalSearch/TMDXEVM6452/page-1", "TMDXEVM6452")</f>
        <v>TMDXEVM6452</v>
      </c>
      <c r="B27777" s="3" t="s">
        <v>90</v>
      </c>
      <c r="C27777" s="5">
        <v>3</v>
      </c>
      <c r="D27777" s="6">
        <v>2766.38</v>
      </c>
    </row>
    <row r="27778" spans="1:4" x14ac:dyDescent="0.25">
      <c r="A27778" t="str">
        <f>HYPERLINK("https://www.773grp.com/globalSearch/TSW4200/page-1", "TSW4200")</f>
        <v>TSW4200</v>
      </c>
      <c r="B27778" s="3" t="s">
        <v>90</v>
      </c>
      <c r="C27778" s="5">
        <v>4</v>
      </c>
      <c r="D27778" s="6">
        <v>2774.76</v>
      </c>
    </row>
    <row r="27779" spans="1:4" x14ac:dyDescent="0.25">
      <c r="A27779" t="str">
        <f>HYPERLINK("https://www.773grp.com/globalSearch/TMDX326006701/page-1", "TMDX326006701")</f>
        <v>TMDX326006701</v>
      </c>
      <c r="B27779" s="3" t="s">
        <v>90</v>
      </c>
      <c r="C27779" s="5">
        <v>1</v>
      </c>
      <c r="D27779" s="6">
        <v>2836.7</v>
      </c>
    </row>
    <row r="27780" spans="1:4" x14ac:dyDescent="0.25">
      <c r="A27780" t="str">
        <f>HYPERLINK("https://www.773grp.com/globalSearch/TMDSEMUUSB/page-1", "TMDSEMUUSB")</f>
        <v>TMDSEMUUSB</v>
      </c>
      <c r="B27780" s="3" t="s">
        <v>90</v>
      </c>
      <c r="C27780" s="5">
        <v>3</v>
      </c>
      <c r="D27780" s="6">
        <v>2883.7</v>
      </c>
    </row>
    <row r="27781" spans="1:4" x14ac:dyDescent="0.25">
      <c r="A27781" t="str">
        <f>HYPERLINK("https://www.773grp.com/globalSearch/TMDXEVM368/page-1", "TMDXEVM368")</f>
        <v>TMDXEVM368</v>
      </c>
      <c r="B27781" s="3" t="s">
        <v>90</v>
      </c>
      <c r="C27781" s="5">
        <v>4</v>
      </c>
      <c r="D27781" s="6">
        <v>2915.75</v>
      </c>
    </row>
    <row r="27782" spans="1:4" x14ac:dyDescent="0.25">
      <c r="A27782" t="str">
        <f>HYPERLINK("https://www.773grp.com/globalSearch/TMDS324012XX/page-1", "TMDS324012XX")</f>
        <v>TMDS324012XX</v>
      </c>
      <c r="B27782" s="3" t="s">
        <v>90</v>
      </c>
      <c r="C27782" s="5">
        <v>33</v>
      </c>
      <c r="D27782" s="6">
        <v>3193.44</v>
      </c>
    </row>
    <row r="27783" spans="1:4" x14ac:dyDescent="0.25">
      <c r="A27783" t="str">
        <f>HYPERLINK("https://www.773grp.com/globalSearch/TMDSEVM3730/page-1", "TMDSEVM3730")</f>
        <v>TMDSEVM3730</v>
      </c>
      <c r="B27783" s="3" t="s">
        <v>90</v>
      </c>
      <c r="C27783" s="5">
        <v>12</v>
      </c>
      <c r="D27783" s="6">
        <v>3193.44</v>
      </c>
    </row>
    <row r="27784" spans="1:4" x14ac:dyDescent="0.25">
      <c r="A27784" t="str">
        <f>HYPERLINK("https://www.773grp.com/globalSearch/TMDXEVM3503/page-1", "TMDXEVM3503")</f>
        <v>TMDXEVM3503</v>
      </c>
      <c r="B27784" s="3" t="s">
        <v>90</v>
      </c>
      <c r="C27784" s="5">
        <v>1</v>
      </c>
      <c r="D27784" s="6">
        <v>3193.44</v>
      </c>
    </row>
    <row r="27785" spans="1:4" x14ac:dyDescent="0.25">
      <c r="A27785" t="str">
        <f>HYPERLINK("https://www.773grp.com/globalSearch/TMDS3240130/page-1", "TMDS3240130")</f>
        <v>TMDS3240130</v>
      </c>
      <c r="B27785" s="3" t="s">
        <v>90</v>
      </c>
      <c r="C27785" s="5">
        <v>3</v>
      </c>
      <c r="D27785" s="6">
        <v>3193.61</v>
      </c>
    </row>
    <row r="27786" spans="1:4" x14ac:dyDescent="0.25">
      <c r="A27786" t="str">
        <f>HYPERLINK("https://www.773grp.com/globalSearch/TMDXEA3503/page-1", "TMDXEA3503")</f>
        <v>TMDXEA3503</v>
      </c>
      <c r="B27786" s="3" t="s">
        <v>90</v>
      </c>
      <c r="C27786" s="5">
        <v>1</v>
      </c>
      <c r="D27786" s="6">
        <v>3193.61</v>
      </c>
    </row>
    <row r="27787" spans="1:4" x14ac:dyDescent="0.25">
      <c r="A27787" t="str">
        <f>HYPERLINK("https://www.773grp.com/globalSearch/ADS5400EVM/page-1", "ADS5400EVM")</f>
        <v>ADS5400EVM</v>
      </c>
      <c r="B27787" s="3" t="s">
        <v>90</v>
      </c>
      <c r="C27787" s="5">
        <v>11</v>
      </c>
      <c r="D27787" s="6">
        <v>3201.98</v>
      </c>
    </row>
    <row r="27788" spans="1:4" x14ac:dyDescent="0.25">
      <c r="A27788" t="str">
        <f>HYPERLINK("https://www.773grp.com/globalSearch/TMDX570PC66ZDW/page-1", "TMDX570PC66ZDW")</f>
        <v>TMDX570PC66ZDW</v>
      </c>
      <c r="B27788" s="3" t="s">
        <v>90</v>
      </c>
      <c r="C27788" s="5">
        <v>2</v>
      </c>
      <c r="D27788" s="6">
        <v>3201.98</v>
      </c>
    </row>
    <row r="27789" spans="1:4" x14ac:dyDescent="0.25">
      <c r="A27789" t="str">
        <f>HYPERLINK("https://www.773grp.com/globalSearch/TSW4100EVM/page-1", "TSW4100EVM")</f>
        <v>TSW4100EVM</v>
      </c>
      <c r="B27789" s="3" t="s">
        <v>90</v>
      </c>
      <c r="C27789" s="5">
        <v>2</v>
      </c>
      <c r="D27789" s="6">
        <v>3201.98</v>
      </c>
    </row>
    <row r="27790" spans="1:4" x14ac:dyDescent="0.25">
      <c r="A27790" t="str">
        <f>HYPERLINK("https://www.773grp.com/globalSearch/TMDSEVM3530/page-1", "TMDSEVM3530")</f>
        <v>TMDSEVM3530</v>
      </c>
      <c r="B27790" s="3" t="s">
        <v>90</v>
      </c>
      <c r="C27790" s="5">
        <v>14</v>
      </c>
      <c r="D27790" s="6">
        <v>3834.25</v>
      </c>
    </row>
    <row r="27791" spans="1:4" x14ac:dyDescent="0.25">
      <c r="A27791" t="str">
        <f>HYPERLINK("https://www.773grp.com/globalSearch/TMDXEVM6455/page-1", "TMDXEVM6455")</f>
        <v>TMDXEVM6455</v>
      </c>
      <c r="B27791" s="3" t="s">
        <v>90</v>
      </c>
      <c r="C27791" s="5">
        <v>2</v>
      </c>
      <c r="D27791" s="6">
        <v>3834.25</v>
      </c>
    </row>
    <row r="27792" spans="1:4" x14ac:dyDescent="0.25">
      <c r="A27792" t="str">
        <f>HYPERLINK("https://www.773grp.com/globalSearch/TMDXEVM8168/page-1", "TMDXEVM8168")</f>
        <v>TMDXEVM8168</v>
      </c>
      <c r="B27792" s="3" t="s">
        <v>90</v>
      </c>
      <c r="C27792" s="5">
        <v>1</v>
      </c>
      <c r="D27792" s="6">
        <v>3997.13</v>
      </c>
    </row>
    <row r="27793" spans="1:4" x14ac:dyDescent="0.25">
      <c r="A27793" t="str">
        <f>HYPERLINK("https://www.773grp.com/globalSearch/TMDSEMU560/page-1", "TMDSEMU560")</f>
        <v>TMDSEMU560</v>
      </c>
      <c r="B27793" s="3" t="s">
        <v>90</v>
      </c>
      <c r="C27793" s="5">
        <v>7</v>
      </c>
      <c r="D27793" s="6">
        <v>4261.4799999999996</v>
      </c>
    </row>
    <row r="27794" spans="1:4" x14ac:dyDescent="0.25">
      <c r="A27794" t="str">
        <f>HYPERLINK("https://www.773grp.com/globalSearch/TMDXEVM6457/page-1", "TMDXEVM6457")</f>
        <v>TMDXEVM6457</v>
      </c>
      <c r="B27794" s="3" t="s">
        <v>90</v>
      </c>
      <c r="C27794" s="5">
        <v>6</v>
      </c>
      <c r="D27794" s="6">
        <v>4261.4799999999996</v>
      </c>
    </row>
    <row r="27795" spans="1:4" x14ac:dyDescent="0.25">
      <c r="A27795" t="str">
        <f>HYPERLINK("https://www.773grp.com/globalSearch/TMDXEVM6467T/page-1", "TMDXEVM6467T")</f>
        <v>TMDXEVM6467T</v>
      </c>
      <c r="B27795" s="3" t="s">
        <v>90</v>
      </c>
      <c r="C27795" s="5">
        <v>5</v>
      </c>
      <c r="D27795" s="6">
        <v>4261.4799999999996</v>
      </c>
    </row>
    <row r="27796" spans="1:4" x14ac:dyDescent="0.25">
      <c r="A27796" t="str">
        <f>HYPERLINK("https://www.773grp.com/globalSearch/TMDS326006201/page-1", "TMDS326006201")</f>
        <v>TMDS326006201</v>
      </c>
      <c r="B27796" s="3" t="s">
        <v>90</v>
      </c>
      <c r="C27796" s="5">
        <v>2</v>
      </c>
      <c r="D27796" s="6">
        <v>4261.6000000000004</v>
      </c>
    </row>
    <row r="27797" spans="1:4" x14ac:dyDescent="0.25">
      <c r="A27797" t="str">
        <f>HYPERLINK("https://www.773grp.com/globalSearch/TMDS3P603070/page-1", "TMDS3P603070")</f>
        <v>TMDS3P603070</v>
      </c>
      <c r="B27797" s="3" t="s">
        <v>90</v>
      </c>
      <c r="C27797" s="5">
        <v>2</v>
      </c>
      <c r="D27797" s="6">
        <v>4261.6000000000004</v>
      </c>
    </row>
    <row r="27798" spans="1:4" x14ac:dyDescent="0.25">
      <c r="A27798" t="str">
        <f>HYPERLINK("https://www.773grp.com/globalSearch/TMDS3P701016/page-1", "TMDS3P701016")</f>
        <v>TMDS3P701016</v>
      </c>
      <c r="B27798" s="3" t="s">
        <v>90</v>
      </c>
      <c r="C27798" s="5">
        <v>1</v>
      </c>
      <c r="D27798" s="6">
        <v>4261.6000000000004</v>
      </c>
    </row>
    <row r="27799" spans="1:4" x14ac:dyDescent="0.25">
      <c r="A27799" t="str">
        <f>HYPERLINK("https://www.773grp.com/globalSearch/TMDS3P701016A/page-1", "TMDS3P701016A")</f>
        <v>TMDS3P701016A</v>
      </c>
      <c r="B27799" s="3" t="s">
        <v>90</v>
      </c>
      <c r="C27799" s="5">
        <v>4</v>
      </c>
      <c r="D27799" s="6">
        <v>4261.68</v>
      </c>
    </row>
    <row r="27800" spans="1:4" x14ac:dyDescent="0.25">
      <c r="A27800" t="str">
        <f>HYPERLINK("https://www.773grp.com/globalSearch/TMDSEVM642/page-1", "TMDSEVM642")</f>
        <v>TMDSEVM642</v>
      </c>
      <c r="B27800" s="3" t="s">
        <v>90</v>
      </c>
      <c r="C27800" s="5">
        <v>5</v>
      </c>
      <c r="D27800" s="6">
        <v>4261.68</v>
      </c>
    </row>
    <row r="27801" spans="1:4" x14ac:dyDescent="0.25">
      <c r="A27801" t="str">
        <f>HYPERLINK("https://www.773grp.com/globalSearch/TMDSEVM642-0E/page-1", "TMDSEVM642-0E")</f>
        <v>TMDSEVM642-0E</v>
      </c>
      <c r="B27801" s="3" t="s">
        <v>90</v>
      </c>
      <c r="C27801" s="5">
        <v>1</v>
      </c>
      <c r="D27801" s="6">
        <v>4261.68</v>
      </c>
    </row>
    <row r="27802" spans="1:4" x14ac:dyDescent="0.25">
      <c r="A27802" t="str">
        <f>HYPERLINK("https://www.773grp.com/globalSearch/TMDSEVM6467/page-1", "TMDSEVM6467")</f>
        <v>TMDSEVM6467</v>
      </c>
      <c r="B27802" s="3" t="s">
        <v>90</v>
      </c>
      <c r="C27802" s="5">
        <v>4</v>
      </c>
      <c r="D27802" s="6">
        <v>4261.68</v>
      </c>
    </row>
    <row r="27803" spans="1:4" x14ac:dyDescent="0.25">
      <c r="A27803" t="str">
        <f>HYPERLINK("https://www.773grp.com/globalSearch/TMDSEVP2812/page-1", "TMDSEVP2812")</f>
        <v>TMDSEVP2812</v>
      </c>
      <c r="B27803" s="3" t="s">
        <v>90</v>
      </c>
      <c r="C27803" s="5">
        <v>1</v>
      </c>
      <c r="D27803" s="6">
        <v>4261.68</v>
      </c>
    </row>
    <row r="27804" spans="1:4" x14ac:dyDescent="0.25">
      <c r="A27804" t="str">
        <f>HYPERLINK("https://www.773grp.com/globalSearch/TMDSEVP2812-0E/page-1", "TMDSEVP2812-0E")</f>
        <v>TMDSEVP2812-0E</v>
      </c>
      <c r="B27804" s="3" t="s">
        <v>90</v>
      </c>
      <c r="C27804" s="5">
        <v>3</v>
      </c>
      <c r="D27804" s="6">
        <v>4261.68</v>
      </c>
    </row>
    <row r="27805" spans="1:4" x14ac:dyDescent="0.25">
      <c r="A27805" t="str">
        <f>HYPERLINK("https://www.773grp.com/globalSearch/TMDXEVM6467/page-1", "TMDXEVM6467")</f>
        <v>TMDXEVM6467</v>
      </c>
      <c r="B27805" s="3" t="s">
        <v>90</v>
      </c>
      <c r="C27805" s="5">
        <v>1</v>
      </c>
      <c r="D27805" s="6">
        <v>4261.68</v>
      </c>
    </row>
    <row r="27806" spans="1:4" x14ac:dyDescent="0.25">
      <c r="A27806" t="str">
        <f>HYPERLINK("https://www.773grp.com/globalSearch/ADS5474ADX-EVM/page-1", "ADS5474ADX-EVM")</f>
        <v>ADS5474ADX-EVM</v>
      </c>
      <c r="B27806" s="3" t="s">
        <v>90</v>
      </c>
      <c r="C27806" s="5">
        <v>3</v>
      </c>
      <c r="D27806" s="6">
        <v>4270.01</v>
      </c>
    </row>
    <row r="27807" spans="1:4" x14ac:dyDescent="0.25">
      <c r="A27807" t="str">
        <f>HYPERLINK("https://www.773grp.com/globalSearch/EP-APLUS-S-W/page-1", "EP-APLUS-S-W")</f>
        <v>EP-APLUS-S-W</v>
      </c>
      <c r="B27807" s="3" t="s">
        <v>90</v>
      </c>
      <c r="C27807" s="5">
        <v>20</v>
      </c>
      <c r="D27807" s="6">
        <v>4272.16</v>
      </c>
    </row>
    <row r="27808" spans="1:4" x14ac:dyDescent="0.25">
      <c r="A27808" t="str">
        <f>HYPERLINK("https://www.773grp.com/globalSearch/EP-MAXPLUS-S-W/page-1", "EP-MAXPLUS-S-W")</f>
        <v>EP-MAXPLUS-S-W</v>
      </c>
      <c r="B27808" s="3" t="s">
        <v>90</v>
      </c>
      <c r="C27808" s="5">
        <v>18</v>
      </c>
      <c r="D27808" s="6">
        <v>4272.16</v>
      </c>
    </row>
    <row r="27809" spans="1:4" x14ac:dyDescent="0.25">
      <c r="A27809" t="str">
        <f>HYPERLINK("https://www.773grp.com/globalSearch/ADC12D1800CIUT-NOPB/page-1", "ADC12D1800CIUT-NOPB")</f>
        <v>ADC12D1800CIUT-NOPB</v>
      </c>
      <c r="B27809" s="3" t="s">
        <v>90</v>
      </c>
      <c r="C27809" s="5">
        <v>20</v>
      </c>
      <c r="D27809" s="6">
        <v>4493.24</v>
      </c>
    </row>
    <row r="27810" spans="1:4" x14ac:dyDescent="0.25">
      <c r="A27810" t="str">
        <f>HYPERLINK("https://www.773grp.com/globalSearch/TMDSEVU2812/page-1", "TMDSEVU2812")</f>
        <v>TMDSEVU2812</v>
      </c>
      <c r="B27810" s="3" t="s">
        <v>90</v>
      </c>
      <c r="C27810" s="5">
        <v>2</v>
      </c>
      <c r="D27810" s="6">
        <v>4902.5600000000004</v>
      </c>
    </row>
    <row r="27811" spans="1:4" x14ac:dyDescent="0.25">
      <c r="A27811" t="str">
        <f>HYPERLINK("https://www.773grp.com/globalSearch/TMDSEVM6446/page-1", "TMDSEVM6446")</f>
        <v>TMDSEVM6446</v>
      </c>
      <c r="B27811" s="3" t="s">
        <v>90</v>
      </c>
      <c r="C27811" s="5">
        <v>5</v>
      </c>
      <c r="D27811" s="6">
        <v>5329.79</v>
      </c>
    </row>
    <row r="27812" spans="1:4" x14ac:dyDescent="0.25">
      <c r="A27812" t="str">
        <f>HYPERLINK("https://www.773grp.com/globalSearch/TMDXEVM6446/page-1", "TMDXEVM6446")</f>
        <v>TMDXEVM6446</v>
      </c>
      <c r="B27812" s="3" t="s">
        <v>90</v>
      </c>
      <c r="C27812" s="5">
        <v>2</v>
      </c>
      <c r="D27812" s="6">
        <v>5329.85</v>
      </c>
    </row>
    <row r="27813" spans="1:4" x14ac:dyDescent="0.25">
      <c r="A27813" t="str">
        <f>HYPERLINK("https://www.773grp.com/globalSearch/ADC12D1600RFRB-NOPB/page-1", "ADC12D1600RFRB-NOPB")</f>
        <v>ADC12D1600RFRB-NOPB</v>
      </c>
      <c r="B27813" s="3" t="s">
        <v>90</v>
      </c>
      <c r="C27813" s="5">
        <v>1</v>
      </c>
      <c r="D27813" s="6">
        <v>5338.05</v>
      </c>
    </row>
    <row r="27814" spans="1:4" x14ac:dyDescent="0.25">
      <c r="A27814" t="str">
        <f>HYPERLINK("https://www.773grp.com/globalSearch/ADS54RF63-ADX4/page-1", "ADS54RF63-ADX4")</f>
        <v>ADS54RF63-ADX4</v>
      </c>
      <c r="B27814" s="3" t="s">
        <v>90</v>
      </c>
      <c r="C27814" s="5">
        <v>1</v>
      </c>
      <c r="D27814" s="6">
        <v>5338.05</v>
      </c>
    </row>
    <row r="27815" spans="1:4" x14ac:dyDescent="0.25">
      <c r="A27815" t="str">
        <f>HYPERLINK("https://www.773grp.com/globalSearch/EP-APLUS/page-1", "EP-APLUS")</f>
        <v>EP-APLUS</v>
      </c>
      <c r="B27815" s="3" t="s">
        <v>90</v>
      </c>
      <c r="C27815" s="5">
        <v>40</v>
      </c>
      <c r="D27815" s="6">
        <v>5340.2</v>
      </c>
    </row>
    <row r="27816" spans="1:4" x14ac:dyDescent="0.25">
      <c r="A27816" t="str">
        <f>HYPERLINK("https://www.773grp.com/globalSearch/TMDS324L85C-07/page-1", "TMDS324L85C-07")</f>
        <v>TMDS324L85C-07</v>
      </c>
      <c r="B27816" s="3" t="s">
        <v>90</v>
      </c>
      <c r="C27816" s="5">
        <v>3</v>
      </c>
      <c r="D27816" s="6">
        <v>6397.5</v>
      </c>
    </row>
    <row r="27817" spans="1:4" x14ac:dyDescent="0.25">
      <c r="A27817" t="str">
        <f>HYPERLINK("https://www.773grp.com/globalSearch/TMDSCCS-ALLF05/page-1", "TMDSCCS-ALLF05")</f>
        <v>TMDSCCS-ALLF05</v>
      </c>
      <c r="B27817" s="3" t="s">
        <v>90</v>
      </c>
      <c r="C27817" s="5">
        <v>4</v>
      </c>
      <c r="D27817" s="6">
        <v>6397.55</v>
      </c>
    </row>
    <row r="27818" spans="1:4" x14ac:dyDescent="0.25">
      <c r="A27818" t="str">
        <f>HYPERLINK("https://www.773grp.com/globalSearch/TMDSEMU560PCI/page-1", "TMDSEMU560PCI")</f>
        <v>TMDSEMU560PCI</v>
      </c>
      <c r="B27818" s="3" t="s">
        <v>90</v>
      </c>
      <c r="C27818" s="5">
        <v>4</v>
      </c>
      <c r="D27818" s="6">
        <v>6397.88</v>
      </c>
    </row>
    <row r="27819" spans="1:4" x14ac:dyDescent="0.25">
      <c r="A27819" t="str">
        <f>HYPERLINK("https://www.773grp.com/globalSearch/INNOVATOREVMV1/page-1", "INNOVATOREVMV1")</f>
        <v>INNOVATOREVMV1</v>
      </c>
      <c r="B27819" s="3" t="s">
        <v>90</v>
      </c>
      <c r="C27819" s="5">
        <v>32</v>
      </c>
      <c r="D27819" s="6">
        <v>6397.98</v>
      </c>
    </row>
    <row r="27820" spans="1:4" x14ac:dyDescent="0.25">
      <c r="A27820" t="str">
        <f>HYPERLINK("https://www.773grp.com/globalSearch/TMDSEMU560U/page-1", "TMDSEMU560U")</f>
        <v>TMDSEMU560U</v>
      </c>
      <c r="B27820" s="3" t="s">
        <v>90</v>
      </c>
      <c r="C27820" s="5">
        <v>1</v>
      </c>
      <c r="D27820" s="6">
        <v>6406.41</v>
      </c>
    </row>
    <row r="27821" spans="1:4" x14ac:dyDescent="0.25">
      <c r="A27821" t="str">
        <f>HYPERLINK("https://www.773grp.com/globalSearch/TMDS3210025/page-1", "TMDS3210025")</f>
        <v>TMDS3210025</v>
      </c>
      <c r="B27821" s="3" t="s">
        <v>90</v>
      </c>
      <c r="C27821" s="5">
        <v>8</v>
      </c>
      <c r="D27821" s="6">
        <v>6865.96</v>
      </c>
    </row>
    <row r="27822" spans="1:4" x14ac:dyDescent="0.25">
      <c r="A27822" t="str">
        <f>HYPERLINK("https://www.773grp.com/globalSearch/TSW3100EVM/page-1", "TSW3100EVM")</f>
        <v>TSW3100EVM</v>
      </c>
      <c r="B27822" s="3" t="s">
        <v>90</v>
      </c>
      <c r="C27822" s="5">
        <v>3</v>
      </c>
      <c r="D27822" s="6">
        <v>7474.13</v>
      </c>
    </row>
    <row r="27823" spans="1:4" x14ac:dyDescent="0.25">
      <c r="A27823" t="str">
        <f>HYPERLINK("https://www.773grp.com/globalSearch/TMDSCCSALL-1/page-1", "TMDSCCSALL-1")</f>
        <v>TMDSCCSALL-1</v>
      </c>
      <c r="B27823" s="3" t="s">
        <v>90</v>
      </c>
      <c r="C27823" s="5">
        <v>280</v>
      </c>
      <c r="D27823" s="6">
        <v>7679.18</v>
      </c>
    </row>
    <row r="27824" spans="1:4" x14ac:dyDescent="0.25">
      <c r="A27824" t="str">
        <f>HYPERLINK("https://www.773grp.com/globalSearch/TMDSCCS470-1/page-1", "TMDSCCS470-1")</f>
        <v>TMDSCCS470-1</v>
      </c>
      <c r="B27824" s="3" t="s">
        <v>90</v>
      </c>
      <c r="C27824" s="5">
        <v>36</v>
      </c>
      <c r="D27824" s="6">
        <v>7679.68</v>
      </c>
    </row>
    <row r="27825" spans="1:4" x14ac:dyDescent="0.25">
      <c r="A27825" t="str">
        <f>HYPERLINK("https://www.773grp.com/globalSearch/TMDSCCS5000-1/page-1", "TMDSCCS5000-1")</f>
        <v>TMDSCCS5000-1</v>
      </c>
      <c r="B27825" s="3" t="s">
        <v>90</v>
      </c>
      <c r="C27825" s="5">
        <v>8</v>
      </c>
      <c r="D27825" s="6">
        <v>7679.68</v>
      </c>
    </row>
    <row r="27826" spans="1:4" x14ac:dyDescent="0.25">
      <c r="A27826" t="str">
        <f>HYPERLINK("https://www.773grp.com/globalSearch/TMDX3260E6416/page-1", "TMDX3260E6416")</f>
        <v>TMDX3260E6416</v>
      </c>
      <c r="B27826" s="3" t="s">
        <v>90</v>
      </c>
      <c r="C27826" s="5">
        <v>1</v>
      </c>
      <c r="D27826" s="6">
        <v>8533.69</v>
      </c>
    </row>
    <row r="27827" spans="1:4" x14ac:dyDescent="0.25">
      <c r="A27827" t="str">
        <f>HYPERLINK("https://www.773grp.com/globalSearch/TMDXEMU560/page-1", "TMDXEMU560")</f>
        <v>TMDXEMU560</v>
      </c>
      <c r="B27827" s="3" t="s">
        <v>90</v>
      </c>
      <c r="C27827" s="5">
        <v>1</v>
      </c>
      <c r="D27827" s="6">
        <v>8534.18</v>
      </c>
    </row>
    <row r="27828" spans="1:4" x14ac:dyDescent="0.25">
      <c r="A27828" t="str">
        <f>HYPERLINK("https://www.773grp.com/globalSearch/TMDX00560/page-1", "TMDX00560")</f>
        <v>TMDX00560</v>
      </c>
      <c r="B27828" s="3" t="s">
        <v>90</v>
      </c>
      <c r="C27828" s="5">
        <v>1</v>
      </c>
      <c r="D27828" s="6">
        <v>8542.7099999999991</v>
      </c>
    </row>
    <row r="27829" spans="1:4" x14ac:dyDescent="0.25">
      <c r="A27829" t="str">
        <f>HYPERLINK("https://www.773grp.com/globalSearch/TMDSMP4M85C-07/page-1", "TMDSMP4M85C-07")</f>
        <v>TMDSMP4M85C-07</v>
      </c>
      <c r="B27829" s="3" t="s">
        <v>90</v>
      </c>
      <c r="C27829" s="5">
        <v>1</v>
      </c>
      <c r="D27829" s="6">
        <v>9612.6299999999992</v>
      </c>
    </row>
    <row r="27830" spans="1:4" x14ac:dyDescent="0.25">
      <c r="A27830" t="str">
        <f>HYPERLINK("https://www.773grp.com/globalSearch/ADC12D1800RFIUT/page-1", "ADC12D1800RFIUT")</f>
        <v>ADC12D1800RFIUT</v>
      </c>
      <c r="B27830" s="3" t="s">
        <v>90</v>
      </c>
      <c r="C27830" s="5">
        <v>1</v>
      </c>
      <c r="D27830" s="6">
        <v>9950.06</v>
      </c>
    </row>
    <row r="27831" spans="1:4" x14ac:dyDescent="0.25">
      <c r="A27831" t="str">
        <f>HYPERLINK("https://www.773grp.com/globalSearch/CC2420ZDK/page-1", "CC2420ZDK")</f>
        <v>CC2420ZDK</v>
      </c>
      <c r="B27831" s="3" t="s">
        <v>90</v>
      </c>
      <c r="C27831" s="5">
        <v>1</v>
      </c>
      <c r="D27831" s="6">
        <v>10680.36</v>
      </c>
    </row>
    <row r="27832" spans="1:4" x14ac:dyDescent="0.25">
      <c r="A27832" t="str">
        <f>HYPERLINK("https://www.773grp.com/globalSearch/TMDSCCSOMAP-1/page-1", "TMDSCCSOMAP-1")</f>
        <v>TMDSCCSOMAP-1</v>
      </c>
      <c r="B27832" s="3" t="s">
        <v>90</v>
      </c>
      <c r="C27832" s="5">
        <v>17</v>
      </c>
      <c r="D27832" s="6">
        <v>11535.56</v>
      </c>
    </row>
    <row r="27833" spans="1:4" x14ac:dyDescent="0.25">
      <c r="A27833" t="str">
        <f>HYPERLINK("https://www.773grp.com/globalSearch/TMDSCCS-ALLF10/page-1", "TMDSCCS-ALLF10")</f>
        <v>TMDSCCS-ALLF10</v>
      </c>
      <c r="B27833" s="3" t="s">
        <v>90</v>
      </c>
      <c r="C27833" s="5">
        <v>6</v>
      </c>
      <c r="D27833" s="6">
        <v>11737.75</v>
      </c>
    </row>
    <row r="27834" spans="1:4" x14ac:dyDescent="0.25">
      <c r="A27834" t="str">
        <f>HYPERLINK("https://www.773grp.com/globalSearch/HEATEVM/page-1", "HEATEVM")</f>
        <v>HEATEVM</v>
      </c>
      <c r="B27834" s="3" t="s">
        <v>90</v>
      </c>
      <c r="C27834" s="5">
        <v>1</v>
      </c>
      <c r="D27834" s="6">
        <v>12280.31</v>
      </c>
    </row>
    <row r="27835" spans="1:4" x14ac:dyDescent="0.25">
      <c r="A27835" t="str">
        <f>HYPERLINK("https://www.773grp.com/globalSearch/TMDSPDB6727/page-1", "TMDSPDB6727")</f>
        <v>TMDSPDB6727</v>
      </c>
      <c r="B27835" s="3" t="s">
        <v>90</v>
      </c>
      <c r="C27835" s="5">
        <v>6</v>
      </c>
      <c r="D27835" s="6">
        <v>12806.43</v>
      </c>
    </row>
    <row r="27836" spans="1:4" x14ac:dyDescent="0.25">
      <c r="A27836" t="str">
        <f>HYPERLINK("https://www.773grp.com/globalSearch/TMDSDMK642/page-1", "TMDSDMK642")</f>
        <v>TMDSDMK642</v>
      </c>
      <c r="B27836" s="3" t="s">
        <v>90</v>
      </c>
      <c r="C27836" s="5">
        <v>6</v>
      </c>
      <c r="D27836" s="6">
        <v>13874.53</v>
      </c>
    </row>
    <row r="27837" spans="1:4" x14ac:dyDescent="0.25">
      <c r="A27837" t="str">
        <f>HYPERLINK("https://www.773grp.com/globalSearch/TMDSDMK642-0E/page-1", "TMDSDMK642-0E")</f>
        <v>TMDSDMK642-0E</v>
      </c>
      <c r="B27837" s="3" t="s">
        <v>90</v>
      </c>
      <c r="C27837" s="5">
        <v>2</v>
      </c>
      <c r="D27837" s="6">
        <v>13874.53</v>
      </c>
    </row>
    <row r="27838" spans="1:4" x14ac:dyDescent="0.25">
      <c r="A27838" t="str">
        <f>HYPERLINK("https://www.773grp.com/globalSearch/TMDXDMK642/page-1", "TMDXDMK642")</f>
        <v>TMDXDMK642</v>
      </c>
      <c r="B27838" s="3" t="s">
        <v>90</v>
      </c>
      <c r="C27838" s="5">
        <v>1</v>
      </c>
      <c r="D27838" s="6">
        <v>13874.71</v>
      </c>
    </row>
    <row r="27839" spans="1:4" x14ac:dyDescent="0.25">
      <c r="A27839" t="str">
        <f>HYPERLINK("https://www.773grp.com/globalSearch/TMDSCCS-ALLF25/page-1", "TMDSCCS-ALLF25")</f>
        <v>TMDSCCS-ALLF25</v>
      </c>
      <c r="B27839" s="3" t="s">
        <v>90</v>
      </c>
      <c r="C27839" s="5">
        <v>1</v>
      </c>
      <c r="D27839" s="6">
        <v>25622.23</v>
      </c>
    </row>
    <row r="27840" spans="1:4" x14ac:dyDescent="0.25">
      <c r="A27840" t="str">
        <f>HYPERLINK("https://www.773grp.com/globalSearch/TA7S04-60QC/page-1", "TA7S04-60QC")</f>
        <v>TA7S04-60QC</v>
      </c>
      <c r="B27840" s="3" t="s">
        <v>111</v>
      </c>
      <c r="C27840" s="5">
        <v>214</v>
      </c>
      <c r="D27840" s="6">
        <v>0</v>
      </c>
    </row>
    <row r="27841" spans="1:4" x14ac:dyDescent="0.25">
      <c r="A27841" t="str">
        <f>HYPERLINK("https://www.773grp.com/globalSearch/TA7S20-60GC/page-1", "TA7S20-60GC")</f>
        <v>TA7S20-60GC</v>
      </c>
      <c r="B27841" s="3" t="s">
        <v>111</v>
      </c>
      <c r="C27841" s="5">
        <v>106</v>
      </c>
      <c r="D27841" s="6">
        <v>0</v>
      </c>
    </row>
    <row r="27842" spans="1:4" x14ac:dyDescent="0.25">
      <c r="A27842" t="str">
        <f>HYPERLINK("https://www.773grp.com/globalSearch/TA7S20-60GI/page-1", "TA7S20-60GI")</f>
        <v>TA7S20-60GI</v>
      </c>
      <c r="B27842" s="3" t="s">
        <v>111</v>
      </c>
      <c r="C27842" s="5">
        <v>20</v>
      </c>
      <c r="D27842" s="6">
        <v>0</v>
      </c>
    </row>
    <row r="27843" spans="1:4" x14ac:dyDescent="0.25">
      <c r="A27843" t="str">
        <f>HYPERLINK("https://www.773grp.com/globalSearch/TE502S08-25LC/page-1", "TE502S08-25LC")</f>
        <v>TE502S08-25LC</v>
      </c>
      <c r="B27843" s="3" t="s">
        <v>111</v>
      </c>
      <c r="C27843" s="5">
        <v>63</v>
      </c>
      <c r="D27843" s="6">
        <v>22.79</v>
      </c>
    </row>
    <row r="27844" spans="1:4" x14ac:dyDescent="0.25">
      <c r="A27844" t="str">
        <f>HYPERLINK("https://www.773grp.com/globalSearch/TE502S08-25LI/page-1", "TE502S08-25LI")</f>
        <v>TE502S08-25LI</v>
      </c>
      <c r="B27844" s="3" t="s">
        <v>111</v>
      </c>
      <c r="C27844" s="5">
        <v>88</v>
      </c>
      <c r="D27844" s="6">
        <v>26.89</v>
      </c>
    </row>
    <row r="27845" spans="1:4" x14ac:dyDescent="0.25">
      <c r="A27845" t="str">
        <f>HYPERLINK("https://www.773grp.com/globalSearch/TE505S16-25LC/page-1", "TE505S16-25LC")</f>
        <v>TE505S16-25LC</v>
      </c>
      <c r="B27845" s="3" t="s">
        <v>111</v>
      </c>
      <c r="C27845" s="5">
        <v>889</v>
      </c>
      <c r="D27845" s="6">
        <v>30.96</v>
      </c>
    </row>
    <row r="27846" spans="1:4" x14ac:dyDescent="0.25">
      <c r="A27846" t="str">
        <f>HYPERLINK("https://www.773grp.com/globalSearch/TE512S32-25LC/page-1", "TE512S32-25LC")</f>
        <v>TE512S32-25LC</v>
      </c>
      <c r="B27846" s="3" t="s">
        <v>111</v>
      </c>
      <c r="C27846" s="5">
        <v>126</v>
      </c>
      <c r="D27846" s="6">
        <v>53.55</v>
      </c>
    </row>
    <row r="27847" spans="1:4" x14ac:dyDescent="0.25">
      <c r="A27847" t="str">
        <f>HYPERLINK("https://www.773grp.com/globalSearch/TE512S32-25LI/page-1", "TE512S32-25LI")</f>
        <v>TE512S32-25LI</v>
      </c>
      <c r="B27847" s="3" t="s">
        <v>111</v>
      </c>
      <c r="C27847" s="5">
        <v>214</v>
      </c>
      <c r="D27847" s="6">
        <v>63.34</v>
      </c>
    </row>
    <row r="27848" spans="1:4" x14ac:dyDescent="0.25">
      <c r="A27848" t="str">
        <f>HYPERLINK("https://www.773grp.com/globalSearch/TE512S32-25QI/page-1", "TE512S32-25QI")</f>
        <v>TE512S32-25QI</v>
      </c>
      <c r="B27848" s="3" t="s">
        <v>111</v>
      </c>
      <c r="C27848" s="5">
        <v>245</v>
      </c>
      <c r="D27848" s="6">
        <v>68.510000000000005</v>
      </c>
    </row>
    <row r="27849" spans="1:4" x14ac:dyDescent="0.25">
      <c r="A27849" t="str">
        <f>HYPERLINK("https://www.773grp.com/globalSearch/UC1907J-90125/page-1", "UC1907J-90125")</f>
        <v>UC1907J-90125</v>
      </c>
      <c r="B27849" s="3" t="s">
        <v>112</v>
      </c>
      <c r="C27849" s="5">
        <v>125</v>
      </c>
      <c r="D27849" s="6">
        <v>0</v>
      </c>
    </row>
    <row r="27850" spans="1:4" x14ac:dyDescent="0.25">
      <c r="A27850" t="str">
        <f>HYPERLINK("https://www.773grp.com/globalSearch/UC2845ADW-80976/page-1", "UC2845ADW-80976")</f>
        <v>UC2845ADW-80976</v>
      </c>
      <c r="B27850" s="3" t="s">
        <v>112</v>
      </c>
      <c r="C27850" s="5">
        <v>1120</v>
      </c>
      <c r="D27850" s="6">
        <v>0</v>
      </c>
    </row>
    <row r="27851" spans="1:4" x14ac:dyDescent="0.25">
      <c r="A27851" t="str">
        <f>HYPERLINK("https://www.773grp.com/globalSearch/UC377OAQ/page-1", "UC377OAQ")</f>
        <v>UC377OAQ</v>
      </c>
      <c r="B27851" s="3" t="s">
        <v>112</v>
      </c>
      <c r="C27851" s="5">
        <v>147</v>
      </c>
      <c r="D27851" s="6">
        <v>0</v>
      </c>
    </row>
    <row r="27852" spans="1:4" x14ac:dyDescent="0.25">
      <c r="A27852" t="str">
        <f>HYPERLINK("https://www.773grp.com/globalSearch/UC81127D/page-1", "UC81127D")</f>
        <v>UC81127D</v>
      </c>
      <c r="B27852" s="3" t="s">
        <v>112</v>
      </c>
      <c r="C27852" s="5">
        <v>17</v>
      </c>
      <c r="D27852" s="6">
        <v>0</v>
      </c>
    </row>
    <row r="27853" spans="1:4" x14ac:dyDescent="0.25">
      <c r="A27853" t="str">
        <f>HYPERLINK("https://www.773grp.com/globalSearch/UC81185DW/page-1", "UC81185DW")</f>
        <v>UC81185DW</v>
      </c>
      <c r="B27853" s="3" t="s">
        <v>112</v>
      </c>
      <c r="C27853" s="5">
        <v>1080</v>
      </c>
      <c r="D27853" s="6">
        <v>0</v>
      </c>
    </row>
    <row r="27854" spans="1:4" x14ac:dyDescent="0.25">
      <c r="A27854" t="str">
        <f>HYPERLINK("https://www.773grp.com/globalSearch/UC81543DWTR/page-1", "UC81543DWTR")</f>
        <v>UC81543DWTR</v>
      </c>
      <c r="B27854" s="3" t="s">
        <v>112</v>
      </c>
      <c r="C27854" s="5">
        <v>4000</v>
      </c>
      <c r="D27854" s="6">
        <v>0</v>
      </c>
    </row>
    <row r="27855" spans="1:4" x14ac:dyDescent="0.25">
      <c r="A27855" t="str">
        <f>HYPERLINK("https://www.773grp.com/globalSearch/UCC67424D/page-1", "UCC67424D")</f>
        <v>UCC67424D</v>
      </c>
      <c r="B27855" s="3" t="s">
        <v>112</v>
      </c>
      <c r="C27855" s="5">
        <v>75</v>
      </c>
      <c r="D27855" s="6">
        <v>0</v>
      </c>
    </row>
    <row r="27856" spans="1:4" x14ac:dyDescent="0.25">
      <c r="A27856" t="str">
        <f>HYPERLINK("https://www.773grp.com/globalSearch/UCC67425D/page-1", "UCC67425D")</f>
        <v>UCC67425D</v>
      </c>
      <c r="B27856" s="3" t="s">
        <v>112</v>
      </c>
      <c r="C27856" s="5">
        <v>2450</v>
      </c>
      <c r="D27856" s="6">
        <v>0</v>
      </c>
    </row>
    <row r="27857" spans="1:4" x14ac:dyDescent="0.25">
      <c r="A27857" t="str">
        <f>HYPERLINK("https://www.773grp.com/globalSearch/UCC81514D/page-1", "UCC81514D")</f>
        <v>UCC81514D</v>
      </c>
      <c r="B27857" s="3" t="s">
        <v>112</v>
      </c>
      <c r="C27857" s="5">
        <v>965</v>
      </c>
      <c r="D27857" s="6">
        <v>0</v>
      </c>
    </row>
    <row r="27858" spans="1:4" x14ac:dyDescent="0.25">
      <c r="A27858" t="str">
        <f>HYPERLINK("https://www.773grp.com/globalSearch/UCC81514PWTR/page-1", "UCC81514PWTR")</f>
        <v>UCC81514PWTR</v>
      </c>
      <c r="B27858" s="3" t="s">
        <v>112</v>
      </c>
      <c r="C27858" s="5">
        <v>4000</v>
      </c>
      <c r="D27858" s="6">
        <v>0</v>
      </c>
    </row>
    <row r="27859" spans="1:4" x14ac:dyDescent="0.25">
      <c r="A27859" t="str">
        <f>HYPERLINK("https://www.773grp.com/globalSearch/UCC81526N/page-1", "UCC81526N")</f>
        <v>UCC81526N</v>
      </c>
      <c r="B27859" s="3" t="s">
        <v>112</v>
      </c>
      <c r="C27859" s="5">
        <v>7275</v>
      </c>
      <c r="D27859" s="6">
        <v>0</v>
      </c>
    </row>
    <row r="27860" spans="1:4" x14ac:dyDescent="0.25">
      <c r="A27860" t="str">
        <f>HYPERLINK("https://www.773grp.com/globalSearch/UCC81527D/page-1", "UCC81527D")</f>
        <v>UCC81527D</v>
      </c>
      <c r="B27860" s="3" t="s">
        <v>112</v>
      </c>
      <c r="C27860" s="5">
        <v>7500</v>
      </c>
      <c r="D27860" s="6">
        <v>0</v>
      </c>
    </row>
    <row r="27861" spans="1:4" x14ac:dyDescent="0.25">
      <c r="A27861" t="str">
        <f>HYPERLINK("https://www.773grp.com/globalSearch/XUC2825N/page-1", "XUC2825N")</f>
        <v>XUC2825N</v>
      </c>
      <c r="B27861" s="3" t="s">
        <v>112</v>
      </c>
      <c r="C27861" s="5">
        <v>1386</v>
      </c>
      <c r="D27861" s="6">
        <v>0</v>
      </c>
    </row>
    <row r="27862" spans="1:4" x14ac:dyDescent="0.25">
      <c r="A27862" t="str">
        <f>HYPERLINK("https://www.773grp.com/globalSearch/XUC3572D/page-1", "XUC3572D")</f>
        <v>XUC3572D</v>
      </c>
      <c r="B27862" s="3" t="s">
        <v>112</v>
      </c>
      <c r="C27862" s="5">
        <v>2000</v>
      </c>
      <c r="D27862" s="6">
        <v>0</v>
      </c>
    </row>
    <row r="27863" spans="1:4" x14ac:dyDescent="0.25">
      <c r="A27863" t="str">
        <f>HYPERLINK("https://www.773grp.com/globalSearch/XUC3573D/page-1", "XUC3573D")</f>
        <v>XUC3573D</v>
      </c>
      <c r="B27863" s="3" t="s">
        <v>112</v>
      </c>
      <c r="C27863" s="5">
        <v>2225</v>
      </c>
      <c r="D27863" s="6">
        <v>0</v>
      </c>
    </row>
    <row r="27864" spans="1:4" x14ac:dyDescent="0.25">
      <c r="A27864" t="str">
        <f>HYPERLINK("https://www.773grp.com/globalSearch/Z1B1A1F95PHQR/page-1", "Z1B1A1F95PHQR")</f>
        <v>Z1B1A1F95PHQR</v>
      </c>
      <c r="B27864" s="3" t="s">
        <v>112</v>
      </c>
      <c r="C27864" s="5">
        <v>400</v>
      </c>
      <c r="D27864" s="6">
        <v>0</v>
      </c>
    </row>
    <row r="27865" spans="1:4" x14ac:dyDescent="0.25">
      <c r="A27865" t="str">
        <f>HYPERLINK("https://www.773grp.com/globalSearch/TL432AQDBZR/page-1", "TL432AQDBZR")</f>
        <v>TL432AQDBZR</v>
      </c>
      <c r="B27865" s="3" t="s">
        <v>112</v>
      </c>
      <c r="C27865" s="5">
        <v>795</v>
      </c>
      <c r="D27865" s="6">
        <v>0.74</v>
      </c>
    </row>
    <row r="27866" spans="1:4" x14ac:dyDescent="0.25">
      <c r="A27866" t="str">
        <f>HYPERLINK("https://www.773grp.com/globalSearch/SN74AUC2G79DCUR/page-1", "SN74AUC2G79DCUR")</f>
        <v>SN74AUC2G79DCUR</v>
      </c>
      <c r="B27866" s="3" t="s">
        <v>112</v>
      </c>
      <c r="C27866" s="5">
        <v>97</v>
      </c>
      <c r="D27866" s="6">
        <v>1.36</v>
      </c>
    </row>
    <row r="27867" spans="1:4" x14ac:dyDescent="0.25">
      <c r="A27867" t="str">
        <f>HYPERLINK("https://www.773grp.com/globalSearch/UC2843AD8TR/page-1", "UC2843AD8TR")</f>
        <v>UC2843AD8TR</v>
      </c>
      <c r="B27867" s="3" t="s">
        <v>112</v>
      </c>
      <c r="C27867" s="5">
        <v>1342</v>
      </c>
      <c r="D27867" s="6">
        <v>2.64</v>
      </c>
    </row>
    <row r="27868" spans="1:4" x14ac:dyDescent="0.25">
      <c r="A27868" t="str">
        <f>HYPERLINK("https://www.773grp.com/globalSearch/UC2843ADTR/page-1", "UC2843ADTR")</f>
        <v>UC2843ADTR</v>
      </c>
      <c r="B27868" s="3" t="s">
        <v>112</v>
      </c>
      <c r="C27868" s="5">
        <v>916</v>
      </c>
      <c r="D27868" s="6">
        <v>2.64</v>
      </c>
    </row>
    <row r="27869" spans="1:4" x14ac:dyDescent="0.25">
      <c r="A27869" t="str">
        <f>HYPERLINK("https://www.773grp.com/globalSearch/UC3842AD/page-1", "UC3842AD")</f>
        <v>UC3842AD</v>
      </c>
      <c r="B27869" s="3" t="s">
        <v>112</v>
      </c>
      <c r="C27869" s="5">
        <v>161</v>
      </c>
      <c r="D27869" s="6">
        <v>2.64</v>
      </c>
    </row>
    <row r="27870" spans="1:4" x14ac:dyDescent="0.25">
      <c r="A27870" t="str">
        <f>HYPERLINK("https://www.773grp.com/globalSearch/UC3843NG4/page-1", "UC3843NG4")</f>
        <v>UC3843NG4</v>
      </c>
      <c r="B27870" s="3" t="s">
        <v>112</v>
      </c>
      <c r="C27870" s="5">
        <v>40</v>
      </c>
      <c r="D27870" s="6">
        <v>2.95</v>
      </c>
    </row>
    <row r="27871" spans="1:4" x14ac:dyDescent="0.25">
      <c r="A27871" t="str">
        <f>HYPERLINK("https://www.773grp.com/globalSearch/UC2842AD/page-1", "UC2842AD")</f>
        <v>UC2842AD</v>
      </c>
      <c r="B27871" s="3" t="s">
        <v>112</v>
      </c>
      <c r="C27871" s="5">
        <v>1300</v>
      </c>
      <c r="D27871" s="6">
        <v>3.05</v>
      </c>
    </row>
    <row r="27872" spans="1:4" x14ac:dyDescent="0.25">
      <c r="A27872" t="str">
        <f>HYPERLINK("https://www.773grp.com/globalSearch/UC2842AD8/page-1", "UC2842AD8")</f>
        <v>UC2842AD8</v>
      </c>
      <c r="B27872" s="3" t="s">
        <v>112</v>
      </c>
      <c r="C27872" s="5">
        <v>200</v>
      </c>
      <c r="D27872" s="6">
        <v>3.05</v>
      </c>
    </row>
    <row r="27873" spans="1:4" x14ac:dyDescent="0.25">
      <c r="A27873" t="str">
        <f>HYPERLINK("https://www.773grp.com/globalSearch/UCC3809D-1/page-1", "UCC3809D-1")</f>
        <v>UCC3809D-1</v>
      </c>
      <c r="B27873" s="3" t="s">
        <v>112</v>
      </c>
      <c r="C27873" s="5">
        <v>225</v>
      </c>
      <c r="D27873" s="6">
        <v>2.81</v>
      </c>
    </row>
    <row r="27874" spans="1:4" x14ac:dyDescent="0.25">
      <c r="A27874" t="str">
        <f>HYPERLINK("https://www.773grp.com/globalSearch/UCC3809P-1/page-1", "UCC3809P-1")</f>
        <v>UCC3809P-1</v>
      </c>
      <c r="B27874" s="3" t="s">
        <v>112</v>
      </c>
      <c r="C27874" s="5">
        <v>240</v>
      </c>
      <c r="D27874" s="6">
        <v>2.81</v>
      </c>
    </row>
    <row r="27875" spans="1:4" x14ac:dyDescent="0.25">
      <c r="A27875" t="str">
        <f>HYPERLINK("https://www.773grp.com/globalSearch/UCC28019AP/page-1", "UCC28019AP")</f>
        <v>UCC28019AP</v>
      </c>
      <c r="B27875" s="3" t="s">
        <v>112</v>
      </c>
      <c r="C27875" s="5">
        <v>250</v>
      </c>
      <c r="D27875" s="6">
        <v>2.84</v>
      </c>
    </row>
    <row r="27876" spans="1:4" x14ac:dyDescent="0.25">
      <c r="A27876" t="str">
        <f>HYPERLINK("https://www.773grp.com/globalSearch/UCC28C43DGKR/page-1", "UCC28C43DGKR")</f>
        <v>UCC28C43DGKR</v>
      </c>
      <c r="B27876" s="3" t="s">
        <v>112</v>
      </c>
      <c r="C27876" s="5">
        <v>230</v>
      </c>
      <c r="D27876" s="6">
        <v>3.18</v>
      </c>
    </row>
    <row r="27877" spans="1:4" x14ac:dyDescent="0.25">
      <c r="A27877" t="str">
        <f>HYPERLINK("https://www.773grp.com/globalSearch/UCC25705DGK/page-1", "UCC25705DGK")</f>
        <v>UCC25705DGK</v>
      </c>
      <c r="B27877" s="3" t="s">
        <v>112</v>
      </c>
      <c r="C27877" s="5">
        <v>2000</v>
      </c>
      <c r="D27877" s="6">
        <v>2.95</v>
      </c>
    </row>
    <row r="27878" spans="1:4" x14ac:dyDescent="0.25">
      <c r="A27878" t="str">
        <f>HYPERLINK("https://www.773grp.com/globalSearch/UC2843NNTR/page-1", "UC2843NNTR")</f>
        <v>UC2843NNTR</v>
      </c>
      <c r="B27878" s="3" t="s">
        <v>112</v>
      </c>
      <c r="C27878" s="5">
        <v>2400</v>
      </c>
      <c r="D27878" s="6">
        <v>2.99</v>
      </c>
    </row>
    <row r="27879" spans="1:4" x14ac:dyDescent="0.25">
      <c r="A27879" t="str">
        <f>HYPERLINK("https://www.773grp.com/globalSearch/UC2843AN/page-1", "UC2843AN")</f>
        <v>UC2843AN</v>
      </c>
      <c r="B27879" s="3" t="s">
        <v>112</v>
      </c>
      <c r="C27879" s="5">
        <v>150</v>
      </c>
      <c r="D27879" s="6">
        <v>3.38</v>
      </c>
    </row>
    <row r="27880" spans="1:4" x14ac:dyDescent="0.25">
      <c r="A27880" t="str">
        <f>HYPERLINK("https://www.773grp.com/globalSearch/UC2844N/page-1", "UC2844N")</f>
        <v>UC2844N</v>
      </c>
      <c r="B27880" s="3" t="s">
        <v>112</v>
      </c>
      <c r="C27880" s="5">
        <v>427</v>
      </c>
      <c r="D27880" s="6">
        <v>3.38</v>
      </c>
    </row>
    <row r="27881" spans="1:4" x14ac:dyDescent="0.25">
      <c r="A27881" t="str">
        <f>HYPERLINK("https://www.773grp.com/globalSearch/UC3854DWTR-80968/page-1", "UC3854DWTR-80968")</f>
        <v>UC3854DWTR-80968</v>
      </c>
      <c r="B27881" s="3" t="s">
        <v>112</v>
      </c>
      <c r="C27881" s="5">
        <v>1997</v>
      </c>
      <c r="D27881" s="6">
        <v>3.08</v>
      </c>
    </row>
    <row r="27882" spans="1:4" x14ac:dyDescent="0.25">
      <c r="A27882" t="str">
        <f>HYPERLINK("https://www.773grp.com/globalSearch/UCCC2817D/page-1", "UCCC2817D")</f>
        <v>UCCC2817D</v>
      </c>
      <c r="B27882" s="3" t="s">
        <v>112</v>
      </c>
      <c r="C27882" s="5">
        <v>840</v>
      </c>
      <c r="D27882" s="6">
        <v>3.26</v>
      </c>
    </row>
    <row r="27883" spans="1:4" x14ac:dyDescent="0.25">
      <c r="A27883" t="str">
        <f>HYPERLINK("https://www.773grp.com/globalSearch/UCC29002D-1/page-1", "UCC29002D-1")</f>
        <v>UCC29002D-1</v>
      </c>
      <c r="B27883" s="3" t="s">
        <v>112</v>
      </c>
      <c r="C27883" s="5">
        <v>55</v>
      </c>
      <c r="D27883" s="6">
        <v>3.38</v>
      </c>
    </row>
    <row r="27884" spans="1:4" x14ac:dyDescent="0.25">
      <c r="A27884" t="str">
        <f>HYPERLINK("https://www.773grp.com/globalSearch/UCC29002DGK/page-1", "UCC29002DGK")</f>
        <v>UCC29002DGK</v>
      </c>
      <c r="B27884" s="3" t="s">
        <v>112</v>
      </c>
      <c r="C27884" s="5">
        <v>160</v>
      </c>
      <c r="D27884" s="6">
        <v>3.38</v>
      </c>
    </row>
    <row r="27885" spans="1:4" x14ac:dyDescent="0.25">
      <c r="A27885" t="str">
        <f>HYPERLINK("https://www.773grp.com/globalSearch/UCC3808D-2/page-1", "UCC3808D-2")</f>
        <v>UCC3808D-2</v>
      </c>
      <c r="B27885" s="3" t="s">
        <v>112</v>
      </c>
      <c r="C27885" s="5">
        <v>1648</v>
      </c>
      <c r="D27885" s="6">
        <v>3.38</v>
      </c>
    </row>
    <row r="27886" spans="1:4" x14ac:dyDescent="0.25">
      <c r="A27886" t="str">
        <f>HYPERLINK("https://www.773grp.com/globalSearch/UCC3813D-1/page-1", "UCC3813D-1")</f>
        <v>UCC3813D-1</v>
      </c>
      <c r="B27886" s="3" t="s">
        <v>112</v>
      </c>
      <c r="C27886" s="5">
        <v>525</v>
      </c>
      <c r="D27886" s="6">
        <v>3.38</v>
      </c>
    </row>
    <row r="27887" spans="1:4" x14ac:dyDescent="0.25">
      <c r="A27887" t="str">
        <f>HYPERLINK("https://www.773grp.com/globalSearch/UCC3813D-4/page-1", "UCC3813D-4")</f>
        <v>UCC3813D-4</v>
      </c>
      <c r="B27887" s="3" t="s">
        <v>112</v>
      </c>
      <c r="C27887" s="5">
        <v>150</v>
      </c>
      <c r="D27887" s="6">
        <v>3.38</v>
      </c>
    </row>
    <row r="27888" spans="1:4" x14ac:dyDescent="0.25">
      <c r="A27888" t="str">
        <f>HYPERLINK("https://www.773grp.com/globalSearch/UCC3813PW-3/page-1", "UCC3813PW-3")</f>
        <v>UCC3813PW-3</v>
      </c>
      <c r="B27888" s="3" t="s">
        <v>112</v>
      </c>
      <c r="C27888" s="5">
        <v>264</v>
      </c>
      <c r="D27888" s="6">
        <v>3.38</v>
      </c>
    </row>
    <row r="27889" spans="1:4" x14ac:dyDescent="0.25">
      <c r="A27889" t="str">
        <f>HYPERLINK("https://www.773grp.com/globalSearch/UCC28C45D/page-1", "UCC28C45D")</f>
        <v>UCC28C45D</v>
      </c>
      <c r="B27889" s="3" t="s">
        <v>112</v>
      </c>
      <c r="C27889" s="5">
        <v>1875</v>
      </c>
      <c r="D27889" s="6">
        <v>3.8</v>
      </c>
    </row>
    <row r="27890" spans="1:4" x14ac:dyDescent="0.25">
      <c r="A27890" t="str">
        <f>HYPERLINK("https://www.773grp.com/globalSearch/UCC38C45DGK/page-1", "UCC38C45DGK")</f>
        <v>UCC38C45DGK</v>
      </c>
      <c r="B27890" s="3" t="s">
        <v>112</v>
      </c>
      <c r="C27890" s="5">
        <v>153</v>
      </c>
      <c r="D27890" s="6">
        <v>3.8</v>
      </c>
    </row>
    <row r="27891" spans="1:4" x14ac:dyDescent="0.25">
      <c r="A27891" t="str">
        <f>HYPERLINK("https://www.773grp.com/globalSearch/UCC3802DTR-81472/page-1", "UCC3802DTR-81472")</f>
        <v>UCC3802DTR-81472</v>
      </c>
      <c r="B27891" s="3" t="s">
        <v>112</v>
      </c>
      <c r="C27891" s="5">
        <v>2500</v>
      </c>
      <c r="D27891" s="6">
        <v>3.43</v>
      </c>
    </row>
    <row r="27892" spans="1:4" x14ac:dyDescent="0.25">
      <c r="A27892" t="str">
        <f>HYPERLINK("https://www.773grp.com/globalSearch/UC2714D/page-1", "UC2714D")</f>
        <v>UC2714D</v>
      </c>
      <c r="B27892" s="3" t="s">
        <v>112</v>
      </c>
      <c r="C27892" s="5">
        <v>300</v>
      </c>
      <c r="D27892" s="6">
        <v>3.51</v>
      </c>
    </row>
    <row r="27893" spans="1:4" x14ac:dyDescent="0.25">
      <c r="A27893" t="str">
        <f>HYPERLINK("https://www.773grp.com/globalSearch/UCC2808APW-1G4/page-1", "UCC2808APW-1G4")</f>
        <v>UCC2808APW-1G4</v>
      </c>
      <c r="B27893" s="3" t="s">
        <v>112</v>
      </c>
      <c r="C27893" s="5">
        <v>250</v>
      </c>
      <c r="D27893" s="6">
        <v>3.51</v>
      </c>
    </row>
    <row r="27894" spans="1:4" x14ac:dyDescent="0.25">
      <c r="A27894" t="str">
        <f>HYPERLINK("https://www.773grp.com/globalSearch/UCC2813D-3/page-1", "UCC2813D-3")</f>
        <v>UCC2813D-3</v>
      </c>
      <c r="B27894" s="3" t="s">
        <v>112</v>
      </c>
      <c r="C27894" s="5">
        <v>207</v>
      </c>
      <c r="D27894" s="6">
        <v>3.51</v>
      </c>
    </row>
    <row r="27895" spans="1:4" x14ac:dyDescent="0.25">
      <c r="A27895" t="str">
        <f>HYPERLINK("https://www.773grp.com/globalSearch/UCC2813PW-1/page-1", "UCC2813PW-1")</f>
        <v>UCC2813PW-1</v>
      </c>
      <c r="B27895" s="3" t="s">
        <v>112</v>
      </c>
      <c r="C27895" s="5">
        <v>185</v>
      </c>
      <c r="D27895" s="6">
        <v>3.51</v>
      </c>
    </row>
    <row r="27896" spans="1:4" x14ac:dyDescent="0.25">
      <c r="A27896" t="str">
        <f>HYPERLINK("https://www.773grp.com/globalSearch/UCC2813PW-2/page-1", "UCC2813PW-2")</f>
        <v>UCC2813PW-2</v>
      </c>
      <c r="B27896" s="3" t="s">
        <v>112</v>
      </c>
      <c r="C27896" s="5">
        <v>90</v>
      </c>
      <c r="D27896" s="6">
        <v>3.51</v>
      </c>
    </row>
    <row r="27897" spans="1:4" x14ac:dyDescent="0.25">
      <c r="A27897" t="str">
        <f>HYPERLINK("https://www.773grp.com/globalSearch/UCC2813PW-3/page-1", "UCC2813PW-3")</f>
        <v>UCC2813PW-3</v>
      </c>
      <c r="B27897" s="3" t="s">
        <v>112</v>
      </c>
      <c r="C27897" s="5">
        <v>234</v>
      </c>
      <c r="D27897" s="6">
        <v>3.51</v>
      </c>
    </row>
    <row r="27898" spans="1:4" x14ac:dyDescent="0.25">
      <c r="A27898" t="str">
        <f>HYPERLINK("https://www.773grp.com/globalSearch/UCC2813PW-5/page-1", "UCC2813PW-5")</f>
        <v>UCC2813PW-5</v>
      </c>
      <c r="B27898" s="3" t="s">
        <v>112</v>
      </c>
      <c r="C27898" s="5">
        <v>300</v>
      </c>
      <c r="D27898" s="6">
        <v>3.51</v>
      </c>
    </row>
    <row r="27899" spans="1:4" x14ac:dyDescent="0.25">
      <c r="A27899" t="str">
        <f>HYPERLINK("https://www.773grp.com/globalSearch/UCC391PTR/page-1", "UCC391PTR")</f>
        <v>UCC391PTR</v>
      </c>
      <c r="B27899" s="3" t="s">
        <v>112</v>
      </c>
      <c r="C27899" s="5">
        <v>5000</v>
      </c>
      <c r="D27899" s="6">
        <v>3.6</v>
      </c>
    </row>
    <row r="27900" spans="1:4" x14ac:dyDescent="0.25">
      <c r="A27900" t="str">
        <f>HYPERLINK("https://www.773grp.com/globalSearch/UCC27321D/page-1", "UCC27321D")</f>
        <v>UCC27321D</v>
      </c>
      <c r="B27900" s="3" t="s">
        <v>112</v>
      </c>
      <c r="C27900" s="5">
        <v>48</v>
      </c>
      <c r="D27900" s="6">
        <v>3.66</v>
      </c>
    </row>
    <row r="27901" spans="1:4" x14ac:dyDescent="0.25">
      <c r="A27901" t="str">
        <f>HYPERLINK("https://www.773grp.com/globalSearch/UC2524N/page-1", "UC2524N")</f>
        <v>UC2524N</v>
      </c>
      <c r="B27901" s="3" t="s">
        <v>112</v>
      </c>
      <c r="C27901" s="5">
        <v>203</v>
      </c>
      <c r="D27901" s="6">
        <v>3.68</v>
      </c>
    </row>
    <row r="27902" spans="1:4" x14ac:dyDescent="0.25">
      <c r="A27902" t="str">
        <f>HYPERLINK("https://www.773grp.com/globalSearch/UC3524AN-80126/page-1", "UC3524AN-80126")</f>
        <v>UC3524AN-80126</v>
      </c>
      <c r="B27902" s="3" t="s">
        <v>112</v>
      </c>
      <c r="C27902" s="5">
        <v>944</v>
      </c>
      <c r="D27902" s="6">
        <v>3.76</v>
      </c>
    </row>
    <row r="27903" spans="1:4" x14ac:dyDescent="0.25">
      <c r="A27903" t="str">
        <f>HYPERLINK("https://www.773grp.com/globalSearch/UCC3808N-1G4/page-1", "UCC3808N-1G4")</f>
        <v>UCC3808N-1G4</v>
      </c>
      <c r="B27903" s="3" t="s">
        <v>112</v>
      </c>
      <c r="C27903" s="5">
        <v>200</v>
      </c>
      <c r="D27903" s="6">
        <v>3.76</v>
      </c>
    </row>
    <row r="27904" spans="1:4" x14ac:dyDescent="0.25">
      <c r="A27904" t="str">
        <f>HYPERLINK("https://www.773grp.com/globalSearch/UCC3813N-2/page-1", "UCC3813N-2")</f>
        <v>UCC3813N-2</v>
      </c>
      <c r="B27904" s="3" t="s">
        <v>112</v>
      </c>
      <c r="C27904" s="5">
        <v>242</v>
      </c>
      <c r="D27904" s="6">
        <v>3.76</v>
      </c>
    </row>
    <row r="27905" spans="1:4" x14ac:dyDescent="0.25">
      <c r="A27905" t="str">
        <f>HYPERLINK("https://www.773grp.com/globalSearch/UCC2894D/page-1", "UCC2894D")</f>
        <v>UCC2894D</v>
      </c>
      <c r="B27905" s="3" t="s">
        <v>112</v>
      </c>
      <c r="C27905" s="5">
        <v>1670</v>
      </c>
      <c r="D27905" s="6">
        <v>3.8</v>
      </c>
    </row>
    <row r="27906" spans="1:4" x14ac:dyDescent="0.25">
      <c r="A27906" t="str">
        <f>HYPERLINK("https://www.773grp.com/globalSearch/UCC3802D/page-1", "UCC3802D")</f>
        <v>UCC3802D</v>
      </c>
      <c r="B27906" s="3" t="s">
        <v>112</v>
      </c>
      <c r="C27906" s="5">
        <v>59</v>
      </c>
      <c r="D27906" s="6">
        <v>3.8</v>
      </c>
    </row>
    <row r="27907" spans="1:4" x14ac:dyDescent="0.25">
      <c r="A27907" t="str">
        <f>HYPERLINK("https://www.773grp.com/globalSearch/UCC3803D-81468/page-1", "UCC3803D-81468")</f>
        <v>UCC3803D-81468</v>
      </c>
      <c r="B27907" s="3" t="s">
        <v>112</v>
      </c>
      <c r="C27907" s="5">
        <v>797</v>
      </c>
      <c r="D27907" s="6">
        <v>3.8</v>
      </c>
    </row>
    <row r="27908" spans="1:4" x14ac:dyDescent="0.25">
      <c r="A27908" t="str">
        <f>HYPERLINK("https://www.773grp.com/globalSearch/UC3524ADWG4/page-1", "UC3524ADWG4")</f>
        <v>UC3524ADWG4</v>
      </c>
      <c r="B27908" s="3" t="s">
        <v>112</v>
      </c>
      <c r="C27908" s="5">
        <v>280</v>
      </c>
      <c r="D27908" s="6">
        <v>4.2300000000000004</v>
      </c>
    </row>
    <row r="27909" spans="1:4" x14ac:dyDescent="0.25">
      <c r="A27909" t="str">
        <f>HYPERLINK("https://www.773grp.com/globalSearch/UCC28C43P/page-1", "UCC28C43P")</f>
        <v>UCC28C43P</v>
      </c>
      <c r="B27909" s="3" t="s">
        <v>112</v>
      </c>
      <c r="C27909" s="5">
        <v>50</v>
      </c>
      <c r="D27909" s="6">
        <v>4.28</v>
      </c>
    </row>
    <row r="27910" spans="1:4" x14ac:dyDescent="0.25">
      <c r="A27910" t="str">
        <f>HYPERLINK("https://www.773grp.com/globalSearch/UCC38C45P/page-1", "UCC38C45P")</f>
        <v>UCC38C45P</v>
      </c>
      <c r="B27910" s="3" t="s">
        <v>112</v>
      </c>
      <c r="C27910" s="5">
        <v>350</v>
      </c>
      <c r="D27910" s="6">
        <v>4.28</v>
      </c>
    </row>
    <row r="27911" spans="1:4" x14ac:dyDescent="0.25">
      <c r="A27911" t="str">
        <f>HYPERLINK("https://www.773grp.com/globalSearch/UCC2804PW/page-1", "UCC2804PW")</f>
        <v>UCC2804PW</v>
      </c>
      <c r="B27911" s="3" t="s">
        <v>112</v>
      </c>
      <c r="C27911" s="5">
        <v>20</v>
      </c>
      <c r="D27911" s="6">
        <v>3.94</v>
      </c>
    </row>
    <row r="27912" spans="1:4" x14ac:dyDescent="0.25">
      <c r="A27912" t="str">
        <f>HYPERLINK("https://www.773grp.com/globalSearch/UCC2805D/page-1", "UCC2805D")</f>
        <v>UCC2805D</v>
      </c>
      <c r="B27912" s="3" t="s">
        <v>112</v>
      </c>
      <c r="C27912" s="5">
        <v>150</v>
      </c>
      <c r="D27912" s="6">
        <v>3.94</v>
      </c>
    </row>
    <row r="27913" spans="1:4" x14ac:dyDescent="0.25">
      <c r="A27913" t="str">
        <f>HYPERLINK("https://www.773grp.com/globalSearch/UCC28084D/page-1", "UCC28084D")</f>
        <v>UCC28084D</v>
      </c>
      <c r="B27913" s="3" t="s">
        <v>112</v>
      </c>
      <c r="C27913" s="5">
        <v>5</v>
      </c>
      <c r="D27913" s="6">
        <v>3.94</v>
      </c>
    </row>
    <row r="27914" spans="1:4" x14ac:dyDescent="0.25">
      <c r="A27914" t="str">
        <f>HYPERLINK("https://www.773grp.com/globalSearch/UCC27322P/page-1", "UCC27322P")</f>
        <v>UCC27322P</v>
      </c>
      <c r="B27914" s="3" t="s">
        <v>112</v>
      </c>
      <c r="C27914" s="5">
        <v>83</v>
      </c>
      <c r="D27914" s="6">
        <v>4.05</v>
      </c>
    </row>
    <row r="27915" spans="1:4" x14ac:dyDescent="0.25">
      <c r="A27915" t="str">
        <f>HYPERLINK("https://www.773grp.com/globalSearch/UCC28C40DGK/page-1", "UCC28C40DGK")</f>
        <v>UCC28C40DGK</v>
      </c>
      <c r="B27915" s="3" t="s">
        <v>112</v>
      </c>
      <c r="C27915" s="5">
        <v>62</v>
      </c>
      <c r="D27915" s="6">
        <v>4.49</v>
      </c>
    </row>
    <row r="27916" spans="1:4" x14ac:dyDescent="0.25">
      <c r="A27916" t="str">
        <f>HYPERLINK("https://www.773grp.com/globalSearch/UC3853D/page-1", "UC3853D")</f>
        <v>UC3853D</v>
      </c>
      <c r="B27916" s="3" t="s">
        <v>112</v>
      </c>
      <c r="C27916" s="5">
        <v>75</v>
      </c>
      <c r="D27916" s="6">
        <v>4.09</v>
      </c>
    </row>
    <row r="27917" spans="1:4" x14ac:dyDescent="0.25">
      <c r="A27917" t="str">
        <f>HYPERLINK("https://www.773grp.com/globalSearch/UCC2817AD/page-1", "UCC2817AD")</f>
        <v>UCC2817AD</v>
      </c>
      <c r="B27917" s="3" t="s">
        <v>112</v>
      </c>
      <c r="C27917" s="5">
        <v>120</v>
      </c>
      <c r="D27917" s="6">
        <v>4.09</v>
      </c>
    </row>
    <row r="27918" spans="1:4" x14ac:dyDescent="0.25">
      <c r="A27918" t="str">
        <f>HYPERLINK("https://www.773grp.com/globalSearch/UCC2818D/page-1", "UCC2818D")</f>
        <v>UCC2818D</v>
      </c>
      <c r="B27918" s="3" t="s">
        <v>112</v>
      </c>
      <c r="C27918" s="5">
        <v>97</v>
      </c>
      <c r="D27918" s="6">
        <v>4.09</v>
      </c>
    </row>
    <row r="27919" spans="1:4" x14ac:dyDescent="0.25">
      <c r="A27919" t="str">
        <f>HYPERLINK("https://www.773grp.com/globalSearch/UCC3804DTR-81523/page-1", "UCC3804DTR-81523")</f>
        <v>UCC3804DTR-81523</v>
      </c>
      <c r="B27919" s="3" t="s">
        <v>112</v>
      </c>
      <c r="C27919" s="5">
        <v>20000</v>
      </c>
      <c r="D27919" s="6">
        <v>4.09</v>
      </c>
    </row>
    <row r="27920" spans="1:4" x14ac:dyDescent="0.25">
      <c r="A27920" t="str">
        <f>HYPERLINK("https://www.773grp.com/globalSearch/UCC27325PE4/page-1", "UCC27325PE4")</f>
        <v>UCC27325PE4</v>
      </c>
      <c r="B27920" s="3" t="s">
        <v>112</v>
      </c>
      <c r="C27920" s="5">
        <v>300</v>
      </c>
      <c r="D27920" s="6">
        <v>4.54</v>
      </c>
    </row>
    <row r="27921" spans="1:4" x14ac:dyDescent="0.25">
      <c r="A27921" t="str">
        <f>HYPERLINK("https://www.773grp.com/globalSearch/UCC27424P/page-1", "UCC27424P")</f>
        <v>UCC27424P</v>
      </c>
      <c r="B27921" s="3" t="s">
        <v>112</v>
      </c>
      <c r="C27921" s="5">
        <v>50</v>
      </c>
      <c r="D27921" s="6">
        <v>4.54</v>
      </c>
    </row>
    <row r="27922" spans="1:4" x14ac:dyDescent="0.25">
      <c r="A27922" t="str">
        <f>HYPERLINK("https://www.773grp.com/globalSearch/UCC27425P/page-1", "UCC27425P")</f>
        <v>UCC27425P</v>
      </c>
      <c r="B27922" s="3" t="s">
        <v>112</v>
      </c>
      <c r="C27922" s="5">
        <v>250</v>
      </c>
      <c r="D27922" s="6">
        <v>4.54</v>
      </c>
    </row>
    <row r="27923" spans="1:4" x14ac:dyDescent="0.25">
      <c r="A27923" t="str">
        <f>HYPERLINK("https://www.773grp.com/globalSearch/UCC37324P/page-1", "UCC37324P")</f>
        <v>UCC37324P</v>
      </c>
      <c r="B27923" s="3" t="s">
        <v>112</v>
      </c>
      <c r="C27923" s="5">
        <v>100</v>
      </c>
      <c r="D27923" s="6">
        <v>4.54</v>
      </c>
    </row>
    <row r="27924" spans="1:4" x14ac:dyDescent="0.25">
      <c r="A27924" t="str">
        <f>HYPERLINK("https://www.773grp.com/globalSearch/UCC37324P/page-1", "UCC37324P")</f>
        <v>UCC37324P</v>
      </c>
      <c r="B27924" s="3" t="s">
        <v>112</v>
      </c>
      <c r="C27924" s="5">
        <v>200</v>
      </c>
      <c r="D27924" s="6">
        <v>4.54</v>
      </c>
    </row>
    <row r="27925" spans="1:4" x14ac:dyDescent="0.25">
      <c r="A27925" t="str">
        <f>HYPERLINK("https://www.773grp.com/globalSearch/UCC37325P/page-1", "UCC37325P")</f>
        <v>UCC37325P</v>
      </c>
      <c r="B27925" s="3" t="s">
        <v>112</v>
      </c>
      <c r="C27925" s="5">
        <v>57</v>
      </c>
      <c r="D27925" s="6">
        <v>4.54</v>
      </c>
    </row>
    <row r="27926" spans="1:4" x14ac:dyDescent="0.25">
      <c r="A27926" t="str">
        <f>HYPERLINK("https://www.773grp.com/globalSearch/UC3526N/page-1", "UC3526N")</f>
        <v>UC3526N</v>
      </c>
      <c r="B27926" s="3" t="s">
        <v>112</v>
      </c>
      <c r="C27926" s="5">
        <v>272</v>
      </c>
      <c r="D27926" s="6">
        <v>4.0999999999999996</v>
      </c>
    </row>
    <row r="27927" spans="1:4" x14ac:dyDescent="0.25">
      <c r="A27927" t="str">
        <f>HYPERLINK("https://www.773grp.com/globalSearch/UCC3802NG4/page-1", "UCC3802NG4")</f>
        <v>UCC3802NG4</v>
      </c>
      <c r="B27927" s="3" t="s">
        <v>112</v>
      </c>
      <c r="C27927" s="5">
        <v>1</v>
      </c>
      <c r="D27927" s="6">
        <v>4.1900000000000004</v>
      </c>
    </row>
    <row r="27928" spans="1:4" x14ac:dyDescent="0.25">
      <c r="A27928" t="str">
        <f>HYPERLINK("https://www.773grp.com/globalSearch/TLC277CP/page-1", "TLC277CP")</f>
        <v>TLC277CP</v>
      </c>
      <c r="B27928" s="3" t="s">
        <v>112</v>
      </c>
      <c r="C27928" s="5">
        <v>300</v>
      </c>
      <c r="D27928" s="6">
        <v>4.74</v>
      </c>
    </row>
    <row r="27929" spans="1:4" x14ac:dyDescent="0.25">
      <c r="A27929" t="str">
        <f>HYPERLINK("https://www.773grp.com/globalSearch/UC2843ANNTR/page-1", "UC2843ANNTR")</f>
        <v>UC2843ANNTR</v>
      </c>
      <c r="B27929" s="3" t="s">
        <v>112</v>
      </c>
      <c r="C27929" s="5">
        <v>21600</v>
      </c>
      <c r="D27929" s="6">
        <v>4.74</v>
      </c>
    </row>
    <row r="27930" spans="1:4" x14ac:dyDescent="0.25">
      <c r="A27930" t="str">
        <f>HYPERLINK("https://www.773grp.com/globalSearch/UCC27324D/page-1", "UCC27324D")</f>
        <v>UCC27324D</v>
      </c>
      <c r="B27930" s="3" t="s">
        <v>112</v>
      </c>
      <c r="C27930" s="5">
        <v>600</v>
      </c>
      <c r="D27930" s="6">
        <v>4.74</v>
      </c>
    </row>
    <row r="27931" spans="1:4" x14ac:dyDescent="0.25">
      <c r="A27931" t="str">
        <f>HYPERLINK("https://www.773grp.com/globalSearch/UCC27425D/page-1", "UCC27425D")</f>
        <v>UCC27425D</v>
      </c>
      <c r="B27931" s="3" t="s">
        <v>112</v>
      </c>
      <c r="C27931" s="5">
        <v>75</v>
      </c>
      <c r="D27931" s="6">
        <v>4.74</v>
      </c>
    </row>
    <row r="27932" spans="1:4" x14ac:dyDescent="0.25">
      <c r="A27932" t="str">
        <f>HYPERLINK("https://www.773grp.com/globalSearch/UCC2800NG4/page-1", "UCC2800NG4")</f>
        <v>UCC2800NG4</v>
      </c>
      <c r="B27932" s="3" t="s">
        <v>112</v>
      </c>
      <c r="C27932" s="5">
        <v>86</v>
      </c>
      <c r="D27932" s="6">
        <v>4.34</v>
      </c>
    </row>
    <row r="27933" spans="1:4" x14ac:dyDescent="0.25">
      <c r="A27933" t="str">
        <f>HYPERLINK("https://www.773grp.com/globalSearch/UCC2801N/page-1", "UCC2801N")</f>
        <v>UCC2801N</v>
      </c>
      <c r="B27933" s="3" t="s">
        <v>112</v>
      </c>
      <c r="C27933" s="5">
        <v>100</v>
      </c>
      <c r="D27933" s="6">
        <v>4.34</v>
      </c>
    </row>
    <row r="27934" spans="1:4" x14ac:dyDescent="0.25">
      <c r="A27934" t="str">
        <f>HYPERLINK("https://www.773grp.com/globalSearch/UCC3818AN/page-1", "UCC3818AN")</f>
        <v>UCC3818AN</v>
      </c>
      <c r="B27934" s="3" t="s">
        <v>112</v>
      </c>
      <c r="C27934" s="5">
        <v>125</v>
      </c>
      <c r="D27934" s="6">
        <v>4.3499999999999996</v>
      </c>
    </row>
    <row r="27935" spans="1:4" x14ac:dyDescent="0.25">
      <c r="A27935" t="str">
        <f>HYPERLINK("https://www.773grp.com/globalSearch/UC2846N-80374/page-1", "UC2846N-80374")</f>
        <v>UC2846N-80374</v>
      </c>
      <c r="B27935" s="3" t="s">
        <v>112</v>
      </c>
      <c r="C27935" s="5">
        <v>1475</v>
      </c>
      <c r="D27935" s="6">
        <v>4.3899999999999997</v>
      </c>
    </row>
    <row r="27936" spans="1:4" x14ac:dyDescent="0.25">
      <c r="A27936" t="str">
        <f>HYPERLINK("https://www.773grp.com/globalSearch/UCC27201DG4/page-1", "UCC27201DG4")</f>
        <v>UCC27201DG4</v>
      </c>
      <c r="B27936" s="3" t="s">
        <v>112</v>
      </c>
      <c r="C27936" s="5">
        <v>202</v>
      </c>
      <c r="D27936" s="6">
        <v>4.3899999999999997</v>
      </c>
    </row>
    <row r="27937" spans="1:4" x14ac:dyDescent="0.25">
      <c r="A27937" t="str">
        <f>HYPERLINK("https://www.773grp.com/globalSearch/UC2825N-80709/page-1", "UC2825N-80709")</f>
        <v>UC2825N-80709</v>
      </c>
      <c r="B27937" s="3" t="s">
        <v>112</v>
      </c>
      <c r="C27937" s="5">
        <v>32975</v>
      </c>
      <c r="D27937" s="6">
        <v>4.5</v>
      </c>
    </row>
    <row r="27938" spans="1:4" x14ac:dyDescent="0.25">
      <c r="A27938" t="str">
        <f>HYPERLINK("https://www.773grp.com/globalSearch/UCC2808AD-2/page-1", "UCC2808AD-2")</f>
        <v>UCC2808AD-2</v>
      </c>
      <c r="B27938" s="3" t="s">
        <v>112</v>
      </c>
      <c r="C27938" s="5">
        <v>40</v>
      </c>
      <c r="D27938" s="6">
        <v>4.5</v>
      </c>
    </row>
    <row r="27939" spans="1:4" x14ac:dyDescent="0.25">
      <c r="A27939" t="str">
        <f>HYPERLINK("https://www.773grp.com/globalSearch/UC3853N/page-1", "UC3853N")</f>
        <v>UC3853N</v>
      </c>
      <c r="B27939" s="3" t="s">
        <v>112</v>
      </c>
      <c r="C27939" s="5">
        <v>104</v>
      </c>
      <c r="D27939" s="6">
        <v>4.53</v>
      </c>
    </row>
    <row r="27940" spans="1:4" x14ac:dyDescent="0.25">
      <c r="A27940" t="str">
        <f>HYPERLINK("https://www.773grp.com/globalSearch/UC2843DTR-80869/page-1", "UC2843DTR-80869")</f>
        <v>UC2843DTR-80869</v>
      </c>
      <c r="B27940" s="3" t="s">
        <v>112</v>
      </c>
      <c r="C27940" s="5">
        <v>5000</v>
      </c>
      <c r="D27940" s="6">
        <v>5.21</v>
      </c>
    </row>
    <row r="27941" spans="1:4" x14ac:dyDescent="0.25">
      <c r="A27941" t="str">
        <f>HYPERLINK("https://www.773grp.com/globalSearch/UC3846QTR-80198/page-1", "UC3846QTR-80198")</f>
        <v>UC3846QTR-80198</v>
      </c>
      <c r="B27941" s="3" t="s">
        <v>112</v>
      </c>
      <c r="C27941" s="5">
        <v>495000</v>
      </c>
      <c r="D27941" s="6">
        <v>4.78</v>
      </c>
    </row>
    <row r="27942" spans="1:4" x14ac:dyDescent="0.25">
      <c r="A27942" t="str">
        <f>HYPERLINK("https://www.773grp.com/globalSearch/UCC2946PWG4/page-1", "UCC2946PWG4")</f>
        <v>UCC2946PWG4</v>
      </c>
      <c r="B27942" s="3" t="s">
        <v>112</v>
      </c>
      <c r="C27942" s="5">
        <v>97</v>
      </c>
      <c r="D27942" s="6">
        <v>4.8099999999999996</v>
      </c>
    </row>
    <row r="27943" spans="1:4" x14ac:dyDescent="0.25">
      <c r="A27943" t="str">
        <f>HYPERLINK("https://www.773grp.com/globalSearch/UCC2808AN-2/page-1", "UCC2808AN-2")</f>
        <v>UCC2808AN-2</v>
      </c>
      <c r="B27943" s="3" t="s">
        <v>112</v>
      </c>
      <c r="C27943" s="5">
        <v>50</v>
      </c>
      <c r="D27943" s="6">
        <v>4.95</v>
      </c>
    </row>
    <row r="27944" spans="1:4" x14ac:dyDescent="0.25">
      <c r="A27944" t="str">
        <f>HYPERLINK("https://www.773grp.com/globalSearch/UCC3807D-2/page-1", "UCC3807D-2")</f>
        <v>UCC3807D-2</v>
      </c>
      <c r="B27944" s="3" t="s">
        <v>112</v>
      </c>
      <c r="C27944" s="5">
        <v>50</v>
      </c>
      <c r="D27944" s="6">
        <v>5.0599999999999996</v>
      </c>
    </row>
    <row r="27945" spans="1:4" x14ac:dyDescent="0.25">
      <c r="A27945" t="str">
        <f>HYPERLINK("https://www.773grp.com/globalSearch/UC2854N/page-1", "UC2854N")</f>
        <v>UC2854N</v>
      </c>
      <c r="B27945" s="3" t="s">
        <v>112</v>
      </c>
      <c r="C27945" s="5">
        <v>50</v>
      </c>
      <c r="D27945" s="6">
        <v>5.18</v>
      </c>
    </row>
    <row r="27946" spans="1:4" x14ac:dyDescent="0.25">
      <c r="A27946" t="str">
        <f>HYPERLINK("https://www.773grp.com/globalSearch/UC2854ADW/page-1", "UC2854ADW")</f>
        <v>UC2854ADW</v>
      </c>
      <c r="B27946" s="3" t="s">
        <v>112</v>
      </c>
      <c r="C27946" s="5">
        <v>290</v>
      </c>
      <c r="D27946" s="6">
        <v>5.2</v>
      </c>
    </row>
    <row r="27947" spans="1:4" x14ac:dyDescent="0.25">
      <c r="A27947" t="str">
        <f>HYPERLINK("https://www.773grp.com/globalSearch/UCC3913DG4/page-1", "UCC3913DG4")</f>
        <v>UCC3913DG4</v>
      </c>
      <c r="B27947" s="3" t="s">
        <v>112</v>
      </c>
      <c r="C27947" s="5">
        <v>75</v>
      </c>
      <c r="D27947" s="6">
        <v>5.29</v>
      </c>
    </row>
    <row r="27948" spans="1:4" x14ac:dyDescent="0.25">
      <c r="A27948" t="str">
        <f>HYPERLINK("https://www.773grp.com/globalSearch/UCC3580D-31/page-1", "UCC3580D-31")</f>
        <v>UCC3580D-31</v>
      </c>
      <c r="B27948" s="3" t="s">
        <v>112</v>
      </c>
      <c r="C27948" s="5">
        <v>1840</v>
      </c>
      <c r="D27948" s="6">
        <v>5.35</v>
      </c>
    </row>
    <row r="27949" spans="1:4" x14ac:dyDescent="0.25">
      <c r="A27949" t="str">
        <f>HYPERLINK("https://www.773grp.com/globalSearch/UCC2807D-3-70034/page-1", "UCC2807D-3-70034")</f>
        <v>UCC2807D-3-70034</v>
      </c>
      <c r="B27949" s="3" t="s">
        <v>112</v>
      </c>
      <c r="C27949" s="5">
        <v>2124</v>
      </c>
      <c r="D27949" s="6">
        <v>5.36</v>
      </c>
    </row>
    <row r="27950" spans="1:4" x14ac:dyDescent="0.25">
      <c r="A27950" t="str">
        <f>HYPERLINK("https://www.773grp.com/globalSearch/UC3823DWG4/page-1", "UC3823DWG4")</f>
        <v>UC3823DWG4</v>
      </c>
      <c r="B27950" s="3" t="s">
        <v>112</v>
      </c>
      <c r="C27950" s="5">
        <v>80</v>
      </c>
      <c r="D27950" s="6">
        <v>5.63</v>
      </c>
    </row>
    <row r="27951" spans="1:4" x14ac:dyDescent="0.25">
      <c r="A27951" t="str">
        <f>HYPERLINK("https://www.773grp.com/globalSearch/UC3825Q/page-1", "UC3825Q")</f>
        <v>UC3825Q</v>
      </c>
      <c r="B27951" s="3" t="s">
        <v>112</v>
      </c>
      <c r="C27951" s="5">
        <v>81</v>
      </c>
      <c r="D27951" s="6">
        <v>5.63</v>
      </c>
    </row>
    <row r="27952" spans="1:4" x14ac:dyDescent="0.25">
      <c r="A27952" t="str">
        <f>HYPERLINK("https://www.773grp.com/globalSearch/UCC5630AMWPR-81365/page-1", "UCC5630AMWPR-81365")</f>
        <v>UCC5630AMWPR-81365</v>
      </c>
      <c r="B27952" s="3" t="s">
        <v>112</v>
      </c>
      <c r="C27952" s="5">
        <v>92000</v>
      </c>
      <c r="D27952" s="6">
        <v>5.63</v>
      </c>
    </row>
    <row r="27953" spans="1:4" x14ac:dyDescent="0.25">
      <c r="A27953" t="str">
        <f>HYPERLINK("https://www.773grp.com/globalSearch/UCC3807N-2/page-1", "UCC3807N-2")</f>
        <v>UCC3807N-2</v>
      </c>
      <c r="B27953" s="3" t="s">
        <v>112</v>
      </c>
      <c r="C27953" s="5">
        <v>50</v>
      </c>
      <c r="D27953" s="6">
        <v>5.7</v>
      </c>
    </row>
    <row r="27954" spans="1:4" x14ac:dyDescent="0.25">
      <c r="A27954" t="str">
        <f>HYPERLINK("https://www.773grp.com/globalSearch/UC3486Q-80198/page-1", "UC3486Q-80198")</f>
        <v>UC3486Q-80198</v>
      </c>
      <c r="B27954" s="3" t="s">
        <v>112</v>
      </c>
      <c r="C27954" s="5">
        <v>802</v>
      </c>
      <c r="D27954" s="6">
        <v>5.79</v>
      </c>
    </row>
    <row r="27955" spans="1:4" x14ac:dyDescent="0.25">
      <c r="A27955" t="str">
        <f>HYPERLINK("https://www.773grp.com/globalSearch/UC3903QG3/page-1", "UC3903QG3")</f>
        <v>UC3903QG3</v>
      </c>
      <c r="B27955" s="3" t="s">
        <v>112</v>
      </c>
      <c r="C27955" s="5">
        <v>46</v>
      </c>
      <c r="D27955" s="6">
        <v>6.21</v>
      </c>
    </row>
    <row r="27956" spans="1:4" x14ac:dyDescent="0.25">
      <c r="A27956" t="str">
        <f>HYPERLINK("https://www.773grp.com/globalSearch/UCC28220PW/page-1", "UCC28220PW")</f>
        <v>UCC28220PW</v>
      </c>
      <c r="B27956" s="3" t="s">
        <v>112</v>
      </c>
      <c r="C27956" s="5">
        <v>80</v>
      </c>
      <c r="D27956" s="6">
        <v>6.33</v>
      </c>
    </row>
    <row r="27957" spans="1:4" x14ac:dyDescent="0.25">
      <c r="A27957" t="str">
        <f>HYPERLINK("https://www.773grp.com/globalSearch/UCC2810DW/page-1", "UCC2810DW")</f>
        <v>UCC2810DW</v>
      </c>
      <c r="B27957" s="3" t="s">
        <v>112</v>
      </c>
      <c r="C27957" s="5">
        <v>40</v>
      </c>
      <c r="D27957" s="6">
        <v>6.46</v>
      </c>
    </row>
    <row r="27958" spans="1:4" x14ac:dyDescent="0.25">
      <c r="A27958" t="str">
        <f>HYPERLINK("https://www.773grp.com/globalSearch/UC2705D-81278/page-1", "UC2705D-81278")</f>
        <v>UC2705D-81278</v>
      </c>
      <c r="B27958" s="3" t="s">
        <v>112</v>
      </c>
      <c r="C27958" s="5">
        <v>3098</v>
      </c>
      <c r="D27958" s="6">
        <v>6.75</v>
      </c>
    </row>
    <row r="27959" spans="1:4" x14ac:dyDescent="0.25">
      <c r="A27959" t="str">
        <f>HYPERLINK("https://www.773grp.com/globalSearch/UC3543DWTR-81013/page-1", "UC3543DWTR-81013")</f>
        <v>UC3543DWTR-81013</v>
      </c>
      <c r="B27959" s="3" t="s">
        <v>112</v>
      </c>
      <c r="C27959" s="5">
        <v>2000</v>
      </c>
      <c r="D27959" s="6">
        <v>6.86</v>
      </c>
    </row>
    <row r="27960" spans="1:4" x14ac:dyDescent="0.25">
      <c r="A27960" t="str">
        <f>HYPERLINK("https://www.773grp.com/globalSearch/UC2903N/page-1", "UC2903N")</f>
        <v>UC2903N</v>
      </c>
      <c r="B27960" s="3" t="s">
        <v>112</v>
      </c>
      <c r="C27960" s="5">
        <v>45</v>
      </c>
      <c r="D27960" s="6">
        <v>7.09</v>
      </c>
    </row>
    <row r="27961" spans="1:4" x14ac:dyDescent="0.25">
      <c r="A27961" t="str">
        <f>HYPERLINK("https://www.773grp.com/globalSearch/UC3863DWG4/page-1", "UC3863DWG4")</f>
        <v>UC3863DWG4</v>
      </c>
      <c r="B27961" s="3" t="s">
        <v>112</v>
      </c>
      <c r="C27961" s="5">
        <v>40</v>
      </c>
      <c r="D27961" s="6">
        <v>7.2</v>
      </c>
    </row>
    <row r="27962" spans="1:4" x14ac:dyDescent="0.25">
      <c r="A27962" t="str">
        <f>HYPERLINK("https://www.773grp.com/globalSearch/UCC2540PWP/page-1", "UCC2540PWP")</f>
        <v>UCC2540PWP</v>
      </c>
      <c r="B27962" s="3" t="s">
        <v>112</v>
      </c>
      <c r="C27962" s="5">
        <v>70</v>
      </c>
      <c r="D27962" s="6">
        <v>7.6</v>
      </c>
    </row>
    <row r="27963" spans="1:4" x14ac:dyDescent="0.25">
      <c r="A27963" t="str">
        <f>HYPERLINK("https://www.773grp.com/globalSearch/UN2543DW/page-1", "UN2543DW")</f>
        <v>UN2543DW</v>
      </c>
      <c r="B27963" s="3" t="s">
        <v>112</v>
      </c>
      <c r="C27963" s="5">
        <v>35</v>
      </c>
      <c r="D27963" s="6">
        <v>7.76</v>
      </c>
    </row>
    <row r="27964" spans="1:4" x14ac:dyDescent="0.25">
      <c r="A27964" t="str">
        <f>HYPERLINK("https://www.773grp.com/globalSearch/UC2825DW-80903/page-1", "UC2825DW-80903")</f>
        <v>UC2825DW-80903</v>
      </c>
      <c r="B27964" s="3" t="s">
        <v>112</v>
      </c>
      <c r="C27964" s="5">
        <v>8000</v>
      </c>
      <c r="D27964" s="6">
        <v>7.94</v>
      </c>
    </row>
    <row r="27965" spans="1:4" x14ac:dyDescent="0.25">
      <c r="A27965" t="str">
        <f>HYPERLINK("https://www.773grp.com/globalSearch/UC2835D-70053/page-1", "UC2835D-70053")</f>
        <v>UC2835D-70053</v>
      </c>
      <c r="B27965" s="3" t="s">
        <v>112</v>
      </c>
      <c r="C27965" s="5">
        <v>1010</v>
      </c>
      <c r="D27965" s="6">
        <v>8.15</v>
      </c>
    </row>
    <row r="27966" spans="1:4" x14ac:dyDescent="0.25">
      <c r="A27966" t="str">
        <f>HYPERLINK("https://www.773grp.com/globalSearch/UC3610DW/page-1", "UC3610DW")</f>
        <v>UC3610DW</v>
      </c>
      <c r="B27966" s="3" t="s">
        <v>112</v>
      </c>
      <c r="C27966" s="5">
        <v>40</v>
      </c>
      <c r="D27966" s="6">
        <v>8.2799999999999994</v>
      </c>
    </row>
    <row r="27967" spans="1:4" x14ac:dyDescent="0.25">
      <c r="A27967" t="str">
        <f>HYPERLINK("https://www.773grp.com/globalSearch/UCC25701D-81385/page-1", "UCC25701D-81385")</f>
        <v>UCC25701D-81385</v>
      </c>
      <c r="B27967" s="3" t="s">
        <v>112</v>
      </c>
      <c r="C27967" s="5">
        <v>4165</v>
      </c>
      <c r="D27967" s="6">
        <v>8.3000000000000007</v>
      </c>
    </row>
    <row r="27968" spans="1:4" x14ac:dyDescent="0.25">
      <c r="A27968" t="str">
        <f>HYPERLINK("https://www.773grp.com/globalSearch/UC3909N/page-1", "UC3909N")</f>
        <v>UC3909N</v>
      </c>
      <c r="B27968" s="3" t="s">
        <v>112</v>
      </c>
      <c r="C27968" s="5">
        <v>12</v>
      </c>
      <c r="D27968" s="6">
        <v>8.58</v>
      </c>
    </row>
    <row r="27969" spans="1:4" x14ac:dyDescent="0.25">
      <c r="A27969" t="str">
        <f>HYPERLINK("https://www.773grp.com/globalSearch/UC3909N/page-1", "UC3909N")</f>
        <v>UC3909N</v>
      </c>
      <c r="B27969" s="3" t="s">
        <v>112</v>
      </c>
      <c r="C27969" s="5">
        <v>80</v>
      </c>
      <c r="D27969" s="6">
        <v>8.58</v>
      </c>
    </row>
    <row r="27970" spans="1:4" x14ac:dyDescent="0.25">
      <c r="A27970" t="str">
        <f>HYPERLINK("https://www.773grp.com/globalSearch/UC3638DWTR/page-1", "UC3638DWTR")</f>
        <v>UC3638DWTR</v>
      </c>
      <c r="B27970" s="3" t="s">
        <v>112</v>
      </c>
      <c r="C27970" s="5">
        <v>886</v>
      </c>
      <c r="D27970" s="6">
        <v>9.2899999999999991</v>
      </c>
    </row>
    <row r="27971" spans="1:4" x14ac:dyDescent="0.25">
      <c r="A27971" t="str">
        <f>HYPERLINK("https://www.773grp.com/globalSearch/UC39432BD/page-1", "UC39432BD")</f>
        <v>UC39432BD</v>
      </c>
      <c r="B27971" s="3" t="s">
        <v>112</v>
      </c>
      <c r="C27971" s="5">
        <v>145</v>
      </c>
      <c r="D27971" s="6">
        <v>9.2899999999999991</v>
      </c>
    </row>
    <row r="27972" spans="1:4" x14ac:dyDescent="0.25">
      <c r="A27972" t="str">
        <f>HYPERLINK("https://www.773grp.com/globalSearch/UCC3911DP-3G4/page-1", "UCC3911DP-3G4")</f>
        <v>UCC3911DP-3G4</v>
      </c>
      <c r="B27972" s="3" t="s">
        <v>112</v>
      </c>
      <c r="C27972" s="5">
        <v>40</v>
      </c>
      <c r="D27972" s="6">
        <v>9.31</v>
      </c>
    </row>
    <row r="27973" spans="1:4" x14ac:dyDescent="0.25">
      <c r="A27973" t="str">
        <f>HYPERLINK("https://www.773grp.com/globalSearch/UC2950T/page-1", "UC2950T")</f>
        <v>UC2950T</v>
      </c>
      <c r="B27973" s="3" t="s">
        <v>112</v>
      </c>
      <c r="C27973" s="5">
        <v>48</v>
      </c>
      <c r="D27973" s="6">
        <v>10.039999999999999</v>
      </c>
    </row>
    <row r="27974" spans="1:4" x14ac:dyDescent="0.25">
      <c r="A27974" t="str">
        <f>HYPERLINK("https://www.773grp.com/globalSearch/UC3909DWG4/page-1", "UC3909DWG4")</f>
        <v>UC3909DWG4</v>
      </c>
      <c r="B27974" s="3" t="s">
        <v>112</v>
      </c>
      <c r="C27974" s="5">
        <v>25</v>
      </c>
      <c r="D27974" s="6">
        <v>10.41</v>
      </c>
    </row>
    <row r="27975" spans="1:4" x14ac:dyDescent="0.25">
      <c r="A27975" t="str">
        <f>HYPERLINK("https://www.773grp.com/globalSearch/UC2710T/page-1", "UC2710T")</f>
        <v>UC2710T</v>
      </c>
      <c r="B27975" s="3" t="s">
        <v>112</v>
      </c>
      <c r="C27975" s="5">
        <v>65</v>
      </c>
      <c r="D27975" s="6">
        <v>10.51</v>
      </c>
    </row>
    <row r="27976" spans="1:4" x14ac:dyDescent="0.25">
      <c r="A27976" t="str">
        <f>HYPERLINK("https://www.773grp.com/globalSearch/UC3770AQ/page-1", "UC3770AQ")</f>
        <v>UC3770AQ</v>
      </c>
      <c r="B27976" s="3" t="s">
        <v>112</v>
      </c>
      <c r="C27976" s="5">
        <v>111</v>
      </c>
      <c r="D27976" s="6">
        <v>11</v>
      </c>
    </row>
    <row r="27977" spans="1:4" x14ac:dyDescent="0.25">
      <c r="A27977" t="str">
        <f>HYPERLINK("https://www.773grp.com/globalSearch/UC3638DW/page-1", "UC3638DW")</f>
        <v>UC3638DW</v>
      </c>
      <c r="B27977" s="3" t="s">
        <v>112</v>
      </c>
      <c r="C27977" s="5">
        <v>5</v>
      </c>
      <c r="D27977" s="6">
        <v>11.1</v>
      </c>
    </row>
    <row r="27978" spans="1:4" x14ac:dyDescent="0.25">
      <c r="A27978" t="str">
        <f>HYPERLINK("https://www.773grp.com/globalSearch/UCC3806DW-81528/page-1", "UCC3806DW-81528")</f>
        <v>UCC3806DW-81528</v>
      </c>
      <c r="B27978" s="3" t="s">
        <v>112</v>
      </c>
      <c r="C27978" s="5">
        <v>835</v>
      </c>
      <c r="D27978" s="6">
        <v>11.19</v>
      </c>
    </row>
    <row r="27979" spans="1:4" x14ac:dyDescent="0.25">
      <c r="A27979" t="str">
        <f>HYPERLINK("https://www.773grp.com/globalSearch/UCC3895N/page-1", "UCC3895N")</f>
        <v>UCC3895N</v>
      </c>
      <c r="B27979" s="3" t="s">
        <v>112</v>
      </c>
      <c r="C27979" s="5">
        <v>4</v>
      </c>
      <c r="D27979" s="6">
        <v>11.19</v>
      </c>
    </row>
    <row r="27980" spans="1:4" x14ac:dyDescent="0.25">
      <c r="A27980" t="str">
        <f>HYPERLINK("https://www.773grp.com/globalSearch/UC3637DW/page-1", "UC3637DW")</f>
        <v>UC3637DW</v>
      </c>
      <c r="B27980" s="3" t="s">
        <v>112</v>
      </c>
      <c r="C27980" s="5">
        <v>250</v>
      </c>
      <c r="D27980" s="6">
        <v>11.25</v>
      </c>
    </row>
    <row r="27981" spans="1:4" x14ac:dyDescent="0.25">
      <c r="A27981" t="str">
        <f>HYPERLINK("https://www.773grp.com/globalSearch/UCC25702N/page-1", "UCC25702N")</f>
        <v>UCC25702N</v>
      </c>
      <c r="B27981" s="3" t="s">
        <v>112</v>
      </c>
      <c r="C27981" s="5">
        <v>50</v>
      </c>
      <c r="D27981" s="6">
        <v>11.61</v>
      </c>
    </row>
    <row r="27982" spans="1:4" x14ac:dyDescent="0.25">
      <c r="A27982" t="str">
        <f>HYPERLINK("https://www.773grp.com/globalSearch/UC2823DW-70032/page-1", "UC2823DW-70032")</f>
        <v>UC2823DW-70032</v>
      </c>
      <c r="B27982" s="3" t="s">
        <v>112</v>
      </c>
      <c r="C27982" s="5">
        <v>350</v>
      </c>
      <c r="D27982" s="6">
        <v>11.7</v>
      </c>
    </row>
    <row r="27983" spans="1:4" x14ac:dyDescent="0.25">
      <c r="A27983" t="str">
        <f>HYPERLINK("https://www.773grp.com/globalSearch/UC3578N/page-1", "UC3578N")</f>
        <v>UC3578N</v>
      </c>
      <c r="B27983" s="3" t="s">
        <v>112</v>
      </c>
      <c r="C27983" s="5">
        <v>15</v>
      </c>
      <c r="D27983" s="6">
        <v>12.2</v>
      </c>
    </row>
    <row r="27984" spans="1:4" x14ac:dyDescent="0.25">
      <c r="A27984" t="str">
        <f>HYPERLINK("https://www.773grp.com/globalSearch/UC3879DWG4/page-1", "UC3879DWG4")</f>
        <v>UC3879DWG4</v>
      </c>
      <c r="B27984" s="3" t="s">
        <v>112</v>
      </c>
      <c r="C27984" s="5">
        <v>74</v>
      </c>
      <c r="D27984" s="6">
        <v>12.53</v>
      </c>
    </row>
    <row r="27985" spans="1:4" x14ac:dyDescent="0.25">
      <c r="A27985" t="str">
        <f>HYPERLINK("https://www.773grp.com/globalSearch/UC2825DW-81051/page-1", "UC2825DW-81051")</f>
        <v>UC2825DW-81051</v>
      </c>
      <c r="B27985" s="3" t="s">
        <v>112</v>
      </c>
      <c r="C27985" s="5">
        <v>9040</v>
      </c>
      <c r="D27985" s="6">
        <v>12.66</v>
      </c>
    </row>
    <row r="27986" spans="1:4" x14ac:dyDescent="0.25">
      <c r="A27986" t="str">
        <f>HYPERLINK("https://www.773grp.com/globalSearch/UC2835N/page-1", "UC2835N")</f>
        <v>UC2835N</v>
      </c>
      <c r="B27986" s="3" t="s">
        <v>112</v>
      </c>
      <c r="C27986" s="5">
        <v>30</v>
      </c>
      <c r="D27986" s="6">
        <v>12.71</v>
      </c>
    </row>
    <row r="27987" spans="1:4" x14ac:dyDescent="0.25">
      <c r="A27987" t="str">
        <f>HYPERLINK("https://www.773grp.com/globalSearch/UC285T-ADJ/page-1", "UC285T-ADJ")</f>
        <v>UC285T-ADJ</v>
      </c>
      <c r="B27987" s="3" t="s">
        <v>112</v>
      </c>
      <c r="C27987" s="5">
        <v>49</v>
      </c>
      <c r="D27987" s="6">
        <v>12.83</v>
      </c>
    </row>
    <row r="27988" spans="1:4" x14ac:dyDescent="0.25">
      <c r="A27988" t="str">
        <f>HYPERLINK("https://www.773grp.com/globalSearch/UC285T-ADJG3/page-1", "UC285T-ADJG3")</f>
        <v>UC285T-ADJG3</v>
      </c>
      <c r="B27988" s="3" t="s">
        <v>112</v>
      </c>
      <c r="C27988" s="5">
        <v>70</v>
      </c>
      <c r="D27988" s="6">
        <v>12.83</v>
      </c>
    </row>
    <row r="27989" spans="1:4" x14ac:dyDescent="0.25">
      <c r="A27989" t="str">
        <f>HYPERLINK("https://www.773grp.com/globalSearch/UC385T-ADJ/page-1", "UC385T-ADJ")</f>
        <v>UC385T-ADJ</v>
      </c>
      <c r="B27989" s="3" t="s">
        <v>112</v>
      </c>
      <c r="C27989" s="5">
        <v>2</v>
      </c>
      <c r="D27989" s="6">
        <v>12.83</v>
      </c>
    </row>
    <row r="27990" spans="1:4" x14ac:dyDescent="0.25">
      <c r="A27990" t="str">
        <f>HYPERLINK("https://www.773grp.com/globalSearch/UC3875DWP-81316/page-1", "UC3875DWP-81316")</f>
        <v>UC3875DWP-81316</v>
      </c>
      <c r="B27990" s="3" t="s">
        <v>112</v>
      </c>
      <c r="C27990" s="5">
        <v>373</v>
      </c>
      <c r="D27990" s="6">
        <v>13.64</v>
      </c>
    </row>
    <row r="27991" spans="1:4" x14ac:dyDescent="0.25">
      <c r="A27991" t="str">
        <f>HYPERLINK("https://www.773grp.com/globalSearch/UC2875N-81234/page-1", "UC2875N-81234")</f>
        <v>UC2875N-81234</v>
      </c>
      <c r="B27991" s="3" t="s">
        <v>112</v>
      </c>
      <c r="C27991" s="5">
        <v>2679</v>
      </c>
      <c r="D27991" s="6">
        <v>15.05</v>
      </c>
    </row>
    <row r="27992" spans="1:4" x14ac:dyDescent="0.25">
      <c r="A27992" t="str">
        <f>HYPERLINK("https://www.773grp.com/globalSearch/UC2875N-81290/page-1", "UC2875N-81290")</f>
        <v>UC2875N-81290</v>
      </c>
      <c r="B27992" s="3" t="s">
        <v>112</v>
      </c>
      <c r="C27992" s="5">
        <v>2708</v>
      </c>
      <c r="D27992" s="6">
        <v>15.05</v>
      </c>
    </row>
    <row r="27993" spans="1:4" x14ac:dyDescent="0.25">
      <c r="A27993" t="str">
        <f>HYPERLINK("https://www.773grp.com/globalSearch/UC39431N/page-1", "UC39431N")</f>
        <v>UC39431N</v>
      </c>
      <c r="B27993" s="3" t="s">
        <v>112</v>
      </c>
      <c r="C27993" s="5">
        <v>50</v>
      </c>
      <c r="D27993" s="6">
        <v>15.33</v>
      </c>
    </row>
    <row r="27994" spans="1:4" x14ac:dyDescent="0.25">
      <c r="A27994" t="str">
        <f>HYPERLINK("https://www.773grp.com/globalSearch/UCC2806D/page-1", "UCC2806D")</f>
        <v>UCC2806D</v>
      </c>
      <c r="B27994" s="3" t="s">
        <v>112</v>
      </c>
      <c r="C27994" s="5">
        <v>150</v>
      </c>
      <c r="D27994" s="6">
        <v>16.04</v>
      </c>
    </row>
    <row r="27995" spans="1:4" x14ac:dyDescent="0.25">
      <c r="A27995" t="str">
        <f>HYPERLINK("https://www.773grp.com/globalSearch/UC2914DW/page-1", "UC2914DW")</f>
        <v>UC2914DW</v>
      </c>
      <c r="B27995" s="3" t="s">
        <v>112</v>
      </c>
      <c r="C27995" s="5">
        <v>38</v>
      </c>
      <c r="D27995" s="6">
        <v>17.55</v>
      </c>
    </row>
    <row r="27996" spans="1:4" x14ac:dyDescent="0.25">
      <c r="A27996" t="str">
        <f>HYPERLINK("https://www.773grp.com/globalSearch/UC3625DW/page-1", "UC3625DW")</f>
        <v>UC3625DW</v>
      </c>
      <c r="B27996" s="3" t="s">
        <v>112</v>
      </c>
      <c r="C27996" s="5">
        <v>40</v>
      </c>
      <c r="D27996" s="6">
        <v>17.59</v>
      </c>
    </row>
    <row r="27997" spans="1:4" x14ac:dyDescent="0.25">
      <c r="A27997" t="str">
        <f>HYPERLINK("https://www.773grp.com/globalSearch/UC3625Q/page-1", "UC3625Q")</f>
        <v>UC3625Q</v>
      </c>
      <c r="B27997" s="3" t="s">
        <v>112</v>
      </c>
      <c r="C27997" s="5">
        <v>15</v>
      </c>
      <c r="D27997" s="6">
        <v>17.59</v>
      </c>
    </row>
    <row r="27998" spans="1:4" x14ac:dyDescent="0.25">
      <c r="A27998" t="str">
        <f>HYPERLINK("https://www.773grp.com/globalSearch/UC3875N/page-1", "UC3875N")</f>
        <v>UC3875N</v>
      </c>
      <c r="B27998" s="3" t="s">
        <v>112</v>
      </c>
      <c r="C27998" s="5">
        <v>60</v>
      </c>
      <c r="D27998" s="6">
        <v>18.34</v>
      </c>
    </row>
    <row r="27999" spans="1:4" x14ac:dyDescent="0.25">
      <c r="A27999" t="str">
        <f>HYPERLINK("https://www.773grp.com/globalSearch/UC2875NG4/page-1", "UC2875NG4")</f>
        <v>UC2875NG4</v>
      </c>
      <c r="B27999" s="3" t="s">
        <v>112</v>
      </c>
      <c r="C27999" s="5">
        <v>20</v>
      </c>
      <c r="D27999" s="6">
        <v>19.690000000000001</v>
      </c>
    </row>
    <row r="28000" spans="1:4" x14ac:dyDescent="0.25">
      <c r="A28000" t="str">
        <f>HYPERLINK("https://www.773grp.com/globalSearch/UC3825BN/page-1", "UC3825BN")</f>
        <v>UC3825BN</v>
      </c>
      <c r="B28000" s="3" t="s">
        <v>112</v>
      </c>
      <c r="C28000" s="5">
        <v>25</v>
      </c>
      <c r="D28000" s="6">
        <v>20.09</v>
      </c>
    </row>
    <row r="28001" spans="1:4" x14ac:dyDescent="0.25">
      <c r="A28001" t="str">
        <f>HYPERLINK("https://www.773grp.com/globalSearch/UC3825BN/page-1", "UC3825BN")</f>
        <v>UC3825BN</v>
      </c>
      <c r="B28001" s="3" t="s">
        <v>112</v>
      </c>
      <c r="C28001" s="5">
        <v>15</v>
      </c>
      <c r="D28001" s="6">
        <v>20.09</v>
      </c>
    </row>
    <row r="28002" spans="1:4" x14ac:dyDescent="0.25">
      <c r="A28002" t="str">
        <f>HYPERLINK("https://www.773grp.com/globalSearch/UC3877DWP-81403/page-1", "UC3877DWP-81403")</f>
        <v>UC3877DWP-81403</v>
      </c>
      <c r="B28002" s="3" t="s">
        <v>112</v>
      </c>
      <c r="C28002" s="5">
        <v>120</v>
      </c>
      <c r="D28002" s="6">
        <v>21.04</v>
      </c>
    </row>
    <row r="28003" spans="1:4" x14ac:dyDescent="0.25">
      <c r="A28003" t="str">
        <f>HYPERLINK("https://www.773grp.com/globalSearch/UC3877DWP-81420/page-1", "UC3877DWP-81420")</f>
        <v>UC3877DWP-81420</v>
      </c>
      <c r="B28003" s="3" t="s">
        <v>112</v>
      </c>
      <c r="C28003" s="5">
        <v>560</v>
      </c>
      <c r="D28003" s="6">
        <v>21.04</v>
      </c>
    </row>
    <row r="28004" spans="1:4" x14ac:dyDescent="0.25">
      <c r="A28004" t="str">
        <f>HYPERLINK("https://www.773grp.com/globalSearch/UC3877DWPTR-81403/page-1", "UC3877DWPTR-81403")</f>
        <v>UC3877DWPTR-81403</v>
      </c>
      <c r="B28004" s="3" t="s">
        <v>112</v>
      </c>
      <c r="C28004" s="5">
        <v>1000</v>
      </c>
      <c r="D28004" s="6">
        <v>22.08</v>
      </c>
    </row>
    <row r="28005" spans="1:4" x14ac:dyDescent="0.25">
      <c r="A28005" t="str">
        <f>HYPERLINK("https://www.773grp.com/globalSearch/UC3877DWPTR-81420/page-1", "UC3877DWPTR-81420")</f>
        <v>UC3877DWPTR-81420</v>
      </c>
      <c r="B28005" s="3" t="s">
        <v>112</v>
      </c>
      <c r="C28005" s="5">
        <v>3000</v>
      </c>
      <c r="D28005" s="6">
        <v>22.08</v>
      </c>
    </row>
    <row r="28006" spans="1:4" x14ac:dyDescent="0.25">
      <c r="A28006" t="str">
        <f>HYPERLINK("https://www.773grp.com/globalSearch/UC2855ADW/page-1", "UC2855ADW")</f>
        <v>UC2855ADW</v>
      </c>
      <c r="B28006" s="3" t="s">
        <v>112</v>
      </c>
      <c r="C28006" s="5">
        <v>25</v>
      </c>
      <c r="D28006" s="6">
        <v>22.5</v>
      </c>
    </row>
    <row r="28007" spans="1:4" x14ac:dyDescent="0.25">
      <c r="A28007" t="str">
        <f>HYPERLINK("https://www.773grp.com/globalSearch/UC1843J-80527/page-1", "UC1843J-80527")</f>
        <v>UC1843J-80527</v>
      </c>
      <c r="B28007" s="3" t="s">
        <v>112</v>
      </c>
      <c r="C28007" s="5">
        <v>1</v>
      </c>
      <c r="D28007" s="6">
        <v>23.85</v>
      </c>
    </row>
    <row r="28008" spans="1:4" x14ac:dyDescent="0.25">
      <c r="A28008" t="str">
        <f>HYPERLINK("https://www.773grp.com/globalSearch/UC3823AN/page-1", "UC3823AN")</f>
        <v>UC3823AN</v>
      </c>
      <c r="B28008" s="3" t="s">
        <v>112</v>
      </c>
      <c r="C28008" s="5">
        <v>25</v>
      </c>
      <c r="D28008" s="6">
        <v>24.01</v>
      </c>
    </row>
    <row r="28009" spans="1:4" x14ac:dyDescent="0.25">
      <c r="A28009" t="str">
        <f>HYPERLINK("https://www.773grp.com/globalSearch/UCC2626DW/page-1", "UCC2626DW")</f>
        <v>UCC2626DW</v>
      </c>
      <c r="B28009" s="3" t="s">
        <v>112</v>
      </c>
      <c r="C28009" s="5">
        <v>33</v>
      </c>
      <c r="D28009" s="6">
        <v>26.71</v>
      </c>
    </row>
    <row r="28010" spans="1:4" x14ac:dyDescent="0.25">
      <c r="A28010" t="str">
        <f>HYPERLINK("https://www.773grp.com/globalSearch/UC1834J-80123/page-1", "UC1834J-80123")</f>
        <v>UC1834J-80123</v>
      </c>
      <c r="B28010" s="3" t="s">
        <v>112</v>
      </c>
      <c r="C28010" s="5">
        <v>19</v>
      </c>
      <c r="D28010" s="6">
        <v>28.58</v>
      </c>
    </row>
    <row r="28011" spans="1:4" x14ac:dyDescent="0.25">
      <c r="A28011" t="str">
        <f>HYPERLINK("https://www.773grp.com/globalSearch/UC1701L-81032/page-1", "UC1701L-81032")</f>
        <v>UC1701L-81032</v>
      </c>
      <c r="B28011" s="3" t="s">
        <v>112</v>
      </c>
      <c r="C28011" s="5">
        <v>139</v>
      </c>
      <c r="D28011" s="6">
        <v>44.75</v>
      </c>
    </row>
    <row r="28012" spans="1:4" x14ac:dyDescent="0.25">
      <c r="A28012" t="str">
        <f>HYPERLINK("https://www.773grp.com/globalSearch/UC1524AH-80105/page-1", "UC1524AH-80105")</f>
        <v>UC1524AH-80105</v>
      </c>
      <c r="B28012" s="3" t="s">
        <v>112</v>
      </c>
      <c r="C28012" s="5">
        <v>57</v>
      </c>
      <c r="D28012" s="6">
        <v>49.41</v>
      </c>
    </row>
    <row r="28013" spans="1:4" x14ac:dyDescent="0.25">
      <c r="A28013" t="str">
        <f>HYPERLINK("https://www.773grp.com/globalSearch/UC1524AJ-80839/page-1", "UC1524AJ-80839")</f>
        <v>UC1524AJ-80839</v>
      </c>
      <c r="B28013" s="3" t="s">
        <v>112</v>
      </c>
      <c r="C28013" s="5">
        <v>75</v>
      </c>
      <c r="D28013" s="6">
        <v>49.41</v>
      </c>
    </row>
    <row r="28014" spans="1:4" x14ac:dyDescent="0.25">
      <c r="A28014" t="str">
        <f>HYPERLINK("https://www.773grp.com/globalSearch/UC1845L-80597/page-1", "UC1845L-80597")</f>
        <v>UC1845L-80597</v>
      </c>
      <c r="B28014" s="3" t="s">
        <v>112</v>
      </c>
      <c r="C28014" s="5">
        <v>366</v>
      </c>
      <c r="D28014" s="6">
        <v>51.44</v>
      </c>
    </row>
    <row r="28015" spans="1:4" x14ac:dyDescent="0.25">
      <c r="A28015" t="str">
        <f>HYPERLINK("https://www.773grp.com/globalSearch/UC1526AL-81077/page-1", "UC1526AL-81077")</f>
        <v>UC1526AL-81077</v>
      </c>
      <c r="B28015" s="3" t="s">
        <v>112</v>
      </c>
      <c r="C28015" s="5">
        <v>499</v>
      </c>
      <c r="D28015" s="6">
        <v>65.78</v>
      </c>
    </row>
    <row r="28016" spans="1:4" x14ac:dyDescent="0.25">
      <c r="A28016" t="str">
        <f>HYPERLINK("https://www.773grp.com/globalSearch/UC1825L-80394/page-1", "UC1825L-80394")</f>
        <v>UC1825L-80394</v>
      </c>
      <c r="B28016" s="3" t="s">
        <v>112</v>
      </c>
      <c r="C28016" s="5">
        <v>12</v>
      </c>
      <c r="D28016" s="6">
        <v>66.11</v>
      </c>
    </row>
    <row r="28017" spans="1:4" x14ac:dyDescent="0.25">
      <c r="A28017" t="str">
        <f>HYPERLINK("https://www.773grp.com/globalSearch/UC1834J-80259/page-1", "UC1834J-80259")</f>
        <v>UC1834J-80259</v>
      </c>
      <c r="B28017" s="3" t="s">
        <v>112</v>
      </c>
      <c r="C28017" s="5">
        <v>100</v>
      </c>
      <c r="D28017" s="6">
        <v>114.3</v>
      </c>
    </row>
    <row r="28018" spans="1:4" x14ac:dyDescent="0.25">
      <c r="A28018" t="str">
        <f>HYPERLINK("https://www.773grp.com/globalSearch/UC1526AJ-80516/page-1", "UC1526AJ-80516")</f>
        <v>UC1526AJ-80516</v>
      </c>
      <c r="B28018" s="3" t="s">
        <v>112</v>
      </c>
      <c r="C28018" s="5">
        <v>118</v>
      </c>
      <c r="D28018" s="6">
        <v>140.24</v>
      </c>
    </row>
    <row r="28019" spans="1:4" x14ac:dyDescent="0.25">
      <c r="A28019" t="str">
        <f>HYPERLINK("https://www.773grp.com/globalSearch/PAL16L8A2CN/page-1", "PAL16L8A2CN")</f>
        <v>PAL16L8A2CN</v>
      </c>
      <c r="B28019" s="3" t="s">
        <v>113</v>
      </c>
      <c r="C28019" s="5">
        <v>2</v>
      </c>
      <c r="D28019" s="6">
        <v>2.95</v>
      </c>
    </row>
    <row r="28020" spans="1:4" x14ac:dyDescent="0.25">
      <c r="A28020" t="str">
        <f>HYPERLINK("https://www.773grp.com/globalSearch/PAL16L8A2CNL/page-1", "PAL16L8A2CNL")</f>
        <v>PAL16L8A2CNL</v>
      </c>
      <c r="B28020" s="3" t="s">
        <v>113</v>
      </c>
      <c r="C28020" s="5">
        <v>383</v>
      </c>
      <c r="D28020" s="6">
        <v>3.04</v>
      </c>
    </row>
    <row r="28021" spans="1:4" x14ac:dyDescent="0.25">
      <c r="A28021" t="str">
        <f>HYPERLINK("https://www.773grp.com/globalSearch/PAL16L8B2CNL/page-1", "PAL16L8B2CNL")</f>
        <v>PAL16L8B2CNL</v>
      </c>
      <c r="B28021" s="3" t="s">
        <v>113</v>
      </c>
      <c r="C28021" s="5">
        <v>961</v>
      </c>
      <c r="D28021" s="6">
        <v>3.04</v>
      </c>
    </row>
    <row r="28022" spans="1:4" x14ac:dyDescent="0.25">
      <c r="A28022" t="str">
        <f>HYPERLINK("https://www.773grp.com/globalSearch/PAL16R6A2CNL/page-1", "PAL16R6A2CNL")</f>
        <v>PAL16R6A2CNL</v>
      </c>
      <c r="B28022" s="3" t="s">
        <v>113</v>
      </c>
      <c r="C28022" s="5">
        <v>729</v>
      </c>
      <c r="D28022" s="6">
        <v>3.04</v>
      </c>
    </row>
    <row r="28023" spans="1:4" x14ac:dyDescent="0.25">
      <c r="A28023" t="str">
        <f>HYPERLINK("https://www.773grp.com/globalSearch/PAL16R8B2CN/page-1", "PAL16R8B2CN")</f>
        <v>PAL16R8B2CN</v>
      </c>
      <c r="B28023" s="3" t="s">
        <v>113</v>
      </c>
      <c r="C28023" s="5">
        <v>7606</v>
      </c>
      <c r="D28023" s="6">
        <v>3.04</v>
      </c>
    </row>
    <row r="28024" spans="1:4" x14ac:dyDescent="0.25">
      <c r="A28024" t="str">
        <f>HYPERLINK("https://www.773grp.com/globalSearch/PAL16R4B2CN/page-1", "PAL16R4B2CN")</f>
        <v>PAL16R4B2CN</v>
      </c>
      <c r="B28024" s="3" t="s">
        <v>113</v>
      </c>
      <c r="C28024" s="5">
        <v>1889</v>
      </c>
      <c r="D28024" s="6">
        <v>4.05</v>
      </c>
    </row>
    <row r="28025" spans="1:4" x14ac:dyDescent="0.25">
      <c r="A28025" t="str">
        <f>HYPERLINK("https://www.773grp.com/globalSearch/PAL16R6A2CN/page-1", "PAL16R6A2CN")</f>
        <v>PAL16R6A2CN</v>
      </c>
      <c r="B28025" s="3" t="s">
        <v>113</v>
      </c>
      <c r="C28025" s="5">
        <v>7004</v>
      </c>
      <c r="D28025" s="6">
        <v>4.05</v>
      </c>
    </row>
    <row r="28026" spans="1:4" x14ac:dyDescent="0.25">
      <c r="A28026" t="str">
        <f>HYPERLINK("https://www.773grp.com/globalSearch/PAL16R6B2CN/page-1", "PAL16R6B2CN")</f>
        <v>PAL16R6B2CN</v>
      </c>
      <c r="B28026" s="3" t="s">
        <v>113</v>
      </c>
      <c r="C28026" s="5">
        <v>630</v>
      </c>
      <c r="D28026" s="6">
        <v>4.05</v>
      </c>
    </row>
    <row r="28027" spans="1:4" x14ac:dyDescent="0.25">
      <c r="A28027" t="str">
        <f>HYPERLINK("https://www.773grp.com/globalSearch/PAL16R8A2CNL/page-1", "PAL16R8A2CNL")</f>
        <v>PAL16R8A2CNL</v>
      </c>
      <c r="B28027" s="3" t="s">
        <v>113</v>
      </c>
      <c r="C28027" s="5">
        <v>392</v>
      </c>
      <c r="D28027" s="6">
        <v>4.1900000000000004</v>
      </c>
    </row>
    <row r="28028" spans="1:4" x14ac:dyDescent="0.25">
      <c r="A28028" t="str">
        <f>HYPERLINK("https://www.773grp.com/globalSearch/PAL16R8B2CNL/page-1", "PAL16R8B2CNL")</f>
        <v>PAL16R8B2CNL</v>
      </c>
      <c r="B28028" s="3" t="s">
        <v>113</v>
      </c>
      <c r="C28028" s="5">
        <v>384</v>
      </c>
      <c r="D28028" s="6">
        <v>4.1900000000000004</v>
      </c>
    </row>
    <row r="28029" spans="1:4" x14ac:dyDescent="0.25">
      <c r="A28029" t="str">
        <f>HYPERLINK("https://www.773grp.com/globalSearch/PAL16R6B2CNL/page-1", "PAL16R6B2CNL")</f>
        <v>PAL16R6B2CNL</v>
      </c>
      <c r="B28029" s="3" t="s">
        <v>113</v>
      </c>
      <c r="C28029" s="5">
        <v>276</v>
      </c>
      <c r="D28029" s="6">
        <v>4.2300000000000004</v>
      </c>
    </row>
    <row r="28030" spans="1:4" x14ac:dyDescent="0.25">
      <c r="A28030" t="str">
        <f>HYPERLINK("https://www.773grp.com/globalSearch/PAL20L8B2CNS/page-1", "PAL20L8B2CNS")</f>
        <v>PAL20L8B2CNS</v>
      </c>
      <c r="B28030" s="3" t="s">
        <v>113</v>
      </c>
      <c r="C28030" s="5">
        <v>1666</v>
      </c>
      <c r="D28030" s="6">
        <v>4.2300000000000004</v>
      </c>
    </row>
    <row r="28031" spans="1:4" x14ac:dyDescent="0.25">
      <c r="A28031" t="str">
        <f>HYPERLINK("https://www.773grp.com/globalSearch/PAL20R4B2CNS/page-1", "PAL20R4B2CNS")</f>
        <v>PAL20R4B2CNS</v>
      </c>
      <c r="B28031" s="3" t="s">
        <v>113</v>
      </c>
      <c r="C28031" s="5">
        <v>9</v>
      </c>
      <c r="D28031" s="6">
        <v>4.2300000000000004</v>
      </c>
    </row>
    <row r="28032" spans="1:4" x14ac:dyDescent="0.25">
      <c r="A28032" t="str">
        <f>HYPERLINK("https://www.773grp.com/globalSearch/PAL20R6A2CNS/page-1", "PAL20R6A2CNS")</f>
        <v>PAL20R6A2CNS</v>
      </c>
      <c r="B28032" s="3" t="s">
        <v>113</v>
      </c>
      <c r="C28032" s="5">
        <v>610</v>
      </c>
      <c r="D28032" s="6">
        <v>4.2300000000000004</v>
      </c>
    </row>
    <row r="28033" spans="1:4" x14ac:dyDescent="0.25">
      <c r="A28033" t="str">
        <f>HYPERLINK("https://www.773grp.com/globalSearch/PAL20R6B2CNS/page-1", "PAL20R6B2CNS")</f>
        <v>PAL20R6B2CNS</v>
      </c>
      <c r="B28033" s="3" t="s">
        <v>113</v>
      </c>
      <c r="C28033" s="5">
        <v>206</v>
      </c>
      <c r="D28033" s="6">
        <v>4.2300000000000004</v>
      </c>
    </row>
    <row r="28034" spans="1:4" x14ac:dyDescent="0.25">
      <c r="A28034" t="str">
        <f>HYPERLINK("https://www.773grp.com/globalSearch/PAL16R6CN/page-1", "PAL16R6CN")</f>
        <v>PAL16R6CN</v>
      </c>
      <c r="B28034" s="3" t="s">
        <v>113</v>
      </c>
      <c r="C28034" s="5">
        <v>1745</v>
      </c>
      <c r="D28034" s="6">
        <v>5.63</v>
      </c>
    </row>
    <row r="28035" spans="1:4" x14ac:dyDescent="0.25">
      <c r="A28035" t="str">
        <f>HYPERLINK("https://www.773grp.com/globalSearch/PAL16R8CN/page-1", "PAL16R8CN")</f>
        <v>PAL16R8CN</v>
      </c>
      <c r="B28035" s="3" t="s">
        <v>113</v>
      </c>
      <c r="C28035" s="5">
        <v>3916</v>
      </c>
      <c r="D28035" s="6">
        <v>5.63</v>
      </c>
    </row>
    <row r="28036" spans="1:4" x14ac:dyDescent="0.25">
      <c r="A28036" t="str">
        <f>HYPERLINK("https://www.773grp.com/globalSearch/PAL20R4A2CNS/page-1", "PAL20R4A2CNS")</f>
        <v>PAL20R4A2CNS</v>
      </c>
      <c r="B28036" s="3" t="s">
        <v>113</v>
      </c>
      <c r="C28036" s="5">
        <v>176</v>
      </c>
      <c r="D28036" s="6">
        <v>6.61</v>
      </c>
    </row>
    <row r="28037" spans="1:4" x14ac:dyDescent="0.25">
      <c r="A28037" t="str">
        <f>HYPERLINK("https://www.773grp.com/globalSearch/PAL20R8A2CNS/page-1", "PAL20R8A2CNS")</f>
        <v>PAL20R8A2CNS</v>
      </c>
      <c r="B28037" s="3" t="s">
        <v>113</v>
      </c>
      <c r="C28037" s="5">
        <v>28</v>
      </c>
      <c r="D28037" s="6">
        <v>6.61</v>
      </c>
    </row>
    <row r="28038" spans="1:4" x14ac:dyDescent="0.25">
      <c r="A28038" t="str">
        <f>HYPERLINK("https://www.773grp.com/globalSearch/PAL20R8B2CNS/page-1", "PAL20R8B2CNS")</f>
        <v>PAL20R8B2CNS</v>
      </c>
      <c r="B28038" s="3" t="s">
        <v>113</v>
      </c>
      <c r="C28038" s="5">
        <v>667</v>
      </c>
      <c r="D28038" s="6">
        <v>6.61</v>
      </c>
    </row>
    <row r="28039" spans="1:4" x14ac:dyDescent="0.25">
      <c r="A28039" t="str">
        <f>HYPERLINK("https://www.773grp.com/globalSearch/PAL16R4B2CNL/page-1", "PAL16R4B2CNL")</f>
        <v>PAL16R4B2CNL</v>
      </c>
      <c r="B28039" s="3" t="s">
        <v>113</v>
      </c>
      <c r="C28039" s="5">
        <v>2543</v>
      </c>
      <c r="D28039" s="6">
        <v>6.75</v>
      </c>
    </row>
    <row r="28040" spans="1:4" x14ac:dyDescent="0.25">
      <c r="A28040" t="str">
        <f>HYPERLINK("https://www.773grp.com/globalSearch/PAL20R4A2CNL/page-1", "PAL20R4A2CNL")</f>
        <v>PAL20R4A2CNL</v>
      </c>
      <c r="B28040" s="3" t="s">
        <v>113</v>
      </c>
      <c r="C28040" s="5">
        <v>821</v>
      </c>
      <c r="D28040" s="6">
        <v>6.75</v>
      </c>
    </row>
    <row r="28041" spans="1:4" x14ac:dyDescent="0.25">
      <c r="A28041" t="str">
        <f>HYPERLINK("https://www.773grp.com/globalSearch/PAL20R8A2CNL/page-1", "PAL20R8A2CNL")</f>
        <v>PAL20R8A2CNL</v>
      </c>
      <c r="B28041" s="3" t="s">
        <v>113</v>
      </c>
      <c r="C28041" s="5">
        <v>232</v>
      </c>
      <c r="D28041" s="6">
        <v>6.75</v>
      </c>
    </row>
    <row r="28042" spans="1:4" x14ac:dyDescent="0.25">
      <c r="A28042" t="str">
        <f>HYPERLINK("https://www.773grp.com/globalSearch/PAL16R4B4CN/page-1", "PAL16R4B4CN")</f>
        <v>PAL16R4B4CN</v>
      </c>
      <c r="B28042" s="3" t="s">
        <v>113</v>
      </c>
      <c r="C28042" s="5">
        <v>11</v>
      </c>
      <c r="D28042" s="6">
        <v>10.55</v>
      </c>
    </row>
    <row r="28043" spans="1:4" x14ac:dyDescent="0.25">
      <c r="A28043" t="str">
        <f>HYPERLINK("https://www.773grp.com/globalSearch/PAL16R4CN/page-1", "PAL16R4CN")</f>
        <v>PAL16R4CN</v>
      </c>
      <c r="B28043" s="3" t="s">
        <v>113</v>
      </c>
      <c r="C28043" s="5">
        <v>1629</v>
      </c>
      <c r="D28043" s="6">
        <v>10.55</v>
      </c>
    </row>
    <row r="28044" spans="1:4" x14ac:dyDescent="0.25">
      <c r="A28044" t="str">
        <f>HYPERLINK("https://www.773grp.com/globalSearch/PAL16R6B4CN/page-1", "PAL16R6B4CN")</f>
        <v>PAL16R6B4CN</v>
      </c>
      <c r="B28044" s="3" t="s">
        <v>113</v>
      </c>
      <c r="C28044" s="5">
        <v>4581</v>
      </c>
      <c r="D28044" s="6">
        <v>10.55</v>
      </c>
    </row>
    <row r="28045" spans="1:4" x14ac:dyDescent="0.25">
      <c r="A28045" t="str">
        <f>HYPERLINK("https://www.773grp.com/globalSearch/PAL16L8CJ/page-1", "PAL16L8CJ")</f>
        <v>PAL16L8CJ</v>
      </c>
      <c r="B28045" s="3" t="s">
        <v>113</v>
      </c>
      <c r="C28045" s="5">
        <v>393</v>
      </c>
      <c r="D28045" s="6">
        <v>12.94</v>
      </c>
    </row>
    <row r="28046" spans="1:4" x14ac:dyDescent="0.25">
      <c r="A28046" t="str">
        <f>HYPERLINK("https://www.773grp.com/globalSearch/PAL16L8CNL/page-1", "PAL16L8CNL")</f>
        <v>PAL16L8CNL</v>
      </c>
      <c r="B28046" s="3" t="s">
        <v>113</v>
      </c>
      <c r="C28046" s="5">
        <v>130</v>
      </c>
      <c r="D28046" s="6">
        <v>12.94</v>
      </c>
    </row>
    <row r="28047" spans="1:4" x14ac:dyDescent="0.25">
      <c r="A28047" t="str">
        <f>HYPERLINK("https://www.773grp.com/globalSearch/PAL16R4CJ/page-1", "PAL16R4CJ")</f>
        <v>PAL16R4CJ</v>
      </c>
      <c r="B28047" s="3" t="s">
        <v>113</v>
      </c>
      <c r="C28047" s="5">
        <v>532</v>
      </c>
      <c r="D28047" s="6">
        <v>12.94</v>
      </c>
    </row>
    <row r="28048" spans="1:4" x14ac:dyDescent="0.25">
      <c r="A28048" t="str">
        <f>HYPERLINK("https://www.773grp.com/globalSearch/PAL16R6A2CJ/page-1", "PAL16R6A2CJ")</f>
        <v>PAL16R6A2CJ</v>
      </c>
      <c r="B28048" s="3" t="s">
        <v>113</v>
      </c>
      <c r="C28048" s="5">
        <v>973</v>
      </c>
      <c r="D28048" s="6">
        <v>12.94</v>
      </c>
    </row>
    <row r="28049" spans="1:4" x14ac:dyDescent="0.25">
      <c r="A28049" t="str">
        <f>HYPERLINK("https://www.773grp.com/globalSearch/PAL16L8B2CJ/page-1", "PAL16L8B2CJ")</f>
        <v>PAL16L8B2CJ</v>
      </c>
      <c r="B28049" s="3" t="s">
        <v>113</v>
      </c>
      <c r="C28049" s="5">
        <v>4</v>
      </c>
      <c r="D28049" s="6">
        <v>14.06</v>
      </c>
    </row>
    <row r="28050" spans="1:4" x14ac:dyDescent="0.25">
      <c r="A28050" t="str">
        <f>HYPERLINK("https://www.773grp.com/globalSearch/PAL20L8B2CFN/page-1", "PAL20L8B2CFN")</f>
        <v>PAL20L8B2CFN</v>
      </c>
      <c r="B28050" s="3" t="s">
        <v>113</v>
      </c>
      <c r="C28050" s="5">
        <v>462</v>
      </c>
      <c r="D28050" s="6">
        <v>21.1</v>
      </c>
    </row>
    <row r="28051" spans="1:4" x14ac:dyDescent="0.25">
      <c r="A28051" t="str">
        <f>HYPERLINK("https://www.773grp.com/globalSearch/PAL20R4B2CFN/page-1", "PAL20R4B2CFN")</f>
        <v>PAL20R4B2CFN</v>
      </c>
      <c r="B28051" s="3" t="s">
        <v>113</v>
      </c>
      <c r="C28051" s="5">
        <v>282</v>
      </c>
      <c r="D28051" s="6">
        <v>21.1</v>
      </c>
    </row>
    <row r="28052" spans="1:4" x14ac:dyDescent="0.25">
      <c r="A28052" t="str">
        <f>HYPERLINK("https://www.773grp.com/globalSearch/PAL16L8B4CNL/page-1", "PAL16L8B4CNL")</f>
        <v>PAL16L8B4CNL</v>
      </c>
      <c r="B28052" s="3" t="s">
        <v>113</v>
      </c>
      <c r="C28052" s="5">
        <v>7855</v>
      </c>
      <c r="D28052" s="6">
        <v>22.91</v>
      </c>
    </row>
    <row r="28053" spans="1:4" x14ac:dyDescent="0.25">
      <c r="A28053" t="str">
        <f>HYPERLINK("https://www.773grp.com/globalSearch/PAL16R4B4CNL/page-1", "PAL16R4B4CNL")</f>
        <v>PAL16R4B4CNL</v>
      </c>
      <c r="B28053" s="3" t="s">
        <v>113</v>
      </c>
      <c r="C28053" s="5">
        <v>339</v>
      </c>
      <c r="D28053" s="6">
        <v>22.91</v>
      </c>
    </row>
    <row r="28054" spans="1:4" x14ac:dyDescent="0.25">
      <c r="A28054" t="str">
        <f>HYPERLINK("https://www.773grp.com/globalSearch/PAL16R6B4CNL/page-1", "PAL16R6B4CNL")</f>
        <v>PAL16R6B4CNL</v>
      </c>
      <c r="B28054" s="3" t="s">
        <v>113</v>
      </c>
      <c r="C28054" s="5">
        <v>1604</v>
      </c>
      <c r="D28054" s="6">
        <v>22.91</v>
      </c>
    </row>
    <row r="28055" spans="1:4" x14ac:dyDescent="0.25">
      <c r="A28055" t="str">
        <f>HYPERLINK("https://www.773grp.com/globalSearch/PAL16R8B4CNL/page-1", "PAL16R8B4CNL")</f>
        <v>PAL16R8B4CNL</v>
      </c>
      <c r="B28055" s="3" t="s">
        <v>113</v>
      </c>
      <c r="C28055" s="5">
        <v>718</v>
      </c>
      <c r="D28055" s="6">
        <v>22.91</v>
      </c>
    </row>
    <row r="28056" spans="1:4" x14ac:dyDescent="0.25">
      <c r="A28056" t="str">
        <f>HYPERLINK("https://www.773grp.com/globalSearch/PAL20L8A2CNL/page-1", "PAL20L8A2CNL")</f>
        <v>PAL20L8A2CNL</v>
      </c>
      <c r="B28056" s="3" t="s">
        <v>113</v>
      </c>
      <c r="C28056" s="5">
        <v>21</v>
      </c>
      <c r="D28056" s="6">
        <v>23.63</v>
      </c>
    </row>
    <row r="28057" spans="1:4" x14ac:dyDescent="0.25">
      <c r="A28057" t="str">
        <f>HYPERLINK("https://www.773grp.com/globalSearch/PAL16R8B4CJ/page-1", "PAL16R8B4CJ")</f>
        <v>PAL16R8B4CJ</v>
      </c>
      <c r="B28057" s="3" t="s">
        <v>113</v>
      </c>
      <c r="C28057" s="5">
        <v>615</v>
      </c>
      <c r="D28057" s="6">
        <v>26.29</v>
      </c>
    </row>
    <row r="28058" spans="1:4" x14ac:dyDescent="0.25">
      <c r="A28058" t="str">
        <f>HYPERLINK("https://www.773grp.com/globalSearch/PAL20L8BCFN/page-1", "PAL20L8BCFN")</f>
        <v>PAL20L8BCFN</v>
      </c>
      <c r="B28058" s="3" t="s">
        <v>113</v>
      </c>
      <c r="C28058" s="5">
        <v>12065</v>
      </c>
      <c r="D28058" s="6">
        <v>28.13</v>
      </c>
    </row>
    <row r="28059" spans="1:4" x14ac:dyDescent="0.25">
      <c r="A28059" t="str">
        <f>HYPERLINK("https://www.773grp.com/globalSearch/PAL20R4BCFN/page-1", "PAL20R4BCFN")</f>
        <v>PAL20R4BCFN</v>
      </c>
      <c r="B28059" s="3" t="s">
        <v>113</v>
      </c>
      <c r="C28059" s="5">
        <v>1107</v>
      </c>
      <c r="D28059" s="6">
        <v>28.13</v>
      </c>
    </row>
    <row r="28060" spans="1:4" x14ac:dyDescent="0.25">
      <c r="A28060" t="str">
        <f>HYPERLINK("https://www.773grp.com/globalSearch/PAL20R6BCFN/page-1", "PAL20R6BCFN")</f>
        <v>PAL20R6BCFN</v>
      </c>
      <c r="B28060" s="3" t="s">
        <v>113</v>
      </c>
      <c r="C28060" s="5">
        <v>967</v>
      </c>
      <c r="D28060" s="6">
        <v>28.13</v>
      </c>
    </row>
    <row r="28061" spans="1:4" x14ac:dyDescent="0.25">
      <c r="A28061" t="str">
        <f>HYPERLINK("https://www.773grp.com/globalSearch/PAL20R8BCFN/page-1", "PAL20R8BCFN")</f>
        <v>PAL20R8BCFN</v>
      </c>
      <c r="B28061" s="3" t="s">
        <v>113</v>
      </c>
      <c r="C28061" s="5">
        <v>1533</v>
      </c>
      <c r="D28061" s="6">
        <v>28.13</v>
      </c>
    </row>
    <row r="28062" spans="1:4" x14ac:dyDescent="0.25">
      <c r="A28062" t="str">
        <f>HYPERLINK("https://www.773grp.com/globalSearch/MX13202E.2/page-1", "MX13202E.2")</f>
        <v>MX13202E.2</v>
      </c>
      <c r="B28062" s="3" t="s">
        <v>114</v>
      </c>
      <c r="C28062" s="5">
        <v>2500</v>
      </c>
      <c r="D28062" s="6">
        <v>0</v>
      </c>
    </row>
    <row r="28063" spans="1:4" x14ac:dyDescent="0.25">
      <c r="A28063" t="str">
        <f>HYPERLINK("https://www.773grp.com/globalSearch/X28HC256EMB-90/page-1", "X28HC256EMB-90")</f>
        <v>X28HC256EMB-90</v>
      </c>
      <c r="B28063" s="3" t="s">
        <v>114</v>
      </c>
      <c r="C28063" s="5">
        <v>5828</v>
      </c>
      <c r="D28063" s="6">
        <v>0</v>
      </c>
    </row>
    <row r="28064" spans="1:4" x14ac:dyDescent="0.25">
      <c r="A28064" t="str">
        <f>HYPERLINK("https://www.773grp.com/globalSearch/X9015USB/page-1", "X9015USB")</f>
        <v>X9015USB</v>
      </c>
      <c r="B28064" s="3" t="s">
        <v>114</v>
      </c>
      <c r="C28064" s="5">
        <v>100</v>
      </c>
      <c r="D28064" s="6">
        <v>0</v>
      </c>
    </row>
    <row r="28065" spans="1:4" x14ac:dyDescent="0.25">
      <c r="A28065" t="str">
        <f>HYPERLINK("https://www.773grp.com/globalSearch/X9259UV24IZR5279/page-1", "X9259UV24IZR5279")</f>
        <v>X9259UV24IZR5279</v>
      </c>
      <c r="B28065" s="3" t="s">
        <v>114</v>
      </c>
      <c r="C28065" s="5">
        <v>496</v>
      </c>
      <c r="D28065" s="6">
        <v>0</v>
      </c>
    </row>
    <row r="28066" spans="1:4" x14ac:dyDescent="0.25">
      <c r="A28066" t="str">
        <f>HYPERLINK("https://www.773grp.com/globalSearch/X9269US24I-T-R/page-1", "X9269US24I-T-R")</f>
        <v>X9269US24I-T-R</v>
      </c>
      <c r="B28066" s="3" t="s">
        <v>114</v>
      </c>
      <c r="C28066" s="5">
        <v>60</v>
      </c>
      <c r="D28066" s="6">
        <v>0</v>
      </c>
    </row>
    <row r="28067" spans="1:4" x14ac:dyDescent="0.25">
      <c r="A28067" t="str">
        <f>HYPERLINK("https://www.773grp.com/globalSearch/X9317ZV81-2.7/page-1", "X9317ZV81-2.7")</f>
        <v>X9317ZV81-2.7</v>
      </c>
      <c r="B28067" s="3" t="s">
        <v>114</v>
      </c>
      <c r="C28067" s="5">
        <v>95</v>
      </c>
      <c r="D28067" s="6">
        <v>0</v>
      </c>
    </row>
    <row r="28068" spans="1:4" x14ac:dyDescent="0.25">
      <c r="A28068" t="str">
        <f>HYPERLINK("https://www.773grp.com/globalSearch/X9C503SIC7884/page-1", "X9C503SIC7884")</f>
        <v>X9C503SIC7884</v>
      </c>
      <c r="B28068" s="3" t="s">
        <v>114</v>
      </c>
      <c r="C28068" s="5">
        <v>2095</v>
      </c>
      <c r="D28068" s="6">
        <v>0</v>
      </c>
    </row>
    <row r="28069" spans="1:4" x14ac:dyDescent="0.25">
      <c r="A28069" t="str">
        <f>HYPERLINK("https://www.773grp.com/globalSearch/X9C503SIC7928/page-1", "X9C503SIC7928")</f>
        <v>X9C503SIC7928</v>
      </c>
      <c r="B28069" s="3" t="s">
        <v>114</v>
      </c>
      <c r="C28069" s="5">
        <v>2128</v>
      </c>
      <c r="D28069" s="6">
        <v>0</v>
      </c>
    </row>
    <row r="28070" spans="1:4" x14ac:dyDescent="0.25">
      <c r="A28070" t="str">
        <f>HYPERLINK("https://www.773grp.com/globalSearch/X9C503SIT2C7928/page-1", "X9C503SIT2C7928")</f>
        <v>X9C503SIT2C7928</v>
      </c>
      <c r="B28070" s="3" t="s">
        <v>114</v>
      </c>
      <c r="C28070" s="5">
        <v>5000</v>
      </c>
      <c r="D28070" s="6">
        <v>0</v>
      </c>
    </row>
    <row r="28071" spans="1:4" x14ac:dyDescent="0.25">
      <c r="A28071" t="str">
        <f>HYPERLINK("https://www.773grp.com/globalSearch/X40011S8IA/page-1", "X40011S8IA")</f>
        <v>X40011S8IA</v>
      </c>
      <c r="B28071" s="3" t="s">
        <v>114</v>
      </c>
      <c r="C28071" s="5">
        <v>2417</v>
      </c>
      <c r="D28071" s="6">
        <v>4.5599999999999996</v>
      </c>
    </row>
    <row r="28072" spans="1:4" x14ac:dyDescent="0.25">
      <c r="A28072" t="str">
        <f>HYPERLINK("https://www.773grp.com/globalSearch/X40020S14IA/page-1", "X40020S14IA")</f>
        <v>X40020S14IA</v>
      </c>
      <c r="B28072" s="3" t="s">
        <v>114</v>
      </c>
      <c r="C28072" s="5">
        <v>1433</v>
      </c>
      <c r="D28072" s="6">
        <v>5.31</v>
      </c>
    </row>
    <row r="28073" spans="1:4" x14ac:dyDescent="0.25">
      <c r="A28073" t="str">
        <f>HYPERLINK("https://www.773grp.com/globalSearch/X5043S8I-2.7AC1038/page-1", "X5043S8I-2.7AC1038")</f>
        <v>X5043S8I-2.7AC1038</v>
      </c>
      <c r="B28073" s="3" t="s">
        <v>114</v>
      </c>
      <c r="C28073" s="5">
        <v>14</v>
      </c>
      <c r="D28073" s="6">
        <v>5.79</v>
      </c>
    </row>
    <row r="28074" spans="1:4" x14ac:dyDescent="0.25">
      <c r="A28074" t="str">
        <f>HYPERLINK("https://www.773grp.com/globalSearch/X5045S8I-2.7AC7975/page-1", "X5045S8I-2.7AC7975")</f>
        <v>X5045S8I-2.7AC7975</v>
      </c>
      <c r="B28074" s="3" t="s">
        <v>114</v>
      </c>
      <c r="C28074" s="5">
        <v>13732</v>
      </c>
      <c r="D28074" s="6">
        <v>5.79</v>
      </c>
    </row>
    <row r="28075" spans="1:4" x14ac:dyDescent="0.25">
      <c r="A28075" t="str">
        <f>HYPERLINK("https://www.773grp.com/globalSearch/X5045S8IC7974/page-1", "X5045S8IC7974")</f>
        <v>X5045S8IC7974</v>
      </c>
      <c r="B28075" s="3" t="s">
        <v>114</v>
      </c>
      <c r="C28075" s="5">
        <v>14338</v>
      </c>
      <c r="D28075" s="6">
        <v>5.79</v>
      </c>
    </row>
    <row r="28076" spans="1:4" x14ac:dyDescent="0.25">
      <c r="A28076" t="str">
        <f>HYPERLINK("https://www.773grp.com/globalSearch/X4163P-4.5A/page-1", "X4163P-4.5A")</f>
        <v>X4163P-4.5A</v>
      </c>
      <c r="B28076" s="3" t="s">
        <v>114</v>
      </c>
      <c r="C28076" s="5">
        <v>1742</v>
      </c>
      <c r="D28076" s="6">
        <v>6.04</v>
      </c>
    </row>
    <row r="28077" spans="1:4" x14ac:dyDescent="0.25">
      <c r="A28077" t="str">
        <f>HYPERLINK("https://www.773grp.com/globalSearch/X4165P/page-1", "X4165P")</f>
        <v>X4165P</v>
      </c>
      <c r="B28077" s="3" t="s">
        <v>114</v>
      </c>
      <c r="C28077" s="5">
        <v>4000</v>
      </c>
      <c r="D28077" s="6">
        <v>6.04</v>
      </c>
    </row>
    <row r="28078" spans="1:4" x14ac:dyDescent="0.25">
      <c r="A28078" t="str">
        <f>HYPERLINK("https://www.773grp.com/globalSearch/X4165P-2.7/page-1", "X4165P-2.7")</f>
        <v>X4165P-2.7</v>
      </c>
      <c r="B28078" s="3" t="s">
        <v>114</v>
      </c>
      <c r="C28078" s="5">
        <v>1507</v>
      </c>
      <c r="D28078" s="6">
        <v>6.04</v>
      </c>
    </row>
    <row r="28079" spans="1:4" x14ac:dyDescent="0.25">
      <c r="A28079" t="str">
        <f>HYPERLINK("https://www.773grp.com/globalSearch/X4163PI-2.7/page-1", "X4163PI-2.7")</f>
        <v>X4163PI-2.7</v>
      </c>
      <c r="B28079" s="3" t="s">
        <v>114</v>
      </c>
      <c r="C28079" s="5">
        <v>1452</v>
      </c>
      <c r="D28079" s="6">
        <v>6.3</v>
      </c>
    </row>
    <row r="28080" spans="1:4" x14ac:dyDescent="0.25">
      <c r="A28080" t="str">
        <f>HYPERLINK("https://www.773grp.com/globalSearch/X4165PI/page-1", "X4165PI")</f>
        <v>X4165PI</v>
      </c>
      <c r="B28080" s="3" t="s">
        <v>114</v>
      </c>
      <c r="C28080" s="5">
        <v>2000</v>
      </c>
      <c r="D28080" s="6">
        <v>6.3</v>
      </c>
    </row>
    <row r="28081" spans="1:4" x14ac:dyDescent="0.25">
      <c r="A28081" t="str">
        <f>HYPERLINK("https://www.773grp.com/globalSearch/X4165PI-2.7/page-1", "X4165PI-2.7")</f>
        <v>X4165PI-2.7</v>
      </c>
      <c r="B28081" s="3" t="s">
        <v>114</v>
      </c>
      <c r="C28081" s="5">
        <v>1492</v>
      </c>
      <c r="D28081" s="6">
        <v>6.3</v>
      </c>
    </row>
    <row r="28082" spans="1:4" x14ac:dyDescent="0.25">
      <c r="A28082" t="str">
        <f>HYPERLINK("https://www.773grp.com/globalSearch/X5323S81/page-1", "X5323S81")</f>
        <v>X5323S81</v>
      </c>
      <c r="B28082" s="3" t="s">
        <v>114</v>
      </c>
      <c r="C28082" s="5">
        <v>590</v>
      </c>
      <c r="D28082" s="6">
        <v>6.41</v>
      </c>
    </row>
    <row r="28083" spans="1:4" x14ac:dyDescent="0.25">
      <c r="A28083" t="str">
        <f>HYPERLINK("https://www.773grp.com/globalSearch/X60003CIG3Z-41/page-1", "X60003CIG3Z-41")</f>
        <v>X60003CIG3Z-41</v>
      </c>
      <c r="B28083" s="3" t="s">
        <v>114</v>
      </c>
      <c r="C28083" s="5">
        <v>839</v>
      </c>
      <c r="D28083" s="6">
        <v>6.46</v>
      </c>
    </row>
    <row r="28084" spans="1:4" x14ac:dyDescent="0.25">
      <c r="A28084" t="str">
        <f>HYPERLINK("https://www.773grp.com/globalSearch/X5043M8I-2.7T2/page-1", "X5043M8I-2.7T2")</f>
        <v>X5043M8I-2.7T2</v>
      </c>
      <c r="B28084" s="3" t="s">
        <v>114</v>
      </c>
      <c r="C28084" s="5">
        <v>7800</v>
      </c>
      <c r="D28084" s="6">
        <v>7.18</v>
      </c>
    </row>
    <row r="28085" spans="1:4" x14ac:dyDescent="0.25">
      <c r="A28085" t="str">
        <f>HYPERLINK("https://www.773grp.com/globalSearch/X3100V28T2/page-1", "X3100V28T2")</f>
        <v>X3100V28T2</v>
      </c>
      <c r="B28085" s="3" t="s">
        <v>114</v>
      </c>
      <c r="C28085" s="5">
        <v>142500</v>
      </c>
      <c r="D28085" s="6">
        <v>8.61</v>
      </c>
    </row>
    <row r="28086" spans="1:4" x14ac:dyDescent="0.25">
      <c r="A28086" t="str">
        <f>HYPERLINK("https://www.773grp.com/globalSearch/X3101V28C7988/page-1", "X3101V28C7988")</f>
        <v>X3101V28C7988</v>
      </c>
      <c r="B28086" s="3" t="s">
        <v>114</v>
      </c>
      <c r="C28086" s="5">
        <v>36</v>
      </c>
      <c r="D28086" s="6">
        <v>8.61</v>
      </c>
    </row>
    <row r="28087" spans="1:4" x14ac:dyDescent="0.25">
      <c r="A28087" t="str">
        <f>HYPERLINK("https://www.773grp.com/globalSearch/X5645S14I-2.7/page-1", "X5645S14I-2.7")</f>
        <v>X5645S14I-2.7</v>
      </c>
      <c r="B28087" s="3" t="s">
        <v>114</v>
      </c>
      <c r="C28087" s="5">
        <v>32404</v>
      </c>
      <c r="D28087" s="6">
        <v>13.5</v>
      </c>
    </row>
    <row r="28088" spans="1:4" x14ac:dyDescent="0.25">
      <c r="A28088" t="str">
        <f>HYPERLINK("https://www.773grp.com/globalSearch/X9259UV24IZT2R5279/page-1", "X9259UV24IZT2R5279")</f>
        <v>X9259UV24IZT2R5279</v>
      </c>
      <c r="B28088" s="3" t="s">
        <v>114</v>
      </c>
      <c r="C28088" s="5">
        <v>7500</v>
      </c>
      <c r="D28088" s="6">
        <v>19.2</v>
      </c>
    </row>
    <row r="28089" spans="1:4" x14ac:dyDescent="0.25">
      <c r="A28089" t="str">
        <f>HYPERLINK("https://www.773grp.com/globalSearch/XC17256EL-VO8C0100/page-1", "XC17256EL-VO8C0100")</f>
        <v>XC17256EL-VO8C0100</v>
      </c>
      <c r="B28089" s="3" t="str">
        <f>HYPERLINK("https://www.773grp.com/manufacturer/amd?pageNo=1", "Xilinx")</f>
        <v>Xilinx</v>
      </c>
      <c r="C28089" s="5">
        <v>1500</v>
      </c>
      <c r="D28089" s="6">
        <v>0</v>
      </c>
    </row>
    <row r="28090" spans="1:4" x14ac:dyDescent="0.25">
      <c r="A28090" t="str">
        <f>HYPERLINK("https://www.773grp.com/globalSearch/XC3020-PC84BKI/page-1", "XC3020-PC84BKI")</f>
        <v>XC3020-PC84BKI</v>
      </c>
      <c r="B28090" s="3" t="str">
        <f>HYPERLINK("https://www.773grp.com/manufacturer/amd?pageNo=2", "Xilinx")</f>
        <v>Xilinx</v>
      </c>
      <c r="C28090" s="5">
        <v>134</v>
      </c>
      <c r="D28090" s="6">
        <v>0</v>
      </c>
    </row>
    <row r="28091" spans="1:4" x14ac:dyDescent="0.25">
      <c r="A28091" t="str">
        <f>HYPERLINK("https://www.773grp.com/globalSearch/XC3130-PC44CPH/page-1", "XC3130-PC44CPH")</f>
        <v>XC3130-PC44CPH</v>
      </c>
      <c r="B28091" s="3" t="str">
        <f>HYPERLINK("https://www.773grp.com/manufacturer/amd?pageNo=3", "Xilinx")</f>
        <v>Xilinx</v>
      </c>
      <c r="C28091" s="5">
        <v>792</v>
      </c>
      <c r="D28091" s="6">
        <v>0</v>
      </c>
    </row>
    <row r="28092" spans="1:4" x14ac:dyDescent="0.25">
      <c r="A28092" t="str">
        <f>HYPERLINK("https://www.773grp.com/globalSearch/XC3130-PC68CPH/page-1", "XC3130-PC68CPH")</f>
        <v>XC3130-PC68CPH</v>
      </c>
      <c r="B28092" s="3" t="str">
        <f>HYPERLINK("https://www.773grp.com/manufacturer/amd?pageNo=4", "Xilinx")</f>
        <v>Xilinx</v>
      </c>
      <c r="C28092" s="5">
        <v>2897</v>
      </c>
      <c r="D28092" s="6">
        <v>0</v>
      </c>
    </row>
    <row r="28093" spans="1:4" x14ac:dyDescent="0.25">
      <c r="A28093" t="str">
        <f>HYPERLINK("https://www.773grp.com/globalSearch/XC3130-PC84CPH/page-1", "XC3130-PC84CPH")</f>
        <v>XC3130-PC84CPH</v>
      </c>
      <c r="B28093" s="3" t="str">
        <f>HYPERLINK("https://www.773grp.com/manufacturer/amd?pageNo=5", "Xilinx")</f>
        <v>Xilinx</v>
      </c>
      <c r="C28093" s="5">
        <v>426</v>
      </c>
      <c r="D28093" s="6">
        <v>0</v>
      </c>
    </row>
    <row r="28094" spans="1:4" x14ac:dyDescent="0.25">
      <c r="A28094" t="str">
        <f>HYPERLINK("https://www.773grp.com/globalSearch/XC3130-PG84CPH/page-1", "XC3130-PG84CPH")</f>
        <v>XC3130-PG84CPH</v>
      </c>
      <c r="B28094" s="3" t="str">
        <f>HYPERLINK("https://www.773grp.com/manufacturer/amd?pageNo=6", "Xilinx")</f>
        <v>Xilinx</v>
      </c>
      <c r="C28094" s="5">
        <v>213</v>
      </c>
      <c r="D28094" s="6">
        <v>0</v>
      </c>
    </row>
    <row r="28095" spans="1:4" x14ac:dyDescent="0.25">
      <c r="A28095" t="str">
        <f>HYPERLINK("https://www.773grp.com/globalSearch/XC3130-PQ100CPH/page-1", "XC3130-PQ100CPH")</f>
        <v>XC3130-PQ100CPH</v>
      </c>
      <c r="B28095" s="3" t="str">
        <f>HYPERLINK("https://www.773grp.com/manufacturer/amd?pageNo=7", "Xilinx")</f>
        <v>Xilinx</v>
      </c>
      <c r="C28095" s="5">
        <v>255</v>
      </c>
      <c r="D28095" s="6">
        <v>0</v>
      </c>
    </row>
    <row r="28096" spans="1:4" x14ac:dyDescent="0.25">
      <c r="A28096" t="str">
        <f>HYPERLINK("https://www.773grp.com/globalSearch/XC3130-PQ100IPH/page-1", "XC3130-PQ100IPH")</f>
        <v>XC3130-PQ100IPH</v>
      </c>
      <c r="B28096" s="3" t="str">
        <f>HYPERLINK("https://www.773grp.com/manufacturer/amd?pageNo=8", "Xilinx")</f>
        <v>Xilinx</v>
      </c>
      <c r="C28096" s="5">
        <v>141</v>
      </c>
      <c r="D28096" s="6">
        <v>0</v>
      </c>
    </row>
    <row r="28097" spans="1:4" x14ac:dyDescent="0.25">
      <c r="A28097" t="str">
        <f>HYPERLINK("https://www.773grp.com/globalSearch/XC3142-PG132CPH/page-1", "XC3142-PG132CPH")</f>
        <v>XC3142-PG132CPH</v>
      </c>
      <c r="B28097" s="3" t="str">
        <f>HYPERLINK("https://www.773grp.com/manufacturer/amd?pageNo=9", "Xilinx")</f>
        <v>Xilinx</v>
      </c>
      <c r="C28097" s="5">
        <v>44</v>
      </c>
      <c r="D28097" s="6">
        <v>0</v>
      </c>
    </row>
    <row r="28098" spans="1:4" x14ac:dyDescent="0.25">
      <c r="A28098" t="str">
        <f>HYPERLINK("https://www.773grp.com/globalSearch/XC3142-PG841PH/page-1", "XC3142-PG841PH")</f>
        <v>XC3142-PG841PH</v>
      </c>
      <c r="B28098" s="3" t="str">
        <f>HYPERLINK("https://www.773grp.com/manufacturer/amd?pageNo=10", "Xilinx")</f>
        <v>Xilinx</v>
      </c>
      <c r="C28098" s="5">
        <v>79</v>
      </c>
      <c r="D28098" s="6">
        <v>0</v>
      </c>
    </row>
    <row r="28099" spans="1:4" x14ac:dyDescent="0.25">
      <c r="A28099" t="str">
        <f>HYPERLINK("https://www.773grp.com/globalSearch/XC3142-PG84CPH/page-1", "XC3142-PG84CPH")</f>
        <v>XC3142-PG84CPH</v>
      </c>
      <c r="B28099" s="3" t="str">
        <f>HYPERLINK("https://www.773grp.com/manufacturer/amd?pageNo=11", "Xilinx")</f>
        <v>Xilinx</v>
      </c>
      <c r="C28099" s="5">
        <v>1595</v>
      </c>
      <c r="D28099" s="6">
        <v>0</v>
      </c>
    </row>
    <row r="28100" spans="1:4" x14ac:dyDescent="0.25">
      <c r="A28100" t="str">
        <f>HYPERLINK("https://www.773grp.com/globalSearch/XC3142-PQ100CPH/page-1", "XC3142-PQ100CPH")</f>
        <v>XC3142-PQ100CPH</v>
      </c>
      <c r="B28100" s="3" t="str">
        <f>HYPERLINK("https://www.773grp.com/manufacturer/amd?pageNo=12", "Xilinx")</f>
        <v>Xilinx</v>
      </c>
      <c r="C28100" s="5">
        <v>1941</v>
      </c>
      <c r="D28100" s="6">
        <v>0</v>
      </c>
    </row>
    <row r="28101" spans="1:4" x14ac:dyDescent="0.25">
      <c r="A28101" t="str">
        <f>HYPERLINK("https://www.773grp.com/globalSearch/XC3142-TQ144IPH/page-1", "XC3142-TQ144IPH")</f>
        <v>XC3142-TQ144IPH</v>
      </c>
      <c r="B28101" s="3" t="str">
        <f>HYPERLINK("https://www.773grp.com/manufacturer/amd?pageNo=13", "Xilinx")</f>
        <v>Xilinx</v>
      </c>
      <c r="C28101" s="5">
        <v>440</v>
      </c>
      <c r="D28101" s="6">
        <v>0</v>
      </c>
    </row>
    <row r="28102" spans="1:4" x14ac:dyDescent="0.25">
      <c r="A28102" t="str">
        <f>HYPERLINK("https://www.773grp.com/globalSearch/XC3164-PG132CPH/page-1", "XC3164-PG132CPH")</f>
        <v>XC3164-PG132CPH</v>
      </c>
      <c r="B28102" s="3" t="str">
        <f>HYPERLINK("https://www.773grp.com/manufacturer/amd?pageNo=14", "Xilinx")</f>
        <v>Xilinx</v>
      </c>
      <c r="C28102" s="5">
        <v>302</v>
      </c>
      <c r="D28102" s="6">
        <v>0</v>
      </c>
    </row>
    <row r="28103" spans="1:4" x14ac:dyDescent="0.25">
      <c r="A28103" t="str">
        <f>HYPERLINK("https://www.773grp.com/globalSearch/XC3164-PP132CPH/page-1", "XC3164-PP132CPH")</f>
        <v>XC3164-PP132CPH</v>
      </c>
      <c r="B28103" s="3" t="str">
        <f>HYPERLINK("https://www.773grp.com/manufacturer/amd?pageNo=15", "Xilinx")</f>
        <v>Xilinx</v>
      </c>
      <c r="C28103" s="5">
        <v>362</v>
      </c>
      <c r="D28103" s="6">
        <v>0</v>
      </c>
    </row>
    <row r="28104" spans="1:4" x14ac:dyDescent="0.25">
      <c r="A28104" t="str">
        <f>HYPERLINK("https://www.773grp.com/globalSearch/XC3190-CB164CPH/page-1", "XC3190-CB164CPH")</f>
        <v>XC3190-CB164CPH</v>
      </c>
      <c r="B28104" s="3" t="str">
        <f>HYPERLINK("https://www.773grp.com/manufacturer/amd?pageNo=16", "Xilinx")</f>
        <v>Xilinx</v>
      </c>
      <c r="C28104" s="5">
        <v>416</v>
      </c>
      <c r="D28104" s="6">
        <v>0</v>
      </c>
    </row>
    <row r="28105" spans="1:4" x14ac:dyDescent="0.25">
      <c r="A28105" t="str">
        <f>HYPERLINK("https://www.773grp.com/globalSearch/XC3190-PG175CPH/page-1", "XC3190-PG175CPH")</f>
        <v>XC3190-PG175CPH</v>
      </c>
      <c r="B28105" s="3" t="str">
        <f>HYPERLINK("https://www.773grp.com/manufacturer/amd?pageNo=17", "Xilinx")</f>
        <v>Xilinx</v>
      </c>
      <c r="C28105" s="5">
        <v>1472</v>
      </c>
      <c r="D28105" s="6">
        <v>0</v>
      </c>
    </row>
    <row r="28106" spans="1:4" x14ac:dyDescent="0.25">
      <c r="A28106" t="str">
        <f>HYPERLINK("https://www.773grp.com/globalSearch/XC3190-PG175IPH/page-1", "XC3190-PG175IPH")</f>
        <v>XC3190-PG175IPH</v>
      </c>
      <c r="B28106" s="3" t="str">
        <f>HYPERLINK("https://www.773grp.com/manufacturer/amd?pageNo=18", "Xilinx")</f>
        <v>Xilinx</v>
      </c>
      <c r="C28106" s="5">
        <v>130</v>
      </c>
      <c r="D28106" s="6">
        <v>0</v>
      </c>
    </row>
    <row r="28107" spans="1:4" x14ac:dyDescent="0.25">
      <c r="A28107" t="str">
        <f>HYPERLINK("https://www.773grp.com/globalSearch/XC3190-PP175CPH/page-1", "XC3190-PP175CPH")</f>
        <v>XC3190-PP175CPH</v>
      </c>
      <c r="B28107" s="3" t="str">
        <f>HYPERLINK("https://www.773grp.com/manufacturer/amd?pageNo=19", "Xilinx")</f>
        <v>Xilinx</v>
      </c>
      <c r="C28107" s="5">
        <v>3347</v>
      </c>
      <c r="D28107" s="6">
        <v>0</v>
      </c>
    </row>
    <row r="28108" spans="1:4" x14ac:dyDescent="0.25">
      <c r="A28108" t="str">
        <f>HYPERLINK("https://www.773grp.com/globalSearch/XC3190-PQ160CPH/page-1", "XC3190-PQ160CPH")</f>
        <v>XC3190-PQ160CPH</v>
      </c>
      <c r="B28108" s="3" t="str">
        <f>HYPERLINK("https://www.773grp.com/manufacturer/amd?pageNo=20", "Xilinx")</f>
        <v>Xilinx</v>
      </c>
      <c r="C28108" s="5">
        <v>283</v>
      </c>
      <c r="D28108" s="6">
        <v>0</v>
      </c>
    </row>
    <row r="28109" spans="1:4" x14ac:dyDescent="0.25">
      <c r="A28109" t="str">
        <f>HYPERLINK("https://www.773grp.com/globalSearch/XC3190-PQ160IPH/page-1", "XC3190-PQ160IPH")</f>
        <v>XC3190-PQ160IPH</v>
      </c>
      <c r="B28109" s="3" t="str">
        <f>HYPERLINK("https://www.773grp.com/manufacturer/amd?pageNo=21", "Xilinx")</f>
        <v>Xilinx</v>
      </c>
      <c r="C28109" s="5">
        <v>52</v>
      </c>
      <c r="D28109" s="6">
        <v>0</v>
      </c>
    </row>
    <row r="28110" spans="1:4" x14ac:dyDescent="0.25">
      <c r="A28110" t="str">
        <f>HYPERLINK("https://www.773grp.com/globalSearch/XC3195-PG175CPH/page-1", "XC3195-PG175CPH")</f>
        <v>XC3195-PG175CPH</v>
      </c>
      <c r="B28110" s="3" t="str">
        <f>HYPERLINK("https://www.773grp.com/manufacturer/amd?pageNo=22", "Xilinx")</f>
        <v>Xilinx</v>
      </c>
      <c r="C28110" s="5">
        <v>473</v>
      </c>
      <c r="D28110" s="6">
        <v>0</v>
      </c>
    </row>
    <row r="28111" spans="1:4" x14ac:dyDescent="0.25">
      <c r="A28111" t="str">
        <f>HYPERLINK("https://www.773grp.com/globalSearch/XC3195-PG175IPH/page-1", "XC3195-PG175IPH")</f>
        <v>XC3195-PG175IPH</v>
      </c>
      <c r="B28111" s="3" t="str">
        <f>HYPERLINK("https://www.773grp.com/manufacturer/amd?pageNo=23", "Xilinx")</f>
        <v>Xilinx</v>
      </c>
      <c r="C28111" s="5">
        <v>329</v>
      </c>
      <c r="D28111" s="6">
        <v>0</v>
      </c>
    </row>
    <row r="28112" spans="1:4" x14ac:dyDescent="0.25">
      <c r="A28112" t="str">
        <f>HYPERLINK("https://www.773grp.com/globalSearch/XC3195-PG223CPH/page-1", "XC3195-PG223CPH")</f>
        <v>XC3195-PG223CPH</v>
      </c>
      <c r="B28112" s="3" t="str">
        <f>HYPERLINK("https://www.773grp.com/manufacturer/amd?pageNo=24", "Xilinx")</f>
        <v>Xilinx</v>
      </c>
      <c r="C28112" s="5">
        <v>57</v>
      </c>
      <c r="D28112" s="6">
        <v>0</v>
      </c>
    </row>
    <row r="28113" spans="1:4" x14ac:dyDescent="0.25">
      <c r="A28113" t="str">
        <f>HYPERLINK("https://www.773grp.com/globalSearch/XC3195-PQ208CPH/page-1", "XC3195-PQ208CPH")</f>
        <v>XC3195-PQ208CPH</v>
      </c>
      <c r="B28113" s="3" t="str">
        <f>HYPERLINK("https://www.773grp.com/manufacturer/amd?pageNo=25", "Xilinx")</f>
        <v>Xilinx</v>
      </c>
      <c r="C28113" s="5">
        <v>56</v>
      </c>
      <c r="D28113" s="6">
        <v>0</v>
      </c>
    </row>
    <row r="28114" spans="1:4" x14ac:dyDescent="0.25">
      <c r="A28114" t="str">
        <f>HYPERLINK("https://www.773grp.com/globalSearch/XC4013XL-3PQ160I0630/page-1", "XC4013XL-3PQ160I0630")</f>
        <v>XC4013XL-3PQ160I0630</v>
      </c>
      <c r="B28114" s="3" t="str">
        <f>HYPERLINK("https://www.773grp.com/manufacturer/amd?pageNo=26", "Xilinx")</f>
        <v>Xilinx</v>
      </c>
      <c r="C28114" s="5">
        <v>2466</v>
      </c>
      <c r="D28114" s="6">
        <v>0</v>
      </c>
    </row>
    <row r="28115" spans="1:4" x14ac:dyDescent="0.25">
      <c r="A28115" t="str">
        <f>HYPERLINK("https://www.773grp.com/globalSearch/XC5202-6VQ10/page-1", "XC5202-6VQ10")</f>
        <v>XC5202-6VQ10</v>
      </c>
      <c r="B28115" s="3" t="str">
        <f>HYPERLINK("https://www.773grp.com/manufacturer/amd?pageNo=28", "Xilinx")</f>
        <v>Xilinx</v>
      </c>
      <c r="C28115" s="5">
        <v>6</v>
      </c>
      <c r="D28115" s="6">
        <v>0</v>
      </c>
    </row>
    <row r="28116" spans="1:4" x14ac:dyDescent="0.25">
      <c r="A28116" t="str">
        <f>HYPERLINK("https://www.773grp.com/globalSearch/XCF08PVO48C./page-1", "XCF08PVO48C.")</f>
        <v>XCF08PVO48C.</v>
      </c>
      <c r="B28116" s="3" t="str">
        <f>HYPERLINK("https://www.773grp.com/manufacturer/amd?pageNo=29", "Xilinx")</f>
        <v>Xilinx</v>
      </c>
      <c r="C28116" s="5">
        <v>960</v>
      </c>
      <c r="D28116" s="6">
        <v>0</v>
      </c>
    </row>
    <row r="28117" spans="1:4" x14ac:dyDescent="0.25">
      <c r="A28117" t="str">
        <f>HYPERLINK("https://www.773grp.com/globalSearch/XCF16PVO48C./page-1", "XCF16PVO48C.")</f>
        <v>XCF16PVO48C.</v>
      </c>
      <c r="B28117" s="3" t="str">
        <f>HYPERLINK("https://www.773grp.com/manufacturer/amd?pageNo=30", "Xilinx")</f>
        <v>Xilinx</v>
      </c>
      <c r="C28117" s="5">
        <v>480</v>
      </c>
      <c r="D28117" s="6">
        <v>0</v>
      </c>
    </row>
    <row r="28118" spans="1:4" x14ac:dyDescent="0.25">
      <c r="A28118" t="str">
        <f>HYPERLINK("https://www.773grp.com/globalSearch/XC9572XL-10VQ44Q/page-1", "XC9572XL-10VQ44Q")</f>
        <v>XC9572XL-10VQ44Q</v>
      </c>
      <c r="B28118" s="3" t="str">
        <f>HYPERLINK("https://www.773grp.com/manufacturer/amd?pageNo=43", "Xilinx")</f>
        <v>Xilinx</v>
      </c>
      <c r="C28118" s="5">
        <v>960</v>
      </c>
      <c r="D28118" s="6">
        <v>6.7</v>
      </c>
    </row>
    <row r="28119" spans="1:4" x14ac:dyDescent="0.25">
      <c r="A28119" t="str">
        <f>HYPERLINK("https://www.773grp.com/globalSearch/XCR3032XL-10VQ44Q0789/page-1", "XCR3032XL-10VQ44Q0789")</f>
        <v>XCR3032XL-10VQ44Q0789</v>
      </c>
      <c r="B28119" s="3" t="str">
        <f>HYPERLINK("https://www.773grp.com/manufacturer/amd?pageNo=46", "Xilinx")</f>
        <v>Xilinx</v>
      </c>
      <c r="C28119" s="5">
        <v>270</v>
      </c>
      <c r="D28119" s="6">
        <v>6.95</v>
      </c>
    </row>
    <row r="28120" spans="1:4" x14ac:dyDescent="0.25">
      <c r="A28120" t="str">
        <f>HYPERLINK("https://www.773grp.com/globalSearch/XC9536XV-5VQ44C0779/page-1", "XC9536XV-5VQ44C0779")</f>
        <v>XC9536XV-5VQ44C0779</v>
      </c>
      <c r="B28120" s="3" t="str">
        <f>HYPERLINK("https://www.773grp.com/manufacturer/amd?pageNo=57", "Xilinx")</f>
        <v>Xilinx</v>
      </c>
      <c r="C28120" s="5">
        <v>251</v>
      </c>
      <c r="D28120" s="6">
        <v>9.56</v>
      </c>
    </row>
    <row r="28121" spans="1:4" x14ac:dyDescent="0.25">
      <c r="A28121" t="str">
        <f>HYPERLINK("https://www.773grp.com/globalSearch/XC3S50-4CPG132C0974/page-1", "XC3S50-4CPG132C0974")</f>
        <v>XC3S50-4CPG132C0974</v>
      </c>
      <c r="B28121" s="3" t="str">
        <f>HYPERLINK("https://www.773grp.com/manufacturer/amd?pageNo=87", "Xilinx")</f>
        <v>Xilinx</v>
      </c>
      <c r="C28121" s="5">
        <v>342</v>
      </c>
      <c r="D28121" s="6">
        <v>22.24</v>
      </c>
    </row>
    <row r="28122" spans="1:4" x14ac:dyDescent="0.25">
      <c r="A28122" t="str">
        <f>HYPERLINK("https://www.773grp.com/globalSearch/XC3S50-5CPG132C0974/page-1", "XC3S50-5CPG132C0974")</f>
        <v>XC3S50-5CPG132C0974</v>
      </c>
      <c r="B28122" s="3" t="str">
        <f>HYPERLINK("https://www.773grp.com/manufacturer/amd?pageNo=94", "Xilinx")</f>
        <v>Xilinx</v>
      </c>
      <c r="C28122" s="5">
        <v>355</v>
      </c>
      <c r="D28122" s="6">
        <v>25.6</v>
      </c>
    </row>
    <row r="28123" spans="1:4" x14ac:dyDescent="0.25">
      <c r="A28123" t="str">
        <f>HYPERLINK("https://www.773grp.com/globalSearch/XCF08PVO48C0973/page-1", "XCF08PVO48C0973")</f>
        <v>XCF08PVO48C0973</v>
      </c>
      <c r="B28123" s="3" t="str">
        <f>HYPERLINK("https://www.773grp.com/manufacturer/amd?pageNo=97", "Xilinx")</f>
        <v>Xilinx</v>
      </c>
      <c r="C28123" s="5">
        <v>12576</v>
      </c>
      <c r="D28123" s="6">
        <v>27.38</v>
      </c>
    </row>
    <row r="28124" spans="1:4" x14ac:dyDescent="0.25">
      <c r="A28124" t="str">
        <f>HYPERLINK("https://www.773grp.com/globalSearch/XCF16PVO48C0973/page-1", "XCF16PVO48C0973")</f>
        <v>XCF16PVO48C0973</v>
      </c>
      <c r="B28124" s="3" t="s">
        <v>115</v>
      </c>
      <c r="C28124" s="5">
        <v>55294</v>
      </c>
      <c r="D28124" s="6">
        <v>36.590000000000003</v>
      </c>
    </row>
    <row r="28125" spans="1:4" x14ac:dyDescent="0.25">
      <c r="A28125" t="str">
        <f>HYPERLINK("https://www.773grp.com/globalSearch/XC2S50E-6TQ144Q/page-1", "XC2S50E-6TQ144Q")</f>
        <v>XC2S50E-6TQ144Q</v>
      </c>
      <c r="B28125" s="3" t="s">
        <v>115</v>
      </c>
      <c r="C28125" s="5">
        <v>1541</v>
      </c>
      <c r="D28125" s="6">
        <v>40.64</v>
      </c>
    </row>
    <row r="28126" spans="1:4" x14ac:dyDescent="0.25">
      <c r="A28126" t="str">
        <f>HYPERLINK("https://www.773grp.com/globalSearch/XC5204-5PQ160C0280/page-1", "XC5204-5PQ160C0280")</f>
        <v>XC5204-5PQ160C0280</v>
      </c>
      <c r="B28126" s="3" t="s">
        <v>115</v>
      </c>
      <c r="C28126" s="5">
        <v>40</v>
      </c>
      <c r="D28126" s="6">
        <v>58.34</v>
      </c>
    </row>
    <row r="28127" spans="1:4" x14ac:dyDescent="0.25">
      <c r="A28127" t="str">
        <f>HYPERLINK("https://www.773grp.com/globalSearch/PXC3164A-3PQ160C./page-1", "PXC3164A-3PQ160C.")</f>
        <v>PXC3164A-3PQ160C.</v>
      </c>
      <c r="B28127" s="3" t="s">
        <v>115</v>
      </c>
      <c r="C28127" s="5">
        <v>2</v>
      </c>
      <c r="D28127" s="6">
        <v>61.88</v>
      </c>
    </row>
    <row r="28128" spans="1:4" x14ac:dyDescent="0.25">
      <c r="A28128" t="str">
        <f>HYPERLINK("https://www.773grp.com/globalSearch/XCS30XL-5PQG208C/page-1", "XCS30XL-5PQG208C")</f>
        <v>XCS30XL-5PQG208C</v>
      </c>
      <c r="B28128" s="3" t="s">
        <v>115</v>
      </c>
      <c r="C28128" s="5">
        <v>296</v>
      </c>
      <c r="D28128" s="6">
        <v>75.180000000000007</v>
      </c>
    </row>
    <row r="28129" spans="1:4" x14ac:dyDescent="0.25">
      <c r="A28129" t="str">
        <f>HYPERLINK("https://www.773grp.com/globalSearch/XC3164-5PQ160C0304/page-1", "XC3164-5PQ160C0304")</f>
        <v>XC3164-5PQ160C0304</v>
      </c>
      <c r="B28129" s="3" t="s">
        <v>115</v>
      </c>
      <c r="C28129" s="5">
        <v>77</v>
      </c>
      <c r="D28129" s="6">
        <v>85.93</v>
      </c>
    </row>
    <row r="28130" spans="1:4" x14ac:dyDescent="0.25">
      <c r="A28130" t="str">
        <f>HYPERLINK("https://www.773grp.com/globalSearch/XC4010XL-3TQ176C./page-1", "XC4010XL-3TQ176C.")</f>
        <v>XC4010XL-3TQ176C.</v>
      </c>
      <c r="B28130" s="3" t="s">
        <v>115</v>
      </c>
      <c r="C28130" s="5">
        <v>60</v>
      </c>
      <c r="D28130" s="6">
        <v>93.96</v>
      </c>
    </row>
    <row r="28131" spans="1:4" x14ac:dyDescent="0.25">
      <c r="A28131" t="str">
        <f>HYPERLINK("https://www.773grp.com/globalSearch/XCV100E-6PQ240C0773/page-1", "XCV100E-6PQ240C0773")</f>
        <v>XCV100E-6PQ240C0773</v>
      </c>
      <c r="B28131" s="3" t="s">
        <v>115</v>
      </c>
      <c r="C28131" s="5">
        <v>576</v>
      </c>
      <c r="D28131" s="6">
        <v>124.91</v>
      </c>
    </row>
    <row r="28132" spans="1:4" x14ac:dyDescent="0.25">
      <c r="A28132" t="str">
        <f>HYPERLINK("https://www.773grp.com/globalSearch/XC3195-5PC84C0090/page-1", "XC3195-5PC84C0090")</f>
        <v>XC3195-5PC84C0090</v>
      </c>
      <c r="B28132" s="3" t="s">
        <v>115</v>
      </c>
      <c r="C28132" s="5">
        <v>58</v>
      </c>
      <c r="D28132" s="6">
        <v>147.1</v>
      </c>
    </row>
    <row r="28133" spans="1:4" x14ac:dyDescent="0.25">
      <c r="A28133" t="str">
        <f>HYPERLINK("https://www.773grp.com/globalSearch/XC2S300E-6FT256Q/page-1", "XC2S300E-6FT256Q")</f>
        <v>XC2S300E-6FT256Q</v>
      </c>
      <c r="B28133" s="3" t="s">
        <v>115</v>
      </c>
      <c r="C28133" s="5">
        <v>69</v>
      </c>
      <c r="D28133" s="6">
        <v>156.94</v>
      </c>
    </row>
    <row r="28134" spans="1:4" x14ac:dyDescent="0.25">
      <c r="A28134" t="str">
        <f>HYPERLINK("https://www.773grp.com/globalSearch/XC5210-5BG225CO373/page-1", "XC5210-5BG225CO373")</f>
        <v>XC5210-5BG225CO373</v>
      </c>
      <c r="B28134" s="3" t="s">
        <v>115</v>
      </c>
      <c r="C28134" s="5">
        <v>248</v>
      </c>
      <c r="D28134" s="6">
        <v>158.06</v>
      </c>
    </row>
    <row r="28135" spans="1:4" x14ac:dyDescent="0.25">
      <c r="A28135" t="str">
        <f>HYPERLINK("https://www.773grp.com/globalSearch/XC3164-5PP132C0272/page-1", "XC3164-5PP132C0272")</f>
        <v>XC3164-5PP132C0272</v>
      </c>
      <c r="B28135" s="3" t="s">
        <v>115</v>
      </c>
      <c r="C28135" s="5">
        <v>64</v>
      </c>
      <c r="D28135" s="6">
        <v>159.75</v>
      </c>
    </row>
    <row r="28136" spans="1:4" x14ac:dyDescent="0.25">
      <c r="A28136" t="str">
        <f>HYPERLINK("https://www.773grp.com/globalSearch/XC5215-5HQ208CO359/page-1", "XC5215-5HQ208CO359")</f>
        <v>XC5215-5HQ208CO359</v>
      </c>
      <c r="B28136" s="3" t="s">
        <v>115</v>
      </c>
      <c r="C28136" s="5">
        <v>33</v>
      </c>
      <c r="D28136" s="6">
        <v>189.14</v>
      </c>
    </row>
    <row r="28137" spans="1:4" x14ac:dyDescent="0.25">
      <c r="A28137" t="str">
        <f>HYPERLINK("https://www.773grp.com/globalSearch/XC5215-6HQ208C0359/page-1", "XC5215-6HQ208C0359")</f>
        <v>XC5215-6HQ208C0359</v>
      </c>
      <c r="B28137" s="3" t="s">
        <v>115</v>
      </c>
      <c r="C28137" s="5">
        <v>371</v>
      </c>
      <c r="D28137" s="6">
        <v>189.14</v>
      </c>
    </row>
    <row r="28138" spans="1:4" x14ac:dyDescent="0.25">
      <c r="A28138" t="str">
        <f>HYPERLINK("https://www.773grp.com/globalSearch/XC5215-6HQ208CO359/page-1", "XC5215-6HQ208CO359")</f>
        <v>XC5215-6HQ208CO359</v>
      </c>
      <c r="B28138" s="3" t="s">
        <v>115</v>
      </c>
      <c r="C28138" s="5">
        <v>5543</v>
      </c>
      <c r="D28138" s="6">
        <v>189.14</v>
      </c>
    </row>
    <row r="28139" spans="1:4" x14ac:dyDescent="0.25">
      <c r="A28139" t="str">
        <f>HYPERLINK("https://www.773grp.com/globalSearch/XCV100E-6BG352I0773/page-1", "XCV100E-6BG352I0773")</f>
        <v>XCV100E-6BG352I0773</v>
      </c>
      <c r="B28139" s="3" t="s">
        <v>115</v>
      </c>
      <c r="C28139" s="5">
        <v>18</v>
      </c>
      <c r="D28139" s="6">
        <v>193.53</v>
      </c>
    </row>
    <row r="28140" spans="1:4" x14ac:dyDescent="0.25">
      <c r="A28140" t="str">
        <f>HYPERLINK("https://www.773grp.com/globalSearch/XC5215-6HQ240CO359/page-1", "XC5215-6HQ240CO359")</f>
        <v>XC5215-6HQ240CO359</v>
      </c>
      <c r="B28140" s="3" t="s">
        <v>115</v>
      </c>
      <c r="C28140" s="5">
        <v>197</v>
      </c>
      <c r="D28140" s="6">
        <v>197.15</v>
      </c>
    </row>
    <row r="28141" spans="1:4" x14ac:dyDescent="0.25">
      <c r="A28141" t="str">
        <f>HYPERLINK("https://www.773grp.com/globalSearch/XC5215-6HQ208 IO359/page-1", "XC5215-6HQ208 IO359")</f>
        <v>XC5215-6HQ208 IO359</v>
      </c>
      <c r="B28141" s="3" t="s">
        <v>115</v>
      </c>
      <c r="C28141" s="5">
        <v>139</v>
      </c>
      <c r="D28141" s="6">
        <v>217.55</v>
      </c>
    </row>
    <row r="28142" spans="1:4" x14ac:dyDescent="0.25">
      <c r="A28142" t="str">
        <f>HYPERLINK("https://www.773grp.com/globalSearch/XC5215-6HQ208IO359/page-1", "XC5215-6HQ208IO359")</f>
        <v>XC5215-6HQ208IO359</v>
      </c>
      <c r="B28142" s="3" t="s">
        <v>115</v>
      </c>
      <c r="C28142" s="5">
        <v>836</v>
      </c>
      <c r="D28142" s="6">
        <v>217.55</v>
      </c>
    </row>
    <row r="28143" spans="1:4" x14ac:dyDescent="0.25">
      <c r="A28143" t="str">
        <f>HYPERLINK("https://www.773grp.com/globalSearch/XC5215-5HQ304C0359/page-1", "XC5215-5HQ304C0359")</f>
        <v>XC5215-5HQ304C0359</v>
      </c>
      <c r="B28143" s="3" t="s">
        <v>115</v>
      </c>
      <c r="C28143" s="5">
        <v>157</v>
      </c>
      <c r="D28143" s="6">
        <v>221.2</v>
      </c>
    </row>
    <row r="28144" spans="1:4" x14ac:dyDescent="0.25">
      <c r="A28144" t="str">
        <f>HYPERLINK("https://www.773grp.com/globalSearch/XC5215-5HQ304CO359/page-1", "XC5215-5HQ304CO359")</f>
        <v>XC5215-5HQ304CO359</v>
      </c>
      <c r="B28144" s="3" t="s">
        <v>115</v>
      </c>
      <c r="C28144" s="5">
        <v>123</v>
      </c>
      <c r="D28144" s="6">
        <v>221.2</v>
      </c>
    </row>
    <row r="28145" spans="1:4" x14ac:dyDescent="0.25">
      <c r="A28145" t="str">
        <f>HYPERLINK("https://www.773grp.com/globalSearch/XC5215-6HQ240IO359/page-1", "XC5215-6HQ240IO359")</f>
        <v>XC5215-6HQ240IO359</v>
      </c>
      <c r="B28145" s="3" t="s">
        <v>115</v>
      </c>
      <c r="C28145" s="5">
        <v>392</v>
      </c>
      <c r="D28145" s="6">
        <v>226.84</v>
      </c>
    </row>
    <row r="28146" spans="1:4" x14ac:dyDescent="0.25">
      <c r="A28146" t="str">
        <f>HYPERLINK("https://www.773grp.com/globalSearch/XCV200E-6FG456C0773/page-1", "XCV200E-6FG456C0773")</f>
        <v>XCV200E-6FG456C0773</v>
      </c>
      <c r="B28146" s="3" t="s">
        <v>115</v>
      </c>
      <c r="C28146" s="5">
        <v>17</v>
      </c>
      <c r="D28146" s="6">
        <v>246.24</v>
      </c>
    </row>
    <row r="28147" spans="1:4" x14ac:dyDescent="0.25">
      <c r="A28147" t="str">
        <f>HYPERLINK("https://www.773grp.com/globalSearch/XC5215-5BG225CO359/page-1", "XC5215-5BG225CO359")</f>
        <v>XC5215-5BG225CO359</v>
      </c>
      <c r="B28147" s="3" t="s">
        <v>115</v>
      </c>
      <c r="C28147" s="5">
        <v>7</v>
      </c>
      <c r="D28147" s="6">
        <v>246.94</v>
      </c>
    </row>
    <row r="28148" spans="1:4" x14ac:dyDescent="0.25">
      <c r="A28148" t="str">
        <f>HYPERLINK("https://www.773grp.com/globalSearch/XCV300E-6PQ240C0773/page-1", "XCV300E-6PQ240C0773")</f>
        <v>XCV300E-6PQ240C0773</v>
      </c>
      <c r="B28148" s="3" t="s">
        <v>115</v>
      </c>
      <c r="C28148" s="5">
        <v>3</v>
      </c>
      <c r="D28148" s="6">
        <v>246.94</v>
      </c>
    </row>
    <row r="28149" spans="1:4" x14ac:dyDescent="0.25">
      <c r="A28149" t="str">
        <f>HYPERLINK("https://www.773grp.com/globalSearch/XCV300E-6FG256C0773/page-1", "XCV300E-6FG256C0773")</f>
        <v>XCV300E-6FG256C0773</v>
      </c>
      <c r="B28149" s="3" t="s">
        <v>115</v>
      </c>
      <c r="C28149" s="5">
        <v>97</v>
      </c>
      <c r="D28149" s="6">
        <v>272.35000000000002</v>
      </c>
    </row>
    <row r="28150" spans="1:4" x14ac:dyDescent="0.25">
      <c r="A28150" t="str">
        <f>HYPERLINK("https://www.773grp.com/globalSearch/XCV300E-7PQ240C0773/page-1", "XCV300E-7PQ240C0773")</f>
        <v>XCV300E-7PQ240C0773</v>
      </c>
      <c r="B28150" s="3" t="s">
        <v>115</v>
      </c>
      <c r="C28150" s="5">
        <v>17</v>
      </c>
      <c r="D28150" s="6">
        <v>346.8</v>
      </c>
    </row>
    <row r="28151" spans="1:4" x14ac:dyDescent="0.25">
      <c r="A28151" t="str">
        <f>HYPERLINK("https://www.773grp.com/globalSearch/XCV300E-7FG456C0773/page-1", "XCV300E-7FG456C0773")</f>
        <v>XCV300E-7FG456C0773</v>
      </c>
      <c r="B28151" s="3" t="s">
        <v>115</v>
      </c>
      <c r="C28151" s="5">
        <v>18</v>
      </c>
      <c r="D28151" s="6">
        <v>444.84</v>
      </c>
    </row>
    <row r="28152" spans="1:4" x14ac:dyDescent="0.25">
      <c r="A28152" t="str">
        <f>HYPERLINK("https://www.773grp.com/globalSearch/XCV400E-6BG560C0773/page-1", "XCV400E-6BG560C0773")</f>
        <v>XCV400E-6BG560C0773</v>
      </c>
      <c r="B28152" s="3" t="s">
        <v>115</v>
      </c>
      <c r="C28152" s="5">
        <v>174</v>
      </c>
      <c r="D28152" s="6">
        <v>459.38</v>
      </c>
    </row>
    <row r="28153" spans="1:4" x14ac:dyDescent="0.25">
      <c r="A28153" t="str">
        <f>HYPERLINK("https://www.773grp.com/globalSearch/XCV400-4HQ240C0729/page-1", "XCV400-4HQ240C0729")</f>
        <v>XCV400-4HQ240C0729</v>
      </c>
      <c r="B28153" s="3" t="s">
        <v>115</v>
      </c>
      <c r="C28153" s="5">
        <v>19</v>
      </c>
      <c r="D28153" s="6">
        <v>579.20000000000005</v>
      </c>
    </row>
    <row r="28154" spans="1:4" x14ac:dyDescent="0.25">
      <c r="A28154" t="str">
        <f>HYPERLINK("https://www.773grp.com/globalSearch/XCV300E-8BG432C0773/page-1", "XCV300E-8BG432C0773")</f>
        <v>XCV300E-8BG432C0773</v>
      </c>
      <c r="B28154" s="3" t="s">
        <v>115</v>
      </c>
      <c r="C28154" s="5">
        <v>1</v>
      </c>
      <c r="D28154" s="6">
        <v>597.36</v>
      </c>
    </row>
    <row r="28155" spans="1:4" x14ac:dyDescent="0.25">
      <c r="A28155" t="str">
        <f>HYPERLINK("https://www.773grp.com/globalSearch/XCV400E-7BG432C0773/page-1", "XCV400E-7BG432C0773")</f>
        <v>XCV400E-7BG432C0773</v>
      </c>
      <c r="B28155" s="3" t="s">
        <v>115</v>
      </c>
      <c r="C28155" s="5">
        <v>90</v>
      </c>
      <c r="D28155" s="6">
        <v>642.75</v>
      </c>
    </row>
    <row r="28156" spans="1:4" x14ac:dyDescent="0.25">
      <c r="A28156" t="str">
        <f>HYPERLINK("https://www.773grp.com/globalSearch/XC4062XL-3HQ240C0624/page-1", "XC4062XL-3HQ240C0624")</f>
        <v>XC4062XL-3HQ240C0624</v>
      </c>
      <c r="B28156" s="3" t="s">
        <v>115</v>
      </c>
      <c r="C28156" s="5">
        <v>26</v>
      </c>
      <c r="D28156" s="6">
        <v>684.5</v>
      </c>
    </row>
    <row r="28157" spans="1:4" x14ac:dyDescent="0.25">
      <c r="A28157" t="str">
        <f>HYPERLINK("https://www.773grp.com/globalSearch/XCV600E-6FG676I0773/page-1", "XCV600E-6FG676I0773")</f>
        <v>XCV600E-6FG676I0773</v>
      </c>
      <c r="B28157" s="3" t="s">
        <v>115</v>
      </c>
      <c r="C28157" s="5">
        <v>38</v>
      </c>
      <c r="D28157" s="6">
        <v>1087.58</v>
      </c>
    </row>
    <row r="28158" spans="1:4" x14ac:dyDescent="0.25">
      <c r="A28158" t="str">
        <f>HYPERLINK("https://www.773grp.com/globalSearch/XCV600E-7BG432C0773/page-1", "XCV600E-7BG432C0773")</f>
        <v>XCV600E-7BG432C0773</v>
      </c>
      <c r="B28158" s="3" t="s">
        <v>115</v>
      </c>
      <c r="C28158" s="5">
        <v>14</v>
      </c>
      <c r="D28158" s="6">
        <v>1087.58</v>
      </c>
    </row>
    <row r="28159" spans="1:4" x14ac:dyDescent="0.25">
      <c r="A28159" t="str">
        <f>HYPERLINK("https://www.773grp.com/globalSearch/XCV600E-7FG676C0773/page-1", "XCV600E-7FG676C0773")</f>
        <v>XCV600E-7FG676C0773</v>
      </c>
      <c r="B28159" s="3" t="s">
        <v>115</v>
      </c>
      <c r="C28159" s="5">
        <v>106</v>
      </c>
      <c r="D28159" s="6">
        <v>1087.58</v>
      </c>
    </row>
    <row r="28160" spans="1:4" x14ac:dyDescent="0.25">
      <c r="A28160" t="str">
        <f>HYPERLINK("https://www.773grp.com/globalSearch/XCV600E-6FG680I0773/page-1", "XCV600E-6FG680I0773")</f>
        <v>XCV600E-6FG680I0773</v>
      </c>
      <c r="B28160" s="3" t="s">
        <v>115</v>
      </c>
      <c r="C28160" s="5">
        <v>34</v>
      </c>
      <c r="D28160" s="6">
        <v>1134.79</v>
      </c>
    </row>
    <row r="28161" spans="1:4" x14ac:dyDescent="0.25">
      <c r="A28161" t="str">
        <f>HYPERLINK("https://www.773grp.com/globalSearch/XCV600E-8HQ240C0773/page-1", "XCV600E-8HQ240C0773")</f>
        <v>XCV600E-8HQ240C0773</v>
      </c>
      <c r="B28161" s="3" t="s">
        <v>115</v>
      </c>
      <c r="C28161" s="5">
        <v>4</v>
      </c>
      <c r="D28161" s="6">
        <v>1269.1500000000001</v>
      </c>
    </row>
    <row r="28162" spans="1:4" x14ac:dyDescent="0.25">
      <c r="A28162" t="str">
        <f>HYPERLINK("https://www.773grp.com/globalSearch/XCV1000E-6BG560I0773/page-1", "XCV1000E-6BG560I0773")</f>
        <v>XCV1000E-6BG560I0773</v>
      </c>
      <c r="B28162" s="3" t="s">
        <v>115</v>
      </c>
      <c r="C28162" s="5">
        <v>4</v>
      </c>
      <c r="D28162" s="6">
        <v>2485.64</v>
      </c>
    </row>
    <row r="28163" spans="1:4" x14ac:dyDescent="0.25">
      <c r="A28163" t="str">
        <f>HYPERLINK("https://www.773grp.com/globalSearch/29DVA010BCGHP1Q  UT/page-1", "29DVA010BCGHP1Q  UT")</f>
        <v>29DVA010BCGHP1Q  UT</v>
      </c>
      <c r="B28163" s="3" t="s">
        <v>116</v>
      </c>
      <c r="C28163" s="5">
        <v>366</v>
      </c>
      <c r="D28163" s="6">
        <v>0</v>
      </c>
    </row>
    <row r="28164" spans="1:4" x14ac:dyDescent="0.25">
      <c r="A28164" t="str">
        <f>HYPERLINK("https://www.773grp.com/globalSearch/6DVA016BCGHP1Q  UT/page-1", "6DVA016BCGHP1Q  UT")</f>
        <v>6DVA016BCGHP1Q  UT</v>
      </c>
      <c r="B28164" s="3" t="s">
        <v>116</v>
      </c>
      <c r="C28164" s="5">
        <v>2525</v>
      </c>
      <c r="D28164" s="6">
        <v>0</v>
      </c>
    </row>
    <row r="28165" spans="1:4" x14ac:dyDescent="0.25">
      <c r="A28165" t="str">
        <f>HYPERLINK("https://www.773grp.com/globalSearch/6DVA018BCGHP1Q  UT/page-1", "6DVA018BCGHP1Q  UT")</f>
        <v>6DVA018BCGHP1Q  UT</v>
      </c>
      <c r="B28165" s="3" t="s">
        <v>116</v>
      </c>
      <c r="C28165" s="5">
        <v>9629</v>
      </c>
      <c r="D28165" s="6">
        <v>0</v>
      </c>
    </row>
    <row r="28166" spans="1:4" x14ac:dyDescent="0.25">
      <c r="A28166" t="str">
        <f>HYPERLINK("https://www.773grp.com/globalSearch/CLA82045-CX-HP2P/page-1", "CLA82045-CX-HP2P")</f>
        <v>CLA82045-CX-HP2P</v>
      </c>
      <c r="B28166" s="3" t="s">
        <v>116</v>
      </c>
      <c r="C28166" s="5">
        <v>47</v>
      </c>
      <c r="D28166" s="6">
        <v>0</v>
      </c>
    </row>
    <row r="28167" spans="1:4" x14ac:dyDescent="0.25">
      <c r="A28167" t="str">
        <f>HYPERLINK("https://www.773grp.com/globalSearch/CLA904019-CG-GP2N/page-1", "CLA904019-CG-GP2N")</f>
        <v>CLA904019-CG-GP2N</v>
      </c>
      <c r="B28167" s="3" t="s">
        <v>116</v>
      </c>
      <c r="C28167" s="5">
        <v>600</v>
      </c>
      <c r="D28167" s="6">
        <v>0</v>
      </c>
    </row>
    <row r="28168" spans="1:4" x14ac:dyDescent="0.25">
      <c r="A28168" t="str">
        <f>HYPERLINK("https://www.773grp.com/globalSearch/CLT72012-IG-HPAS/page-1", "CLT72012-IG-HPAS")</f>
        <v>CLT72012-IG-HPAS</v>
      </c>
      <c r="B28168" s="3" t="s">
        <v>116</v>
      </c>
      <c r="C28168" s="5">
        <v>253</v>
      </c>
      <c r="D28168" s="6">
        <v>0</v>
      </c>
    </row>
    <row r="28169" spans="1:4" x14ac:dyDescent="0.25">
      <c r="A28169" t="str">
        <f>HYPERLINK("https://www.773grp.com/globalSearch/CLT901021IXGP1T/page-1", "CLT901021IXGP1T")</f>
        <v>CLT901021IXGP1T</v>
      </c>
      <c r="B28169" s="3" t="s">
        <v>116</v>
      </c>
      <c r="C28169" s="5">
        <v>1500</v>
      </c>
      <c r="D28169" s="6">
        <v>0</v>
      </c>
    </row>
    <row r="28170" spans="1:4" x14ac:dyDescent="0.25">
      <c r="A28170" t="str">
        <f>HYPERLINK("https://www.773grp.com/globalSearch/CLT904021-IW-GP1N/page-1", "CLT904021-IW-GP1N")</f>
        <v>CLT904021-IW-GP1N</v>
      </c>
      <c r="B28170" s="3" t="s">
        <v>116</v>
      </c>
      <c r="C28170" s="5">
        <v>744</v>
      </c>
      <c r="D28170" s="6">
        <v>0</v>
      </c>
    </row>
    <row r="28171" spans="1:4" x14ac:dyDescent="0.25">
      <c r="A28171" t="str">
        <f>HYPERLINK("https://www.773grp.com/globalSearch/CLT904021-IW-GP2N/page-1", "CLT904021-IW-GP2N")</f>
        <v>CLT904021-IW-GP2N</v>
      </c>
      <c r="B28171" s="3" t="s">
        <v>116</v>
      </c>
      <c r="C28171" s="5">
        <v>480</v>
      </c>
      <c r="D28171" s="6">
        <v>0</v>
      </c>
    </row>
    <row r="28172" spans="1:4" x14ac:dyDescent="0.25">
      <c r="A28172" t="str">
        <f>HYPERLINK("https://www.773grp.com/globalSearch/CLT907022-IW-BP1N/page-1", "CLT907022-IW-BP1N")</f>
        <v>CLT907022-IW-BP1N</v>
      </c>
      <c r="B28172" s="3" t="s">
        <v>116</v>
      </c>
      <c r="C28172" s="5">
        <v>2081</v>
      </c>
      <c r="D28172" s="6">
        <v>0</v>
      </c>
    </row>
    <row r="28173" spans="1:4" x14ac:dyDescent="0.25">
      <c r="A28173" t="str">
        <f>HYPERLINK("https://www.773grp.com/globalSearch/SP5511ASKGMPAD/page-1", "SP5511ASKGMPAD")</f>
        <v>SP5511ASKGMPAD</v>
      </c>
      <c r="B28173" s="3" t="s">
        <v>116</v>
      </c>
      <c r="C28173" s="5">
        <v>10000</v>
      </c>
      <c r="D28173" s="6">
        <v>3.1</v>
      </c>
    </row>
    <row r="28174" spans="1:4" x14ac:dyDescent="0.25">
      <c r="A28174" t="str">
        <f>HYPERLINK("https://www.773grp.com/globalSearch/SP5511ASKGMPAS/page-1", "SP5511ASKGMPAS")</f>
        <v>SP5511ASKGMPAS</v>
      </c>
      <c r="B28174" s="3" t="s">
        <v>116</v>
      </c>
      <c r="C28174" s="5">
        <v>685</v>
      </c>
      <c r="D28174" s="6">
        <v>3.18</v>
      </c>
    </row>
    <row r="28175" spans="1:4" x14ac:dyDescent="0.25">
      <c r="A28175" t="str">
        <f>HYPERLINK("https://www.773grp.com/globalSearch/ZL40167DCA1/page-1", "ZL40167DCA1")</f>
        <v>ZL40167DCA1</v>
      </c>
      <c r="B28175" s="3" t="s">
        <v>116</v>
      </c>
      <c r="C28175" s="5">
        <v>2718</v>
      </c>
      <c r="D28175" s="6">
        <v>4.0999999999999996</v>
      </c>
    </row>
    <row r="28176" spans="1:4" x14ac:dyDescent="0.25">
      <c r="A28176" t="str">
        <f>HYPERLINK("https://www.773grp.com/globalSearch/ZL40124DCA/page-1", "ZL40124DCA")</f>
        <v>ZL40124DCA</v>
      </c>
      <c r="B28176" s="3" t="s">
        <v>116</v>
      </c>
      <c r="C28176" s="5">
        <v>6478</v>
      </c>
      <c r="D28176" s="6">
        <v>4.3899999999999997</v>
      </c>
    </row>
    <row r="28177" spans="1:4" x14ac:dyDescent="0.25">
      <c r="A28177" t="str">
        <f>HYPERLINK("https://www.773grp.com/globalSearch/MV601-BA-DP1P/page-1", "MV601-BA-DP1P")</f>
        <v>MV601-BA-DP1P</v>
      </c>
      <c r="B28177" s="3" t="s">
        <v>116</v>
      </c>
      <c r="C28177" s="5">
        <v>47</v>
      </c>
      <c r="D28177" s="6">
        <v>4.78</v>
      </c>
    </row>
    <row r="28178" spans="1:4" x14ac:dyDescent="0.25">
      <c r="A28178" t="str">
        <f>HYPERLINK("https://www.773grp.com/globalSearch/VP101-3-BA-HP/page-1", "VP101-3-BA-HP")</f>
        <v>VP101-3-BA-HP</v>
      </c>
      <c r="B28178" s="3" t="s">
        <v>116</v>
      </c>
      <c r="C28178" s="5">
        <v>943</v>
      </c>
      <c r="D28178" s="6">
        <v>4.93</v>
      </c>
    </row>
    <row r="28179" spans="1:4" x14ac:dyDescent="0.25">
      <c r="A28179" t="str">
        <f>HYPERLINK("https://www.773grp.com/globalSearch/VP101-5MAHP/page-1", "VP101-5MAHP")</f>
        <v>VP101-5MAHP</v>
      </c>
      <c r="B28179" s="3" t="s">
        <v>116</v>
      </c>
      <c r="C28179" s="5">
        <v>123</v>
      </c>
      <c r="D28179" s="6">
        <v>4.93</v>
      </c>
    </row>
    <row r="28180" spans="1:4" x14ac:dyDescent="0.25">
      <c r="A28180" t="str">
        <f>HYPERLINK("https://www.773grp.com/globalSearch/MV1822D-IG-DPAS/page-1", "MV1822D-IG-DPAS")</f>
        <v>MV1822D-IG-DPAS</v>
      </c>
      <c r="B28180" s="3" t="s">
        <v>116</v>
      </c>
      <c r="C28180" s="5">
        <v>2397</v>
      </c>
      <c r="D28180" s="6">
        <v>5.6</v>
      </c>
    </row>
    <row r="28181" spans="1:4" x14ac:dyDescent="0.25">
      <c r="A28181" t="str">
        <f>HYPERLINK("https://www.773grp.com/globalSearch/MV1822D-IG-MPES/page-1", "MV1822D-IG-MPES")</f>
        <v>MV1822D-IG-MPES</v>
      </c>
      <c r="B28181" s="3" t="s">
        <v>116</v>
      </c>
      <c r="C28181" s="5">
        <v>323</v>
      </c>
      <c r="D28181" s="6">
        <v>5.6</v>
      </c>
    </row>
    <row r="28182" spans="1:4" x14ac:dyDescent="0.25">
      <c r="A28182" t="str">
        <f>HYPERLINK("https://www.773grp.com/globalSearch/MSC60031-BW-MP/page-1", "MSC60031-BW-MP")</f>
        <v>MSC60031-BW-MP</v>
      </c>
      <c r="B28182" s="3" t="s">
        <v>116</v>
      </c>
      <c r="C28182" s="5">
        <v>17416</v>
      </c>
      <c r="D28182" s="6">
        <v>6.21</v>
      </c>
    </row>
    <row r="28183" spans="1:4" x14ac:dyDescent="0.25">
      <c r="A28183" t="str">
        <f>HYPERLINK("https://www.773grp.com/globalSearch/PCA887A-CW-DP1S/page-1", "PCA887A-CW-DP1S")</f>
        <v>PCA887A-CW-DP1S</v>
      </c>
      <c r="B28183" s="3" t="s">
        <v>116</v>
      </c>
      <c r="C28183" s="5">
        <v>288</v>
      </c>
      <c r="D28183" s="6">
        <v>7.88</v>
      </c>
    </row>
    <row r="28184" spans="1:4" x14ac:dyDescent="0.25">
      <c r="A28184" t="str">
        <f>HYPERLINK("https://www.773grp.com/globalSearch/SL6689-1-KG-TP1N/page-1", "SL6689-1-KG-TP1N")</f>
        <v>SL6689-1-KG-TP1N</v>
      </c>
      <c r="B28184" s="3" t="s">
        <v>116</v>
      </c>
      <c r="C28184" s="5">
        <v>3101</v>
      </c>
      <c r="D28184" s="6">
        <v>8.24</v>
      </c>
    </row>
    <row r="28185" spans="1:4" x14ac:dyDescent="0.25">
      <c r="A28185" t="str">
        <f>HYPERLINK("https://www.773grp.com/globalSearch/SL6689-1KGTP1Q/page-1", "SL6689-1KGTP1Q")</f>
        <v>SL6689-1KGTP1Q</v>
      </c>
      <c r="B28185" s="3" t="s">
        <v>116</v>
      </c>
      <c r="C28185" s="5">
        <v>4000</v>
      </c>
      <c r="D28185" s="6">
        <v>8.24</v>
      </c>
    </row>
    <row r="28186" spans="1:4" x14ac:dyDescent="0.25">
      <c r="A28186" t="str">
        <f>HYPERLINK("https://www.773grp.com/globalSearch/6DVA014DCGHP1Q/page-1", "6DVA014DCGHP1Q")</f>
        <v>6DVA014DCGHP1Q</v>
      </c>
      <c r="B28186" s="3" t="s">
        <v>116</v>
      </c>
      <c r="C28186" s="5">
        <v>4667</v>
      </c>
      <c r="D28186" s="6">
        <v>8.3000000000000007</v>
      </c>
    </row>
    <row r="28187" spans="1:4" x14ac:dyDescent="0.25">
      <c r="A28187" t="str">
        <f>HYPERLINK("https://www.773grp.com/globalSearch/NJ88C24MAMPTF/page-1", "NJ88C24MAMPTF")</f>
        <v>NJ88C24MAMPTF</v>
      </c>
      <c r="B28187" s="3" t="s">
        <v>116</v>
      </c>
      <c r="C28187" s="5">
        <v>24732</v>
      </c>
      <c r="D28187" s="6">
        <v>8.86</v>
      </c>
    </row>
    <row r="28188" spans="1:4" x14ac:dyDescent="0.25">
      <c r="A28188" t="str">
        <f>HYPERLINK("https://www.773grp.com/globalSearch/6DVA016BCGHP1Q/page-1", "6DVA016BCGHP1Q")</f>
        <v>6DVA016BCGHP1Q</v>
      </c>
      <c r="B28188" s="3" t="s">
        <v>116</v>
      </c>
      <c r="C28188" s="5">
        <v>11486</v>
      </c>
      <c r="D28188" s="6">
        <v>9.41</v>
      </c>
    </row>
    <row r="28189" spans="1:4" x14ac:dyDescent="0.25">
      <c r="A28189" t="str">
        <f>HYPERLINK("https://www.773grp.com/globalSearch/MSC60023BWHPTJ/page-1", "MSC60023BWHPTJ")</f>
        <v>MSC60023BWHPTJ</v>
      </c>
      <c r="B28189" s="3" t="s">
        <v>116</v>
      </c>
      <c r="C28189" s="5">
        <v>71000</v>
      </c>
      <c r="D28189" s="6">
        <v>9.75</v>
      </c>
    </row>
    <row r="28190" spans="1:4" x14ac:dyDescent="0.25">
      <c r="A28190" t="str">
        <f>HYPERLINK("https://www.773grp.com/globalSearch/JUPITER-0-PR-NP1S/page-1", "JUPITER-0-PR-NP1S")</f>
        <v>JUPITER-0-PR-NP1S</v>
      </c>
      <c r="B28190" s="3" t="s">
        <v>116</v>
      </c>
      <c r="C28190" s="5">
        <v>1894</v>
      </c>
      <c r="D28190" s="6">
        <v>9.84</v>
      </c>
    </row>
    <row r="28191" spans="1:4" x14ac:dyDescent="0.25">
      <c r="A28191" t="str">
        <f>HYPERLINK("https://www.773grp.com/globalSearch/6DVA018BCGHP1Q/page-1", "6DVA018BCGHP1Q")</f>
        <v>6DVA018BCGHP1Q</v>
      </c>
      <c r="B28191" s="3" t="s">
        <v>116</v>
      </c>
      <c r="C28191" s="5">
        <v>1575</v>
      </c>
      <c r="D28191" s="6">
        <v>10.18</v>
      </c>
    </row>
    <row r="28192" spans="1:4" x14ac:dyDescent="0.25">
      <c r="A28192" t="str">
        <f>HYPERLINK("https://www.773grp.com/globalSearch/PCA1164D-CG-GP1N/page-1", "PCA1164D-CG-GP1N")</f>
        <v>PCA1164D-CG-GP1N</v>
      </c>
      <c r="B28192" s="3" t="s">
        <v>116</v>
      </c>
      <c r="C28192" s="5">
        <v>960</v>
      </c>
      <c r="D28192" s="6">
        <v>11.61</v>
      </c>
    </row>
    <row r="28193" spans="1:4" x14ac:dyDescent="0.25">
      <c r="A28193" t="str">
        <f>HYPERLINK("https://www.773grp.com/globalSearch/PCA888BCGHP1Q/page-1", "PCA888BCGHP1Q")</f>
        <v>PCA888BCGHP1Q</v>
      </c>
      <c r="B28193" s="3" t="s">
        <v>116</v>
      </c>
      <c r="C28193" s="5">
        <v>1000</v>
      </c>
      <c r="D28193" s="6">
        <v>12.35</v>
      </c>
    </row>
    <row r="28194" spans="1:4" x14ac:dyDescent="0.25">
      <c r="A28194" t="str">
        <f>HYPERLINK("https://www.773grp.com/globalSearch/PCA1154D-CG-GP1N/page-1", "PCA1154D-CG-GP1N")</f>
        <v>PCA1154D-CG-GP1N</v>
      </c>
      <c r="B28194" s="3" t="s">
        <v>116</v>
      </c>
      <c r="C28194" s="5">
        <v>7255</v>
      </c>
      <c r="D28194" s="6">
        <v>12.91</v>
      </c>
    </row>
    <row r="28195" spans="1:4" x14ac:dyDescent="0.25">
      <c r="A28195" t="str">
        <f>HYPERLINK("https://www.773grp.com/globalSearch/GP2015-IG-FP2N/page-1", "GP2015-IG-FP2N")</f>
        <v>GP2015-IG-FP2N</v>
      </c>
      <c r="B28195" s="3" t="s">
        <v>116</v>
      </c>
      <c r="C28195" s="5">
        <v>5924</v>
      </c>
      <c r="D28195" s="6">
        <v>13.39</v>
      </c>
    </row>
    <row r="28196" spans="1:4" x14ac:dyDescent="0.25">
      <c r="A28196" t="str">
        <f>HYPERLINK("https://www.773grp.com/globalSearch/MVA60041-MA-DP/page-1", "MVA60041-MA-DP")</f>
        <v>MVA60041-MA-DP</v>
      </c>
      <c r="B28196" s="3" t="s">
        <v>116</v>
      </c>
      <c r="C28196" s="5">
        <v>1394</v>
      </c>
      <c r="D28196" s="6">
        <v>13.95</v>
      </c>
    </row>
    <row r="28197" spans="1:4" x14ac:dyDescent="0.25">
      <c r="A28197" t="str">
        <f>HYPERLINK("https://www.773grp.com/globalSearch/MV1820CGMPES/page-1", "MV1820CGMPES")</f>
        <v>MV1820CGMPES</v>
      </c>
      <c r="B28197" s="3" t="s">
        <v>116</v>
      </c>
      <c r="C28197" s="5">
        <v>96</v>
      </c>
      <c r="D28197" s="6">
        <v>14.43</v>
      </c>
    </row>
    <row r="28198" spans="1:4" x14ac:dyDescent="0.25">
      <c r="A28198" t="str">
        <f>HYPERLINK("https://www.773grp.com/globalSearch/CLA70055IWMPEF/page-1", "CLA70055IWMPEF")</f>
        <v>CLA70055IWMPEF</v>
      </c>
      <c r="B28198" s="3" t="s">
        <v>116</v>
      </c>
      <c r="C28198" s="5">
        <v>1000</v>
      </c>
      <c r="D28198" s="6">
        <v>15.48</v>
      </c>
    </row>
    <row r="28199" spans="1:4" x14ac:dyDescent="0.25">
      <c r="A28199" t="str">
        <f>HYPERLINK("https://www.773grp.com/globalSearch/ACE9040JIWFP2Q/page-1", "ACE9040JIWFP2Q")</f>
        <v>ACE9040JIWFP2Q</v>
      </c>
      <c r="B28199" s="3" t="s">
        <v>116</v>
      </c>
      <c r="C28199" s="5">
        <v>2000</v>
      </c>
      <c r="D28199" s="6">
        <v>15.75</v>
      </c>
    </row>
    <row r="28200" spans="1:4" x14ac:dyDescent="0.25">
      <c r="A28200" t="str">
        <f>HYPERLINK("https://www.773grp.com/globalSearch/MV1817-3GCGDPAS/page-1", "MV1817-3GCGDPAS")</f>
        <v>MV1817-3GCGDPAS</v>
      </c>
      <c r="B28200" s="3" t="s">
        <v>116</v>
      </c>
      <c r="C28200" s="5">
        <v>1603</v>
      </c>
      <c r="D28200" s="6">
        <v>17.39</v>
      </c>
    </row>
    <row r="28201" spans="1:4" x14ac:dyDescent="0.25">
      <c r="A28201" t="str">
        <f>HYPERLINK("https://www.773grp.com/globalSearch/ULADFA014DIGHP2S/page-1", "ULADFA014DIGHP2S")</f>
        <v>ULADFA014DIGHP2S</v>
      </c>
      <c r="B28201" s="3" t="s">
        <v>116</v>
      </c>
      <c r="C28201" s="5">
        <v>4128</v>
      </c>
      <c r="D28201" s="6">
        <v>17.78</v>
      </c>
    </row>
    <row r="28202" spans="1:4" x14ac:dyDescent="0.25">
      <c r="A28202" t="str">
        <f>HYPERLINK("https://www.773grp.com/globalSearch/11DVA014ACGHP1Q/page-1", "11DVA014ACGHP1Q")</f>
        <v>11DVA014ACGHP1Q</v>
      </c>
      <c r="B28202" s="3" t="s">
        <v>116</v>
      </c>
      <c r="C28202" s="5">
        <v>4000</v>
      </c>
      <c r="D28202" s="6">
        <v>17.8</v>
      </c>
    </row>
    <row r="28203" spans="1:4" x14ac:dyDescent="0.25">
      <c r="A28203" t="str">
        <f>HYPERLINK("https://www.773grp.com/globalSearch/NJ88C22MAMPTF/page-1", "NJ88C22MAMPTF")</f>
        <v>NJ88C22MAMPTF</v>
      </c>
      <c r="B28203" s="3" t="s">
        <v>116</v>
      </c>
      <c r="C28203" s="5">
        <v>6450</v>
      </c>
      <c r="D28203" s="6">
        <v>17.8</v>
      </c>
    </row>
    <row r="28204" spans="1:4" x14ac:dyDescent="0.25">
      <c r="A28204" t="str">
        <f>HYPERLINK("https://www.773grp.com/globalSearch/KESTX02A-IG-MPAS/page-1", "KESTX02A-IG-MPAS")</f>
        <v>KESTX02A-IG-MPAS</v>
      </c>
      <c r="B28204" s="3" t="s">
        <v>116</v>
      </c>
      <c r="C28204" s="5">
        <v>270</v>
      </c>
      <c r="D28204" s="6">
        <v>18.43</v>
      </c>
    </row>
    <row r="28205" spans="1:4" x14ac:dyDescent="0.25">
      <c r="A28205" t="str">
        <f>HYPERLINK("https://www.773grp.com/globalSearch/CRT907017-IW-GP1N/page-1", "CRT907017-IW-GP1N")</f>
        <v>CRT907017-IW-GP1N</v>
      </c>
      <c r="B28205" s="3" t="s">
        <v>116</v>
      </c>
      <c r="C28205" s="5">
        <v>720</v>
      </c>
      <c r="D28205" s="6">
        <v>18.68</v>
      </c>
    </row>
    <row r="28206" spans="1:4" x14ac:dyDescent="0.25">
      <c r="A28206" t="str">
        <f>HYPERLINK("https://www.773grp.com/globalSearch/ULA16DXA010FCGGP1N/page-1", "ULA16DXA010FCGGP1N")</f>
        <v>ULA16DXA010FCGGP1N</v>
      </c>
      <c r="B28206" s="3" t="s">
        <v>116</v>
      </c>
      <c r="C28206" s="5">
        <v>36243</v>
      </c>
      <c r="D28206" s="6">
        <v>19.41</v>
      </c>
    </row>
    <row r="28207" spans="1:4" x14ac:dyDescent="0.25">
      <c r="A28207" t="str">
        <f>HYPERLINK("https://www.773grp.com/globalSearch/NJ88C25-KA-MP/page-1", "NJ88C25-KA-MP")</f>
        <v>NJ88C25-KA-MP</v>
      </c>
      <c r="B28207" s="3" t="s">
        <v>116</v>
      </c>
      <c r="C28207" s="5">
        <v>1875</v>
      </c>
      <c r="D28207" s="6">
        <v>19.95</v>
      </c>
    </row>
    <row r="28208" spans="1:4" x14ac:dyDescent="0.25">
      <c r="A28208" t="str">
        <f>HYPERLINK("https://www.773grp.com/globalSearch/GSQ20022-KW-GP1N/page-1", "GSQ20022-KW-GP1N")</f>
        <v>GSQ20022-KW-GP1N</v>
      </c>
      <c r="B28208" s="3" t="s">
        <v>116</v>
      </c>
      <c r="C28208" s="5">
        <v>114</v>
      </c>
      <c r="D28208" s="6">
        <v>20.36</v>
      </c>
    </row>
    <row r="28209" spans="1:4" x14ac:dyDescent="0.25">
      <c r="A28209" t="str">
        <f>HYPERLINK("https://www.773grp.com/globalSearch/NFT1021C-IG-QP1P/page-1", "NFT1021C-IG-QP1P")</f>
        <v>NFT1021C-IG-QP1P</v>
      </c>
      <c r="B28209" s="3" t="s">
        <v>116</v>
      </c>
      <c r="C28209" s="5">
        <v>11557</v>
      </c>
      <c r="D28209" s="6">
        <v>21.64</v>
      </c>
    </row>
    <row r="28210" spans="1:4" x14ac:dyDescent="0.25">
      <c r="A28210" t="str">
        <f>HYPERLINK("https://www.773grp.com/globalSearch/GEM301P4E-IW-GP1N/page-1", "GEM301P4E-IW-GP1N")</f>
        <v>GEM301P4E-IW-GP1N</v>
      </c>
      <c r="B28210" s="3" t="s">
        <v>116</v>
      </c>
      <c r="C28210" s="5">
        <v>2800</v>
      </c>
      <c r="D28210" s="6">
        <v>22.91</v>
      </c>
    </row>
    <row r="28211" spans="1:4" x14ac:dyDescent="0.25">
      <c r="A28211" t="str">
        <f>HYPERLINK("https://www.773grp.com/globalSearch/MH88633AV-PE4/page-1", "MH88633AV-PE4")</f>
        <v>MH88633AV-PE4</v>
      </c>
      <c r="B28211" s="3" t="s">
        <v>116</v>
      </c>
      <c r="C28211" s="5">
        <v>1250</v>
      </c>
      <c r="D28211" s="6">
        <v>29.2</v>
      </c>
    </row>
    <row r="28212" spans="1:4" x14ac:dyDescent="0.25">
      <c r="A28212" t="str">
        <f>HYPERLINK("https://www.773grp.com/globalSearch/MVT209016-CX-GP1N/page-1", "MVT209016-CX-GP1N")</f>
        <v>MVT209016-CX-GP1N</v>
      </c>
      <c r="B28212" s="3" t="s">
        <v>116</v>
      </c>
      <c r="C28212" s="5">
        <v>1600</v>
      </c>
      <c r="D28212" s="6">
        <v>30.8</v>
      </c>
    </row>
    <row r="28213" spans="1:4" x14ac:dyDescent="0.25">
      <c r="A28213" t="str">
        <f>HYPERLINK("https://www.773grp.com/globalSearch/MVT209018-CX-GP1N/page-1", "MVT209018-CX-GP1N")</f>
        <v>MVT209018-CX-GP1N</v>
      </c>
      <c r="B28213" s="3" t="s">
        <v>116</v>
      </c>
      <c r="C28213" s="5">
        <v>1420</v>
      </c>
      <c r="D28213" s="6">
        <v>30.8</v>
      </c>
    </row>
    <row r="28214" spans="1:4" x14ac:dyDescent="0.25">
      <c r="A28214" t="str">
        <f>HYPERLINK("https://www.773grp.com/globalSearch/SP8713-IG-MPAS/page-1", "SP8713-IG-MPAS")</f>
        <v>SP8713-IG-MPAS</v>
      </c>
      <c r="B28214" s="3" t="s">
        <v>116</v>
      </c>
      <c r="C28214" s="5">
        <v>4818</v>
      </c>
      <c r="D28214" s="6">
        <v>30.94</v>
      </c>
    </row>
    <row r="28215" spans="1:4" x14ac:dyDescent="0.25">
      <c r="A28215" t="str">
        <f>HYPERLINK("https://www.773grp.com/globalSearch/CLT81027-IW-DP1S/page-1", "CLT81027-IW-DP1S")</f>
        <v>CLT81027-IW-DP1S</v>
      </c>
      <c r="B28215" s="3" t="s">
        <v>116</v>
      </c>
      <c r="C28215" s="5">
        <v>977</v>
      </c>
      <c r="D28215" s="6">
        <v>33.299999999999997</v>
      </c>
    </row>
    <row r="28216" spans="1:4" x14ac:dyDescent="0.25">
      <c r="A28216" t="str">
        <f>HYPERLINK("https://www.773grp.com/globalSearch/SP8904E-KG-MP1S/page-1", "SP8904E-KG-MP1S")</f>
        <v>SP8904E-KG-MP1S</v>
      </c>
      <c r="B28216" s="3" t="s">
        <v>116</v>
      </c>
      <c r="C28216" s="5">
        <v>5774</v>
      </c>
      <c r="D28216" s="6">
        <v>45.53</v>
      </c>
    </row>
    <row r="28217" spans="1:4" x14ac:dyDescent="0.25">
      <c r="A28217" t="str">
        <f>HYPERLINK("https://www.773grp.com/globalSearch/QGA30018-MW-GP2N/page-1", "QGA30018-MW-GP2N")</f>
        <v>QGA30018-MW-GP2N</v>
      </c>
      <c r="B28217" s="3" t="s">
        <v>116</v>
      </c>
      <c r="C28217" s="5">
        <v>1052</v>
      </c>
      <c r="D28217" s="6">
        <v>47.76</v>
      </c>
    </row>
    <row r="28218" spans="1:4" x14ac:dyDescent="0.25">
      <c r="A28218" t="str">
        <f>HYPERLINK("https://www.773grp.com/globalSearch/CLA70045-IX-HPAS/page-1", "CLA70045-IX-HPAS")</f>
        <v>CLA70045-IX-HPAS</v>
      </c>
      <c r="B28218" s="3" t="s">
        <v>116</v>
      </c>
      <c r="C28218" s="5">
        <v>1099</v>
      </c>
      <c r="D28218" s="6">
        <v>59.74</v>
      </c>
    </row>
    <row r="28219" spans="1:4" x14ac:dyDescent="0.25">
      <c r="A28219" t="str">
        <f>HYPERLINK("https://www.773grp.com/globalSearch/29DVA010BCGHP1Q/page-1", "29DVA010BCGHP1Q")</f>
        <v>29DVA010BCGHP1Q</v>
      </c>
      <c r="B28219" s="3" t="s">
        <v>116</v>
      </c>
      <c r="C28219" s="5">
        <v>1750</v>
      </c>
      <c r="D28219" s="6">
        <v>61.73</v>
      </c>
    </row>
    <row r="28220" spans="1:4" x14ac:dyDescent="0.25">
      <c r="A28220" t="str">
        <f>HYPERLINK("https://www.773grp.com/globalSearch/QGA10012-MW-GP2N/page-1", "QGA10012-MW-GP2N")</f>
        <v>QGA10012-MW-GP2N</v>
      </c>
      <c r="B28220" s="3" t="s">
        <v>116</v>
      </c>
      <c r="C28220" s="5">
        <v>1604</v>
      </c>
      <c r="D28220" s="6">
        <v>74.2</v>
      </c>
    </row>
    <row r="28221" spans="1:4" x14ac:dyDescent="0.25">
      <c r="A28221" t="str">
        <f>HYPERLINK("https://www.773grp.com/globalSearch/QGA30021-MW-GP2N/page-1", "QGA30021-MW-GP2N")</f>
        <v>QGA30021-MW-GP2N</v>
      </c>
      <c r="B28221" s="3" t="s">
        <v>116</v>
      </c>
      <c r="C28221" s="5">
        <v>2237</v>
      </c>
      <c r="D28221" s="6">
        <v>78</v>
      </c>
    </row>
    <row r="28222" spans="1:4" x14ac:dyDescent="0.25">
      <c r="A28222" t="str">
        <f>HYPERLINK("https://www.773grp.com/globalSearch/CLA83035-IW-HP1N/page-1", "CLA83035-IW-HP1N")</f>
        <v>CLA83035-IW-HP1N</v>
      </c>
      <c r="B28222" s="3" t="s">
        <v>116</v>
      </c>
      <c r="C28222" s="5">
        <v>297</v>
      </c>
      <c r="D28222" s="6">
        <v>90.56</v>
      </c>
    </row>
    <row r="28223" spans="1:4" x14ac:dyDescent="0.25">
      <c r="A28223" t="str">
        <f>HYPERLINK("https://www.773grp.com/globalSearch/CLA83035-IW-HP1Q/page-1", "CLA83035-IW-HP1Q")</f>
        <v>CLA83035-IW-HP1Q</v>
      </c>
      <c r="B28223" s="3" t="s">
        <v>116</v>
      </c>
      <c r="C28223" s="5">
        <v>250</v>
      </c>
      <c r="D28223" s="6">
        <v>90.56</v>
      </c>
    </row>
    <row r="28224" spans="1:4" x14ac:dyDescent="0.25">
      <c r="A28224" t="str">
        <f>HYPERLINK("https://www.773grp.com/globalSearch/CLA85047-CX-GP1R/page-1", "CLA85047-CX-GP1R")</f>
        <v>CLA85047-CX-GP1R</v>
      </c>
      <c r="B28224" s="3" t="s">
        <v>116</v>
      </c>
      <c r="C28224" s="5">
        <v>105</v>
      </c>
      <c r="D28224" s="6">
        <v>95.63</v>
      </c>
    </row>
    <row r="28225" spans="1:4" x14ac:dyDescent="0.25">
      <c r="A28225" t="str">
        <f>HYPERLINK("https://www.773grp.com/globalSearch/ARM250-TG-GPKR/page-1", "ARM250-TG-GPKR")</f>
        <v>ARM250-TG-GPKR</v>
      </c>
      <c r="B28225" s="3" t="s">
        <v>116</v>
      </c>
      <c r="C28225" s="5">
        <v>33</v>
      </c>
      <c r="D28225" s="6">
        <v>103.9</v>
      </c>
    </row>
    <row r="28226" spans="1:4" x14ac:dyDescent="0.25">
      <c r="A28226" t="str">
        <f>HYPERLINK("https://www.773grp.com/globalSearch/MH89760/page-1", "MH89760")</f>
        <v>MH89760</v>
      </c>
      <c r="B28226" s="3" t="s">
        <v>116</v>
      </c>
      <c r="C28226" s="5">
        <v>3230</v>
      </c>
      <c r="D28226" s="6">
        <v>113.58</v>
      </c>
    </row>
    <row r="28227" spans="1:4" x14ac:dyDescent="0.25">
      <c r="A28227" t="str">
        <f>HYPERLINK("https://www.773grp.com/globalSearch/SP8852E-IG-HCAR/page-1", "SP8852E-IG-HCAR")</f>
        <v>SP8852E-IG-HCAR</v>
      </c>
      <c r="B28227" s="3" t="s">
        <v>116</v>
      </c>
      <c r="C28227" s="5">
        <v>376</v>
      </c>
      <c r="D28227" s="6">
        <v>179.21</v>
      </c>
    </row>
    <row r="28228" spans="1:4" x14ac:dyDescent="0.25">
      <c r="A28228" t="str">
        <f>HYPERLINK("https://www.773grp.com/globalSearch/CLA85059-CX-GP1N/page-1", "CLA85059-CX-GP1N")</f>
        <v>CLA85059-CX-GP1N</v>
      </c>
      <c r="B28228" s="3" t="s">
        <v>116</v>
      </c>
      <c r="C28228" s="5">
        <v>555</v>
      </c>
      <c r="D28228" s="6">
        <v>179.46</v>
      </c>
    </row>
    <row r="28229" spans="1:4" x14ac:dyDescent="0.25">
      <c r="A28229" t="str">
        <f>HYPERLINK("https://www.773grp.com/globalSearch/GPS1001-KW-GGAR/page-1", "GPS1001-KW-GGAR")</f>
        <v>GPS1001-KW-GGAR</v>
      </c>
      <c r="B28229" s="3" t="s">
        <v>116</v>
      </c>
      <c r="C28229" s="5">
        <v>1269</v>
      </c>
      <c r="D28229" s="6">
        <v>265.41000000000003</v>
      </c>
    </row>
    <row r="28230" spans="1:4" x14ac:dyDescent="0.25">
      <c r="A28230" t="str">
        <f>HYPERLINK("https://www.773grp.com/globalSearch/SP8854E-KG-HCAR/page-1", "SP8854E-KG-HCAR")</f>
        <v>SP8854E-KG-HCAR</v>
      </c>
      <c r="B28230" s="3" t="s">
        <v>116</v>
      </c>
      <c r="C28230" s="5">
        <v>23</v>
      </c>
      <c r="D28230" s="6">
        <v>363.14</v>
      </c>
    </row>
    <row r="28231" spans="1:4" x14ac:dyDescent="0.25">
      <c r="A28231" t="str">
        <f>HYPERLINK("https://www.773grp.com/globalSearch/CLT85015-CW-GPKR/page-1", "CLT85015-CW-GPKR")</f>
        <v>CLT85015-CW-GPKR</v>
      </c>
      <c r="B28231" s="3" t="s">
        <v>116</v>
      </c>
      <c r="C28231" s="5">
        <v>171</v>
      </c>
      <c r="D28231" s="6">
        <v>561.79</v>
      </c>
    </row>
    <row r="28232" spans="1:4" x14ac:dyDescent="0.25">
      <c r="A28232" t="str">
        <f>HYPERLINK("https://www.773grp.com/globalSearch/CLT915014-CX-GP1N/page-1", "CLT915014-CX-GP1N")</f>
        <v>CLT915014-CX-GP1N</v>
      </c>
      <c r="B28232" s="3" t="s">
        <v>116</v>
      </c>
      <c r="C28232" s="5">
        <v>130</v>
      </c>
      <c r="D28232" s="6">
        <v>758.31</v>
      </c>
    </row>
    <row r="28233" spans="1:4" x14ac:dyDescent="0.25">
      <c r="A28233" t="str">
        <f>HYPERLINK("https://www.773grp.com/globalSearch/ZLR323X28320R561M/page-1", "ZLR323X28320R561M")</f>
        <v>ZLR323X28320R561M</v>
      </c>
      <c r="B28233" s="3" t="s">
        <v>121</v>
      </c>
      <c r="C28233" s="5">
        <v>720</v>
      </c>
      <c r="D28233" s="6">
        <v>0</v>
      </c>
    </row>
    <row r="28234" spans="1:4" x14ac:dyDescent="0.25">
      <c r="A28234" t="str">
        <f>HYPERLINK("https://www.773grp.com/globalSearch/ZLR323X2832OR55KA/page-1", "ZLR323X2832OR55KA")</f>
        <v>ZLR323X2832OR55KA</v>
      </c>
      <c r="B28234" s="3" t="s">
        <v>121</v>
      </c>
      <c r="C28234" s="5">
        <v>780</v>
      </c>
      <c r="D28234" s="6">
        <v>0</v>
      </c>
    </row>
    <row r="28235" spans="1:4" x14ac:dyDescent="0.25">
      <c r="A28235" t="str">
        <f>HYPERLINK("https://www.773grp.com/globalSearch/ZLR644X2832OR562W/page-1", "ZLR644X2832OR562W")</f>
        <v>ZLR644X2832OR562W</v>
      </c>
      <c r="B28235" s="3" t="s">
        <v>121</v>
      </c>
      <c r="C28235" s="5">
        <v>4678</v>
      </c>
      <c r="D28235" s="6">
        <v>0</v>
      </c>
    </row>
    <row r="28236" spans="1:4" x14ac:dyDescent="0.25">
      <c r="A28236" t="str">
        <f>HYPERLINK("https://www.773grp.com/globalSearch/Z200982PZ000XC/page-1", "Z200982PZ000XC")</f>
        <v>Z200982PZ000XC</v>
      </c>
      <c r="B28236" s="3" t="s">
        <v>121</v>
      </c>
      <c r="C28236" s="5">
        <v>289</v>
      </c>
      <c r="D28236" s="6">
        <v>0</v>
      </c>
    </row>
    <row r="28237" spans="1:4" x14ac:dyDescent="0.25">
      <c r="A28237" t="str">
        <f>HYPERLINK("https://www.773grp.com/globalSearch/Z200984PZ000XC/page-1", "Z200984PZ000XC")</f>
        <v>Z200984PZ000XC</v>
      </c>
      <c r="B28237" s="3" t="s">
        <v>121</v>
      </c>
      <c r="C28237" s="5">
        <v>1055</v>
      </c>
      <c r="D28237" s="6">
        <v>0</v>
      </c>
    </row>
    <row r="28238" spans="1:4" x14ac:dyDescent="0.25">
      <c r="A28238" t="str">
        <f>HYPERLINK("https://www.773grp.com/globalSearch/Z8021016VSC1583/page-1", "Z8021016VSC1583")</f>
        <v>Z8021016VSC1583</v>
      </c>
      <c r="B28238" s="3" t="s">
        <v>121</v>
      </c>
      <c r="C28238" s="5">
        <v>301</v>
      </c>
      <c r="D28238" s="6">
        <v>0</v>
      </c>
    </row>
    <row r="28239" spans="1:4" x14ac:dyDescent="0.25">
      <c r="A28239" t="str">
        <f>HYPERLINK("https://www.773grp.com/globalSearch/Z86E1260100ZAC/page-1", "Z86E1260100ZAC")</f>
        <v>Z86E1260100ZAC</v>
      </c>
      <c r="B28239" s="3" t="s">
        <v>121</v>
      </c>
      <c r="C28239" s="5">
        <v>21</v>
      </c>
      <c r="D28239" s="6">
        <v>0</v>
      </c>
    </row>
    <row r="28240" spans="1:4" x14ac:dyDescent="0.25">
      <c r="A28240" t="str">
        <f>HYPERLINK("https://www.773grp.com/globalSearch/Z86E36PZ016SC/page-1", "Z86E36PZ016SC")</f>
        <v>Z86E36PZ016SC</v>
      </c>
      <c r="B28240" s="3" t="s">
        <v>121</v>
      </c>
      <c r="C28240" s="5">
        <v>6</v>
      </c>
      <c r="D28240" s="6">
        <v>0</v>
      </c>
    </row>
    <row r="28241" spans="1:4" x14ac:dyDescent="0.25">
      <c r="A28241" t="str">
        <f>HYPERLINK("https://www.773grp.com/globalSearch/ZA00106FSC/page-1", "ZA00106FSC")</f>
        <v>ZA00106FSC</v>
      </c>
      <c r="B28241" s="3" t="s">
        <v>121</v>
      </c>
      <c r="C28241" s="5">
        <v>2942</v>
      </c>
      <c r="D28241" s="6">
        <v>0</v>
      </c>
    </row>
    <row r="28242" spans="1:4" x14ac:dyDescent="0.25">
      <c r="A28242" t="str">
        <f>HYPERLINK("https://www.773grp.com/globalSearch/ZHX1200-01/page-1", "ZHX1200-01")</f>
        <v>ZHX1200-01</v>
      </c>
      <c r="B28242" s="3" t="s">
        <v>121</v>
      </c>
      <c r="C28242" s="5">
        <v>52500</v>
      </c>
      <c r="D28242" s="6">
        <v>2.81</v>
      </c>
    </row>
    <row r="28243" spans="1:4" x14ac:dyDescent="0.25">
      <c r="A28243" t="str">
        <f>HYPERLINK("https://www.773grp.com/globalSearch/Z86E146FZ016EC86E146-0000/page-1", "Z86E146FZ016EC86E146-0000")</f>
        <v>Z86E146FZ016EC86E146-0000</v>
      </c>
      <c r="B28243" s="3" t="s">
        <v>121</v>
      </c>
      <c r="C28243" s="5">
        <v>174</v>
      </c>
      <c r="D28243" s="6">
        <v>8.69</v>
      </c>
    </row>
    <row r="28244" spans="1:4" x14ac:dyDescent="0.25">
      <c r="A28244" t="str">
        <f>HYPERLINK("https://www.773grp.com/globalSearch/Z0858106PSC/page-1", "Z0858106PSC")</f>
        <v>Z0858106PSC</v>
      </c>
      <c r="B28244" s="3" t="s">
        <v>121</v>
      </c>
      <c r="C28244" s="5">
        <v>3995</v>
      </c>
      <c r="D28244" s="6">
        <v>11.25</v>
      </c>
    </row>
    <row r="28245" spans="1:4" x14ac:dyDescent="0.25">
      <c r="A28245" t="str">
        <f>HYPERLINK("https://www.773grp.com/globalSearch/Z0858110PSC/page-1", "Z0858110PSC")</f>
        <v>Z0858110PSC</v>
      </c>
      <c r="B28245" s="3" t="s">
        <v>121</v>
      </c>
      <c r="C28245" s="5">
        <v>1033</v>
      </c>
      <c r="D28245" s="6">
        <v>17.260000000000002</v>
      </c>
    </row>
    <row r="28246" spans="1:4" x14ac:dyDescent="0.25">
      <c r="A28246" t="str">
        <f>HYPERLINK("https://www.773grp.com/globalSearch/Z086E8608PSC/page-1", "Z086E8608PSC")</f>
        <v>Z086E8608PSC</v>
      </c>
      <c r="B28246" s="3" t="s">
        <v>121</v>
      </c>
      <c r="C28246" s="5">
        <v>4</v>
      </c>
      <c r="D28246" s="6">
        <v>30.46</v>
      </c>
    </row>
    <row r="28247" spans="1:4" x14ac:dyDescent="0.25">
      <c r="A28247" t="str">
        <f>HYPERLINK("https://www.773grp.com/globalSearch/Z0801605PSC/page-1", "Z0801605PSC")</f>
        <v>Z0801605PSC</v>
      </c>
      <c r="B28247" s="3" t="s">
        <v>121</v>
      </c>
      <c r="C28247" s="5">
        <v>161</v>
      </c>
      <c r="D28247" s="6">
        <v>33.36</v>
      </c>
    </row>
    <row r="28248" spans="1:4" x14ac:dyDescent="0.25">
      <c r="A28248" t="str">
        <f>HYPERLINK("https://www.773grp.com/globalSearch/Z803606DEA/page-1", "Z803606DEA")</f>
        <v>Z803606DEA</v>
      </c>
      <c r="B28248" s="3" t="s">
        <v>121</v>
      </c>
      <c r="C28248" s="5">
        <v>203</v>
      </c>
      <c r="D28248" s="6">
        <v>45</v>
      </c>
    </row>
  </sheetData>
  <sortState xmlns:xlrd2="http://schemas.microsoft.com/office/spreadsheetml/2017/richdata2" ref="A2:E28248">
    <sortCondition ref="E2:E28248"/>
  </sortState>
  <pageMargins left="0.7" right="0.7" top="0.75" bottom="0.75" header="0.3" footer="0.3"/>
  <pageSetup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Lynn</dc:creator>
  <cp:lastModifiedBy>Sales Dept</cp:lastModifiedBy>
  <cp:lastPrinted>2024-10-29T17:23:03Z</cp:lastPrinted>
  <dcterms:created xsi:type="dcterms:W3CDTF">2024-10-24T18:49:53Z</dcterms:created>
  <dcterms:modified xsi:type="dcterms:W3CDTF">2025-01-07T00:52:07Z</dcterms:modified>
</cp:coreProperties>
</file>